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updateLinks="always" codeName="ThisWorkbook" defaultThemeVersion="124226"/>
  <mc:AlternateContent xmlns:mc="http://schemas.openxmlformats.org/markup-compatibility/2006">
    <mc:Choice Requires="x15">
      <x15ac:absPath xmlns:x15ac="http://schemas.microsoft.com/office/spreadsheetml/2010/11/ac" url="D:\Pioneer\"/>
    </mc:Choice>
  </mc:AlternateContent>
  <xr:revisionPtr revIDLastSave="0" documentId="13_ncr:1_{E97BB2A2-AA00-4AA9-8AB0-B58D0B1AFD82}" xr6:coauthVersionLast="47" xr6:coauthVersionMax="47" xr10:uidLastSave="{00000000-0000-0000-0000-000000000000}"/>
  <bookViews>
    <workbookView xWindow="-120" yWindow="-120" windowWidth="29040" windowHeight="15840" activeTab="1" xr2:uid="{00000000-000D-0000-FFFF-FFFF00000000}"/>
  </bookViews>
  <sheets>
    <sheet name="staff" sheetId="60" r:id="rId1"/>
    <sheet name="Cash" sheetId="12" r:id="rId2"/>
    <sheet name="Nadeem bhai" sheetId="53" r:id="rId3"/>
    <sheet name="Bilal bhai" sheetId="54" r:id="rId4"/>
    <sheet name="DIB" sheetId="45" r:id="rId5"/>
    <sheet name="cb" sheetId="57" r:id="rId6"/>
    <sheet name="MCB" sheetId="47" r:id="rId7"/>
    <sheet name="PES MCB" sheetId="51" r:id="rId8"/>
    <sheet name="Absentees" sheetId="49" r:id="rId9"/>
    <sheet name="Petty cash (old)" sheetId="56" r:id="rId10"/>
    <sheet name="Mohsin" sheetId="61" r:id="rId11"/>
    <sheet name="Sheet1" sheetId="62" r:id="rId12"/>
    <sheet name="Sheet2" sheetId="63" r:id="rId13"/>
  </sheets>
  <externalReferences>
    <externalReference r:id="rId14"/>
    <externalReference r:id="rId15"/>
    <externalReference r:id="rId16"/>
    <externalReference r:id="rId17"/>
    <externalReference r:id="rId18"/>
  </externalReferences>
  <definedNames>
    <definedName name="_xlnm._FilterDatabase" localSheetId="3" hidden="1">'Bilal bhai'!$A$1:$K$1024</definedName>
    <definedName name="_xlnm._FilterDatabase" localSheetId="1" hidden="1">Cash!$A$1:$O$9541</definedName>
    <definedName name="_xlnm._FilterDatabase" localSheetId="10" hidden="1">Mohsin!$A$2:$H$373</definedName>
    <definedName name="_xlnm._FilterDatabase" localSheetId="9" hidden="1">'Petty cash (old)'!$A$1:$L$11593</definedName>
    <definedName name="_xlnm.Print_Area" localSheetId="8">Absentees!$A$1:$M$32</definedName>
    <definedName name="_xlnm.Print_Area" localSheetId="3">'Bilal bhai'!$A$848:$F$884</definedName>
    <definedName name="_xlnm.Print_Area" localSheetId="1">Cash!$A$5563:$G$5589</definedName>
    <definedName name="_xlnm.Print_Area" localSheetId="10">Mohsin!$A$2:$C$96</definedName>
    <definedName name="_xlnm.Print_Area" localSheetId="2">'Nadeem bhai'!$A$668:$F$768</definedName>
    <definedName name="_xlnm.Print_Area" localSheetId="9">'Petty cash (old)'!$A$9940:$F$10642</definedName>
    <definedName name="_xlnm.Print_Area" localSheetId="11">Sheet1!$A$1:$B$15</definedName>
    <definedName name="_xlnm.Print_Area" localSheetId="0">staff!#REF!</definedName>
    <definedName name="_xlnm.Print_Titles" localSheetId="1">Cash!$1:$1</definedName>
    <definedName name="_xlnm.Print_Titles" localSheetId="10">Mohsin!$1:$2</definedName>
    <definedName name="_xlnm.Print_Titles" localSheetId="9">'Petty cash (old)'!$1:$1</definedName>
  </definedNames>
  <calcPr calcId="181029"/>
</workbook>
</file>

<file path=xl/calcChain.xml><?xml version="1.0" encoding="utf-8"?>
<calcChain xmlns="http://schemas.openxmlformats.org/spreadsheetml/2006/main">
  <c r="F994" i="54" l="1"/>
  <c r="F995" i="54" s="1"/>
  <c r="F996" i="54" s="1"/>
  <c r="F997" i="54" s="1"/>
  <c r="F998" i="54" s="1"/>
  <c r="F999" i="54" s="1"/>
  <c r="F1000" i="54" s="1"/>
  <c r="F1001" i="54" s="1"/>
  <c r="F1002" i="54" s="1"/>
  <c r="F1003" i="54" s="1"/>
  <c r="F1004" i="54" s="1"/>
  <c r="F1005" i="54" s="1"/>
  <c r="F1006" i="54" s="1"/>
  <c r="F1007" i="54" s="1"/>
  <c r="F1008" i="54" s="1"/>
  <c r="F1009" i="54" s="1"/>
  <c r="F1010" i="54" s="1"/>
  <c r="F1011" i="54" s="1"/>
  <c r="F1012" i="54" s="1"/>
  <c r="F1013" i="54" s="1"/>
  <c r="G8992" i="12" l="1"/>
  <c r="G8991" i="12"/>
  <c r="J4" i="45" l="1"/>
  <c r="L9007" i="12" l="1"/>
  <c r="N9005" i="12"/>
  <c r="L9013" i="12" l="1"/>
  <c r="L9012" i="12"/>
  <c r="F1293" i="53"/>
  <c r="F1292" i="53"/>
  <c r="L9000" i="12" l="1"/>
  <c r="L8987" i="12" l="1"/>
  <c r="H214" i="45" l="1"/>
  <c r="J13" i="57"/>
  <c r="J5" i="57"/>
  <c r="I8984" i="12" l="1"/>
  <c r="E8939" i="12" l="1"/>
  <c r="J8962" i="12" l="1"/>
  <c r="J8961" i="12" l="1"/>
  <c r="J8963" i="12" l="1"/>
  <c r="J8971" i="12" l="1"/>
  <c r="I1283" i="53" l="1"/>
  <c r="K8914" i="12" l="1"/>
  <c r="K8915" i="12" s="1"/>
  <c r="K5" i="57" l="1"/>
  <c r="I8871" i="12" l="1"/>
  <c r="I8873" i="12" s="1"/>
  <c r="L8856" i="12" l="1"/>
  <c r="L8868" i="12"/>
  <c r="L8869" i="12" s="1"/>
  <c r="L8871" i="12" s="1"/>
  <c r="O3" i="57"/>
  <c r="E32" i="57"/>
  <c r="J8860" i="12"/>
  <c r="I8859" i="12" l="1"/>
  <c r="L8849" i="12" l="1"/>
  <c r="J8849" i="12"/>
  <c r="J8850" i="12" s="1"/>
  <c r="L8825" i="12" l="1"/>
  <c r="J8834" i="12"/>
  <c r="J8841" i="12" s="1"/>
  <c r="J8843" i="12" s="1"/>
  <c r="J8844" i="12" s="1"/>
  <c r="M4948" i="12" l="1"/>
  <c r="M8006" i="12"/>
  <c r="M8201" i="12"/>
  <c r="M8202" i="12"/>
  <c r="M8203" i="12"/>
  <c r="M8204" i="12"/>
  <c r="M8205" i="12"/>
  <c r="M8206" i="12"/>
  <c r="M8207" i="12"/>
  <c r="M8208" i="12"/>
  <c r="M8382" i="12"/>
  <c r="M8457" i="12"/>
  <c r="E8788" i="12" l="1"/>
  <c r="J8806" i="12" s="1"/>
  <c r="C669" i="47" l="1"/>
  <c r="K8733" i="12" l="1"/>
  <c r="K8734" i="12" s="1"/>
  <c r="J384" i="60" l="1"/>
  <c r="I8718" i="12"/>
  <c r="L8725" i="12" l="1"/>
  <c r="J8697" i="12" l="1"/>
  <c r="J8699" i="12" s="1"/>
  <c r="J8647" i="12" l="1"/>
  <c r="J8651" i="12" s="1"/>
  <c r="J11" i="57" l="1"/>
  <c r="J8637" i="12" l="1"/>
  <c r="J8638" i="12" s="1"/>
  <c r="I8566" i="12" l="1"/>
  <c r="I8568" i="12" s="1"/>
  <c r="E8595" i="12" l="1"/>
  <c r="I8596" i="12"/>
  <c r="E8574" i="12" l="1"/>
  <c r="L8577" i="12" l="1"/>
  <c r="J8575" i="12"/>
  <c r="K8559" i="12"/>
  <c r="E8567" i="12"/>
  <c r="I8583" i="12" s="1"/>
  <c r="J8583" i="12" l="1"/>
  <c r="I8555" i="12"/>
  <c r="J8515" i="12" l="1"/>
  <c r="J8517" i="12" s="1"/>
  <c r="H30" i="57" l="1"/>
  <c r="J12" i="57" s="1"/>
  <c r="I380" i="60" l="1"/>
  <c r="J8489" i="12"/>
  <c r="E8487" i="12"/>
  <c r="E8486" i="12"/>
  <c r="J8447" i="12" l="1"/>
  <c r="I381" i="60" l="1"/>
  <c r="J8451" i="12" l="1"/>
  <c r="J8461" i="12" l="1"/>
  <c r="J8463" i="12" l="1"/>
  <c r="J8467" i="12" s="1"/>
  <c r="L8464" i="12"/>
  <c r="L8361" i="12"/>
  <c r="K8433" i="12" l="1"/>
  <c r="K8442" i="12" s="1"/>
  <c r="L8401" i="12"/>
  <c r="L8442" i="12" l="1"/>
  <c r="E8343" i="12" l="1"/>
  <c r="E8345" i="12"/>
  <c r="E8344" i="12"/>
  <c r="J8371" i="12" l="1"/>
  <c r="J8369" i="12"/>
  <c r="J8370" i="12" s="1"/>
  <c r="E8325" i="12"/>
  <c r="J8372" i="12" l="1"/>
  <c r="E8316" i="12"/>
  <c r="J8354" i="12" s="1"/>
  <c r="K8352" i="12" l="1"/>
  <c r="J8352" i="12"/>
  <c r="J8305" i="12" l="1"/>
  <c r="J8303" i="12"/>
  <c r="J8304" i="12" s="1"/>
  <c r="J8306" i="12" l="1"/>
  <c r="E8288" i="12" l="1"/>
  <c r="K8291" i="12" l="1"/>
  <c r="J8291" i="12"/>
  <c r="K8287" i="12" l="1"/>
  <c r="J8287" i="12"/>
  <c r="K8292" i="12" l="1"/>
  <c r="J8275" i="12"/>
  <c r="K8262" i="12" l="1"/>
  <c r="J8262" i="12"/>
  <c r="E8266" i="12" l="1"/>
  <c r="J8256" i="12" l="1"/>
  <c r="K8256" i="12"/>
  <c r="K8258" i="12" l="1"/>
  <c r="K8257" i="12"/>
  <c r="J8257" i="12"/>
  <c r="K8265" i="12" l="1"/>
  <c r="K8266" i="12" s="1"/>
  <c r="J8240" i="12" l="1"/>
  <c r="J8236" i="12"/>
  <c r="J8237" i="12" s="1"/>
  <c r="J8253" i="12"/>
  <c r="J8254" i="12" s="1"/>
  <c r="J8249" i="12" l="1"/>
  <c r="J8250" i="12" s="1"/>
  <c r="H620" i="47" l="1"/>
  <c r="H669" i="47" s="1"/>
  <c r="J8217" i="12" l="1"/>
  <c r="J8186" i="12"/>
  <c r="K8209" i="12" l="1"/>
  <c r="K8208" i="12"/>
  <c r="K8200" i="12"/>
  <c r="K8201" i="12"/>
  <c r="K8202" i="12"/>
  <c r="K8203" i="12"/>
  <c r="K8204" i="12"/>
  <c r="K8205" i="12"/>
  <c r="K8206" i="12"/>
  <c r="K8207" i="12"/>
  <c r="K8199" i="12"/>
  <c r="K8210" i="12" l="1"/>
  <c r="I8063" i="12" l="1"/>
  <c r="I8065" i="12" s="1"/>
  <c r="K8075" i="12"/>
  <c r="K8137" i="12" l="1"/>
  <c r="K8194" i="12" l="1"/>
  <c r="E8155" i="12" l="1"/>
  <c r="S43" i="57" l="1"/>
  <c r="S143" i="57" s="1"/>
  <c r="U22" i="57"/>
  <c r="I8104" i="12" l="1"/>
  <c r="I8105" i="12" s="1"/>
  <c r="I8106" i="12" s="1"/>
  <c r="I8108" i="12"/>
  <c r="I8109" i="12" s="1"/>
  <c r="E8107" i="12" l="1"/>
  <c r="E8105" i="12" l="1"/>
  <c r="J8098" i="12" l="1"/>
  <c r="E8086" i="12" l="1"/>
  <c r="E8085" i="12" l="1"/>
  <c r="J8117" i="12" s="1"/>
  <c r="K8083" i="12" l="1"/>
  <c r="I8078" i="12" l="1"/>
  <c r="I8080" i="12" s="1"/>
  <c r="I8074" i="12"/>
  <c r="K884" i="54" l="1"/>
  <c r="J881" i="54"/>
  <c r="K8035" i="12" l="1"/>
  <c r="K8036" i="12" s="1"/>
  <c r="K8034" i="12"/>
  <c r="F349" i="12" l="1"/>
  <c r="K8047" i="12" l="1"/>
  <c r="L8057" i="12"/>
  <c r="L8047" i="12" l="1"/>
  <c r="L8049" i="12" s="1"/>
  <c r="L899" i="54"/>
  <c r="L902" i="54" s="1"/>
  <c r="M898" i="54"/>
  <c r="N898" i="54" s="1"/>
  <c r="L903" i="54" l="1"/>
  <c r="L904" i="54" s="1"/>
  <c r="M894" i="54" l="1"/>
  <c r="N894" i="54" l="1"/>
  <c r="M897" i="54" l="1"/>
  <c r="N897" i="54" s="1"/>
  <c r="M896" i="54"/>
  <c r="N896" i="54" s="1"/>
  <c r="M895" i="54"/>
  <c r="M899" i="54" l="1"/>
  <c r="N895" i="54"/>
  <c r="N899" i="54" s="1"/>
  <c r="N902" i="54" s="1"/>
  <c r="N903" i="54" l="1"/>
  <c r="N904" i="54" s="1"/>
  <c r="L8008" i="12" l="1"/>
  <c r="L8010" i="12" s="1"/>
  <c r="J8030" i="12" l="1"/>
  <c r="J8032" i="12" s="1"/>
  <c r="J8034" i="12" s="1"/>
  <c r="J8017" i="12"/>
  <c r="I8017" i="12" l="1"/>
  <c r="I8020" i="12" s="1"/>
  <c r="I7991" i="12" l="1"/>
  <c r="K7980" i="12" l="1"/>
  <c r="K7989" i="12" s="1"/>
  <c r="K7991" i="12" s="1"/>
  <c r="K7993" i="12" s="1"/>
  <c r="K7995" i="12" s="1"/>
  <c r="I869" i="54"/>
  <c r="I870" i="54" s="1"/>
  <c r="J869" i="54"/>
  <c r="E7961" i="12" l="1"/>
  <c r="E7960" i="12"/>
  <c r="J7915" i="12" l="1"/>
  <c r="J7914" i="12"/>
  <c r="E7905" i="12" l="1"/>
  <c r="K7877" i="12" l="1"/>
  <c r="K7872" i="12"/>
  <c r="K7848" i="12" l="1"/>
  <c r="E7852" i="12"/>
  <c r="I7888" i="12" l="1"/>
  <c r="I7890" i="12" s="1"/>
  <c r="I7892" i="12" s="1"/>
  <c r="I7894" i="12" s="1"/>
  <c r="J7859" i="12" l="1"/>
  <c r="E7768" i="12" l="1"/>
  <c r="E7767" i="12"/>
  <c r="K7754" i="12" l="1"/>
  <c r="K7756" i="12" s="1"/>
  <c r="K7758" i="12" s="1"/>
  <c r="K7760" i="12" s="1"/>
  <c r="I7753" i="12"/>
  <c r="I7755" i="12" s="1"/>
  <c r="J7702" i="12" l="1"/>
  <c r="J7704" i="12" s="1"/>
  <c r="I7715" i="12"/>
  <c r="I7695" i="12" l="1"/>
  <c r="E7691" i="12"/>
  <c r="J7690" i="12" l="1"/>
  <c r="K7660" i="12" l="1"/>
  <c r="K7663" i="12" s="1"/>
  <c r="K7664" i="12" s="1"/>
  <c r="I7671" i="12"/>
  <c r="I7664" i="12"/>
  <c r="K7645" i="12" l="1"/>
  <c r="K7647" i="12" s="1"/>
  <c r="I7643" i="12" l="1"/>
  <c r="I7639" i="12" l="1"/>
  <c r="E7608" i="12" l="1"/>
  <c r="E7607" i="12"/>
  <c r="I7604" i="12"/>
  <c r="I7613" i="12" s="1"/>
  <c r="I7606" i="12" l="1"/>
  <c r="I7589" i="12" l="1"/>
  <c r="I7592" i="12" s="1"/>
  <c r="E7587" i="12" l="1"/>
  <c r="D1161" i="53" l="1"/>
  <c r="I7580" i="12"/>
  <c r="I7582" i="12" s="1"/>
  <c r="I7584" i="12" s="1"/>
  <c r="J7578" i="12"/>
  <c r="J7580" i="12" s="1"/>
  <c r="I7565" i="12" l="1"/>
  <c r="I7567" i="12" s="1"/>
  <c r="E7552" i="12" l="1"/>
  <c r="I7547" i="12" l="1"/>
  <c r="E7532" i="12"/>
  <c r="E7554" i="12" l="1"/>
  <c r="E7551" i="12" l="1"/>
  <c r="I7529" i="12" s="1"/>
  <c r="J7510" i="12" l="1"/>
  <c r="J7512" i="12" s="1"/>
  <c r="J7515" i="12" s="1"/>
  <c r="J7517" i="12" s="1"/>
  <c r="J7519" i="12" s="1"/>
  <c r="I7498" i="12" l="1"/>
  <c r="E7476" i="12" l="1"/>
  <c r="C12" i="63" l="1"/>
  <c r="C15" i="63" s="1"/>
  <c r="K7433" i="12" l="1"/>
  <c r="J7423" i="12"/>
  <c r="K7423" i="12"/>
  <c r="K7424" i="12" l="1"/>
  <c r="E7445" i="12" l="1"/>
  <c r="J7407" i="12" l="1"/>
  <c r="J7392" i="12" l="1"/>
  <c r="J7394" i="12" s="1"/>
  <c r="J7396" i="12" s="1"/>
  <c r="J7398" i="12" s="1"/>
  <c r="J7400" i="12" s="1"/>
  <c r="J7408" i="12" s="1"/>
  <c r="E7375" i="12" l="1"/>
  <c r="R7" i="57" l="1"/>
  <c r="R6" i="57"/>
  <c r="R5" i="57"/>
  <c r="R4" i="57"/>
  <c r="R145" i="57" l="1"/>
  <c r="E7317" i="12"/>
  <c r="E7287" i="12" l="1"/>
  <c r="E7272" i="12" l="1"/>
  <c r="E7271" i="12"/>
  <c r="E7250" i="12" l="1"/>
  <c r="E7258" i="12" l="1"/>
  <c r="E7251" i="12"/>
  <c r="E7151" i="12" l="1"/>
  <c r="E7090" i="12" l="1"/>
  <c r="E6998" i="12" l="1"/>
  <c r="E6997" i="12" l="1"/>
  <c r="E6965" i="12" l="1"/>
  <c r="E6934" i="12" l="1"/>
  <c r="J17" i="51" l="1"/>
  <c r="J20" i="51" s="1"/>
  <c r="E177" i="60" l="1"/>
  <c r="E6718" i="12" l="1"/>
  <c r="E6730" i="12" l="1"/>
  <c r="E6582" i="12" l="1"/>
  <c r="G12" i="61" l="1"/>
  <c r="G9" i="61"/>
  <c r="G30" i="61"/>
  <c r="E3" i="61" l="1"/>
  <c r="E4" i="61" s="1"/>
  <c r="E5" i="61" s="1"/>
  <c r="E6" i="61" s="1"/>
  <c r="E7" i="61" s="1"/>
  <c r="E8" i="61" s="1"/>
  <c r="E9" i="61" s="1"/>
  <c r="E10" i="61" s="1"/>
  <c r="E11" i="61" s="1"/>
  <c r="E12" i="61" s="1"/>
  <c r="E13" i="61" s="1"/>
  <c r="E14" i="61" s="1"/>
  <c r="E15" i="61" s="1"/>
  <c r="E16" i="61" s="1"/>
  <c r="E17" i="61" s="1"/>
  <c r="E18" i="61" s="1"/>
  <c r="E19" i="61" s="1"/>
  <c r="E20" i="61" s="1"/>
  <c r="E21" i="61" s="1"/>
  <c r="E22" i="61" s="1"/>
  <c r="E23" i="61" s="1"/>
  <c r="E24" i="61" s="1"/>
  <c r="E25" i="61" s="1"/>
  <c r="E26" i="61" s="1"/>
  <c r="E27" i="61" s="1"/>
  <c r="E28" i="61" s="1"/>
  <c r="E29" i="61" s="1"/>
  <c r="E30" i="61" s="1"/>
  <c r="E31" i="61" s="1"/>
  <c r="E32" i="61" s="1"/>
  <c r="E33" i="61" s="1"/>
  <c r="E34" i="61" s="1"/>
  <c r="E35" i="61" s="1"/>
  <c r="E36" i="61" s="1"/>
  <c r="E37" i="61" s="1"/>
  <c r="E38" i="61" s="1"/>
  <c r="E39" i="61" s="1"/>
  <c r="E40" i="61" s="1"/>
  <c r="E41" i="61" s="1"/>
  <c r="E42" i="61" s="1"/>
  <c r="E43" i="61" s="1"/>
  <c r="E44" i="61" s="1"/>
  <c r="E45" i="61" s="1"/>
  <c r="E46" i="61" s="1"/>
  <c r="E47" i="61" s="1"/>
  <c r="E48" i="61" s="1"/>
  <c r="E49" i="61" s="1"/>
  <c r="E50" i="61" s="1"/>
  <c r="E51" i="61" s="1"/>
  <c r="E52" i="61" s="1"/>
  <c r="E53" i="61" s="1"/>
  <c r="E54" i="61" s="1"/>
  <c r="E55" i="61" s="1"/>
  <c r="E56" i="61" s="1"/>
  <c r="E57" i="61" s="1"/>
  <c r="E58" i="61" s="1"/>
  <c r="E59" i="61" s="1"/>
  <c r="E60" i="61" s="1"/>
  <c r="E61" i="61" s="1"/>
  <c r="E62" i="61" s="1"/>
  <c r="E63" i="61" s="1"/>
  <c r="E64" i="61" s="1"/>
  <c r="E65" i="61" s="1"/>
  <c r="E66" i="61" s="1"/>
  <c r="E67" i="61" s="1"/>
  <c r="E68" i="61" s="1"/>
  <c r="E69" i="61" s="1"/>
  <c r="E70" i="61" s="1"/>
  <c r="E71" i="61" s="1"/>
  <c r="E72" i="61" s="1"/>
  <c r="E73" i="61" s="1"/>
  <c r="E74" i="61" s="1"/>
  <c r="E75" i="61" s="1"/>
  <c r="E76" i="61" s="1"/>
  <c r="E77" i="61" s="1"/>
  <c r="E78" i="61" s="1"/>
  <c r="E79" i="61" s="1"/>
  <c r="E80" i="61" s="1"/>
  <c r="E81" i="61" s="1"/>
  <c r="E82" i="61" s="1"/>
  <c r="E83" i="61" s="1"/>
  <c r="E84" i="61" s="1"/>
  <c r="E85" i="61" s="1"/>
  <c r="E86" i="61" s="1"/>
  <c r="E87" i="61" s="1"/>
  <c r="E88" i="61" s="1"/>
  <c r="E89" i="61" s="1"/>
  <c r="E90" i="61" s="1"/>
  <c r="E91" i="61" s="1"/>
  <c r="E92" i="61" s="1"/>
  <c r="E93" i="61" l="1"/>
  <c r="E94" i="61" s="1"/>
  <c r="E95" i="61" s="1"/>
  <c r="E96" i="61" s="1"/>
  <c r="E97" i="61" s="1"/>
  <c r="E98" i="61" s="1"/>
  <c r="E99" i="61" s="1"/>
  <c r="E6365" i="12"/>
  <c r="H389" i="60" s="1"/>
  <c r="E100" i="61" l="1"/>
  <c r="E101" i="61" s="1"/>
  <c r="E102" i="61" s="1"/>
  <c r="E103" i="61" s="1"/>
  <c r="E104" i="61" s="1"/>
  <c r="E6308" i="12"/>
  <c r="E105" i="61" l="1"/>
  <c r="E106" i="61" s="1"/>
  <c r="E107" i="61" s="1"/>
  <c r="E108" i="61" s="1"/>
  <c r="E109" i="61" s="1"/>
  <c r="E110" i="61" s="1"/>
  <c r="E111" i="61" s="1"/>
  <c r="E112" i="61" s="1"/>
  <c r="E113" i="61" s="1"/>
  <c r="E114" i="61" s="1"/>
  <c r="E115" i="61" s="1"/>
  <c r="E116" i="61" s="1"/>
  <c r="E117" i="61" s="1"/>
  <c r="E118" i="61" s="1"/>
  <c r="E119" i="61" s="1"/>
  <c r="E120" i="61" s="1"/>
  <c r="E121" i="61" s="1"/>
  <c r="E122" i="61" s="1"/>
  <c r="E123" i="61" s="1"/>
  <c r="E124" i="61" s="1"/>
  <c r="E125" i="61" s="1"/>
  <c r="E126" i="61" s="1"/>
  <c r="E127" i="61" s="1"/>
  <c r="E128" i="61" s="1"/>
  <c r="E129" i="61" s="1"/>
  <c r="E130" i="61" s="1"/>
  <c r="E131" i="61" s="1"/>
  <c r="E132" i="61" s="1"/>
  <c r="E133" i="61" s="1"/>
  <c r="E129" i="60"/>
  <c r="E6286" i="12" l="1"/>
  <c r="H387" i="60" s="1"/>
  <c r="E6285" i="12" l="1"/>
  <c r="E6233" i="12" l="1"/>
  <c r="E6045" i="12" l="1"/>
  <c r="E6044" i="12"/>
  <c r="E5966" i="12" l="1"/>
  <c r="J9" i="57" l="1"/>
  <c r="E5940" i="12" l="1"/>
  <c r="E5925" i="12" l="1"/>
  <c r="E5848" i="12" l="1"/>
  <c r="E5847" i="12"/>
  <c r="E5844" i="12"/>
  <c r="H15" i="51" l="1"/>
  <c r="E5802" i="12" l="1"/>
  <c r="E5779" i="12" l="1"/>
  <c r="E5778" i="12"/>
  <c r="E5744" i="12" l="1"/>
  <c r="E5687" i="12" l="1"/>
  <c r="J5675" i="12" s="1"/>
  <c r="J5679" i="12" s="1"/>
  <c r="K5581" i="12" l="1"/>
  <c r="L5581" i="12"/>
  <c r="C15" i="51" l="1"/>
  <c r="I385" i="60" l="1"/>
  <c r="E5545" i="12" l="1"/>
  <c r="E60" i="60" l="1"/>
  <c r="L381" i="60" s="1"/>
  <c r="M381" i="60" s="1"/>
  <c r="L380" i="60" l="1"/>
  <c r="D1037" i="53"/>
  <c r="J389" i="60" l="1"/>
  <c r="J380" i="60"/>
  <c r="J381" i="60"/>
  <c r="J390" i="60"/>
  <c r="K390" i="60" s="1"/>
  <c r="E5485" i="12"/>
  <c r="H383" i="60" s="1"/>
  <c r="J382" i="60" l="1"/>
  <c r="J383" i="60"/>
  <c r="J385" i="60"/>
  <c r="J386" i="60"/>
  <c r="J387" i="60"/>
  <c r="L383" i="60" l="1"/>
  <c r="E5369" i="12" l="1"/>
  <c r="H380" i="60" l="1"/>
  <c r="E5373" i="12"/>
  <c r="E5372" i="12"/>
  <c r="H384" i="60" l="1"/>
  <c r="H381" i="60"/>
  <c r="H385" i="60"/>
  <c r="H386" i="60"/>
  <c r="H382" i="60"/>
  <c r="Q16" i="60"/>
  <c r="Q18" i="60" s="1"/>
  <c r="I386" i="60" l="1"/>
  <c r="I382" i="60" l="1"/>
  <c r="K382" i="60" s="1"/>
  <c r="I383" i="60"/>
  <c r="K383" i="60" s="1"/>
  <c r="M383" i="60" s="1"/>
  <c r="I384" i="60"/>
  <c r="K384" i="60" s="1"/>
  <c r="K385" i="60"/>
  <c r="K386" i="60"/>
  <c r="D1027" i="53" l="1"/>
  <c r="L387" i="60" l="1"/>
  <c r="L389" i="60"/>
  <c r="L382" i="60"/>
  <c r="M382" i="60" s="1"/>
  <c r="L384" i="60"/>
  <c r="M384" i="60" s="1"/>
  <c r="L385" i="60"/>
  <c r="M385" i="60" s="1"/>
  <c r="L386" i="60"/>
  <c r="M386" i="60" s="1"/>
  <c r="D1018" i="53" l="1"/>
  <c r="E5296" i="12" l="1"/>
  <c r="H505" i="54" l="1"/>
  <c r="E5193" i="12" l="1"/>
  <c r="E5176" i="12" l="1"/>
  <c r="E5177" i="12"/>
  <c r="K3" i="57" l="1"/>
  <c r="C214" i="45" l="1"/>
  <c r="H2" i="45" s="1"/>
  <c r="E5000" i="12" l="1"/>
  <c r="E5001" i="12"/>
  <c r="D958" i="53" l="1"/>
  <c r="E4896" i="12" l="1"/>
  <c r="E4769" i="12" l="1"/>
  <c r="E4724" i="12" l="1"/>
  <c r="E4731" i="12" l="1"/>
  <c r="E4623" i="12" l="1"/>
  <c r="E4587" i="12" l="1"/>
  <c r="E4586" i="12"/>
  <c r="E4541" i="12" l="1"/>
  <c r="E4493" i="12" l="1"/>
  <c r="E4344" i="12" l="1"/>
  <c r="I448" i="54" l="1"/>
  <c r="E4255" i="12" l="1"/>
  <c r="E4195" i="12" l="1"/>
  <c r="E4194" i="12"/>
  <c r="E4133" i="12" l="1"/>
  <c r="E4132" i="12"/>
  <c r="E4110" i="12" l="1"/>
  <c r="I425" i="54" l="1"/>
  <c r="E4103" i="12" l="1"/>
  <c r="E4007" i="12" l="1"/>
  <c r="I394" i="54" l="1"/>
  <c r="I381" i="54" l="1"/>
  <c r="E3810" i="12" l="1"/>
  <c r="E3795" i="12" l="1"/>
  <c r="E3794" i="12"/>
  <c r="E3753" i="12" l="1"/>
  <c r="E3752" i="12"/>
  <c r="E3691" i="12" l="1"/>
  <c r="E3596" i="12" l="1"/>
  <c r="H10907" i="56" l="1"/>
  <c r="H10890" i="56"/>
  <c r="J10888" i="56"/>
  <c r="I10888" i="56"/>
  <c r="H10882" i="56"/>
  <c r="J10880" i="56"/>
  <c r="I10880" i="56"/>
  <c r="H10879" i="56"/>
  <c r="J10875" i="56"/>
  <c r="I10875" i="56"/>
  <c r="J10872" i="56"/>
  <c r="I10872" i="56"/>
  <c r="I10871" i="56"/>
  <c r="I10869" i="56"/>
  <c r="I10868" i="56"/>
  <c r="I10867" i="56"/>
  <c r="I10864" i="56"/>
  <c r="I10865" i="56" s="1"/>
  <c r="I10858" i="56"/>
  <c r="J10857" i="56"/>
  <c r="J10858" i="56" s="1"/>
  <c r="G10857" i="56"/>
  <c r="G10858" i="56" s="1"/>
  <c r="I10855" i="56"/>
  <c r="I10852" i="56"/>
  <c r="D10831" i="56"/>
  <c r="D10819" i="56"/>
  <c r="G10791" i="56"/>
  <c r="D10785" i="56"/>
  <c r="H10784" i="56"/>
  <c r="H10786" i="56" s="1"/>
  <c r="I10787" i="56" s="1"/>
  <c r="D10784" i="56"/>
  <c r="D10782" i="56"/>
  <c r="H10769" i="56"/>
  <c r="D10750" i="56"/>
  <c r="J10749" i="56"/>
  <c r="D10721" i="56"/>
  <c r="D10720" i="56"/>
  <c r="H10715" i="56"/>
  <c r="G10712" i="56"/>
  <c r="D10697" i="56"/>
  <c r="G10692" i="56"/>
  <c r="H10675" i="56"/>
  <c r="H10676" i="56" s="1"/>
  <c r="H10678" i="56" s="1"/>
  <c r="D10675" i="56"/>
  <c r="D10674" i="56"/>
  <c r="J10673" i="56"/>
  <c r="J10674" i="56" s="1"/>
  <c r="H10666" i="56"/>
  <c r="H10668" i="56" s="1"/>
  <c r="J10651" i="56"/>
  <c r="J10640" i="56"/>
  <c r="J10641" i="56" s="1"/>
  <c r="H10639" i="56"/>
  <c r="H10636" i="56"/>
  <c r="H10630" i="56"/>
  <c r="G10627" i="56"/>
  <c r="G10630" i="56" s="1"/>
  <c r="J10626" i="56"/>
  <c r="J10627" i="56" s="1"/>
  <c r="D10616" i="56"/>
  <c r="H10607" i="56"/>
  <c r="I10607" i="56" s="1"/>
  <c r="J10607" i="56" s="1"/>
  <c r="D10600" i="56"/>
  <c r="D10589" i="56"/>
  <c r="I10588" i="56"/>
  <c r="D10588" i="56"/>
  <c r="H10578" i="56"/>
  <c r="H10579" i="56" s="1"/>
  <c r="H10580" i="56" s="1"/>
  <c r="D10570" i="56"/>
  <c r="H10569" i="56"/>
  <c r="H10570" i="56" s="1"/>
  <c r="D10569" i="56"/>
  <c r="G10526" i="56"/>
  <c r="D10507" i="56"/>
  <c r="D10506" i="56"/>
  <c r="G10378" i="56" s="1"/>
  <c r="H10499" i="56"/>
  <c r="H10490" i="56"/>
  <c r="G10487" i="56"/>
  <c r="G10489" i="56" s="1"/>
  <c r="H10488" i="56" s="1"/>
  <c r="H10479" i="56"/>
  <c r="H10475" i="56"/>
  <c r="H10472" i="56"/>
  <c r="D10453" i="56"/>
  <c r="D10452" i="56"/>
  <c r="H10446" i="56"/>
  <c r="J10446" i="56" s="1"/>
  <c r="H10437" i="56"/>
  <c r="H10427" i="56" s="1"/>
  <c r="H10430" i="56"/>
  <c r="H10429" i="56"/>
  <c r="H10424" i="56"/>
  <c r="H10423" i="56"/>
  <c r="H10408" i="56"/>
  <c r="H10406" i="56"/>
  <c r="D10406" i="56"/>
  <c r="H10405" i="56"/>
  <c r="H10370" i="56"/>
  <c r="H10371" i="56" s="1"/>
  <c r="D10366" i="56"/>
  <c r="D10365" i="56"/>
  <c r="D10336" i="56"/>
  <c r="D10308" i="56"/>
  <c r="G10301" i="56"/>
  <c r="D10301" i="56"/>
  <c r="D10300" i="56"/>
  <c r="H10283" i="56"/>
  <c r="H10285" i="56" s="1"/>
  <c r="G10258" i="56"/>
  <c r="J10246" i="56"/>
  <c r="J10248" i="56" s="1"/>
  <c r="J10233" i="56"/>
  <c r="J10232" i="56"/>
  <c r="I10217" i="56"/>
  <c r="J10215" i="56"/>
  <c r="J10217" i="56" s="1"/>
  <c r="J10214" i="56"/>
  <c r="J10218" i="56" s="1"/>
  <c r="H10208" i="56"/>
  <c r="J10205" i="56"/>
  <c r="J10206" i="56" s="1"/>
  <c r="J10207" i="56" s="1"/>
  <c r="H10198" i="56"/>
  <c r="H10185" i="56"/>
  <c r="H10157" i="56"/>
  <c r="D10156" i="56"/>
  <c r="I10151" i="56"/>
  <c r="I10152" i="56" s="1"/>
  <c r="H10144" i="56"/>
  <c r="H10145" i="56" s="1"/>
  <c r="G10119" i="56"/>
  <c r="D10091" i="56"/>
  <c r="D10090" i="56"/>
  <c r="D10089" i="56"/>
  <c r="D10077" i="56"/>
  <c r="D10055" i="56"/>
  <c r="H10045" i="56"/>
  <c r="H10050" i="56" s="1"/>
  <c r="H10054" i="56" s="1"/>
  <c r="H10036" i="56"/>
  <c r="D10033" i="56"/>
  <c r="H10027" i="56"/>
  <c r="H10022" i="56"/>
  <c r="H10023" i="56" s="1"/>
  <c r="I10010" i="56"/>
  <c r="J9992" i="56"/>
  <c r="H9990" i="56"/>
  <c r="H9992" i="56" s="1"/>
  <c r="H9994" i="56" s="1"/>
  <c r="H9996" i="56" s="1"/>
  <c r="H10000" i="56" s="1"/>
  <c r="I9987" i="56"/>
  <c r="D9985" i="56"/>
  <c r="I9982" i="56"/>
  <c r="H9974" i="56"/>
  <c r="I9973" i="56"/>
  <c r="I9952" i="56"/>
  <c r="D9943" i="56"/>
  <c r="I9940" i="56"/>
  <c r="I9942" i="56" s="1"/>
  <c r="D9919" i="56"/>
  <c r="I9916" i="56"/>
  <c r="D9911" i="56"/>
  <c r="I9904" i="56"/>
  <c r="I9905" i="56" s="1"/>
  <c r="I9899" i="56"/>
  <c r="I9896" i="56"/>
  <c r="I9897" i="56" s="1"/>
  <c r="D9890" i="56"/>
  <c r="D9882" i="56"/>
  <c r="D9877" i="56"/>
  <c r="D9875" i="56"/>
  <c r="H9867" i="56"/>
  <c r="H9866" i="56"/>
  <c r="I9860" i="56"/>
  <c r="H9851" i="56"/>
  <c r="H9850" i="56"/>
  <c r="H9834" i="56"/>
  <c r="H9837" i="56" s="1"/>
  <c r="H9841" i="56" s="1"/>
  <c r="D9831" i="56"/>
  <c r="H9811" i="56"/>
  <c r="I9814" i="56" s="1"/>
  <c r="J9805" i="56"/>
  <c r="D9779" i="56"/>
  <c r="D9774" i="56"/>
  <c r="D9722" i="56"/>
  <c r="D9721" i="56"/>
  <c r="I9698" i="56"/>
  <c r="J9692" i="56"/>
  <c r="D9662" i="56"/>
  <c r="H9647" i="56"/>
  <c r="H9634" i="56"/>
  <c r="H9638" i="56" s="1"/>
  <c r="H9615" i="56"/>
  <c r="D9614" i="56"/>
  <c r="I9603" i="56"/>
  <c r="I9604" i="56" s="1"/>
  <c r="I9607" i="56" s="1"/>
  <c r="J9599" i="56"/>
  <c r="I9588" i="56"/>
  <c r="I9589" i="56" s="1"/>
  <c r="D9582" i="56"/>
  <c r="D9581" i="56"/>
  <c r="I9573" i="56"/>
  <c r="J9573" i="56" s="1"/>
  <c r="K9573" i="56" s="1"/>
  <c r="L9573" i="56" s="1"/>
  <c r="I9572" i="56"/>
  <c r="J9572" i="56" s="1"/>
  <c r="K9572" i="56" s="1"/>
  <c r="L9572" i="56" s="1"/>
  <c r="I9569" i="56"/>
  <c r="K9568" i="56"/>
  <c r="I9568" i="56"/>
  <c r="J9568" i="56" s="1"/>
  <c r="K9559" i="56"/>
  <c r="K9561" i="56" s="1"/>
  <c r="K9564" i="56" s="1"/>
  <c r="I9558" i="56"/>
  <c r="I9560" i="56" s="1"/>
  <c r="I9563" i="56" s="1"/>
  <c r="I9565" i="56" s="1"/>
  <c r="K9553" i="56"/>
  <c r="L9552" i="56"/>
  <c r="H9516" i="56"/>
  <c r="I9503" i="56"/>
  <c r="K9503" i="56" s="1"/>
  <c r="K9502" i="56"/>
  <c r="I9491" i="56"/>
  <c r="J9465" i="56"/>
  <c r="J9451" i="56"/>
  <c r="H9451" i="56"/>
  <c r="D9443" i="56"/>
  <c r="J9433" i="56"/>
  <c r="D9415" i="56"/>
  <c r="J9401" i="56"/>
  <c r="J9403" i="56" s="1"/>
  <c r="D9363" i="56"/>
  <c r="E9353" i="56"/>
  <c r="D9286" i="56"/>
  <c r="D9280" i="56"/>
  <c r="D9254" i="56"/>
  <c r="D9247" i="56"/>
  <c r="D9223" i="56"/>
  <c r="D9215" i="56"/>
  <c r="D9202" i="56"/>
  <c r="D9181" i="56"/>
  <c r="D9152" i="56"/>
  <c r="D9117" i="56"/>
  <c r="D9110" i="56"/>
  <c r="D9086" i="56"/>
  <c r="D9052" i="56"/>
  <c r="D9037" i="56"/>
  <c r="D8990" i="56"/>
  <c r="D8965" i="56"/>
  <c r="D8964" i="56"/>
  <c r="D8962" i="56"/>
  <c r="D8958" i="56"/>
  <c r="D8946" i="56"/>
  <c r="D8928" i="56"/>
  <c r="N8904" i="56"/>
  <c r="D8855" i="56"/>
  <c r="D8834" i="56"/>
  <c r="D8832" i="56"/>
  <c r="O8828" i="56"/>
  <c r="O8827" i="56"/>
  <c r="O8826" i="56"/>
  <c r="D8814" i="56"/>
  <c r="D8793" i="56"/>
  <c r="D8771" i="56"/>
  <c r="D8729" i="56"/>
  <c r="D8686" i="56"/>
  <c r="D8683" i="56"/>
  <c r="D8681" i="56"/>
  <c r="D8662" i="56"/>
  <c r="D8647" i="56"/>
  <c r="D8613" i="56"/>
  <c r="D8600" i="56"/>
  <c r="D8595" i="56"/>
  <c r="F8587" i="56"/>
  <c r="F8588" i="56" s="1"/>
  <c r="F8589" i="56" s="1"/>
  <c r="F8590" i="56" s="1"/>
  <c r="F8591" i="56" s="1"/>
  <c r="F8592" i="56" s="1"/>
  <c r="F8593" i="56" s="1"/>
  <c r="F8594" i="56" s="1"/>
  <c r="D8586" i="56"/>
  <c r="D8569" i="56"/>
  <c r="D8548" i="56"/>
  <c r="D8517" i="56"/>
  <c r="D8516" i="56"/>
  <c r="D8511" i="56"/>
  <c r="F8510" i="56"/>
  <c r="D8481" i="56"/>
  <c r="D8478" i="56"/>
  <c r="D8460" i="56"/>
  <c r="D8459" i="56"/>
  <c r="D8450" i="56"/>
  <c r="D8439" i="56"/>
  <c r="D8400" i="56"/>
  <c r="D8354" i="56"/>
  <c r="D8335" i="56"/>
  <c r="D8319" i="56"/>
  <c r="D8300" i="56"/>
  <c r="D8279" i="56"/>
  <c r="D8272" i="56"/>
  <c r="D8263" i="56"/>
  <c r="D8250" i="56"/>
  <c r="D8239" i="56"/>
  <c r="D8238" i="56"/>
  <c r="D8231" i="56"/>
  <c r="D8223" i="56"/>
  <c r="D8202" i="56"/>
  <c r="D8200" i="56"/>
  <c r="D8191" i="56"/>
  <c r="D8181" i="56"/>
  <c r="D8172" i="56"/>
  <c r="D8156" i="56"/>
  <c r="D8148" i="56"/>
  <c r="D8131" i="56"/>
  <c r="D8120" i="56"/>
  <c r="D8117" i="56"/>
  <c r="D8102" i="56"/>
  <c r="D8096" i="56"/>
  <c r="D8095" i="56"/>
  <c r="D8083" i="56"/>
  <c r="D8045" i="56"/>
  <c r="D8035" i="56"/>
  <c r="D8019" i="56"/>
  <c r="D8000" i="56"/>
  <c r="D7994" i="56"/>
  <c r="D7993" i="56"/>
  <c r="D7992" i="56"/>
  <c r="D7957" i="56"/>
  <c r="D7932" i="56"/>
  <c r="D7892" i="56"/>
  <c r="D7845" i="56"/>
  <c r="D7840" i="56"/>
  <c r="D7816" i="56"/>
  <c r="D7815" i="56"/>
  <c r="D7757" i="56"/>
  <c r="D7756" i="56"/>
  <c r="D7704" i="56"/>
  <c r="D7696" i="56"/>
  <c r="D7695" i="56"/>
  <c r="D7675" i="56"/>
  <c r="D7666" i="56"/>
  <c r="D7665" i="56"/>
  <c r="D7663" i="56"/>
  <c r="D7653" i="56"/>
  <c r="E7639" i="56"/>
  <c r="D7629" i="56"/>
  <c r="D7628" i="56"/>
  <c r="D7611" i="56"/>
  <c r="D7610" i="56"/>
  <c r="D7608" i="56"/>
  <c r="D7527" i="56"/>
  <c r="D7499" i="56"/>
  <c r="D7474" i="56"/>
  <c r="D7470" i="56"/>
  <c r="D7444" i="56"/>
  <c r="D7414" i="56"/>
  <c r="D7385" i="56"/>
  <c r="D7335" i="56"/>
  <c r="D7307" i="56"/>
  <c r="D7274" i="56"/>
  <c r="D7203" i="56"/>
  <c r="F7201" i="56"/>
  <c r="F7202" i="56" s="1"/>
  <c r="D7192" i="56"/>
  <c r="D7188" i="56"/>
  <c r="D7166" i="56"/>
  <c r="D7152" i="56"/>
  <c r="D7151" i="56"/>
  <c r="D7134" i="56"/>
  <c r="D7128" i="56"/>
  <c r="D7105" i="56"/>
  <c r="D7089" i="56"/>
  <c r="D7082" i="56"/>
  <c r="D7046" i="56"/>
  <c r="D7037" i="56"/>
  <c r="D7014" i="56"/>
  <c r="D6996" i="56"/>
  <c r="D6989" i="56"/>
  <c r="D6986" i="56"/>
  <c r="D6973" i="56"/>
  <c r="E6967" i="56"/>
  <c r="D6923" i="56"/>
  <c r="D6915" i="56"/>
  <c r="D6894" i="56"/>
  <c r="D6890" i="56"/>
  <c r="D6879" i="56"/>
  <c r="D6849" i="56"/>
  <c r="D6820" i="56"/>
  <c r="D6808" i="56"/>
  <c r="D6761" i="56"/>
  <c r="D6749" i="56"/>
  <c r="D6742" i="56"/>
  <c r="D6726" i="56"/>
  <c r="D6694" i="56"/>
  <c r="D6657" i="56"/>
  <c r="D6646" i="56"/>
  <c r="D6623" i="56"/>
  <c r="D6612" i="56"/>
  <c r="D6607" i="56"/>
  <c r="D6576" i="56"/>
  <c r="D6567" i="56"/>
  <c r="D6536" i="56"/>
  <c r="D6532" i="56"/>
  <c r="D6492" i="56"/>
  <c r="D6491" i="56"/>
  <c r="D6454" i="56"/>
  <c r="D6441" i="56"/>
  <c r="D6417" i="56"/>
  <c r="D6392" i="56"/>
  <c r="D6265" i="56"/>
  <c r="D6235" i="56"/>
  <c r="D6208" i="56"/>
  <c r="D6205" i="56"/>
  <c r="D6182" i="56"/>
  <c r="D6156" i="56"/>
  <c r="D6131" i="56"/>
  <c r="D6115" i="56"/>
  <c r="D6064" i="56"/>
  <c r="D6013" i="56"/>
  <c r="D6000" i="56"/>
  <c r="D5991" i="56"/>
  <c r="D5930" i="56"/>
  <c r="D5898" i="56"/>
  <c r="D5845" i="56"/>
  <c r="D5842" i="56"/>
  <c r="D5832" i="56"/>
  <c r="D5812" i="56"/>
  <c r="D5787" i="56"/>
  <c r="D5753" i="56"/>
  <c r="D5728" i="56"/>
  <c r="D5727" i="56"/>
  <c r="D5719" i="56"/>
  <c r="D5656" i="56"/>
  <c r="D5647" i="56"/>
  <c r="D5646" i="56"/>
  <c r="D5632" i="56"/>
  <c r="D5608" i="56"/>
  <c r="D5598" i="56"/>
  <c r="D5575" i="56"/>
  <c r="D5560" i="56"/>
  <c r="D5555" i="56"/>
  <c r="D5553" i="56"/>
  <c r="D5542" i="56"/>
  <c r="D5538" i="56"/>
  <c r="D5525" i="56"/>
  <c r="D5523" i="56"/>
  <c r="D5505" i="56"/>
  <c r="D5494" i="56"/>
  <c r="D5488" i="56"/>
  <c r="E5481" i="56"/>
  <c r="E5460" i="56"/>
  <c r="D5456" i="56"/>
  <c r="E5451" i="56"/>
  <c r="D5432" i="56"/>
  <c r="D5431" i="56"/>
  <c r="D5418" i="56"/>
  <c r="D5417" i="56"/>
  <c r="D5415" i="56"/>
  <c r="D5400" i="56"/>
  <c r="D5399" i="56"/>
  <c r="D5379" i="56"/>
  <c r="D5378" i="56"/>
  <c r="D5377" i="56"/>
  <c r="D5357" i="56"/>
  <c r="D5355" i="56"/>
  <c r="D5342" i="56"/>
  <c r="D5340" i="56"/>
  <c r="D5335" i="56"/>
  <c r="D5305" i="56"/>
  <c r="D5304" i="56"/>
  <c r="D5239" i="56"/>
  <c r="D5238" i="56"/>
  <c r="D5237" i="56"/>
  <c r="D5202" i="56"/>
  <c r="D5201" i="56"/>
  <c r="D5186" i="56"/>
  <c r="D5158" i="56"/>
  <c r="D5154" i="56"/>
  <c r="D5144" i="56"/>
  <c r="D5130" i="56"/>
  <c r="D5127" i="56"/>
  <c r="D5115" i="56"/>
  <c r="D5111" i="56"/>
  <c r="D5101" i="56"/>
  <c r="D5100" i="56"/>
  <c r="D5063" i="56"/>
  <c r="D5042" i="56"/>
  <c r="D5010" i="56"/>
  <c r="D5007" i="56"/>
  <c r="D4998" i="56"/>
  <c r="D4994" i="56"/>
  <c r="D4967" i="56"/>
  <c r="D4949" i="56"/>
  <c r="D4900" i="56"/>
  <c r="D4888" i="56"/>
  <c r="D4889" i="56" s="1"/>
  <c r="D4870" i="56"/>
  <c r="D4857" i="56"/>
  <c r="D4856" i="56"/>
  <c r="D4840" i="56"/>
  <c r="D4832" i="56"/>
  <c r="D4830" i="56"/>
  <c r="D4829" i="56"/>
  <c r="D4750" i="56"/>
  <c r="D4697" i="56"/>
  <c r="D4696" i="56"/>
  <c r="D4695" i="56"/>
  <c r="D4660" i="56"/>
  <c r="D4659" i="56"/>
  <c r="D4642" i="56"/>
  <c r="D4629" i="56"/>
  <c r="D4618" i="56"/>
  <c r="D4617" i="56"/>
  <c r="D4615" i="56"/>
  <c r="D4606" i="56"/>
  <c r="D4553" i="56"/>
  <c r="D4532" i="56"/>
  <c r="D4511" i="56"/>
  <c r="D4482" i="56"/>
  <c r="D4471" i="56"/>
  <c r="D4468" i="56"/>
  <c r="D4440" i="56"/>
  <c r="D4429" i="56"/>
  <c r="F4397" i="56"/>
  <c r="F4398" i="56" s="1"/>
  <c r="F4399" i="56" s="1"/>
  <c r="D4351" i="56"/>
  <c r="D4325" i="56"/>
  <c r="D4306" i="56"/>
  <c r="D4167" i="56"/>
  <c r="F4159" i="56"/>
  <c r="F4160" i="56" s="1"/>
  <c r="F4161" i="56" s="1"/>
  <c r="F4162" i="56" s="1"/>
  <c r="F4163" i="56" s="1"/>
  <c r="F4164" i="56" s="1"/>
  <c r="F4165" i="56" s="1"/>
  <c r="F4166" i="56" s="1"/>
  <c r="F4155" i="56"/>
  <c r="F4156" i="56" s="1"/>
  <c r="F4157" i="56" s="1"/>
  <c r="D4124" i="56"/>
  <c r="D4119" i="56"/>
  <c r="D4041" i="56"/>
  <c r="D3997" i="56"/>
  <c r="F3956" i="56"/>
  <c r="F3957" i="56" s="1"/>
  <c r="F3958" i="56" s="1"/>
  <c r="F3959" i="56" s="1"/>
  <c r="F3960" i="56" s="1"/>
  <c r="F3961" i="56" s="1"/>
  <c r="F3962" i="56" s="1"/>
  <c r="F3963" i="56" s="1"/>
  <c r="F3964" i="56" s="1"/>
  <c r="F3965" i="56" s="1"/>
  <c r="F3966" i="56" s="1"/>
  <c r="F3967" i="56" s="1"/>
  <c r="F3968" i="56" s="1"/>
  <c r="F3969" i="56" s="1"/>
  <c r="F3970" i="56" s="1"/>
  <c r="F3971" i="56" s="1"/>
  <c r="F3972" i="56" s="1"/>
  <c r="F3973" i="56" s="1"/>
  <c r="F3974" i="56" s="1"/>
  <c r="F3975" i="56" s="1"/>
  <c r="F3976" i="56" s="1"/>
  <c r="F3977" i="56" s="1"/>
  <c r="F3978" i="56" s="1"/>
  <c r="F3979" i="56" s="1"/>
  <c r="F3980" i="56" s="1"/>
  <c r="F3981" i="56" s="1"/>
  <c r="F3982" i="56" s="1"/>
  <c r="F3983" i="56" s="1"/>
  <c r="F3984" i="56" s="1"/>
  <c r="F3985" i="56" s="1"/>
  <c r="F3986" i="56" s="1"/>
  <c r="F3987" i="56" s="1"/>
  <c r="F3988" i="56" s="1"/>
  <c r="F3989" i="56" s="1"/>
  <c r="F3990" i="56" s="1"/>
  <c r="F3991" i="56" s="1"/>
  <c r="F3992" i="56" s="1"/>
  <c r="F3993" i="56" s="1"/>
  <c r="F3994" i="56" s="1"/>
  <c r="F3995" i="56" s="1"/>
  <c r="F3996" i="56" s="1"/>
  <c r="F3997" i="56" s="1"/>
  <c r="F3998" i="56" s="1"/>
  <c r="F3999" i="56" s="1"/>
  <c r="F4000" i="56" s="1"/>
  <c r="F4001" i="56" s="1"/>
  <c r="F4002" i="56" s="1"/>
  <c r="F4003" i="56" s="1"/>
  <c r="F4004" i="56" s="1"/>
  <c r="F4005" i="56" s="1"/>
  <c r="F4006" i="56" s="1"/>
  <c r="F4007" i="56" s="1"/>
  <c r="F4008" i="56" s="1"/>
  <c r="F4009" i="56" s="1"/>
  <c r="F4010" i="56" s="1"/>
  <c r="F4011" i="56" s="1"/>
  <c r="F4012" i="56" s="1"/>
  <c r="F4013" i="56" s="1"/>
  <c r="F4014" i="56" s="1"/>
  <c r="F4015" i="56" s="1"/>
  <c r="F4016" i="56" s="1"/>
  <c r="F4017" i="56" s="1"/>
  <c r="F4018" i="56" s="1"/>
  <c r="F4019" i="56" s="1"/>
  <c r="F4020" i="56" s="1"/>
  <c r="F4021" i="56" s="1"/>
  <c r="F4022" i="56" s="1"/>
  <c r="F4023" i="56" s="1"/>
  <c r="F4024" i="56" s="1"/>
  <c r="F4025" i="56" s="1"/>
  <c r="F4026" i="56" s="1"/>
  <c r="F4027" i="56" s="1"/>
  <c r="F4028" i="56" s="1"/>
  <c r="F4029" i="56" s="1"/>
  <c r="F4030" i="56" s="1"/>
  <c r="F4031" i="56" s="1"/>
  <c r="F4032" i="56" s="1"/>
  <c r="F4033" i="56" s="1"/>
  <c r="F4034" i="56" s="1"/>
  <c r="F4035" i="56" s="1"/>
  <c r="F4036" i="56" s="1"/>
  <c r="F4037" i="56" s="1"/>
  <c r="F4038" i="56" s="1"/>
  <c r="F4039" i="56" s="1"/>
  <c r="F4040" i="56" s="1"/>
  <c r="D3493" i="56"/>
  <c r="F3467" i="56"/>
  <c r="F3468" i="56" s="1"/>
  <c r="F3469" i="56" s="1"/>
  <c r="F3470" i="56" s="1"/>
  <c r="F3471" i="56" s="1"/>
  <c r="F3472" i="56" s="1"/>
  <c r="F3473" i="56" s="1"/>
  <c r="F3474" i="56" s="1"/>
  <c r="F3475" i="56" s="1"/>
  <c r="F3476" i="56" s="1"/>
  <c r="F3477" i="56" s="1"/>
  <c r="F3478" i="56" s="1"/>
  <c r="F3479" i="56" s="1"/>
  <c r="F3480" i="56" s="1"/>
  <c r="F3481" i="56" s="1"/>
  <c r="F3482" i="56" s="1"/>
  <c r="F3483" i="56" s="1"/>
  <c r="F3484" i="56" s="1"/>
  <c r="F3485" i="56" s="1"/>
  <c r="F3486" i="56" s="1"/>
  <c r="F3487" i="56" s="1"/>
  <c r="F3488" i="56" s="1"/>
  <c r="F3489" i="56" s="1"/>
  <c r="F3490" i="56" s="1"/>
  <c r="F3491" i="56" s="1"/>
  <c r="F3492" i="56" s="1"/>
  <c r="F3392" i="56"/>
  <c r="F3393" i="56" s="1"/>
  <c r="F3394" i="56" s="1"/>
  <c r="F3395" i="56" s="1"/>
  <c r="F3396" i="56" s="1"/>
  <c r="F3397" i="56" s="1"/>
  <c r="F3398" i="56" s="1"/>
  <c r="F3399" i="56" s="1"/>
  <c r="F3400" i="56" s="1"/>
  <c r="F3401" i="56" s="1"/>
  <c r="F3402" i="56" s="1"/>
  <c r="F3403" i="56" s="1"/>
  <c r="F3404" i="56" s="1"/>
  <c r="F3405" i="56" s="1"/>
  <c r="F3406" i="56" s="1"/>
  <c r="F3407" i="56" s="1"/>
  <c r="F3408" i="56" s="1"/>
  <c r="F3409" i="56" s="1"/>
  <c r="F3410" i="56" s="1"/>
  <c r="F3411" i="56" s="1"/>
  <c r="F3412" i="56" s="1"/>
  <c r="F3413" i="56" s="1"/>
  <c r="F3414" i="56" s="1"/>
  <c r="F3415" i="56" s="1"/>
  <c r="F3416" i="56" s="1"/>
  <c r="F3417" i="56" s="1"/>
  <c r="F3418" i="56" s="1"/>
  <c r="F3419" i="56" s="1"/>
  <c r="F3420" i="56" s="1"/>
  <c r="F3421" i="56" s="1"/>
  <c r="F3422" i="56" s="1"/>
  <c r="F3423" i="56" s="1"/>
  <c r="F3424" i="56" s="1"/>
  <c r="F3425" i="56" s="1"/>
  <c r="F3426" i="56" s="1"/>
  <c r="F3427" i="56" s="1"/>
  <c r="F3428" i="56" s="1"/>
  <c r="F3429" i="56" s="1"/>
  <c r="F3430" i="56" s="1"/>
  <c r="F3431" i="56" s="1"/>
  <c r="F3432" i="56" s="1"/>
  <c r="F3433" i="56" s="1"/>
  <c r="F3434" i="56" s="1"/>
  <c r="F3435" i="56" s="1"/>
  <c r="F3436" i="56" s="1"/>
  <c r="F3437" i="56" s="1"/>
  <c r="F3438" i="56" s="1"/>
  <c r="F3439" i="56" s="1"/>
  <c r="F3440" i="56" s="1"/>
  <c r="F3441" i="56" s="1"/>
  <c r="F3442" i="56" s="1"/>
  <c r="F3443" i="56" s="1"/>
  <c r="F3444" i="56" s="1"/>
  <c r="F3445" i="56" s="1"/>
  <c r="F3446" i="56" s="1"/>
  <c r="F3447" i="56" s="1"/>
  <c r="F3448" i="56" s="1"/>
  <c r="F3449" i="56" s="1"/>
  <c r="F3450" i="56" s="1"/>
  <c r="F3451" i="56" s="1"/>
  <c r="F3452" i="56" s="1"/>
  <c r="F3453" i="56" s="1"/>
  <c r="F3454" i="56" s="1"/>
  <c r="F3455" i="56" s="1"/>
  <c r="F3456" i="56" s="1"/>
  <c r="F3457" i="56" s="1"/>
  <c r="F3458" i="56" s="1"/>
  <c r="F3459" i="56" s="1"/>
  <c r="F3460" i="56" s="1"/>
  <c r="F3461" i="56" s="1"/>
  <c r="F3462" i="56" s="1"/>
  <c r="F3463" i="56" s="1"/>
  <c r="F3464" i="56" s="1"/>
  <c r="F3465" i="56" s="1"/>
  <c r="D3389" i="56"/>
  <c r="D3321" i="56"/>
  <c r="F3306" i="56"/>
  <c r="F3307" i="56" s="1"/>
  <c r="F3308" i="56" s="1"/>
  <c r="F3309" i="56" s="1"/>
  <c r="F3310" i="56" s="1"/>
  <c r="F3311" i="56" s="1"/>
  <c r="F3312" i="56" s="1"/>
  <c r="F3313" i="56" s="1"/>
  <c r="F3314" i="56" s="1"/>
  <c r="F3315" i="56" s="1"/>
  <c r="F3316" i="56" s="1"/>
  <c r="F3317" i="56" s="1"/>
  <c r="F3318" i="56" s="1"/>
  <c r="F3319" i="56" s="1"/>
  <c r="F3320" i="56" s="1"/>
  <c r="F3289" i="56"/>
  <c r="F3290" i="56" s="1"/>
  <c r="F3291" i="56" s="1"/>
  <c r="F3292" i="56" s="1"/>
  <c r="F3293" i="56" s="1"/>
  <c r="F3294" i="56" s="1"/>
  <c r="F3295" i="56" s="1"/>
  <c r="F3296" i="56" s="1"/>
  <c r="F3297" i="56" s="1"/>
  <c r="F3298" i="56" s="1"/>
  <c r="F3299" i="56" s="1"/>
  <c r="F3300" i="56" s="1"/>
  <c r="F3301" i="56" s="1"/>
  <c r="F3302" i="56" s="1"/>
  <c r="F3303" i="56" s="1"/>
  <c r="F3304" i="56" s="1"/>
  <c r="F3257" i="56"/>
  <c r="F3258" i="56" s="1"/>
  <c r="F3259" i="56" s="1"/>
  <c r="F3260" i="56" s="1"/>
  <c r="F3261" i="56" s="1"/>
  <c r="F3262" i="56" s="1"/>
  <c r="F3263" i="56" s="1"/>
  <c r="F3264" i="56" s="1"/>
  <c r="F3265" i="56" s="1"/>
  <c r="F3266" i="56" s="1"/>
  <c r="F3267" i="56" s="1"/>
  <c r="F3268" i="56" s="1"/>
  <c r="F3269" i="56" s="1"/>
  <c r="F3270" i="56" s="1"/>
  <c r="F3271" i="56" s="1"/>
  <c r="F3272" i="56" s="1"/>
  <c r="F3273" i="56" s="1"/>
  <c r="F3274" i="56" s="1"/>
  <c r="F3275" i="56" s="1"/>
  <c r="F3276" i="56" s="1"/>
  <c r="F3277" i="56" s="1"/>
  <c r="F3278" i="56" s="1"/>
  <c r="F3279" i="56" s="1"/>
  <c r="F3280" i="56" s="1"/>
  <c r="F3281" i="56" s="1"/>
  <c r="F3282" i="56" s="1"/>
  <c r="F3283" i="56" s="1"/>
  <c r="F3284" i="56" s="1"/>
  <c r="F3285" i="56" s="1"/>
  <c r="F3286" i="56" s="1"/>
  <c r="F3287" i="56" s="1"/>
  <c r="F3288" i="56" s="1"/>
  <c r="D3236" i="56"/>
  <c r="F3214" i="56"/>
  <c r="F3215" i="56" s="1"/>
  <c r="F3216" i="56" s="1"/>
  <c r="F3217" i="56" s="1"/>
  <c r="F3218" i="56" s="1"/>
  <c r="F3219" i="56" s="1"/>
  <c r="F3220" i="56" s="1"/>
  <c r="F3221" i="56" s="1"/>
  <c r="F3222" i="56" s="1"/>
  <c r="F3223" i="56" s="1"/>
  <c r="F3224" i="56" s="1"/>
  <c r="F3225" i="56" s="1"/>
  <c r="F3226" i="56" s="1"/>
  <c r="F3227" i="56" s="1"/>
  <c r="F3228" i="56" s="1"/>
  <c r="F3229" i="56" s="1"/>
  <c r="F3230" i="56" s="1"/>
  <c r="F3231" i="56" s="1"/>
  <c r="F3232" i="56" s="1"/>
  <c r="F3233" i="56" s="1"/>
  <c r="F3234" i="56" s="1"/>
  <c r="F3235" i="56" s="1"/>
  <c r="D3024" i="56"/>
  <c r="F3012" i="56"/>
  <c r="F3013" i="56" s="1"/>
  <c r="F3014" i="56" s="1"/>
  <c r="F3015" i="56" s="1"/>
  <c r="F3016" i="56" s="1"/>
  <c r="F3017" i="56" s="1"/>
  <c r="F3018" i="56" s="1"/>
  <c r="F3019" i="56" s="1"/>
  <c r="F3020" i="56" s="1"/>
  <c r="F3021" i="56" s="1"/>
  <c r="F3022" i="56" s="1"/>
  <c r="F3023" i="56" s="1"/>
  <c r="F3024" i="56" s="1"/>
  <c r="F3025" i="56" s="1"/>
  <c r="F3026" i="56" s="1"/>
  <c r="F3027" i="56" s="1"/>
  <c r="F3028" i="56" s="1"/>
  <c r="F3029" i="56" s="1"/>
  <c r="F3030" i="56" s="1"/>
  <c r="F3031" i="56" s="1"/>
  <c r="F3032" i="56" s="1"/>
  <c r="F3033" i="56" s="1"/>
  <c r="F3034" i="56" s="1"/>
  <c r="F3035" i="56" s="1"/>
  <c r="F3036" i="56" s="1"/>
  <c r="F3037" i="56" s="1"/>
  <c r="F3038" i="56" s="1"/>
  <c r="F3039" i="56" s="1"/>
  <c r="F3040" i="56" s="1"/>
  <c r="F3041" i="56" s="1"/>
  <c r="F3042" i="56" s="1"/>
  <c r="F3043" i="56" s="1"/>
  <c r="F3044" i="56" s="1"/>
  <c r="F3045" i="56" s="1"/>
  <c r="F3046" i="56" s="1"/>
  <c r="F3047" i="56" s="1"/>
  <c r="F3048" i="56" s="1"/>
  <c r="F3049" i="56" s="1"/>
  <c r="F3050" i="56" s="1"/>
  <c r="F3051" i="56" s="1"/>
  <c r="F3052" i="56" s="1"/>
  <c r="F3053" i="56" s="1"/>
  <c r="F3054" i="56" s="1"/>
  <c r="F3055" i="56" s="1"/>
  <c r="F3056" i="56" s="1"/>
  <c r="F3057" i="56" s="1"/>
  <c r="F3058" i="56" s="1"/>
  <c r="F3059" i="56" s="1"/>
  <c r="F3060" i="56" s="1"/>
  <c r="F3061" i="56" s="1"/>
  <c r="F3062" i="56" s="1"/>
  <c r="F3063" i="56" s="1"/>
  <c r="F3064" i="56" s="1"/>
  <c r="F3065" i="56" s="1"/>
  <c r="F3066" i="56" s="1"/>
  <c r="F3067" i="56" s="1"/>
  <c r="F3068" i="56" s="1"/>
  <c r="F3069" i="56" s="1"/>
  <c r="F3070" i="56" s="1"/>
  <c r="F3071" i="56" s="1"/>
  <c r="F3072" i="56" s="1"/>
  <c r="F3073" i="56" s="1"/>
  <c r="F3074" i="56" s="1"/>
  <c r="F3075" i="56" s="1"/>
  <c r="F3076" i="56" s="1"/>
  <c r="F3077" i="56" s="1"/>
  <c r="F3078" i="56" s="1"/>
  <c r="F3079" i="56" s="1"/>
  <c r="F3080" i="56" s="1"/>
  <c r="F3081" i="56" s="1"/>
  <c r="F3082" i="56" s="1"/>
  <c r="F3083" i="56" s="1"/>
  <c r="F3084" i="56" s="1"/>
  <c r="F3085" i="56" s="1"/>
  <c r="F3086" i="56" s="1"/>
  <c r="F3087" i="56" s="1"/>
  <c r="F3088" i="56" s="1"/>
  <c r="F3089" i="56" s="1"/>
  <c r="F3090" i="56" s="1"/>
  <c r="F3091" i="56" s="1"/>
  <c r="F3092" i="56" s="1"/>
  <c r="F3093" i="56" s="1"/>
  <c r="F3094" i="56" s="1"/>
  <c r="F3095" i="56" s="1"/>
  <c r="F3096" i="56" s="1"/>
  <c r="F3097" i="56" s="1"/>
  <c r="F3098" i="56" s="1"/>
  <c r="F3099" i="56" s="1"/>
  <c r="F3100" i="56" s="1"/>
  <c r="F3101" i="56" s="1"/>
  <c r="F3102" i="56" s="1"/>
  <c r="F3103" i="56" s="1"/>
  <c r="F3104" i="56" s="1"/>
  <c r="F3105" i="56" s="1"/>
  <c r="F3106" i="56" s="1"/>
  <c r="F3107" i="56" s="1"/>
  <c r="F3108" i="56" s="1"/>
  <c r="F3109" i="56" s="1"/>
  <c r="F3110" i="56" s="1"/>
  <c r="F3111" i="56" s="1"/>
  <c r="F3112" i="56" s="1"/>
  <c r="F3113" i="56" s="1"/>
  <c r="F3114" i="56" s="1"/>
  <c r="F3115" i="56" s="1"/>
  <c r="F3116" i="56" s="1"/>
  <c r="F3117" i="56" s="1"/>
  <c r="F3118" i="56" s="1"/>
  <c r="F3119" i="56" s="1"/>
  <c r="F3120" i="56" s="1"/>
  <c r="F3121" i="56" s="1"/>
  <c r="F3122" i="56" s="1"/>
  <c r="F3123" i="56" s="1"/>
  <c r="F3124" i="56" s="1"/>
  <c r="F3125" i="56" s="1"/>
  <c r="F3126" i="56" s="1"/>
  <c r="F3127" i="56" s="1"/>
  <c r="F3128" i="56" s="1"/>
  <c r="F3129" i="56" s="1"/>
  <c r="F3130" i="56" s="1"/>
  <c r="F3131" i="56" s="1"/>
  <c r="F3132" i="56" s="1"/>
  <c r="F3133" i="56" s="1"/>
  <c r="F3134" i="56" s="1"/>
  <c r="F3135" i="56" s="1"/>
  <c r="F3136" i="56" s="1"/>
  <c r="F3137" i="56" s="1"/>
  <c r="F3138" i="56" s="1"/>
  <c r="F3139" i="56" s="1"/>
  <c r="F3140" i="56" s="1"/>
  <c r="F3141" i="56" s="1"/>
  <c r="F3142" i="56" s="1"/>
  <c r="F3143" i="56" s="1"/>
  <c r="F3144" i="56" s="1"/>
  <c r="F3145" i="56" s="1"/>
  <c r="F3146" i="56" s="1"/>
  <c r="F3147" i="56" s="1"/>
  <c r="F3148" i="56" s="1"/>
  <c r="F3149" i="56" s="1"/>
  <c r="F3150" i="56" s="1"/>
  <c r="F3151" i="56" s="1"/>
  <c r="F3152" i="56" s="1"/>
  <c r="F3153" i="56" s="1"/>
  <c r="F3154" i="56" s="1"/>
  <c r="F3155" i="56" s="1"/>
  <c r="F3156" i="56" s="1"/>
  <c r="F3157" i="56" s="1"/>
  <c r="F3158" i="56" s="1"/>
  <c r="F3159" i="56" s="1"/>
  <c r="F3160" i="56" s="1"/>
  <c r="F3161" i="56" s="1"/>
  <c r="F3162" i="56" s="1"/>
  <c r="F3163" i="56" s="1"/>
  <c r="F3164" i="56" s="1"/>
  <c r="F3165" i="56" s="1"/>
  <c r="F3166" i="56" s="1"/>
  <c r="F3167" i="56" s="1"/>
  <c r="F3168" i="56" s="1"/>
  <c r="F3169" i="56" s="1"/>
  <c r="F3170" i="56" s="1"/>
  <c r="F3171" i="56" s="1"/>
  <c r="F3172" i="56" s="1"/>
  <c r="F3173" i="56" s="1"/>
  <c r="F3174" i="56" s="1"/>
  <c r="F3175" i="56" s="1"/>
  <c r="F3176" i="56" s="1"/>
  <c r="F3177" i="56" s="1"/>
  <c r="F3178" i="56" s="1"/>
  <c r="F3179" i="56" s="1"/>
  <c r="F3180" i="56" s="1"/>
  <c r="F3181" i="56" s="1"/>
  <c r="F3182" i="56" s="1"/>
  <c r="F3183" i="56" s="1"/>
  <c r="F3184" i="56" s="1"/>
  <c r="F3185" i="56" s="1"/>
  <c r="F3186" i="56" s="1"/>
  <c r="F3187" i="56" s="1"/>
  <c r="F3188" i="56" s="1"/>
  <c r="F3189" i="56" s="1"/>
  <c r="F3190" i="56" s="1"/>
  <c r="F3191" i="56" s="1"/>
  <c r="F3192" i="56" s="1"/>
  <c r="F3193" i="56" s="1"/>
  <c r="F3194" i="56" s="1"/>
  <c r="F3195" i="56" s="1"/>
  <c r="F3196" i="56" s="1"/>
  <c r="F3197" i="56" s="1"/>
  <c r="F3198" i="56" s="1"/>
  <c r="F3199" i="56" s="1"/>
  <c r="F3200" i="56" s="1"/>
  <c r="F3201" i="56" s="1"/>
  <c r="F3202" i="56" s="1"/>
  <c r="F3203" i="56" s="1"/>
  <c r="F3204" i="56" s="1"/>
  <c r="F3205" i="56" s="1"/>
  <c r="F3206" i="56" s="1"/>
  <c r="F3207" i="56" s="1"/>
  <c r="F3208" i="56" s="1"/>
  <c r="F3209" i="56" s="1"/>
  <c r="F3210" i="56" s="1"/>
  <c r="F3211" i="56" s="1"/>
  <c r="F3212" i="56" s="1"/>
  <c r="D2795" i="56"/>
  <c r="F2612" i="56"/>
  <c r="F2613" i="56" s="1"/>
  <c r="F2614" i="56" s="1"/>
  <c r="F2615" i="56" s="1"/>
  <c r="F2616" i="56" s="1"/>
  <c r="F2617" i="56" s="1"/>
  <c r="F2618" i="56" s="1"/>
  <c r="F2619" i="56" s="1"/>
  <c r="F2620" i="56" s="1"/>
  <c r="F2621" i="56" s="1"/>
  <c r="F2622" i="56" s="1"/>
  <c r="F2623" i="56" s="1"/>
  <c r="F2624" i="56" s="1"/>
  <c r="F2625" i="56" s="1"/>
  <c r="F2626" i="56" s="1"/>
  <c r="F2627" i="56" s="1"/>
  <c r="F2628" i="56" s="1"/>
  <c r="F2629" i="56" s="1"/>
  <c r="F2630" i="56" s="1"/>
  <c r="F2631" i="56" s="1"/>
  <c r="F2632" i="56" s="1"/>
  <c r="F2633" i="56" s="1"/>
  <c r="F2634" i="56" s="1"/>
  <c r="F2635" i="56" s="1"/>
  <c r="F2636" i="56" s="1"/>
  <c r="F2637" i="56" s="1"/>
  <c r="F2638" i="56" s="1"/>
  <c r="F2639" i="56" s="1"/>
  <c r="F2640" i="56" s="1"/>
  <c r="F2641" i="56" s="1"/>
  <c r="F2642" i="56" s="1"/>
  <c r="F2643" i="56" s="1"/>
  <c r="F2644" i="56" s="1"/>
  <c r="F2645" i="56" s="1"/>
  <c r="F2646" i="56" s="1"/>
  <c r="F2647" i="56" s="1"/>
  <c r="F2648" i="56" s="1"/>
  <c r="F2649" i="56" s="1"/>
  <c r="F2650" i="56" s="1"/>
  <c r="F2651" i="56" s="1"/>
  <c r="F2652" i="56" s="1"/>
  <c r="F2653" i="56" s="1"/>
  <c r="F2654" i="56" s="1"/>
  <c r="F2655" i="56" s="1"/>
  <c r="F2656" i="56" s="1"/>
  <c r="F2657" i="56" s="1"/>
  <c r="F2658" i="56" s="1"/>
  <c r="F2659" i="56" s="1"/>
  <c r="F2660" i="56" s="1"/>
  <c r="F2661" i="56" s="1"/>
  <c r="F2662" i="56" s="1"/>
  <c r="F2663" i="56" s="1"/>
  <c r="F2664" i="56" s="1"/>
  <c r="F2665" i="56" s="1"/>
  <c r="F2666" i="56" s="1"/>
  <c r="F2667" i="56" s="1"/>
  <c r="F2668" i="56" s="1"/>
  <c r="F2669" i="56" s="1"/>
  <c r="F2670" i="56" s="1"/>
  <c r="F2671" i="56" s="1"/>
  <c r="F2672" i="56" s="1"/>
  <c r="F2673" i="56" s="1"/>
  <c r="F2674" i="56" s="1"/>
  <c r="F2675" i="56" s="1"/>
  <c r="F2676" i="56" s="1"/>
  <c r="F2677" i="56" s="1"/>
  <c r="F2678" i="56" s="1"/>
  <c r="F2679" i="56" s="1"/>
  <c r="F2680" i="56" s="1"/>
  <c r="F2681" i="56" s="1"/>
  <c r="F2682" i="56" s="1"/>
  <c r="F2683" i="56" s="1"/>
  <c r="F2684" i="56" s="1"/>
  <c r="F2685" i="56" s="1"/>
  <c r="F2686" i="56" s="1"/>
  <c r="F2687" i="56" s="1"/>
  <c r="F2688" i="56" s="1"/>
  <c r="F2689" i="56" s="1"/>
  <c r="F2690" i="56" s="1"/>
  <c r="F2691" i="56" s="1"/>
  <c r="F2692" i="56" s="1"/>
  <c r="F2693" i="56" s="1"/>
  <c r="F2694" i="56" s="1"/>
  <c r="F2695" i="56" s="1"/>
  <c r="F2696" i="56" s="1"/>
  <c r="F2697" i="56" s="1"/>
  <c r="F2698" i="56" s="1"/>
  <c r="F2699" i="56" s="1"/>
  <c r="F2700" i="56" s="1"/>
  <c r="F2701" i="56" s="1"/>
  <c r="F2702" i="56" s="1"/>
  <c r="F2703" i="56" s="1"/>
  <c r="F2704" i="56" s="1"/>
  <c r="F2705" i="56" s="1"/>
  <c r="F2706" i="56" s="1"/>
  <c r="F2707" i="56" s="1"/>
  <c r="F2708" i="56" s="1"/>
  <c r="F2709" i="56" s="1"/>
  <c r="F2710" i="56" s="1"/>
  <c r="F2711" i="56" s="1"/>
  <c r="F2712" i="56" s="1"/>
  <c r="F2713" i="56" s="1"/>
  <c r="F2714" i="56" s="1"/>
  <c r="F2715" i="56" s="1"/>
  <c r="F2716" i="56" s="1"/>
  <c r="F2717" i="56" s="1"/>
  <c r="F2718" i="56" s="1"/>
  <c r="F2719" i="56" s="1"/>
  <c r="F2720" i="56" s="1"/>
  <c r="F2721" i="56" s="1"/>
  <c r="F2722" i="56" s="1"/>
  <c r="F2723" i="56" s="1"/>
  <c r="F2724" i="56" s="1"/>
  <c r="F2725" i="56" s="1"/>
  <c r="F2726" i="56" s="1"/>
  <c r="F2727" i="56" s="1"/>
  <c r="F2728" i="56" s="1"/>
  <c r="F2729" i="56" s="1"/>
  <c r="F2730" i="56" s="1"/>
  <c r="F2731" i="56" s="1"/>
  <c r="F2732" i="56" s="1"/>
  <c r="F2733" i="56" s="1"/>
  <c r="F2734" i="56" s="1"/>
  <c r="F2735" i="56" s="1"/>
  <c r="F2736" i="56" s="1"/>
  <c r="F2737" i="56" s="1"/>
  <c r="F2738" i="56" s="1"/>
  <c r="F2739" i="56" s="1"/>
  <c r="F2740" i="56" s="1"/>
  <c r="F2741" i="56" s="1"/>
  <c r="F2742" i="56" s="1"/>
  <c r="F2743" i="56" s="1"/>
  <c r="F2744" i="56" s="1"/>
  <c r="F2745" i="56" s="1"/>
  <c r="F2746" i="56" s="1"/>
  <c r="F2747" i="56" s="1"/>
  <c r="F2748" i="56" s="1"/>
  <c r="F2749" i="56" s="1"/>
  <c r="F2750" i="56" s="1"/>
  <c r="F2751" i="56" s="1"/>
  <c r="F2752" i="56" s="1"/>
  <c r="F2753" i="56" s="1"/>
  <c r="F2754" i="56" s="1"/>
  <c r="F2755" i="56" s="1"/>
  <c r="F2756" i="56" s="1"/>
  <c r="F2757" i="56" s="1"/>
  <c r="F2758" i="56" s="1"/>
  <c r="F2759" i="56" s="1"/>
  <c r="F2760" i="56" s="1"/>
  <c r="F2761" i="56" s="1"/>
  <c r="F2762" i="56" s="1"/>
  <c r="F2763" i="56" s="1"/>
  <c r="F2764" i="56" s="1"/>
  <c r="F2765" i="56" s="1"/>
  <c r="F2766" i="56" s="1"/>
  <c r="F2767" i="56" s="1"/>
  <c r="F2768" i="56" s="1"/>
  <c r="F2769" i="56" s="1"/>
  <c r="F2770" i="56" s="1"/>
  <c r="F2771" i="56" s="1"/>
  <c r="F2772" i="56" s="1"/>
  <c r="F2773" i="56" s="1"/>
  <c r="F2774" i="56" s="1"/>
  <c r="F2775" i="56" s="1"/>
  <c r="F2776" i="56" s="1"/>
  <c r="F2777" i="56" s="1"/>
  <c r="F2778" i="56" s="1"/>
  <c r="F2779" i="56" s="1"/>
  <c r="F2780" i="56" s="1"/>
  <c r="F2781" i="56" s="1"/>
  <c r="F2782" i="56" s="1"/>
  <c r="F2783" i="56" s="1"/>
  <c r="F2784" i="56" s="1"/>
  <c r="F2785" i="56" s="1"/>
  <c r="F2786" i="56" s="1"/>
  <c r="F2787" i="56" s="1"/>
  <c r="F2788" i="56" s="1"/>
  <c r="F2789" i="56" s="1"/>
  <c r="F2790" i="56" s="1"/>
  <c r="F2791" i="56" s="1"/>
  <c r="F2792" i="56" s="1"/>
  <c r="F2793" i="56" s="1"/>
  <c r="F2794" i="56" s="1"/>
  <c r="D2378" i="56"/>
  <c r="D2213" i="56"/>
  <c r="D2190" i="56"/>
  <c r="D2152" i="56"/>
  <c r="D2151" i="56"/>
  <c r="D2001" i="56"/>
  <c r="D1858" i="56"/>
  <c r="D1243" i="56"/>
  <c r="D1199" i="56"/>
  <c r="D1062" i="56"/>
  <c r="D919" i="56"/>
  <c r="D829" i="56"/>
  <c r="D775" i="56"/>
  <c r="D712" i="56"/>
  <c r="D468" i="56"/>
  <c r="D442" i="56"/>
  <c r="D351" i="56"/>
  <c r="D292" i="56"/>
  <c r="D275" i="56"/>
  <c r="D265" i="56"/>
  <c r="D263" i="56"/>
  <c r="D228" i="56"/>
  <c r="D85" i="56"/>
  <c r="D17" i="56"/>
  <c r="I14" i="56"/>
  <c r="F3" i="56"/>
  <c r="F4" i="56" s="1"/>
  <c r="F5" i="56" s="1"/>
  <c r="F6" i="56" s="1"/>
  <c r="F7" i="56" s="1"/>
  <c r="F8" i="56" s="1"/>
  <c r="F9" i="56" s="1"/>
  <c r="F10" i="56" s="1"/>
  <c r="F11" i="56" s="1"/>
  <c r="F12" i="56" s="1"/>
  <c r="F13" i="56" s="1"/>
  <c r="F14" i="56" s="1"/>
  <c r="F15" i="56" s="1"/>
  <c r="F16" i="56" s="1"/>
  <c r="J10876" i="56" l="1"/>
  <c r="F3321" i="56"/>
  <c r="F3322" i="56" s="1"/>
  <c r="F3323" i="56" s="1"/>
  <c r="F3324" i="56" s="1"/>
  <c r="F3325" i="56" s="1"/>
  <c r="F3326" i="56" s="1"/>
  <c r="F3327" i="56" s="1"/>
  <c r="F3328" i="56" s="1"/>
  <c r="F3329" i="56" s="1"/>
  <c r="F3330" i="56" s="1"/>
  <c r="F3331" i="56" s="1"/>
  <c r="F3332" i="56" s="1"/>
  <c r="F3333" i="56" s="1"/>
  <c r="F3334" i="56" s="1"/>
  <c r="F3335" i="56" s="1"/>
  <c r="F3336" i="56" s="1"/>
  <c r="F3337" i="56" s="1"/>
  <c r="F3338" i="56" s="1"/>
  <c r="F3339" i="56" s="1"/>
  <c r="F3340" i="56" s="1"/>
  <c r="F3341" i="56" s="1"/>
  <c r="F3342" i="56" s="1"/>
  <c r="F3343" i="56" s="1"/>
  <c r="F3344" i="56" s="1"/>
  <c r="F3345" i="56" s="1"/>
  <c r="F3346" i="56" s="1"/>
  <c r="F3347" i="56" s="1"/>
  <c r="F3348" i="56" s="1"/>
  <c r="F3349" i="56" s="1"/>
  <c r="F3350" i="56" s="1"/>
  <c r="F3351" i="56" s="1"/>
  <c r="F3352" i="56" s="1"/>
  <c r="F3353" i="56" s="1"/>
  <c r="F3354" i="56" s="1"/>
  <c r="F3355" i="56" s="1"/>
  <c r="F3356" i="56" s="1"/>
  <c r="F3357" i="56" s="1"/>
  <c r="F3358" i="56" s="1"/>
  <c r="F3359" i="56" s="1"/>
  <c r="F3360" i="56" s="1"/>
  <c r="F3361" i="56" s="1"/>
  <c r="F3362" i="56" s="1"/>
  <c r="F3363" i="56" s="1"/>
  <c r="F3364" i="56" s="1"/>
  <c r="F3365" i="56" s="1"/>
  <c r="F3366" i="56" s="1"/>
  <c r="F3367" i="56" s="1"/>
  <c r="F3368" i="56" s="1"/>
  <c r="F3369" i="56" s="1"/>
  <c r="F3370" i="56" s="1"/>
  <c r="F3371" i="56" s="1"/>
  <c r="F3372" i="56" s="1"/>
  <c r="F3373" i="56" s="1"/>
  <c r="F3374" i="56" s="1"/>
  <c r="F3375" i="56" s="1"/>
  <c r="F3376" i="56" s="1"/>
  <c r="F3377" i="56" s="1"/>
  <c r="F3378" i="56" s="1"/>
  <c r="F3379" i="56" s="1"/>
  <c r="F3380" i="56" s="1"/>
  <c r="F3381" i="56" s="1"/>
  <c r="F3382" i="56" s="1"/>
  <c r="F3383" i="56" s="1"/>
  <c r="F3384" i="56" s="1"/>
  <c r="F3385" i="56" s="1"/>
  <c r="F3386" i="56" s="1"/>
  <c r="F3387" i="56" s="1"/>
  <c r="F3388" i="56" s="1"/>
  <c r="F3389" i="56" s="1"/>
  <c r="F3390" i="56" s="1"/>
  <c r="F3493" i="56"/>
  <c r="F3494" i="56" s="1"/>
  <c r="F3495" i="56" s="1"/>
  <c r="F3496" i="56" s="1"/>
  <c r="F3497" i="56" s="1"/>
  <c r="F3498" i="56" s="1"/>
  <c r="F3499" i="56" s="1"/>
  <c r="F3500" i="56" s="1"/>
  <c r="F3501" i="56" s="1"/>
  <c r="F3502" i="56" s="1"/>
  <c r="F3503" i="56" s="1"/>
  <c r="F3504" i="56" s="1"/>
  <c r="F3505" i="56" s="1"/>
  <c r="F3506" i="56" s="1"/>
  <c r="F3507" i="56" s="1"/>
  <c r="F3508" i="56" s="1"/>
  <c r="F3509" i="56" s="1"/>
  <c r="F3510" i="56" s="1"/>
  <c r="F3511" i="56" s="1"/>
  <c r="F3512" i="56" s="1"/>
  <c r="F3513" i="56" s="1"/>
  <c r="F3514" i="56" s="1"/>
  <c r="F3515" i="56" s="1"/>
  <c r="F3516" i="56" s="1"/>
  <c r="F3517" i="56" s="1"/>
  <c r="F3518" i="56" s="1"/>
  <c r="F3519" i="56" s="1"/>
  <c r="F3520" i="56" s="1"/>
  <c r="F3521" i="56" s="1"/>
  <c r="F3522" i="56" s="1"/>
  <c r="F3523" i="56" s="1"/>
  <c r="F3524" i="56" s="1"/>
  <c r="F3525" i="56" s="1"/>
  <c r="F3526" i="56" s="1"/>
  <c r="F3527" i="56" s="1"/>
  <c r="F3528" i="56" s="1"/>
  <c r="F3529" i="56" s="1"/>
  <c r="F3530" i="56" s="1"/>
  <c r="F3531" i="56" s="1"/>
  <c r="F3532" i="56" s="1"/>
  <c r="F3533" i="56" s="1"/>
  <c r="F3534" i="56" s="1"/>
  <c r="F3535" i="56" s="1"/>
  <c r="F3536" i="56" s="1"/>
  <c r="F3537" i="56" s="1"/>
  <c r="F3538" i="56" s="1"/>
  <c r="F3539" i="56" s="1"/>
  <c r="F3540" i="56" s="1"/>
  <c r="F3541" i="56" s="1"/>
  <c r="F3542" i="56" s="1"/>
  <c r="F3543" i="56" s="1"/>
  <c r="F3544" i="56" s="1"/>
  <c r="F3545" i="56" s="1"/>
  <c r="F3546" i="56" s="1"/>
  <c r="F3547" i="56" s="1"/>
  <c r="F3548" i="56" s="1"/>
  <c r="F3549" i="56" s="1"/>
  <c r="F3550" i="56" s="1"/>
  <c r="F3551" i="56" s="1"/>
  <c r="F3552" i="56" s="1"/>
  <c r="F3553" i="56" s="1"/>
  <c r="F3554" i="56" s="1"/>
  <c r="F3555" i="56" s="1"/>
  <c r="F3556" i="56" s="1"/>
  <c r="F3557" i="56" s="1"/>
  <c r="F3558" i="56" s="1"/>
  <c r="F3559" i="56" s="1"/>
  <c r="F3560" i="56" s="1"/>
  <c r="F3561" i="56" s="1"/>
  <c r="F3562" i="56" s="1"/>
  <c r="F3563" i="56" s="1"/>
  <c r="F3564" i="56" s="1"/>
  <c r="F3565" i="56" s="1"/>
  <c r="F3566" i="56" s="1"/>
  <c r="F3567" i="56" s="1"/>
  <c r="F3568" i="56" s="1"/>
  <c r="F3569" i="56" s="1"/>
  <c r="F3570" i="56" s="1"/>
  <c r="F3571" i="56" s="1"/>
  <c r="F3572" i="56" s="1"/>
  <c r="F3573" i="56" s="1"/>
  <c r="F3574" i="56" s="1"/>
  <c r="F3575" i="56" s="1"/>
  <c r="F3576" i="56" s="1"/>
  <c r="F3577" i="56" s="1"/>
  <c r="F3578" i="56" s="1"/>
  <c r="F3579" i="56" s="1"/>
  <c r="F3580" i="56" s="1"/>
  <c r="F3581" i="56" s="1"/>
  <c r="F3582" i="56" s="1"/>
  <c r="F3583" i="56" s="1"/>
  <c r="F3584" i="56" s="1"/>
  <c r="F3585" i="56" s="1"/>
  <c r="F3586" i="56" s="1"/>
  <c r="F3587" i="56" s="1"/>
  <c r="F3588" i="56" s="1"/>
  <c r="F3589" i="56" s="1"/>
  <c r="F3590" i="56" s="1"/>
  <c r="F3591" i="56" s="1"/>
  <c r="F3592" i="56" s="1"/>
  <c r="F3593" i="56" s="1"/>
  <c r="F3594" i="56" s="1"/>
  <c r="F3595" i="56" s="1"/>
  <c r="F3596" i="56" s="1"/>
  <c r="F3597" i="56" s="1"/>
  <c r="F3598" i="56" s="1"/>
  <c r="F3599" i="56" s="1"/>
  <c r="F3600" i="56" s="1"/>
  <c r="F3601" i="56" s="1"/>
  <c r="F3602" i="56" s="1"/>
  <c r="F3603" i="56" s="1"/>
  <c r="F3604" i="56" s="1"/>
  <c r="F3605" i="56" s="1"/>
  <c r="F3606" i="56" s="1"/>
  <c r="F3607" i="56" s="1"/>
  <c r="F3608" i="56" s="1"/>
  <c r="F3609" i="56" s="1"/>
  <c r="F3610" i="56" s="1"/>
  <c r="F3611" i="56" s="1"/>
  <c r="F3612" i="56" s="1"/>
  <c r="F3613" i="56" s="1"/>
  <c r="F3614" i="56" s="1"/>
  <c r="F3615" i="56" s="1"/>
  <c r="F3616" i="56" s="1"/>
  <c r="F3617" i="56" s="1"/>
  <c r="F3618" i="56" s="1"/>
  <c r="F3619" i="56" s="1"/>
  <c r="F3620" i="56" s="1"/>
  <c r="F3621" i="56" s="1"/>
  <c r="F3622" i="56" s="1"/>
  <c r="F3623" i="56" s="1"/>
  <c r="F3624" i="56" s="1"/>
  <c r="F3625" i="56" s="1"/>
  <c r="F3626" i="56" s="1"/>
  <c r="F3627" i="56" s="1"/>
  <c r="F3628" i="56" s="1"/>
  <c r="F3629" i="56" s="1"/>
  <c r="F3630" i="56" s="1"/>
  <c r="F3631" i="56" s="1"/>
  <c r="F3632" i="56" s="1"/>
  <c r="F3633" i="56" s="1"/>
  <c r="F3634" i="56" s="1"/>
  <c r="F3635" i="56" s="1"/>
  <c r="F3636" i="56" s="1"/>
  <c r="F3637" i="56" s="1"/>
  <c r="F3638" i="56" s="1"/>
  <c r="F3639" i="56" s="1"/>
  <c r="F3640" i="56" s="1"/>
  <c r="F3641" i="56" s="1"/>
  <c r="F3642" i="56" s="1"/>
  <c r="F3643" i="56" s="1"/>
  <c r="F3644" i="56" s="1"/>
  <c r="F3645" i="56" s="1"/>
  <c r="F3646" i="56" s="1"/>
  <c r="F3647" i="56" s="1"/>
  <c r="F3648" i="56" s="1"/>
  <c r="F3649" i="56" s="1"/>
  <c r="F3650" i="56" s="1"/>
  <c r="F3651" i="56" s="1"/>
  <c r="F3652" i="56" s="1"/>
  <c r="F3653" i="56" s="1"/>
  <c r="F3654" i="56" s="1"/>
  <c r="F3655" i="56" s="1"/>
  <c r="F3656" i="56" s="1"/>
  <c r="F3657" i="56" s="1"/>
  <c r="F3658" i="56" s="1"/>
  <c r="F3659" i="56" s="1"/>
  <c r="F3660" i="56" s="1"/>
  <c r="F3661" i="56" s="1"/>
  <c r="F3662" i="56" s="1"/>
  <c r="F3663" i="56" s="1"/>
  <c r="F3664" i="56" s="1"/>
  <c r="F3665" i="56" s="1"/>
  <c r="F3666" i="56" s="1"/>
  <c r="F3667" i="56" s="1"/>
  <c r="F3668" i="56" s="1"/>
  <c r="F3669" i="56" s="1"/>
  <c r="F3670" i="56" s="1"/>
  <c r="F3671" i="56" s="1"/>
  <c r="F3672" i="56" s="1"/>
  <c r="F3673" i="56" s="1"/>
  <c r="F3674" i="56" s="1"/>
  <c r="F3675" i="56" s="1"/>
  <c r="F3676" i="56" s="1"/>
  <c r="F3677" i="56" s="1"/>
  <c r="F3678" i="56" s="1"/>
  <c r="F3679" i="56" s="1"/>
  <c r="F3680" i="56" s="1"/>
  <c r="F3681" i="56" s="1"/>
  <c r="F3682" i="56" s="1"/>
  <c r="F3683" i="56" s="1"/>
  <c r="F3684" i="56" s="1"/>
  <c r="F3685" i="56" s="1"/>
  <c r="F3686" i="56" s="1"/>
  <c r="F3687" i="56" s="1"/>
  <c r="F3688" i="56" s="1"/>
  <c r="F3689" i="56" s="1"/>
  <c r="F3690" i="56" s="1"/>
  <c r="F3691" i="56" s="1"/>
  <c r="F3692" i="56" s="1"/>
  <c r="F3693" i="56" s="1"/>
  <c r="F3694" i="56" s="1"/>
  <c r="F3695" i="56" s="1"/>
  <c r="F3696" i="56" s="1"/>
  <c r="F3697" i="56" s="1"/>
  <c r="F3698" i="56" s="1"/>
  <c r="F3699" i="56" s="1"/>
  <c r="F3700" i="56" s="1"/>
  <c r="F3701" i="56" s="1"/>
  <c r="F3702" i="56" s="1"/>
  <c r="F3703" i="56" s="1"/>
  <c r="F3704" i="56" s="1"/>
  <c r="F3705" i="56" s="1"/>
  <c r="F3706" i="56" s="1"/>
  <c r="F3707" i="56" s="1"/>
  <c r="F3708" i="56" s="1"/>
  <c r="F3709" i="56" s="1"/>
  <c r="F3710" i="56" s="1"/>
  <c r="F3711" i="56" s="1"/>
  <c r="F3712" i="56" s="1"/>
  <c r="F3713" i="56" s="1"/>
  <c r="F3714" i="56" s="1"/>
  <c r="F3715" i="56" s="1"/>
  <c r="F3716" i="56" s="1"/>
  <c r="F3717" i="56" s="1"/>
  <c r="F3718" i="56" s="1"/>
  <c r="F3719" i="56" s="1"/>
  <c r="F3720" i="56" s="1"/>
  <c r="F3721" i="56" s="1"/>
  <c r="F3722" i="56" s="1"/>
  <c r="F3723" i="56" s="1"/>
  <c r="F3724" i="56" s="1"/>
  <c r="F3725" i="56" s="1"/>
  <c r="F3726" i="56" s="1"/>
  <c r="F3727" i="56" s="1"/>
  <c r="F3728" i="56" s="1"/>
  <c r="F3729" i="56" s="1"/>
  <c r="F3730" i="56" s="1"/>
  <c r="F3731" i="56" s="1"/>
  <c r="F3732" i="56" s="1"/>
  <c r="F3733" i="56" s="1"/>
  <c r="F3734" i="56" s="1"/>
  <c r="F3735" i="56" s="1"/>
  <c r="F3736" i="56" s="1"/>
  <c r="F3737" i="56" s="1"/>
  <c r="F3738" i="56" s="1"/>
  <c r="F3739" i="56" s="1"/>
  <c r="F3740" i="56" s="1"/>
  <c r="F3741" i="56" s="1"/>
  <c r="F3742" i="56" s="1"/>
  <c r="F3743" i="56" s="1"/>
  <c r="F3744" i="56" s="1"/>
  <c r="F3745" i="56" s="1"/>
  <c r="F3746" i="56" s="1"/>
  <c r="F3747" i="56" s="1"/>
  <c r="F3748" i="56" s="1"/>
  <c r="F3749" i="56" s="1"/>
  <c r="F3750" i="56" s="1"/>
  <c r="F3751" i="56" s="1"/>
  <c r="F3752" i="56" s="1"/>
  <c r="F3753" i="56" s="1"/>
  <c r="F3754" i="56" s="1"/>
  <c r="F3755" i="56" s="1"/>
  <c r="F3756" i="56" s="1"/>
  <c r="F3757" i="56" s="1"/>
  <c r="F3758" i="56" s="1"/>
  <c r="F3759" i="56" s="1"/>
  <c r="F3760" i="56" s="1"/>
  <c r="F3761" i="56" s="1"/>
  <c r="F3762" i="56" s="1"/>
  <c r="F3763" i="56" s="1"/>
  <c r="F3764" i="56" s="1"/>
  <c r="F3765" i="56" s="1"/>
  <c r="F3766" i="56" s="1"/>
  <c r="F3767" i="56" s="1"/>
  <c r="F3768" i="56" s="1"/>
  <c r="F3769" i="56" s="1"/>
  <c r="F3770" i="56" s="1"/>
  <c r="F3771" i="56" s="1"/>
  <c r="F3772" i="56" s="1"/>
  <c r="F3773" i="56" s="1"/>
  <c r="F3774" i="56" s="1"/>
  <c r="F3775" i="56" s="1"/>
  <c r="F3776" i="56" s="1"/>
  <c r="F3777" i="56" s="1"/>
  <c r="F3778" i="56" s="1"/>
  <c r="F3779" i="56" s="1"/>
  <c r="F3780" i="56" s="1"/>
  <c r="F3781" i="56" s="1"/>
  <c r="F3782" i="56" s="1"/>
  <c r="F3783" i="56" s="1"/>
  <c r="F3784" i="56" s="1"/>
  <c r="F3785" i="56" s="1"/>
  <c r="F3786" i="56" s="1"/>
  <c r="F3787" i="56" s="1"/>
  <c r="F3788" i="56" s="1"/>
  <c r="F3789" i="56" s="1"/>
  <c r="F3790" i="56" s="1"/>
  <c r="F3791" i="56" s="1"/>
  <c r="F3792" i="56" s="1"/>
  <c r="F3793" i="56" s="1"/>
  <c r="F3794" i="56" s="1"/>
  <c r="F3795" i="56" s="1"/>
  <c r="F3796" i="56" s="1"/>
  <c r="F3797" i="56" s="1"/>
  <c r="F3798" i="56" s="1"/>
  <c r="F3799" i="56" s="1"/>
  <c r="F3800" i="56" s="1"/>
  <c r="F3801" i="56" s="1"/>
  <c r="F3802" i="56" s="1"/>
  <c r="F3803" i="56" s="1"/>
  <c r="F3804" i="56" s="1"/>
  <c r="F3805" i="56" s="1"/>
  <c r="F3806" i="56" s="1"/>
  <c r="F3807" i="56" s="1"/>
  <c r="F3808" i="56" s="1"/>
  <c r="F3809" i="56" s="1"/>
  <c r="F3810" i="56" s="1"/>
  <c r="F3811" i="56" s="1"/>
  <c r="F3812" i="56" s="1"/>
  <c r="F3813" i="56" s="1"/>
  <c r="F3814" i="56" s="1"/>
  <c r="F3815" i="56" s="1"/>
  <c r="F3816" i="56" s="1"/>
  <c r="F3817" i="56" s="1"/>
  <c r="F3818" i="56" s="1"/>
  <c r="F3819" i="56" s="1"/>
  <c r="F3820" i="56" s="1"/>
  <c r="F3821" i="56" s="1"/>
  <c r="F3822" i="56" s="1"/>
  <c r="F3823" i="56" s="1"/>
  <c r="F3824" i="56" s="1"/>
  <c r="F3825" i="56" s="1"/>
  <c r="F3826" i="56" s="1"/>
  <c r="F3827" i="56" s="1"/>
  <c r="F3828" i="56" s="1"/>
  <c r="F3829" i="56" s="1"/>
  <c r="F3830" i="56" s="1"/>
  <c r="F3831" i="56" s="1"/>
  <c r="F3832" i="56" s="1"/>
  <c r="F3833" i="56" s="1"/>
  <c r="F3834" i="56" s="1"/>
  <c r="F3835" i="56" s="1"/>
  <c r="F3836" i="56" s="1"/>
  <c r="F3837" i="56" s="1"/>
  <c r="F3838" i="56" s="1"/>
  <c r="F3839" i="56" s="1"/>
  <c r="F3840" i="56" s="1"/>
  <c r="F3841" i="56" s="1"/>
  <c r="F3842" i="56" s="1"/>
  <c r="F3843" i="56" s="1"/>
  <c r="F3844" i="56" s="1"/>
  <c r="F3845" i="56" s="1"/>
  <c r="F3846" i="56" s="1"/>
  <c r="F3847" i="56" s="1"/>
  <c r="F3848" i="56" s="1"/>
  <c r="F3849" i="56" s="1"/>
  <c r="F3850" i="56" s="1"/>
  <c r="F3851" i="56" s="1"/>
  <c r="F3852" i="56" s="1"/>
  <c r="F3853" i="56" s="1"/>
  <c r="F3854" i="56" s="1"/>
  <c r="F3855" i="56" s="1"/>
  <c r="F3856" i="56" s="1"/>
  <c r="F3857" i="56" s="1"/>
  <c r="F3858" i="56" s="1"/>
  <c r="F3859" i="56" s="1"/>
  <c r="F3860" i="56" s="1"/>
  <c r="F3861" i="56" s="1"/>
  <c r="F3862" i="56" s="1"/>
  <c r="F3863" i="56" s="1"/>
  <c r="F3864" i="56" s="1"/>
  <c r="F3865" i="56" s="1"/>
  <c r="F3866" i="56" s="1"/>
  <c r="F3867" i="56" s="1"/>
  <c r="F3868" i="56" s="1"/>
  <c r="F3869" i="56" s="1"/>
  <c r="F3870" i="56" s="1"/>
  <c r="F3871" i="56" s="1"/>
  <c r="F3872" i="56" s="1"/>
  <c r="F3873" i="56" s="1"/>
  <c r="F3874" i="56" s="1"/>
  <c r="F3875" i="56" s="1"/>
  <c r="F3876" i="56" s="1"/>
  <c r="F3877" i="56" s="1"/>
  <c r="F3878" i="56" s="1"/>
  <c r="F3879" i="56" s="1"/>
  <c r="F3880" i="56" s="1"/>
  <c r="F3881" i="56" s="1"/>
  <c r="F3882" i="56" s="1"/>
  <c r="F3883" i="56" s="1"/>
  <c r="F3884" i="56" s="1"/>
  <c r="F3885" i="56" s="1"/>
  <c r="F3886" i="56" s="1"/>
  <c r="F3887" i="56" s="1"/>
  <c r="F3888" i="56" s="1"/>
  <c r="F4167" i="56"/>
  <c r="F4168" i="56" s="1"/>
  <c r="F4169" i="56" s="1"/>
  <c r="F4170" i="56" s="1"/>
  <c r="F4171" i="56" s="1"/>
  <c r="F4172" i="56" s="1"/>
  <c r="F4173" i="56" s="1"/>
  <c r="F4174" i="56" s="1"/>
  <c r="F4175" i="56" s="1"/>
  <c r="F4176" i="56" s="1"/>
  <c r="F4177" i="56" s="1"/>
  <c r="F4178" i="56" s="1"/>
  <c r="F4179" i="56" s="1"/>
  <c r="F4180" i="56" s="1"/>
  <c r="F4181" i="56" s="1"/>
  <c r="F4182" i="56" s="1"/>
  <c r="F4183" i="56" s="1"/>
  <c r="F4184" i="56" s="1"/>
  <c r="F4185" i="56" s="1"/>
  <c r="F4186" i="56" s="1"/>
  <c r="F4187" i="56" s="1"/>
  <c r="F4188" i="56" s="1"/>
  <c r="F4189" i="56" s="1"/>
  <c r="F4190" i="56" s="1"/>
  <c r="F4191" i="56" s="1"/>
  <c r="F4192" i="56" s="1"/>
  <c r="F4193" i="56" s="1"/>
  <c r="F4194" i="56" s="1"/>
  <c r="F4195" i="56" s="1"/>
  <c r="F4196" i="56" s="1"/>
  <c r="F4197" i="56" s="1"/>
  <c r="F4198" i="56" s="1"/>
  <c r="F4199" i="56" s="1"/>
  <c r="F4200" i="56" s="1"/>
  <c r="F4201" i="56" s="1"/>
  <c r="F4202" i="56" s="1"/>
  <c r="F4203" i="56" s="1"/>
  <c r="F4204" i="56" s="1"/>
  <c r="F4205" i="56" s="1"/>
  <c r="F4206" i="56" s="1"/>
  <c r="F4207" i="56" s="1"/>
  <c r="F4208" i="56" s="1"/>
  <c r="F4209" i="56" s="1"/>
  <c r="F4210" i="56" s="1"/>
  <c r="F4211" i="56" s="1"/>
  <c r="F4212" i="56" s="1"/>
  <c r="F4213" i="56" s="1"/>
  <c r="F4214" i="56" s="1"/>
  <c r="F4215" i="56" s="1"/>
  <c r="F4216" i="56" s="1"/>
  <c r="F4217" i="56" s="1"/>
  <c r="F4218" i="56" s="1"/>
  <c r="F4219" i="56" s="1"/>
  <c r="F4220" i="56" s="1"/>
  <c r="F4221" i="56" s="1"/>
  <c r="F4222" i="56" s="1"/>
  <c r="F4223" i="56" s="1"/>
  <c r="F4224" i="56" s="1"/>
  <c r="F4225" i="56" s="1"/>
  <c r="F4226" i="56" s="1"/>
  <c r="F4227" i="56" s="1"/>
  <c r="F4228" i="56" s="1"/>
  <c r="F4229" i="56" s="1"/>
  <c r="F4230" i="56" s="1"/>
  <c r="F4231" i="56" s="1"/>
  <c r="F4232" i="56" s="1"/>
  <c r="F4233" i="56" s="1"/>
  <c r="F4234" i="56" s="1"/>
  <c r="F4235" i="56" s="1"/>
  <c r="F4236" i="56" s="1"/>
  <c r="F4237" i="56" s="1"/>
  <c r="F4238" i="56" s="1"/>
  <c r="F4239" i="56" s="1"/>
  <c r="F4240" i="56" s="1"/>
  <c r="F4241" i="56" s="1"/>
  <c r="F4242" i="56" s="1"/>
  <c r="F4243" i="56" s="1"/>
  <c r="F4244" i="56" s="1"/>
  <c r="F4245" i="56" s="1"/>
  <c r="F4246" i="56" s="1"/>
  <c r="F4247" i="56" s="1"/>
  <c r="F4248" i="56" s="1"/>
  <c r="F4249" i="56" s="1"/>
  <c r="F4250" i="56" s="1"/>
  <c r="F4251" i="56" s="1"/>
  <c r="F4252" i="56" s="1"/>
  <c r="F4253" i="56" s="1"/>
  <c r="F4254" i="56" s="1"/>
  <c r="F4255" i="56" s="1"/>
  <c r="F4256" i="56" s="1"/>
  <c r="F4257" i="56" s="1"/>
  <c r="F4258" i="56" s="1"/>
  <c r="F4259" i="56" s="1"/>
  <c r="F4260" i="56" s="1"/>
  <c r="F4261" i="56" s="1"/>
  <c r="F4262" i="56" s="1"/>
  <c r="F4263" i="56" s="1"/>
  <c r="F4264" i="56" s="1"/>
  <c r="F4265" i="56" s="1"/>
  <c r="F4266" i="56" s="1"/>
  <c r="F4267" i="56" s="1"/>
  <c r="F4268" i="56" s="1"/>
  <c r="F4269" i="56" s="1"/>
  <c r="F4270" i="56" s="1"/>
  <c r="F4271" i="56" s="1"/>
  <c r="F4272" i="56" s="1"/>
  <c r="F4273" i="56" s="1"/>
  <c r="F4274" i="56" s="1"/>
  <c r="F4275" i="56" s="1"/>
  <c r="F4276" i="56" s="1"/>
  <c r="F4277" i="56" s="1"/>
  <c r="F4278" i="56" s="1"/>
  <c r="F4279" i="56" s="1"/>
  <c r="F4280" i="56" s="1"/>
  <c r="F4281" i="56" s="1"/>
  <c r="F4282" i="56" s="1"/>
  <c r="F4283" i="56" s="1"/>
  <c r="F4284" i="56" s="1"/>
  <c r="F4285" i="56" s="1"/>
  <c r="F4286" i="56" s="1"/>
  <c r="F4287" i="56" s="1"/>
  <c r="F4288" i="56" s="1"/>
  <c r="F4289" i="56" s="1"/>
  <c r="F4290" i="56" s="1"/>
  <c r="F4291" i="56" s="1"/>
  <c r="F4292" i="56" s="1"/>
  <c r="F4293" i="56" s="1"/>
  <c r="F4294" i="56" s="1"/>
  <c r="F4295" i="56" s="1"/>
  <c r="F4296" i="56" s="1"/>
  <c r="F4297" i="56" s="1"/>
  <c r="F4298" i="56" s="1"/>
  <c r="F4299" i="56" s="1"/>
  <c r="F4300" i="56" s="1"/>
  <c r="F4301" i="56" s="1"/>
  <c r="F4302" i="56" s="1"/>
  <c r="F4303" i="56" s="1"/>
  <c r="F4304" i="56" s="1"/>
  <c r="F4305" i="56" s="1"/>
  <c r="F4306" i="56" s="1"/>
  <c r="F4307" i="56" s="1"/>
  <c r="F4308" i="56" s="1"/>
  <c r="F4309" i="56" s="1"/>
  <c r="F4310" i="56" s="1"/>
  <c r="F4311" i="56" s="1"/>
  <c r="F4312" i="56" s="1"/>
  <c r="F4313" i="56" s="1"/>
  <c r="F4314" i="56" s="1"/>
  <c r="F4315" i="56" s="1"/>
  <c r="F4316" i="56" s="1"/>
  <c r="F4317" i="56" s="1"/>
  <c r="F4318" i="56" s="1"/>
  <c r="F4319" i="56" s="1"/>
  <c r="F4320" i="56" s="1"/>
  <c r="F4321" i="56" s="1"/>
  <c r="F4322" i="56" s="1"/>
  <c r="F4323" i="56" s="1"/>
  <c r="F4324" i="56" s="1"/>
  <c r="F4325" i="56" s="1"/>
  <c r="F4326" i="56" s="1"/>
  <c r="F4327" i="56" s="1"/>
  <c r="F4328" i="56" s="1"/>
  <c r="F4329" i="56" s="1"/>
  <c r="F4330" i="56" s="1"/>
  <c r="F4331" i="56" s="1"/>
  <c r="F4332" i="56" s="1"/>
  <c r="F4333" i="56" s="1"/>
  <c r="F4334" i="56" s="1"/>
  <c r="F4335" i="56" s="1"/>
  <c r="F4336" i="56" s="1"/>
  <c r="F4337" i="56" s="1"/>
  <c r="F4338" i="56" s="1"/>
  <c r="F4339" i="56" s="1"/>
  <c r="F4340" i="56" s="1"/>
  <c r="F4341" i="56" s="1"/>
  <c r="F4342" i="56" s="1"/>
  <c r="F4343" i="56" s="1"/>
  <c r="F4344" i="56" s="1"/>
  <c r="F4345" i="56" s="1"/>
  <c r="F4346" i="56" s="1"/>
  <c r="F4347" i="56" s="1"/>
  <c r="F4348" i="56" s="1"/>
  <c r="F4349" i="56" s="1"/>
  <c r="F4350" i="56" s="1"/>
  <c r="F4351" i="56" s="1"/>
  <c r="F4352" i="56" s="1"/>
  <c r="F4353" i="56" s="1"/>
  <c r="F4354" i="56" s="1"/>
  <c r="F4355" i="56" s="1"/>
  <c r="F4356" i="56" s="1"/>
  <c r="F4357" i="56" s="1"/>
  <c r="F4358" i="56" s="1"/>
  <c r="F4359" i="56" s="1"/>
  <c r="F4360" i="56" s="1"/>
  <c r="F4361" i="56" s="1"/>
  <c r="F4362" i="56" s="1"/>
  <c r="F4363" i="56" s="1"/>
  <c r="F4364" i="56" s="1"/>
  <c r="F4365" i="56" s="1"/>
  <c r="F4366" i="56" s="1"/>
  <c r="F4367" i="56" s="1"/>
  <c r="F4368" i="56" s="1"/>
  <c r="F4369" i="56" s="1"/>
  <c r="F4370" i="56" s="1"/>
  <c r="F4371" i="56" s="1"/>
  <c r="F4372" i="56" s="1"/>
  <c r="F4373" i="56" s="1"/>
  <c r="F4374" i="56" s="1"/>
  <c r="F4375" i="56" s="1"/>
  <c r="F4376" i="56" s="1"/>
  <c r="F4377" i="56" s="1"/>
  <c r="F4378" i="56" s="1"/>
  <c r="F4379" i="56" s="1"/>
  <c r="F4380" i="56" s="1"/>
  <c r="F4381" i="56" s="1"/>
  <c r="F4382" i="56" s="1"/>
  <c r="F4383" i="56" s="1"/>
  <c r="F4384" i="56" s="1"/>
  <c r="F4385" i="56" s="1"/>
  <c r="F4386" i="56" s="1"/>
  <c r="F4387" i="56" s="1"/>
  <c r="F4388" i="56" s="1"/>
  <c r="F4389" i="56" s="1"/>
  <c r="F4390" i="56" s="1"/>
  <c r="F4391" i="56" s="1"/>
  <c r="F4392" i="56" s="1"/>
  <c r="F4393" i="56" s="1"/>
  <c r="F4394" i="56" s="1"/>
  <c r="F4395" i="56" s="1"/>
  <c r="F17" i="56"/>
  <c r="F18" i="56" s="1"/>
  <c r="F19" i="56" s="1"/>
  <c r="F20" i="56" s="1"/>
  <c r="F21" i="56" s="1"/>
  <c r="F22" i="56" s="1"/>
  <c r="F23" i="56" s="1"/>
  <c r="F24" i="56" s="1"/>
  <c r="F25" i="56" s="1"/>
  <c r="F26" i="56" s="1"/>
  <c r="F27" i="56" s="1"/>
  <c r="F28" i="56" s="1"/>
  <c r="F29" i="56" s="1"/>
  <c r="F30" i="56" s="1"/>
  <c r="F31" i="56" s="1"/>
  <c r="F32" i="56" s="1"/>
  <c r="F33" i="56" s="1"/>
  <c r="F34" i="56" s="1"/>
  <c r="F35" i="56" s="1"/>
  <c r="F36" i="56" s="1"/>
  <c r="F37" i="56" s="1"/>
  <c r="F38" i="56" s="1"/>
  <c r="F39" i="56" s="1"/>
  <c r="F40" i="56" s="1"/>
  <c r="F41" i="56" s="1"/>
  <c r="F42" i="56" s="1"/>
  <c r="F43" i="56" s="1"/>
  <c r="F44" i="56" s="1"/>
  <c r="F45" i="56" s="1"/>
  <c r="F46" i="56" s="1"/>
  <c r="F47" i="56" s="1"/>
  <c r="F48" i="56" s="1"/>
  <c r="F49" i="56" s="1"/>
  <c r="F50" i="56" s="1"/>
  <c r="F51" i="56" s="1"/>
  <c r="F52" i="56" s="1"/>
  <c r="F53" i="56" s="1"/>
  <c r="F54" i="56" s="1"/>
  <c r="F55" i="56" s="1"/>
  <c r="F56" i="56" s="1"/>
  <c r="F57" i="56" s="1"/>
  <c r="F58" i="56" s="1"/>
  <c r="F59" i="56" s="1"/>
  <c r="F60" i="56" s="1"/>
  <c r="F61" i="56" s="1"/>
  <c r="F62" i="56" s="1"/>
  <c r="F63" i="56" s="1"/>
  <c r="F64" i="56" s="1"/>
  <c r="F65" i="56" s="1"/>
  <c r="F66" i="56" s="1"/>
  <c r="F67" i="56" s="1"/>
  <c r="F68" i="56" s="1"/>
  <c r="F69" i="56" s="1"/>
  <c r="F70" i="56" s="1"/>
  <c r="F71" i="56" s="1"/>
  <c r="F72" i="56" s="1"/>
  <c r="F73" i="56" s="1"/>
  <c r="F74" i="56" s="1"/>
  <c r="F75" i="56" s="1"/>
  <c r="F76" i="56" s="1"/>
  <c r="F77" i="56" s="1"/>
  <c r="F78" i="56" s="1"/>
  <c r="F79" i="56" s="1"/>
  <c r="F80" i="56" s="1"/>
  <c r="F81" i="56" s="1"/>
  <c r="F82" i="56" s="1"/>
  <c r="F83" i="56" s="1"/>
  <c r="F84" i="56" s="1"/>
  <c r="F85" i="56" s="1"/>
  <c r="F86" i="56" s="1"/>
  <c r="F87" i="56" s="1"/>
  <c r="F88" i="56" s="1"/>
  <c r="F89" i="56" s="1"/>
  <c r="F90" i="56" s="1"/>
  <c r="F91" i="56" s="1"/>
  <c r="F92" i="56" s="1"/>
  <c r="F93" i="56" s="1"/>
  <c r="F94" i="56" s="1"/>
  <c r="F95" i="56" s="1"/>
  <c r="F96" i="56" s="1"/>
  <c r="F97" i="56" s="1"/>
  <c r="F98" i="56" s="1"/>
  <c r="F99" i="56" s="1"/>
  <c r="F100" i="56" s="1"/>
  <c r="F101" i="56" s="1"/>
  <c r="F102" i="56" s="1"/>
  <c r="F103" i="56" s="1"/>
  <c r="F104" i="56" s="1"/>
  <c r="F105" i="56" s="1"/>
  <c r="F106" i="56" s="1"/>
  <c r="F107" i="56" s="1"/>
  <c r="F108" i="56" s="1"/>
  <c r="F109" i="56" s="1"/>
  <c r="F110" i="56" s="1"/>
  <c r="F111" i="56" s="1"/>
  <c r="F112" i="56" s="1"/>
  <c r="F113" i="56" s="1"/>
  <c r="F114" i="56" s="1"/>
  <c r="F115" i="56" s="1"/>
  <c r="F116" i="56" s="1"/>
  <c r="F117" i="56" s="1"/>
  <c r="F118" i="56" s="1"/>
  <c r="F119" i="56" s="1"/>
  <c r="F120" i="56" s="1"/>
  <c r="F121" i="56" s="1"/>
  <c r="F122" i="56" s="1"/>
  <c r="F123" i="56" s="1"/>
  <c r="F124" i="56" s="1"/>
  <c r="F125" i="56" s="1"/>
  <c r="F126" i="56" s="1"/>
  <c r="F127" i="56" s="1"/>
  <c r="F128" i="56" s="1"/>
  <c r="F129" i="56" s="1"/>
  <c r="F130" i="56" s="1"/>
  <c r="F131" i="56" s="1"/>
  <c r="F132" i="56" s="1"/>
  <c r="F133" i="56" s="1"/>
  <c r="F134" i="56" s="1"/>
  <c r="F135" i="56" s="1"/>
  <c r="F136" i="56" s="1"/>
  <c r="F137" i="56" s="1"/>
  <c r="F138" i="56" s="1"/>
  <c r="F139" i="56" s="1"/>
  <c r="F140" i="56" s="1"/>
  <c r="F141" i="56" s="1"/>
  <c r="F142" i="56" s="1"/>
  <c r="F143" i="56" s="1"/>
  <c r="F144" i="56" s="1"/>
  <c r="F145" i="56" s="1"/>
  <c r="F146" i="56" s="1"/>
  <c r="F147" i="56" s="1"/>
  <c r="F148" i="56" s="1"/>
  <c r="F149" i="56" s="1"/>
  <c r="F150" i="56" s="1"/>
  <c r="F151" i="56" s="1"/>
  <c r="F152" i="56" s="1"/>
  <c r="F153" i="56" s="1"/>
  <c r="F154" i="56" s="1"/>
  <c r="F155" i="56" s="1"/>
  <c r="F156" i="56" s="1"/>
  <c r="F157" i="56" s="1"/>
  <c r="F158" i="56" s="1"/>
  <c r="F159" i="56" s="1"/>
  <c r="F160" i="56" s="1"/>
  <c r="F161" i="56" s="1"/>
  <c r="F162" i="56" s="1"/>
  <c r="F163" i="56" s="1"/>
  <c r="F164" i="56" s="1"/>
  <c r="F165" i="56" s="1"/>
  <c r="F166" i="56" s="1"/>
  <c r="F167" i="56" s="1"/>
  <c r="F168" i="56" s="1"/>
  <c r="F169" i="56" s="1"/>
  <c r="F170" i="56" s="1"/>
  <c r="F171" i="56" s="1"/>
  <c r="F172" i="56" s="1"/>
  <c r="F173" i="56" s="1"/>
  <c r="F174" i="56" s="1"/>
  <c r="F175" i="56" s="1"/>
  <c r="F176" i="56" s="1"/>
  <c r="F177" i="56" s="1"/>
  <c r="F178" i="56" s="1"/>
  <c r="F179" i="56" s="1"/>
  <c r="F180" i="56" s="1"/>
  <c r="F181" i="56" s="1"/>
  <c r="F182" i="56" s="1"/>
  <c r="F183" i="56" s="1"/>
  <c r="F184" i="56" s="1"/>
  <c r="F185" i="56" s="1"/>
  <c r="F186" i="56" s="1"/>
  <c r="F187" i="56" s="1"/>
  <c r="F188" i="56" s="1"/>
  <c r="F189" i="56" s="1"/>
  <c r="F190" i="56" s="1"/>
  <c r="F191" i="56" s="1"/>
  <c r="F192" i="56" s="1"/>
  <c r="F193" i="56" s="1"/>
  <c r="F194" i="56" s="1"/>
  <c r="F195" i="56" s="1"/>
  <c r="F196" i="56" s="1"/>
  <c r="F197" i="56" s="1"/>
  <c r="F198" i="56" s="1"/>
  <c r="F199" i="56" s="1"/>
  <c r="F200" i="56" s="1"/>
  <c r="F201" i="56" s="1"/>
  <c r="F202" i="56" s="1"/>
  <c r="F203" i="56" s="1"/>
  <c r="F204" i="56" s="1"/>
  <c r="F205" i="56" s="1"/>
  <c r="F206" i="56" s="1"/>
  <c r="F207" i="56" s="1"/>
  <c r="F208" i="56" s="1"/>
  <c r="F209" i="56" s="1"/>
  <c r="F210" i="56" s="1"/>
  <c r="F211" i="56" s="1"/>
  <c r="F212" i="56" s="1"/>
  <c r="F213" i="56" s="1"/>
  <c r="F214" i="56" s="1"/>
  <c r="F215" i="56" s="1"/>
  <c r="F216" i="56" s="1"/>
  <c r="F217" i="56" s="1"/>
  <c r="F218" i="56" s="1"/>
  <c r="F219" i="56" s="1"/>
  <c r="F220" i="56" s="1"/>
  <c r="F221" i="56" s="1"/>
  <c r="F222" i="56" s="1"/>
  <c r="F223" i="56" s="1"/>
  <c r="F224" i="56" s="1"/>
  <c r="F225" i="56" s="1"/>
  <c r="F226" i="56" s="1"/>
  <c r="F227" i="56" s="1"/>
  <c r="F228" i="56" s="1"/>
  <c r="F229" i="56" s="1"/>
  <c r="F230" i="56" s="1"/>
  <c r="F231" i="56" s="1"/>
  <c r="F232" i="56" s="1"/>
  <c r="F233" i="56" s="1"/>
  <c r="F234" i="56" s="1"/>
  <c r="F235" i="56" s="1"/>
  <c r="F236" i="56" s="1"/>
  <c r="F237" i="56" s="1"/>
  <c r="F238" i="56" s="1"/>
  <c r="F239" i="56" s="1"/>
  <c r="F240" i="56" s="1"/>
  <c r="F241" i="56" s="1"/>
  <c r="F242" i="56" s="1"/>
  <c r="F243" i="56" s="1"/>
  <c r="F244" i="56" s="1"/>
  <c r="F245" i="56" s="1"/>
  <c r="F246" i="56" s="1"/>
  <c r="F247" i="56" s="1"/>
  <c r="F248" i="56" s="1"/>
  <c r="F249" i="56" s="1"/>
  <c r="F250" i="56" s="1"/>
  <c r="F251" i="56" s="1"/>
  <c r="F252" i="56" s="1"/>
  <c r="F253" i="56" s="1"/>
  <c r="F254" i="56" s="1"/>
  <c r="F255" i="56" s="1"/>
  <c r="F256" i="56" s="1"/>
  <c r="F257" i="56" s="1"/>
  <c r="F258" i="56" s="1"/>
  <c r="F259" i="56" s="1"/>
  <c r="F260" i="56" s="1"/>
  <c r="F261" i="56" s="1"/>
  <c r="F262" i="56" s="1"/>
  <c r="F263" i="56" s="1"/>
  <c r="F264" i="56" s="1"/>
  <c r="F265" i="56" s="1"/>
  <c r="F266" i="56" s="1"/>
  <c r="F267" i="56" s="1"/>
  <c r="F268" i="56" s="1"/>
  <c r="F269" i="56" s="1"/>
  <c r="F270" i="56" s="1"/>
  <c r="F271" i="56" s="1"/>
  <c r="F272" i="56" s="1"/>
  <c r="F273" i="56" s="1"/>
  <c r="F274" i="56" s="1"/>
  <c r="F275" i="56" s="1"/>
  <c r="F276" i="56" s="1"/>
  <c r="F277" i="56" s="1"/>
  <c r="F278" i="56" s="1"/>
  <c r="F279" i="56" s="1"/>
  <c r="F280" i="56" s="1"/>
  <c r="F281" i="56" s="1"/>
  <c r="F282" i="56" s="1"/>
  <c r="F283" i="56" s="1"/>
  <c r="F284" i="56" s="1"/>
  <c r="F285" i="56" s="1"/>
  <c r="F286" i="56" s="1"/>
  <c r="F287" i="56" s="1"/>
  <c r="F288" i="56" s="1"/>
  <c r="F289" i="56" s="1"/>
  <c r="F290" i="56" s="1"/>
  <c r="F291" i="56" s="1"/>
  <c r="F292" i="56" s="1"/>
  <c r="F293" i="56" s="1"/>
  <c r="F294" i="56" s="1"/>
  <c r="F295" i="56" s="1"/>
  <c r="F296" i="56" s="1"/>
  <c r="F297" i="56" s="1"/>
  <c r="F298" i="56" s="1"/>
  <c r="F299" i="56" s="1"/>
  <c r="F300" i="56" s="1"/>
  <c r="F301" i="56" s="1"/>
  <c r="F302" i="56" s="1"/>
  <c r="F303" i="56" s="1"/>
  <c r="F304" i="56" s="1"/>
  <c r="F305" i="56" s="1"/>
  <c r="F306" i="56" s="1"/>
  <c r="F307" i="56" s="1"/>
  <c r="F308" i="56" s="1"/>
  <c r="F309" i="56" s="1"/>
  <c r="F310" i="56" s="1"/>
  <c r="F311" i="56" s="1"/>
  <c r="F312" i="56" s="1"/>
  <c r="F313" i="56" s="1"/>
  <c r="F314" i="56" s="1"/>
  <c r="F315" i="56" s="1"/>
  <c r="F316" i="56" s="1"/>
  <c r="F317" i="56" s="1"/>
  <c r="F318" i="56" s="1"/>
  <c r="F319" i="56" s="1"/>
  <c r="F320" i="56" s="1"/>
  <c r="F321" i="56" s="1"/>
  <c r="F322" i="56" s="1"/>
  <c r="F323" i="56" s="1"/>
  <c r="F324" i="56" s="1"/>
  <c r="F325" i="56" s="1"/>
  <c r="F326" i="56" s="1"/>
  <c r="F327" i="56" s="1"/>
  <c r="F328" i="56" s="1"/>
  <c r="F329" i="56" s="1"/>
  <c r="F330" i="56" s="1"/>
  <c r="F331" i="56" s="1"/>
  <c r="F332" i="56" s="1"/>
  <c r="F333" i="56" s="1"/>
  <c r="F334" i="56" s="1"/>
  <c r="F335" i="56" s="1"/>
  <c r="F336" i="56" s="1"/>
  <c r="F337" i="56" s="1"/>
  <c r="F338" i="56" s="1"/>
  <c r="F339" i="56" s="1"/>
  <c r="F340" i="56" s="1"/>
  <c r="F341" i="56" s="1"/>
  <c r="F342" i="56" s="1"/>
  <c r="F343" i="56" s="1"/>
  <c r="F344" i="56" s="1"/>
  <c r="F345" i="56" s="1"/>
  <c r="F346" i="56" s="1"/>
  <c r="F347" i="56" s="1"/>
  <c r="F348" i="56" s="1"/>
  <c r="F349" i="56" s="1"/>
  <c r="F350" i="56" s="1"/>
  <c r="F351" i="56" s="1"/>
  <c r="F352" i="56" s="1"/>
  <c r="F353" i="56" s="1"/>
  <c r="F354" i="56" s="1"/>
  <c r="F355" i="56" s="1"/>
  <c r="F356" i="56" s="1"/>
  <c r="F357" i="56" s="1"/>
  <c r="F358" i="56" s="1"/>
  <c r="F359" i="56" s="1"/>
  <c r="F360" i="56" s="1"/>
  <c r="F361" i="56" s="1"/>
  <c r="F362" i="56" s="1"/>
  <c r="F363" i="56" s="1"/>
  <c r="F364" i="56" s="1"/>
  <c r="F365" i="56" s="1"/>
  <c r="F366" i="56" s="1"/>
  <c r="F367" i="56" s="1"/>
  <c r="F368" i="56" s="1"/>
  <c r="F369" i="56" s="1"/>
  <c r="F370" i="56" s="1"/>
  <c r="F371" i="56" s="1"/>
  <c r="F372" i="56" s="1"/>
  <c r="F373" i="56" s="1"/>
  <c r="F374" i="56" s="1"/>
  <c r="F375" i="56" s="1"/>
  <c r="F376" i="56" s="1"/>
  <c r="F377" i="56" s="1"/>
  <c r="F378" i="56" s="1"/>
  <c r="F379" i="56" s="1"/>
  <c r="F380" i="56" s="1"/>
  <c r="F381" i="56" s="1"/>
  <c r="F382" i="56" s="1"/>
  <c r="F383" i="56" s="1"/>
  <c r="F384" i="56" s="1"/>
  <c r="F385" i="56" s="1"/>
  <c r="F386" i="56" s="1"/>
  <c r="F387" i="56" s="1"/>
  <c r="F388" i="56" s="1"/>
  <c r="F389" i="56" s="1"/>
  <c r="F390" i="56" s="1"/>
  <c r="F391" i="56" s="1"/>
  <c r="F392" i="56" s="1"/>
  <c r="F393" i="56" s="1"/>
  <c r="F394" i="56" s="1"/>
  <c r="F395" i="56" s="1"/>
  <c r="F396" i="56" s="1"/>
  <c r="F397" i="56" s="1"/>
  <c r="F398" i="56" s="1"/>
  <c r="F399" i="56" s="1"/>
  <c r="F400" i="56" s="1"/>
  <c r="F401" i="56" s="1"/>
  <c r="F402" i="56" s="1"/>
  <c r="F403" i="56" s="1"/>
  <c r="F404" i="56" s="1"/>
  <c r="F405" i="56" s="1"/>
  <c r="F406" i="56" s="1"/>
  <c r="F407" i="56" s="1"/>
  <c r="F408" i="56" s="1"/>
  <c r="F409" i="56" s="1"/>
  <c r="F410" i="56" s="1"/>
  <c r="F411" i="56" s="1"/>
  <c r="F412" i="56" s="1"/>
  <c r="F413" i="56" s="1"/>
  <c r="F414" i="56" s="1"/>
  <c r="F415" i="56" s="1"/>
  <c r="F416" i="56" s="1"/>
  <c r="F417" i="56" s="1"/>
  <c r="F418" i="56" s="1"/>
  <c r="F419" i="56" s="1"/>
  <c r="F420" i="56" s="1"/>
  <c r="F421" i="56" s="1"/>
  <c r="F422" i="56" s="1"/>
  <c r="F423" i="56" s="1"/>
  <c r="F424" i="56" s="1"/>
  <c r="F425" i="56" s="1"/>
  <c r="F426" i="56" s="1"/>
  <c r="F427" i="56" s="1"/>
  <c r="F428" i="56" s="1"/>
  <c r="F429" i="56" s="1"/>
  <c r="F430" i="56" s="1"/>
  <c r="F431" i="56" s="1"/>
  <c r="F432" i="56" s="1"/>
  <c r="F433" i="56" s="1"/>
  <c r="F434" i="56" s="1"/>
  <c r="F435" i="56" s="1"/>
  <c r="F436" i="56" s="1"/>
  <c r="F437" i="56" s="1"/>
  <c r="F438" i="56" s="1"/>
  <c r="F439" i="56" s="1"/>
  <c r="F440" i="56" s="1"/>
  <c r="F441" i="56" s="1"/>
  <c r="F442" i="56" s="1"/>
  <c r="F443" i="56" s="1"/>
  <c r="F444" i="56" s="1"/>
  <c r="F445" i="56" s="1"/>
  <c r="F446" i="56" s="1"/>
  <c r="F447" i="56" s="1"/>
  <c r="F448" i="56" s="1"/>
  <c r="F449" i="56" s="1"/>
  <c r="F450" i="56" s="1"/>
  <c r="F451" i="56" s="1"/>
  <c r="F452" i="56" s="1"/>
  <c r="F453" i="56" s="1"/>
  <c r="F454" i="56" s="1"/>
  <c r="F455" i="56" s="1"/>
  <c r="F456" i="56" s="1"/>
  <c r="F457" i="56" s="1"/>
  <c r="F458" i="56" s="1"/>
  <c r="F459" i="56" s="1"/>
  <c r="F460" i="56" s="1"/>
  <c r="F461" i="56" s="1"/>
  <c r="F462" i="56" s="1"/>
  <c r="F463" i="56" s="1"/>
  <c r="F464" i="56" s="1"/>
  <c r="F465" i="56" s="1"/>
  <c r="F466" i="56" s="1"/>
  <c r="F467" i="56" s="1"/>
  <c r="F468" i="56" s="1"/>
  <c r="F469" i="56" s="1"/>
  <c r="F470" i="56" s="1"/>
  <c r="F471" i="56" s="1"/>
  <c r="F472" i="56" s="1"/>
  <c r="F473" i="56" s="1"/>
  <c r="F474" i="56" s="1"/>
  <c r="F475" i="56" s="1"/>
  <c r="F476" i="56" s="1"/>
  <c r="F477" i="56" s="1"/>
  <c r="F478" i="56" s="1"/>
  <c r="F479" i="56" s="1"/>
  <c r="F480" i="56" s="1"/>
  <c r="F481" i="56" s="1"/>
  <c r="F482" i="56" s="1"/>
  <c r="F483" i="56" s="1"/>
  <c r="F484" i="56" s="1"/>
  <c r="F485" i="56" s="1"/>
  <c r="F486" i="56" s="1"/>
  <c r="F487" i="56" s="1"/>
  <c r="F488" i="56" s="1"/>
  <c r="F489" i="56" s="1"/>
  <c r="F490" i="56" s="1"/>
  <c r="F491" i="56" s="1"/>
  <c r="F492" i="56" s="1"/>
  <c r="F493" i="56" s="1"/>
  <c r="F494" i="56" s="1"/>
  <c r="F495" i="56" s="1"/>
  <c r="F496" i="56" s="1"/>
  <c r="F497" i="56" s="1"/>
  <c r="F498" i="56" s="1"/>
  <c r="F499" i="56" s="1"/>
  <c r="F500" i="56" s="1"/>
  <c r="F501" i="56" s="1"/>
  <c r="F502" i="56" s="1"/>
  <c r="F503" i="56" s="1"/>
  <c r="F504" i="56" s="1"/>
  <c r="F505" i="56" s="1"/>
  <c r="F506" i="56" s="1"/>
  <c r="F507" i="56" s="1"/>
  <c r="F508" i="56" s="1"/>
  <c r="F509" i="56" s="1"/>
  <c r="F510" i="56" s="1"/>
  <c r="F511" i="56" s="1"/>
  <c r="F512" i="56" s="1"/>
  <c r="F513" i="56" s="1"/>
  <c r="F514" i="56" s="1"/>
  <c r="F515" i="56" s="1"/>
  <c r="F516" i="56" s="1"/>
  <c r="F517" i="56" s="1"/>
  <c r="F518" i="56" s="1"/>
  <c r="F519" i="56" s="1"/>
  <c r="F520" i="56" s="1"/>
  <c r="F521" i="56" s="1"/>
  <c r="F522" i="56" s="1"/>
  <c r="F523" i="56" s="1"/>
  <c r="F524" i="56" s="1"/>
  <c r="F525" i="56" s="1"/>
  <c r="F526" i="56" s="1"/>
  <c r="F527" i="56" s="1"/>
  <c r="F528" i="56" s="1"/>
  <c r="F529" i="56" s="1"/>
  <c r="F530" i="56" s="1"/>
  <c r="F531" i="56" s="1"/>
  <c r="F532" i="56" s="1"/>
  <c r="F533" i="56" s="1"/>
  <c r="F534" i="56" s="1"/>
  <c r="F535" i="56" s="1"/>
  <c r="F536" i="56" s="1"/>
  <c r="F537" i="56" s="1"/>
  <c r="F538" i="56" s="1"/>
  <c r="F539" i="56" s="1"/>
  <c r="F540" i="56" s="1"/>
  <c r="F541" i="56" s="1"/>
  <c r="F542" i="56" s="1"/>
  <c r="F543" i="56" s="1"/>
  <c r="F544" i="56" s="1"/>
  <c r="F545" i="56" s="1"/>
  <c r="F546" i="56" s="1"/>
  <c r="F547" i="56" s="1"/>
  <c r="F548" i="56" s="1"/>
  <c r="F549" i="56" s="1"/>
  <c r="F550" i="56" s="1"/>
  <c r="F551" i="56" s="1"/>
  <c r="F552" i="56" s="1"/>
  <c r="F553" i="56" s="1"/>
  <c r="F554" i="56" s="1"/>
  <c r="F555" i="56" s="1"/>
  <c r="F556" i="56" s="1"/>
  <c r="F557" i="56" s="1"/>
  <c r="F558" i="56" s="1"/>
  <c r="F559" i="56" s="1"/>
  <c r="F560" i="56" s="1"/>
  <c r="F561" i="56" s="1"/>
  <c r="F562" i="56" s="1"/>
  <c r="F563" i="56" s="1"/>
  <c r="F564" i="56" s="1"/>
  <c r="F565" i="56" s="1"/>
  <c r="F566" i="56" s="1"/>
  <c r="F567" i="56" s="1"/>
  <c r="F568" i="56" s="1"/>
  <c r="F569" i="56" s="1"/>
  <c r="F570" i="56" s="1"/>
  <c r="F571" i="56" s="1"/>
  <c r="F572" i="56" s="1"/>
  <c r="F573" i="56" s="1"/>
  <c r="F574" i="56" s="1"/>
  <c r="F575" i="56" s="1"/>
  <c r="F576" i="56" s="1"/>
  <c r="F577" i="56" s="1"/>
  <c r="F578" i="56" s="1"/>
  <c r="F579" i="56" s="1"/>
  <c r="F580" i="56" s="1"/>
  <c r="F581" i="56" s="1"/>
  <c r="F582" i="56" s="1"/>
  <c r="F583" i="56" s="1"/>
  <c r="F584" i="56" s="1"/>
  <c r="F585" i="56" s="1"/>
  <c r="F586" i="56" s="1"/>
  <c r="F587" i="56" s="1"/>
  <c r="F588" i="56" s="1"/>
  <c r="F589" i="56" s="1"/>
  <c r="F590" i="56" s="1"/>
  <c r="F591" i="56" s="1"/>
  <c r="F592" i="56" s="1"/>
  <c r="F593" i="56" s="1"/>
  <c r="F594" i="56" s="1"/>
  <c r="F595" i="56" s="1"/>
  <c r="F596" i="56" s="1"/>
  <c r="F597" i="56" s="1"/>
  <c r="F598" i="56" s="1"/>
  <c r="F599" i="56" s="1"/>
  <c r="F600" i="56" s="1"/>
  <c r="F601" i="56" s="1"/>
  <c r="F602" i="56" s="1"/>
  <c r="F603" i="56" s="1"/>
  <c r="F604" i="56" s="1"/>
  <c r="F605" i="56" s="1"/>
  <c r="F606" i="56" s="1"/>
  <c r="F607" i="56" s="1"/>
  <c r="F608" i="56" s="1"/>
  <c r="F609" i="56" s="1"/>
  <c r="F610" i="56" s="1"/>
  <c r="F611" i="56" s="1"/>
  <c r="F612" i="56" s="1"/>
  <c r="F613" i="56" s="1"/>
  <c r="F614" i="56" s="1"/>
  <c r="F615" i="56" s="1"/>
  <c r="F616" i="56" s="1"/>
  <c r="F617" i="56" s="1"/>
  <c r="F618" i="56" s="1"/>
  <c r="F619" i="56" s="1"/>
  <c r="F620" i="56" s="1"/>
  <c r="F621" i="56" s="1"/>
  <c r="F622" i="56" s="1"/>
  <c r="F623" i="56" s="1"/>
  <c r="F624" i="56" s="1"/>
  <c r="F625" i="56" s="1"/>
  <c r="F626" i="56" s="1"/>
  <c r="F627" i="56" s="1"/>
  <c r="F628" i="56" s="1"/>
  <c r="F629" i="56" s="1"/>
  <c r="F630" i="56" s="1"/>
  <c r="F631" i="56" s="1"/>
  <c r="F632" i="56" s="1"/>
  <c r="F633" i="56" s="1"/>
  <c r="F634" i="56" s="1"/>
  <c r="F635" i="56" s="1"/>
  <c r="F636" i="56" s="1"/>
  <c r="F637" i="56" s="1"/>
  <c r="F638" i="56" s="1"/>
  <c r="F639" i="56" s="1"/>
  <c r="F640" i="56" s="1"/>
  <c r="F641" i="56" s="1"/>
  <c r="F642" i="56" s="1"/>
  <c r="F643" i="56" s="1"/>
  <c r="F644" i="56" s="1"/>
  <c r="F645" i="56" s="1"/>
  <c r="F646" i="56" s="1"/>
  <c r="F647" i="56" s="1"/>
  <c r="F648" i="56" s="1"/>
  <c r="F649" i="56" s="1"/>
  <c r="F650" i="56" s="1"/>
  <c r="F651" i="56" s="1"/>
  <c r="F652" i="56" s="1"/>
  <c r="F653" i="56" s="1"/>
  <c r="F654" i="56" s="1"/>
  <c r="F655" i="56" s="1"/>
  <c r="F656" i="56" s="1"/>
  <c r="F657" i="56" s="1"/>
  <c r="F658" i="56" s="1"/>
  <c r="F659" i="56" s="1"/>
  <c r="F660" i="56" s="1"/>
  <c r="F661" i="56" s="1"/>
  <c r="F662" i="56" s="1"/>
  <c r="F663" i="56" s="1"/>
  <c r="F664" i="56" s="1"/>
  <c r="F665" i="56" s="1"/>
  <c r="F666" i="56" s="1"/>
  <c r="F667" i="56" s="1"/>
  <c r="F668" i="56" s="1"/>
  <c r="F669" i="56" s="1"/>
  <c r="F670" i="56" s="1"/>
  <c r="F671" i="56" s="1"/>
  <c r="F672" i="56" s="1"/>
  <c r="F673" i="56" s="1"/>
  <c r="F674" i="56" s="1"/>
  <c r="F675" i="56" s="1"/>
  <c r="F676" i="56" s="1"/>
  <c r="F677" i="56" s="1"/>
  <c r="F678" i="56" s="1"/>
  <c r="F679" i="56" s="1"/>
  <c r="F680" i="56" s="1"/>
  <c r="F681" i="56" s="1"/>
  <c r="F682" i="56" s="1"/>
  <c r="F683" i="56" s="1"/>
  <c r="F684" i="56" s="1"/>
  <c r="F685" i="56" s="1"/>
  <c r="F686" i="56" s="1"/>
  <c r="F687" i="56" s="1"/>
  <c r="F688" i="56" s="1"/>
  <c r="F689" i="56" s="1"/>
  <c r="F690" i="56" s="1"/>
  <c r="F691" i="56" s="1"/>
  <c r="F692" i="56" s="1"/>
  <c r="F693" i="56" s="1"/>
  <c r="F694" i="56" s="1"/>
  <c r="F695" i="56" s="1"/>
  <c r="F696" i="56" s="1"/>
  <c r="F697" i="56" s="1"/>
  <c r="F698" i="56" s="1"/>
  <c r="F699" i="56" s="1"/>
  <c r="F700" i="56" s="1"/>
  <c r="F701" i="56" s="1"/>
  <c r="F702" i="56" s="1"/>
  <c r="F703" i="56" s="1"/>
  <c r="F704" i="56" s="1"/>
  <c r="F705" i="56" s="1"/>
  <c r="F706" i="56" s="1"/>
  <c r="F707" i="56" s="1"/>
  <c r="F708" i="56" s="1"/>
  <c r="F709" i="56" s="1"/>
  <c r="F710" i="56" s="1"/>
  <c r="F711" i="56" s="1"/>
  <c r="F712" i="56" s="1"/>
  <c r="F713" i="56" s="1"/>
  <c r="F714" i="56" s="1"/>
  <c r="F715" i="56" s="1"/>
  <c r="F716" i="56" s="1"/>
  <c r="F717" i="56" s="1"/>
  <c r="F718" i="56" s="1"/>
  <c r="F719" i="56" s="1"/>
  <c r="F720" i="56" s="1"/>
  <c r="F721" i="56" s="1"/>
  <c r="F722" i="56" s="1"/>
  <c r="F723" i="56" s="1"/>
  <c r="F724" i="56" s="1"/>
  <c r="F725" i="56" s="1"/>
  <c r="F726" i="56" s="1"/>
  <c r="F727" i="56" s="1"/>
  <c r="F728" i="56" s="1"/>
  <c r="F729" i="56" s="1"/>
  <c r="F730" i="56" s="1"/>
  <c r="F731" i="56" s="1"/>
  <c r="F732" i="56" s="1"/>
  <c r="F733" i="56" s="1"/>
  <c r="F734" i="56" s="1"/>
  <c r="F735" i="56" s="1"/>
  <c r="F736" i="56" s="1"/>
  <c r="F737" i="56" s="1"/>
  <c r="F738" i="56" s="1"/>
  <c r="F739" i="56" s="1"/>
  <c r="F740" i="56" s="1"/>
  <c r="F741" i="56" s="1"/>
  <c r="F742" i="56" s="1"/>
  <c r="F743" i="56" s="1"/>
  <c r="F744" i="56" s="1"/>
  <c r="F745" i="56" s="1"/>
  <c r="F746" i="56" s="1"/>
  <c r="F747" i="56" s="1"/>
  <c r="F748" i="56" s="1"/>
  <c r="F749" i="56" s="1"/>
  <c r="F750" i="56" s="1"/>
  <c r="F751" i="56" s="1"/>
  <c r="F752" i="56" s="1"/>
  <c r="F753" i="56" s="1"/>
  <c r="F754" i="56" s="1"/>
  <c r="F755" i="56" s="1"/>
  <c r="F756" i="56" s="1"/>
  <c r="F757" i="56" s="1"/>
  <c r="F758" i="56" s="1"/>
  <c r="F759" i="56" s="1"/>
  <c r="F760" i="56" s="1"/>
  <c r="F761" i="56" s="1"/>
  <c r="F762" i="56" s="1"/>
  <c r="F763" i="56" s="1"/>
  <c r="F764" i="56" s="1"/>
  <c r="F765" i="56" s="1"/>
  <c r="F766" i="56" s="1"/>
  <c r="F767" i="56" s="1"/>
  <c r="F768" i="56" s="1"/>
  <c r="F769" i="56" s="1"/>
  <c r="F770" i="56" s="1"/>
  <c r="F771" i="56" s="1"/>
  <c r="F772" i="56" s="1"/>
  <c r="F773" i="56" s="1"/>
  <c r="F774" i="56" s="1"/>
  <c r="F775" i="56" s="1"/>
  <c r="F776" i="56" s="1"/>
  <c r="F777" i="56" s="1"/>
  <c r="F778" i="56" s="1"/>
  <c r="F779" i="56" s="1"/>
  <c r="F780" i="56" s="1"/>
  <c r="F781" i="56" s="1"/>
  <c r="F782" i="56" s="1"/>
  <c r="F783" i="56" s="1"/>
  <c r="F784" i="56" s="1"/>
  <c r="F785" i="56" s="1"/>
  <c r="F786" i="56" s="1"/>
  <c r="F787" i="56" s="1"/>
  <c r="F788" i="56" s="1"/>
  <c r="F789" i="56" s="1"/>
  <c r="F790" i="56" s="1"/>
  <c r="F791" i="56" s="1"/>
  <c r="F792" i="56" s="1"/>
  <c r="F793" i="56" s="1"/>
  <c r="F794" i="56" s="1"/>
  <c r="F795" i="56" s="1"/>
  <c r="F796" i="56" s="1"/>
  <c r="F797" i="56" s="1"/>
  <c r="F798" i="56" s="1"/>
  <c r="F799" i="56" s="1"/>
  <c r="F800" i="56" s="1"/>
  <c r="F801" i="56" s="1"/>
  <c r="F802" i="56" s="1"/>
  <c r="F803" i="56" s="1"/>
  <c r="F804" i="56" s="1"/>
  <c r="F805" i="56" s="1"/>
  <c r="F806" i="56" s="1"/>
  <c r="F807" i="56" s="1"/>
  <c r="F808" i="56" s="1"/>
  <c r="F809" i="56" s="1"/>
  <c r="F810" i="56" s="1"/>
  <c r="F811" i="56" s="1"/>
  <c r="F812" i="56" s="1"/>
  <c r="F813" i="56" s="1"/>
  <c r="F814" i="56" s="1"/>
  <c r="F815" i="56" s="1"/>
  <c r="F816" i="56" s="1"/>
  <c r="F817" i="56" s="1"/>
  <c r="F818" i="56" s="1"/>
  <c r="F819" i="56" s="1"/>
  <c r="F820" i="56" s="1"/>
  <c r="F821" i="56" s="1"/>
  <c r="F822" i="56" s="1"/>
  <c r="F823" i="56" s="1"/>
  <c r="F824" i="56" s="1"/>
  <c r="F825" i="56" s="1"/>
  <c r="F826" i="56" s="1"/>
  <c r="F827" i="56" s="1"/>
  <c r="F828" i="56" s="1"/>
  <c r="F829" i="56" s="1"/>
  <c r="F830" i="56" s="1"/>
  <c r="F831" i="56" s="1"/>
  <c r="F832" i="56" s="1"/>
  <c r="F833" i="56" s="1"/>
  <c r="F834" i="56" s="1"/>
  <c r="F835" i="56" s="1"/>
  <c r="F836" i="56" s="1"/>
  <c r="F837" i="56" s="1"/>
  <c r="F838" i="56" s="1"/>
  <c r="F839" i="56" s="1"/>
  <c r="F840" i="56" s="1"/>
  <c r="F841" i="56" s="1"/>
  <c r="F842" i="56" s="1"/>
  <c r="F843" i="56" s="1"/>
  <c r="F844" i="56" s="1"/>
  <c r="F845" i="56" s="1"/>
  <c r="F846" i="56" s="1"/>
  <c r="F847" i="56" s="1"/>
  <c r="F848" i="56" s="1"/>
  <c r="F849" i="56" s="1"/>
  <c r="F850" i="56" s="1"/>
  <c r="F851" i="56" s="1"/>
  <c r="F852" i="56" s="1"/>
  <c r="F853" i="56" s="1"/>
  <c r="F854" i="56" s="1"/>
  <c r="F855" i="56" s="1"/>
  <c r="F856" i="56" s="1"/>
  <c r="F857" i="56" s="1"/>
  <c r="F858" i="56" s="1"/>
  <c r="F859" i="56" s="1"/>
  <c r="F860" i="56" s="1"/>
  <c r="F861" i="56" s="1"/>
  <c r="F862" i="56" s="1"/>
  <c r="F863" i="56" s="1"/>
  <c r="F864" i="56" s="1"/>
  <c r="F865" i="56" s="1"/>
  <c r="F866" i="56" s="1"/>
  <c r="F867" i="56" s="1"/>
  <c r="F868" i="56" s="1"/>
  <c r="F869" i="56" s="1"/>
  <c r="F870" i="56" s="1"/>
  <c r="F871" i="56" s="1"/>
  <c r="F872" i="56" s="1"/>
  <c r="F873" i="56" s="1"/>
  <c r="F874" i="56" s="1"/>
  <c r="F875" i="56" s="1"/>
  <c r="F876" i="56" s="1"/>
  <c r="F877" i="56" s="1"/>
  <c r="F878" i="56" s="1"/>
  <c r="F879" i="56" s="1"/>
  <c r="F880" i="56" s="1"/>
  <c r="F881" i="56" s="1"/>
  <c r="F882" i="56" s="1"/>
  <c r="F883" i="56" s="1"/>
  <c r="F884" i="56" s="1"/>
  <c r="F885" i="56" s="1"/>
  <c r="F886" i="56" s="1"/>
  <c r="F887" i="56" s="1"/>
  <c r="F888" i="56" s="1"/>
  <c r="F889" i="56" s="1"/>
  <c r="F890" i="56" s="1"/>
  <c r="F891" i="56" s="1"/>
  <c r="F892" i="56" s="1"/>
  <c r="F893" i="56" s="1"/>
  <c r="F894" i="56" s="1"/>
  <c r="F895" i="56" s="1"/>
  <c r="F896" i="56" s="1"/>
  <c r="F897" i="56" s="1"/>
  <c r="F898" i="56" s="1"/>
  <c r="F899" i="56" s="1"/>
  <c r="F900" i="56" s="1"/>
  <c r="F901" i="56" s="1"/>
  <c r="F902" i="56" s="1"/>
  <c r="F903" i="56" s="1"/>
  <c r="F904" i="56" s="1"/>
  <c r="F905" i="56" s="1"/>
  <c r="F906" i="56" s="1"/>
  <c r="F907" i="56" s="1"/>
  <c r="F908" i="56" s="1"/>
  <c r="F909" i="56" s="1"/>
  <c r="F910" i="56" s="1"/>
  <c r="F911" i="56" s="1"/>
  <c r="F912" i="56" s="1"/>
  <c r="F913" i="56" s="1"/>
  <c r="F914" i="56" s="1"/>
  <c r="F915" i="56" s="1"/>
  <c r="F916" i="56" s="1"/>
  <c r="F917" i="56" s="1"/>
  <c r="F918" i="56" s="1"/>
  <c r="F919" i="56" s="1"/>
  <c r="F920" i="56" s="1"/>
  <c r="F921" i="56" s="1"/>
  <c r="F922" i="56" s="1"/>
  <c r="F923" i="56" s="1"/>
  <c r="F924" i="56" s="1"/>
  <c r="F925" i="56" s="1"/>
  <c r="F926" i="56" s="1"/>
  <c r="F927" i="56" s="1"/>
  <c r="F928" i="56" s="1"/>
  <c r="F929" i="56" s="1"/>
  <c r="F930" i="56" s="1"/>
  <c r="F931" i="56" s="1"/>
  <c r="F932" i="56" s="1"/>
  <c r="F933" i="56" s="1"/>
  <c r="F934" i="56" s="1"/>
  <c r="F935" i="56" s="1"/>
  <c r="F936" i="56" s="1"/>
  <c r="F937" i="56" s="1"/>
  <c r="F938" i="56" s="1"/>
  <c r="F939" i="56" s="1"/>
  <c r="F940" i="56" s="1"/>
  <c r="F941" i="56" s="1"/>
  <c r="F942" i="56" s="1"/>
  <c r="F943" i="56" s="1"/>
  <c r="F944" i="56" s="1"/>
  <c r="F945" i="56" s="1"/>
  <c r="F946" i="56" s="1"/>
  <c r="F947" i="56" s="1"/>
  <c r="F948" i="56" s="1"/>
  <c r="F949" i="56" s="1"/>
  <c r="F950" i="56" s="1"/>
  <c r="F951" i="56" s="1"/>
  <c r="F952" i="56" s="1"/>
  <c r="F953" i="56" s="1"/>
  <c r="F954" i="56" s="1"/>
  <c r="F955" i="56" s="1"/>
  <c r="F956" i="56" s="1"/>
  <c r="F957" i="56" s="1"/>
  <c r="F958" i="56" s="1"/>
  <c r="F959" i="56" s="1"/>
  <c r="F960" i="56" s="1"/>
  <c r="F961" i="56" s="1"/>
  <c r="F962" i="56" s="1"/>
  <c r="F963" i="56" s="1"/>
  <c r="F964" i="56" s="1"/>
  <c r="F965" i="56" s="1"/>
  <c r="F966" i="56" s="1"/>
  <c r="F967" i="56" s="1"/>
  <c r="F968" i="56" s="1"/>
  <c r="F969" i="56" s="1"/>
  <c r="F970" i="56" s="1"/>
  <c r="F971" i="56" s="1"/>
  <c r="F972" i="56" s="1"/>
  <c r="F973" i="56" s="1"/>
  <c r="F974" i="56" s="1"/>
  <c r="F975" i="56" s="1"/>
  <c r="F976" i="56" s="1"/>
  <c r="F977" i="56" s="1"/>
  <c r="F978" i="56" s="1"/>
  <c r="F979" i="56" s="1"/>
  <c r="F980" i="56" s="1"/>
  <c r="F981" i="56" s="1"/>
  <c r="F982" i="56" s="1"/>
  <c r="F983" i="56" s="1"/>
  <c r="F984" i="56" s="1"/>
  <c r="F985" i="56" s="1"/>
  <c r="F986" i="56" s="1"/>
  <c r="F987" i="56" s="1"/>
  <c r="F988" i="56" s="1"/>
  <c r="F989" i="56" s="1"/>
  <c r="F990" i="56" s="1"/>
  <c r="F991" i="56" s="1"/>
  <c r="F992" i="56" s="1"/>
  <c r="F993" i="56" s="1"/>
  <c r="F994" i="56" s="1"/>
  <c r="F995" i="56" s="1"/>
  <c r="F996" i="56" s="1"/>
  <c r="F997" i="56" s="1"/>
  <c r="F998" i="56" s="1"/>
  <c r="F999" i="56" s="1"/>
  <c r="F1000" i="56" s="1"/>
  <c r="F1001" i="56" s="1"/>
  <c r="F1002" i="56" s="1"/>
  <c r="F1003" i="56" s="1"/>
  <c r="F1004" i="56" s="1"/>
  <c r="F1005" i="56" s="1"/>
  <c r="F1006" i="56" s="1"/>
  <c r="F1007" i="56" s="1"/>
  <c r="F1008" i="56" s="1"/>
  <c r="F1009" i="56" s="1"/>
  <c r="F1010" i="56" s="1"/>
  <c r="F1011" i="56" s="1"/>
  <c r="F1012" i="56" s="1"/>
  <c r="F1013" i="56" s="1"/>
  <c r="F1014" i="56" s="1"/>
  <c r="F1015" i="56" s="1"/>
  <c r="F1016" i="56" s="1"/>
  <c r="F1017" i="56" s="1"/>
  <c r="F1018" i="56" s="1"/>
  <c r="F1019" i="56" s="1"/>
  <c r="F1020" i="56" s="1"/>
  <c r="F1021" i="56" s="1"/>
  <c r="F1022" i="56" s="1"/>
  <c r="F1023" i="56" s="1"/>
  <c r="F1024" i="56" s="1"/>
  <c r="F1025" i="56" s="1"/>
  <c r="F1026" i="56" s="1"/>
  <c r="F1027" i="56" s="1"/>
  <c r="F1028" i="56" s="1"/>
  <c r="F1029" i="56" s="1"/>
  <c r="F1030" i="56" s="1"/>
  <c r="F1031" i="56" s="1"/>
  <c r="F1032" i="56" s="1"/>
  <c r="F1033" i="56" s="1"/>
  <c r="F1034" i="56" s="1"/>
  <c r="F1035" i="56" s="1"/>
  <c r="F1036" i="56" s="1"/>
  <c r="F1037" i="56" s="1"/>
  <c r="F1038" i="56" s="1"/>
  <c r="F1039" i="56" s="1"/>
  <c r="F1040" i="56" s="1"/>
  <c r="F1041" i="56" s="1"/>
  <c r="F1042" i="56" s="1"/>
  <c r="F1043" i="56" s="1"/>
  <c r="F1044" i="56" s="1"/>
  <c r="F1045" i="56" s="1"/>
  <c r="F1046" i="56" s="1"/>
  <c r="F1047" i="56" s="1"/>
  <c r="F1048" i="56" s="1"/>
  <c r="F1049" i="56" s="1"/>
  <c r="F1050" i="56" s="1"/>
  <c r="F1051" i="56" s="1"/>
  <c r="F1052" i="56" s="1"/>
  <c r="F1053" i="56" s="1"/>
  <c r="F1054" i="56" s="1"/>
  <c r="F1055" i="56" s="1"/>
  <c r="F1056" i="56" s="1"/>
  <c r="F1057" i="56" s="1"/>
  <c r="F1058" i="56" s="1"/>
  <c r="F1059" i="56" s="1"/>
  <c r="F1060" i="56" s="1"/>
  <c r="F1061" i="56" s="1"/>
  <c r="F1062" i="56" s="1"/>
  <c r="F1063" i="56" s="1"/>
  <c r="F1064" i="56" s="1"/>
  <c r="F1065" i="56" s="1"/>
  <c r="F1066" i="56" s="1"/>
  <c r="F1067" i="56" s="1"/>
  <c r="F1068" i="56" s="1"/>
  <c r="F1069" i="56" s="1"/>
  <c r="F1070" i="56" s="1"/>
  <c r="F1071" i="56" s="1"/>
  <c r="F1072" i="56" s="1"/>
  <c r="F1073" i="56" s="1"/>
  <c r="F1074" i="56" s="1"/>
  <c r="F1075" i="56" s="1"/>
  <c r="F1076" i="56" s="1"/>
  <c r="F1077" i="56" s="1"/>
  <c r="F1078" i="56" s="1"/>
  <c r="F1079" i="56" s="1"/>
  <c r="F1080" i="56" s="1"/>
  <c r="F1081" i="56" s="1"/>
  <c r="F1082" i="56" s="1"/>
  <c r="F1083" i="56" s="1"/>
  <c r="F1084" i="56" s="1"/>
  <c r="F1085" i="56" s="1"/>
  <c r="F1086" i="56" s="1"/>
  <c r="F1087" i="56" s="1"/>
  <c r="F1088" i="56" s="1"/>
  <c r="F1089" i="56" s="1"/>
  <c r="F1090" i="56" s="1"/>
  <c r="F1091" i="56" s="1"/>
  <c r="F1092" i="56" s="1"/>
  <c r="F1093" i="56" s="1"/>
  <c r="F1094" i="56" s="1"/>
  <c r="F1095" i="56" s="1"/>
  <c r="F1096" i="56" s="1"/>
  <c r="F1097" i="56" s="1"/>
  <c r="F1098" i="56" s="1"/>
  <c r="F1099" i="56" s="1"/>
  <c r="F1100" i="56" s="1"/>
  <c r="F1101" i="56" s="1"/>
  <c r="F1102" i="56" s="1"/>
  <c r="F1103" i="56" s="1"/>
  <c r="F1104" i="56" s="1"/>
  <c r="F1105" i="56" s="1"/>
  <c r="F1106" i="56" s="1"/>
  <c r="F1107" i="56" s="1"/>
  <c r="F1108" i="56" s="1"/>
  <c r="F1109" i="56" s="1"/>
  <c r="F1110" i="56" s="1"/>
  <c r="F1111" i="56" s="1"/>
  <c r="F1112" i="56" s="1"/>
  <c r="F1113" i="56" s="1"/>
  <c r="F1114" i="56" s="1"/>
  <c r="F1115" i="56" s="1"/>
  <c r="F1116" i="56" s="1"/>
  <c r="F1117" i="56" s="1"/>
  <c r="F1118" i="56" s="1"/>
  <c r="F1119" i="56" s="1"/>
  <c r="F1120" i="56" s="1"/>
  <c r="F1121" i="56" s="1"/>
  <c r="F1122" i="56" s="1"/>
  <c r="F1123" i="56" s="1"/>
  <c r="F1124" i="56" s="1"/>
  <c r="F1125" i="56" s="1"/>
  <c r="F1126" i="56" s="1"/>
  <c r="F1127" i="56" s="1"/>
  <c r="F1128" i="56" s="1"/>
  <c r="F1129" i="56" s="1"/>
  <c r="F1130" i="56" s="1"/>
  <c r="F1131" i="56" s="1"/>
  <c r="F1132" i="56" s="1"/>
  <c r="F1133" i="56" s="1"/>
  <c r="F1134" i="56" s="1"/>
  <c r="F1135" i="56" s="1"/>
  <c r="F1136" i="56" s="1"/>
  <c r="F1137" i="56" s="1"/>
  <c r="F1138" i="56" s="1"/>
  <c r="F1139" i="56" s="1"/>
  <c r="F1140" i="56" s="1"/>
  <c r="F1141" i="56" s="1"/>
  <c r="F1142" i="56" s="1"/>
  <c r="F1143" i="56" s="1"/>
  <c r="F1144" i="56" s="1"/>
  <c r="F1145" i="56" s="1"/>
  <c r="F1146" i="56" s="1"/>
  <c r="F1147" i="56" s="1"/>
  <c r="F1148" i="56" s="1"/>
  <c r="F1149" i="56" s="1"/>
  <c r="F1150" i="56" s="1"/>
  <c r="F1151" i="56" s="1"/>
  <c r="F1152" i="56" s="1"/>
  <c r="F1153" i="56" s="1"/>
  <c r="F1154" i="56" s="1"/>
  <c r="F1155" i="56" s="1"/>
  <c r="F1156" i="56" s="1"/>
  <c r="F1157" i="56" s="1"/>
  <c r="F1158" i="56" s="1"/>
  <c r="F1159" i="56" s="1"/>
  <c r="F1160" i="56" s="1"/>
  <c r="F1161" i="56" s="1"/>
  <c r="F1162" i="56" s="1"/>
  <c r="F1163" i="56" s="1"/>
  <c r="F1164" i="56" s="1"/>
  <c r="F1165" i="56" s="1"/>
  <c r="F1166" i="56" s="1"/>
  <c r="F1167" i="56" s="1"/>
  <c r="F1168" i="56" s="1"/>
  <c r="F1169" i="56" s="1"/>
  <c r="F1170" i="56" s="1"/>
  <c r="F1171" i="56" s="1"/>
  <c r="F1172" i="56" s="1"/>
  <c r="F1173" i="56" s="1"/>
  <c r="F1174" i="56" s="1"/>
  <c r="F1175" i="56" s="1"/>
  <c r="F1176" i="56" s="1"/>
  <c r="F1177" i="56" s="1"/>
  <c r="F1178" i="56" s="1"/>
  <c r="F1179" i="56" s="1"/>
  <c r="F1180" i="56" s="1"/>
  <c r="F1181" i="56" s="1"/>
  <c r="F1182" i="56" s="1"/>
  <c r="F1183" i="56" s="1"/>
  <c r="F1184" i="56" s="1"/>
  <c r="F1185" i="56" s="1"/>
  <c r="F1186" i="56" s="1"/>
  <c r="F1187" i="56" s="1"/>
  <c r="F1188" i="56" s="1"/>
  <c r="F1189" i="56" s="1"/>
  <c r="F1190" i="56" s="1"/>
  <c r="F1191" i="56" s="1"/>
  <c r="F1192" i="56" s="1"/>
  <c r="F1193" i="56" s="1"/>
  <c r="F1194" i="56" s="1"/>
  <c r="F1195" i="56" s="1"/>
  <c r="F1196" i="56" s="1"/>
  <c r="F1197" i="56" s="1"/>
  <c r="F1198" i="56" s="1"/>
  <c r="F1199" i="56" s="1"/>
  <c r="F1200" i="56" s="1"/>
  <c r="F1201" i="56" s="1"/>
  <c r="F1202" i="56" s="1"/>
  <c r="F1203" i="56" s="1"/>
  <c r="F1204" i="56" s="1"/>
  <c r="F1205" i="56" s="1"/>
  <c r="F1206" i="56" s="1"/>
  <c r="F1207" i="56" s="1"/>
  <c r="F1208" i="56" s="1"/>
  <c r="F1209" i="56" s="1"/>
  <c r="F1210" i="56" s="1"/>
  <c r="F1211" i="56" s="1"/>
  <c r="F1212" i="56" s="1"/>
  <c r="F1213" i="56" s="1"/>
  <c r="F1214" i="56" s="1"/>
  <c r="F1215" i="56" s="1"/>
  <c r="F1216" i="56" s="1"/>
  <c r="F1217" i="56" s="1"/>
  <c r="F1218" i="56" s="1"/>
  <c r="F1219" i="56" s="1"/>
  <c r="F1220" i="56" s="1"/>
  <c r="F1221" i="56" s="1"/>
  <c r="F1222" i="56" s="1"/>
  <c r="F1223" i="56" s="1"/>
  <c r="F1224" i="56" s="1"/>
  <c r="F1225" i="56" s="1"/>
  <c r="F1226" i="56" s="1"/>
  <c r="F1227" i="56" s="1"/>
  <c r="F1228" i="56" s="1"/>
  <c r="F1229" i="56" s="1"/>
  <c r="F1230" i="56" s="1"/>
  <c r="F1231" i="56" s="1"/>
  <c r="F1232" i="56" s="1"/>
  <c r="F1233" i="56" s="1"/>
  <c r="F1234" i="56" s="1"/>
  <c r="F1235" i="56" s="1"/>
  <c r="F1236" i="56" s="1"/>
  <c r="F1237" i="56" s="1"/>
  <c r="F1238" i="56" s="1"/>
  <c r="F1239" i="56" s="1"/>
  <c r="F1240" i="56" s="1"/>
  <c r="F1241" i="56" s="1"/>
  <c r="F1242" i="56" s="1"/>
  <c r="F1243" i="56" s="1"/>
  <c r="F1244" i="56" s="1"/>
  <c r="F1245" i="56" s="1"/>
  <c r="F1246" i="56" s="1"/>
  <c r="F1247" i="56" s="1"/>
  <c r="F1248" i="56" s="1"/>
  <c r="F1249" i="56" s="1"/>
  <c r="F1250" i="56" s="1"/>
  <c r="F1251" i="56" s="1"/>
  <c r="F1252" i="56" s="1"/>
  <c r="F1253" i="56" s="1"/>
  <c r="F1254" i="56" s="1"/>
  <c r="F1255" i="56" s="1"/>
  <c r="F1256" i="56" s="1"/>
  <c r="F1257" i="56" s="1"/>
  <c r="F1258" i="56" s="1"/>
  <c r="F1259" i="56" s="1"/>
  <c r="F1260" i="56" s="1"/>
  <c r="F1261" i="56" s="1"/>
  <c r="F1262" i="56" s="1"/>
  <c r="F1263" i="56" s="1"/>
  <c r="F1264" i="56" s="1"/>
  <c r="F1265" i="56" s="1"/>
  <c r="F1266" i="56" s="1"/>
  <c r="F1267" i="56" s="1"/>
  <c r="F1268" i="56" s="1"/>
  <c r="F1269" i="56" s="1"/>
  <c r="F1270" i="56" s="1"/>
  <c r="F1271" i="56" s="1"/>
  <c r="F1272" i="56" s="1"/>
  <c r="F1273" i="56" s="1"/>
  <c r="F1274" i="56" s="1"/>
  <c r="F1275" i="56" s="1"/>
  <c r="F1276" i="56" s="1"/>
  <c r="F1277" i="56" s="1"/>
  <c r="F1278" i="56" s="1"/>
  <c r="F1279" i="56" s="1"/>
  <c r="F1280" i="56" s="1"/>
  <c r="F1281" i="56" s="1"/>
  <c r="F1282" i="56" s="1"/>
  <c r="F1283" i="56" s="1"/>
  <c r="F1284" i="56" s="1"/>
  <c r="F1285" i="56" s="1"/>
  <c r="F1286" i="56" s="1"/>
  <c r="F1287" i="56" s="1"/>
  <c r="F1288" i="56" s="1"/>
  <c r="F1289" i="56" s="1"/>
  <c r="F1290" i="56" s="1"/>
  <c r="F1291" i="56" s="1"/>
  <c r="F1292" i="56" s="1"/>
  <c r="F1293" i="56" s="1"/>
  <c r="F1294" i="56" s="1"/>
  <c r="F1295" i="56" s="1"/>
  <c r="F1296" i="56" s="1"/>
  <c r="F1297" i="56" s="1"/>
  <c r="F1298" i="56" s="1"/>
  <c r="F1299" i="56" s="1"/>
  <c r="F1300" i="56" s="1"/>
  <c r="F1301" i="56" s="1"/>
  <c r="F1302" i="56" s="1"/>
  <c r="F1303" i="56" s="1"/>
  <c r="F1304" i="56" s="1"/>
  <c r="F1305" i="56" s="1"/>
  <c r="F1306" i="56" s="1"/>
  <c r="F1307" i="56" s="1"/>
  <c r="F1308" i="56" s="1"/>
  <c r="F1309" i="56" s="1"/>
  <c r="F1310" i="56" s="1"/>
  <c r="F1311" i="56" s="1"/>
  <c r="F1312" i="56" s="1"/>
  <c r="F1313" i="56" s="1"/>
  <c r="F1314" i="56" s="1"/>
  <c r="F1315" i="56" s="1"/>
  <c r="F1316" i="56" s="1"/>
  <c r="F1317" i="56" s="1"/>
  <c r="F1318" i="56" s="1"/>
  <c r="F1319" i="56" s="1"/>
  <c r="F1320" i="56" s="1"/>
  <c r="F1321" i="56" s="1"/>
  <c r="F1322" i="56" s="1"/>
  <c r="F1323" i="56" s="1"/>
  <c r="F1324" i="56" s="1"/>
  <c r="F1325" i="56" s="1"/>
  <c r="F1326" i="56" s="1"/>
  <c r="F1327" i="56" s="1"/>
  <c r="F1328" i="56" s="1"/>
  <c r="F1329" i="56" s="1"/>
  <c r="F1330" i="56" s="1"/>
  <c r="F1331" i="56" s="1"/>
  <c r="F1332" i="56" s="1"/>
  <c r="F1333" i="56" s="1"/>
  <c r="F1334" i="56" s="1"/>
  <c r="F1335" i="56" s="1"/>
  <c r="F1336" i="56" s="1"/>
  <c r="F1337" i="56" s="1"/>
  <c r="F1338" i="56" s="1"/>
  <c r="F1339" i="56" s="1"/>
  <c r="F1340" i="56" s="1"/>
  <c r="F1341" i="56" s="1"/>
  <c r="F1342" i="56" s="1"/>
  <c r="F1343" i="56" s="1"/>
  <c r="F1344" i="56" s="1"/>
  <c r="F1345" i="56" s="1"/>
  <c r="F1346" i="56" s="1"/>
  <c r="F1347" i="56" s="1"/>
  <c r="F1348" i="56" s="1"/>
  <c r="F1349" i="56" s="1"/>
  <c r="F1350" i="56" s="1"/>
  <c r="F1351" i="56" s="1"/>
  <c r="F1352" i="56" s="1"/>
  <c r="F1353" i="56" s="1"/>
  <c r="F1354" i="56" s="1"/>
  <c r="F1355" i="56" s="1"/>
  <c r="F1356" i="56" s="1"/>
  <c r="F1357" i="56" s="1"/>
  <c r="F1358" i="56" s="1"/>
  <c r="F1359" i="56" s="1"/>
  <c r="F1360" i="56" s="1"/>
  <c r="F1361" i="56" s="1"/>
  <c r="F1362" i="56" s="1"/>
  <c r="F1363" i="56" s="1"/>
  <c r="F1364" i="56" s="1"/>
  <c r="F1365" i="56" s="1"/>
  <c r="F1366" i="56" s="1"/>
  <c r="F1367" i="56" s="1"/>
  <c r="F1368" i="56" s="1"/>
  <c r="F1369" i="56" s="1"/>
  <c r="F1370" i="56" s="1"/>
  <c r="F1371" i="56" s="1"/>
  <c r="F1372" i="56" s="1"/>
  <c r="F1373" i="56" s="1"/>
  <c r="F1374" i="56" s="1"/>
  <c r="F1375" i="56" s="1"/>
  <c r="F1376" i="56" s="1"/>
  <c r="F1377" i="56" s="1"/>
  <c r="F1378" i="56" s="1"/>
  <c r="F1379" i="56" s="1"/>
  <c r="F1380" i="56" s="1"/>
  <c r="F1381" i="56" s="1"/>
  <c r="F1382" i="56" s="1"/>
  <c r="F1383" i="56" s="1"/>
  <c r="F1384" i="56" s="1"/>
  <c r="F1385" i="56" s="1"/>
  <c r="F1386" i="56" s="1"/>
  <c r="F1387" i="56" s="1"/>
  <c r="F1388" i="56" s="1"/>
  <c r="F1389" i="56" s="1"/>
  <c r="F1390" i="56" s="1"/>
  <c r="F1391" i="56" s="1"/>
  <c r="F1392" i="56" s="1"/>
  <c r="F1393" i="56" s="1"/>
  <c r="F1394" i="56" s="1"/>
  <c r="F1395" i="56" s="1"/>
  <c r="F1396" i="56" s="1"/>
  <c r="F1397" i="56" s="1"/>
  <c r="F1398" i="56" s="1"/>
  <c r="F1399" i="56" s="1"/>
  <c r="F1400" i="56" s="1"/>
  <c r="F1401" i="56" s="1"/>
  <c r="F1402" i="56" s="1"/>
  <c r="F1403" i="56" s="1"/>
  <c r="F1404" i="56" s="1"/>
  <c r="F1405" i="56" s="1"/>
  <c r="F1406" i="56" s="1"/>
  <c r="F1407" i="56" s="1"/>
  <c r="F1408" i="56" s="1"/>
  <c r="F1409" i="56" s="1"/>
  <c r="F1410" i="56" s="1"/>
  <c r="F1411" i="56" s="1"/>
  <c r="F1412" i="56" s="1"/>
  <c r="F1413" i="56" s="1"/>
  <c r="F1414" i="56" s="1"/>
  <c r="F1415" i="56" s="1"/>
  <c r="F1416" i="56" s="1"/>
  <c r="F1417" i="56" s="1"/>
  <c r="F1418" i="56" s="1"/>
  <c r="F1419" i="56" s="1"/>
  <c r="F1420" i="56" s="1"/>
  <c r="F1421" i="56" s="1"/>
  <c r="F1422" i="56" s="1"/>
  <c r="F1423" i="56" s="1"/>
  <c r="F1424" i="56" s="1"/>
  <c r="F1425" i="56" s="1"/>
  <c r="F1426" i="56" s="1"/>
  <c r="F1427" i="56" s="1"/>
  <c r="F1428" i="56" s="1"/>
  <c r="F1429" i="56" s="1"/>
  <c r="F1430" i="56" s="1"/>
  <c r="F1431" i="56" s="1"/>
  <c r="F1432" i="56" s="1"/>
  <c r="F1433" i="56" s="1"/>
  <c r="F1434" i="56" s="1"/>
  <c r="F1435" i="56" s="1"/>
  <c r="F1436" i="56" s="1"/>
  <c r="F1437" i="56" s="1"/>
  <c r="F1438" i="56" s="1"/>
  <c r="F1439" i="56" s="1"/>
  <c r="F1440" i="56" s="1"/>
  <c r="F1441" i="56" s="1"/>
  <c r="F1442" i="56" s="1"/>
  <c r="F1443" i="56" s="1"/>
  <c r="F1444" i="56" s="1"/>
  <c r="F1445" i="56" s="1"/>
  <c r="F1446" i="56" s="1"/>
  <c r="F1447" i="56" s="1"/>
  <c r="F1448" i="56" s="1"/>
  <c r="F1449" i="56" s="1"/>
  <c r="F1450" i="56" s="1"/>
  <c r="F1451" i="56" s="1"/>
  <c r="F1452" i="56" s="1"/>
  <c r="F1453" i="56" s="1"/>
  <c r="F1454" i="56" s="1"/>
  <c r="F1455" i="56" s="1"/>
  <c r="F1456" i="56" s="1"/>
  <c r="F1457" i="56" s="1"/>
  <c r="F1458" i="56" s="1"/>
  <c r="F1459" i="56" s="1"/>
  <c r="F1460" i="56" s="1"/>
  <c r="F1461" i="56" s="1"/>
  <c r="F1462" i="56" s="1"/>
  <c r="F1463" i="56" s="1"/>
  <c r="F1464" i="56" s="1"/>
  <c r="F1465" i="56" s="1"/>
  <c r="F1466" i="56" s="1"/>
  <c r="F1467" i="56" s="1"/>
  <c r="F1468" i="56" s="1"/>
  <c r="F1469" i="56" s="1"/>
  <c r="F1470" i="56" s="1"/>
  <c r="F1471" i="56" s="1"/>
  <c r="F1472" i="56" s="1"/>
  <c r="F1473" i="56" s="1"/>
  <c r="F1474" i="56" s="1"/>
  <c r="F1475" i="56" s="1"/>
  <c r="F1476" i="56" s="1"/>
  <c r="F1477" i="56" s="1"/>
  <c r="F1478" i="56" s="1"/>
  <c r="F1479" i="56" s="1"/>
  <c r="F1480" i="56" s="1"/>
  <c r="F1481" i="56" s="1"/>
  <c r="F1482" i="56" s="1"/>
  <c r="F1483" i="56" s="1"/>
  <c r="F1484" i="56" s="1"/>
  <c r="F1485" i="56" s="1"/>
  <c r="F1486" i="56" s="1"/>
  <c r="F1487" i="56" s="1"/>
  <c r="F1488" i="56" s="1"/>
  <c r="F1489" i="56" s="1"/>
  <c r="F1490" i="56" s="1"/>
  <c r="F1491" i="56" s="1"/>
  <c r="F1492" i="56" s="1"/>
  <c r="F1493" i="56" s="1"/>
  <c r="F1494" i="56" s="1"/>
  <c r="F1495" i="56" s="1"/>
  <c r="F1496" i="56" s="1"/>
  <c r="F1497" i="56" s="1"/>
  <c r="F1498" i="56" s="1"/>
  <c r="F1499" i="56" s="1"/>
  <c r="F1500" i="56" s="1"/>
  <c r="F1501" i="56" s="1"/>
  <c r="F1502" i="56" s="1"/>
  <c r="F1503" i="56" s="1"/>
  <c r="F1504" i="56" s="1"/>
  <c r="F1505" i="56" s="1"/>
  <c r="F1506" i="56" s="1"/>
  <c r="F1507" i="56" s="1"/>
  <c r="F1508" i="56" s="1"/>
  <c r="F1509" i="56" s="1"/>
  <c r="F1510" i="56" s="1"/>
  <c r="F1511" i="56" s="1"/>
  <c r="F1512" i="56" s="1"/>
  <c r="F1513" i="56" s="1"/>
  <c r="F1514" i="56" s="1"/>
  <c r="F1515" i="56" s="1"/>
  <c r="F1516" i="56" s="1"/>
  <c r="F1517" i="56" s="1"/>
  <c r="F1518" i="56" s="1"/>
  <c r="F1519" i="56" s="1"/>
  <c r="F1520" i="56" s="1"/>
  <c r="F1521" i="56" s="1"/>
  <c r="F1522" i="56" s="1"/>
  <c r="F1523" i="56" s="1"/>
  <c r="F1524" i="56" s="1"/>
  <c r="F1525" i="56" s="1"/>
  <c r="F1526" i="56" s="1"/>
  <c r="F1527" i="56" s="1"/>
  <c r="F1528" i="56" s="1"/>
  <c r="F1529" i="56" s="1"/>
  <c r="F1530" i="56" s="1"/>
  <c r="F1531" i="56" s="1"/>
  <c r="F1532" i="56" s="1"/>
  <c r="F1533" i="56" s="1"/>
  <c r="F1534" i="56" s="1"/>
  <c r="F1535" i="56" s="1"/>
  <c r="F1536" i="56" s="1"/>
  <c r="F1537" i="56" s="1"/>
  <c r="F1538" i="56" s="1"/>
  <c r="F1539" i="56" s="1"/>
  <c r="F1540" i="56" s="1"/>
  <c r="F1541" i="56" s="1"/>
  <c r="F1542" i="56" s="1"/>
  <c r="F1543" i="56" s="1"/>
  <c r="F1544" i="56" s="1"/>
  <c r="F1545" i="56" s="1"/>
  <c r="F1546" i="56" s="1"/>
  <c r="F1547" i="56" s="1"/>
  <c r="F1548" i="56" s="1"/>
  <c r="F1549" i="56" s="1"/>
  <c r="F1550" i="56" s="1"/>
  <c r="F1551" i="56" s="1"/>
  <c r="F1552" i="56" s="1"/>
  <c r="F1553" i="56" s="1"/>
  <c r="F1554" i="56" s="1"/>
  <c r="F1555" i="56" s="1"/>
  <c r="F1556" i="56" s="1"/>
  <c r="F1557" i="56" s="1"/>
  <c r="F1558" i="56" s="1"/>
  <c r="F1559" i="56" s="1"/>
  <c r="F1560" i="56" s="1"/>
  <c r="F1561" i="56" s="1"/>
  <c r="F1562" i="56" s="1"/>
  <c r="F1563" i="56" s="1"/>
  <c r="F1564" i="56" s="1"/>
  <c r="F1565" i="56" s="1"/>
  <c r="F1566" i="56" s="1"/>
  <c r="F1567" i="56" s="1"/>
  <c r="F1568" i="56" s="1"/>
  <c r="F1569" i="56" s="1"/>
  <c r="F1570" i="56" s="1"/>
  <c r="F1571" i="56" s="1"/>
  <c r="F1572" i="56" s="1"/>
  <c r="F1573" i="56" s="1"/>
  <c r="F1574" i="56" s="1"/>
  <c r="F1575" i="56" s="1"/>
  <c r="F1576" i="56" s="1"/>
  <c r="F1577" i="56" s="1"/>
  <c r="F1578" i="56" s="1"/>
  <c r="F1579" i="56" s="1"/>
  <c r="F1580" i="56" s="1"/>
  <c r="F1581" i="56" s="1"/>
  <c r="F1582" i="56" s="1"/>
  <c r="F1583" i="56" s="1"/>
  <c r="F1584" i="56" s="1"/>
  <c r="F1585" i="56" s="1"/>
  <c r="F1586" i="56" s="1"/>
  <c r="F1587" i="56" s="1"/>
  <c r="F1588" i="56" s="1"/>
  <c r="F1589" i="56" s="1"/>
  <c r="F1590" i="56" s="1"/>
  <c r="F1591" i="56" s="1"/>
  <c r="F1592" i="56" s="1"/>
  <c r="F1593" i="56" s="1"/>
  <c r="F1594" i="56" s="1"/>
  <c r="F1595" i="56" s="1"/>
  <c r="F1596" i="56" s="1"/>
  <c r="F1597" i="56" s="1"/>
  <c r="F1598" i="56" s="1"/>
  <c r="F1599" i="56" s="1"/>
  <c r="F1600" i="56" s="1"/>
  <c r="F1601" i="56" s="1"/>
  <c r="F1602" i="56" s="1"/>
  <c r="F1603" i="56" s="1"/>
  <c r="F1604" i="56" s="1"/>
  <c r="F1605" i="56" s="1"/>
  <c r="F1606" i="56" s="1"/>
  <c r="F1607" i="56" s="1"/>
  <c r="F1608" i="56" s="1"/>
  <c r="F1609" i="56" s="1"/>
  <c r="F1610" i="56" s="1"/>
  <c r="F1611" i="56" s="1"/>
  <c r="F1612" i="56" s="1"/>
  <c r="F1613" i="56" s="1"/>
  <c r="F1614" i="56" s="1"/>
  <c r="F1615" i="56" s="1"/>
  <c r="F1616" i="56" s="1"/>
  <c r="F1617" i="56" s="1"/>
  <c r="F1618" i="56" s="1"/>
  <c r="F1619" i="56" s="1"/>
  <c r="F1620" i="56" s="1"/>
  <c r="F1621" i="56" s="1"/>
  <c r="F1622" i="56" s="1"/>
  <c r="F1623" i="56" s="1"/>
  <c r="F1624" i="56" s="1"/>
  <c r="F1625" i="56" s="1"/>
  <c r="F1626" i="56" s="1"/>
  <c r="F1627" i="56" s="1"/>
  <c r="F1628" i="56" s="1"/>
  <c r="F1629" i="56" s="1"/>
  <c r="F1630" i="56" s="1"/>
  <c r="F1631" i="56" s="1"/>
  <c r="F1632" i="56" s="1"/>
  <c r="F1633" i="56" s="1"/>
  <c r="F1634" i="56" s="1"/>
  <c r="F1635" i="56" s="1"/>
  <c r="F1636" i="56" s="1"/>
  <c r="F1637" i="56" s="1"/>
  <c r="F1638" i="56" s="1"/>
  <c r="F1639" i="56" s="1"/>
  <c r="F1640" i="56" s="1"/>
  <c r="F1641" i="56" s="1"/>
  <c r="F1642" i="56" s="1"/>
  <c r="F1643" i="56" s="1"/>
  <c r="F1644" i="56" s="1"/>
  <c r="F1645" i="56" s="1"/>
  <c r="F1646" i="56" s="1"/>
  <c r="F1647" i="56" s="1"/>
  <c r="F1648" i="56" s="1"/>
  <c r="F1649" i="56" s="1"/>
  <c r="F1650" i="56" s="1"/>
  <c r="F1651" i="56" s="1"/>
  <c r="F1652" i="56" s="1"/>
  <c r="F1653" i="56" s="1"/>
  <c r="F1654" i="56" s="1"/>
  <c r="F1655" i="56" s="1"/>
  <c r="F1656" i="56" s="1"/>
  <c r="F1657" i="56" s="1"/>
  <c r="F1658" i="56" s="1"/>
  <c r="F1659" i="56" s="1"/>
  <c r="F1660" i="56" s="1"/>
  <c r="F1661" i="56" s="1"/>
  <c r="F1662" i="56" s="1"/>
  <c r="F1663" i="56" s="1"/>
  <c r="F1664" i="56" s="1"/>
  <c r="F1665" i="56" s="1"/>
  <c r="F1666" i="56" s="1"/>
  <c r="F1667" i="56" s="1"/>
  <c r="F1668" i="56" s="1"/>
  <c r="F1669" i="56" s="1"/>
  <c r="F1670" i="56" s="1"/>
  <c r="F1671" i="56" s="1"/>
  <c r="F1672" i="56" s="1"/>
  <c r="F1673" i="56" s="1"/>
  <c r="F1674" i="56" s="1"/>
  <c r="F1675" i="56" s="1"/>
  <c r="F1676" i="56" s="1"/>
  <c r="F1677" i="56" s="1"/>
  <c r="F1678" i="56" s="1"/>
  <c r="F1679" i="56" s="1"/>
  <c r="F1680" i="56" s="1"/>
  <c r="F1681" i="56" s="1"/>
  <c r="F1682" i="56" s="1"/>
  <c r="F1683" i="56" s="1"/>
  <c r="F1684" i="56" s="1"/>
  <c r="F1685" i="56" s="1"/>
  <c r="F1686" i="56" s="1"/>
  <c r="F1687" i="56" s="1"/>
  <c r="F1688" i="56" s="1"/>
  <c r="F1689" i="56" s="1"/>
  <c r="F1690" i="56" s="1"/>
  <c r="F1691" i="56" s="1"/>
  <c r="F1692" i="56" s="1"/>
  <c r="F1693" i="56" s="1"/>
  <c r="F1694" i="56" s="1"/>
  <c r="F1695" i="56" s="1"/>
  <c r="F1696" i="56" s="1"/>
  <c r="F1697" i="56" s="1"/>
  <c r="F1698" i="56" s="1"/>
  <c r="F1699" i="56" s="1"/>
  <c r="F1700" i="56" s="1"/>
  <c r="F1701" i="56" s="1"/>
  <c r="F1702" i="56" s="1"/>
  <c r="F1703" i="56" s="1"/>
  <c r="F1704" i="56" s="1"/>
  <c r="F1705" i="56" s="1"/>
  <c r="F1706" i="56" s="1"/>
  <c r="F1707" i="56" s="1"/>
  <c r="F1708" i="56" s="1"/>
  <c r="F1709" i="56" s="1"/>
  <c r="F1710" i="56" s="1"/>
  <c r="F1711" i="56" s="1"/>
  <c r="F1712" i="56" s="1"/>
  <c r="F1713" i="56" s="1"/>
  <c r="F1714" i="56" s="1"/>
  <c r="F1715" i="56" s="1"/>
  <c r="F1716" i="56" s="1"/>
  <c r="F1717" i="56" s="1"/>
  <c r="F1718" i="56" s="1"/>
  <c r="F1719" i="56" s="1"/>
  <c r="F1720" i="56" s="1"/>
  <c r="F1721" i="56" s="1"/>
  <c r="F1722" i="56" s="1"/>
  <c r="F1723" i="56" s="1"/>
  <c r="F1724" i="56" s="1"/>
  <c r="F1725" i="56" s="1"/>
  <c r="F1726" i="56" s="1"/>
  <c r="F1727" i="56" s="1"/>
  <c r="F1728" i="56" s="1"/>
  <c r="F1729" i="56" s="1"/>
  <c r="F1730" i="56" s="1"/>
  <c r="F1731" i="56" s="1"/>
  <c r="F1732" i="56" s="1"/>
  <c r="F1733" i="56" s="1"/>
  <c r="F1734" i="56" s="1"/>
  <c r="F1735" i="56" s="1"/>
  <c r="F1736" i="56" s="1"/>
  <c r="F1737" i="56" s="1"/>
  <c r="F1738" i="56" s="1"/>
  <c r="F1739" i="56" s="1"/>
  <c r="F1740" i="56" s="1"/>
  <c r="F1741" i="56" s="1"/>
  <c r="F1742" i="56" s="1"/>
  <c r="F1743" i="56" s="1"/>
  <c r="F1744" i="56" s="1"/>
  <c r="F1745" i="56" s="1"/>
  <c r="F1746" i="56" s="1"/>
  <c r="F1747" i="56" s="1"/>
  <c r="F1748" i="56" s="1"/>
  <c r="F1749" i="56" s="1"/>
  <c r="F1750" i="56" s="1"/>
  <c r="F1751" i="56" s="1"/>
  <c r="F1752" i="56" s="1"/>
  <c r="F1753" i="56" s="1"/>
  <c r="F1754" i="56" s="1"/>
  <c r="F1755" i="56" s="1"/>
  <c r="F1756" i="56" s="1"/>
  <c r="F1757" i="56" s="1"/>
  <c r="F1758" i="56" s="1"/>
  <c r="F1759" i="56" s="1"/>
  <c r="F1760" i="56" s="1"/>
  <c r="F1761" i="56" s="1"/>
  <c r="F1762" i="56" s="1"/>
  <c r="F1763" i="56" s="1"/>
  <c r="F1764" i="56" s="1"/>
  <c r="F1765" i="56" s="1"/>
  <c r="F1766" i="56" s="1"/>
  <c r="F1767" i="56" s="1"/>
  <c r="F1768" i="56" s="1"/>
  <c r="F1769" i="56" s="1"/>
  <c r="F1770" i="56" s="1"/>
  <c r="F1771" i="56" s="1"/>
  <c r="F1772" i="56" s="1"/>
  <c r="F1773" i="56" s="1"/>
  <c r="F1774" i="56" s="1"/>
  <c r="F1775" i="56" s="1"/>
  <c r="F1776" i="56" s="1"/>
  <c r="F1777" i="56" s="1"/>
  <c r="F1778" i="56" s="1"/>
  <c r="F1779" i="56" s="1"/>
  <c r="F1780" i="56" s="1"/>
  <c r="F1781" i="56" s="1"/>
  <c r="F1782" i="56" s="1"/>
  <c r="F1783" i="56" s="1"/>
  <c r="F1784" i="56" s="1"/>
  <c r="F1785" i="56" s="1"/>
  <c r="F1786" i="56" s="1"/>
  <c r="F1787" i="56" s="1"/>
  <c r="F1788" i="56" s="1"/>
  <c r="F1789" i="56" s="1"/>
  <c r="F1790" i="56" s="1"/>
  <c r="F1791" i="56" s="1"/>
  <c r="F1792" i="56" s="1"/>
  <c r="F1793" i="56" s="1"/>
  <c r="F1794" i="56" s="1"/>
  <c r="F1795" i="56" s="1"/>
  <c r="F1796" i="56" s="1"/>
  <c r="F1797" i="56" s="1"/>
  <c r="F1798" i="56" s="1"/>
  <c r="F1799" i="56" s="1"/>
  <c r="F1800" i="56" s="1"/>
  <c r="F1801" i="56" s="1"/>
  <c r="F1802" i="56" s="1"/>
  <c r="F1803" i="56" s="1"/>
  <c r="F1804" i="56" s="1"/>
  <c r="F1805" i="56" s="1"/>
  <c r="F1806" i="56" s="1"/>
  <c r="F1807" i="56" s="1"/>
  <c r="F1808" i="56" s="1"/>
  <c r="F1809" i="56" s="1"/>
  <c r="F1810" i="56" s="1"/>
  <c r="F1811" i="56" s="1"/>
  <c r="F1812" i="56" s="1"/>
  <c r="F1813" i="56" s="1"/>
  <c r="F1814" i="56" s="1"/>
  <c r="F1815" i="56" s="1"/>
  <c r="F1816" i="56" s="1"/>
  <c r="F1817" i="56" s="1"/>
  <c r="F1818" i="56" s="1"/>
  <c r="F1819" i="56" s="1"/>
  <c r="F1820" i="56" s="1"/>
  <c r="F1821" i="56" s="1"/>
  <c r="F1822" i="56" s="1"/>
  <c r="F1823" i="56" s="1"/>
  <c r="F1824" i="56" s="1"/>
  <c r="F1825" i="56" s="1"/>
  <c r="F1826" i="56" s="1"/>
  <c r="F1827" i="56" s="1"/>
  <c r="F1828" i="56" s="1"/>
  <c r="F1829" i="56" s="1"/>
  <c r="F1830" i="56" s="1"/>
  <c r="F1831" i="56" s="1"/>
  <c r="F1832" i="56" s="1"/>
  <c r="F1833" i="56" s="1"/>
  <c r="F1834" i="56" s="1"/>
  <c r="F1835" i="56" s="1"/>
  <c r="F1836" i="56" s="1"/>
  <c r="F1837" i="56" s="1"/>
  <c r="F1838" i="56" s="1"/>
  <c r="F1839" i="56" s="1"/>
  <c r="F1840" i="56" s="1"/>
  <c r="F1841" i="56" s="1"/>
  <c r="F1842" i="56" s="1"/>
  <c r="F1843" i="56" s="1"/>
  <c r="F1844" i="56" s="1"/>
  <c r="F1845" i="56" s="1"/>
  <c r="F1846" i="56" s="1"/>
  <c r="F1847" i="56" s="1"/>
  <c r="F1848" i="56" s="1"/>
  <c r="F1849" i="56" s="1"/>
  <c r="F1850" i="56" s="1"/>
  <c r="F1851" i="56" s="1"/>
  <c r="F1852" i="56" s="1"/>
  <c r="F1853" i="56" s="1"/>
  <c r="F1854" i="56" s="1"/>
  <c r="F1855" i="56" s="1"/>
  <c r="F1856" i="56" s="1"/>
  <c r="F1857" i="56" s="1"/>
  <c r="F1858" i="56" s="1"/>
  <c r="F1859" i="56" s="1"/>
  <c r="F1860" i="56" s="1"/>
  <c r="F1861" i="56" s="1"/>
  <c r="F1862" i="56" s="1"/>
  <c r="F1863" i="56" s="1"/>
  <c r="F1864" i="56" s="1"/>
  <c r="F1865" i="56" s="1"/>
  <c r="F1866" i="56" s="1"/>
  <c r="F1867" i="56" s="1"/>
  <c r="F1868" i="56" s="1"/>
  <c r="F1869" i="56" s="1"/>
  <c r="F1870" i="56" s="1"/>
  <c r="F1871" i="56" s="1"/>
  <c r="F1872" i="56" s="1"/>
  <c r="F1873" i="56" s="1"/>
  <c r="F1874" i="56" s="1"/>
  <c r="F1875" i="56" s="1"/>
  <c r="F1876" i="56" s="1"/>
  <c r="F1877" i="56" s="1"/>
  <c r="F1878" i="56" s="1"/>
  <c r="F1879" i="56" s="1"/>
  <c r="F1880" i="56" s="1"/>
  <c r="F1881" i="56" s="1"/>
  <c r="F1882" i="56" s="1"/>
  <c r="F1883" i="56" s="1"/>
  <c r="F1884" i="56" s="1"/>
  <c r="F1885" i="56" s="1"/>
  <c r="F1886" i="56" s="1"/>
  <c r="F1887" i="56" s="1"/>
  <c r="F1888" i="56" s="1"/>
  <c r="F1889" i="56" s="1"/>
  <c r="F1890" i="56" s="1"/>
  <c r="F1891" i="56" s="1"/>
  <c r="F1892" i="56" s="1"/>
  <c r="F1893" i="56" s="1"/>
  <c r="F1894" i="56" s="1"/>
  <c r="F1895" i="56" s="1"/>
  <c r="F1896" i="56" s="1"/>
  <c r="F1897" i="56" s="1"/>
  <c r="F1898" i="56" s="1"/>
  <c r="F1899" i="56" s="1"/>
  <c r="F1900" i="56" s="1"/>
  <c r="F1901" i="56" s="1"/>
  <c r="F1902" i="56" s="1"/>
  <c r="F1903" i="56" s="1"/>
  <c r="F1904" i="56" s="1"/>
  <c r="F1905" i="56" s="1"/>
  <c r="F1906" i="56" s="1"/>
  <c r="F1907" i="56" s="1"/>
  <c r="F1908" i="56" s="1"/>
  <c r="F1909" i="56" s="1"/>
  <c r="F1910" i="56" s="1"/>
  <c r="F1911" i="56" s="1"/>
  <c r="F1912" i="56" s="1"/>
  <c r="F1913" i="56" s="1"/>
  <c r="F1914" i="56" s="1"/>
  <c r="F1915" i="56" s="1"/>
  <c r="F1916" i="56" s="1"/>
  <c r="F1917" i="56" s="1"/>
  <c r="F1918" i="56" s="1"/>
  <c r="F1919" i="56" s="1"/>
  <c r="F1920" i="56" s="1"/>
  <c r="F1921" i="56" s="1"/>
  <c r="F1922" i="56" s="1"/>
  <c r="F1923" i="56" s="1"/>
  <c r="F1924" i="56" s="1"/>
  <c r="F1925" i="56" s="1"/>
  <c r="F1926" i="56" s="1"/>
  <c r="F1927" i="56" s="1"/>
  <c r="F1928" i="56" s="1"/>
  <c r="F1929" i="56" s="1"/>
  <c r="F1930" i="56" s="1"/>
  <c r="F1931" i="56" s="1"/>
  <c r="F1932" i="56" s="1"/>
  <c r="F1933" i="56" s="1"/>
  <c r="F1934" i="56" s="1"/>
  <c r="F1935" i="56" s="1"/>
  <c r="F1936" i="56" s="1"/>
  <c r="F1937" i="56" s="1"/>
  <c r="F1938" i="56" s="1"/>
  <c r="F1939" i="56" s="1"/>
  <c r="F1940" i="56" s="1"/>
  <c r="F1941" i="56" s="1"/>
  <c r="F1942" i="56" s="1"/>
  <c r="F1943" i="56" s="1"/>
  <c r="F1944" i="56" s="1"/>
  <c r="F1945" i="56" s="1"/>
  <c r="F1946" i="56" s="1"/>
  <c r="F1947" i="56" s="1"/>
  <c r="F1948" i="56" s="1"/>
  <c r="F1949" i="56" s="1"/>
  <c r="F1950" i="56" s="1"/>
  <c r="F1951" i="56" s="1"/>
  <c r="F1952" i="56" s="1"/>
  <c r="F1953" i="56" s="1"/>
  <c r="F1954" i="56" s="1"/>
  <c r="F1955" i="56" s="1"/>
  <c r="F1956" i="56" s="1"/>
  <c r="F1957" i="56" s="1"/>
  <c r="F1958" i="56" s="1"/>
  <c r="F1959" i="56" s="1"/>
  <c r="F1960" i="56" s="1"/>
  <c r="F1961" i="56" s="1"/>
  <c r="F1962" i="56" s="1"/>
  <c r="F1963" i="56" s="1"/>
  <c r="F1964" i="56" s="1"/>
  <c r="F1965" i="56" s="1"/>
  <c r="F1966" i="56" s="1"/>
  <c r="F1967" i="56" s="1"/>
  <c r="F1968" i="56" s="1"/>
  <c r="F1969" i="56" s="1"/>
  <c r="F1970" i="56" s="1"/>
  <c r="F1971" i="56" s="1"/>
  <c r="F1972" i="56" s="1"/>
  <c r="F1973" i="56" s="1"/>
  <c r="F1974" i="56" s="1"/>
  <c r="F1975" i="56" s="1"/>
  <c r="F1976" i="56" s="1"/>
  <c r="F1977" i="56" s="1"/>
  <c r="F1978" i="56" s="1"/>
  <c r="F1979" i="56" s="1"/>
  <c r="F1980" i="56" s="1"/>
  <c r="F1981" i="56" s="1"/>
  <c r="F1982" i="56" s="1"/>
  <c r="F1983" i="56" s="1"/>
  <c r="F1984" i="56" s="1"/>
  <c r="F1985" i="56" s="1"/>
  <c r="F1986" i="56" s="1"/>
  <c r="F1987" i="56" s="1"/>
  <c r="F1988" i="56" s="1"/>
  <c r="F1989" i="56" s="1"/>
  <c r="F1990" i="56" s="1"/>
  <c r="F1991" i="56" s="1"/>
  <c r="F1992" i="56" s="1"/>
  <c r="F1993" i="56" s="1"/>
  <c r="F1994" i="56" s="1"/>
  <c r="F1995" i="56" s="1"/>
  <c r="F1996" i="56" s="1"/>
  <c r="F1997" i="56" s="1"/>
  <c r="F1998" i="56" s="1"/>
  <c r="F1999" i="56" s="1"/>
  <c r="F2000" i="56" s="1"/>
  <c r="F2001" i="56" s="1"/>
  <c r="F2002" i="56" s="1"/>
  <c r="F2003" i="56" s="1"/>
  <c r="F2004" i="56" s="1"/>
  <c r="F2005" i="56" s="1"/>
  <c r="F2006" i="56" s="1"/>
  <c r="F2007" i="56" s="1"/>
  <c r="F2008" i="56" s="1"/>
  <c r="F2009" i="56" s="1"/>
  <c r="F2010" i="56" s="1"/>
  <c r="F2011" i="56" s="1"/>
  <c r="F2012" i="56" s="1"/>
  <c r="F2013" i="56" s="1"/>
  <c r="F2014" i="56" s="1"/>
  <c r="F2015" i="56" s="1"/>
  <c r="F2016" i="56" s="1"/>
  <c r="F2017" i="56" s="1"/>
  <c r="F2018" i="56" s="1"/>
  <c r="F2019" i="56" s="1"/>
  <c r="F2020" i="56" s="1"/>
  <c r="F2021" i="56" s="1"/>
  <c r="F2022" i="56" s="1"/>
  <c r="F2023" i="56" s="1"/>
  <c r="F2024" i="56" s="1"/>
  <c r="F2025" i="56" s="1"/>
  <c r="F2026" i="56" s="1"/>
  <c r="F2027" i="56" s="1"/>
  <c r="F2028" i="56" s="1"/>
  <c r="F2029" i="56" s="1"/>
  <c r="F2030" i="56" s="1"/>
  <c r="F2031" i="56" s="1"/>
  <c r="F2032" i="56" s="1"/>
  <c r="F2033" i="56" s="1"/>
  <c r="F2034" i="56" s="1"/>
  <c r="F2035" i="56" s="1"/>
  <c r="F2036" i="56" s="1"/>
  <c r="F2037" i="56" s="1"/>
  <c r="F2038" i="56" s="1"/>
  <c r="F2039" i="56" s="1"/>
  <c r="F2040" i="56" s="1"/>
  <c r="F2041" i="56" s="1"/>
  <c r="F2042" i="56" s="1"/>
  <c r="F2043" i="56" s="1"/>
  <c r="F2044" i="56" s="1"/>
  <c r="F2045" i="56" s="1"/>
  <c r="F2046" i="56" s="1"/>
  <c r="F2047" i="56" s="1"/>
  <c r="F2048" i="56" s="1"/>
  <c r="F2049" i="56" s="1"/>
  <c r="F2050" i="56" s="1"/>
  <c r="F2051" i="56" s="1"/>
  <c r="F2052" i="56" s="1"/>
  <c r="F2053" i="56" s="1"/>
  <c r="F2054" i="56" s="1"/>
  <c r="F2055" i="56" s="1"/>
  <c r="F2056" i="56" s="1"/>
  <c r="F2057" i="56" s="1"/>
  <c r="F2058" i="56" s="1"/>
  <c r="F2059" i="56" s="1"/>
  <c r="F2060" i="56" s="1"/>
  <c r="F2061" i="56" s="1"/>
  <c r="F2062" i="56" s="1"/>
  <c r="F2063" i="56" s="1"/>
  <c r="F2064" i="56" s="1"/>
  <c r="F2065" i="56" s="1"/>
  <c r="F2066" i="56" s="1"/>
  <c r="F2067" i="56" s="1"/>
  <c r="F2068" i="56" s="1"/>
  <c r="F2069" i="56" s="1"/>
  <c r="F2070" i="56" s="1"/>
  <c r="F2071" i="56" s="1"/>
  <c r="F2072" i="56" s="1"/>
  <c r="F2073" i="56" s="1"/>
  <c r="F2074" i="56" s="1"/>
  <c r="F2075" i="56" s="1"/>
  <c r="F2076" i="56" s="1"/>
  <c r="F2077" i="56" s="1"/>
  <c r="F2078" i="56" s="1"/>
  <c r="F2079" i="56" s="1"/>
  <c r="F2080" i="56" s="1"/>
  <c r="F2081" i="56" s="1"/>
  <c r="F2082" i="56" s="1"/>
  <c r="F2083" i="56" s="1"/>
  <c r="F2084" i="56" s="1"/>
  <c r="F2085" i="56" s="1"/>
  <c r="F2086" i="56" s="1"/>
  <c r="F2087" i="56" s="1"/>
  <c r="F2088" i="56" s="1"/>
  <c r="F2089" i="56" s="1"/>
  <c r="F2090" i="56" s="1"/>
  <c r="F2091" i="56" s="1"/>
  <c r="F2092" i="56" s="1"/>
  <c r="F2093" i="56" s="1"/>
  <c r="F2094" i="56" s="1"/>
  <c r="F2095" i="56" s="1"/>
  <c r="F2096" i="56" s="1"/>
  <c r="F2097" i="56" s="1"/>
  <c r="F2098" i="56" s="1"/>
  <c r="F2099" i="56" s="1"/>
  <c r="F2100" i="56" s="1"/>
  <c r="F2101" i="56" s="1"/>
  <c r="F2102" i="56" s="1"/>
  <c r="F2103" i="56" s="1"/>
  <c r="F2104" i="56" s="1"/>
  <c r="F2105" i="56" s="1"/>
  <c r="F2106" i="56" s="1"/>
  <c r="F2107" i="56" s="1"/>
  <c r="F2108" i="56" s="1"/>
  <c r="F2109" i="56" s="1"/>
  <c r="F2110" i="56" s="1"/>
  <c r="F2111" i="56" s="1"/>
  <c r="F2112" i="56" s="1"/>
  <c r="F2113" i="56" s="1"/>
  <c r="F2114" i="56" s="1"/>
  <c r="F2115" i="56" s="1"/>
  <c r="F2116" i="56" s="1"/>
  <c r="F2117" i="56" s="1"/>
  <c r="F2118" i="56" s="1"/>
  <c r="F2119" i="56" s="1"/>
  <c r="F2120" i="56" s="1"/>
  <c r="F2121" i="56" s="1"/>
  <c r="F2122" i="56" s="1"/>
  <c r="F2123" i="56" s="1"/>
  <c r="F2124" i="56" s="1"/>
  <c r="F2125" i="56" s="1"/>
  <c r="F2126" i="56" s="1"/>
  <c r="F2127" i="56" s="1"/>
  <c r="F2128" i="56" s="1"/>
  <c r="F2129" i="56" s="1"/>
  <c r="F2130" i="56" s="1"/>
  <c r="F2131" i="56" s="1"/>
  <c r="F2132" i="56" s="1"/>
  <c r="F2133" i="56" s="1"/>
  <c r="F2134" i="56" s="1"/>
  <c r="F2135" i="56" s="1"/>
  <c r="F2136" i="56" s="1"/>
  <c r="F2137" i="56" s="1"/>
  <c r="F2138" i="56" s="1"/>
  <c r="F2139" i="56" s="1"/>
  <c r="F2140" i="56" s="1"/>
  <c r="F2141" i="56" s="1"/>
  <c r="F2142" i="56" s="1"/>
  <c r="F2143" i="56" s="1"/>
  <c r="F2144" i="56" s="1"/>
  <c r="F2145" i="56" s="1"/>
  <c r="F2146" i="56" s="1"/>
  <c r="F2147" i="56" s="1"/>
  <c r="F2148" i="56" s="1"/>
  <c r="F2149" i="56" s="1"/>
  <c r="F2150" i="56" s="1"/>
  <c r="F2151" i="56" s="1"/>
  <c r="F2152" i="56" s="1"/>
  <c r="F2153" i="56" s="1"/>
  <c r="F2154" i="56" s="1"/>
  <c r="F2155" i="56" s="1"/>
  <c r="F2156" i="56" s="1"/>
  <c r="F2157" i="56" s="1"/>
  <c r="F2158" i="56" s="1"/>
  <c r="F2159" i="56" s="1"/>
  <c r="F2160" i="56" s="1"/>
  <c r="F2161" i="56" s="1"/>
  <c r="F2162" i="56" s="1"/>
  <c r="F2163" i="56" s="1"/>
  <c r="F2164" i="56" s="1"/>
  <c r="F2165" i="56" s="1"/>
  <c r="F2166" i="56" s="1"/>
  <c r="F2167" i="56" s="1"/>
  <c r="F2168" i="56" s="1"/>
  <c r="F2169" i="56" s="1"/>
  <c r="F2170" i="56" s="1"/>
  <c r="F2171" i="56" s="1"/>
  <c r="F2172" i="56" s="1"/>
  <c r="F2173" i="56" s="1"/>
  <c r="F2174" i="56" s="1"/>
  <c r="F2175" i="56" s="1"/>
  <c r="F2176" i="56" s="1"/>
  <c r="F2177" i="56" s="1"/>
  <c r="F2178" i="56" s="1"/>
  <c r="F2179" i="56" s="1"/>
  <c r="F2180" i="56" s="1"/>
  <c r="F2181" i="56" s="1"/>
  <c r="F2182" i="56" s="1"/>
  <c r="F2183" i="56" s="1"/>
  <c r="F2184" i="56" s="1"/>
  <c r="F2185" i="56" s="1"/>
  <c r="F2186" i="56" s="1"/>
  <c r="F2187" i="56" s="1"/>
  <c r="F2188" i="56" s="1"/>
  <c r="F2189" i="56" s="1"/>
  <c r="F2190" i="56" s="1"/>
  <c r="F2191" i="56" s="1"/>
  <c r="F2192" i="56" s="1"/>
  <c r="F2193" i="56" s="1"/>
  <c r="F2194" i="56" s="1"/>
  <c r="F2195" i="56" s="1"/>
  <c r="F2196" i="56" s="1"/>
  <c r="F2197" i="56" s="1"/>
  <c r="F2198" i="56" s="1"/>
  <c r="F2199" i="56" s="1"/>
  <c r="F2200" i="56" s="1"/>
  <c r="F2201" i="56" s="1"/>
  <c r="F2202" i="56" s="1"/>
  <c r="F2203" i="56" s="1"/>
  <c r="F2204" i="56" s="1"/>
  <c r="F2205" i="56" s="1"/>
  <c r="F2206" i="56" s="1"/>
  <c r="F2207" i="56" s="1"/>
  <c r="F2208" i="56" s="1"/>
  <c r="F2209" i="56" s="1"/>
  <c r="F2210" i="56" s="1"/>
  <c r="F2211" i="56" s="1"/>
  <c r="F2212" i="56" s="1"/>
  <c r="F2213" i="56" s="1"/>
  <c r="F2214" i="56" s="1"/>
  <c r="F2215" i="56" s="1"/>
  <c r="F2216" i="56" s="1"/>
  <c r="F2217" i="56" s="1"/>
  <c r="F2218" i="56" s="1"/>
  <c r="F2219" i="56" s="1"/>
  <c r="F2220" i="56" s="1"/>
  <c r="F2221" i="56" s="1"/>
  <c r="F2222" i="56" s="1"/>
  <c r="F2223" i="56" s="1"/>
  <c r="F2224" i="56" s="1"/>
  <c r="F2225" i="56" s="1"/>
  <c r="F2226" i="56" s="1"/>
  <c r="F2227" i="56" s="1"/>
  <c r="F2228" i="56" s="1"/>
  <c r="F2229" i="56" s="1"/>
  <c r="F2230" i="56" s="1"/>
  <c r="F2231" i="56" s="1"/>
  <c r="F2232" i="56" s="1"/>
  <c r="F2233" i="56" s="1"/>
  <c r="F2234" i="56" s="1"/>
  <c r="F2235" i="56" s="1"/>
  <c r="F2236" i="56" s="1"/>
  <c r="F2237" i="56" s="1"/>
  <c r="F2238" i="56" s="1"/>
  <c r="F2239" i="56" s="1"/>
  <c r="F2240" i="56" s="1"/>
  <c r="F2241" i="56" s="1"/>
  <c r="F2242" i="56" s="1"/>
  <c r="F2243" i="56" s="1"/>
  <c r="F2244" i="56" s="1"/>
  <c r="F2245" i="56" s="1"/>
  <c r="F2246" i="56" s="1"/>
  <c r="F2247" i="56" s="1"/>
  <c r="F2248" i="56" s="1"/>
  <c r="F2249" i="56" s="1"/>
  <c r="F2250" i="56" s="1"/>
  <c r="F2251" i="56" s="1"/>
  <c r="F2252" i="56" s="1"/>
  <c r="F2253" i="56" s="1"/>
  <c r="F2254" i="56" s="1"/>
  <c r="F2255" i="56" s="1"/>
  <c r="F2256" i="56" s="1"/>
  <c r="F2257" i="56" s="1"/>
  <c r="F2258" i="56" s="1"/>
  <c r="F2259" i="56" s="1"/>
  <c r="F2260" i="56" s="1"/>
  <c r="F2261" i="56" s="1"/>
  <c r="F2262" i="56" s="1"/>
  <c r="F2263" i="56" s="1"/>
  <c r="F2264" i="56" s="1"/>
  <c r="F2265" i="56" s="1"/>
  <c r="F2266" i="56" s="1"/>
  <c r="F2267" i="56" s="1"/>
  <c r="F2268" i="56" s="1"/>
  <c r="F2269" i="56" s="1"/>
  <c r="F2270" i="56" s="1"/>
  <c r="F2271" i="56" s="1"/>
  <c r="F2272" i="56" s="1"/>
  <c r="F2273" i="56" s="1"/>
  <c r="F2274" i="56" s="1"/>
  <c r="F2275" i="56" s="1"/>
  <c r="F2276" i="56" s="1"/>
  <c r="F2277" i="56" s="1"/>
  <c r="F2278" i="56" s="1"/>
  <c r="F2279" i="56" s="1"/>
  <c r="F2280" i="56" s="1"/>
  <c r="F2281" i="56" s="1"/>
  <c r="F2282" i="56" s="1"/>
  <c r="F2283" i="56" s="1"/>
  <c r="F2284" i="56" s="1"/>
  <c r="F2285" i="56" s="1"/>
  <c r="F2286" i="56" s="1"/>
  <c r="F2287" i="56" s="1"/>
  <c r="F2288" i="56" s="1"/>
  <c r="F2289" i="56" s="1"/>
  <c r="F2290" i="56" s="1"/>
  <c r="F2291" i="56" s="1"/>
  <c r="F2292" i="56" s="1"/>
  <c r="F2293" i="56" s="1"/>
  <c r="F2294" i="56" s="1"/>
  <c r="F2295" i="56" s="1"/>
  <c r="F2296" i="56" s="1"/>
  <c r="F2297" i="56" s="1"/>
  <c r="F2298" i="56" s="1"/>
  <c r="F2299" i="56" s="1"/>
  <c r="F2300" i="56" s="1"/>
  <c r="F2301" i="56" s="1"/>
  <c r="F2302" i="56" s="1"/>
  <c r="F2303" i="56" s="1"/>
  <c r="F2304" i="56" s="1"/>
  <c r="F2305" i="56" s="1"/>
  <c r="F2306" i="56" s="1"/>
  <c r="F2307" i="56" s="1"/>
  <c r="F2308" i="56" s="1"/>
  <c r="F2309" i="56" s="1"/>
  <c r="F2310" i="56" s="1"/>
  <c r="F2311" i="56" s="1"/>
  <c r="F2312" i="56" s="1"/>
  <c r="F2313" i="56" s="1"/>
  <c r="F2314" i="56" s="1"/>
  <c r="F2315" i="56" s="1"/>
  <c r="F2316" i="56" s="1"/>
  <c r="F2317" i="56" s="1"/>
  <c r="F2318" i="56" s="1"/>
  <c r="F2319" i="56" s="1"/>
  <c r="F2320" i="56" s="1"/>
  <c r="F2321" i="56" s="1"/>
  <c r="F2322" i="56" s="1"/>
  <c r="F2323" i="56" s="1"/>
  <c r="F2324" i="56" s="1"/>
  <c r="F2325" i="56" s="1"/>
  <c r="F2326" i="56" s="1"/>
  <c r="F2327" i="56" s="1"/>
  <c r="F2328" i="56" s="1"/>
  <c r="F2329" i="56" s="1"/>
  <c r="F2330" i="56" s="1"/>
  <c r="F2331" i="56" s="1"/>
  <c r="F2332" i="56" s="1"/>
  <c r="F2333" i="56" s="1"/>
  <c r="F2334" i="56" s="1"/>
  <c r="F2335" i="56" s="1"/>
  <c r="F2336" i="56" s="1"/>
  <c r="F2337" i="56" s="1"/>
  <c r="F2338" i="56" s="1"/>
  <c r="F2339" i="56" s="1"/>
  <c r="F2340" i="56" s="1"/>
  <c r="F2341" i="56" s="1"/>
  <c r="F2342" i="56" s="1"/>
  <c r="F2343" i="56" s="1"/>
  <c r="F2344" i="56" s="1"/>
  <c r="F2345" i="56" s="1"/>
  <c r="F2346" i="56" s="1"/>
  <c r="F2347" i="56" s="1"/>
  <c r="F2348" i="56" s="1"/>
  <c r="F2349" i="56" s="1"/>
  <c r="F2350" i="56" s="1"/>
  <c r="F2351" i="56" s="1"/>
  <c r="F2352" i="56" s="1"/>
  <c r="F2353" i="56" s="1"/>
  <c r="F2354" i="56" s="1"/>
  <c r="F2355" i="56" s="1"/>
  <c r="F2356" i="56" s="1"/>
  <c r="F2357" i="56" s="1"/>
  <c r="F2358" i="56" s="1"/>
  <c r="F2359" i="56" s="1"/>
  <c r="F2360" i="56" s="1"/>
  <c r="F2361" i="56" s="1"/>
  <c r="F2362" i="56" s="1"/>
  <c r="F2363" i="56" s="1"/>
  <c r="F2364" i="56" s="1"/>
  <c r="F2365" i="56" s="1"/>
  <c r="F2366" i="56" s="1"/>
  <c r="F2367" i="56" s="1"/>
  <c r="F2368" i="56" s="1"/>
  <c r="F2369" i="56" s="1"/>
  <c r="F2370" i="56" s="1"/>
  <c r="F2371" i="56" s="1"/>
  <c r="F2372" i="56" s="1"/>
  <c r="F2373" i="56" s="1"/>
  <c r="F2374" i="56" s="1"/>
  <c r="F2375" i="56" s="1"/>
  <c r="F2376" i="56" s="1"/>
  <c r="F2377" i="56" s="1"/>
  <c r="F2378" i="56" s="1"/>
  <c r="F2379" i="56" s="1"/>
  <c r="F2380" i="56" s="1"/>
  <c r="F2381" i="56" s="1"/>
  <c r="F2382" i="56" s="1"/>
  <c r="F2383" i="56" s="1"/>
  <c r="F2384" i="56" s="1"/>
  <c r="F2385" i="56" s="1"/>
  <c r="F2386" i="56" s="1"/>
  <c r="F2387" i="56" s="1"/>
  <c r="F2388" i="56" s="1"/>
  <c r="F2389" i="56" s="1"/>
  <c r="F2390" i="56" s="1"/>
  <c r="F2391" i="56" s="1"/>
  <c r="F2392" i="56" s="1"/>
  <c r="F2393" i="56" s="1"/>
  <c r="F2394" i="56" s="1"/>
  <c r="F2395" i="56" s="1"/>
  <c r="F2396" i="56" s="1"/>
  <c r="F2397" i="56" s="1"/>
  <c r="F2398" i="56" s="1"/>
  <c r="F2399" i="56" s="1"/>
  <c r="F2400" i="56" s="1"/>
  <c r="F2401" i="56" s="1"/>
  <c r="F2402" i="56" s="1"/>
  <c r="F2403" i="56" s="1"/>
  <c r="F2404" i="56" s="1"/>
  <c r="F2405" i="56" s="1"/>
  <c r="F2406" i="56" s="1"/>
  <c r="F2407" i="56" s="1"/>
  <c r="F2408" i="56" s="1"/>
  <c r="F2409" i="56" s="1"/>
  <c r="F2410" i="56" s="1"/>
  <c r="F2411" i="56" s="1"/>
  <c r="F2412" i="56" s="1"/>
  <c r="F2413" i="56" s="1"/>
  <c r="F2414" i="56" s="1"/>
  <c r="F2415" i="56" s="1"/>
  <c r="F2416" i="56" s="1"/>
  <c r="F2417" i="56" s="1"/>
  <c r="F2418" i="56" s="1"/>
  <c r="F2419" i="56" s="1"/>
  <c r="F2420" i="56" s="1"/>
  <c r="F2421" i="56" s="1"/>
  <c r="F2422" i="56" s="1"/>
  <c r="F2423" i="56" s="1"/>
  <c r="F2424" i="56" s="1"/>
  <c r="F2425" i="56" s="1"/>
  <c r="F2426" i="56" s="1"/>
  <c r="F2427" i="56" s="1"/>
  <c r="F2428" i="56" s="1"/>
  <c r="F2429" i="56" s="1"/>
  <c r="F2430" i="56" s="1"/>
  <c r="F2431" i="56" s="1"/>
  <c r="F2432" i="56" s="1"/>
  <c r="F2433" i="56" s="1"/>
  <c r="F2434" i="56" s="1"/>
  <c r="F2435" i="56" s="1"/>
  <c r="F2436" i="56" s="1"/>
  <c r="F2437" i="56" s="1"/>
  <c r="F2438" i="56" s="1"/>
  <c r="F2439" i="56" s="1"/>
  <c r="F2440" i="56" s="1"/>
  <c r="F2441" i="56" s="1"/>
  <c r="F2442" i="56" s="1"/>
  <c r="F2443" i="56" s="1"/>
  <c r="F2444" i="56" s="1"/>
  <c r="F2445" i="56" s="1"/>
  <c r="F2446" i="56" s="1"/>
  <c r="F2447" i="56" s="1"/>
  <c r="F2448" i="56" s="1"/>
  <c r="F2449" i="56" s="1"/>
  <c r="F2450" i="56" s="1"/>
  <c r="F2451" i="56" s="1"/>
  <c r="F2452" i="56" s="1"/>
  <c r="F2453" i="56" s="1"/>
  <c r="F2454" i="56" s="1"/>
  <c r="F2455" i="56" s="1"/>
  <c r="F2456" i="56" s="1"/>
  <c r="F2457" i="56" s="1"/>
  <c r="F2458" i="56" s="1"/>
  <c r="F2459" i="56" s="1"/>
  <c r="F2460" i="56" s="1"/>
  <c r="F2461" i="56" s="1"/>
  <c r="F2462" i="56" s="1"/>
  <c r="F2463" i="56" s="1"/>
  <c r="F2464" i="56" s="1"/>
  <c r="F2465" i="56" s="1"/>
  <c r="F2466" i="56" s="1"/>
  <c r="F2467" i="56" s="1"/>
  <c r="F2468" i="56" s="1"/>
  <c r="F2469" i="56" s="1"/>
  <c r="F2470" i="56" s="1"/>
  <c r="F2471" i="56" s="1"/>
  <c r="F2472" i="56" s="1"/>
  <c r="F2473" i="56" s="1"/>
  <c r="F2474" i="56" s="1"/>
  <c r="F2475" i="56" s="1"/>
  <c r="F2476" i="56" s="1"/>
  <c r="F2477" i="56" s="1"/>
  <c r="F2478" i="56" s="1"/>
  <c r="F2479" i="56" s="1"/>
  <c r="F2480" i="56" s="1"/>
  <c r="F2481" i="56" s="1"/>
  <c r="F2482" i="56" s="1"/>
  <c r="F2483" i="56" s="1"/>
  <c r="F2484" i="56" s="1"/>
  <c r="F2485" i="56" s="1"/>
  <c r="F2486" i="56" s="1"/>
  <c r="F2487" i="56" s="1"/>
  <c r="F2488" i="56" s="1"/>
  <c r="F2489" i="56" s="1"/>
  <c r="F2490" i="56" s="1"/>
  <c r="F2491" i="56" s="1"/>
  <c r="F2492" i="56" s="1"/>
  <c r="F2493" i="56" s="1"/>
  <c r="F2494" i="56" s="1"/>
  <c r="F2495" i="56" s="1"/>
  <c r="F2496" i="56" s="1"/>
  <c r="F2497" i="56" s="1"/>
  <c r="F2498" i="56" s="1"/>
  <c r="F2499" i="56" s="1"/>
  <c r="F2500" i="56" s="1"/>
  <c r="F2501" i="56" s="1"/>
  <c r="F2502" i="56" s="1"/>
  <c r="F2503" i="56" s="1"/>
  <c r="F2504" i="56" s="1"/>
  <c r="F2505" i="56" s="1"/>
  <c r="F2506" i="56" s="1"/>
  <c r="F2507" i="56" s="1"/>
  <c r="F2508" i="56" s="1"/>
  <c r="F2509" i="56" s="1"/>
  <c r="F2510" i="56" s="1"/>
  <c r="F2511" i="56" s="1"/>
  <c r="F2512" i="56" s="1"/>
  <c r="F2513" i="56" s="1"/>
  <c r="F2514" i="56" s="1"/>
  <c r="F2515" i="56" s="1"/>
  <c r="F2516" i="56" s="1"/>
  <c r="F2517" i="56" s="1"/>
  <c r="F2518" i="56" s="1"/>
  <c r="F2519" i="56" s="1"/>
  <c r="F2520" i="56" s="1"/>
  <c r="F2521" i="56" s="1"/>
  <c r="F2522" i="56" s="1"/>
  <c r="F2523" i="56" s="1"/>
  <c r="F2524" i="56" s="1"/>
  <c r="F2525" i="56" s="1"/>
  <c r="F2526" i="56" s="1"/>
  <c r="F2527" i="56" s="1"/>
  <c r="F2528" i="56" s="1"/>
  <c r="F2529" i="56" s="1"/>
  <c r="F2530" i="56" s="1"/>
  <c r="F2531" i="56" s="1"/>
  <c r="F2532" i="56" s="1"/>
  <c r="F2533" i="56" s="1"/>
  <c r="F2534" i="56" s="1"/>
  <c r="F2535" i="56" s="1"/>
  <c r="F2536" i="56" s="1"/>
  <c r="F2537" i="56" s="1"/>
  <c r="F2538" i="56" s="1"/>
  <c r="F2539" i="56" s="1"/>
  <c r="F2540" i="56" s="1"/>
  <c r="F2541" i="56" s="1"/>
  <c r="F2542" i="56" s="1"/>
  <c r="F2543" i="56" s="1"/>
  <c r="F2544" i="56" s="1"/>
  <c r="F2545" i="56" s="1"/>
  <c r="F2546" i="56" s="1"/>
  <c r="F2547" i="56" s="1"/>
  <c r="F2548" i="56" s="1"/>
  <c r="F2549" i="56" s="1"/>
  <c r="F2550" i="56" s="1"/>
  <c r="F2551" i="56" s="1"/>
  <c r="F2552" i="56" s="1"/>
  <c r="F2553" i="56" s="1"/>
  <c r="F2554" i="56" s="1"/>
  <c r="F2555" i="56" s="1"/>
  <c r="F2556" i="56" s="1"/>
  <c r="F2557" i="56" s="1"/>
  <c r="F2558" i="56" s="1"/>
  <c r="F2559" i="56" s="1"/>
  <c r="F2560" i="56" s="1"/>
  <c r="F2561" i="56" s="1"/>
  <c r="F2562" i="56" s="1"/>
  <c r="F2563" i="56" s="1"/>
  <c r="F2564" i="56" s="1"/>
  <c r="F2565" i="56" s="1"/>
  <c r="F2566" i="56" s="1"/>
  <c r="F2567" i="56" s="1"/>
  <c r="F2568" i="56" s="1"/>
  <c r="F2569" i="56" s="1"/>
  <c r="F2570" i="56" s="1"/>
  <c r="F2571" i="56" s="1"/>
  <c r="F2572" i="56" s="1"/>
  <c r="F2573" i="56" s="1"/>
  <c r="F2574" i="56" s="1"/>
  <c r="F2575" i="56" s="1"/>
  <c r="F2576" i="56" s="1"/>
  <c r="F2577" i="56" s="1"/>
  <c r="F2578" i="56" s="1"/>
  <c r="F2579" i="56" s="1"/>
  <c r="F2580" i="56" s="1"/>
  <c r="F2581" i="56" s="1"/>
  <c r="F2582" i="56" s="1"/>
  <c r="F2583" i="56" s="1"/>
  <c r="F2584" i="56" s="1"/>
  <c r="F2585" i="56" s="1"/>
  <c r="F2586" i="56" s="1"/>
  <c r="F2587" i="56" s="1"/>
  <c r="F2588" i="56" s="1"/>
  <c r="F2589" i="56" s="1"/>
  <c r="F2590" i="56" s="1"/>
  <c r="F2591" i="56" s="1"/>
  <c r="F2592" i="56" s="1"/>
  <c r="F2593" i="56" s="1"/>
  <c r="F2594" i="56" s="1"/>
  <c r="F2595" i="56" s="1"/>
  <c r="F2596" i="56" s="1"/>
  <c r="F2597" i="56" s="1"/>
  <c r="F2598" i="56" s="1"/>
  <c r="F2599" i="56" s="1"/>
  <c r="F2600" i="56" s="1"/>
  <c r="F2601" i="56" s="1"/>
  <c r="F2602" i="56" s="1"/>
  <c r="F2603" i="56" s="1"/>
  <c r="F2604" i="56" s="1"/>
  <c r="F2605" i="56" s="1"/>
  <c r="F2606" i="56" s="1"/>
  <c r="F2607" i="56" s="1"/>
  <c r="F2608" i="56" s="1"/>
  <c r="F2609" i="56" s="1"/>
  <c r="F2610" i="56" s="1"/>
  <c r="H10436" i="56"/>
  <c r="H10083" i="56"/>
  <c r="J10209" i="56"/>
  <c r="F8511" i="56"/>
  <c r="F8512" i="56" s="1"/>
  <c r="F8513" i="56" s="1"/>
  <c r="F8514" i="56" s="1"/>
  <c r="F8515" i="56" s="1"/>
  <c r="F8516" i="56" s="1"/>
  <c r="F8517" i="56" s="1"/>
  <c r="F8518" i="56" s="1"/>
  <c r="F8519" i="56" s="1"/>
  <c r="F8520" i="56" s="1"/>
  <c r="F8521" i="56" s="1"/>
  <c r="F8522" i="56" s="1"/>
  <c r="F8523" i="56" s="1"/>
  <c r="F8524" i="56" s="1"/>
  <c r="F8525" i="56" s="1"/>
  <c r="F8526" i="56" s="1"/>
  <c r="F8527" i="56" s="1"/>
  <c r="F8528" i="56" s="1"/>
  <c r="F8529" i="56" s="1"/>
  <c r="F8530" i="56" s="1"/>
  <c r="F8531" i="56" s="1"/>
  <c r="F8532" i="56" s="1"/>
  <c r="F8533" i="56" s="1"/>
  <c r="F8534" i="56" s="1"/>
  <c r="F8535" i="56" s="1"/>
  <c r="F8536" i="56" s="1"/>
  <c r="F8537" i="56" s="1"/>
  <c r="F8538" i="56" s="1"/>
  <c r="F8539" i="56" s="1"/>
  <c r="F8540" i="56" s="1"/>
  <c r="F8541" i="56" s="1"/>
  <c r="F8542" i="56" s="1"/>
  <c r="F8543" i="56" s="1"/>
  <c r="F8544" i="56" s="1"/>
  <c r="F8545" i="56" s="1"/>
  <c r="F8546" i="56" s="1"/>
  <c r="F8547" i="56" s="1"/>
  <c r="F8548" i="56" s="1"/>
  <c r="F8549" i="56" s="1"/>
  <c r="F8550" i="56" s="1"/>
  <c r="F8551" i="56" s="1"/>
  <c r="F8552" i="56" s="1"/>
  <c r="F8553" i="56" s="1"/>
  <c r="F8554" i="56" s="1"/>
  <c r="F8555" i="56" s="1"/>
  <c r="F8556" i="56" s="1"/>
  <c r="F8557" i="56" s="1"/>
  <c r="F8558" i="56" s="1"/>
  <c r="F8559" i="56" s="1"/>
  <c r="F8560" i="56" s="1"/>
  <c r="F8561" i="56" s="1"/>
  <c r="F8562" i="56" s="1"/>
  <c r="F8563" i="56" s="1"/>
  <c r="F8564" i="56" s="1"/>
  <c r="F8565" i="56" s="1"/>
  <c r="F8566" i="56" s="1"/>
  <c r="F8567" i="56" s="1"/>
  <c r="F8568" i="56" s="1"/>
  <c r="F8569" i="56" s="1"/>
  <c r="F8570" i="56" s="1"/>
  <c r="F8571" i="56" s="1"/>
  <c r="F8572" i="56" s="1"/>
  <c r="F8573" i="56" s="1"/>
  <c r="F8574" i="56" s="1"/>
  <c r="F8575" i="56" s="1"/>
  <c r="F8576" i="56" s="1"/>
  <c r="F8577" i="56" s="1"/>
  <c r="F8578" i="56" s="1"/>
  <c r="F8579" i="56" s="1"/>
  <c r="F8580" i="56" s="1"/>
  <c r="F8581" i="56" s="1"/>
  <c r="F8582" i="56" s="1"/>
  <c r="F8583" i="56" s="1"/>
  <c r="F8584" i="56" s="1"/>
  <c r="F8585" i="56" s="1"/>
  <c r="F8586" i="56" s="1"/>
  <c r="F4041" i="56"/>
  <c r="F4042" i="56" s="1"/>
  <c r="F4043" i="56" s="1"/>
  <c r="F4044" i="56" s="1"/>
  <c r="F4045" i="56" s="1"/>
  <c r="F4046" i="56" s="1"/>
  <c r="F4047" i="56" s="1"/>
  <c r="F4048" i="56" s="1"/>
  <c r="F4049" i="56" s="1"/>
  <c r="F4050" i="56" s="1"/>
  <c r="F4051" i="56" s="1"/>
  <c r="F4052" i="56" s="1"/>
  <c r="F4053" i="56" s="1"/>
  <c r="F4054" i="56" s="1"/>
  <c r="F4055" i="56" s="1"/>
  <c r="F4056" i="56" s="1"/>
  <c r="F4057" i="56" s="1"/>
  <c r="F4058" i="56" s="1"/>
  <c r="F4059" i="56" s="1"/>
  <c r="F4060" i="56" s="1"/>
  <c r="F4061" i="56" s="1"/>
  <c r="F4062" i="56" s="1"/>
  <c r="F4063" i="56" s="1"/>
  <c r="F4064" i="56" s="1"/>
  <c r="F4065" i="56" s="1"/>
  <c r="F4066" i="56" s="1"/>
  <c r="F4067" i="56" s="1"/>
  <c r="F4068" i="56" s="1"/>
  <c r="F4069" i="56" s="1"/>
  <c r="F4070" i="56" s="1"/>
  <c r="F4071" i="56" s="1"/>
  <c r="F4072" i="56" s="1"/>
  <c r="F4073" i="56" s="1"/>
  <c r="F4074" i="56" s="1"/>
  <c r="F4075" i="56" s="1"/>
  <c r="F4076" i="56" s="1"/>
  <c r="F4077" i="56" s="1"/>
  <c r="F4078" i="56" s="1"/>
  <c r="F4079" i="56" s="1"/>
  <c r="F4080" i="56" s="1"/>
  <c r="F4081" i="56" s="1"/>
  <c r="F4082" i="56" s="1"/>
  <c r="F4083" i="56" s="1"/>
  <c r="F4084" i="56" s="1"/>
  <c r="F4085" i="56" s="1"/>
  <c r="F4086" i="56" s="1"/>
  <c r="F4087" i="56" s="1"/>
  <c r="F4088" i="56" s="1"/>
  <c r="F4089" i="56" s="1"/>
  <c r="F4090" i="56" s="1"/>
  <c r="F4091" i="56" s="1"/>
  <c r="F4092" i="56" s="1"/>
  <c r="F4093" i="56" s="1"/>
  <c r="F4094" i="56" s="1"/>
  <c r="F4095" i="56" s="1"/>
  <c r="F4096" i="56" s="1"/>
  <c r="F4097" i="56" s="1"/>
  <c r="F4098" i="56" s="1"/>
  <c r="F4099" i="56" s="1"/>
  <c r="F4100" i="56" s="1"/>
  <c r="F4101" i="56" s="1"/>
  <c r="F4102" i="56" s="1"/>
  <c r="F4103" i="56" s="1"/>
  <c r="F4104" i="56" s="1"/>
  <c r="F4105" i="56" s="1"/>
  <c r="F4106" i="56" s="1"/>
  <c r="F4107" i="56" s="1"/>
  <c r="F4108" i="56" s="1"/>
  <c r="F4109" i="56" s="1"/>
  <c r="F4110" i="56" s="1"/>
  <c r="F4111" i="56" s="1"/>
  <c r="F4112" i="56" s="1"/>
  <c r="F4113" i="56" s="1"/>
  <c r="F4114" i="56" s="1"/>
  <c r="F4115" i="56" s="1"/>
  <c r="F4116" i="56" s="1"/>
  <c r="F4117" i="56" s="1"/>
  <c r="F4118" i="56" s="1"/>
  <c r="F4119" i="56" s="1"/>
  <c r="F4120" i="56" s="1"/>
  <c r="F4121" i="56" s="1"/>
  <c r="F4122" i="56" s="1"/>
  <c r="F4123" i="56" s="1"/>
  <c r="F4124" i="56" s="1"/>
  <c r="F4125" i="56" s="1"/>
  <c r="F4126" i="56" s="1"/>
  <c r="F4127" i="56" s="1"/>
  <c r="F4128" i="56" s="1"/>
  <c r="F4129" i="56" s="1"/>
  <c r="F4130" i="56" s="1"/>
  <c r="F4131" i="56" s="1"/>
  <c r="F4132" i="56" s="1"/>
  <c r="F4133" i="56" s="1"/>
  <c r="F4134" i="56" s="1"/>
  <c r="F4135" i="56" s="1"/>
  <c r="F4136" i="56" s="1"/>
  <c r="F4137" i="56" s="1"/>
  <c r="F4138" i="56" s="1"/>
  <c r="F4139" i="56" s="1"/>
  <c r="F4140" i="56" s="1"/>
  <c r="F4141" i="56" s="1"/>
  <c r="F4142" i="56" s="1"/>
  <c r="F4143" i="56" s="1"/>
  <c r="F4144" i="56" s="1"/>
  <c r="F4145" i="56" s="1"/>
  <c r="F4146" i="56" s="1"/>
  <c r="F4147" i="56" s="1"/>
  <c r="F4148" i="56" s="1"/>
  <c r="F4149" i="56" s="1"/>
  <c r="F4150" i="56" s="1"/>
  <c r="F4151" i="56" s="1"/>
  <c r="F4152" i="56" s="1"/>
  <c r="F4153" i="56" s="1"/>
  <c r="F2795" i="56"/>
  <c r="F2796" i="56" s="1"/>
  <c r="F2797" i="56" s="1"/>
  <c r="F2798" i="56" s="1"/>
  <c r="F2799" i="56" s="1"/>
  <c r="F2800" i="56" s="1"/>
  <c r="F2801" i="56" s="1"/>
  <c r="F2802" i="56" s="1"/>
  <c r="F2803" i="56" s="1"/>
  <c r="F2804" i="56" s="1"/>
  <c r="F2805" i="56" s="1"/>
  <c r="F2806" i="56" s="1"/>
  <c r="F2807" i="56" s="1"/>
  <c r="F2808" i="56" s="1"/>
  <c r="F2809" i="56" s="1"/>
  <c r="F2810" i="56" s="1"/>
  <c r="F2811" i="56" s="1"/>
  <c r="F2812" i="56" s="1"/>
  <c r="F2813" i="56" s="1"/>
  <c r="F2814" i="56" s="1"/>
  <c r="F2815" i="56" s="1"/>
  <c r="F2816" i="56" s="1"/>
  <c r="F2817" i="56" s="1"/>
  <c r="F2818" i="56" s="1"/>
  <c r="F2819" i="56" s="1"/>
  <c r="F2820" i="56" s="1"/>
  <c r="F2821" i="56" s="1"/>
  <c r="F2822" i="56" s="1"/>
  <c r="F2823" i="56" s="1"/>
  <c r="F2824" i="56" s="1"/>
  <c r="F2825" i="56" s="1"/>
  <c r="F2826" i="56" s="1"/>
  <c r="F2827" i="56" s="1"/>
  <c r="F2828" i="56" s="1"/>
  <c r="F2829" i="56" s="1"/>
  <c r="F2830" i="56" s="1"/>
  <c r="F2831" i="56" s="1"/>
  <c r="F2832" i="56" s="1"/>
  <c r="F2833" i="56" s="1"/>
  <c r="F2834" i="56" s="1"/>
  <c r="F2835" i="56" s="1"/>
  <c r="F2836" i="56" s="1"/>
  <c r="F2837" i="56" s="1"/>
  <c r="F2838" i="56" s="1"/>
  <c r="F2839" i="56" s="1"/>
  <c r="F2840" i="56" s="1"/>
  <c r="F2841" i="56" s="1"/>
  <c r="F2842" i="56" s="1"/>
  <c r="F2843" i="56" s="1"/>
  <c r="F2844" i="56" s="1"/>
  <c r="F2845" i="56" s="1"/>
  <c r="F2846" i="56" s="1"/>
  <c r="F2847" i="56" s="1"/>
  <c r="F2848" i="56" s="1"/>
  <c r="F2849" i="56" s="1"/>
  <c r="F2850" i="56" s="1"/>
  <c r="F2851" i="56" s="1"/>
  <c r="F2852" i="56" s="1"/>
  <c r="F2853" i="56" s="1"/>
  <c r="F2854" i="56" s="1"/>
  <c r="F2855" i="56" s="1"/>
  <c r="F2856" i="56" s="1"/>
  <c r="F2857" i="56" s="1"/>
  <c r="F2858" i="56" s="1"/>
  <c r="F2859" i="56" s="1"/>
  <c r="F2860" i="56" s="1"/>
  <c r="F2861" i="56" s="1"/>
  <c r="F2862" i="56" s="1"/>
  <c r="F2863" i="56" s="1"/>
  <c r="F2864" i="56" s="1"/>
  <c r="F2865" i="56" s="1"/>
  <c r="F2866" i="56" s="1"/>
  <c r="F2867" i="56" s="1"/>
  <c r="F2868" i="56" s="1"/>
  <c r="F2869" i="56" s="1"/>
  <c r="F2870" i="56" s="1"/>
  <c r="F2871" i="56" s="1"/>
  <c r="F2872" i="56" s="1"/>
  <c r="F2873" i="56" s="1"/>
  <c r="F2874" i="56" s="1"/>
  <c r="F2875" i="56" s="1"/>
  <c r="F2876" i="56" s="1"/>
  <c r="F2877" i="56" s="1"/>
  <c r="F2878" i="56" s="1"/>
  <c r="F2879" i="56" s="1"/>
  <c r="F2880" i="56" s="1"/>
  <c r="F2881" i="56" s="1"/>
  <c r="F2882" i="56" s="1"/>
  <c r="F2883" i="56" s="1"/>
  <c r="F2884" i="56" s="1"/>
  <c r="F2885" i="56" s="1"/>
  <c r="F2886" i="56" s="1"/>
  <c r="F2887" i="56" s="1"/>
  <c r="F2888" i="56" s="1"/>
  <c r="F2889" i="56" s="1"/>
  <c r="F2890" i="56" s="1"/>
  <c r="F2891" i="56" s="1"/>
  <c r="F2892" i="56" s="1"/>
  <c r="F2893" i="56" s="1"/>
  <c r="F2894" i="56" s="1"/>
  <c r="F2895" i="56" s="1"/>
  <c r="F2896" i="56" s="1"/>
  <c r="F2897" i="56" s="1"/>
  <c r="F2898" i="56" s="1"/>
  <c r="F2899" i="56" s="1"/>
  <c r="F2900" i="56" s="1"/>
  <c r="F2901" i="56" s="1"/>
  <c r="F2902" i="56" s="1"/>
  <c r="F2903" i="56" s="1"/>
  <c r="F2904" i="56" s="1"/>
  <c r="F2905" i="56" s="1"/>
  <c r="F2906" i="56" s="1"/>
  <c r="F2907" i="56" s="1"/>
  <c r="F2908" i="56" s="1"/>
  <c r="F2909" i="56" s="1"/>
  <c r="F2910" i="56" s="1"/>
  <c r="F2911" i="56" s="1"/>
  <c r="F2912" i="56" s="1"/>
  <c r="F2913" i="56" s="1"/>
  <c r="F2914" i="56" s="1"/>
  <c r="F2915" i="56" s="1"/>
  <c r="F2916" i="56" s="1"/>
  <c r="F2917" i="56" s="1"/>
  <c r="F2918" i="56" s="1"/>
  <c r="F2919" i="56" s="1"/>
  <c r="F2920" i="56" s="1"/>
  <c r="F2921" i="56" s="1"/>
  <c r="F2922" i="56" s="1"/>
  <c r="F2923" i="56" s="1"/>
  <c r="F2924" i="56" s="1"/>
  <c r="F2925" i="56" s="1"/>
  <c r="F2926" i="56" s="1"/>
  <c r="F2927" i="56" s="1"/>
  <c r="F2928" i="56" s="1"/>
  <c r="F2929" i="56" s="1"/>
  <c r="F2930" i="56" s="1"/>
  <c r="F2931" i="56" s="1"/>
  <c r="F2932" i="56" s="1"/>
  <c r="F2933" i="56" s="1"/>
  <c r="F2934" i="56" s="1"/>
  <c r="F2935" i="56" s="1"/>
  <c r="F2936" i="56" s="1"/>
  <c r="F2937" i="56" s="1"/>
  <c r="F2938" i="56" s="1"/>
  <c r="F2939" i="56" s="1"/>
  <c r="F2940" i="56" s="1"/>
  <c r="F2941" i="56" s="1"/>
  <c r="F2942" i="56" s="1"/>
  <c r="F2943" i="56" s="1"/>
  <c r="F2944" i="56" s="1"/>
  <c r="F2945" i="56" s="1"/>
  <c r="F2946" i="56" s="1"/>
  <c r="F2947" i="56" s="1"/>
  <c r="F2948" i="56" s="1"/>
  <c r="F2949" i="56" s="1"/>
  <c r="F2950" i="56" s="1"/>
  <c r="F2951" i="56" s="1"/>
  <c r="F2952" i="56" s="1"/>
  <c r="F2953" i="56" s="1"/>
  <c r="F2954" i="56" s="1"/>
  <c r="F2955" i="56" s="1"/>
  <c r="F2956" i="56" s="1"/>
  <c r="F2957" i="56" s="1"/>
  <c r="F2958" i="56" s="1"/>
  <c r="F2959" i="56" s="1"/>
  <c r="F2960" i="56" s="1"/>
  <c r="F2961" i="56" s="1"/>
  <c r="F2962" i="56" s="1"/>
  <c r="F2963" i="56" s="1"/>
  <c r="F2964" i="56" s="1"/>
  <c r="F2965" i="56" s="1"/>
  <c r="F2966" i="56" s="1"/>
  <c r="F2967" i="56" s="1"/>
  <c r="F2968" i="56" s="1"/>
  <c r="F2969" i="56" s="1"/>
  <c r="F2970" i="56" s="1"/>
  <c r="F2971" i="56" s="1"/>
  <c r="F2972" i="56" s="1"/>
  <c r="F2973" i="56" s="1"/>
  <c r="F2974" i="56" s="1"/>
  <c r="F2975" i="56" s="1"/>
  <c r="F2976" i="56" s="1"/>
  <c r="F2977" i="56" s="1"/>
  <c r="F2978" i="56" s="1"/>
  <c r="F2979" i="56" s="1"/>
  <c r="F2980" i="56" s="1"/>
  <c r="F2981" i="56" s="1"/>
  <c r="F2982" i="56" s="1"/>
  <c r="F2983" i="56" s="1"/>
  <c r="F2984" i="56" s="1"/>
  <c r="F2985" i="56" s="1"/>
  <c r="F2986" i="56" s="1"/>
  <c r="F2987" i="56" s="1"/>
  <c r="F2988" i="56" s="1"/>
  <c r="F2989" i="56" s="1"/>
  <c r="F2990" i="56" s="1"/>
  <c r="F2991" i="56" s="1"/>
  <c r="F2992" i="56" s="1"/>
  <c r="F2993" i="56" s="1"/>
  <c r="F2994" i="56" s="1"/>
  <c r="F2995" i="56" s="1"/>
  <c r="F2996" i="56" s="1"/>
  <c r="F2997" i="56" s="1"/>
  <c r="F2998" i="56" s="1"/>
  <c r="F2999" i="56" s="1"/>
  <c r="F3000" i="56" s="1"/>
  <c r="F3001" i="56" s="1"/>
  <c r="F3002" i="56" s="1"/>
  <c r="F3003" i="56" s="1"/>
  <c r="F3004" i="56" s="1"/>
  <c r="F3005" i="56" s="1"/>
  <c r="F3006" i="56" s="1"/>
  <c r="F3007" i="56" s="1"/>
  <c r="F3008" i="56" s="1"/>
  <c r="F3009" i="56" s="1"/>
  <c r="F3010" i="56" s="1"/>
  <c r="F3011" i="56" s="1"/>
  <c r="F3236" i="56"/>
  <c r="F3237" i="56" s="1"/>
  <c r="F3238" i="56" s="1"/>
  <c r="F3239" i="56" s="1"/>
  <c r="F3240" i="56" s="1"/>
  <c r="F3241" i="56" s="1"/>
  <c r="F3242" i="56" s="1"/>
  <c r="F3243" i="56" s="1"/>
  <c r="F3244" i="56" s="1"/>
  <c r="F3245" i="56" s="1"/>
  <c r="F3246" i="56" s="1"/>
  <c r="F3247" i="56" s="1"/>
  <c r="F3248" i="56" s="1"/>
  <c r="F3249" i="56" s="1"/>
  <c r="F3250" i="56" s="1"/>
  <c r="F3251" i="56" s="1"/>
  <c r="F3252" i="56" s="1"/>
  <c r="F3253" i="56" s="1"/>
  <c r="F3254" i="56" s="1"/>
  <c r="F3255" i="56" s="1"/>
  <c r="F8595" i="56"/>
  <c r="F8596" i="56" s="1"/>
  <c r="F8597" i="56" s="1"/>
  <c r="F8598" i="56" s="1"/>
  <c r="F8599" i="56" s="1"/>
  <c r="F8600" i="56" s="1"/>
  <c r="F8601" i="56" s="1"/>
  <c r="F8602" i="56" s="1"/>
  <c r="F8603" i="56" s="1"/>
  <c r="F8604" i="56" s="1"/>
  <c r="F8605" i="56" s="1"/>
  <c r="F8606" i="56" s="1"/>
  <c r="F8607" i="56" s="1"/>
  <c r="F8608" i="56" s="1"/>
  <c r="F8609" i="56" s="1"/>
  <c r="F8610" i="56" s="1"/>
  <c r="F8611" i="56" s="1"/>
  <c r="F8612" i="56" s="1"/>
  <c r="F8613" i="56" s="1"/>
  <c r="F8614" i="56" s="1"/>
  <c r="F8615" i="56" s="1"/>
  <c r="F8616" i="56" s="1"/>
  <c r="F8617" i="56" s="1"/>
  <c r="F8618" i="56" s="1"/>
  <c r="F8619" i="56" s="1"/>
  <c r="F8620" i="56" s="1"/>
  <c r="F8621" i="56" s="1"/>
  <c r="F8622" i="56" s="1"/>
  <c r="F8623" i="56" s="1"/>
  <c r="F8624" i="56" s="1"/>
  <c r="F8625" i="56" s="1"/>
  <c r="F8626" i="56" s="1"/>
  <c r="F8627" i="56" s="1"/>
  <c r="F8628" i="56" s="1"/>
  <c r="F8629" i="56" s="1"/>
  <c r="F8630" i="56" s="1"/>
  <c r="F8631" i="56" s="1"/>
  <c r="F8632" i="56" s="1"/>
  <c r="F8633" i="56" s="1"/>
  <c r="F8634" i="56" s="1"/>
  <c r="F8635" i="56" s="1"/>
  <c r="F8636" i="56" s="1"/>
  <c r="F8637" i="56" s="1"/>
  <c r="F8638" i="56" s="1"/>
  <c r="F8639" i="56" s="1"/>
  <c r="F8640" i="56" s="1"/>
  <c r="F8641" i="56" s="1"/>
  <c r="F8642" i="56" s="1"/>
  <c r="F8643" i="56" s="1"/>
  <c r="F8644" i="56" s="1"/>
  <c r="F8645" i="56" s="1"/>
  <c r="F8646" i="56" s="1"/>
  <c r="F8647" i="56" s="1"/>
  <c r="F8648" i="56" s="1"/>
  <c r="F8649" i="56" s="1"/>
  <c r="F8650" i="56" s="1"/>
  <c r="F8651" i="56" s="1"/>
  <c r="F8652" i="56" s="1"/>
  <c r="F8653" i="56" s="1"/>
  <c r="F8654" i="56" s="1"/>
  <c r="F8655" i="56" s="1"/>
  <c r="F8656" i="56" s="1"/>
  <c r="F8657" i="56" s="1"/>
  <c r="F8658" i="56" s="1"/>
  <c r="F8659" i="56" s="1"/>
  <c r="F8660" i="56" s="1"/>
  <c r="F8661" i="56" s="1"/>
  <c r="F8662" i="56" s="1"/>
  <c r="F8663" i="56" s="1"/>
  <c r="F8664" i="56" s="1"/>
  <c r="F8665" i="56" s="1"/>
  <c r="F8666" i="56" s="1"/>
  <c r="F8667" i="56" s="1"/>
  <c r="F8668" i="56" s="1"/>
  <c r="F8669" i="56" s="1"/>
  <c r="F8670" i="56" s="1"/>
  <c r="F8671" i="56" s="1"/>
  <c r="F8672" i="56" s="1"/>
  <c r="F8673" i="56" s="1"/>
  <c r="F8674" i="56" s="1"/>
  <c r="F8675" i="56" s="1"/>
  <c r="F8676" i="56" s="1"/>
  <c r="F8677" i="56" s="1"/>
  <c r="F8678" i="56" s="1"/>
  <c r="F8679" i="56" s="1"/>
  <c r="F8680" i="56" s="1"/>
  <c r="F8681" i="56" s="1"/>
  <c r="F8682" i="56" s="1"/>
  <c r="F8683" i="56" s="1"/>
  <c r="F8684" i="56" s="1"/>
  <c r="F8685" i="56" s="1"/>
  <c r="F8686" i="56" s="1"/>
  <c r="F8687" i="56" s="1"/>
  <c r="F8688" i="56" s="1"/>
  <c r="F8689" i="56" s="1"/>
  <c r="F8690" i="56" s="1"/>
  <c r="F8691" i="56" s="1"/>
  <c r="F8692" i="56" s="1"/>
  <c r="F8693" i="56" s="1"/>
  <c r="F8694" i="56" s="1"/>
  <c r="F8695" i="56" s="1"/>
  <c r="F8696" i="56" s="1"/>
  <c r="F8697" i="56" s="1"/>
  <c r="F8698" i="56" s="1"/>
  <c r="F8699" i="56" s="1"/>
  <c r="F8700" i="56" s="1"/>
  <c r="F8701" i="56" s="1"/>
  <c r="F8702" i="56" s="1"/>
  <c r="F8703" i="56" s="1"/>
  <c r="F8704" i="56" s="1"/>
  <c r="F8705" i="56" s="1"/>
  <c r="F8706" i="56" s="1"/>
  <c r="F8707" i="56" s="1"/>
  <c r="F8708" i="56" s="1"/>
  <c r="F8709" i="56" s="1"/>
  <c r="F8710" i="56" s="1"/>
  <c r="F8711" i="56" s="1"/>
  <c r="F8712" i="56" s="1"/>
  <c r="F8713" i="56" s="1"/>
  <c r="F8714" i="56" s="1"/>
  <c r="F8715" i="56" s="1"/>
  <c r="F8716" i="56" s="1"/>
  <c r="F8717" i="56" s="1"/>
  <c r="F8718" i="56" s="1"/>
  <c r="F8719" i="56" s="1"/>
  <c r="F8720" i="56" s="1"/>
  <c r="F8721" i="56" s="1"/>
  <c r="F8722" i="56" s="1"/>
  <c r="F8723" i="56" s="1"/>
  <c r="F8724" i="56" s="1"/>
  <c r="F8725" i="56" s="1"/>
  <c r="F8726" i="56" s="1"/>
  <c r="F8727" i="56" s="1"/>
  <c r="F8728" i="56" s="1"/>
  <c r="F8729" i="56" s="1"/>
  <c r="F8730" i="56" s="1"/>
  <c r="F8731" i="56" s="1"/>
  <c r="F8732" i="56" s="1"/>
  <c r="F8733" i="56" s="1"/>
  <c r="F8734" i="56" s="1"/>
  <c r="F8735" i="56" s="1"/>
  <c r="F8736" i="56" s="1"/>
  <c r="F8737" i="56" s="1"/>
  <c r="F8738" i="56" s="1"/>
  <c r="F8739" i="56" s="1"/>
  <c r="F8740" i="56" s="1"/>
  <c r="F8741" i="56" s="1"/>
  <c r="F8742" i="56" s="1"/>
  <c r="F8743" i="56" s="1"/>
  <c r="F8744" i="56" s="1"/>
  <c r="F8745" i="56" s="1"/>
  <c r="F8746" i="56" s="1"/>
  <c r="F8747" i="56" s="1"/>
  <c r="F8748" i="56" s="1"/>
  <c r="F8749" i="56" s="1"/>
  <c r="F8750" i="56" s="1"/>
  <c r="F8751" i="56" s="1"/>
  <c r="F8752" i="56" s="1"/>
  <c r="F8753" i="56" s="1"/>
  <c r="F8754" i="56" s="1"/>
  <c r="F8755" i="56" s="1"/>
  <c r="F8756" i="56" s="1"/>
  <c r="F8757" i="56" s="1"/>
  <c r="F8758" i="56" s="1"/>
  <c r="F8759" i="56" s="1"/>
  <c r="F8760" i="56" s="1"/>
  <c r="F8761" i="56" s="1"/>
  <c r="F8762" i="56" s="1"/>
  <c r="F8763" i="56" s="1"/>
  <c r="F8764" i="56" s="1"/>
  <c r="F8765" i="56" s="1"/>
  <c r="F8766" i="56" s="1"/>
  <c r="F8767" i="56" s="1"/>
  <c r="F8768" i="56" s="1"/>
  <c r="F8769" i="56" s="1"/>
  <c r="F8770" i="56" s="1"/>
  <c r="F8771" i="56" s="1"/>
  <c r="F8772" i="56" s="1"/>
  <c r="F8773" i="56" s="1"/>
  <c r="F8774" i="56" s="1"/>
  <c r="F8775" i="56" s="1"/>
  <c r="F8776" i="56" s="1"/>
  <c r="F8777" i="56" s="1"/>
  <c r="F8778" i="56" s="1"/>
  <c r="F8779" i="56" s="1"/>
  <c r="F8780" i="56" s="1"/>
  <c r="F8781" i="56" s="1"/>
  <c r="F8782" i="56" s="1"/>
  <c r="F8783" i="56" s="1"/>
  <c r="F8784" i="56" s="1"/>
  <c r="F8785" i="56" s="1"/>
  <c r="F8786" i="56" s="1"/>
  <c r="F8787" i="56" s="1"/>
  <c r="F8788" i="56" s="1"/>
  <c r="F8789" i="56" s="1"/>
  <c r="F8790" i="56" s="1"/>
  <c r="F8791" i="56" s="1"/>
  <c r="F8792" i="56" s="1"/>
  <c r="F8793" i="56" s="1"/>
  <c r="F8794" i="56" s="1"/>
  <c r="F8795" i="56" s="1"/>
  <c r="F8796" i="56" s="1"/>
  <c r="F8797" i="56" s="1"/>
  <c r="F8798" i="56" s="1"/>
  <c r="F8799" i="56" s="1"/>
  <c r="F8800" i="56" s="1"/>
  <c r="F8801" i="56" s="1"/>
  <c r="F8802" i="56" s="1"/>
  <c r="F8803" i="56" s="1"/>
  <c r="F8804" i="56" s="1"/>
  <c r="F8805" i="56" s="1"/>
  <c r="F8806" i="56" s="1"/>
  <c r="F8807" i="56" s="1"/>
  <c r="F8808" i="56" s="1"/>
  <c r="F8809" i="56" s="1"/>
  <c r="F8810" i="56" s="1"/>
  <c r="F8811" i="56" s="1"/>
  <c r="F8812" i="56" s="1"/>
  <c r="F8813" i="56" s="1"/>
  <c r="F8814" i="56" s="1"/>
  <c r="F8815" i="56" s="1"/>
  <c r="F8816" i="56" s="1"/>
  <c r="F8817" i="56" s="1"/>
  <c r="F8818" i="56" s="1"/>
  <c r="F8819" i="56" s="1"/>
  <c r="F8820" i="56" s="1"/>
  <c r="F8821" i="56" s="1"/>
  <c r="F8822" i="56" s="1"/>
  <c r="F8823" i="56" s="1"/>
  <c r="F8824" i="56" s="1"/>
  <c r="F8825" i="56" s="1"/>
  <c r="F8826" i="56" s="1"/>
  <c r="F8827" i="56" s="1"/>
  <c r="F8828" i="56" s="1"/>
  <c r="F8829" i="56" s="1"/>
  <c r="F8830" i="56" s="1"/>
  <c r="F8831" i="56" s="1"/>
  <c r="F8832" i="56" s="1"/>
  <c r="F8833" i="56" s="1"/>
  <c r="F8834" i="56" s="1"/>
  <c r="F8835" i="56" s="1"/>
  <c r="F8836" i="56" s="1"/>
  <c r="F8837" i="56" s="1"/>
  <c r="F8838" i="56" s="1"/>
  <c r="F8839" i="56" s="1"/>
  <c r="F8840" i="56" s="1"/>
  <c r="F8841" i="56" s="1"/>
  <c r="F8842" i="56" s="1"/>
  <c r="F8843" i="56" s="1"/>
  <c r="F8844" i="56" s="1"/>
  <c r="F8845" i="56" s="1"/>
  <c r="F8846" i="56" s="1"/>
  <c r="F8847" i="56" s="1"/>
  <c r="F8848" i="56" s="1"/>
  <c r="F8849" i="56" s="1"/>
  <c r="F8850" i="56" s="1"/>
  <c r="F8851" i="56" s="1"/>
  <c r="F8852" i="56" s="1"/>
  <c r="F8853" i="56" s="1"/>
  <c r="F8854" i="56" s="1"/>
  <c r="F8855" i="56" s="1"/>
  <c r="F8856" i="56" s="1"/>
  <c r="F8857" i="56" s="1"/>
  <c r="F8858" i="56" s="1"/>
  <c r="F8859" i="56" s="1"/>
  <c r="F8860" i="56" s="1"/>
  <c r="F8861" i="56" s="1"/>
  <c r="F8862" i="56" s="1"/>
  <c r="F8863" i="56" s="1"/>
  <c r="F8864" i="56" s="1"/>
  <c r="F8865" i="56" s="1"/>
  <c r="F8866" i="56" s="1"/>
  <c r="F8867" i="56" s="1"/>
  <c r="F8868" i="56" s="1"/>
  <c r="F8869" i="56" s="1"/>
  <c r="F8870" i="56" s="1"/>
  <c r="F8871" i="56" s="1"/>
  <c r="F8872" i="56" s="1"/>
  <c r="F8873" i="56" s="1"/>
  <c r="F8874" i="56" s="1"/>
  <c r="F8875" i="56" s="1"/>
  <c r="F8876" i="56" s="1"/>
  <c r="F8877" i="56" s="1"/>
  <c r="F8878" i="56" s="1"/>
  <c r="F8879" i="56" s="1"/>
  <c r="F8880" i="56" s="1"/>
  <c r="F8881" i="56" s="1"/>
  <c r="F8882" i="56" s="1"/>
  <c r="F8883" i="56" s="1"/>
  <c r="F8884" i="56" s="1"/>
  <c r="F8885" i="56" s="1"/>
  <c r="F8886" i="56" s="1"/>
  <c r="F8887" i="56" s="1"/>
  <c r="F8888" i="56" s="1"/>
  <c r="F8889" i="56" s="1"/>
  <c r="F8890" i="56" s="1"/>
  <c r="F8891" i="56" s="1"/>
  <c r="F8892" i="56" s="1"/>
  <c r="F8893" i="56" s="1"/>
  <c r="F8894" i="56" s="1"/>
  <c r="F8895" i="56" s="1"/>
  <c r="F8896" i="56" s="1"/>
  <c r="F8897" i="56" s="1"/>
  <c r="F8898" i="56" s="1"/>
  <c r="F8899" i="56" s="1"/>
  <c r="F8900" i="56" s="1"/>
  <c r="F8901" i="56" s="1"/>
  <c r="F8902" i="56" s="1"/>
  <c r="F8903" i="56" s="1"/>
  <c r="F8904" i="56" s="1"/>
  <c r="F8905" i="56" s="1"/>
  <c r="F8906" i="56" s="1"/>
  <c r="F8907" i="56" s="1"/>
  <c r="F8908" i="56" s="1"/>
  <c r="F8909" i="56" s="1"/>
  <c r="F8910" i="56" s="1"/>
  <c r="F8911" i="56" s="1"/>
  <c r="F8912" i="56" s="1"/>
  <c r="F8913" i="56" s="1"/>
  <c r="F8914" i="56" s="1"/>
  <c r="F8915" i="56" s="1"/>
  <c r="F8916" i="56" s="1"/>
  <c r="F8917" i="56" s="1"/>
  <c r="F8918" i="56" s="1"/>
  <c r="F8919" i="56" s="1"/>
  <c r="F8920" i="56" s="1"/>
  <c r="F8921" i="56" s="1"/>
  <c r="F8922" i="56" s="1"/>
  <c r="F8923" i="56" s="1"/>
  <c r="F8924" i="56" s="1"/>
  <c r="F8925" i="56" s="1"/>
  <c r="F8926" i="56" s="1"/>
  <c r="F8927" i="56" s="1"/>
  <c r="F8928" i="56" s="1"/>
  <c r="F8929" i="56" s="1"/>
  <c r="F8930" i="56" s="1"/>
  <c r="F8931" i="56" s="1"/>
  <c r="F8932" i="56" s="1"/>
  <c r="F8933" i="56" s="1"/>
  <c r="F8934" i="56" s="1"/>
  <c r="F8935" i="56" s="1"/>
  <c r="F8936" i="56" s="1"/>
  <c r="F8937" i="56" s="1"/>
  <c r="F8938" i="56" s="1"/>
  <c r="F8939" i="56" s="1"/>
  <c r="F8940" i="56" s="1"/>
  <c r="F8941" i="56" s="1"/>
  <c r="F8942" i="56" s="1"/>
  <c r="F8943" i="56" s="1"/>
  <c r="F8944" i="56" s="1"/>
  <c r="F8945" i="56" s="1"/>
  <c r="F8946" i="56" s="1"/>
  <c r="F8947" i="56" s="1"/>
  <c r="F8948" i="56" s="1"/>
  <c r="F8949" i="56" s="1"/>
  <c r="F8950" i="56" s="1"/>
  <c r="F8951" i="56" s="1"/>
  <c r="F8952" i="56" s="1"/>
  <c r="F8953" i="56" s="1"/>
  <c r="F8954" i="56" s="1"/>
  <c r="F8955" i="56" s="1"/>
  <c r="F8956" i="56" s="1"/>
  <c r="F8957" i="56" s="1"/>
  <c r="F8958" i="56" s="1"/>
  <c r="F8959" i="56" s="1"/>
  <c r="F8960" i="56" s="1"/>
  <c r="F8961" i="56" s="1"/>
  <c r="F8962" i="56" s="1"/>
  <c r="F8963" i="56" s="1"/>
  <c r="F8964" i="56" s="1"/>
  <c r="F8965" i="56" s="1"/>
  <c r="F8966" i="56" s="1"/>
  <c r="F8967" i="56" s="1"/>
  <c r="F8968" i="56" s="1"/>
  <c r="F8969" i="56" s="1"/>
  <c r="F8970" i="56" s="1"/>
  <c r="F8971" i="56" s="1"/>
  <c r="F8972" i="56" s="1"/>
  <c r="F8973" i="56" s="1"/>
  <c r="F8974" i="56" s="1"/>
  <c r="F8975" i="56" s="1"/>
  <c r="F8976" i="56" s="1"/>
  <c r="F8977" i="56" s="1"/>
  <c r="F8978" i="56" s="1"/>
  <c r="F8979" i="56" s="1"/>
  <c r="F8980" i="56" s="1"/>
  <c r="F8981" i="56" s="1"/>
  <c r="F8982" i="56" s="1"/>
  <c r="F8983" i="56" s="1"/>
  <c r="F8984" i="56" s="1"/>
  <c r="F8985" i="56" s="1"/>
  <c r="F8986" i="56" s="1"/>
  <c r="F8987" i="56" s="1"/>
  <c r="F8988" i="56" s="1"/>
  <c r="F8989" i="56" s="1"/>
  <c r="F8990" i="56" s="1"/>
  <c r="F8991" i="56" s="1"/>
  <c r="F8992" i="56" s="1"/>
  <c r="F8993" i="56" s="1"/>
  <c r="F8994" i="56" s="1"/>
  <c r="F8995" i="56" s="1"/>
  <c r="F8996" i="56" s="1"/>
  <c r="F8997" i="56" s="1"/>
  <c r="F8998" i="56" s="1"/>
  <c r="F8999" i="56" s="1"/>
  <c r="F9000" i="56" s="1"/>
  <c r="F9001" i="56" s="1"/>
  <c r="F9002" i="56" s="1"/>
  <c r="F9003" i="56" s="1"/>
  <c r="F9004" i="56" s="1"/>
  <c r="F9005" i="56" s="1"/>
  <c r="F9006" i="56" s="1"/>
  <c r="F9007" i="56" s="1"/>
  <c r="F9008" i="56" s="1"/>
  <c r="F9009" i="56" s="1"/>
  <c r="F9010" i="56" s="1"/>
  <c r="F9011" i="56" s="1"/>
  <c r="F9012" i="56" s="1"/>
  <c r="F9013" i="56" s="1"/>
  <c r="F9014" i="56" s="1"/>
  <c r="F9015" i="56" s="1"/>
  <c r="F9016" i="56" s="1"/>
  <c r="F9017" i="56" s="1"/>
  <c r="F9018" i="56" s="1"/>
  <c r="F9019" i="56" s="1"/>
  <c r="F9020" i="56" s="1"/>
  <c r="F9021" i="56" s="1"/>
  <c r="F9022" i="56" s="1"/>
  <c r="F9023" i="56" s="1"/>
  <c r="F9024" i="56" s="1"/>
  <c r="F9025" i="56" s="1"/>
  <c r="F9026" i="56" s="1"/>
  <c r="F9027" i="56" s="1"/>
  <c r="F9028" i="56" s="1"/>
  <c r="F9029" i="56" s="1"/>
  <c r="F9030" i="56" s="1"/>
  <c r="F9031" i="56" s="1"/>
  <c r="F9032" i="56" s="1"/>
  <c r="F9033" i="56" s="1"/>
  <c r="F9034" i="56" s="1"/>
  <c r="F9035" i="56" s="1"/>
  <c r="F9036" i="56" s="1"/>
  <c r="F9037" i="56" s="1"/>
  <c r="F9038" i="56" s="1"/>
  <c r="F9039" i="56" s="1"/>
  <c r="F9040" i="56" s="1"/>
  <c r="F9041" i="56" s="1"/>
  <c r="F9042" i="56" s="1"/>
  <c r="F9043" i="56" s="1"/>
  <c r="F9044" i="56" s="1"/>
  <c r="F9045" i="56" s="1"/>
  <c r="F9046" i="56" s="1"/>
  <c r="F9047" i="56" s="1"/>
  <c r="F9048" i="56" s="1"/>
  <c r="F9049" i="56" s="1"/>
  <c r="F9050" i="56" s="1"/>
  <c r="F9051" i="56" s="1"/>
  <c r="F9052" i="56" s="1"/>
  <c r="F9053" i="56" s="1"/>
  <c r="F9054" i="56" s="1"/>
  <c r="F9055" i="56" s="1"/>
  <c r="F9056" i="56" s="1"/>
  <c r="F9057" i="56" s="1"/>
  <c r="F9058" i="56" s="1"/>
  <c r="F9059" i="56" s="1"/>
  <c r="F9060" i="56" s="1"/>
  <c r="F9061" i="56" s="1"/>
  <c r="F9062" i="56" s="1"/>
  <c r="F9063" i="56" s="1"/>
  <c r="F9064" i="56" s="1"/>
  <c r="F9065" i="56" s="1"/>
  <c r="F9066" i="56" s="1"/>
  <c r="F9067" i="56" s="1"/>
  <c r="F9068" i="56" s="1"/>
  <c r="F9069" i="56" s="1"/>
  <c r="F9070" i="56" s="1"/>
  <c r="F9071" i="56" s="1"/>
  <c r="F9072" i="56" s="1"/>
  <c r="F9073" i="56" s="1"/>
  <c r="F9074" i="56" s="1"/>
  <c r="F9075" i="56" s="1"/>
  <c r="F9076" i="56" s="1"/>
  <c r="F9077" i="56" s="1"/>
  <c r="F9078" i="56" s="1"/>
  <c r="F9079" i="56" s="1"/>
  <c r="F9080" i="56" s="1"/>
  <c r="F9081" i="56" s="1"/>
  <c r="F9082" i="56" s="1"/>
  <c r="F9083" i="56" s="1"/>
  <c r="F9084" i="56" s="1"/>
  <c r="F9085" i="56" s="1"/>
  <c r="F9086" i="56" s="1"/>
  <c r="F9087" i="56" s="1"/>
  <c r="F9088" i="56" s="1"/>
  <c r="F9089" i="56" s="1"/>
  <c r="F9090" i="56" s="1"/>
  <c r="F9091" i="56" s="1"/>
  <c r="F9092" i="56" s="1"/>
  <c r="F9093" i="56" s="1"/>
  <c r="F9094" i="56" s="1"/>
  <c r="F9095" i="56" s="1"/>
  <c r="F9096" i="56" s="1"/>
  <c r="F9097" i="56" s="1"/>
  <c r="F9098" i="56" s="1"/>
  <c r="F9099" i="56" s="1"/>
  <c r="F9100" i="56" s="1"/>
  <c r="F9101" i="56" s="1"/>
  <c r="F9102" i="56" s="1"/>
  <c r="F9103" i="56" s="1"/>
  <c r="F9104" i="56" s="1"/>
  <c r="F9105" i="56" s="1"/>
  <c r="F9106" i="56" s="1"/>
  <c r="F9107" i="56" s="1"/>
  <c r="F9108" i="56" s="1"/>
  <c r="F9109" i="56" s="1"/>
  <c r="F9110" i="56" s="1"/>
  <c r="F9111" i="56" s="1"/>
  <c r="F9112" i="56" s="1"/>
  <c r="F9113" i="56" s="1"/>
  <c r="F9114" i="56" s="1"/>
  <c r="F9115" i="56" s="1"/>
  <c r="F9116" i="56" s="1"/>
  <c r="F9117" i="56" s="1"/>
  <c r="F9118" i="56" s="1"/>
  <c r="F9119" i="56" s="1"/>
  <c r="F9120" i="56" s="1"/>
  <c r="F9121" i="56" s="1"/>
  <c r="F9122" i="56" s="1"/>
  <c r="F9123" i="56" s="1"/>
  <c r="F9124" i="56" s="1"/>
  <c r="F9125" i="56" s="1"/>
  <c r="F9126" i="56" s="1"/>
  <c r="F9127" i="56" s="1"/>
  <c r="F9128" i="56" s="1"/>
  <c r="F9129" i="56" s="1"/>
  <c r="F9130" i="56" s="1"/>
  <c r="F9131" i="56" s="1"/>
  <c r="F9132" i="56" s="1"/>
  <c r="F9133" i="56" s="1"/>
  <c r="F9134" i="56" s="1"/>
  <c r="F9135" i="56" s="1"/>
  <c r="F9136" i="56" s="1"/>
  <c r="F9137" i="56" s="1"/>
  <c r="F9138" i="56" s="1"/>
  <c r="F9139" i="56" s="1"/>
  <c r="F9140" i="56" s="1"/>
  <c r="F9141" i="56" s="1"/>
  <c r="F9142" i="56" s="1"/>
  <c r="F9143" i="56" s="1"/>
  <c r="F9144" i="56" s="1"/>
  <c r="F9145" i="56" s="1"/>
  <c r="F9146" i="56" s="1"/>
  <c r="F9147" i="56" s="1"/>
  <c r="F9148" i="56" s="1"/>
  <c r="F9149" i="56" s="1"/>
  <c r="F9150" i="56" s="1"/>
  <c r="F9151" i="56" s="1"/>
  <c r="F9152" i="56" s="1"/>
  <c r="F9153" i="56" s="1"/>
  <c r="F9154" i="56" s="1"/>
  <c r="F9155" i="56" s="1"/>
  <c r="F9156" i="56" s="1"/>
  <c r="F9157" i="56" s="1"/>
  <c r="F9158" i="56" s="1"/>
  <c r="F9159" i="56" s="1"/>
  <c r="F9160" i="56" s="1"/>
  <c r="F9161" i="56" s="1"/>
  <c r="F9162" i="56" s="1"/>
  <c r="F9163" i="56" s="1"/>
  <c r="F9164" i="56" s="1"/>
  <c r="F9165" i="56" s="1"/>
  <c r="F9166" i="56" s="1"/>
  <c r="F9167" i="56" s="1"/>
  <c r="F9168" i="56" s="1"/>
  <c r="F9169" i="56" s="1"/>
  <c r="F9170" i="56" s="1"/>
  <c r="F9171" i="56" s="1"/>
  <c r="F9172" i="56" s="1"/>
  <c r="F9173" i="56" s="1"/>
  <c r="F9174" i="56" s="1"/>
  <c r="F9175" i="56" s="1"/>
  <c r="F9176" i="56" s="1"/>
  <c r="F9177" i="56" s="1"/>
  <c r="F9178" i="56" s="1"/>
  <c r="F9179" i="56" s="1"/>
  <c r="F9180" i="56" s="1"/>
  <c r="F9181" i="56" s="1"/>
  <c r="F9182" i="56" s="1"/>
  <c r="F9183" i="56" s="1"/>
  <c r="F9184" i="56" s="1"/>
  <c r="F9185" i="56" s="1"/>
  <c r="F9186" i="56" s="1"/>
  <c r="F9187" i="56" s="1"/>
  <c r="F9188" i="56" s="1"/>
  <c r="F9189" i="56" s="1"/>
  <c r="F9190" i="56" s="1"/>
  <c r="F9191" i="56" s="1"/>
  <c r="F9192" i="56" s="1"/>
  <c r="F9193" i="56" s="1"/>
  <c r="F9194" i="56" s="1"/>
  <c r="F9195" i="56" s="1"/>
  <c r="F9196" i="56" s="1"/>
  <c r="F9197" i="56" s="1"/>
  <c r="F9198" i="56" s="1"/>
  <c r="F9199" i="56" s="1"/>
  <c r="F9200" i="56" s="1"/>
  <c r="F9201" i="56" s="1"/>
  <c r="F9202" i="56" s="1"/>
  <c r="F9203" i="56" s="1"/>
  <c r="F9204" i="56" s="1"/>
  <c r="F9205" i="56" s="1"/>
  <c r="F9206" i="56" s="1"/>
  <c r="F9207" i="56" s="1"/>
  <c r="F9208" i="56" s="1"/>
  <c r="F9209" i="56" s="1"/>
  <c r="F9210" i="56" s="1"/>
  <c r="F9211" i="56" s="1"/>
  <c r="F9212" i="56" s="1"/>
  <c r="F9213" i="56" s="1"/>
  <c r="F9214" i="56" s="1"/>
  <c r="F9215" i="56" s="1"/>
  <c r="F9216" i="56" s="1"/>
  <c r="F9217" i="56" s="1"/>
  <c r="F9218" i="56" s="1"/>
  <c r="F9219" i="56" s="1"/>
  <c r="F9220" i="56" s="1"/>
  <c r="F9221" i="56" s="1"/>
  <c r="F9222" i="56" s="1"/>
  <c r="F9223" i="56" s="1"/>
  <c r="F9224" i="56" s="1"/>
  <c r="F9225" i="56" s="1"/>
  <c r="F9226" i="56" s="1"/>
  <c r="F9227" i="56" s="1"/>
  <c r="F9228" i="56" s="1"/>
  <c r="F9229" i="56" s="1"/>
  <c r="F9230" i="56" s="1"/>
  <c r="F9231" i="56" s="1"/>
  <c r="F9232" i="56" s="1"/>
  <c r="F9233" i="56" s="1"/>
  <c r="F9234" i="56" s="1"/>
  <c r="F9235" i="56" s="1"/>
  <c r="F9236" i="56" s="1"/>
  <c r="F9237" i="56" s="1"/>
  <c r="F9238" i="56" s="1"/>
  <c r="F9239" i="56" s="1"/>
  <c r="F9240" i="56" s="1"/>
  <c r="F9241" i="56" s="1"/>
  <c r="F9242" i="56" s="1"/>
  <c r="F9243" i="56" s="1"/>
  <c r="F9244" i="56" s="1"/>
  <c r="F9245" i="56" s="1"/>
  <c r="F9246" i="56" s="1"/>
  <c r="F9247" i="56" s="1"/>
  <c r="F9248" i="56" s="1"/>
  <c r="F9249" i="56" s="1"/>
  <c r="F9250" i="56" s="1"/>
  <c r="F9251" i="56" s="1"/>
  <c r="F9252" i="56" s="1"/>
  <c r="F9253" i="56" s="1"/>
  <c r="F9254" i="56" s="1"/>
  <c r="F9255" i="56" s="1"/>
  <c r="F9256" i="56" s="1"/>
  <c r="F9257" i="56" s="1"/>
  <c r="F9258" i="56" s="1"/>
  <c r="F9259" i="56" s="1"/>
  <c r="F9260" i="56" s="1"/>
  <c r="F9261" i="56" s="1"/>
  <c r="F9262" i="56" s="1"/>
  <c r="F9263" i="56" s="1"/>
  <c r="F9264" i="56" s="1"/>
  <c r="F9265" i="56" s="1"/>
  <c r="F9266" i="56" s="1"/>
  <c r="F9267" i="56" s="1"/>
  <c r="F9268" i="56" s="1"/>
  <c r="F9269" i="56" s="1"/>
  <c r="F9270" i="56" s="1"/>
  <c r="F9271" i="56" s="1"/>
  <c r="F9272" i="56" s="1"/>
  <c r="F9273" i="56" s="1"/>
  <c r="F9274" i="56" s="1"/>
  <c r="F9275" i="56" s="1"/>
  <c r="F9276" i="56" s="1"/>
  <c r="F9277" i="56" s="1"/>
  <c r="F9278" i="56" s="1"/>
  <c r="F9279" i="56" s="1"/>
  <c r="F9280" i="56" s="1"/>
  <c r="F9281" i="56" s="1"/>
  <c r="F9282" i="56" s="1"/>
  <c r="F9283" i="56" s="1"/>
  <c r="F9284" i="56" s="1"/>
  <c r="F9285" i="56" s="1"/>
  <c r="F9286" i="56" s="1"/>
  <c r="F9287" i="56" s="1"/>
  <c r="F9288" i="56" s="1"/>
  <c r="F9289" i="56" s="1"/>
  <c r="F9290" i="56" s="1"/>
  <c r="F9291" i="56" s="1"/>
  <c r="F9292" i="56" s="1"/>
  <c r="F9293" i="56" s="1"/>
  <c r="F9294" i="56" s="1"/>
  <c r="F9295" i="56" s="1"/>
  <c r="F9296" i="56" s="1"/>
  <c r="F9297" i="56" s="1"/>
  <c r="F9298" i="56" s="1"/>
  <c r="F9299" i="56" s="1"/>
  <c r="F9300" i="56" s="1"/>
  <c r="F9301" i="56" s="1"/>
  <c r="F9302" i="56" s="1"/>
  <c r="F9303" i="56" s="1"/>
  <c r="F9304" i="56" s="1"/>
  <c r="F9305" i="56" s="1"/>
  <c r="F9306" i="56" s="1"/>
  <c r="F9307" i="56" s="1"/>
  <c r="F9308" i="56" s="1"/>
  <c r="F9309" i="56" s="1"/>
  <c r="F9310" i="56" s="1"/>
  <c r="F9311" i="56" s="1"/>
  <c r="F9312" i="56" s="1"/>
  <c r="F9313" i="56" s="1"/>
  <c r="F9314" i="56" s="1"/>
  <c r="F9315" i="56" s="1"/>
  <c r="F9316" i="56" s="1"/>
  <c r="F9317" i="56" s="1"/>
  <c r="F9318" i="56" s="1"/>
  <c r="F9319" i="56" s="1"/>
  <c r="F9320" i="56" s="1"/>
  <c r="F9321" i="56" s="1"/>
  <c r="F9322" i="56" s="1"/>
  <c r="F9323" i="56" s="1"/>
  <c r="F9324" i="56" s="1"/>
  <c r="F9325" i="56" s="1"/>
  <c r="F9326" i="56" s="1"/>
  <c r="F9327" i="56" s="1"/>
  <c r="F9328" i="56" s="1"/>
  <c r="F9329" i="56" s="1"/>
  <c r="F9330" i="56" s="1"/>
  <c r="F9331" i="56" s="1"/>
  <c r="F9332" i="56" s="1"/>
  <c r="F9333" i="56" s="1"/>
  <c r="F9334" i="56" s="1"/>
  <c r="F9335" i="56" s="1"/>
  <c r="F9336" i="56" s="1"/>
  <c r="F9337" i="56" s="1"/>
  <c r="F9338" i="56" s="1"/>
  <c r="F9339" i="56" s="1"/>
  <c r="F9340" i="56" s="1"/>
  <c r="F9341" i="56" s="1"/>
  <c r="F9342" i="56" s="1"/>
  <c r="F9343" i="56" s="1"/>
  <c r="F9344" i="56" s="1"/>
  <c r="F9345" i="56" s="1"/>
  <c r="F9346" i="56" s="1"/>
  <c r="F9347" i="56" s="1"/>
  <c r="F9348" i="56" s="1"/>
  <c r="F9349" i="56" s="1"/>
  <c r="F9350" i="56" s="1"/>
  <c r="F9351" i="56" s="1"/>
  <c r="F9352" i="56" s="1"/>
  <c r="F9353" i="56" s="1"/>
  <c r="F9354" i="56" s="1"/>
  <c r="F9355" i="56" s="1"/>
  <c r="F9356" i="56" s="1"/>
  <c r="F9357" i="56" s="1"/>
  <c r="F9358" i="56" s="1"/>
  <c r="F9359" i="56" s="1"/>
  <c r="F9360" i="56" s="1"/>
  <c r="F9361" i="56" s="1"/>
  <c r="F9362" i="56" s="1"/>
  <c r="F9363" i="56" s="1"/>
  <c r="F9364" i="56" s="1"/>
  <c r="F9365" i="56" s="1"/>
  <c r="F9366" i="56" s="1"/>
  <c r="F9367" i="56" s="1"/>
  <c r="F9368" i="56" s="1"/>
  <c r="F9369" i="56" s="1"/>
  <c r="F9370" i="56" s="1"/>
  <c r="F9371" i="56" s="1"/>
  <c r="F9372" i="56" s="1"/>
  <c r="F9373" i="56" s="1"/>
  <c r="F9374" i="56" s="1"/>
  <c r="F9375" i="56" s="1"/>
  <c r="F9376" i="56" s="1"/>
  <c r="F9377" i="56" s="1"/>
  <c r="F9378" i="56" s="1"/>
  <c r="F9379" i="56" s="1"/>
  <c r="F9380" i="56" s="1"/>
  <c r="F9381" i="56" s="1"/>
  <c r="F9382" i="56" s="1"/>
  <c r="F9383" i="56" s="1"/>
  <c r="F9384" i="56" s="1"/>
  <c r="F9385" i="56" s="1"/>
  <c r="F9386" i="56" s="1"/>
  <c r="F9387" i="56" s="1"/>
  <c r="F9388" i="56" s="1"/>
  <c r="F9389" i="56" s="1"/>
  <c r="F9390" i="56" s="1"/>
  <c r="F9391" i="56" s="1"/>
  <c r="F9392" i="56" s="1"/>
  <c r="F9393" i="56" s="1"/>
  <c r="F9394" i="56" s="1"/>
  <c r="F9395" i="56" s="1"/>
  <c r="F9396" i="56" s="1"/>
  <c r="F9397" i="56" s="1"/>
  <c r="F9398" i="56" s="1"/>
  <c r="F9399" i="56" s="1"/>
  <c r="F9400" i="56" s="1"/>
  <c r="F9401" i="56" s="1"/>
  <c r="F9402" i="56" s="1"/>
  <c r="F9403" i="56" s="1"/>
  <c r="F9404" i="56" s="1"/>
  <c r="F9405" i="56" s="1"/>
  <c r="F9406" i="56" s="1"/>
  <c r="F9407" i="56" s="1"/>
  <c r="F9408" i="56" s="1"/>
  <c r="F9409" i="56" s="1"/>
  <c r="F9410" i="56" s="1"/>
  <c r="F9411" i="56" s="1"/>
  <c r="F9412" i="56" s="1"/>
  <c r="F9413" i="56" s="1"/>
  <c r="F9414" i="56" s="1"/>
  <c r="F9415" i="56" s="1"/>
  <c r="F9416" i="56" s="1"/>
  <c r="F9417" i="56" s="1"/>
  <c r="F9418" i="56" s="1"/>
  <c r="F9419" i="56" s="1"/>
  <c r="F9420" i="56" s="1"/>
  <c r="F9421" i="56" s="1"/>
  <c r="F9422" i="56" s="1"/>
  <c r="F9423" i="56" s="1"/>
  <c r="F9424" i="56" s="1"/>
  <c r="F9425" i="56" s="1"/>
  <c r="F9426" i="56" s="1"/>
  <c r="F9427" i="56" s="1"/>
  <c r="F9428" i="56" s="1"/>
  <c r="F9429" i="56" s="1"/>
  <c r="F9430" i="56" s="1"/>
  <c r="F9431" i="56" s="1"/>
  <c r="F9432" i="56" s="1"/>
  <c r="F9433" i="56" s="1"/>
  <c r="F9434" i="56" s="1"/>
  <c r="F9435" i="56" s="1"/>
  <c r="F9436" i="56" s="1"/>
  <c r="F9437" i="56" s="1"/>
  <c r="F9438" i="56" s="1"/>
  <c r="F9439" i="56" s="1"/>
  <c r="F9440" i="56" s="1"/>
  <c r="F9441" i="56" s="1"/>
  <c r="F9442" i="56" s="1"/>
  <c r="F9443" i="56" s="1"/>
  <c r="F9444" i="56" s="1"/>
  <c r="F9445" i="56" s="1"/>
  <c r="F9446" i="56" s="1"/>
  <c r="F9447" i="56" s="1"/>
  <c r="F9448" i="56" s="1"/>
  <c r="F9449" i="56" s="1"/>
  <c r="F9450" i="56" s="1"/>
  <c r="F9451" i="56" s="1"/>
  <c r="F9452" i="56" s="1"/>
  <c r="F9453" i="56" s="1"/>
  <c r="F9454" i="56" s="1"/>
  <c r="F9455" i="56" s="1"/>
  <c r="F9456" i="56" s="1"/>
  <c r="F9457" i="56" s="1"/>
  <c r="F9458" i="56" s="1"/>
  <c r="F9459" i="56" s="1"/>
  <c r="F9460" i="56" s="1"/>
  <c r="F9461" i="56" s="1"/>
  <c r="F9462" i="56" s="1"/>
  <c r="F9463" i="56" s="1"/>
  <c r="F9464" i="56" s="1"/>
  <c r="F9465" i="56" s="1"/>
  <c r="F9466" i="56" s="1"/>
  <c r="F9467" i="56" s="1"/>
  <c r="F9468" i="56" s="1"/>
  <c r="F9469" i="56" s="1"/>
  <c r="F9470" i="56" s="1"/>
  <c r="F9471" i="56" s="1"/>
  <c r="F9472" i="56" s="1"/>
  <c r="F9473" i="56" s="1"/>
  <c r="F9474" i="56" s="1"/>
  <c r="F9475" i="56" s="1"/>
  <c r="F9476" i="56" s="1"/>
  <c r="F9477" i="56" s="1"/>
  <c r="F9478" i="56" s="1"/>
  <c r="F9479" i="56" s="1"/>
  <c r="F9480" i="56" s="1"/>
  <c r="F9481" i="56" s="1"/>
  <c r="F9482" i="56" s="1"/>
  <c r="F9483" i="56" s="1"/>
  <c r="F9484" i="56" s="1"/>
  <c r="F9485" i="56" s="1"/>
  <c r="F9486" i="56" s="1"/>
  <c r="F9487" i="56" s="1"/>
  <c r="F9488" i="56" s="1"/>
  <c r="F9489" i="56" s="1"/>
  <c r="F9490" i="56" s="1"/>
  <c r="F9491" i="56" s="1"/>
  <c r="F9492" i="56" s="1"/>
  <c r="F9493" i="56" s="1"/>
  <c r="F9494" i="56" s="1"/>
  <c r="F9495" i="56" s="1"/>
  <c r="F9496" i="56" s="1"/>
  <c r="F9497" i="56" s="1"/>
  <c r="F9498" i="56" s="1"/>
  <c r="F9499" i="56" s="1"/>
  <c r="F9500" i="56" s="1"/>
  <c r="F9501" i="56" s="1"/>
  <c r="F9502" i="56" s="1"/>
  <c r="F9503" i="56" s="1"/>
  <c r="F9504" i="56" s="1"/>
  <c r="F9505" i="56" s="1"/>
  <c r="F9506" i="56" s="1"/>
  <c r="F9507" i="56" s="1"/>
  <c r="F9508" i="56" s="1"/>
  <c r="F9509" i="56" s="1"/>
  <c r="F9510" i="56" s="1"/>
  <c r="F9511" i="56" s="1"/>
  <c r="F9512" i="56" s="1"/>
  <c r="F9513" i="56" s="1"/>
  <c r="F9514" i="56" s="1"/>
  <c r="F9515" i="56" s="1"/>
  <c r="F9516" i="56" s="1"/>
  <c r="F9517" i="56" s="1"/>
  <c r="F9518" i="56" s="1"/>
  <c r="F9519" i="56" s="1"/>
  <c r="F9520" i="56" s="1"/>
  <c r="F9521" i="56" s="1"/>
  <c r="F9522" i="56" s="1"/>
  <c r="F9523" i="56" s="1"/>
  <c r="F9524" i="56" s="1"/>
  <c r="F9525" i="56" s="1"/>
  <c r="F9526" i="56" s="1"/>
  <c r="F9527" i="56" s="1"/>
  <c r="F9528" i="56" s="1"/>
  <c r="F9529" i="56" s="1"/>
  <c r="F9530" i="56" s="1"/>
  <c r="F9531" i="56" s="1"/>
  <c r="F9532" i="56" s="1"/>
  <c r="F9533" i="56" s="1"/>
  <c r="F9534" i="56" s="1"/>
  <c r="F9535" i="56" s="1"/>
  <c r="F9536" i="56" s="1"/>
  <c r="F9537" i="56" s="1"/>
  <c r="F9538" i="56" s="1"/>
  <c r="F9539" i="56" s="1"/>
  <c r="F9540" i="56" s="1"/>
  <c r="F9541" i="56" s="1"/>
  <c r="F9542" i="56" s="1"/>
  <c r="F9543" i="56" s="1"/>
  <c r="F9544" i="56" s="1"/>
  <c r="F9545" i="56" s="1"/>
  <c r="F9546" i="56" s="1"/>
  <c r="F9547" i="56" s="1"/>
  <c r="F9548" i="56" s="1"/>
  <c r="F9549" i="56" s="1"/>
  <c r="F9550" i="56" s="1"/>
  <c r="F9551" i="56" s="1"/>
  <c r="F9552" i="56" s="1"/>
  <c r="F9553" i="56" s="1"/>
  <c r="F9554" i="56" s="1"/>
  <c r="F9555" i="56" s="1"/>
  <c r="F9556" i="56" s="1"/>
  <c r="F9557" i="56" s="1"/>
  <c r="F9558" i="56" s="1"/>
  <c r="F9559" i="56" s="1"/>
  <c r="F9560" i="56" s="1"/>
  <c r="F9561" i="56" s="1"/>
  <c r="F9562" i="56" s="1"/>
  <c r="F9563" i="56" s="1"/>
  <c r="F9564" i="56" s="1"/>
  <c r="F9565" i="56" s="1"/>
  <c r="F9566" i="56" s="1"/>
  <c r="F9567" i="56" s="1"/>
  <c r="F9568" i="56" s="1"/>
  <c r="F9569" i="56" s="1"/>
  <c r="F9570" i="56" s="1"/>
  <c r="F9571" i="56" s="1"/>
  <c r="F9572" i="56" s="1"/>
  <c r="F9573" i="56" s="1"/>
  <c r="F9574" i="56" s="1"/>
  <c r="F9575" i="56" s="1"/>
  <c r="F9576" i="56" s="1"/>
  <c r="F9577" i="56" s="1"/>
  <c r="F9578" i="56" s="1"/>
  <c r="F9579" i="56" s="1"/>
  <c r="F9580" i="56" s="1"/>
  <c r="F9581" i="56" s="1"/>
  <c r="F9582" i="56" s="1"/>
  <c r="F9583" i="56" s="1"/>
  <c r="F9584" i="56" s="1"/>
  <c r="F9585" i="56" s="1"/>
  <c r="F9586" i="56" s="1"/>
  <c r="F9587" i="56" s="1"/>
  <c r="F9588" i="56" s="1"/>
  <c r="F9589" i="56" s="1"/>
  <c r="F9590" i="56" s="1"/>
  <c r="F9591" i="56" s="1"/>
  <c r="F9592" i="56" s="1"/>
  <c r="F9593" i="56" s="1"/>
  <c r="F9594" i="56" s="1"/>
  <c r="F9595" i="56" s="1"/>
  <c r="F9596" i="56" s="1"/>
  <c r="F9597" i="56" s="1"/>
  <c r="F9598" i="56" s="1"/>
  <c r="F9599" i="56" s="1"/>
  <c r="F9600" i="56" s="1"/>
  <c r="F9601" i="56" s="1"/>
  <c r="F9602" i="56" s="1"/>
  <c r="F9603" i="56" s="1"/>
  <c r="F9604" i="56" s="1"/>
  <c r="F9605" i="56" s="1"/>
  <c r="F9606" i="56" s="1"/>
  <c r="F9607" i="56" s="1"/>
  <c r="F9608" i="56" s="1"/>
  <c r="F9609" i="56" s="1"/>
  <c r="F9610" i="56" s="1"/>
  <c r="F9611" i="56" s="1"/>
  <c r="F9612" i="56" s="1"/>
  <c r="F9613" i="56" s="1"/>
  <c r="F9614" i="56" s="1"/>
  <c r="F9615" i="56" s="1"/>
  <c r="F9616" i="56" s="1"/>
  <c r="F9617" i="56" s="1"/>
  <c r="F9618" i="56" s="1"/>
  <c r="F9619" i="56" s="1"/>
  <c r="F9620" i="56" s="1"/>
  <c r="F9621" i="56" s="1"/>
  <c r="F9622" i="56" s="1"/>
  <c r="F9623" i="56" s="1"/>
  <c r="F9624" i="56" s="1"/>
  <c r="F9625" i="56" s="1"/>
  <c r="F9626" i="56" s="1"/>
  <c r="F9627" i="56" s="1"/>
  <c r="F9628" i="56" s="1"/>
  <c r="F9629" i="56" s="1"/>
  <c r="F9630" i="56" s="1"/>
  <c r="F9631" i="56" s="1"/>
  <c r="F9632" i="56" s="1"/>
  <c r="F9633" i="56" s="1"/>
  <c r="F9634" i="56" s="1"/>
  <c r="F9635" i="56" s="1"/>
  <c r="F9636" i="56" s="1"/>
  <c r="F9637" i="56" s="1"/>
  <c r="F9638" i="56" s="1"/>
  <c r="F9639" i="56" s="1"/>
  <c r="F9640" i="56" s="1"/>
  <c r="F9641" i="56" s="1"/>
  <c r="F9642" i="56" s="1"/>
  <c r="F9643" i="56" s="1"/>
  <c r="F9644" i="56" s="1"/>
  <c r="F9645" i="56" s="1"/>
  <c r="F9646" i="56" s="1"/>
  <c r="F9647" i="56" s="1"/>
  <c r="F9648" i="56" s="1"/>
  <c r="F9649" i="56" s="1"/>
  <c r="F9650" i="56" s="1"/>
  <c r="F9651" i="56" s="1"/>
  <c r="F9652" i="56" s="1"/>
  <c r="F9653" i="56" s="1"/>
  <c r="F9654" i="56" s="1"/>
  <c r="F9655" i="56" s="1"/>
  <c r="F9656" i="56" s="1"/>
  <c r="F9657" i="56" s="1"/>
  <c r="F9658" i="56" s="1"/>
  <c r="F9659" i="56" s="1"/>
  <c r="F9660" i="56" s="1"/>
  <c r="F9661" i="56" s="1"/>
  <c r="F9662" i="56" s="1"/>
  <c r="F9663" i="56" s="1"/>
  <c r="F9664" i="56" s="1"/>
  <c r="F9665" i="56" s="1"/>
  <c r="F9666" i="56" s="1"/>
  <c r="F9667" i="56" s="1"/>
  <c r="F9668" i="56" s="1"/>
  <c r="F9669" i="56" s="1"/>
  <c r="F9670" i="56" s="1"/>
  <c r="F9671" i="56" s="1"/>
  <c r="F9672" i="56" s="1"/>
  <c r="F9673" i="56" s="1"/>
  <c r="F9674" i="56" s="1"/>
  <c r="F9675" i="56" s="1"/>
  <c r="F9676" i="56" s="1"/>
  <c r="F9677" i="56" s="1"/>
  <c r="F9678" i="56" s="1"/>
  <c r="F9679" i="56" s="1"/>
  <c r="F9680" i="56" s="1"/>
  <c r="F9681" i="56" s="1"/>
  <c r="F9682" i="56" s="1"/>
  <c r="F9683" i="56" s="1"/>
  <c r="F9684" i="56" s="1"/>
  <c r="F9685" i="56" s="1"/>
  <c r="F9686" i="56" s="1"/>
  <c r="F9687" i="56" s="1"/>
  <c r="F9688" i="56" s="1"/>
  <c r="F9689" i="56" s="1"/>
  <c r="F9690" i="56" s="1"/>
  <c r="F9691" i="56" s="1"/>
  <c r="F9692" i="56" s="1"/>
  <c r="F9693" i="56" s="1"/>
  <c r="F9694" i="56" s="1"/>
  <c r="F9695" i="56" s="1"/>
  <c r="F9696" i="56" s="1"/>
  <c r="F9697" i="56" s="1"/>
  <c r="F9698" i="56" s="1"/>
  <c r="F9699" i="56" s="1"/>
  <c r="F9700" i="56" s="1"/>
  <c r="F9701" i="56" s="1"/>
  <c r="F9702" i="56" s="1"/>
  <c r="F9703" i="56" s="1"/>
  <c r="F9704" i="56" s="1"/>
  <c r="F9705" i="56" s="1"/>
  <c r="F9706" i="56" s="1"/>
  <c r="F9707" i="56" s="1"/>
  <c r="F9708" i="56" s="1"/>
  <c r="F9709" i="56" s="1"/>
  <c r="F9710" i="56" s="1"/>
  <c r="F9711" i="56" s="1"/>
  <c r="F9712" i="56" s="1"/>
  <c r="F9713" i="56" s="1"/>
  <c r="F9714" i="56" s="1"/>
  <c r="F9715" i="56" s="1"/>
  <c r="F9716" i="56" s="1"/>
  <c r="F9717" i="56" s="1"/>
  <c r="F9718" i="56" s="1"/>
  <c r="F9719" i="56" s="1"/>
  <c r="F9720" i="56" s="1"/>
  <c r="F9721" i="56" s="1"/>
  <c r="F9722" i="56" s="1"/>
  <c r="F9723" i="56" s="1"/>
  <c r="F9724" i="56" s="1"/>
  <c r="F9725" i="56" s="1"/>
  <c r="F9726" i="56" s="1"/>
  <c r="F9727" i="56" s="1"/>
  <c r="F9728" i="56" s="1"/>
  <c r="F9729" i="56" s="1"/>
  <c r="F9730" i="56" s="1"/>
  <c r="F9731" i="56" s="1"/>
  <c r="F9732" i="56" s="1"/>
  <c r="F9733" i="56" s="1"/>
  <c r="F9734" i="56" s="1"/>
  <c r="F9735" i="56" s="1"/>
  <c r="F9736" i="56" s="1"/>
  <c r="F9737" i="56" s="1"/>
  <c r="F9738" i="56" s="1"/>
  <c r="F9739" i="56" s="1"/>
  <c r="F9740" i="56" s="1"/>
  <c r="F9741" i="56" s="1"/>
  <c r="F9742" i="56" s="1"/>
  <c r="F9743" i="56" s="1"/>
  <c r="F9744" i="56" s="1"/>
  <c r="F9745" i="56" s="1"/>
  <c r="F9746" i="56" s="1"/>
  <c r="F9747" i="56" s="1"/>
  <c r="F9748" i="56" s="1"/>
  <c r="F9749" i="56" s="1"/>
  <c r="F9750" i="56" s="1"/>
  <c r="F9751" i="56" s="1"/>
  <c r="F9752" i="56" s="1"/>
  <c r="F9753" i="56" s="1"/>
  <c r="F9754" i="56" s="1"/>
  <c r="F9755" i="56" s="1"/>
  <c r="F9756" i="56" s="1"/>
  <c r="F9757" i="56" s="1"/>
  <c r="F9758" i="56" s="1"/>
  <c r="F9759" i="56" s="1"/>
  <c r="F9760" i="56" s="1"/>
  <c r="F9761" i="56" s="1"/>
  <c r="F9762" i="56" s="1"/>
  <c r="F9763" i="56" s="1"/>
  <c r="F9764" i="56" s="1"/>
  <c r="F9765" i="56" s="1"/>
  <c r="F9766" i="56" s="1"/>
  <c r="F9767" i="56" s="1"/>
  <c r="F9768" i="56" s="1"/>
  <c r="F9769" i="56" s="1"/>
  <c r="F9770" i="56" s="1"/>
  <c r="F9771" i="56" s="1"/>
  <c r="F9772" i="56" s="1"/>
  <c r="F9773" i="56" s="1"/>
  <c r="F9774" i="56" s="1"/>
  <c r="F9775" i="56" s="1"/>
  <c r="F9776" i="56" s="1"/>
  <c r="F9777" i="56" s="1"/>
  <c r="F9778" i="56" s="1"/>
  <c r="F9779" i="56" s="1"/>
  <c r="F9780" i="56" s="1"/>
  <c r="F9781" i="56" s="1"/>
  <c r="F9782" i="56" s="1"/>
  <c r="F9783" i="56" s="1"/>
  <c r="F9784" i="56" s="1"/>
  <c r="F9785" i="56" s="1"/>
  <c r="F9786" i="56" s="1"/>
  <c r="F9787" i="56" s="1"/>
  <c r="F9788" i="56" s="1"/>
  <c r="F9789" i="56" s="1"/>
  <c r="F9790" i="56" s="1"/>
  <c r="F9791" i="56" s="1"/>
  <c r="F9792" i="56" s="1"/>
  <c r="F9793" i="56" s="1"/>
  <c r="F9794" i="56" s="1"/>
  <c r="F9795" i="56" s="1"/>
  <c r="F9796" i="56" s="1"/>
  <c r="F9797" i="56" s="1"/>
  <c r="F9798" i="56" s="1"/>
  <c r="F9799" i="56" s="1"/>
  <c r="F9800" i="56" s="1"/>
  <c r="F9801" i="56" s="1"/>
  <c r="F9802" i="56" s="1"/>
  <c r="F9803" i="56" s="1"/>
  <c r="F9804" i="56" s="1"/>
  <c r="F9805" i="56" s="1"/>
  <c r="F9806" i="56" s="1"/>
  <c r="F9807" i="56" s="1"/>
  <c r="F9808" i="56" s="1"/>
  <c r="F9809" i="56" s="1"/>
  <c r="F9810" i="56" s="1"/>
  <c r="F9811" i="56" s="1"/>
  <c r="F9812" i="56" s="1"/>
  <c r="F9813" i="56" s="1"/>
  <c r="F9814" i="56" s="1"/>
  <c r="F9815" i="56" s="1"/>
  <c r="F9816" i="56" s="1"/>
  <c r="F9817" i="56" s="1"/>
  <c r="F9818" i="56" s="1"/>
  <c r="F9819" i="56" s="1"/>
  <c r="F9820" i="56" s="1"/>
  <c r="F9821" i="56" s="1"/>
  <c r="F9822" i="56" s="1"/>
  <c r="F9823" i="56" s="1"/>
  <c r="F9824" i="56" s="1"/>
  <c r="F9825" i="56" s="1"/>
  <c r="F9826" i="56" s="1"/>
  <c r="F9827" i="56" s="1"/>
  <c r="F9828" i="56" s="1"/>
  <c r="F9829" i="56" s="1"/>
  <c r="F9830" i="56" s="1"/>
  <c r="F9831" i="56" s="1"/>
  <c r="F9832" i="56" s="1"/>
  <c r="F9833" i="56" s="1"/>
  <c r="F9834" i="56" s="1"/>
  <c r="F9835" i="56" s="1"/>
  <c r="F9836" i="56" s="1"/>
  <c r="F9837" i="56" s="1"/>
  <c r="F9838" i="56" s="1"/>
  <c r="F9839" i="56" s="1"/>
  <c r="F9840" i="56" s="1"/>
  <c r="F9841" i="56" s="1"/>
  <c r="F9842" i="56" s="1"/>
  <c r="F9843" i="56" s="1"/>
  <c r="F9844" i="56" s="1"/>
  <c r="F9845" i="56" s="1"/>
  <c r="F9846" i="56" s="1"/>
  <c r="F9847" i="56" s="1"/>
  <c r="F9848" i="56" s="1"/>
  <c r="F9849" i="56" s="1"/>
  <c r="F9850" i="56" s="1"/>
  <c r="F9851" i="56" s="1"/>
  <c r="F9852" i="56" s="1"/>
  <c r="F9853" i="56" s="1"/>
  <c r="F9854" i="56" s="1"/>
  <c r="F9855" i="56" s="1"/>
  <c r="F9856" i="56" s="1"/>
  <c r="F9857" i="56" s="1"/>
  <c r="F9858" i="56" s="1"/>
  <c r="F9859" i="56" s="1"/>
  <c r="F9860" i="56" s="1"/>
  <c r="F9861" i="56" s="1"/>
  <c r="F9862" i="56" s="1"/>
  <c r="F9863" i="56" s="1"/>
  <c r="F9864" i="56" s="1"/>
  <c r="F9865" i="56" s="1"/>
  <c r="F9866" i="56" s="1"/>
  <c r="F9867" i="56" s="1"/>
  <c r="F9868" i="56" s="1"/>
  <c r="F9869" i="56" s="1"/>
  <c r="F9870" i="56" s="1"/>
  <c r="F9871" i="56" s="1"/>
  <c r="F9872" i="56" s="1"/>
  <c r="F9873" i="56" s="1"/>
  <c r="F9874" i="56" s="1"/>
  <c r="F9875" i="56" s="1"/>
  <c r="F9876" i="56" s="1"/>
  <c r="F9877" i="56" s="1"/>
  <c r="F9878" i="56" s="1"/>
  <c r="F9879" i="56" s="1"/>
  <c r="F9880" i="56" s="1"/>
  <c r="F9881" i="56" s="1"/>
  <c r="F9882" i="56" s="1"/>
  <c r="F9883" i="56" s="1"/>
  <c r="F9884" i="56" s="1"/>
  <c r="F9885" i="56" s="1"/>
  <c r="F9886" i="56" s="1"/>
  <c r="F9887" i="56" s="1"/>
  <c r="F9888" i="56" s="1"/>
  <c r="F9889" i="56" s="1"/>
  <c r="F9890" i="56" s="1"/>
  <c r="F9891" i="56" s="1"/>
  <c r="F9892" i="56" s="1"/>
  <c r="F9893" i="56" s="1"/>
  <c r="F9894" i="56" s="1"/>
  <c r="F9895" i="56" s="1"/>
  <c r="F9896" i="56" s="1"/>
  <c r="F9897" i="56" s="1"/>
  <c r="F9898" i="56" s="1"/>
  <c r="F9899" i="56" s="1"/>
  <c r="F9900" i="56" s="1"/>
  <c r="F9901" i="56" s="1"/>
  <c r="F9902" i="56" s="1"/>
  <c r="F9903" i="56" s="1"/>
  <c r="F9904" i="56" s="1"/>
  <c r="F9905" i="56" s="1"/>
  <c r="F9906" i="56" s="1"/>
  <c r="F9907" i="56" s="1"/>
  <c r="F9908" i="56" s="1"/>
  <c r="F9909" i="56" s="1"/>
  <c r="F9910" i="56" s="1"/>
  <c r="F9911" i="56" s="1"/>
  <c r="F9912" i="56" s="1"/>
  <c r="F9913" i="56" s="1"/>
  <c r="F9914" i="56" s="1"/>
  <c r="F9915" i="56" s="1"/>
  <c r="F9916" i="56" s="1"/>
  <c r="F9917" i="56" s="1"/>
  <c r="F9918" i="56" s="1"/>
  <c r="F9919" i="56" s="1"/>
  <c r="F9920" i="56" s="1"/>
  <c r="F9921" i="56" s="1"/>
  <c r="F9922" i="56" s="1"/>
  <c r="F9923" i="56" s="1"/>
  <c r="F9924" i="56" s="1"/>
  <c r="F9925" i="56" s="1"/>
  <c r="F9926" i="56" s="1"/>
  <c r="F9927" i="56" s="1"/>
  <c r="F9928" i="56" s="1"/>
  <c r="F9929" i="56" s="1"/>
  <c r="F9930" i="56" s="1"/>
  <c r="F9931" i="56" s="1"/>
  <c r="F9932" i="56" s="1"/>
  <c r="F9933" i="56" s="1"/>
  <c r="F9934" i="56" s="1"/>
  <c r="F9935" i="56" s="1"/>
  <c r="F9936" i="56" s="1"/>
  <c r="F9937" i="56" s="1"/>
  <c r="F9938" i="56" s="1"/>
  <c r="F9939" i="56" s="1"/>
  <c r="F9940" i="56" s="1"/>
  <c r="F9941" i="56" s="1"/>
  <c r="F9942" i="56" s="1"/>
  <c r="F9943" i="56" s="1"/>
  <c r="F9944" i="56" s="1"/>
  <c r="F9945" i="56" s="1"/>
  <c r="F9946" i="56" s="1"/>
  <c r="F9947" i="56" s="1"/>
  <c r="F9948" i="56" s="1"/>
  <c r="F9949" i="56" s="1"/>
  <c r="F9950" i="56" s="1"/>
  <c r="F9951" i="56" s="1"/>
  <c r="F9952" i="56" s="1"/>
  <c r="F9953" i="56" s="1"/>
  <c r="F9954" i="56" s="1"/>
  <c r="F9955" i="56" s="1"/>
  <c r="F9956" i="56" s="1"/>
  <c r="F9957" i="56" s="1"/>
  <c r="F9958" i="56" s="1"/>
  <c r="F9959" i="56" s="1"/>
  <c r="F9960" i="56" s="1"/>
  <c r="F9961" i="56" s="1"/>
  <c r="F9962" i="56" s="1"/>
  <c r="F9963" i="56" s="1"/>
  <c r="F9964" i="56" s="1"/>
  <c r="F9965" i="56" s="1"/>
  <c r="F9966" i="56" s="1"/>
  <c r="F9967" i="56" s="1"/>
  <c r="F9968" i="56" s="1"/>
  <c r="F9969" i="56" s="1"/>
  <c r="F9970" i="56" s="1"/>
  <c r="F9971" i="56" s="1"/>
  <c r="F9972" i="56" s="1"/>
  <c r="F9973" i="56" s="1"/>
  <c r="F9974" i="56" s="1"/>
  <c r="F9975" i="56" s="1"/>
  <c r="F9976" i="56" s="1"/>
  <c r="F9977" i="56" s="1"/>
  <c r="F9978" i="56" s="1"/>
  <c r="F9979" i="56" s="1"/>
  <c r="F9980" i="56" s="1"/>
  <c r="F9981" i="56" s="1"/>
  <c r="F9982" i="56" s="1"/>
  <c r="F9983" i="56" s="1"/>
  <c r="F9984" i="56" s="1"/>
  <c r="F9985" i="56" s="1"/>
  <c r="F9986" i="56" s="1"/>
  <c r="F9987" i="56" s="1"/>
  <c r="F9988" i="56" s="1"/>
  <c r="F9989" i="56" s="1"/>
  <c r="F9990" i="56" s="1"/>
  <c r="F9991" i="56" s="1"/>
  <c r="F9992" i="56" s="1"/>
  <c r="F9993" i="56" s="1"/>
  <c r="F9994" i="56" s="1"/>
  <c r="F9995" i="56" s="1"/>
  <c r="F9996" i="56" s="1"/>
  <c r="F9997" i="56" s="1"/>
  <c r="F9998" i="56" s="1"/>
  <c r="F9999" i="56" s="1"/>
  <c r="F10000" i="56" s="1"/>
  <c r="F10001" i="56" s="1"/>
  <c r="F10002" i="56" s="1"/>
  <c r="F10003" i="56" s="1"/>
  <c r="F10004" i="56" s="1"/>
  <c r="F10005" i="56" s="1"/>
  <c r="F10006" i="56" s="1"/>
  <c r="F10007" i="56" s="1"/>
  <c r="F10008" i="56" s="1"/>
  <c r="F10009" i="56" s="1"/>
  <c r="F10010" i="56" s="1"/>
  <c r="F10011" i="56" s="1"/>
  <c r="F10012" i="56" s="1"/>
  <c r="F10013" i="56" s="1"/>
  <c r="F10014" i="56" s="1"/>
  <c r="F10015" i="56" s="1"/>
  <c r="F10016" i="56" s="1"/>
  <c r="F10017" i="56" s="1"/>
  <c r="F10018" i="56" s="1"/>
  <c r="F10019" i="56" s="1"/>
  <c r="F10020" i="56" s="1"/>
  <c r="F10021" i="56" s="1"/>
  <c r="F10022" i="56" s="1"/>
  <c r="F10023" i="56" s="1"/>
  <c r="F10024" i="56" s="1"/>
  <c r="F10025" i="56" s="1"/>
  <c r="F10026" i="56" s="1"/>
  <c r="F10027" i="56" s="1"/>
  <c r="F10028" i="56" s="1"/>
  <c r="F10029" i="56" s="1"/>
  <c r="F10030" i="56" s="1"/>
  <c r="F10031" i="56" s="1"/>
  <c r="F10032" i="56" s="1"/>
  <c r="F10033" i="56" s="1"/>
  <c r="F10034" i="56" s="1"/>
  <c r="F10035" i="56" s="1"/>
  <c r="F10036" i="56" s="1"/>
  <c r="F10037" i="56" s="1"/>
  <c r="F10038" i="56" s="1"/>
  <c r="F10039" i="56" s="1"/>
  <c r="F10040" i="56" s="1"/>
  <c r="F10041" i="56" s="1"/>
  <c r="F10042" i="56" s="1"/>
  <c r="F10043" i="56" s="1"/>
  <c r="F10044" i="56" s="1"/>
  <c r="F10045" i="56" s="1"/>
  <c r="F10046" i="56" s="1"/>
  <c r="F10047" i="56" s="1"/>
  <c r="F10048" i="56" s="1"/>
  <c r="F10049" i="56" s="1"/>
  <c r="F10050" i="56" s="1"/>
  <c r="F10051" i="56" s="1"/>
  <c r="F10052" i="56" s="1"/>
  <c r="F10053" i="56" s="1"/>
  <c r="F10054" i="56" s="1"/>
  <c r="F10055" i="56" s="1"/>
  <c r="F10056" i="56" s="1"/>
  <c r="F10057" i="56" s="1"/>
  <c r="F10058" i="56" s="1"/>
  <c r="F10059" i="56" s="1"/>
  <c r="F10060" i="56" s="1"/>
  <c r="F10061" i="56" s="1"/>
  <c r="F10062" i="56" s="1"/>
  <c r="F10063" i="56" s="1"/>
  <c r="F10064" i="56" s="1"/>
  <c r="F10065" i="56" s="1"/>
  <c r="F10066" i="56" s="1"/>
  <c r="F10067" i="56" s="1"/>
  <c r="F10068" i="56" s="1"/>
  <c r="F10069" i="56" s="1"/>
  <c r="F10070" i="56" s="1"/>
  <c r="F10071" i="56" s="1"/>
  <c r="F10072" i="56" s="1"/>
  <c r="F10073" i="56" s="1"/>
  <c r="F10074" i="56" s="1"/>
  <c r="F10075" i="56" s="1"/>
  <c r="F10076" i="56" s="1"/>
  <c r="F10077" i="56" s="1"/>
  <c r="F10078" i="56" s="1"/>
  <c r="F10079" i="56" s="1"/>
  <c r="F10080" i="56" s="1"/>
  <c r="F10081" i="56" s="1"/>
  <c r="F10082" i="56" s="1"/>
  <c r="F10083" i="56" s="1"/>
  <c r="F10084" i="56" s="1"/>
  <c r="F10085" i="56" s="1"/>
  <c r="F10086" i="56" s="1"/>
  <c r="F10087" i="56" s="1"/>
  <c r="F10088" i="56" s="1"/>
  <c r="F10089" i="56" s="1"/>
  <c r="F10090" i="56" s="1"/>
  <c r="F10091" i="56" s="1"/>
  <c r="F10092" i="56" s="1"/>
  <c r="F10093" i="56" s="1"/>
  <c r="F10094" i="56" s="1"/>
  <c r="F10095" i="56" s="1"/>
  <c r="F10096" i="56" s="1"/>
  <c r="F10097" i="56" s="1"/>
  <c r="F10098" i="56" s="1"/>
  <c r="F10099" i="56" s="1"/>
  <c r="F10100" i="56" s="1"/>
  <c r="F10101" i="56" s="1"/>
  <c r="F10102" i="56" s="1"/>
  <c r="F10103" i="56" s="1"/>
  <c r="F10104" i="56" s="1"/>
  <c r="F10105" i="56" s="1"/>
  <c r="F10106" i="56" s="1"/>
  <c r="F10107" i="56" s="1"/>
  <c r="F10108" i="56" s="1"/>
  <c r="F10109" i="56" s="1"/>
  <c r="F10110" i="56" s="1"/>
  <c r="F10111" i="56" s="1"/>
  <c r="F10112" i="56" s="1"/>
  <c r="F10113" i="56" s="1"/>
  <c r="F10114" i="56" s="1"/>
  <c r="F10115" i="56" s="1"/>
  <c r="F10116" i="56" s="1"/>
  <c r="F10117" i="56" s="1"/>
  <c r="F10118" i="56" s="1"/>
  <c r="F10119" i="56" s="1"/>
  <c r="F10120" i="56" s="1"/>
  <c r="F10121" i="56" s="1"/>
  <c r="F10122" i="56" s="1"/>
  <c r="F10123" i="56" s="1"/>
  <c r="F10124" i="56" s="1"/>
  <c r="F10125" i="56" s="1"/>
  <c r="F10126" i="56" s="1"/>
  <c r="F10127" i="56" s="1"/>
  <c r="F10128" i="56" s="1"/>
  <c r="F10129" i="56" s="1"/>
  <c r="F10130" i="56" s="1"/>
  <c r="F10131" i="56" s="1"/>
  <c r="F10132" i="56" s="1"/>
  <c r="F10133" i="56" s="1"/>
  <c r="F10134" i="56" s="1"/>
  <c r="F10135" i="56" s="1"/>
  <c r="F10136" i="56" s="1"/>
  <c r="F10137" i="56" s="1"/>
  <c r="F10138" i="56" s="1"/>
  <c r="F10139" i="56" s="1"/>
  <c r="F10140" i="56" s="1"/>
  <c r="F10141" i="56" s="1"/>
  <c r="F10142" i="56" s="1"/>
  <c r="F10143" i="56" s="1"/>
  <c r="F10144" i="56" s="1"/>
  <c r="F10145" i="56" s="1"/>
  <c r="F10146" i="56" s="1"/>
  <c r="F10147" i="56" s="1"/>
  <c r="F10148" i="56" s="1"/>
  <c r="F10149" i="56" s="1"/>
  <c r="F10150" i="56" s="1"/>
  <c r="F10151" i="56" s="1"/>
  <c r="F10152" i="56" s="1"/>
  <c r="F10153" i="56" s="1"/>
  <c r="F10154" i="56" s="1"/>
  <c r="F10155" i="56" s="1"/>
  <c r="F10156" i="56" s="1"/>
  <c r="F10157" i="56" s="1"/>
  <c r="F10158" i="56" s="1"/>
  <c r="F10159" i="56" s="1"/>
  <c r="F10160" i="56" s="1"/>
  <c r="F10161" i="56" s="1"/>
  <c r="F10162" i="56" s="1"/>
  <c r="F10163" i="56" s="1"/>
  <c r="F10164" i="56" s="1"/>
  <c r="F10165" i="56" s="1"/>
  <c r="F10166" i="56" s="1"/>
  <c r="F10167" i="56" s="1"/>
  <c r="F10168" i="56" s="1"/>
  <c r="F10169" i="56" s="1"/>
  <c r="F10170" i="56" s="1"/>
  <c r="F10171" i="56" s="1"/>
  <c r="F10172" i="56" s="1"/>
  <c r="F10173" i="56" s="1"/>
  <c r="F10174" i="56" s="1"/>
  <c r="F10175" i="56" s="1"/>
  <c r="F10176" i="56" s="1"/>
  <c r="F10177" i="56" s="1"/>
  <c r="F10178" i="56" s="1"/>
  <c r="F10179" i="56" s="1"/>
  <c r="F10180" i="56" s="1"/>
  <c r="F10181" i="56" s="1"/>
  <c r="F10182" i="56" s="1"/>
  <c r="F10183" i="56" s="1"/>
  <c r="F10184" i="56" s="1"/>
  <c r="F10185" i="56" s="1"/>
  <c r="F10186" i="56" s="1"/>
  <c r="F10187" i="56" s="1"/>
  <c r="F10188" i="56" s="1"/>
  <c r="F10189" i="56" s="1"/>
  <c r="F10190" i="56" s="1"/>
  <c r="F10191" i="56" s="1"/>
  <c r="F10192" i="56" s="1"/>
  <c r="F10193" i="56" s="1"/>
  <c r="F10194" i="56" s="1"/>
  <c r="F10195" i="56" s="1"/>
  <c r="F10196" i="56" s="1"/>
  <c r="F10197" i="56" s="1"/>
  <c r="F10198" i="56" s="1"/>
  <c r="F10199" i="56" s="1"/>
  <c r="F10200" i="56" s="1"/>
  <c r="F10201" i="56" s="1"/>
  <c r="F10202" i="56" s="1"/>
  <c r="F10203" i="56" s="1"/>
  <c r="F10204" i="56" s="1"/>
  <c r="F10205" i="56" s="1"/>
  <c r="F10206" i="56" s="1"/>
  <c r="F10207" i="56" s="1"/>
  <c r="F10208" i="56" s="1"/>
  <c r="F10209" i="56" s="1"/>
  <c r="F10210" i="56" s="1"/>
  <c r="F10211" i="56" s="1"/>
  <c r="F10212" i="56" s="1"/>
  <c r="F10213" i="56" s="1"/>
  <c r="F10214" i="56" s="1"/>
  <c r="F10215" i="56" s="1"/>
  <c r="F10216" i="56" s="1"/>
  <c r="F10217" i="56" s="1"/>
  <c r="F10218" i="56" s="1"/>
  <c r="F10219" i="56" s="1"/>
  <c r="F10220" i="56" s="1"/>
  <c r="F10221" i="56" s="1"/>
  <c r="F10222" i="56" s="1"/>
  <c r="F10223" i="56" s="1"/>
  <c r="F10224" i="56" s="1"/>
  <c r="F10225" i="56" s="1"/>
  <c r="F10226" i="56" s="1"/>
  <c r="F10227" i="56" s="1"/>
  <c r="F10228" i="56" s="1"/>
  <c r="F10229" i="56" s="1"/>
  <c r="F10230" i="56" s="1"/>
  <c r="F10231" i="56" s="1"/>
  <c r="F10232" i="56" s="1"/>
  <c r="F10233" i="56" s="1"/>
  <c r="F10234" i="56" s="1"/>
  <c r="F10235" i="56" s="1"/>
  <c r="F10236" i="56" s="1"/>
  <c r="F10237" i="56" s="1"/>
  <c r="F10238" i="56" s="1"/>
  <c r="F10239" i="56" s="1"/>
  <c r="F10240" i="56" s="1"/>
  <c r="F10241" i="56" s="1"/>
  <c r="F10242" i="56" s="1"/>
  <c r="F10243" i="56" s="1"/>
  <c r="F10244" i="56" s="1"/>
  <c r="F10245" i="56" s="1"/>
  <c r="F10246" i="56" s="1"/>
  <c r="F10247" i="56" s="1"/>
  <c r="F10248" i="56" s="1"/>
  <c r="F10249" i="56" s="1"/>
  <c r="F10250" i="56" s="1"/>
  <c r="F10251" i="56" s="1"/>
  <c r="F10252" i="56" s="1"/>
  <c r="F10253" i="56" s="1"/>
  <c r="F10254" i="56" s="1"/>
  <c r="F10255" i="56" s="1"/>
  <c r="F10256" i="56" s="1"/>
  <c r="F10257" i="56" s="1"/>
  <c r="F10258" i="56" s="1"/>
  <c r="F10259" i="56" s="1"/>
  <c r="F10260" i="56" s="1"/>
  <c r="F10261" i="56" s="1"/>
  <c r="F10262" i="56" s="1"/>
  <c r="F10263" i="56" s="1"/>
  <c r="F10264" i="56" s="1"/>
  <c r="F10265" i="56" s="1"/>
  <c r="F10266" i="56" s="1"/>
  <c r="F10267" i="56" s="1"/>
  <c r="F10268" i="56" s="1"/>
  <c r="F10269" i="56" s="1"/>
  <c r="F10270" i="56" s="1"/>
  <c r="F10271" i="56" s="1"/>
  <c r="F10272" i="56" s="1"/>
  <c r="F10273" i="56" s="1"/>
  <c r="F10274" i="56" s="1"/>
  <c r="F10275" i="56" s="1"/>
  <c r="F10276" i="56" s="1"/>
  <c r="F10277" i="56" s="1"/>
  <c r="F10278" i="56" s="1"/>
  <c r="F10279" i="56" s="1"/>
  <c r="F10280" i="56" s="1"/>
  <c r="F10281" i="56" s="1"/>
  <c r="F10282" i="56" s="1"/>
  <c r="F10283" i="56" s="1"/>
  <c r="F10284" i="56" s="1"/>
  <c r="F10285" i="56" s="1"/>
  <c r="F10286" i="56" s="1"/>
  <c r="F10287" i="56" s="1"/>
  <c r="F10288" i="56" s="1"/>
  <c r="F10289" i="56" s="1"/>
  <c r="F10290" i="56" s="1"/>
  <c r="F10291" i="56" s="1"/>
  <c r="F10292" i="56" s="1"/>
  <c r="F10293" i="56" s="1"/>
  <c r="F10294" i="56" s="1"/>
  <c r="F10295" i="56" s="1"/>
  <c r="F10296" i="56" s="1"/>
  <c r="F10297" i="56" s="1"/>
  <c r="F10298" i="56" s="1"/>
  <c r="F10299" i="56" s="1"/>
  <c r="F10300" i="56" s="1"/>
  <c r="F10301" i="56" s="1"/>
  <c r="F10302" i="56" s="1"/>
  <c r="F10303" i="56" s="1"/>
  <c r="F10304" i="56" s="1"/>
  <c r="F10305" i="56" s="1"/>
  <c r="F10306" i="56" s="1"/>
  <c r="F10307" i="56" s="1"/>
  <c r="F10308" i="56" s="1"/>
  <c r="F10309" i="56" s="1"/>
  <c r="F10310" i="56" s="1"/>
  <c r="F10311" i="56" s="1"/>
  <c r="F10312" i="56" s="1"/>
  <c r="F10313" i="56" s="1"/>
  <c r="F10314" i="56" s="1"/>
  <c r="F10315" i="56" s="1"/>
  <c r="F10316" i="56" s="1"/>
  <c r="F10317" i="56" s="1"/>
  <c r="F10318" i="56" s="1"/>
  <c r="F10319" i="56" s="1"/>
  <c r="F10320" i="56" s="1"/>
  <c r="F10321" i="56" s="1"/>
  <c r="F10322" i="56" s="1"/>
  <c r="F10323" i="56" s="1"/>
  <c r="F10324" i="56" s="1"/>
  <c r="F10325" i="56" s="1"/>
  <c r="F10326" i="56" s="1"/>
  <c r="F10327" i="56" s="1"/>
  <c r="F10328" i="56" s="1"/>
  <c r="F10329" i="56" s="1"/>
  <c r="F10330" i="56" s="1"/>
  <c r="F10331" i="56" s="1"/>
  <c r="F10332" i="56" s="1"/>
  <c r="F10333" i="56" s="1"/>
  <c r="F10334" i="56" s="1"/>
  <c r="F10335" i="56" s="1"/>
  <c r="F10336" i="56" s="1"/>
  <c r="F10337" i="56" s="1"/>
  <c r="F10338" i="56" s="1"/>
  <c r="F10339" i="56" s="1"/>
  <c r="F10340" i="56" s="1"/>
  <c r="F10341" i="56" s="1"/>
  <c r="F10342" i="56" s="1"/>
  <c r="F10343" i="56" s="1"/>
  <c r="F10344" i="56" s="1"/>
  <c r="F10345" i="56" s="1"/>
  <c r="F10346" i="56" s="1"/>
  <c r="F10347" i="56" s="1"/>
  <c r="F10348" i="56" s="1"/>
  <c r="F10349" i="56" s="1"/>
  <c r="F10350" i="56" s="1"/>
  <c r="F10351" i="56" s="1"/>
  <c r="F10352" i="56" s="1"/>
  <c r="F10353" i="56" s="1"/>
  <c r="F10354" i="56" s="1"/>
  <c r="F10355" i="56" s="1"/>
  <c r="F10356" i="56" s="1"/>
  <c r="F10357" i="56" s="1"/>
  <c r="F10358" i="56" s="1"/>
  <c r="F10359" i="56" s="1"/>
  <c r="F10360" i="56" s="1"/>
  <c r="F10361" i="56" s="1"/>
  <c r="F10362" i="56" s="1"/>
  <c r="F10363" i="56" s="1"/>
  <c r="F10364" i="56" s="1"/>
  <c r="F10365" i="56" s="1"/>
  <c r="F10366" i="56" s="1"/>
  <c r="F10367" i="56" s="1"/>
  <c r="F10368" i="56" s="1"/>
  <c r="F10369" i="56" s="1"/>
  <c r="F10370" i="56" s="1"/>
  <c r="F10371" i="56" s="1"/>
  <c r="F10372" i="56" s="1"/>
  <c r="F10373" i="56" s="1"/>
  <c r="F10374" i="56" s="1"/>
  <c r="F10375" i="56" s="1"/>
  <c r="F10376" i="56" s="1"/>
  <c r="F10377" i="56" s="1"/>
  <c r="F10378" i="56" s="1"/>
  <c r="F10379" i="56" s="1"/>
  <c r="F10380" i="56" s="1"/>
  <c r="F10381" i="56" s="1"/>
  <c r="F10382" i="56" s="1"/>
  <c r="F10383" i="56" s="1"/>
  <c r="F10384" i="56" s="1"/>
  <c r="F10385" i="56" s="1"/>
  <c r="F10386" i="56" s="1"/>
  <c r="F10387" i="56" s="1"/>
  <c r="F10388" i="56" s="1"/>
  <c r="F10389" i="56" s="1"/>
  <c r="F10390" i="56" s="1"/>
  <c r="F10391" i="56" s="1"/>
  <c r="F10392" i="56" s="1"/>
  <c r="F10393" i="56" s="1"/>
  <c r="F10394" i="56" s="1"/>
  <c r="F10395" i="56" s="1"/>
  <c r="F10396" i="56" s="1"/>
  <c r="F10397" i="56" s="1"/>
  <c r="F10398" i="56" s="1"/>
  <c r="F10399" i="56" s="1"/>
  <c r="F10400" i="56" s="1"/>
  <c r="F10401" i="56" s="1"/>
  <c r="F10402" i="56" s="1"/>
  <c r="F10403" i="56" s="1"/>
  <c r="F10404" i="56" s="1"/>
  <c r="F10405" i="56" s="1"/>
  <c r="F10406" i="56" s="1"/>
  <c r="F10407" i="56" s="1"/>
  <c r="F10408" i="56" s="1"/>
  <c r="F10409" i="56" s="1"/>
  <c r="F10410" i="56" s="1"/>
  <c r="F10411" i="56" s="1"/>
  <c r="F10412" i="56" s="1"/>
  <c r="F10413" i="56" s="1"/>
  <c r="F10414" i="56" s="1"/>
  <c r="F10415" i="56" s="1"/>
  <c r="F10416" i="56" s="1"/>
  <c r="F10417" i="56" s="1"/>
  <c r="F10418" i="56" s="1"/>
  <c r="F10419" i="56" s="1"/>
  <c r="F10420" i="56" s="1"/>
  <c r="F10421" i="56" s="1"/>
  <c r="F10422" i="56" s="1"/>
  <c r="F10423" i="56" s="1"/>
  <c r="F10424" i="56" s="1"/>
  <c r="F10425" i="56" s="1"/>
  <c r="F10426" i="56" s="1"/>
  <c r="F10427" i="56" s="1"/>
  <c r="F10428" i="56" s="1"/>
  <c r="F10429" i="56" s="1"/>
  <c r="F10430" i="56" s="1"/>
  <c r="F10431" i="56" s="1"/>
  <c r="F10432" i="56" s="1"/>
  <c r="F10433" i="56" s="1"/>
  <c r="F10434" i="56" s="1"/>
  <c r="F10435" i="56" s="1"/>
  <c r="F10436" i="56" s="1"/>
  <c r="F10437" i="56" s="1"/>
  <c r="F10438" i="56" s="1"/>
  <c r="F10439" i="56" s="1"/>
  <c r="F10440" i="56" s="1"/>
  <c r="F10441" i="56" s="1"/>
  <c r="F10442" i="56" s="1"/>
  <c r="F10443" i="56" s="1"/>
  <c r="F10444" i="56" s="1"/>
  <c r="F10445" i="56" s="1"/>
  <c r="F10446" i="56" s="1"/>
  <c r="F10447" i="56" s="1"/>
  <c r="F10448" i="56" s="1"/>
  <c r="F10449" i="56" s="1"/>
  <c r="F10450" i="56" s="1"/>
  <c r="F10451" i="56" s="1"/>
  <c r="F10452" i="56" s="1"/>
  <c r="F10453" i="56" s="1"/>
  <c r="F10454" i="56" s="1"/>
  <c r="F10455" i="56" s="1"/>
  <c r="F10456" i="56" s="1"/>
  <c r="F10457" i="56" s="1"/>
  <c r="F10458" i="56" s="1"/>
  <c r="F10459" i="56" s="1"/>
  <c r="F10460" i="56" s="1"/>
  <c r="F10461" i="56" s="1"/>
  <c r="F10462" i="56" s="1"/>
  <c r="F10463" i="56" s="1"/>
  <c r="F10464" i="56" s="1"/>
  <c r="F10465" i="56" s="1"/>
  <c r="F10466" i="56" s="1"/>
  <c r="F10467" i="56" s="1"/>
  <c r="F10468" i="56" s="1"/>
  <c r="F10469" i="56" s="1"/>
  <c r="F10470" i="56" s="1"/>
  <c r="F10471" i="56" s="1"/>
  <c r="F10472" i="56" s="1"/>
  <c r="F10473" i="56" s="1"/>
  <c r="F10474" i="56" s="1"/>
  <c r="F10475" i="56" s="1"/>
  <c r="F10476" i="56" s="1"/>
  <c r="F10477" i="56" s="1"/>
  <c r="F10478" i="56" s="1"/>
  <c r="F10479" i="56" s="1"/>
  <c r="F10480" i="56" s="1"/>
  <c r="F10481" i="56" s="1"/>
  <c r="F10482" i="56" s="1"/>
  <c r="F10483" i="56" s="1"/>
  <c r="F10484" i="56" s="1"/>
  <c r="F10485" i="56" s="1"/>
  <c r="F10486" i="56" s="1"/>
  <c r="F10487" i="56" s="1"/>
  <c r="F10488" i="56" s="1"/>
  <c r="F10489" i="56" s="1"/>
  <c r="F10490" i="56" s="1"/>
  <c r="F10491" i="56" s="1"/>
  <c r="F10492" i="56" s="1"/>
  <c r="F10493" i="56" s="1"/>
  <c r="F10494" i="56" s="1"/>
  <c r="F10495" i="56" s="1"/>
  <c r="F10496" i="56" s="1"/>
  <c r="F10497" i="56" s="1"/>
  <c r="F10498" i="56" s="1"/>
  <c r="F10499" i="56" s="1"/>
  <c r="F10500" i="56" s="1"/>
  <c r="F10501" i="56" s="1"/>
  <c r="F10502" i="56" s="1"/>
  <c r="F10503" i="56" s="1"/>
  <c r="F10504" i="56" s="1"/>
  <c r="F10505" i="56" s="1"/>
  <c r="F10506" i="56" s="1"/>
  <c r="F10507" i="56" s="1"/>
  <c r="F10508" i="56" s="1"/>
  <c r="F10509" i="56" s="1"/>
  <c r="F10510" i="56" s="1"/>
  <c r="F10511" i="56" s="1"/>
  <c r="F10512" i="56" s="1"/>
  <c r="F10513" i="56" s="1"/>
  <c r="F10514" i="56" s="1"/>
  <c r="F10515" i="56" s="1"/>
  <c r="F10516" i="56" s="1"/>
  <c r="F10517" i="56" s="1"/>
  <c r="F10518" i="56" s="1"/>
  <c r="F10519" i="56" s="1"/>
  <c r="F10520" i="56" s="1"/>
  <c r="F10521" i="56" s="1"/>
  <c r="F10522" i="56" s="1"/>
  <c r="F10523" i="56" s="1"/>
  <c r="F10524" i="56" s="1"/>
  <c r="F10525" i="56" s="1"/>
  <c r="F10526" i="56" s="1"/>
  <c r="F10527" i="56" s="1"/>
  <c r="F10528" i="56" s="1"/>
  <c r="F10529" i="56" s="1"/>
  <c r="F10530" i="56" s="1"/>
  <c r="F10531" i="56" s="1"/>
  <c r="F10532" i="56" s="1"/>
  <c r="F10533" i="56" s="1"/>
  <c r="F10534" i="56" s="1"/>
  <c r="F10535" i="56" s="1"/>
  <c r="F10536" i="56" s="1"/>
  <c r="F10537" i="56" s="1"/>
  <c r="F10538" i="56" s="1"/>
  <c r="F10539" i="56" s="1"/>
  <c r="F10540" i="56" s="1"/>
  <c r="F10541" i="56" s="1"/>
  <c r="F10542" i="56" s="1"/>
  <c r="F10543" i="56" s="1"/>
  <c r="F10544" i="56" s="1"/>
  <c r="F10545" i="56" s="1"/>
  <c r="F10546" i="56" s="1"/>
  <c r="F10547" i="56" s="1"/>
  <c r="F10548" i="56" s="1"/>
  <c r="F10549" i="56" s="1"/>
  <c r="F10550" i="56" s="1"/>
  <c r="F10551" i="56" s="1"/>
  <c r="F10552" i="56" s="1"/>
  <c r="F10553" i="56" s="1"/>
  <c r="F10554" i="56" s="1"/>
  <c r="F10555" i="56" s="1"/>
  <c r="F10556" i="56" s="1"/>
  <c r="F10557" i="56" s="1"/>
  <c r="F10558" i="56" s="1"/>
  <c r="F10559" i="56" s="1"/>
  <c r="F10560" i="56" s="1"/>
  <c r="F10561" i="56" s="1"/>
  <c r="F10562" i="56" s="1"/>
  <c r="F10563" i="56" s="1"/>
  <c r="F10564" i="56" s="1"/>
  <c r="F10565" i="56" s="1"/>
  <c r="F10566" i="56" s="1"/>
  <c r="F10567" i="56" s="1"/>
  <c r="F10568" i="56" s="1"/>
  <c r="F10569" i="56" s="1"/>
  <c r="F10570" i="56" s="1"/>
  <c r="F10571" i="56" s="1"/>
  <c r="F10572" i="56" s="1"/>
  <c r="F10573" i="56" s="1"/>
  <c r="F10574" i="56" s="1"/>
  <c r="F10575" i="56" s="1"/>
  <c r="F10576" i="56" s="1"/>
  <c r="F10577" i="56" s="1"/>
  <c r="F10578" i="56" s="1"/>
  <c r="F10579" i="56" s="1"/>
  <c r="F10580" i="56" s="1"/>
  <c r="F10581" i="56" s="1"/>
  <c r="F10582" i="56" s="1"/>
  <c r="F10583" i="56" s="1"/>
  <c r="F10584" i="56" s="1"/>
  <c r="F10585" i="56" s="1"/>
  <c r="F10586" i="56" s="1"/>
  <c r="F10587" i="56" s="1"/>
  <c r="F10588" i="56" s="1"/>
  <c r="F10589" i="56" s="1"/>
  <c r="F10590" i="56" s="1"/>
  <c r="F10591" i="56" s="1"/>
  <c r="F10592" i="56" s="1"/>
  <c r="F10593" i="56" s="1"/>
  <c r="F10594" i="56" s="1"/>
  <c r="F10595" i="56" s="1"/>
  <c r="F10596" i="56" s="1"/>
  <c r="F10597" i="56" s="1"/>
  <c r="F10598" i="56" s="1"/>
  <c r="F10599" i="56" s="1"/>
  <c r="F10600" i="56" s="1"/>
  <c r="F10601" i="56" s="1"/>
  <c r="F10602" i="56" s="1"/>
  <c r="F10603" i="56" s="1"/>
  <c r="F10604" i="56" s="1"/>
  <c r="F10605" i="56" s="1"/>
  <c r="F10606" i="56" s="1"/>
  <c r="F10607" i="56" s="1"/>
  <c r="F10608" i="56" s="1"/>
  <c r="F10609" i="56" s="1"/>
  <c r="F10610" i="56" s="1"/>
  <c r="F10611" i="56" s="1"/>
  <c r="F10612" i="56" s="1"/>
  <c r="F10613" i="56" s="1"/>
  <c r="F10614" i="56" s="1"/>
  <c r="F10615" i="56" s="1"/>
  <c r="F10616" i="56" s="1"/>
  <c r="F10617" i="56" s="1"/>
  <c r="F10618" i="56" s="1"/>
  <c r="F10619" i="56" s="1"/>
  <c r="F10620" i="56" s="1"/>
  <c r="F10621" i="56" s="1"/>
  <c r="F10622" i="56" s="1"/>
  <c r="F10623" i="56" s="1"/>
  <c r="F10624" i="56" s="1"/>
  <c r="F10625" i="56" s="1"/>
  <c r="F10626" i="56" s="1"/>
  <c r="F10627" i="56" s="1"/>
  <c r="F10628" i="56" s="1"/>
  <c r="F10629" i="56" s="1"/>
  <c r="F10630" i="56" s="1"/>
  <c r="F10631" i="56" s="1"/>
  <c r="F10632" i="56" s="1"/>
  <c r="F10633" i="56" s="1"/>
  <c r="F10634" i="56" s="1"/>
  <c r="F10635" i="56" s="1"/>
  <c r="F10636" i="56" s="1"/>
  <c r="F10637" i="56" s="1"/>
  <c r="F10638" i="56" s="1"/>
  <c r="F10639" i="56" s="1"/>
  <c r="F10640" i="56" s="1"/>
  <c r="F10641" i="56" s="1"/>
  <c r="F10642" i="56" s="1"/>
  <c r="F10643" i="56" s="1"/>
  <c r="F10644" i="56" s="1"/>
  <c r="F10645" i="56" s="1"/>
  <c r="F10646" i="56" s="1"/>
  <c r="F10647" i="56" s="1"/>
  <c r="F10648" i="56" s="1"/>
  <c r="F10649" i="56" s="1"/>
  <c r="F10650" i="56" s="1"/>
  <c r="F10651" i="56" s="1"/>
  <c r="F10652" i="56" s="1"/>
  <c r="F10653" i="56" s="1"/>
  <c r="F10654" i="56" s="1"/>
  <c r="F10655" i="56" s="1"/>
  <c r="F10656" i="56" s="1"/>
  <c r="F10657" i="56" s="1"/>
  <c r="F10658" i="56" s="1"/>
  <c r="F10659" i="56" s="1"/>
  <c r="F10660" i="56" s="1"/>
  <c r="F10661" i="56" s="1"/>
  <c r="F10662" i="56" s="1"/>
  <c r="F10663" i="56" s="1"/>
  <c r="F10664" i="56" s="1"/>
  <c r="F10665" i="56" s="1"/>
  <c r="F10666" i="56" s="1"/>
  <c r="F10667" i="56" s="1"/>
  <c r="F10668" i="56" s="1"/>
  <c r="F10669" i="56" s="1"/>
  <c r="F10670" i="56" s="1"/>
  <c r="F10671" i="56" s="1"/>
  <c r="F10672" i="56" s="1"/>
  <c r="F10673" i="56" s="1"/>
  <c r="F10674" i="56" s="1"/>
  <c r="F10675" i="56" s="1"/>
  <c r="F10676" i="56" s="1"/>
  <c r="F10677" i="56" s="1"/>
  <c r="F10678" i="56" s="1"/>
  <c r="F10679" i="56" s="1"/>
  <c r="F10680" i="56" s="1"/>
  <c r="F10681" i="56" s="1"/>
  <c r="F10682" i="56" s="1"/>
  <c r="F10683" i="56" s="1"/>
  <c r="F10684" i="56" s="1"/>
  <c r="F10685" i="56" s="1"/>
  <c r="F10686" i="56" s="1"/>
  <c r="F10687" i="56" s="1"/>
  <c r="F10688" i="56" s="1"/>
  <c r="F10689" i="56" s="1"/>
  <c r="F10690" i="56" s="1"/>
  <c r="F10691" i="56" s="1"/>
  <c r="F10692" i="56" s="1"/>
  <c r="F10693" i="56" s="1"/>
  <c r="F10694" i="56" s="1"/>
  <c r="F10695" i="56" s="1"/>
  <c r="F10696" i="56" s="1"/>
  <c r="F10697" i="56" s="1"/>
  <c r="F10698" i="56" s="1"/>
  <c r="F10699" i="56" s="1"/>
  <c r="F10700" i="56" s="1"/>
  <c r="F10701" i="56" s="1"/>
  <c r="F10702" i="56" s="1"/>
  <c r="F10703" i="56" s="1"/>
  <c r="F10704" i="56" s="1"/>
  <c r="F10705" i="56" s="1"/>
  <c r="F10706" i="56" s="1"/>
  <c r="F10707" i="56" s="1"/>
  <c r="F10708" i="56" s="1"/>
  <c r="F10709" i="56" s="1"/>
  <c r="F10710" i="56" s="1"/>
  <c r="F10711" i="56" s="1"/>
  <c r="F10712" i="56" s="1"/>
  <c r="F10713" i="56" s="1"/>
  <c r="F10714" i="56" s="1"/>
  <c r="F10715" i="56" s="1"/>
  <c r="F10716" i="56" s="1"/>
  <c r="F10717" i="56" s="1"/>
  <c r="F10718" i="56" s="1"/>
  <c r="F10719" i="56" s="1"/>
  <c r="F10720" i="56" s="1"/>
  <c r="F10721" i="56" s="1"/>
  <c r="F10722" i="56" s="1"/>
  <c r="F10723" i="56" s="1"/>
  <c r="F10724" i="56" s="1"/>
  <c r="F10725" i="56" s="1"/>
  <c r="F10726" i="56" s="1"/>
  <c r="F10727" i="56" s="1"/>
  <c r="F10728" i="56" s="1"/>
  <c r="F10729" i="56" s="1"/>
  <c r="F10730" i="56" s="1"/>
  <c r="F10731" i="56" s="1"/>
  <c r="F10732" i="56" s="1"/>
  <c r="F10733" i="56" s="1"/>
  <c r="F10734" i="56" s="1"/>
  <c r="F10735" i="56" s="1"/>
  <c r="F10736" i="56" s="1"/>
  <c r="F10737" i="56" s="1"/>
  <c r="F10738" i="56" s="1"/>
  <c r="F10739" i="56" s="1"/>
  <c r="F10740" i="56" s="1"/>
  <c r="F10741" i="56" s="1"/>
  <c r="F10742" i="56" s="1"/>
  <c r="F10743" i="56" s="1"/>
  <c r="F10744" i="56" s="1"/>
  <c r="F10745" i="56" s="1"/>
  <c r="F10746" i="56" s="1"/>
  <c r="F10747" i="56" s="1"/>
  <c r="F10748" i="56" s="1"/>
  <c r="F10749" i="56" s="1"/>
  <c r="F10750" i="56" s="1"/>
  <c r="F10751" i="56" s="1"/>
  <c r="F10752" i="56" s="1"/>
  <c r="F10753" i="56" s="1"/>
  <c r="F10754" i="56" s="1"/>
  <c r="F10755" i="56" s="1"/>
  <c r="F10756" i="56" s="1"/>
  <c r="F10757" i="56" s="1"/>
  <c r="F10758" i="56" s="1"/>
  <c r="F10759" i="56" s="1"/>
  <c r="F10760" i="56" s="1"/>
  <c r="F10761" i="56" s="1"/>
  <c r="F10762" i="56" s="1"/>
  <c r="F10763" i="56" s="1"/>
  <c r="F10764" i="56" s="1"/>
  <c r="F10765" i="56" s="1"/>
  <c r="F10766" i="56" s="1"/>
  <c r="F10767" i="56" s="1"/>
  <c r="F10768" i="56" s="1"/>
  <c r="F10769" i="56" s="1"/>
  <c r="F10770" i="56" s="1"/>
  <c r="F10771" i="56" s="1"/>
  <c r="F10772" i="56" s="1"/>
  <c r="F10773" i="56" s="1"/>
  <c r="F10774" i="56" s="1"/>
  <c r="F10775" i="56" s="1"/>
  <c r="F10776" i="56" s="1"/>
  <c r="F10777" i="56" s="1"/>
  <c r="F10778" i="56" s="1"/>
  <c r="F10779" i="56" s="1"/>
  <c r="F10780" i="56" s="1"/>
  <c r="F10781" i="56" s="1"/>
  <c r="F10782" i="56" s="1"/>
  <c r="F10783" i="56" s="1"/>
  <c r="F10784" i="56" s="1"/>
  <c r="F10785" i="56" s="1"/>
  <c r="F10786" i="56" s="1"/>
  <c r="F10787" i="56" s="1"/>
  <c r="F10788" i="56" s="1"/>
  <c r="F10789" i="56" s="1"/>
  <c r="F10790" i="56" s="1"/>
  <c r="F10791" i="56" s="1"/>
  <c r="F10792" i="56" s="1"/>
  <c r="F10793" i="56" s="1"/>
  <c r="F10794" i="56" s="1"/>
  <c r="F10795" i="56" s="1"/>
  <c r="F10796" i="56" s="1"/>
  <c r="F10797" i="56" s="1"/>
  <c r="F10798" i="56" s="1"/>
  <c r="F10799" i="56" s="1"/>
  <c r="F10800" i="56" s="1"/>
  <c r="F10801" i="56" s="1"/>
  <c r="F10802" i="56" s="1"/>
  <c r="F10803" i="56" s="1"/>
  <c r="F10804" i="56" s="1"/>
  <c r="F10805" i="56" s="1"/>
  <c r="F10806" i="56" s="1"/>
  <c r="F10807" i="56" s="1"/>
  <c r="F10808" i="56" s="1"/>
  <c r="F10809" i="56" s="1"/>
  <c r="F10810" i="56" s="1"/>
  <c r="F10811" i="56" s="1"/>
  <c r="F10812" i="56" s="1"/>
  <c r="XFD10812" i="56" s="1"/>
  <c r="I9590" i="56"/>
  <c r="I9592" i="56" s="1"/>
  <c r="J10630" i="56"/>
  <c r="J10212" i="56"/>
  <c r="J10632" i="56"/>
  <c r="F7203" i="56"/>
  <c r="F7204" i="56" s="1"/>
  <c r="F7205" i="56" s="1"/>
  <c r="F7206" i="56" s="1"/>
  <c r="F7207" i="56" s="1"/>
  <c r="F7208" i="56" s="1"/>
  <c r="F7209" i="56" s="1"/>
  <c r="F7210" i="56" s="1"/>
  <c r="F7211" i="56" s="1"/>
  <c r="F7212" i="56" s="1"/>
  <c r="F7213" i="56" s="1"/>
  <c r="F7214" i="56" s="1"/>
  <c r="F7215" i="56" s="1"/>
  <c r="F7216" i="56" s="1"/>
  <c r="F7217" i="56" s="1"/>
  <c r="F7218" i="56" s="1"/>
  <c r="F7219" i="56" s="1"/>
  <c r="F7220" i="56" s="1"/>
  <c r="F7221" i="56" s="1"/>
  <c r="F7222" i="56" s="1"/>
  <c r="F7223" i="56" s="1"/>
  <c r="F7224" i="56" s="1"/>
  <c r="F7225" i="56" s="1"/>
  <c r="F7226" i="56" s="1"/>
  <c r="F7227" i="56" s="1"/>
  <c r="F7228" i="56" s="1"/>
  <c r="F7229" i="56" s="1"/>
  <c r="F7230" i="56" s="1"/>
  <c r="F7231" i="56" s="1"/>
  <c r="F7232" i="56" s="1"/>
  <c r="F7233" i="56" s="1"/>
  <c r="F7234" i="56" s="1"/>
  <c r="F7235" i="56" s="1"/>
  <c r="F7236" i="56" s="1"/>
  <c r="F7237" i="56" s="1"/>
  <c r="F7238" i="56" s="1"/>
  <c r="F7239" i="56" s="1"/>
  <c r="F7240" i="56" s="1"/>
  <c r="F7241" i="56" s="1"/>
  <c r="F7242" i="56" s="1"/>
  <c r="F7243" i="56" s="1"/>
  <c r="F7244" i="56" s="1"/>
  <c r="F7245" i="56" s="1"/>
  <c r="F7246" i="56" s="1"/>
  <c r="F7247" i="56" s="1"/>
  <c r="F7248" i="56" s="1"/>
  <c r="F7249" i="56" s="1"/>
  <c r="F7250" i="56" s="1"/>
  <c r="F7251" i="56" s="1"/>
  <c r="F7252" i="56" s="1"/>
  <c r="F7253" i="56" s="1"/>
  <c r="F7254" i="56" s="1"/>
  <c r="F7255" i="56" s="1"/>
  <c r="F7256" i="56" s="1"/>
  <c r="F7257" i="56" s="1"/>
  <c r="F7258" i="56" s="1"/>
  <c r="F7259" i="56" s="1"/>
  <c r="F7260" i="56" s="1"/>
  <c r="F7261" i="56" s="1"/>
  <c r="F7262" i="56" s="1"/>
  <c r="F7263" i="56" s="1"/>
  <c r="F7264" i="56" s="1"/>
  <c r="F7265" i="56" s="1"/>
  <c r="F7266" i="56" s="1"/>
  <c r="F7267" i="56" s="1"/>
  <c r="F7268" i="56" s="1"/>
  <c r="F7269" i="56" s="1"/>
  <c r="F7270" i="56" s="1"/>
  <c r="F7271" i="56" s="1"/>
  <c r="F7272" i="56" s="1"/>
  <c r="F7273" i="56" s="1"/>
  <c r="F7274" i="56" s="1"/>
  <c r="F7275" i="56" s="1"/>
  <c r="F7276" i="56" s="1"/>
  <c r="F7277" i="56" s="1"/>
  <c r="F7278" i="56" s="1"/>
  <c r="F7279" i="56" s="1"/>
  <c r="F7280" i="56" s="1"/>
  <c r="F7281" i="56" s="1"/>
  <c r="F7282" i="56" s="1"/>
  <c r="F7283" i="56" s="1"/>
  <c r="F7284" i="56" s="1"/>
  <c r="F7285" i="56" s="1"/>
  <c r="F7286" i="56" s="1"/>
  <c r="F7287" i="56" s="1"/>
  <c r="F7288" i="56" s="1"/>
  <c r="F7289" i="56" s="1"/>
  <c r="F7290" i="56" s="1"/>
  <c r="F7291" i="56" s="1"/>
  <c r="F7292" i="56" s="1"/>
  <c r="F7293" i="56" s="1"/>
  <c r="F7294" i="56" s="1"/>
  <c r="F7295" i="56" s="1"/>
  <c r="F7296" i="56" s="1"/>
  <c r="F7297" i="56" s="1"/>
  <c r="F7298" i="56" s="1"/>
  <c r="F7299" i="56" s="1"/>
  <c r="F7300" i="56" s="1"/>
  <c r="F7301" i="56" s="1"/>
  <c r="F7302" i="56" s="1"/>
  <c r="F7303" i="56" s="1"/>
  <c r="F7304" i="56" s="1"/>
  <c r="F7305" i="56" s="1"/>
  <c r="F7306" i="56" s="1"/>
  <c r="F7307" i="56" s="1"/>
  <c r="F7308" i="56" s="1"/>
  <c r="F7309" i="56" s="1"/>
  <c r="F7310" i="56" s="1"/>
  <c r="F7311" i="56" s="1"/>
  <c r="F7312" i="56" s="1"/>
  <c r="F7313" i="56" s="1"/>
  <c r="F7314" i="56" s="1"/>
  <c r="F7315" i="56" s="1"/>
  <c r="F7316" i="56" s="1"/>
  <c r="F7317" i="56" s="1"/>
  <c r="F7318" i="56" s="1"/>
  <c r="F7319" i="56" s="1"/>
  <c r="F7320" i="56" s="1"/>
  <c r="F7321" i="56" s="1"/>
  <c r="F7322" i="56" s="1"/>
  <c r="F7323" i="56" s="1"/>
  <c r="F7324" i="56" s="1"/>
  <c r="F7325" i="56" s="1"/>
  <c r="F7326" i="56" s="1"/>
  <c r="F7327" i="56" s="1"/>
  <c r="F7328" i="56" s="1"/>
  <c r="F7329" i="56" s="1"/>
  <c r="F7330" i="56" s="1"/>
  <c r="F7331" i="56" s="1"/>
  <c r="F7332" i="56" s="1"/>
  <c r="F7333" i="56" s="1"/>
  <c r="F7334" i="56" s="1"/>
  <c r="F7335" i="56" s="1"/>
  <c r="F7336" i="56" s="1"/>
  <c r="F7337" i="56" s="1"/>
  <c r="F7338" i="56" s="1"/>
  <c r="F7339" i="56" s="1"/>
  <c r="F7340" i="56" s="1"/>
  <c r="F7341" i="56" s="1"/>
  <c r="F7342" i="56" s="1"/>
  <c r="F7343" i="56" s="1"/>
  <c r="F7344" i="56" s="1"/>
  <c r="F7345" i="56" s="1"/>
  <c r="F7346" i="56" s="1"/>
  <c r="F7347" i="56" s="1"/>
  <c r="F7348" i="56" s="1"/>
  <c r="F7349" i="56" s="1"/>
  <c r="F7350" i="56" s="1"/>
  <c r="F7351" i="56" s="1"/>
  <c r="F7352" i="56" s="1"/>
  <c r="F7353" i="56" s="1"/>
  <c r="F7354" i="56" s="1"/>
  <c r="F7355" i="56" s="1"/>
  <c r="F7356" i="56" s="1"/>
  <c r="F7357" i="56" s="1"/>
  <c r="F7358" i="56" s="1"/>
  <c r="F7359" i="56" s="1"/>
  <c r="F7360" i="56" s="1"/>
  <c r="F7361" i="56" s="1"/>
  <c r="F7362" i="56" s="1"/>
  <c r="F7363" i="56" s="1"/>
  <c r="F7364" i="56" s="1"/>
  <c r="F7365" i="56" s="1"/>
  <c r="F7366" i="56" s="1"/>
  <c r="F7367" i="56" s="1"/>
  <c r="F7368" i="56" s="1"/>
  <c r="F7369" i="56" s="1"/>
  <c r="F7370" i="56" s="1"/>
  <c r="F7371" i="56" s="1"/>
  <c r="F7372" i="56" s="1"/>
  <c r="F7373" i="56" s="1"/>
  <c r="F7374" i="56" s="1"/>
  <c r="F7375" i="56" s="1"/>
  <c r="F7376" i="56" s="1"/>
  <c r="F7377" i="56" s="1"/>
  <c r="F7378" i="56" s="1"/>
  <c r="F7379" i="56" s="1"/>
  <c r="F7380" i="56" s="1"/>
  <c r="F7381" i="56" s="1"/>
  <c r="F7382" i="56" s="1"/>
  <c r="F7383" i="56" s="1"/>
  <c r="F7384" i="56" s="1"/>
  <c r="F7385" i="56" s="1"/>
  <c r="F7386" i="56" s="1"/>
  <c r="F7387" i="56" s="1"/>
  <c r="F7388" i="56" s="1"/>
  <c r="F7389" i="56" s="1"/>
  <c r="F7390" i="56" s="1"/>
  <c r="F7391" i="56" s="1"/>
  <c r="F7392" i="56" s="1"/>
  <c r="F7393" i="56" s="1"/>
  <c r="F7394" i="56" s="1"/>
  <c r="F7395" i="56" s="1"/>
  <c r="F7396" i="56" s="1"/>
  <c r="F7397" i="56" s="1"/>
  <c r="F7398" i="56" s="1"/>
  <c r="F7399" i="56" s="1"/>
  <c r="F7400" i="56" s="1"/>
  <c r="F7401" i="56" s="1"/>
  <c r="F7402" i="56" s="1"/>
  <c r="F7403" i="56" s="1"/>
  <c r="F7404" i="56" s="1"/>
  <c r="F7405" i="56" s="1"/>
  <c r="F7406" i="56" s="1"/>
  <c r="F7407" i="56" s="1"/>
  <c r="F7408" i="56" s="1"/>
  <c r="F7409" i="56" s="1"/>
  <c r="F7410" i="56" s="1"/>
  <c r="F7411" i="56" s="1"/>
  <c r="F7412" i="56" s="1"/>
  <c r="F7413" i="56" s="1"/>
  <c r="F7414" i="56" s="1"/>
  <c r="F7415" i="56" s="1"/>
  <c r="F7416" i="56" s="1"/>
  <c r="F7417" i="56" s="1"/>
  <c r="F7418" i="56" s="1"/>
  <c r="F7419" i="56" s="1"/>
  <c r="F7420" i="56" s="1"/>
  <c r="F7421" i="56" s="1"/>
  <c r="F7422" i="56" s="1"/>
  <c r="F7423" i="56" s="1"/>
  <c r="F7424" i="56" s="1"/>
  <c r="F7425" i="56" s="1"/>
  <c r="F7426" i="56" s="1"/>
  <c r="F7427" i="56" s="1"/>
  <c r="F7428" i="56" s="1"/>
  <c r="F7429" i="56" s="1"/>
  <c r="F7430" i="56" s="1"/>
  <c r="F7431" i="56" s="1"/>
  <c r="F7432" i="56" s="1"/>
  <c r="F7433" i="56" s="1"/>
  <c r="F7434" i="56" s="1"/>
  <c r="F7435" i="56" s="1"/>
  <c r="F7436" i="56" s="1"/>
  <c r="F7437" i="56" s="1"/>
  <c r="F7438" i="56" s="1"/>
  <c r="F7439" i="56" s="1"/>
  <c r="F7440" i="56" s="1"/>
  <c r="F7441" i="56" s="1"/>
  <c r="F7442" i="56" s="1"/>
  <c r="F7443" i="56" s="1"/>
  <c r="F7444" i="56" s="1"/>
  <c r="F7445" i="56" s="1"/>
  <c r="F7446" i="56" s="1"/>
  <c r="F7447" i="56" s="1"/>
  <c r="F7448" i="56" s="1"/>
  <c r="F7449" i="56" s="1"/>
  <c r="F7450" i="56" s="1"/>
  <c r="F7451" i="56" s="1"/>
  <c r="F7452" i="56" s="1"/>
  <c r="F7453" i="56" s="1"/>
  <c r="F7454" i="56" s="1"/>
  <c r="F7455" i="56" s="1"/>
  <c r="F7456" i="56" s="1"/>
  <c r="F7457" i="56" s="1"/>
  <c r="F7458" i="56" s="1"/>
  <c r="F7459" i="56" s="1"/>
  <c r="F7460" i="56" s="1"/>
  <c r="F7461" i="56" s="1"/>
  <c r="F7462" i="56" s="1"/>
  <c r="F7463" i="56" s="1"/>
  <c r="F7464" i="56" s="1"/>
  <c r="F7465" i="56" s="1"/>
  <c r="F7466" i="56" s="1"/>
  <c r="F7467" i="56" s="1"/>
  <c r="F7468" i="56" s="1"/>
  <c r="F7469" i="56" s="1"/>
  <c r="F7470" i="56" s="1"/>
  <c r="F7471" i="56" s="1"/>
  <c r="F7472" i="56" s="1"/>
  <c r="F7473" i="56" s="1"/>
  <c r="F7474" i="56" s="1"/>
  <c r="F7475" i="56" s="1"/>
  <c r="F7476" i="56" s="1"/>
  <c r="F7477" i="56" s="1"/>
  <c r="F7478" i="56" s="1"/>
  <c r="F7479" i="56" s="1"/>
  <c r="F7480" i="56" s="1"/>
  <c r="F7481" i="56" s="1"/>
  <c r="F7482" i="56" s="1"/>
  <c r="F7483" i="56" s="1"/>
  <c r="F7484" i="56" s="1"/>
  <c r="F7485" i="56" s="1"/>
  <c r="F7486" i="56" s="1"/>
  <c r="F7487" i="56" s="1"/>
  <c r="F7488" i="56" s="1"/>
  <c r="F7489" i="56" s="1"/>
  <c r="F7490" i="56" s="1"/>
  <c r="F7491" i="56" s="1"/>
  <c r="F7492" i="56" s="1"/>
  <c r="F7493" i="56" s="1"/>
  <c r="F7494" i="56" s="1"/>
  <c r="F7495" i="56" s="1"/>
  <c r="F7496" i="56" s="1"/>
  <c r="F7497" i="56" s="1"/>
  <c r="F7498" i="56" s="1"/>
  <c r="F7499" i="56" s="1"/>
  <c r="F7500" i="56" s="1"/>
  <c r="F7501" i="56" s="1"/>
  <c r="F7502" i="56" s="1"/>
  <c r="F7503" i="56" s="1"/>
  <c r="F7504" i="56" s="1"/>
  <c r="F7505" i="56" s="1"/>
  <c r="F7506" i="56" s="1"/>
  <c r="F7507" i="56" s="1"/>
  <c r="F7508" i="56" s="1"/>
  <c r="F7509" i="56" s="1"/>
  <c r="F7510" i="56" s="1"/>
  <c r="F7511" i="56" s="1"/>
  <c r="F7512" i="56" s="1"/>
  <c r="F7513" i="56" s="1"/>
  <c r="F7514" i="56" s="1"/>
  <c r="F7515" i="56" s="1"/>
  <c r="F7516" i="56" s="1"/>
  <c r="F7517" i="56" s="1"/>
  <c r="F7518" i="56" s="1"/>
  <c r="F7519" i="56" s="1"/>
  <c r="F7520" i="56" s="1"/>
  <c r="F7521" i="56" s="1"/>
  <c r="F7522" i="56" s="1"/>
  <c r="F7523" i="56" s="1"/>
  <c r="F7524" i="56" s="1"/>
  <c r="F7525" i="56" s="1"/>
  <c r="F7526" i="56" s="1"/>
  <c r="F7527" i="56" s="1"/>
  <c r="F7528" i="56" s="1"/>
  <c r="F7529" i="56" s="1"/>
  <c r="F7530" i="56" s="1"/>
  <c r="F7531" i="56" s="1"/>
  <c r="F7532" i="56" s="1"/>
  <c r="F7533" i="56" s="1"/>
  <c r="F7534" i="56" s="1"/>
  <c r="F7535" i="56" s="1"/>
  <c r="F7536" i="56" s="1"/>
  <c r="F7537" i="56" s="1"/>
  <c r="F7538" i="56" s="1"/>
  <c r="F7539" i="56" s="1"/>
  <c r="F7540" i="56" s="1"/>
  <c r="F7541" i="56" s="1"/>
  <c r="F7542" i="56" s="1"/>
  <c r="F7543" i="56" s="1"/>
  <c r="F7544" i="56" s="1"/>
  <c r="F7545" i="56" s="1"/>
  <c r="F7546" i="56" s="1"/>
  <c r="F7547" i="56" s="1"/>
  <c r="F7548" i="56" s="1"/>
  <c r="F7549" i="56" s="1"/>
  <c r="F7550" i="56" s="1"/>
  <c r="F7551" i="56" s="1"/>
  <c r="F7552" i="56" s="1"/>
  <c r="F7553" i="56" s="1"/>
  <c r="F7554" i="56" s="1"/>
  <c r="F7555" i="56" s="1"/>
  <c r="F7556" i="56" s="1"/>
  <c r="F7557" i="56" s="1"/>
  <c r="F7558" i="56" s="1"/>
  <c r="F7559" i="56" s="1"/>
  <c r="F7560" i="56" s="1"/>
  <c r="F7561" i="56" s="1"/>
  <c r="F7562" i="56" s="1"/>
  <c r="F7563" i="56" s="1"/>
  <c r="F7564" i="56" s="1"/>
  <c r="F7565" i="56" s="1"/>
  <c r="F7566" i="56" s="1"/>
  <c r="F7567" i="56" s="1"/>
  <c r="F7568" i="56" s="1"/>
  <c r="F7569" i="56" s="1"/>
  <c r="F7570" i="56" s="1"/>
  <c r="F7571" i="56" s="1"/>
  <c r="F7572" i="56" s="1"/>
  <c r="F7573" i="56" s="1"/>
  <c r="F7574" i="56" s="1"/>
  <c r="F7575" i="56" s="1"/>
  <c r="F7576" i="56" s="1"/>
  <c r="F7577" i="56" s="1"/>
  <c r="F7578" i="56" s="1"/>
  <c r="F7579" i="56" s="1"/>
  <c r="F7580" i="56" s="1"/>
  <c r="F7581" i="56" s="1"/>
  <c r="F7582" i="56" s="1"/>
  <c r="F7583" i="56" s="1"/>
  <c r="F7584" i="56" s="1"/>
  <c r="F7585" i="56" s="1"/>
  <c r="F7586" i="56" s="1"/>
  <c r="F7587" i="56" s="1"/>
  <c r="F7588" i="56" s="1"/>
  <c r="F7589" i="56" s="1"/>
  <c r="F7590" i="56" s="1"/>
  <c r="F7591" i="56" s="1"/>
  <c r="F7592" i="56" s="1"/>
  <c r="F7593" i="56" s="1"/>
  <c r="F7594" i="56" s="1"/>
  <c r="F7595" i="56" s="1"/>
  <c r="F7596" i="56" s="1"/>
  <c r="F7597" i="56" s="1"/>
  <c r="F7598" i="56" s="1"/>
  <c r="F7599" i="56" s="1"/>
  <c r="F7600" i="56" s="1"/>
  <c r="F7601" i="56" s="1"/>
  <c r="F7602" i="56" s="1"/>
  <c r="F7603" i="56" s="1"/>
  <c r="F7604" i="56" s="1"/>
  <c r="F7605" i="56" s="1"/>
  <c r="F7606" i="56" s="1"/>
  <c r="F7607" i="56" s="1"/>
  <c r="F7608" i="56" s="1"/>
  <c r="F7609" i="56" s="1"/>
  <c r="F7610" i="56" s="1"/>
  <c r="F7611" i="56" s="1"/>
  <c r="F7612" i="56" s="1"/>
  <c r="F7613" i="56" s="1"/>
  <c r="F7614" i="56" s="1"/>
  <c r="F7615" i="56" s="1"/>
  <c r="F7616" i="56" s="1"/>
  <c r="F7617" i="56" s="1"/>
  <c r="F7618" i="56" s="1"/>
  <c r="F7619" i="56" s="1"/>
  <c r="F7620" i="56" s="1"/>
  <c r="F7621" i="56" s="1"/>
  <c r="F7622" i="56" s="1"/>
  <c r="F7623" i="56" s="1"/>
  <c r="F7624" i="56" s="1"/>
  <c r="F7625" i="56" s="1"/>
  <c r="F7626" i="56" s="1"/>
  <c r="F7627" i="56" s="1"/>
  <c r="F7628" i="56" s="1"/>
  <c r="F7629" i="56" s="1"/>
  <c r="F7630" i="56" s="1"/>
  <c r="F7631" i="56" s="1"/>
  <c r="F7632" i="56" s="1"/>
  <c r="F7633" i="56" s="1"/>
  <c r="F7634" i="56" s="1"/>
  <c r="F7635" i="56" s="1"/>
  <c r="F7636" i="56" s="1"/>
  <c r="F7637" i="56" s="1"/>
  <c r="F7638" i="56" s="1"/>
  <c r="F7639" i="56" s="1"/>
  <c r="F7640" i="56" s="1"/>
  <c r="F7641" i="56" s="1"/>
  <c r="F7642" i="56" s="1"/>
  <c r="F7643" i="56" s="1"/>
  <c r="F7644" i="56" s="1"/>
  <c r="F7645" i="56" s="1"/>
  <c r="F7646" i="56" s="1"/>
  <c r="F7647" i="56" s="1"/>
  <c r="F7648" i="56" s="1"/>
  <c r="F7649" i="56" s="1"/>
  <c r="F7650" i="56" s="1"/>
  <c r="F7651" i="56" s="1"/>
  <c r="F7652" i="56" s="1"/>
  <c r="F7653" i="56" s="1"/>
  <c r="F7654" i="56" s="1"/>
  <c r="F7655" i="56" s="1"/>
  <c r="F7656" i="56" s="1"/>
  <c r="F7657" i="56" s="1"/>
  <c r="F7658" i="56" s="1"/>
  <c r="F7659" i="56" s="1"/>
  <c r="F7660" i="56" s="1"/>
  <c r="F7661" i="56" s="1"/>
  <c r="F7662" i="56" s="1"/>
  <c r="F7663" i="56" s="1"/>
  <c r="F7664" i="56" s="1"/>
  <c r="F7665" i="56" s="1"/>
  <c r="F7666" i="56" s="1"/>
  <c r="F7667" i="56" s="1"/>
  <c r="F7668" i="56" s="1"/>
  <c r="F7669" i="56" s="1"/>
  <c r="F7670" i="56" s="1"/>
  <c r="F7671" i="56" s="1"/>
  <c r="F7672" i="56" s="1"/>
  <c r="F7673" i="56" s="1"/>
  <c r="F7674" i="56" s="1"/>
  <c r="F7675" i="56" s="1"/>
  <c r="F7676" i="56" s="1"/>
  <c r="F7677" i="56" s="1"/>
  <c r="F7678" i="56" s="1"/>
  <c r="F7679" i="56" s="1"/>
  <c r="F7680" i="56" s="1"/>
  <c r="F7681" i="56" s="1"/>
  <c r="F7682" i="56" s="1"/>
  <c r="F7683" i="56" s="1"/>
  <c r="F7684" i="56" s="1"/>
  <c r="F7685" i="56" s="1"/>
  <c r="F7686" i="56" s="1"/>
  <c r="F7687" i="56" s="1"/>
  <c r="F7688" i="56" s="1"/>
  <c r="F7689" i="56" s="1"/>
  <c r="F7690" i="56" s="1"/>
  <c r="F7691" i="56" s="1"/>
  <c r="F7692" i="56" s="1"/>
  <c r="F7693" i="56" s="1"/>
  <c r="F7694" i="56" s="1"/>
  <c r="F7695" i="56" s="1"/>
  <c r="F7696" i="56" s="1"/>
  <c r="F7697" i="56" s="1"/>
  <c r="F7698" i="56" s="1"/>
  <c r="F7699" i="56" s="1"/>
  <c r="F7700" i="56" s="1"/>
  <c r="F7701" i="56" s="1"/>
  <c r="F7702" i="56" s="1"/>
  <c r="F7703" i="56" s="1"/>
  <c r="F7704" i="56" s="1"/>
  <c r="F7705" i="56" s="1"/>
  <c r="F7706" i="56" s="1"/>
  <c r="F7707" i="56" s="1"/>
  <c r="F7708" i="56" s="1"/>
  <c r="F7709" i="56" s="1"/>
  <c r="F7710" i="56" s="1"/>
  <c r="F7711" i="56" s="1"/>
  <c r="F7712" i="56" s="1"/>
  <c r="F7713" i="56" s="1"/>
  <c r="F7714" i="56" s="1"/>
  <c r="F7715" i="56" s="1"/>
  <c r="F7716" i="56" s="1"/>
  <c r="F7717" i="56" s="1"/>
  <c r="F7718" i="56" s="1"/>
  <c r="F7719" i="56" s="1"/>
  <c r="F7720" i="56" s="1"/>
  <c r="F7721" i="56" s="1"/>
  <c r="F7722" i="56" s="1"/>
  <c r="F7723" i="56" s="1"/>
  <c r="F7724" i="56" s="1"/>
  <c r="F7725" i="56" s="1"/>
  <c r="F7726" i="56" s="1"/>
  <c r="F7727" i="56" s="1"/>
  <c r="F7728" i="56" s="1"/>
  <c r="F7729" i="56" s="1"/>
  <c r="F7730" i="56" s="1"/>
  <c r="F7731" i="56" s="1"/>
  <c r="F7732" i="56" s="1"/>
  <c r="F7733" i="56" s="1"/>
  <c r="F7734" i="56" s="1"/>
  <c r="F7735" i="56" s="1"/>
  <c r="F7736" i="56" s="1"/>
  <c r="F7737" i="56" s="1"/>
  <c r="F7738" i="56" s="1"/>
  <c r="F7739" i="56" s="1"/>
  <c r="F7740" i="56" s="1"/>
  <c r="F7741" i="56" s="1"/>
  <c r="F7742" i="56" s="1"/>
  <c r="F7743" i="56" s="1"/>
  <c r="F7744" i="56" s="1"/>
  <c r="F7745" i="56" s="1"/>
  <c r="F7746" i="56" s="1"/>
  <c r="F7747" i="56" s="1"/>
  <c r="F7748" i="56" s="1"/>
  <c r="F7749" i="56" s="1"/>
  <c r="F7750" i="56" s="1"/>
  <c r="F7751" i="56" s="1"/>
  <c r="F7752" i="56" s="1"/>
  <c r="F7753" i="56" s="1"/>
  <c r="F7754" i="56" s="1"/>
  <c r="F7755" i="56" s="1"/>
  <c r="F7756" i="56" s="1"/>
  <c r="F7757" i="56" s="1"/>
  <c r="F7758" i="56" s="1"/>
  <c r="F7759" i="56" s="1"/>
  <c r="F7760" i="56" s="1"/>
  <c r="F7761" i="56" s="1"/>
  <c r="F7762" i="56" s="1"/>
  <c r="F7763" i="56" s="1"/>
  <c r="F7764" i="56" s="1"/>
  <c r="F7765" i="56" s="1"/>
  <c r="F7766" i="56" s="1"/>
  <c r="F7767" i="56" s="1"/>
  <c r="F7768" i="56" s="1"/>
  <c r="F7769" i="56" s="1"/>
  <c r="F7770" i="56" s="1"/>
  <c r="F7771" i="56" s="1"/>
  <c r="F7772" i="56" s="1"/>
  <c r="F7773" i="56" s="1"/>
  <c r="F7774" i="56" s="1"/>
  <c r="F7775" i="56" s="1"/>
  <c r="F7776" i="56" s="1"/>
  <c r="F7777" i="56" s="1"/>
  <c r="F7778" i="56" s="1"/>
  <c r="F7779" i="56" s="1"/>
  <c r="F7780" i="56" s="1"/>
  <c r="F7781" i="56" s="1"/>
  <c r="F7782" i="56" s="1"/>
  <c r="F7783" i="56" s="1"/>
  <c r="F7784" i="56" s="1"/>
  <c r="F7785" i="56" s="1"/>
  <c r="F7786" i="56" s="1"/>
  <c r="F7787" i="56" s="1"/>
  <c r="F7788" i="56" s="1"/>
  <c r="F7789" i="56" s="1"/>
  <c r="F7790" i="56" s="1"/>
  <c r="F7791" i="56" s="1"/>
  <c r="F7792" i="56" s="1"/>
  <c r="F7793" i="56" s="1"/>
  <c r="F7794" i="56" s="1"/>
  <c r="F7795" i="56" s="1"/>
  <c r="F7796" i="56" s="1"/>
  <c r="F7797" i="56" s="1"/>
  <c r="F7798" i="56" s="1"/>
  <c r="F7799" i="56" s="1"/>
  <c r="F7800" i="56" s="1"/>
  <c r="F7801" i="56" s="1"/>
  <c r="F7802" i="56" s="1"/>
  <c r="F7803" i="56" s="1"/>
  <c r="F7804" i="56" s="1"/>
  <c r="F7805" i="56" s="1"/>
  <c r="F7806" i="56" s="1"/>
  <c r="F7807" i="56" s="1"/>
  <c r="F7808" i="56" s="1"/>
  <c r="F7809" i="56" s="1"/>
  <c r="F7810" i="56" s="1"/>
  <c r="F7811" i="56" s="1"/>
  <c r="F7812" i="56" s="1"/>
  <c r="F7813" i="56" s="1"/>
  <c r="F7814" i="56" s="1"/>
  <c r="F7815" i="56" s="1"/>
  <c r="F7816" i="56" s="1"/>
  <c r="F7817" i="56" s="1"/>
  <c r="F7818" i="56" s="1"/>
  <c r="F7819" i="56" s="1"/>
  <c r="F7820" i="56" s="1"/>
  <c r="F7821" i="56" s="1"/>
  <c r="F7822" i="56" s="1"/>
  <c r="F7823" i="56" s="1"/>
  <c r="F7824" i="56" s="1"/>
  <c r="F7825" i="56" s="1"/>
  <c r="F7826" i="56" s="1"/>
  <c r="F7827" i="56" s="1"/>
  <c r="F7828" i="56" s="1"/>
  <c r="F7829" i="56" s="1"/>
  <c r="F7830" i="56" s="1"/>
  <c r="F7831" i="56" s="1"/>
  <c r="F7832" i="56" s="1"/>
  <c r="F7833" i="56" s="1"/>
  <c r="F7834" i="56" s="1"/>
  <c r="F7835" i="56" s="1"/>
  <c r="F7836" i="56" s="1"/>
  <c r="F7837" i="56" s="1"/>
  <c r="F7838" i="56" s="1"/>
  <c r="F7839" i="56" s="1"/>
  <c r="F7840" i="56" s="1"/>
  <c r="F7841" i="56" s="1"/>
  <c r="F7842" i="56" s="1"/>
  <c r="F7843" i="56" s="1"/>
  <c r="F7844" i="56" s="1"/>
  <c r="F7845" i="56" s="1"/>
  <c r="F7846" i="56" s="1"/>
  <c r="F7847" i="56" s="1"/>
  <c r="F7848" i="56" s="1"/>
  <c r="F7849" i="56" s="1"/>
  <c r="F7850" i="56" s="1"/>
  <c r="F7851" i="56" s="1"/>
  <c r="F7852" i="56" s="1"/>
  <c r="F7853" i="56" s="1"/>
  <c r="F7854" i="56" s="1"/>
  <c r="F7855" i="56" s="1"/>
  <c r="F7856" i="56" s="1"/>
  <c r="F7857" i="56" s="1"/>
  <c r="F7858" i="56" s="1"/>
  <c r="F7859" i="56" s="1"/>
  <c r="F7860" i="56" s="1"/>
  <c r="F7861" i="56" s="1"/>
  <c r="F7862" i="56" s="1"/>
  <c r="F7863" i="56" s="1"/>
  <c r="F7864" i="56" s="1"/>
  <c r="F7865" i="56" s="1"/>
  <c r="F7866" i="56" s="1"/>
  <c r="F7867" i="56" s="1"/>
  <c r="F7868" i="56" s="1"/>
  <c r="F7869" i="56" s="1"/>
  <c r="F7870" i="56" s="1"/>
  <c r="F7871" i="56" s="1"/>
  <c r="F7872" i="56" s="1"/>
  <c r="F7873" i="56" s="1"/>
  <c r="F7874" i="56" s="1"/>
  <c r="F7875" i="56" s="1"/>
  <c r="F7876" i="56" s="1"/>
  <c r="F7877" i="56" s="1"/>
  <c r="F7878" i="56" s="1"/>
  <c r="F7879" i="56" s="1"/>
  <c r="F7880" i="56" s="1"/>
  <c r="F7881" i="56" s="1"/>
  <c r="F7882" i="56" s="1"/>
  <c r="F7883" i="56" s="1"/>
  <c r="F7884" i="56" s="1"/>
  <c r="F7885" i="56" s="1"/>
  <c r="F7886" i="56" s="1"/>
  <c r="F7887" i="56" s="1"/>
  <c r="F7888" i="56" s="1"/>
  <c r="F7889" i="56" s="1"/>
  <c r="F7890" i="56" s="1"/>
  <c r="F7891" i="56" s="1"/>
  <c r="F7892" i="56" s="1"/>
  <c r="F7893" i="56" s="1"/>
  <c r="F7894" i="56" s="1"/>
  <c r="F7895" i="56" s="1"/>
  <c r="F7896" i="56" s="1"/>
  <c r="F7897" i="56" s="1"/>
  <c r="F7898" i="56" s="1"/>
  <c r="F7899" i="56" s="1"/>
  <c r="F7900" i="56" s="1"/>
  <c r="F7901" i="56" s="1"/>
  <c r="F7902" i="56" s="1"/>
  <c r="F7903" i="56" s="1"/>
  <c r="F7904" i="56" s="1"/>
  <c r="F7905" i="56" s="1"/>
  <c r="F7906" i="56" s="1"/>
  <c r="F7907" i="56" s="1"/>
  <c r="F7908" i="56" s="1"/>
  <c r="F7909" i="56" s="1"/>
  <c r="F7910" i="56" s="1"/>
  <c r="F7911" i="56" s="1"/>
  <c r="F7912" i="56" s="1"/>
  <c r="F7913" i="56" s="1"/>
  <c r="F7914" i="56" s="1"/>
  <c r="F7915" i="56" s="1"/>
  <c r="F7916" i="56" s="1"/>
  <c r="F7917" i="56" s="1"/>
  <c r="F7918" i="56" s="1"/>
  <c r="F7919" i="56" s="1"/>
  <c r="F7920" i="56" s="1"/>
  <c r="F7921" i="56" s="1"/>
  <c r="F7922" i="56" s="1"/>
  <c r="F7923" i="56" s="1"/>
  <c r="F7924" i="56" s="1"/>
  <c r="F7925" i="56" s="1"/>
  <c r="F7926" i="56" s="1"/>
  <c r="F7927" i="56" s="1"/>
  <c r="F7928" i="56" s="1"/>
  <c r="F7929" i="56" s="1"/>
  <c r="F7930" i="56" s="1"/>
  <c r="F7931" i="56" s="1"/>
  <c r="F7932" i="56" s="1"/>
  <c r="F7933" i="56" s="1"/>
  <c r="F7934" i="56" s="1"/>
  <c r="F7935" i="56" s="1"/>
  <c r="F7936" i="56" s="1"/>
  <c r="F7937" i="56" s="1"/>
  <c r="F7938" i="56" s="1"/>
  <c r="F7939" i="56" s="1"/>
  <c r="F7940" i="56" s="1"/>
  <c r="F7941" i="56" s="1"/>
  <c r="F7942" i="56" s="1"/>
  <c r="F7943" i="56" s="1"/>
  <c r="F7944" i="56" s="1"/>
  <c r="F7945" i="56" s="1"/>
  <c r="F7946" i="56" s="1"/>
  <c r="F7947" i="56" s="1"/>
  <c r="F7948" i="56" s="1"/>
  <c r="F7949" i="56" s="1"/>
  <c r="F7950" i="56" s="1"/>
  <c r="F7951" i="56" s="1"/>
  <c r="F7952" i="56" s="1"/>
  <c r="F7953" i="56" s="1"/>
  <c r="F7954" i="56" s="1"/>
  <c r="F7955" i="56" s="1"/>
  <c r="F7956" i="56" s="1"/>
  <c r="F7957" i="56" s="1"/>
  <c r="F7958" i="56" s="1"/>
  <c r="F7959" i="56" s="1"/>
  <c r="F7960" i="56" s="1"/>
  <c r="F7961" i="56" s="1"/>
  <c r="F7962" i="56" s="1"/>
  <c r="F7963" i="56" s="1"/>
  <c r="F7964" i="56" s="1"/>
  <c r="F7965" i="56" s="1"/>
  <c r="F7966" i="56" s="1"/>
  <c r="F7967" i="56" s="1"/>
  <c r="F7968" i="56" s="1"/>
  <c r="F7969" i="56" s="1"/>
  <c r="F7970" i="56" s="1"/>
  <c r="F7971" i="56" s="1"/>
  <c r="F7972" i="56" s="1"/>
  <c r="F7973" i="56" s="1"/>
  <c r="F7974" i="56" s="1"/>
  <c r="F7975" i="56" s="1"/>
  <c r="F7976" i="56" s="1"/>
  <c r="F7977" i="56" s="1"/>
  <c r="F7978" i="56" s="1"/>
  <c r="F7979" i="56" s="1"/>
  <c r="F7980" i="56" s="1"/>
  <c r="F7981" i="56" s="1"/>
  <c r="F7982" i="56" s="1"/>
  <c r="F7983" i="56" s="1"/>
  <c r="F7984" i="56" s="1"/>
  <c r="F7985" i="56" s="1"/>
  <c r="F7986" i="56" s="1"/>
  <c r="F7987" i="56" s="1"/>
  <c r="F7988" i="56" s="1"/>
  <c r="F7989" i="56" s="1"/>
  <c r="F7990" i="56" s="1"/>
  <c r="F7991" i="56" s="1"/>
  <c r="F7992" i="56" s="1"/>
  <c r="F7993" i="56" s="1"/>
  <c r="F7994" i="56" s="1"/>
  <c r="F7995" i="56" s="1"/>
  <c r="F7996" i="56" s="1"/>
  <c r="F7997" i="56" s="1"/>
  <c r="F7998" i="56" s="1"/>
  <c r="F7999" i="56" s="1"/>
  <c r="F8000" i="56" s="1"/>
  <c r="F8001" i="56" s="1"/>
  <c r="F8002" i="56" s="1"/>
  <c r="F8003" i="56" s="1"/>
  <c r="F8004" i="56" s="1"/>
  <c r="F8005" i="56" s="1"/>
  <c r="F8006" i="56" s="1"/>
  <c r="F8007" i="56" s="1"/>
  <c r="F8008" i="56" s="1"/>
  <c r="F8009" i="56" s="1"/>
  <c r="F8010" i="56" s="1"/>
  <c r="F8011" i="56" s="1"/>
  <c r="F8012" i="56" s="1"/>
  <c r="F8013" i="56" s="1"/>
  <c r="F8014" i="56" s="1"/>
  <c r="F8015" i="56" s="1"/>
  <c r="F8016" i="56" s="1"/>
  <c r="F8017" i="56" s="1"/>
  <c r="F8018" i="56" s="1"/>
  <c r="F8019" i="56" s="1"/>
  <c r="F8020" i="56" s="1"/>
  <c r="F8021" i="56" s="1"/>
  <c r="F8022" i="56" s="1"/>
  <c r="F8023" i="56" s="1"/>
  <c r="F8024" i="56" s="1"/>
  <c r="F8025" i="56" s="1"/>
  <c r="F8026" i="56" s="1"/>
  <c r="F8027" i="56" s="1"/>
  <c r="F8028" i="56" s="1"/>
  <c r="F8029" i="56" s="1"/>
  <c r="F8030" i="56" s="1"/>
  <c r="F8031" i="56" s="1"/>
  <c r="F8032" i="56" s="1"/>
  <c r="F8033" i="56" s="1"/>
  <c r="F8034" i="56" s="1"/>
  <c r="F8035" i="56" s="1"/>
  <c r="F8036" i="56" s="1"/>
  <c r="F8037" i="56" s="1"/>
  <c r="F8038" i="56" s="1"/>
  <c r="F8039" i="56" s="1"/>
  <c r="F8040" i="56" s="1"/>
  <c r="F8041" i="56" s="1"/>
  <c r="F8042" i="56" s="1"/>
  <c r="F8043" i="56" s="1"/>
  <c r="F8044" i="56" s="1"/>
  <c r="F8045" i="56" s="1"/>
  <c r="F8046" i="56" s="1"/>
  <c r="F8047" i="56" s="1"/>
  <c r="F8048" i="56" s="1"/>
  <c r="F8049" i="56" s="1"/>
  <c r="F8050" i="56" s="1"/>
  <c r="F8051" i="56" s="1"/>
  <c r="F8052" i="56" s="1"/>
  <c r="F8053" i="56" s="1"/>
  <c r="F8054" i="56" s="1"/>
  <c r="F8055" i="56" s="1"/>
  <c r="F8056" i="56" s="1"/>
  <c r="F8057" i="56" s="1"/>
  <c r="F8058" i="56" s="1"/>
  <c r="F8059" i="56" s="1"/>
  <c r="F8060" i="56" s="1"/>
  <c r="F8061" i="56" s="1"/>
  <c r="F8062" i="56" s="1"/>
  <c r="F8063" i="56" s="1"/>
  <c r="F8064" i="56" s="1"/>
  <c r="F8065" i="56" s="1"/>
  <c r="F8066" i="56" s="1"/>
  <c r="F8067" i="56" s="1"/>
  <c r="F8068" i="56" s="1"/>
  <c r="F8069" i="56" s="1"/>
  <c r="F8070" i="56" s="1"/>
  <c r="F8071" i="56" s="1"/>
  <c r="F8072" i="56" s="1"/>
  <c r="F8073" i="56" s="1"/>
  <c r="F8074" i="56" s="1"/>
  <c r="F8075" i="56" s="1"/>
  <c r="F8076" i="56" s="1"/>
  <c r="F8077" i="56" s="1"/>
  <c r="F8078" i="56" s="1"/>
  <c r="F8079" i="56" s="1"/>
  <c r="F8080" i="56" s="1"/>
  <c r="F8081" i="56" s="1"/>
  <c r="F8082" i="56" s="1"/>
  <c r="F8083" i="56" s="1"/>
  <c r="F8084" i="56" s="1"/>
  <c r="F8085" i="56" s="1"/>
  <c r="F8086" i="56" s="1"/>
  <c r="F8087" i="56" s="1"/>
  <c r="F8088" i="56" s="1"/>
  <c r="F8089" i="56" s="1"/>
  <c r="F8090" i="56" s="1"/>
  <c r="F8091" i="56" s="1"/>
  <c r="F8092" i="56" s="1"/>
  <c r="F8093" i="56" s="1"/>
  <c r="F8094" i="56" s="1"/>
  <c r="F8095" i="56" s="1"/>
  <c r="F8096" i="56" s="1"/>
  <c r="F8097" i="56" s="1"/>
  <c r="F8098" i="56" s="1"/>
  <c r="F8099" i="56" s="1"/>
  <c r="F8100" i="56" s="1"/>
  <c r="F8101" i="56" s="1"/>
  <c r="F8102" i="56" s="1"/>
  <c r="F8103" i="56" s="1"/>
  <c r="F8104" i="56" s="1"/>
  <c r="F8105" i="56" s="1"/>
  <c r="F8106" i="56" s="1"/>
  <c r="F8107" i="56" s="1"/>
  <c r="F8108" i="56" s="1"/>
  <c r="F8109" i="56" s="1"/>
  <c r="F8110" i="56" s="1"/>
  <c r="F8111" i="56" s="1"/>
  <c r="F8112" i="56" s="1"/>
  <c r="F8113" i="56" s="1"/>
  <c r="F8114" i="56" s="1"/>
  <c r="F8115" i="56" s="1"/>
  <c r="F8116" i="56" s="1"/>
  <c r="F8117" i="56" s="1"/>
  <c r="F8118" i="56" s="1"/>
  <c r="F8119" i="56" s="1"/>
  <c r="F8120" i="56" s="1"/>
  <c r="F8121" i="56" s="1"/>
  <c r="F8122" i="56" s="1"/>
  <c r="F8123" i="56" s="1"/>
  <c r="F8124" i="56" s="1"/>
  <c r="F8125" i="56" s="1"/>
  <c r="F8126" i="56" s="1"/>
  <c r="F8127" i="56" s="1"/>
  <c r="F8128" i="56" s="1"/>
  <c r="F8129" i="56" s="1"/>
  <c r="F8130" i="56" s="1"/>
  <c r="F8131" i="56" s="1"/>
  <c r="F8132" i="56" s="1"/>
  <c r="F8133" i="56" s="1"/>
  <c r="F8134" i="56" s="1"/>
  <c r="F8135" i="56" s="1"/>
  <c r="F8136" i="56" s="1"/>
  <c r="F8137" i="56" s="1"/>
  <c r="F8138" i="56" s="1"/>
  <c r="F8139" i="56" s="1"/>
  <c r="F8140" i="56" s="1"/>
  <c r="F8141" i="56" s="1"/>
  <c r="F8142" i="56" s="1"/>
  <c r="F8143" i="56" s="1"/>
  <c r="F8144" i="56" s="1"/>
  <c r="F8145" i="56" s="1"/>
  <c r="F8146" i="56" s="1"/>
  <c r="F8147" i="56" s="1"/>
  <c r="F8148" i="56" s="1"/>
  <c r="F8149" i="56" s="1"/>
  <c r="F8150" i="56" s="1"/>
  <c r="F8151" i="56" s="1"/>
  <c r="F8152" i="56" s="1"/>
  <c r="F8153" i="56" s="1"/>
  <c r="F8154" i="56" s="1"/>
  <c r="F8155" i="56" s="1"/>
  <c r="F8156" i="56" s="1"/>
  <c r="F8157" i="56" s="1"/>
  <c r="F8158" i="56" s="1"/>
  <c r="F8159" i="56" s="1"/>
  <c r="F8160" i="56" s="1"/>
  <c r="F8161" i="56" s="1"/>
  <c r="F8162" i="56" s="1"/>
  <c r="F8163" i="56" s="1"/>
  <c r="F8164" i="56" s="1"/>
  <c r="F8165" i="56" s="1"/>
  <c r="F8166" i="56" s="1"/>
  <c r="F8167" i="56" s="1"/>
  <c r="F8168" i="56" s="1"/>
  <c r="F8169" i="56" s="1"/>
  <c r="F8170" i="56" s="1"/>
  <c r="F8171" i="56" s="1"/>
  <c r="F8172" i="56" s="1"/>
  <c r="F8173" i="56" s="1"/>
  <c r="F8174" i="56" s="1"/>
  <c r="F8175" i="56" s="1"/>
  <c r="F8176" i="56" s="1"/>
  <c r="F8177" i="56" s="1"/>
  <c r="F8178" i="56" s="1"/>
  <c r="F8179" i="56" s="1"/>
  <c r="F8180" i="56" s="1"/>
  <c r="F8181" i="56" s="1"/>
  <c r="F8182" i="56" s="1"/>
  <c r="F8183" i="56" s="1"/>
  <c r="F8184" i="56" s="1"/>
  <c r="F8185" i="56" s="1"/>
  <c r="F8186" i="56" s="1"/>
  <c r="F8187" i="56" s="1"/>
  <c r="F8188" i="56" s="1"/>
  <c r="F8189" i="56" s="1"/>
  <c r="F8190" i="56" s="1"/>
  <c r="F8191" i="56" s="1"/>
  <c r="F8192" i="56" s="1"/>
  <c r="F8193" i="56" s="1"/>
  <c r="F8194" i="56" s="1"/>
  <c r="F8195" i="56" s="1"/>
  <c r="F8196" i="56" s="1"/>
  <c r="F8197" i="56" s="1"/>
  <c r="F8198" i="56" s="1"/>
  <c r="F8199" i="56" s="1"/>
  <c r="F8200" i="56" s="1"/>
  <c r="F8201" i="56" s="1"/>
  <c r="F8202" i="56" s="1"/>
  <c r="F8203" i="56" s="1"/>
  <c r="F8204" i="56" s="1"/>
  <c r="F8205" i="56" s="1"/>
  <c r="F8206" i="56" s="1"/>
  <c r="F8207" i="56" s="1"/>
  <c r="F8208" i="56" s="1"/>
  <c r="F8209" i="56" s="1"/>
  <c r="F8210" i="56" s="1"/>
  <c r="F8211" i="56" s="1"/>
  <c r="F8212" i="56" s="1"/>
  <c r="F8213" i="56" s="1"/>
  <c r="F8214" i="56" s="1"/>
  <c r="F8215" i="56" s="1"/>
  <c r="F8216" i="56" s="1"/>
  <c r="F8217" i="56" s="1"/>
  <c r="F8218" i="56" s="1"/>
  <c r="F8219" i="56" s="1"/>
  <c r="F8220" i="56" s="1"/>
  <c r="F8221" i="56" s="1"/>
  <c r="F8222" i="56" s="1"/>
  <c r="F8223" i="56" s="1"/>
  <c r="F8224" i="56" s="1"/>
  <c r="F8225" i="56" s="1"/>
  <c r="F8226" i="56" s="1"/>
  <c r="F8227" i="56" s="1"/>
  <c r="F8228" i="56" s="1"/>
  <c r="F8229" i="56" s="1"/>
  <c r="F8230" i="56" s="1"/>
  <c r="F8231" i="56" s="1"/>
  <c r="F8232" i="56" s="1"/>
  <c r="F8233" i="56" s="1"/>
  <c r="F8234" i="56" s="1"/>
  <c r="F8235" i="56" s="1"/>
  <c r="F8236" i="56" s="1"/>
  <c r="F8237" i="56" s="1"/>
  <c r="F8238" i="56" s="1"/>
  <c r="F8239" i="56" s="1"/>
  <c r="F8240" i="56" s="1"/>
  <c r="F8241" i="56" s="1"/>
  <c r="F8242" i="56" s="1"/>
  <c r="F8243" i="56" s="1"/>
  <c r="F8244" i="56" s="1"/>
  <c r="F8245" i="56" s="1"/>
  <c r="F8246" i="56" s="1"/>
  <c r="F8247" i="56" s="1"/>
  <c r="F8248" i="56" s="1"/>
  <c r="F8249" i="56" s="1"/>
  <c r="F8250" i="56" s="1"/>
  <c r="F8251" i="56" s="1"/>
  <c r="F8252" i="56" s="1"/>
  <c r="F8253" i="56" s="1"/>
  <c r="F8254" i="56" s="1"/>
  <c r="F8255" i="56" s="1"/>
  <c r="F8256" i="56" s="1"/>
  <c r="F8257" i="56" s="1"/>
  <c r="F8258" i="56" s="1"/>
  <c r="F8259" i="56" s="1"/>
  <c r="F8260" i="56" s="1"/>
  <c r="F8261" i="56" s="1"/>
  <c r="F8262" i="56" s="1"/>
  <c r="F8263" i="56" s="1"/>
  <c r="F8264" i="56" s="1"/>
  <c r="F8265" i="56" s="1"/>
  <c r="F8266" i="56" s="1"/>
  <c r="F8267" i="56" s="1"/>
  <c r="F8268" i="56" s="1"/>
  <c r="F8269" i="56" s="1"/>
  <c r="F8270" i="56" s="1"/>
  <c r="F8271" i="56" s="1"/>
  <c r="F8272" i="56" s="1"/>
  <c r="F8273" i="56" s="1"/>
  <c r="F8274" i="56" s="1"/>
  <c r="F8275" i="56" s="1"/>
  <c r="F8276" i="56" s="1"/>
  <c r="F8277" i="56" s="1"/>
  <c r="F8278" i="56" s="1"/>
  <c r="F8279" i="56" s="1"/>
  <c r="F8280" i="56" s="1"/>
  <c r="F8281" i="56" s="1"/>
  <c r="F8282" i="56" s="1"/>
  <c r="F8283" i="56" s="1"/>
  <c r="F8284" i="56" s="1"/>
  <c r="F8285" i="56" s="1"/>
  <c r="F8286" i="56" s="1"/>
  <c r="F8287" i="56" s="1"/>
  <c r="F8288" i="56" s="1"/>
  <c r="F8289" i="56" s="1"/>
  <c r="F8290" i="56" s="1"/>
  <c r="F8291" i="56" s="1"/>
  <c r="F8292" i="56" s="1"/>
  <c r="F8293" i="56" s="1"/>
  <c r="F8294" i="56" s="1"/>
  <c r="F8295" i="56" s="1"/>
  <c r="F8296" i="56" s="1"/>
  <c r="F8297" i="56" s="1"/>
  <c r="F8298" i="56" s="1"/>
  <c r="F8299" i="56" s="1"/>
  <c r="F8300" i="56" s="1"/>
  <c r="F8301" i="56" s="1"/>
  <c r="F8302" i="56" s="1"/>
  <c r="F8303" i="56" s="1"/>
  <c r="F8304" i="56" s="1"/>
  <c r="F8305" i="56" s="1"/>
  <c r="F8306" i="56" s="1"/>
  <c r="F8307" i="56" s="1"/>
  <c r="F8308" i="56" s="1"/>
  <c r="F8309" i="56" s="1"/>
  <c r="F8310" i="56" s="1"/>
  <c r="F8311" i="56" s="1"/>
  <c r="F8312" i="56" s="1"/>
  <c r="F8313" i="56" s="1"/>
  <c r="F8314" i="56" s="1"/>
  <c r="F8315" i="56" s="1"/>
  <c r="F8316" i="56" s="1"/>
  <c r="F8317" i="56" s="1"/>
  <c r="F8318" i="56" s="1"/>
  <c r="F8319" i="56" s="1"/>
  <c r="F8320" i="56" s="1"/>
  <c r="F8321" i="56" s="1"/>
  <c r="F8322" i="56" s="1"/>
  <c r="F8323" i="56" s="1"/>
  <c r="F8324" i="56" s="1"/>
  <c r="F8325" i="56" s="1"/>
  <c r="F8326" i="56" s="1"/>
  <c r="F8327" i="56" s="1"/>
  <c r="F8328" i="56" s="1"/>
  <c r="F8329" i="56" s="1"/>
  <c r="F8330" i="56" s="1"/>
  <c r="F8331" i="56" s="1"/>
  <c r="F8332" i="56" s="1"/>
  <c r="F8333" i="56" s="1"/>
  <c r="F8334" i="56" s="1"/>
  <c r="F8335" i="56" s="1"/>
  <c r="F8336" i="56" s="1"/>
  <c r="F8337" i="56" s="1"/>
  <c r="F8338" i="56" s="1"/>
  <c r="F8339" i="56" s="1"/>
  <c r="F8340" i="56" s="1"/>
  <c r="F8341" i="56" s="1"/>
  <c r="F8342" i="56" s="1"/>
  <c r="F8343" i="56" s="1"/>
  <c r="F8344" i="56" s="1"/>
  <c r="F8345" i="56" s="1"/>
  <c r="F8346" i="56" s="1"/>
  <c r="F8347" i="56" s="1"/>
  <c r="F8348" i="56" s="1"/>
  <c r="F8349" i="56" s="1"/>
  <c r="F8350" i="56" s="1"/>
  <c r="F8351" i="56" s="1"/>
  <c r="F8352" i="56" s="1"/>
  <c r="F8353" i="56" s="1"/>
  <c r="F8354" i="56" s="1"/>
  <c r="F8355" i="56" s="1"/>
  <c r="F8356" i="56" s="1"/>
  <c r="F8357" i="56" s="1"/>
  <c r="F8358" i="56" s="1"/>
  <c r="F8359" i="56" s="1"/>
  <c r="F8360" i="56" s="1"/>
  <c r="F8361" i="56" s="1"/>
  <c r="F8362" i="56" s="1"/>
  <c r="F8363" i="56" s="1"/>
  <c r="F8364" i="56" s="1"/>
  <c r="F8365" i="56" s="1"/>
  <c r="F8366" i="56" s="1"/>
  <c r="F8367" i="56" s="1"/>
  <c r="F8368" i="56" s="1"/>
  <c r="F8369" i="56" s="1"/>
  <c r="F8370" i="56" s="1"/>
  <c r="F8371" i="56" s="1"/>
  <c r="F8372" i="56" s="1"/>
  <c r="F8373" i="56" s="1"/>
  <c r="F8374" i="56" s="1"/>
  <c r="F8375" i="56" s="1"/>
  <c r="F8376" i="56" s="1"/>
  <c r="F8377" i="56" s="1"/>
  <c r="F8378" i="56" s="1"/>
  <c r="F8379" i="56" s="1"/>
  <c r="F8380" i="56" s="1"/>
  <c r="F8381" i="56" s="1"/>
  <c r="F8382" i="56" s="1"/>
  <c r="F8383" i="56" s="1"/>
  <c r="F8384" i="56" s="1"/>
  <c r="F8385" i="56" s="1"/>
  <c r="F8386" i="56" s="1"/>
  <c r="F8387" i="56" s="1"/>
  <c r="F8388" i="56" s="1"/>
  <c r="F8389" i="56" s="1"/>
  <c r="F8390" i="56" s="1"/>
  <c r="F8391" i="56" s="1"/>
  <c r="F8392" i="56" s="1"/>
  <c r="F8393" i="56" s="1"/>
  <c r="F8394" i="56" s="1"/>
  <c r="F8395" i="56" s="1"/>
  <c r="F8396" i="56" s="1"/>
  <c r="F8397" i="56" s="1"/>
  <c r="F8398" i="56" s="1"/>
  <c r="F8399" i="56" s="1"/>
  <c r="F8400" i="56" s="1"/>
  <c r="F8401" i="56" s="1"/>
  <c r="F8402" i="56" s="1"/>
  <c r="F8403" i="56" s="1"/>
  <c r="F8404" i="56" s="1"/>
  <c r="F8405" i="56" s="1"/>
  <c r="F8406" i="56" s="1"/>
  <c r="F8407" i="56" s="1"/>
  <c r="F8408" i="56" s="1"/>
  <c r="F8409" i="56" s="1"/>
  <c r="F8410" i="56" s="1"/>
  <c r="F8411" i="56" s="1"/>
  <c r="F8412" i="56" s="1"/>
  <c r="F8413" i="56" s="1"/>
  <c r="F8414" i="56" s="1"/>
  <c r="F8415" i="56" s="1"/>
  <c r="F8416" i="56" s="1"/>
  <c r="F8417" i="56" s="1"/>
  <c r="F8418" i="56" s="1"/>
  <c r="F8419" i="56" s="1"/>
  <c r="F8420" i="56" s="1"/>
  <c r="F8421" i="56" s="1"/>
  <c r="F8422" i="56" s="1"/>
  <c r="F8423" i="56" s="1"/>
  <c r="F8424" i="56" s="1"/>
  <c r="F8425" i="56" s="1"/>
  <c r="F8426" i="56" s="1"/>
  <c r="F8427" i="56" s="1"/>
  <c r="F8428" i="56" s="1"/>
  <c r="F8429" i="56" s="1"/>
  <c r="F8430" i="56" s="1"/>
  <c r="F8431" i="56" s="1"/>
  <c r="F8432" i="56" s="1"/>
  <c r="F8433" i="56" s="1"/>
  <c r="F8434" i="56" s="1"/>
  <c r="F8435" i="56" s="1"/>
  <c r="F8436" i="56" s="1"/>
  <c r="F8437" i="56" s="1"/>
  <c r="F8438" i="56" s="1"/>
  <c r="F8439" i="56" s="1"/>
  <c r="F8440" i="56" s="1"/>
  <c r="F8441" i="56" s="1"/>
  <c r="F8442" i="56" s="1"/>
  <c r="F8443" i="56" s="1"/>
  <c r="F8444" i="56" s="1"/>
  <c r="F8445" i="56" s="1"/>
  <c r="F8446" i="56" s="1"/>
  <c r="F8447" i="56" s="1"/>
  <c r="F8448" i="56" s="1"/>
  <c r="F8449" i="56" s="1"/>
  <c r="F8450" i="56" s="1"/>
  <c r="F8451" i="56" s="1"/>
  <c r="F8452" i="56" s="1"/>
  <c r="F8453" i="56" s="1"/>
  <c r="F8454" i="56" s="1"/>
  <c r="F8455" i="56" s="1"/>
  <c r="F8456" i="56" s="1"/>
  <c r="F8457" i="56" s="1"/>
  <c r="F8458" i="56" s="1"/>
  <c r="F8459" i="56" s="1"/>
  <c r="F8460" i="56" s="1"/>
  <c r="F8461" i="56" s="1"/>
  <c r="F8462" i="56" s="1"/>
  <c r="F8463" i="56" s="1"/>
  <c r="F8464" i="56" s="1"/>
  <c r="F8465" i="56" s="1"/>
  <c r="F8466" i="56" s="1"/>
  <c r="F8467" i="56" s="1"/>
  <c r="F8468" i="56" s="1"/>
  <c r="F8469" i="56" s="1"/>
  <c r="F8470" i="56" s="1"/>
  <c r="F8471" i="56" s="1"/>
  <c r="F8472" i="56" s="1"/>
  <c r="F8473" i="56" s="1"/>
  <c r="F8474" i="56" s="1"/>
  <c r="F8475" i="56" s="1"/>
  <c r="F8476" i="56" s="1"/>
  <c r="F8477" i="56" s="1"/>
  <c r="F8478" i="56" s="1"/>
  <c r="F8479" i="56" s="1"/>
  <c r="F8480" i="56" s="1"/>
  <c r="F8481" i="56" s="1"/>
  <c r="F8482" i="56" s="1"/>
  <c r="F8483" i="56" s="1"/>
  <c r="F8484" i="56" s="1"/>
  <c r="F8485" i="56" s="1"/>
  <c r="F8486" i="56" s="1"/>
  <c r="F8487" i="56" s="1"/>
  <c r="F8488" i="56" s="1"/>
  <c r="F8489" i="56" s="1"/>
  <c r="F8490" i="56" s="1"/>
  <c r="F8491" i="56" s="1"/>
  <c r="F8492" i="56" s="1"/>
  <c r="F8493" i="56" s="1"/>
  <c r="F8494" i="56" s="1"/>
  <c r="F8495" i="56" s="1"/>
  <c r="F8496" i="56" s="1"/>
  <c r="F8497" i="56" s="1"/>
  <c r="F8498" i="56" s="1"/>
  <c r="F8499" i="56" s="1"/>
  <c r="F8500" i="56" s="1"/>
  <c r="F8501" i="56" s="1"/>
  <c r="F8502" i="56" s="1"/>
  <c r="F8503" i="56" s="1"/>
  <c r="F8504" i="56" s="1"/>
  <c r="F8505" i="56" s="1"/>
  <c r="F8506" i="56" s="1"/>
  <c r="F8507" i="56" s="1"/>
  <c r="F8508" i="56" s="1"/>
  <c r="F8509" i="56" s="1"/>
  <c r="L9503" i="56"/>
  <c r="H9636" i="56"/>
  <c r="H9637" i="56" s="1"/>
  <c r="H9639" i="56" s="1"/>
  <c r="I9898" i="56"/>
  <c r="I9900" i="56" s="1"/>
  <c r="H10187" i="56"/>
  <c r="H10188" i="56" s="1"/>
  <c r="I10876" i="56"/>
  <c r="F4405" i="56"/>
  <c r="F4406" i="56" s="1"/>
  <c r="F4407" i="56" s="1"/>
  <c r="F4400" i="56"/>
  <c r="F4401" i="56" s="1"/>
  <c r="F4402" i="56" s="1"/>
  <c r="F4403" i="56" s="1"/>
  <c r="F4404" i="56" s="1"/>
  <c r="I9504" i="56"/>
  <c r="H9618" i="56"/>
  <c r="H9616" i="56"/>
  <c r="H9617" i="56" s="1"/>
  <c r="I9813" i="56"/>
  <c r="H9859" i="56"/>
  <c r="H9861" i="56" s="1"/>
  <c r="H9855" i="56"/>
  <c r="I9984" i="56"/>
  <c r="I9986" i="56" s="1"/>
  <c r="J10628" i="56"/>
  <c r="J10629" i="56" s="1"/>
  <c r="J10631" i="56" s="1"/>
  <c r="J10208" i="56"/>
  <c r="J10210" i="56" s="1"/>
  <c r="J10213" i="56" s="1"/>
  <c r="J10642" i="56"/>
  <c r="J10852" i="56"/>
  <c r="J10853" i="56" s="1"/>
  <c r="F3889" i="56" l="1"/>
  <c r="F3890" i="56" s="1"/>
  <c r="F3891" i="56" s="1"/>
  <c r="F3892" i="56" s="1"/>
  <c r="F3893" i="56" s="1"/>
  <c r="F3894" i="56" s="1"/>
  <c r="F3895" i="56" s="1"/>
  <c r="F3896" i="56" s="1"/>
  <c r="F3897" i="56" s="1"/>
  <c r="F3898" i="56" s="1"/>
  <c r="F3899" i="56" s="1"/>
  <c r="F3900" i="56" s="1"/>
  <c r="F3901" i="56" s="1"/>
  <c r="F3902" i="56" s="1"/>
  <c r="F3903" i="56" s="1"/>
  <c r="F3904" i="56" s="1"/>
  <c r="F3905" i="56" s="1"/>
  <c r="F3906" i="56" s="1"/>
  <c r="F3907" i="56" s="1"/>
  <c r="F3908" i="56" s="1"/>
  <c r="F3909" i="56" s="1"/>
  <c r="F3910" i="56" s="1"/>
  <c r="F3911" i="56" s="1"/>
  <c r="F3912" i="56" s="1"/>
  <c r="F3913" i="56" s="1"/>
  <c r="F3914" i="56" s="1"/>
  <c r="F3915" i="56" s="1"/>
  <c r="F3916" i="56" s="1"/>
  <c r="F3917" i="56" s="1"/>
  <c r="F3918" i="56" s="1"/>
  <c r="F3919" i="56" s="1"/>
  <c r="F3920" i="56" s="1"/>
  <c r="F3921" i="56" s="1"/>
  <c r="F3922" i="56" s="1"/>
  <c r="F3923" i="56" s="1"/>
  <c r="F3924" i="56" s="1"/>
  <c r="F3925" i="56" s="1"/>
  <c r="F3926" i="56" s="1"/>
  <c r="F3927" i="56" s="1"/>
  <c r="F3928" i="56" s="1"/>
  <c r="F3929" i="56" s="1"/>
  <c r="F3930" i="56" s="1"/>
  <c r="F3931" i="56" s="1"/>
  <c r="F3932" i="56" s="1"/>
  <c r="F3933" i="56" s="1"/>
  <c r="F3934" i="56" s="1"/>
  <c r="F3935" i="56" s="1"/>
  <c r="F3936" i="56" s="1"/>
  <c r="F3937" i="56" s="1"/>
  <c r="F3938" i="56" s="1"/>
  <c r="F3939" i="56" s="1"/>
  <c r="F3940" i="56" s="1"/>
  <c r="F3941" i="56" s="1"/>
  <c r="F3942" i="56" s="1"/>
  <c r="F3943" i="56" s="1"/>
  <c r="F3944" i="56" s="1"/>
  <c r="F3945" i="56" s="1"/>
  <c r="F3946" i="56" s="1"/>
  <c r="F3947" i="56" s="1"/>
  <c r="F3948" i="56" s="1"/>
  <c r="F3949" i="56" s="1"/>
  <c r="F3950" i="56" s="1"/>
  <c r="F3951" i="56" s="1"/>
  <c r="F3952" i="56" s="1"/>
  <c r="F3953" i="56" s="1"/>
  <c r="F3954" i="56" s="1"/>
  <c r="H9619" i="56"/>
  <c r="H9621" i="56" s="1"/>
  <c r="H10426" i="56"/>
  <c r="H10425" i="56"/>
  <c r="F10813" i="56"/>
  <c r="F10814" i="56" s="1"/>
  <c r="F10815" i="56" s="1"/>
  <c r="F10816" i="56" s="1"/>
  <c r="F10817" i="56" s="1"/>
  <c r="F10818" i="56" s="1"/>
  <c r="F10819" i="56" s="1"/>
  <c r="F10820" i="56" s="1"/>
  <c r="F10821" i="56" s="1"/>
  <c r="F10822" i="56" s="1"/>
  <c r="F10823" i="56" s="1"/>
  <c r="F10824" i="56" s="1"/>
  <c r="F10825" i="56" s="1"/>
  <c r="F10826" i="56" s="1"/>
  <c r="F10827" i="56" s="1"/>
  <c r="F10828" i="56" s="1"/>
  <c r="F10829" i="56" s="1"/>
  <c r="F10830" i="56" s="1"/>
  <c r="F10831" i="56" s="1"/>
  <c r="F10832" i="56" s="1"/>
  <c r="F10833" i="56" s="1"/>
  <c r="F10834" i="56" s="1"/>
  <c r="F10835" i="56" s="1"/>
  <c r="F10836" i="56" s="1"/>
  <c r="F10837" i="56" s="1"/>
  <c r="F10838" i="56" s="1"/>
  <c r="F10839" i="56" s="1"/>
  <c r="F10840" i="56" s="1"/>
  <c r="F10841" i="56" s="1"/>
  <c r="F10842" i="56" s="1"/>
  <c r="F10843" i="56" s="1"/>
  <c r="F10844" i="56" s="1"/>
  <c r="F10845" i="56" s="1"/>
  <c r="F10846" i="56" s="1"/>
  <c r="F10847" i="56" s="1"/>
  <c r="F10848" i="56" s="1"/>
  <c r="F10849" i="56" s="1"/>
  <c r="F10850" i="56" s="1"/>
  <c r="F10851" i="56" s="1"/>
  <c r="F10852" i="56" s="1"/>
  <c r="F10853" i="56" s="1"/>
  <c r="F10854" i="56" s="1"/>
  <c r="F10855" i="56" s="1"/>
  <c r="F10856" i="56" s="1"/>
  <c r="F10857" i="56" s="1"/>
  <c r="F10858" i="56" s="1"/>
  <c r="F10859" i="56" s="1"/>
  <c r="F10860" i="56" s="1"/>
  <c r="F10861" i="56" s="1"/>
  <c r="F10862" i="56" s="1"/>
  <c r="F10863" i="56" s="1"/>
  <c r="F10864" i="56" s="1"/>
  <c r="F10865" i="56" s="1"/>
  <c r="F10866" i="56" s="1"/>
  <c r="F10867" i="56" s="1"/>
  <c r="F10868" i="56" s="1"/>
  <c r="F10869" i="56" s="1"/>
  <c r="F10870" i="56" s="1"/>
  <c r="F10871" i="56" s="1"/>
  <c r="F10872" i="56" s="1"/>
  <c r="F10873" i="56" s="1"/>
  <c r="F10874" i="56" s="1"/>
  <c r="F10875" i="56" s="1"/>
  <c r="F10876" i="56" s="1"/>
  <c r="F10877" i="56" s="1"/>
  <c r="F10878" i="56" s="1"/>
  <c r="F10879" i="56" s="1"/>
  <c r="F10880" i="56" s="1"/>
  <c r="F10881" i="56" s="1"/>
  <c r="F10882" i="56" s="1"/>
  <c r="F10883" i="56" s="1"/>
  <c r="F10884" i="56" s="1"/>
  <c r="F10885" i="56" s="1"/>
  <c r="F10886" i="56" s="1"/>
  <c r="F10887" i="56" s="1"/>
  <c r="F10888" i="56" s="1"/>
  <c r="F10889" i="56" s="1"/>
  <c r="F10890" i="56" s="1"/>
  <c r="F10891" i="56" s="1"/>
  <c r="F10892" i="56" s="1"/>
  <c r="F10893" i="56" s="1"/>
  <c r="F10894" i="56" s="1"/>
  <c r="F10895" i="56" s="1"/>
  <c r="F10896" i="56" s="1"/>
  <c r="F10897" i="56" s="1"/>
  <c r="F10898" i="56" s="1"/>
  <c r="F10899" i="56" s="1"/>
  <c r="F10900" i="56" s="1"/>
  <c r="F10901" i="56" s="1"/>
  <c r="F10902" i="56" s="1"/>
  <c r="F10903" i="56" s="1"/>
  <c r="F10904" i="56" s="1"/>
  <c r="F10905" i="56" s="1"/>
  <c r="F10906" i="56" s="1"/>
  <c r="F10907" i="56" s="1"/>
  <c r="F10908" i="56" s="1"/>
  <c r="F10909" i="56" s="1"/>
  <c r="F10910" i="56" s="1"/>
  <c r="F10911" i="56" s="1"/>
  <c r="F10912" i="56" s="1"/>
  <c r="F10913" i="56" s="1"/>
  <c r="F10914" i="56" s="1"/>
  <c r="F10915" i="56" s="1"/>
  <c r="F10916" i="56" s="1"/>
  <c r="F10917" i="56" s="1"/>
  <c r="F10918" i="56" s="1"/>
  <c r="F10919" i="56" s="1"/>
  <c r="F10920" i="56" s="1"/>
  <c r="F10921" i="56" s="1"/>
  <c r="F10922" i="56" s="1"/>
  <c r="F10923" i="56" s="1"/>
  <c r="F10924" i="56" s="1"/>
  <c r="F10925" i="56" s="1"/>
  <c r="F10926" i="56" s="1"/>
  <c r="F10927" i="56" s="1"/>
  <c r="F10928" i="56" s="1"/>
  <c r="F10929" i="56" s="1"/>
  <c r="F10930" i="56" s="1"/>
  <c r="F10931" i="56" s="1"/>
  <c r="F10932" i="56" s="1"/>
  <c r="F10933" i="56" s="1"/>
  <c r="F10934" i="56" s="1"/>
  <c r="F10935" i="56" s="1"/>
  <c r="F10936" i="56" s="1"/>
  <c r="F10937" i="56" s="1"/>
  <c r="F10938" i="56" s="1"/>
  <c r="F10939" i="56" s="1"/>
  <c r="F10940" i="56" s="1"/>
  <c r="F10941" i="56" s="1"/>
  <c r="F10942" i="56" s="1"/>
  <c r="F10943" i="56" s="1"/>
  <c r="F10944" i="56" s="1"/>
  <c r="F10945" i="56" s="1"/>
  <c r="F10946" i="56" s="1"/>
  <c r="F10947" i="56" s="1"/>
  <c r="F10948" i="56" s="1"/>
  <c r="F10949" i="56" s="1"/>
  <c r="F10950" i="56" s="1"/>
  <c r="F10951" i="56" s="1"/>
  <c r="F10952" i="56" s="1"/>
  <c r="F10953" i="56" s="1"/>
  <c r="F10954" i="56" s="1"/>
  <c r="F10955" i="56" s="1"/>
  <c r="F10956" i="56" s="1"/>
  <c r="F10957" i="56" s="1"/>
  <c r="F10958" i="56" s="1"/>
  <c r="F10959" i="56" s="1"/>
  <c r="F10960" i="56" s="1"/>
  <c r="F10961" i="56" s="1"/>
  <c r="F10962" i="56" s="1"/>
  <c r="F10963" i="56" s="1"/>
  <c r="F10964" i="56" s="1"/>
  <c r="F10965" i="56" s="1"/>
  <c r="F10966" i="56" s="1"/>
  <c r="F10967" i="56" s="1"/>
  <c r="F10968" i="56" s="1"/>
  <c r="F10969" i="56" s="1"/>
  <c r="F10970" i="56" s="1"/>
  <c r="F10971" i="56" s="1"/>
  <c r="F10972" i="56" s="1"/>
  <c r="F10973" i="56" s="1"/>
  <c r="F10974" i="56" s="1"/>
  <c r="F10975" i="56" s="1"/>
  <c r="F10976" i="56" s="1"/>
  <c r="F10977" i="56" s="1"/>
  <c r="F10978" i="56" s="1"/>
  <c r="F10979" i="56" s="1"/>
  <c r="F10980" i="56" s="1"/>
  <c r="F10981" i="56" s="1"/>
  <c r="F10982" i="56" s="1"/>
  <c r="F10983" i="56" s="1"/>
  <c r="F10984" i="56" s="1"/>
  <c r="F10985" i="56" s="1"/>
  <c r="F10986" i="56" s="1"/>
  <c r="F10987" i="56" s="1"/>
  <c r="F10988" i="56" s="1"/>
  <c r="F10989" i="56" s="1"/>
  <c r="F10990" i="56" s="1"/>
  <c r="F10991" i="56" s="1"/>
  <c r="F10992" i="56" s="1"/>
  <c r="F10993" i="56" s="1"/>
  <c r="F10994" i="56" s="1"/>
  <c r="F10995" i="56" s="1"/>
  <c r="F10996" i="56" s="1"/>
  <c r="F10997" i="56" s="1"/>
  <c r="F10998" i="56" s="1"/>
  <c r="F10999" i="56" s="1"/>
  <c r="F11000" i="56" s="1"/>
  <c r="F11001" i="56" s="1"/>
  <c r="F11002" i="56" s="1"/>
  <c r="F11003" i="56" s="1"/>
  <c r="F11004" i="56" s="1"/>
  <c r="F11005" i="56" s="1"/>
  <c r="F11006" i="56" s="1"/>
  <c r="F11007" i="56" s="1"/>
  <c r="F11008" i="56" s="1"/>
  <c r="F11009" i="56" s="1"/>
  <c r="F11010" i="56" s="1"/>
  <c r="F11011" i="56" s="1"/>
  <c r="F11012" i="56" s="1"/>
  <c r="F11013" i="56" s="1"/>
  <c r="F11014" i="56" s="1"/>
  <c r="F11015" i="56" s="1"/>
  <c r="F11016" i="56" s="1"/>
  <c r="F11017" i="56" s="1"/>
  <c r="F11018" i="56" s="1"/>
  <c r="F11019" i="56" s="1"/>
  <c r="F11020" i="56" s="1"/>
  <c r="F11021" i="56" s="1"/>
  <c r="F11022" i="56" s="1"/>
  <c r="F11023" i="56" s="1"/>
  <c r="F11024" i="56" s="1"/>
  <c r="F11025" i="56" s="1"/>
  <c r="F11026" i="56" s="1"/>
  <c r="F11027" i="56" s="1"/>
  <c r="F11028" i="56" s="1"/>
  <c r="F11029" i="56" s="1"/>
  <c r="F11030" i="56" s="1"/>
  <c r="F11031" i="56" s="1"/>
  <c r="F11032" i="56" s="1"/>
  <c r="F11033" i="56" s="1"/>
  <c r="F11034" i="56" s="1"/>
  <c r="F11035" i="56" s="1"/>
  <c r="F11036" i="56" s="1"/>
  <c r="F11037" i="56" s="1"/>
  <c r="F11038" i="56" s="1"/>
  <c r="F11039" i="56" s="1"/>
  <c r="F11040" i="56" s="1"/>
  <c r="F11041" i="56" s="1"/>
  <c r="F11042" i="56" s="1"/>
  <c r="F11043" i="56" s="1"/>
  <c r="F11044" i="56" s="1"/>
  <c r="F11045" i="56" s="1"/>
  <c r="F11046" i="56" s="1"/>
  <c r="F11047" i="56" s="1"/>
  <c r="F11048" i="56" s="1"/>
  <c r="F11049" i="56" s="1"/>
  <c r="F11050" i="56" s="1"/>
  <c r="F11051" i="56" s="1"/>
  <c r="F11052" i="56" s="1"/>
  <c r="F11053" i="56" s="1"/>
  <c r="F11054" i="56" s="1"/>
  <c r="F11055" i="56" s="1"/>
  <c r="F11056" i="56" s="1"/>
  <c r="F11057" i="56" s="1"/>
  <c r="F11058" i="56" s="1"/>
  <c r="F11059" i="56" s="1"/>
  <c r="F11060" i="56" s="1"/>
  <c r="F11061" i="56" s="1"/>
  <c r="F11062" i="56" s="1"/>
  <c r="F11063" i="56" s="1"/>
  <c r="F11064" i="56" s="1"/>
  <c r="F11065" i="56" s="1"/>
  <c r="F11066" i="56" s="1"/>
  <c r="F11067" i="56" s="1"/>
  <c r="F11068" i="56" s="1"/>
  <c r="F11069" i="56" s="1"/>
  <c r="F11070" i="56" s="1"/>
  <c r="F11071" i="56" s="1"/>
  <c r="F11072" i="56" s="1"/>
  <c r="F11073" i="56" s="1"/>
  <c r="F11074" i="56" s="1"/>
  <c r="F11075" i="56" s="1"/>
  <c r="F11076" i="56" s="1"/>
  <c r="F11077" i="56" s="1"/>
  <c r="F11078" i="56" s="1"/>
  <c r="F11079" i="56" s="1"/>
  <c r="F11080" i="56" s="1"/>
  <c r="F11081" i="56" s="1"/>
  <c r="F11082" i="56" s="1"/>
  <c r="F11083" i="56" s="1"/>
  <c r="F11084" i="56" s="1"/>
  <c r="F11085" i="56" s="1"/>
  <c r="F11086" i="56" s="1"/>
  <c r="F11087" i="56" s="1"/>
  <c r="F11088" i="56" s="1"/>
  <c r="F11089" i="56" s="1"/>
  <c r="F11090" i="56" s="1"/>
  <c r="F11091" i="56" s="1"/>
  <c r="F11092" i="56" s="1"/>
  <c r="F11093" i="56" s="1"/>
  <c r="F11094" i="56" s="1"/>
  <c r="F11095" i="56" s="1"/>
  <c r="F11096" i="56" s="1"/>
  <c r="F11097" i="56" s="1"/>
  <c r="F11098" i="56" s="1"/>
  <c r="F11099" i="56" s="1"/>
  <c r="F11100" i="56" s="1"/>
  <c r="F11101" i="56" s="1"/>
  <c r="F11102" i="56" s="1"/>
  <c r="F11103" i="56" s="1"/>
  <c r="F11104" i="56" s="1"/>
  <c r="F11105" i="56" s="1"/>
  <c r="F11106" i="56" s="1"/>
  <c r="F11107" i="56" s="1"/>
  <c r="F11108" i="56" s="1"/>
  <c r="F11109" i="56" s="1"/>
  <c r="F11110" i="56" s="1"/>
  <c r="F11111" i="56" s="1"/>
  <c r="F11112" i="56" s="1"/>
  <c r="F11113" i="56" s="1"/>
  <c r="F11114" i="56" s="1"/>
  <c r="F11115" i="56" s="1"/>
  <c r="F11116" i="56" s="1"/>
  <c r="F11117" i="56" s="1"/>
  <c r="F11118" i="56" s="1"/>
  <c r="F11119" i="56" s="1"/>
  <c r="F11120" i="56" s="1"/>
  <c r="F11121" i="56" s="1"/>
  <c r="F11122" i="56" s="1"/>
  <c r="F11123" i="56" s="1"/>
  <c r="F11124" i="56" s="1"/>
  <c r="F11125" i="56" s="1"/>
  <c r="F11126" i="56" s="1"/>
  <c r="F11127" i="56" s="1"/>
  <c r="F11128" i="56" s="1"/>
  <c r="F11129" i="56" s="1"/>
  <c r="F11130" i="56" s="1"/>
  <c r="F11131" i="56" s="1"/>
  <c r="F11132" i="56" s="1"/>
  <c r="F11133" i="56" s="1"/>
  <c r="F11134" i="56" s="1"/>
  <c r="F11135" i="56" s="1"/>
  <c r="F11136" i="56" s="1"/>
  <c r="F11137" i="56" s="1"/>
  <c r="F11138" i="56" s="1"/>
  <c r="F11139" i="56" s="1"/>
  <c r="F11140" i="56" s="1"/>
  <c r="F11141" i="56" s="1"/>
  <c r="F11142" i="56" s="1"/>
  <c r="F11143" i="56" s="1"/>
  <c r="F11144" i="56" s="1"/>
  <c r="F11145" i="56" s="1"/>
  <c r="F11146" i="56" s="1"/>
  <c r="F11147" i="56" s="1"/>
  <c r="F11148" i="56" s="1"/>
  <c r="F11149" i="56" s="1"/>
  <c r="F11150" i="56" s="1"/>
  <c r="F11151" i="56" s="1"/>
  <c r="F11152" i="56" s="1"/>
  <c r="F11153" i="56" s="1"/>
  <c r="F11154" i="56" s="1"/>
  <c r="F11155" i="56" s="1"/>
  <c r="F11156" i="56" s="1"/>
  <c r="F11157" i="56" s="1"/>
  <c r="F11158" i="56" s="1"/>
  <c r="F11159" i="56" s="1"/>
  <c r="F11160" i="56" s="1"/>
  <c r="F11161" i="56" s="1"/>
  <c r="F11162" i="56" s="1"/>
  <c r="F11163" i="56" s="1"/>
  <c r="F11164" i="56" s="1"/>
  <c r="F11165" i="56" s="1"/>
  <c r="F11166" i="56" s="1"/>
  <c r="F11167" i="56" s="1"/>
  <c r="F11168" i="56" s="1"/>
  <c r="F11169" i="56" s="1"/>
  <c r="F11170" i="56" s="1"/>
  <c r="F11171" i="56" s="1"/>
  <c r="F11172" i="56" s="1"/>
  <c r="F11173" i="56" s="1"/>
  <c r="F11174" i="56" s="1"/>
  <c r="F11175" i="56" s="1"/>
  <c r="F11176" i="56" s="1"/>
  <c r="F11177" i="56" s="1"/>
  <c r="F11178" i="56" s="1"/>
  <c r="F11179" i="56" s="1"/>
  <c r="F11180" i="56" s="1"/>
  <c r="F11181" i="56" s="1"/>
  <c r="F11182" i="56" s="1"/>
  <c r="F11183" i="56" s="1"/>
  <c r="F11184" i="56" s="1"/>
  <c r="F11185" i="56" s="1"/>
  <c r="F11186" i="56" s="1"/>
  <c r="F11187" i="56" s="1"/>
  <c r="F11188" i="56" s="1"/>
  <c r="F11189" i="56" s="1"/>
  <c r="F11190" i="56" s="1"/>
  <c r="F11191" i="56" s="1"/>
  <c r="F11192" i="56" s="1"/>
  <c r="F11193" i="56" s="1"/>
  <c r="F11194" i="56" s="1"/>
  <c r="F11195" i="56" s="1"/>
  <c r="F11196" i="56" s="1"/>
  <c r="F11197" i="56" s="1"/>
  <c r="F11198" i="56" s="1"/>
  <c r="F11199" i="56" s="1"/>
  <c r="F11200" i="56" s="1"/>
  <c r="F11201" i="56" s="1"/>
  <c r="F11202" i="56" s="1"/>
  <c r="F11203" i="56" s="1"/>
  <c r="F11204" i="56" s="1"/>
  <c r="F11205" i="56" s="1"/>
  <c r="F11206" i="56" s="1"/>
  <c r="F11207" i="56" s="1"/>
  <c r="F11208" i="56" s="1"/>
  <c r="F11209" i="56" s="1"/>
  <c r="F11210" i="56" s="1"/>
  <c r="F11211" i="56" s="1"/>
  <c r="F11212" i="56" s="1"/>
  <c r="F11213" i="56" s="1"/>
  <c r="F11214" i="56" s="1"/>
  <c r="F11215" i="56" s="1"/>
  <c r="F11216" i="56" s="1"/>
  <c r="F11217" i="56" s="1"/>
  <c r="F11218" i="56" s="1"/>
  <c r="F11219" i="56" s="1"/>
  <c r="F11220" i="56" s="1"/>
  <c r="F11221" i="56" s="1"/>
  <c r="F11222" i="56" s="1"/>
  <c r="F11223" i="56" s="1"/>
  <c r="F11224" i="56" s="1"/>
  <c r="F11225" i="56" s="1"/>
  <c r="F11226" i="56" s="1"/>
  <c r="F11227" i="56" s="1"/>
  <c r="F11228" i="56" s="1"/>
  <c r="F11229" i="56" s="1"/>
  <c r="F11230" i="56" s="1"/>
  <c r="F11231" i="56" s="1"/>
  <c r="F11232" i="56" s="1"/>
  <c r="F11233" i="56" s="1"/>
  <c r="F11234" i="56" s="1"/>
  <c r="F11235" i="56" s="1"/>
  <c r="F11236" i="56" s="1"/>
  <c r="F11237" i="56" s="1"/>
  <c r="F11238" i="56" s="1"/>
  <c r="F11239" i="56" s="1"/>
  <c r="F11240" i="56" s="1"/>
  <c r="F11241" i="56" s="1"/>
  <c r="F11242" i="56" s="1"/>
  <c r="F11243" i="56" s="1"/>
  <c r="F11244" i="56" s="1"/>
  <c r="F11245" i="56" s="1"/>
  <c r="F11246" i="56" s="1"/>
  <c r="F11247" i="56" s="1"/>
  <c r="F11248" i="56" s="1"/>
  <c r="F11249" i="56" s="1"/>
  <c r="F11250" i="56" s="1"/>
  <c r="F11251" i="56" s="1"/>
  <c r="F11252" i="56" s="1"/>
  <c r="F11253" i="56" s="1"/>
  <c r="F11254" i="56" s="1"/>
  <c r="F11255" i="56" s="1"/>
  <c r="F11256" i="56" s="1"/>
  <c r="F11257" i="56" s="1"/>
  <c r="F11258" i="56" s="1"/>
  <c r="F11259" i="56" s="1"/>
  <c r="F11260" i="56" s="1"/>
  <c r="F11261" i="56" s="1"/>
  <c r="F11262" i="56" s="1"/>
  <c r="F11263" i="56" s="1"/>
  <c r="F11264" i="56" s="1"/>
  <c r="F11265" i="56" s="1"/>
  <c r="F11266" i="56" s="1"/>
  <c r="F11267" i="56" s="1"/>
  <c r="F11268" i="56" s="1"/>
  <c r="F11269" i="56" s="1"/>
  <c r="F11270" i="56" s="1"/>
  <c r="F11271" i="56" s="1"/>
  <c r="F11272" i="56" s="1"/>
  <c r="F11273" i="56" s="1"/>
  <c r="F11274" i="56" s="1"/>
  <c r="F11275" i="56" s="1"/>
  <c r="F11276" i="56" s="1"/>
  <c r="F11277" i="56" s="1"/>
  <c r="F11278" i="56" s="1"/>
  <c r="F11279" i="56" s="1"/>
  <c r="F11280" i="56" s="1"/>
  <c r="F11281" i="56" s="1"/>
  <c r="F11282" i="56" s="1"/>
  <c r="F11283" i="56" s="1"/>
  <c r="F11284" i="56" s="1"/>
  <c r="F11285" i="56" s="1"/>
  <c r="F11286" i="56" s="1"/>
  <c r="F11287" i="56" s="1"/>
  <c r="F11288" i="56" s="1"/>
  <c r="F11289" i="56" s="1"/>
  <c r="F11290" i="56" s="1"/>
  <c r="F11291" i="56" s="1"/>
  <c r="F11292" i="56" s="1"/>
  <c r="F11293" i="56" s="1"/>
  <c r="F11294" i="56" s="1"/>
  <c r="F11295" i="56" s="1"/>
  <c r="F11296" i="56" s="1"/>
  <c r="F11297" i="56" s="1"/>
  <c r="F11298" i="56" s="1"/>
  <c r="F11299" i="56" s="1"/>
  <c r="F11300" i="56" s="1"/>
  <c r="F11301" i="56" s="1"/>
  <c r="F11302" i="56" s="1"/>
  <c r="F11303" i="56" s="1"/>
  <c r="F11304" i="56" s="1"/>
  <c r="F11305" i="56" s="1"/>
  <c r="F11306" i="56" s="1"/>
  <c r="F11307" i="56" s="1"/>
  <c r="F11308" i="56" s="1"/>
  <c r="F11309" i="56" s="1"/>
  <c r="F11310" i="56" s="1"/>
  <c r="F11311" i="56" s="1"/>
  <c r="F11312" i="56" s="1"/>
  <c r="F11313" i="56" s="1"/>
  <c r="F11314" i="56" s="1"/>
  <c r="F11315" i="56" s="1"/>
  <c r="F11316" i="56" s="1"/>
  <c r="F11317" i="56" s="1"/>
  <c r="F11318" i="56" s="1"/>
  <c r="F11319" i="56" s="1"/>
  <c r="F11320" i="56" s="1"/>
  <c r="F11321" i="56" s="1"/>
  <c r="F11322" i="56" s="1"/>
  <c r="F11323" i="56" s="1"/>
  <c r="F11324" i="56" s="1"/>
  <c r="F11325" i="56" s="1"/>
  <c r="F11326" i="56" s="1"/>
  <c r="F11327" i="56" s="1"/>
  <c r="F11328" i="56" s="1"/>
  <c r="F11329" i="56" s="1"/>
  <c r="F11330" i="56" s="1"/>
  <c r="F11331" i="56" s="1"/>
  <c r="F11332" i="56" s="1"/>
  <c r="F11333" i="56" s="1"/>
  <c r="F11334" i="56" s="1"/>
  <c r="F11335" i="56" s="1"/>
  <c r="F11336" i="56" s="1"/>
  <c r="F11337" i="56" s="1"/>
  <c r="F11338" i="56" s="1"/>
  <c r="F11339" i="56" s="1"/>
  <c r="F11340" i="56" s="1"/>
  <c r="F11341" i="56" s="1"/>
  <c r="F11342" i="56" s="1"/>
  <c r="F11343" i="56" s="1"/>
  <c r="F11344" i="56" s="1"/>
  <c r="F11345" i="56" s="1"/>
  <c r="F11346" i="56" s="1"/>
  <c r="F11347" i="56" s="1"/>
  <c r="F11348" i="56" s="1"/>
  <c r="F11349" i="56" s="1"/>
  <c r="F11350" i="56" s="1"/>
  <c r="F11351" i="56" s="1"/>
  <c r="F11352" i="56" s="1"/>
  <c r="F11353" i="56" s="1"/>
  <c r="F11354" i="56" s="1"/>
  <c r="F11355" i="56" s="1"/>
  <c r="F11356" i="56" s="1"/>
  <c r="F11357" i="56" s="1"/>
  <c r="F11358" i="56" s="1"/>
  <c r="F11359" i="56" s="1"/>
  <c r="F11360" i="56" s="1"/>
  <c r="F11361" i="56" s="1"/>
  <c r="F11362" i="56" s="1"/>
  <c r="F11363" i="56" s="1"/>
  <c r="F11364" i="56" s="1"/>
  <c r="F11365" i="56" s="1"/>
  <c r="F11366" i="56" s="1"/>
  <c r="F11367" i="56" s="1"/>
  <c r="F11368" i="56" s="1"/>
  <c r="F11369" i="56" s="1"/>
  <c r="F11370" i="56" s="1"/>
  <c r="F11371" i="56" s="1"/>
  <c r="F11372" i="56" s="1"/>
  <c r="F11373" i="56" s="1"/>
  <c r="F11374" i="56" s="1"/>
  <c r="F11375" i="56" s="1"/>
  <c r="F11376" i="56" s="1"/>
  <c r="F11377" i="56" s="1"/>
  <c r="F11378" i="56" s="1"/>
  <c r="F11379" i="56" s="1"/>
  <c r="F11380" i="56" s="1"/>
  <c r="F11381" i="56" s="1"/>
  <c r="F11382" i="56" s="1"/>
  <c r="F11383" i="56" s="1"/>
  <c r="F11384" i="56" s="1"/>
  <c r="F11385" i="56" s="1"/>
  <c r="F11386" i="56" s="1"/>
  <c r="F11387" i="56" s="1"/>
  <c r="F11388" i="56" s="1"/>
  <c r="F11389" i="56" s="1"/>
  <c r="F11390" i="56" s="1"/>
  <c r="F11391" i="56" s="1"/>
  <c r="F11392" i="56" s="1"/>
  <c r="F11393" i="56" s="1"/>
  <c r="F11394" i="56" s="1"/>
  <c r="F11395" i="56" s="1"/>
  <c r="F11396" i="56" s="1"/>
  <c r="F11397" i="56" s="1"/>
  <c r="F11398" i="56" s="1"/>
  <c r="F11399" i="56" s="1"/>
  <c r="F11400" i="56" s="1"/>
  <c r="F11401" i="56" s="1"/>
  <c r="F11402" i="56" s="1"/>
  <c r="F11403" i="56" s="1"/>
  <c r="F11404" i="56" s="1"/>
  <c r="F11405" i="56" s="1"/>
  <c r="F11406" i="56" s="1"/>
  <c r="F11407" i="56" s="1"/>
  <c r="F11408" i="56" s="1"/>
  <c r="F11409" i="56" s="1"/>
  <c r="F11410" i="56" s="1"/>
  <c r="F11411" i="56" s="1"/>
  <c r="F11412" i="56" s="1"/>
  <c r="F11413" i="56" s="1"/>
  <c r="F11414" i="56" s="1"/>
  <c r="F11415" i="56" s="1"/>
  <c r="F11416" i="56" s="1"/>
  <c r="F11417" i="56" s="1"/>
  <c r="F11418" i="56" s="1"/>
  <c r="F11419" i="56" s="1"/>
  <c r="F11420" i="56" s="1"/>
  <c r="F11421" i="56" s="1"/>
  <c r="F11422" i="56" s="1"/>
  <c r="F11423" i="56" s="1"/>
  <c r="F11424" i="56" s="1"/>
  <c r="F11425" i="56" s="1"/>
  <c r="F11426" i="56" s="1"/>
  <c r="F11427" i="56" s="1"/>
  <c r="F11428" i="56" s="1"/>
  <c r="F11429" i="56" s="1"/>
  <c r="F11430" i="56" s="1"/>
  <c r="F11431" i="56" s="1"/>
  <c r="F11432" i="56" s="1"/>
  <c r="F11433" i="56" s="1"/>
  <c r="F11434" i="56" s="1"/>
  <c r="F11435" i="56" s="1"/>
  <c r="F11436" i="56" s="1"/>
  <c r="F11437" i="56" s="1"/>
  <c r="F11438" i="56" s="1"/>
  <c r="F11439" i="56" s="1"/>
  <c r="F11440" i="56" s="1"/>
  <c r="F11441" i="56" s="1"/>
  <c r="F11442" i="56" s="1"/>
  <c r="F11443" i="56" s="1"/>
  <c r="F11444" i="56" s="1"/>
  <c r="F11445" i="56" s="1"/>
  <c r="F11446" i="56" s="1"/>
  <c r="F11447" i="56" s="1"/>
  <c r="F11448" i="56" s="1"/>
  <c r="F11449" i="56" s="1"/>
  <c r="F11450" i="56" s="1"/>
  <c r="F11451" i="56" s="1"/>
  <c r="F11452" i="56" s="1"/>
  <c r="F11453" i="56" s="1"/>
  <c r="F11454" i="56" s="1"/>
  <c r="F11455" i="56" s="1"/>
  <c r="F11456" i="56" s="1"/>
  <c r="F11457" i="56" s="1"/>
  <c r="F11458" i="56" s="1"/>
  <c r="F11459" i="56" s="1"/>
  <c r="F11460" i="56" s="1"/>
  <c r="F11461" i="56" s="1"/>
  <c r="F11462" i="56" s="1"/>
  <c r="F11463" i="56" s="1"/>
  <c r="F11464" i="56" s="1"/>
  <c r="F11465" i="56" s="1"/>
  <c r="F11466" i="56" s="1"/>
  <c r="F11467" i="56" s="1"/>
  <c r="F11468" i="56" s="1"/>
  <c r="F11469" i="56" s="1"/>
  <c r="F11470" i="56" s="1"/>
  <c r="F11471" i="56" s="1"/>
  <c r="F11472" i="56" s="1"/>
  <c r="F11473" i="56" s="1"/>
  <c r="F11474" i="56" s="1"/>
  <c r="F11475" i="56" s="1"/>
  <c r="F11476" i="56" s="1"/>
  <c r="F11477" i="56" s="1"/>
  <c r="F11478" i="56" s="1"/>
  <c r="F11479" i="56" s="1"/>
  <c r="F11480" i="56" s="1"/>
  <c r="F11481" i="56" s="1"/>
  <c r="F11482" i="56" s="1"/>
  <c r="F11483" i="56" s="1"/>
  <c r="F11484" i="56" s="1"/>
  <c r="F11485" i="56" s="1"/>
  <c r="F11486" i="56" s="1"/>
  <c r="F11487" i="56" s="1"/>
  <c r="F11488" i="56" s="1"/>
  <c r="F11489" i="56" s="1"/>
  <c r="F11490" i="56" s="1"/>
  <c r="F11491" i="56" s="1"/>
  <c r="F11492" i="56" s="1"/>
  <c r="F11493" i="56" s="1"/>
  <c r="F11494" i="56" s="1"/>
  <c r="F11495" i="56" s="1"/>
  <c r="F11496" i="56" s="1"/>
  <c r="F11497" i="56" s="1"/>
  <c r="F11498" i="56" s="1"/>
  <c r="F11499" i="56" s="1"/>
  <c r="F11500" i="56" s="1"/>
  <c r="F11501" i="56" s="1"/>
  <c r="F11502" i="56" s="1"/>
  <c r="F11503" i="56" s="1"/>
  <c r="F11504" i="56" s="1"/>
  <c r="F11505" i="56" s="1"/>
  <c r="F11506" i="56" s="1"/>
  <c r="F11507" i="56" s="1"/>
  <c r="F11508" i="56" s="1"/>
  <c r="F11509" i="56" s="1"/>
  <c r="F11510" i="56" s="1"/>
  <c r="F11511" i="56" s="1"/>
  <c r="F11512" i="56" s="1"/>
  <c r="F11513" i="56" s="1"/>
  <c r="F11514" i="56" s="1"/>
  <c r="F11515" i="56" s="1"/>
  <c r="F11516" i="56" s="1"/>
  <c r="F11517" i="56" s="1"/>
  <c r="F11518" i="56" s="1"/>
  <c r="F11519" i="56" s="1"/>
  <c r="F11520" i="56" s="1"/>
  <c r="F11521" i="56" s="1"/>
  <c r="F11522" i="56" s="1"/>
  <c r="F11523" i="56" s="1"/>
  <c r="F11524" i="56" s="1"/>
  <c r="F11525" i="56" s="1"/>
  <c r="F11526" i="56" s="1"/>
  <c r="F11527" i="56" s="1"/>
  <c r="F11528" i="56" s="1"/>
  <c r="F11529" i="56" s="1"/>
  <c r="F11530" i="56" s="1"/>
  <c r="F11531" i="56" s="1"/>
  <c r="F11532" i="56" s="1"/>
  <c r="F11533" i="56" s="1"/>
  <c r="F11534" i="56" s="1"/>
  <c r="F11535" i="56" s="1"/>
  <c r="F11536" i="56" s="1"/>
  <c r="F11537" i="56" s="1"/>
  <c r="F11538" i="56" s="1"/>
  <c r="F11539" i="56" s="1"/>
  <c r="F11540" i="56" s="1"/>
  <c r="F11541" i="56" s="1"/>
  <c r="F11542" i="56" s="1"/>
  <c r="F11543" i="56" s="1"/>
  <c r="F11544" i="56" s="1"/>
  <c r="F11545" i="56" s="1"/>
  <c r="F11546" i="56" s="1"/>
  <c r="F11547" i="56" s="1"/>
  <c r="F11548" i="56" s="1"/>
  <c r="F11549" i="56" s="1"/>
  <c r="F11550" i="56" s="1"/>
  <c r="F11551" i="56" s="1"/>
  <c r="F11552" i="56" s="1"/>
  <c r="F11553" i="56" s="1"/>
  <c r="F11554" i="56" s="1"/>
  <c r="F11555" i="56" s="1"/>
  <c r="F11556" i="56" s="1"/>
  <c r="F11557" i="56" s="1"/>
  <c r="F11558" i="56" s="1"/>
  <c r="F11559" i="56" s="1"/>
  <c r="F11560" i="56" s="1"/>
  <c r="F11561" i="56" s="1"/>
  <c r="F11562" i="56" s="1"/>
  <c r="F11563" i="56" s="1"/>
  <c r="F11564" i="56" s="1"/>
  <c r="F11565" i="56" s="1"/>
  <c r="F11566" i="56" s="1"/>
  <c r="F11567" i="56" s="1"/>
  <c r="F11568" i="56" s="1"/>
  <c r="F11569" i="56" s="1"/>
  <c r="F11570" i="56" s="1"/>
  <c r="F11571" i="56" s="1"/>
  <c r="F11572" i="56" s="1"/>
  <c r="F11573" i="56" s="1"/>
  <c r="F11574" i="56" s="1"/>
  <c r="F11575" i="56" s="1"/>
  <c r="F11576" i="56" s="1"/>
  <c r="F11577" i="56" s="1"/>
  <c r="F11578" i="56" s="1"/>
  <c r="F11579" i="56" s="1"/>
  <c r="F11580" i="56" s="1"/>
  <c r="F11581" i="56" s="1"/>
  <c r="F11582" i="56" s="1"/>
  <c r="F11583" i="56" s="1"/>
  <c r="F11584" i="56" s="1"/>
  <c r="F11585" i="56" s="1"/>
  <c r="F11586" i="56" s="1"/>
  <c r="F11587" i="56" s="1"/>
  <c r="F11588" i="56" s="1"/>
  <c r="F11589" i="56" s="1"/>
  <c r="F11590" i="56" s="1"/>
  <c r="F11591" i="56" s="1"/>
  <c r="F11592" i="56" s="1"/>
  <c r="F11593" i="56" s="1"/>
  <c r="F11594" i="56" s="1"/>
  <c r="F11595" i="56" s="1"/>
  <c r="F11596" i="56" s="1"/>
  <c r="F11597" i="56" s="1"/>
  <c r="F11598" i="56" s="1"/>
  <c r="J10633" i="56"/>
  <c r="F4408" i="56"/>
  <c r="F4409" i="56" s="1"/>
  <c r="F4410" i="56"/>
  <c r="F4411" i="56" s="1"/>
  <c r="F4412" i="56" s="1"/>
  <c r="F4413" i="56" s="1"/>
  <c r="F4414" i="56" s="1"/>
  <c r="F4415" i="56" s="1"/>
  <c r="F4416" i="56" s="1"/>
  <c r="F4417" i="56" s="1"/>
  <c r="F4418" i="56" s="1"/>
  <c r="F4419" i="56" s="1"/>
  <c r="F4420" i="56" s="1"/>
  <c r="F4421" i="56" s="1"/>
  <c r="F4422" i="56" s="1"/>
  <c r="F4423" i="56" s="1"/>
  <c r="F4424" i="56" s="1"/>
  <c r="F4425" i="56" s="1"/>
  <c r="F4426" i="56" s="1"/>
  <c r="F4427" i="56" s="1"/>
  <c r="F4428" i="56" s="1"/>
  <c r="F4429" i="56" s="1"/>
  <c r="F4430" i="56" s="1"/>
  <c r="F4431" i="56" s="1"/>
  <c r="F4432" i="56" s="1"/>
  <c r="F4433" i="56" s="1"/>
  <c r="F4434" i="56" s="1"/>
  <c r="F4435" i="56" s="1"/>
  <c r="F4436" i="56" s="1"/>
  <c r="F4437" i="56" s="1"/>
  <c r="F4438" i="56" s="1"/>
  <c r="F4439" i="56" s="1"/>
  <c r="F4440" i="56" s="1"/>
  <c r="F4441" i="56" s="1"/>
  <c r="F4442" i="56" s="1"/>
  <c r="F4443" i="56" s="1"/>
  <c r="F4444" i="56" s="1"/>
  <c r="F4445" i="56" s="1"/>
  <c r="F4446" i="56" s="1"/>
  <c r="F4447" i="56" s="1"/>
  <c r="F4448" i="56" s="1"/>
  <c r="F4449" i="56" s="1"/>
  <c r="F4450" i="56" s="1"/>
  <c r="F4451" i="56" s="1"/>
  <c r="F4452" i="56" s="1"/>
  <c r="F4453" i="56" s="1"/>
  <c r="F4454" i="56" s="1"/>
  <c r="F4455" i="56" s="1"/>
  <c r="F4456" i="56" s="1"/>
  <c r="F4457" i="56" s="1"/>
  <c r="F4458" i="56" s="1"/>
  <c r="F4459" i="56" s="1"/>
  <c r="F4460" i="56" s="1"/>
  <c r="F4461" i="56" s="1"/>
  <c r="F4462" i="56" s="1"/>
  <c r="F4463" i="56" s="1"/>
  <c r="F4464" i="56" s="1"/>
  <c r="F4465" i="56" s="1"/>
  <c r="F4466" i="56" s="1"/>
  <c r="F4467" i="56" s="1"/>
  <c r="F4468" i="56" s="1"/>
  <c r="F4469" i="56" s="1"/>
  <c r="F4470" i="56" s="1"/>
  <c r="F4471" i="56" s="1"/>
  <c r="F4472" i="56" s="1"/>
  <c r="F4473" i="56" s="1"/>
  <c r="F4474" i="56" s="1"/>
  <c r="F4475" i="56" s="1"/>
  <c r="F4476" i="56" s="1"/>
  <c r="F4477" i="56" s="1"/>
  <c r="F4478" i="56" s="1"/>
  <c r="F4479" i="56" s="1"/>
  <c r="F4480" i="56" s="1"/>
  <c r="F4481" i="56" s="1"/>
  <c r="F4482" i="56" s="1"/>
  <c r="F4483" i="56" s="1"/>
  <c r="F4484" i="56" s="1"/>
  <c r="F4485" i="56" s="1"/>
  <c r="F4486" i="56" s="1"/>
  <c r="F4487" i="56" s="1"/>
  <c r="F4488" i="56" s="1"/>
  <c r="F4489" i="56" s="1"/>
  <c r="F4490" i="56" s="1"/>
  <c r="F4491" i="56" s="1"/>
  <c r="F4492" i="56" s="1"/>
  <c r="F4493" i="56" s="1"/>
  <c r="F4494" i="56" s="1"/>
  <c r="F4495" i="56" s="1"/>
  <c r="F4496" i="56" s="1"/>
  <c r="F4497" i="56" s="1"/>
  <c r="F4498" i="56" s="1"/>
  <c r="F4499" i="56" s="1"/>
  <c r="F4500" i="56" s="1"/>
  <c r="F4501" i="56" s="1"/>
  <c r="F4502" i="56" s="1"/>
  <c r="F4503" i="56" s="1"/>
  <c r="F4504" i="56" s="1"/>
  <c r="F4505" i="56" s="1"/>
  <c r="F4506" i="56" s="1"/>
  <c r="F4507" i="56" s="1"/>
  <c r="F4508" i="56" s="1"/>
  <c r="F4509" i="56" s="1"/>
  <c r="F4510" i="56" s="1"/>
  <c r="F4511" i="56" s="1"/>
  <c r="F4512" i="56" s="1"/>
  <c r="F4513" i="56" s="1"/>
  <c r="F4514" i="56" s="1"/>
  <c r="F4515" i="56" s="1"/>
  <c r="F4516" i="56" s="1"/>
  <c r="F4517" i="56" s="1"/>
  <c r="F4518" i="56" s="1"/>
  <c r="F4519" i="56" s="1"/>
  <c r="F4520" i="56" s="1"/>
  <c r="F4521" i="56" s="1"/>
  <c r="F4522" i="56" s="1"/>
  <c r="F4523" i="56" s="1"/>
  <c r="F4524" i="56" s="1"/>
  <c r="F4525" i="56" s="1"/>
  <c r="F4526" i="56" s="1"/>
  <c r="F4527" i="56" s="1"/>
  <c r="F4528" i="56" s="1"/>
  <c r="F4529" i="56" s="1"/>
  <c r="F4530" i="56" s="1"/>
  <c r="F4531" i="56" s="1"/>
  <c r="F4532" i="56" s="1"/>
  <c r="F4533" i="56" s="1"/>
  <c r="F4534" i="56" s="1"/>
  <c r="F4535" i="56" s="1"/>
  <c r="F4536" i="56" s="1"/>
  <c r="F4537" i="56" s="1"/>
  <c r="F4538" i="56" s="1"/>
  <c r="F4539" i="56" s="1"/>
  <c r="F4540" i="56" s="1"/>
  <c r="F4541" i="56" s="1"/>
  <c r="F4542" i="56" s="1"/>
  <c r="F4543" i="56" s="1"/>
  <c r="F4544" i="56" s="1"/>
  <c r="F4545" i="56" s="1"/>
  <c r="F4546" i="56" s="1"/>
  <c r="F4547" i="56" s="1"/>
  <c r="F4548" i="56" s="1"/>
  <c r="F4549" i="56" s="1"/>
  <c r="F4550" i="56" s="1"/>
  <c r="F4551" i="56" s="1"/>
  <c r="F4552" i="56" s="1"/>
  <c r="F4553" i="56" s="1"/>
  <c r="F4554" i="56" s="1"/>
  <c r="F4555" i="56" s="1"/>
  <c r="F4556" i="56" s="1"/>
  <c r="F4557" i="56" s="1"/>
  <c r="F4558" i="56" s="1"/>
  <c r="F4559" i="56" s="1"/>
  <c r="F4560" i="56" s="1"/>
  <c r="F4561" i="56" s="1"/>
  <c r="F4562" i="56" s="1"/>
  <c r="F4563" i="56" s="1"/>
  <c r="F4564" i="56" s="1"/>
  <c r="F4565" i="56" s="1"/>
  <c r="F4566" i="56" s="1"/>
  <c r="F4567" i="56" s="1"/>
  <c r="F4568" i="56" s="1"/>
  <c r="F4569" i="56" s="1"/>
  <c r="F4570" i="56" s="1"/>
  <c r="F4571" i="56" s="1"/>
  <c r="F4572" i="56" s="1"/>
  <c r="F4573" i="56" s="1"/>
  <c r="F4574" i="56" s="1"/>
  <c r="F4575" i="56" s="1"/>
  <c r="F4576" i="56" s="1"/>
  <c r="F4577" i="56" s="1"/>
  <c r="F4578" i="56" s="1"/>
  <c r="F4579" i="56" s="1"/>
  <c r="F4580" i="56" s="1"/>
  <c r="F4581" i="56" s="1"/>
  <c r="F4582" i="56" s="1"/>
  <c r="F4583" i="56" s="1"/>
  <c r="F4584" i="56" s="1"/>
  <c r="F4585" i="56" s="1"/>
  <c r="F4586" i="56" s="1"/>
  <c r="F4587" i="56" s="1"/>
  <c r="F4588" i="56" s="1"/>
  <c r="F4589" i="56" s="1"/>
  <c r="F4590" i="56" s="1"/>
  <c r="F4591" i="56" s="1"/>
  <c r="F4592" i="56" s="1"/>
  <c r="F4593" i="56" s="1"/>
  <c r="F4594" i="56" s="1"/>
  <c r="F4595" i="56" s="1"/>
  <c r="F4596" i="56" s="1"/>
  <c r="F4597" i="56" s="1"/>
  <c r="F4598" i="56" s="1"/>
  <c r="F4599" i="56" s="1"/>
  <c r="F4600" i="56" s="1"/>
  <c r="F4601" i="56" s="1"/>
  <c r="F4602" i="56" s="1"/>
  <c r="F4603" i="56" s="1"/>
  <c r="F4604" i="56" s="1"/>
  <c r="F4605" i="56" s="1"/>
  <c r="F4606" i="56" s="1"/>
  <c r="F4607" i="56" s="1"/>
  <c r="F4608" i="56" s="1"/>
  <c r="F4609" i="56" s="1"/>
  <c r="F4610" i="56" s="1"/>
  <c r="F4611" i="56" s="1"/>
  <c r="F4612" i="56" s="1"/>
  <c r="F4613" i="56" s="1"/>
  <c r="F4614" i="56" s="1"/>
  <c r="F4615" i="56" s="1"/>
  <c r="F4616" i="56" s="1"/>
  <c r="F4617" i="56" s="1"/>
  <c r="F4618" i="56" s="1"/>
  <c r="F4619" i="56" s="1"/>
  <c r="F4620" i="56" s="1"/>
  <c r="F4621" i="56" s="1"/>
  <c r="F4622" i="56" s="1"/>
  <c r="F4623" i="56" s="1"/>
  <c r="F4624" i="56" s="1"/>
  <c r="F4625" i="56" s="1"/>
  <c r="F4626" i="56" s="1"/>
  <c r="F4627" i="56" s="1"/>
  <c r="F4628" i="56" s="1"/>
  <c r="F4629" i="56" s="1"/>
  <c r="F4630" i="56" s="1"/>
  <c r="F4631" i="56" s="1"/>
  <c r="F4632" i="56" s="1"/>
  <c r="F4633" i="56" s="1"/>
  <c r="F4634" i="56" s="1"/>
  <c r="F4635" i="56" s="1"/>
  <c r="F4636" i="56" s="1"/>
  <c r="F4637" i="56" s="1"/>
  <c r="F4638" i="56" s="1"/>
  <c r="F4639" i="56" s="1"/>
  <c r="F4640" i="56" s="1"/>
  <c r="F4641" i="56" s="1"/>
  <c r="F4642" i="56" s="1"/>
  <c r="F4643" i="56" s="1"/>
  <c r="F4644" i="56" s="1"/>
  <c r="F4645" i="56" s="1"/>
  <c r="F4646" i="56" s="1"/>
  <c r="F4647" i="56" s="1"/>
  <c r="F4648" i="56" s="1"/>
  <c r="F4649" i="56" s="1"/>
  <c r="F4650" i="56" s="1"/>
  <c r="F4651" i="56" s="1"/>
  <c r="F4652" i="56" s="1"/>
  <c r="F4653" i="56" s="1"/>
  <c r="F4654" i="56" s="1"/>
  <c r="F4655" i="56" s="1"/>
  <c r="F4656" i="56" s="1"/>
  <c r="F4657" i="56" s="1"/>
  <c r="F4658" i="56" s="1"/>
  <c r="F4659" i="56" s="1"/>
  <c r="F4660" i="56" s="1"/>
  <c r="F4661" i="56" s="1"/>
  <c r="F4662" i="56" s="1"/>
  <c r="F4663" i="56" s="1"/>
  <c r="F4664" i="56" s="1"/>
  <c r="F4665" i="56" s="1"/>
  <c r="F4666" i="56" s="1"/>
  <c r="F4667" i="56" s="1"/>
  <c r="F4668" i="56" s="1"/>
  <c r="F4669" i="56" s="1"/>
  <c r="F4670" i="56" s="1"/>
  <c r="F4671" i="56" s="1"/>
  <c r="F4672" i="56" s="1"/>
  <c r="F4673" i="56" s="1"/>
  <c r="F4674" i="56" s="1"/>
  <c r="F4675" i="56" s="1"/>
  <c r="F4676" i="56" s="1"/>
  <c r="F4677" i="56" s="1"/>
  <c r="F4678" i="56" s="1"/>
  <c r="F4679" i="56" s="1"/>
  <c r="F4680" i="56" s="1"/>
  <c r="F4681" i="56" s="1"/>
  <c r="F4682" i="56" s="1"/>
  <c r="F4683" i="56" s="1"/>
  <c r="F4684" i="56" s="1"/>
  <c r="F4685" i="56" s="1"/>
  <c r="F4686" i="56" s="1"/>
  <c r="F4687" i="56" s="1"/>
  <c r="F4688" i="56" s="1"/>
  <c r="F4689" i="56" s="1"/>
  <c r="F4690" i="56" s="1"/>
  <c r="F4691" i="56" s="1"/>
  <c r="F4692" i="56" s="1"/>
  <c r="F4693" i="56" s="1"/>
  <c r="F4694" i="56" s="1"/>
  <c r="F4695" i="56" s="1"/>
  <c r="F4696" i="56" s="1"/>
  <c r="F4697" i="56" s="1"/>
  <c r="F4698" i="56" s="1"/>
  <c r="F4699" i="56" s="1"/>
  <c r="F4700" i="56" s="1"/>
  <c r="F4701" i="56" s="1"/>
  <c r="F4702" i="56" s="1"/>
  <c r="F4703" i="56" s="1"/>
  <c r="F4704" i="56" s="1"/>
  <c r="F4705" i="56" s="1"/>
  <c r="F4706" i="56" s="1"/>
  <c r="F4707" i="56" s="1"/>
  <c r="F4708" i="56" s="1"/>
  <c r="F4709" i="56" s="1"/>
  <c r="F4710" i="56" s="1"/>
  <c r="F4711" i="56" s="1"/>
  <c r="F4712" i="56" s="1"/>
  <c r="F4713" i="56" s="1"/>
  <c r="F4714" i="56" s="1"/>
  <c r="F4715" i="56" s="1"/>
  <c r="F4716" i="56" s="1"/>
  <c r="F4717" i="56" s="1"/>
  <c r="F4718" i="56" s="1"/>
  <c r="F4719" i="56" s="1"/>
  <c r="F4720" i="56" s="1"/>
  <c r="F4721" i="56" s="1"/>
  <c r="F4722" i="56" s="1"/>
  <c r="F4723" i="56" s="1"/>
  <c r="F4724" i="56" s="1"/>
  <c r="F4725" i="56" s="1"/>
  <c r="F4726" i="56" s="1"/>
  <c r="F4727" i="56" s="1"/>
  <c r="F4728" i="56" s="1"/>
  <c r="F4729" i="56" s="1"/>
  <c r="F4730" i="56" s="1"/>
  <c r="F4731" i="56" s="1"/>
  <c r="F4732" i="56" s="1"/>
  <c r="F4733" i="56" s="1"/>
  <c r="F4734" i="56" s="1"/>
  <c r="F4735" i="56" s="1"/>
  <c r="F4736" i="56" s="1"/>
  <c r="F4737" i="56" s="1"/>
  <c r="F4738" i="56" s="1"/>
  <c r="F4739" i="56" s="1"/>
  <c r="F4740" i="56" s="1"/>
  <c r="F4741" i="56" s="1"/>
  <c r="F4742" i="56" s="1"/>
  <c r="F4743" i="56" s="1"/>
  <c r="F4744" i="56" s="1"/>
  <c r="F4745" i="56" s="1"/>
  <c r="F4746" i="56" s="1"/>
  <c r="F4747" i="56" s="1"/>
  <c r="F4748" i="56" s="1"/>
  <c r="F4749" i="56" s="1"/>
  <c r="F4750" i="56" s="1"/>
  <c r="F4751" i="56" s="1"/>
  <c r="F4752" i="56" s="1"/>
  <c r="F4753" i="56" s="1"/>
  <c r="F4754" i="56" s="1"/>
  <c r="F4755" i="56" s="1"/>
  <c r="F4756" i="56" s="1"/>
  <c r="F4757" i="56" s="1"/>
  <c r="F4758" i="56" s="1"/>
  <c r="F4759" i="56" s="1"/>
  <c r="F4760" i="56" s="1"/>
  <c r="F4761" i="56" s="1"/>
  <c r="F4762" i="56" s="1"/>
  <c r="F4763" i="56" s="1"/>
  <c r="F4764" i="56" s="1"/>
  <c r="F4765" i="56" s="1"/>
  <c r="F4766" i="56" s="1"/>
  <c r="F4767" i="56" s="1"/>
  <c r="F4768" i="56" s="1"/>
  <c r="F4769" i="56" s="1"/>
  <c r="F4770" i="56" s="1"/>
  <c r="F4771" i="56" s="1"/>
  <c r="F4772" i="56" s="1"/>
  <c r="F4773" i="56" s="1"/>
  <c r="F4774" i="56" s="1"/>
  <c r="F4775" i="56" s="1"/>
  <c r="F4776" i="56" s="1"/>
  <c r="F4777" i="56" s="1"/>
  <c r="F4778" i="56" s="1"/>
  <c r="F4779" i="56" s="1"/>
  <c r="F4780" i="56" s="1"/>
  <c r="F4781" i="56" s="1"/>
  <c r="F4782" i="56" s="1"/>
  <c r="F4783" i="56" s="1"/>
  <c r="F4784" i="56" s="1"/>
  <c r="F4785" i="56" s="1"/>
  <c r="F4786" i="56" s="1"/>
  <c r="F4787" i="56" s="1"/>
  <c r="F4788" i="56" s="1"/>
  <c r="F4789" i="56" s="1"/>
  <c r="F4790" i="56" s="1"/>
  <c r="F4791" i="56" s="1"/>
  <c r="F4792" i="56" s="1"/>
  <c r="F4793" i="56" s="1"/>
  <c r="F4794" i="56" s="1"/>
  <c r="F4795" i="56" s="1"/>
  <c r="F4796" i="56" s="1"/>
  <c r="F4797" i="56" s="1"/>
  <c r="F4798" i="56" s="1"/>
  <c r="F4799" i="56" s="1"/>
  <c r="F4800" i="56" s="1"/>
  <c r="F4801" i="56" s="1"/>
  <c r="F4802" i="56" s="1"/>
  <c r="F4803" i="56" s="1"/>
  <c r="F4804" i="56" s="1"/>
  <c r="F4805" i="56" s="1"/>
  <c r="F4806" i="56" s="1"/>
  <c r="F4807" i="56" s="1"/>
  <c r="F4808" i="56" s="1"/>
  <c r="F4809" i="56" s="1"/>
  <c r="F4810" i="56" s="1"/>
  <c r="F4811" i="56" s="1"/>
  <c r="F4812" i="56" s="1"/>
  <c r="F4813" i="56" s="1"/>
  <c r="F4814" i="56" s="1"/>
  <c r="F4815" i="56" s="1"/>
  <c r="F4816" i="56" s="1"/>
  <c r="F4817" i="56" s="1"/>
  <c r="F4818" i="56" s="1"/>
  <c r="F4819" i="56" s="1"/>
  <c r="F4820" i="56" s="1"/>
  <c r="F4821" i="56" s="1"/>
  <c r="F4822" i="56" s="1"/>
  <c r="F4823" i="56" s="1"/>
  <c r="F4824" i="56" s="1"/>
  <c r="F4825" i="56" s="1"/>
  <c r="F4826" i="56" s="1"/>
  <c r="F4827" i="56" s="1"/>
  <c r="F4828" i="56" s="1"/>
  <c r="F4829" i="56" s="1"/>
  <c r="F4830" i="56" s="1"/>
  <c r="F4831" i="56" s="1"/>
  <c r="F4832" i="56" s="1"/>
  <c r="F4833" i="56" s="1"/>
  <c r="F4834" i="56" s="1"/>
  <c r="F4835" i="56" s="1"/>
  <c r="F4836" i="56" s="1"/>
  <c r="F4837" i="56" s="1"/>
  <c r="F4838" i="56" s="1"/>
  <c r="F4839" i="56" s="1"/>
  <c r="F4840" i="56" s="1"/>
  <c r="F4841" i="56" s="1"/>
  <c r="F4842" i="56" s="1"/>
  <c r="F4843" i="56" s="1"/>
  <c r="F4844" i="56" s="1"/>
  <c r="F4845" i="56" s="1"/>
  <c r="F4846" i="56" s="1"/>
  <c r="F4847" i="56" s="1"/>
  <c r="F4848" i="56" s="1"/>
  <c r="F4849" i="56" s="1"/>
  <c r="F4850" i="56" s="1"/>
  <c r="F4851" i="56" s="1"/>
  <c r="F4852" i="56" s="1"/>
  <c r="F4853" i="56" s="1"/>
  <c r="F4854" i="56" s="1"/>
  <c r="F4855" i="56" s="1"/>
  <c r="F4856" i="56" s="1"/>
  <c r="F4857" i="56" s="1"/>
  <c r="F4858" i="56" s="1"/>
  <c r="F4859" i="56" s="1"/>
  <c r="F4860" i="56" s="1"/>
  <c r="F4861" i="56" s="1"/>
  <c r="F4862" i="56" s="1"/>
  <c r="F4863" i="56" s="1"/>
  <c r="F4864" i="56" s="1"/>
  <c r="F4865" i="56" s="1"/>
  <c r="F4866" i="56" s="1"/>
  <c r="F4867" i="56" s="1"/>
  <c r="F4868" i="56" s="1"/>
  <c r="F4869" i="56" s="1"/>
  <c r="F4870" i="56" s="1"/>
  <c r="F4871" i="56" s="1"/>
  <c r="F4872" i="56" s="1"/>
  <c r="F4873" i="56" s="1"/>
  <c r="F4874" i="56" s="1"/>
  <c r="F4875" i="56" s="1"/>
  <c r="F4876" i="56" s="1"/>
  <c r="F4877" i="56" s="1"/>
  <c r="F4878" i="56" s="1"/>
  <c r="F4879" i="56" s="1"/>
  <c r="F4880" i="56" s="1"/>
  <c r="F4881" i="56" s="1"/>
  <c r="F4882" i="56" s="1"/>
  <c r="F4883" i="56" s="1"/>
  <c r="F4884" i="56" s="1"/>
  <c r="F4885" i="56" s="1"/>
  <c r="F4886" i="56" s="1"/>
  <c r="F4887" i="56" s="1"/>
  <c r="F4888" i="56" s="1"/>
  <c r="F4889" i="56" s="1"/>
  <c r="F4890" i="56" s="1"/>
  <c r="F4891" i="56" s="1"/>
  <c r="F4892" i="56" s="1"/>
  <c r="F4893" i="56" s="1"/>
  <c r="F4894" i="56" s="1"/>
  <c r="F4895" i="56" s="1"/>
  <c r="F4896" i="56" s="1"/>
  <c r="F4897" i="56" s="1"/>
  <c r="F4898" i="56" s="1"/>
  <c r="F4899" i="56" s="1"/>
  <c r="F4900" i="56" s="1"/>
  <c r="F4901" i="56" s="1"/>
  <c r="F4902" i="56" s="1"/>
  <c r="F4903" i="56" s="1"/>
  <c r="F4904" i="56" s="1"/>
  <c r="F4905" i="56" s="1"/>
  <c r="F4906" i="56" s="1"/>
  <c r="F4907" i="56" s="1"/>
  <c r="F4908" i="56" s="1"/>
  <c r="F4909" i="56" s="1"/>
  <c r="F4910" i="56" s="1"/>
  <c r="F4911" i="56" s="1"/>
  <c r="F4912" i="56" s="1"/>
  <c r="F4913" i="56" s="1"/>
  <c r="F4914" i="56" s="1"/>
  <c r="F4915" i="56" s="1"/>
  <c r="F4916" i="56" s="1"/>
  <c r="F4917" i="56" s="1"/>
  <c r="F4918" i="56" s="1"/>
  <c r="F4919" i="56" s="1"/>
  <c r="F4920" i="56" s="1"/>
  <c r="F4921" i="56" s="1"/>
  <c r="F4922" i="56" s="1"/>
  <c r="F4923" i="56" s="1"/>
  <c r="F4924" i="56" s="1"/>
  <c r="F4925" i="56" s="1"/>
  <c r="F4926" i="56" s="1"/>
  <c r="F4927" i="56" s="1"/>
  <c r="F4928" i="56" s="1"/>
  <c r="F4929" i="56" s="1"/>
  <c r="F4930" i="56" s="1"/>
  <c r="F4931" i="56" s="1"/>
  <c r="F4932" i="56" s="1"/>
  <c r="F4933" i="56" s="1"/>
  <c r="F4934" i="56" s="1"/>
  <c r="F4935" i="56" s="1"/>
  <c r="F4936" i="56" s="1"/>
  <c r="F4937" i="56" s="1"/>
  <c r="F4938" i="56" s="1"/>
  <c r="F4939" i="56" s="1"/>
  <c r="F4940" i="56" s="1"/>
  <c r="F4941" i="56" s="1"/>
  <c r="F4942" i="56" s="1"/>
  <c r="F4943" i="56" s="1"/>
  <c r="F4944" i="56" s="1"/>
  <c r="F4945" i="56" s="1"/>
  <c r="F4946" i="56" s="1"/>
  <c r="F4947" i="56" s="1"/>
  <c r="F4948" i="56" s="1"/>
  <c r="F4949" i="56" s="1"/>
  <c r="F4950" i="56" s="1"/>
  <c r="F4951" i="56" s="1"/>
  <c r="F4952" i="56" s="1"/>
  <c r="F4953" i="56" s="1"/>
  <c r="F4954" i="56" s="1"/>
  <c r="F4955" i="56" s="1"/>
  <c r="F4956" i="56" s="1"/>
  <c r="F4957" i="56" s="1"/>
  <c r="F4958" i="56" s="1"/>
  <c r="F4959" i="56" s="1"/>
  <c r="F4960" i="56" s="1"/>
  <c r="F4961" i="56" s="1"/>
  <c r="F4962" i="56" s="1"/>
  <c r="F4963" i="56" s="1"/>
  <c r="F4964" i="56" s="1"/>
  <c r="F4965" i="56" s="1"/>
  <c r="F4966" i="56" s="1"/>
  <c r="F4967" i="56" s="1"/>
  <c r="F4968" i="56" s="1"/>
  <c r="F4969" i="56" s="1"/>
  <c r="F4970" i="56" s="1"/>
  <c r="F4971" i="56" s="1"/>
  <c r="F4972" i="56" s="1"/>
  <c r="F4973" i="56" s="1"/>
  <c r="F4974" i="56" s="1"/>
  <c r="F4975" i="56" s="1"/>
  <c r="F4976" i="56" s="1"/>
  <c r="F4977" i="56" s="1"/>
  <c r="F4978" i="56" s="1"/>
  <c r="F4979" i="56" s="1"/>
  <c r="F4980" i="56" s="1"/>
  <c r="F4981" i="56" s="1"/>
  <c r="F4982" i="56" s="1"/>
  <c r="F4983" i="56" s="1"/>
  <c r="F4984" i="56" s="1"/>
  <c r="F4985" i="56" s="1"/>
  <c r="F4986" i="56" s="1"/>
  <c r="F4987" i="56" s="1"/>
  <c r="F4988" i="56" s="1"/>
  <c r="F4989" i="56" s="1"/>
  <c r="F4990" i="56" s="1"/>
  <c r="F4991" i="56" s="1"/>
  <c r="F4992" i="56" s="1"/>
  <c r="F4993" i="56" s="1"/>
  <c r="F4994" i="56" s="1"/>
  <c r="F4995" i="56" s="1"/>
  <c r="F4996" i="56" s="1"/>
  <c r="F4997" i="56" s="1"/>
  <c r="F4998" i="56" s="1"/>
  <c r="F4999" i="56" s="1"/>
  <c r="F5000" i="56" s="1"/>
  <c r="F5001" i="56" s="1"/>
  <c r="F5002" i="56" s="1"/>
  <c r="F5003" i="56" s="1"/>
  <c r="F5004" i="56" s="1"/>
  <c r="F5005" i="56" s="1"/>
  <c r="F5006" i="56" s="1"/>
  <c r="F5007" i="56" s="1"/>
  <c r="F5008" i="56" s="1"/>
  <c r="F5009" i="56" s="1"/>
  <c r="F5010" i="56" s="1"/>
  <c r="F5011" i="56" s="1"/>
  <c r="F5012" i="56" s="1"/>
  <c r="F5013" i="56" s="1"/>
  <c r="F5014" i="56" s="1"/>
  <c r="F5015" i="56" s="1"/>
  <c r="F5016" i="56" s="1"/>
  <c r="F5017" i="56" s="1"/>
  <c r="F5018" i="56" s="1"/>
  <c r="F5019" i="56" s="1"/>
  <c r="F5020" i="56" s="1"/>
  <c r="F5021" i="56" s="1"/>
  <c r="F5022" i="56" s="1"/>
  <c r="F5023" i="56" s="1"/>
  <c r="F5024" i="56" s="1"/>
  <c r="F5025" i="56" s="1"/>
  <c r="F5026" i="56" s="1"/>
  <c r="F5027" i="56" s="1"/>
  <c r="F5028" i="56" s="1"/>
  <c r="F5029" i="56" s="1"/>
  <c r="F5030" i="56" s="1"/>
  <c r="F5031" i="56" s="1"/>
  <c r="F5032" i="56" s="1"/>
  <c r="F5033" i="56" s="1"/>
  <c r="F5034" i="56" s="1"/>
  <c r="F5035" i="56" s="1"/>
  <c r="F5036" i="56" s="1"/>
  <c r="F5037" i="56" s="1"/>
  <c r="F5038" i="56" s="1"/>
  <c r="F5039" i="56" s="1"/>
  <c r="F5040" i="56" s="1"/>
  <c r="F5041" i="56" s="1"/>
  <c r="F5042" i="56" s="1"/>
  <c r="F5043" i="56" s="1"/>
  <c r="F5044" i="56" s="1"/>
  <c r="F5045" i="56" s="1"/>
  <c r="F5046" i="56" s="1"/>
  <c r="F5047" i="56" s="1"/>
  <c r="F5048" i="56" s="1"/>
  <c r="F5049" i="56" s="1"/>
  <c r="F5050" i="56" s="1"/>
  <c r="F5051" i="56" s="1"/>
  <c r="F5052" i="56" s="1"/>
  <c r="F5053" i="56" s="1"/>
  <c r="F5054" i="56" s="1"/>
  <c r="F5055" i="56" s="1"/>
  <c r="F5056" i="56" s="1"/>
  <c r="F5057" i="56" s="1"/>
  <c r="F5058" i="56" s="1"/>
  <c r="F5059" i="56" s="1"/>
  <c r="F5060" i="56" s="1"/>
  <c r="F5061" i="56" s="1"/>
  <c r="F5062" i="56" s="1"/>
  <c r="F5063" i="56" s="1"/>
  <c r="F5064" i="56" s="1"/>
  <c r="F5065" i="56" s="1"/>
  <c r="F5066" i="56" s="1"/>
  <c r="F5067" i="56" s="1"/>
  <c r="F5068" i="56" s="1"/>
  <c r="F5069" i="56" s="1"/>
  <c r="F5070" i="56" s="1"/>
  <c r="F5071" i="56" s="1"/>
  <c r="F5072" i="56" s="1"/>
  <c r="F5073" i="56" s="1"/>
  <c r="F5074" i="56" s="1"/>
  <c r="F5075" i="56" s="1"/>
  <c r="F5076" i="56" s="1"/>
  <c r="F5077" i="56" s="1"/>
  <c r="F5078" i="56" s="1"/>
  <c r="F5079" i="56" s="1"/>
  <c r="F5080" i="56" s="1"/>
  <c r="F5081" i="56" s="1"/>
  <c r="F5082" i="56" s="1"/>
  <c r="F5083" i="56" s="1"/>
  <c r="F5084" i="56" s="1"/>
  <c r="F5085" i="56" s="1"/>
  <c r="F5086" i="56" s="1"/>
  <c r="F5087" i="56" s="1"/>
  <c r="F5088" i="56" s="1"/>
  <c r="F5089" i="56" s="1"/>
  <c r="F5090" i="56" s="1"/>
  <c r="F5091" i="56" s="1"/>
  <c r="F5092" i="56" s="1"/>
  <c r="F5093" i="56" s="1"/>
  <c r="F5094" i="56" s="1"/>
  <c r="F5095" i="56" s="1"/>
  <c r="F5096" i="56" s="1"/>
  <c r="F5097" i="56" s="1"/>
  <c r="F5098" i="56" s="1"/>
  <c r="F5099" i="56" s="1"/>
  <c r="F5100" i="56" s="1"/>
  <c r="F5101" i="56" s="1"/>
  <c r="F5102" i="56" s="1"/>
  <c r="F5103" i="56" s="1"/>
  <c r="F5104" i="56" s="1"/>
  <c r="F5105" i="56" s="1"/>
  <c r="F5106" i="56" s="1"/>
  <c r="F5107" i="56" s="1"/>
  <c r="F5108" i="56" s="1"/>
  <c r="F5109" i="56" s="1"/>
  <c r="F5110" i="56" s="1"/>
  <c r="F5111" i="56" s="1"/>
  <c r="F5112" i="56" s="1"/>
  <c r="F5113" i="56" s="1"/>
  <c r="F5114" i="56" s="1"/>
  <c r="F5115" i="56" s="1"/>
  <c r="F5116" i="56" s="1"/>
  <c r="F5117" i="56" s="1"/>
  <c r="F5118" i="56" s="1"/>
  <c r="F5119" i="56" s="1"/>
  <c r="F5120" i="56" s="1"/>
  <c r="F5121" i="56" s="1"/>
  <c r="F5122" i="56" s="1"/>
  <c r="F5123" i="56" s="1"/>
  <c r="F5124" i="56" s="1"/>
  <c r="F5125" i="56" s="1"/>
  <c r="F5126" i="56" s="1"/>
  <c r="F5127" i="56" s="1"/>
  <c r="F5128" i="56" s="1"/>
  <c r="F5129" i="56" s="1"/>
  <c r="F5130" i="56" s="1"/>
  <c r="F5131" i="56" s="1"/>
  <c r="F5132" i="56" s="1"/>
  <c r="F5133" i="56" s="1"/>
  <c r="F5134" i="56" s="1"/>
  <c r="F5135" i="56" s="1"/>
  <c r="F5136" i="56" s="1"/>
  <c r="F5137" i="56" s="1"/>
  <c r="F5138" i="56" s="1"/>
  <c r="F5139" i="56" s="1"/>
  <c r="F5140" i="56" s="1"/>
  <c r="F5141" i="56" s="1"/>
  <c r="F5142" i="56" s="1"/>
  <c r="F5143" i="56" s="1"/>
  <c r="F5144" i="56" s="1"/>
  <c r="F5145" i="56" s="1"/>
  <c r="F5146" i="56" s="1"/>
  <c r="F5147" i="56" s="1"/>
  <c r="F5148" i="56" s="1"/>
  <c r="F5149" i="56" s="1"/>
  <c r="F5150" i="56" s="1"/>
  <c r="F5151" i="56" s="1"/>
  <c r="F5152" i="56" s="1"/>
  <c r="F5153" i="56" s="1"/>
  <c r="F5154" i="56" s="1"/>
  <c r="F5155" i="56" s="1"/>
  <c r="F5156" i="56" s="1"/>
  <c r="F5157" i="56" s="1"/>
  <c r="F5158" i="56" s="1"/>
  <c r="F5159" i="56" s="1"/>
  <c r="F5160" i="56" s="1"/>
  <c r="F5161" i="56" s="1"/>
  <c r="F5162" i="56" s="1"/>
  <c r="F5163" i="56" s="1"/>
  <c r="F5164" i="56" s="1"/>
  <c r="F5165" i="56" s="1"/>
  <c r="F5166" i="56" s="1"/>
  <c r="F5167" i="56" s="1"/>
  <c r="F5168" i="56" s="1"/>
  <c r="F5169" i="56" s="1"/>
  <c r="F5170" i="56" s="1"/>
  <c r="F5171" i="56" s="1"/>
  <c r="F5172" i="56" s="1"/>
  <c r="F5173" i="56" s="1"/>
  <c r="F5174" i="56" s="1"/>
  <c r="F5175" i="56" s="1"/>
  <c r="F5176" i="56" s="1"/>
  <c r="F5177" i="56" s="1"/>
  <c r="F5178" i="56" s="1"/>
  <c r="F5179" i="56" s="1"/>
  <c r="F5180" i="56" s="1"/>
  <c r="F5181" i="56" s="1"/>
  <c r="F5182" i="56" s="1"/>
  <c r="F5183" i="56" s="1"/>
  <c r="F5184" i="56" s="1"/>
  <c r="F5185" i="56" s="1"/>
  <c r="F5186" i="56" s="1"/>
  <c r="F5187" i="56" s="1"/>
  <c r="F5188" i="56" s="1"/>
  <c r="F5189" i="56" s="1"/>
  <c r="F5190" i="56" s="1"/>
  <c r="F5191" i="56" s="1"/>
  <c r="F5192" i="56" s="1"/>
  <c r="F5193" i="56" s="1"/>
  <c r="F5194" i="56" s="1"/>
  <c r="F5195" i="56" s="1"/>
  <c r="F5196" i="56" s="1"/>
  <c r="F5197" i="56" s="1"/>
  <c r="F5198" i="56" s="1"/>
  <c r="F5199" i="56" s="1"/>
  <c r="F5200" i="56" s="1"/>
  <c r="F5201" i="56" s="1"/>
  <c r="F5202" i="56" s="1"/>
  <c r="F5203" i="56" s="1"/>
  <c r="F5204" i="56" s="1"/>
  <c r="F5205" i="56" s="1"/>
  <c r="F5206" i="56" s="1"/>
  <c r="F5207" i="56" s="1"/>
  <c r="F5208" i="56" s="1"/>
  <c r="F5209" i="56" s="1"/>
  <c r="F5210" i="56" s="1"/>
  <c r="F5211" i="56" s="1"/>
  <c r="F5212" i="56" s="1"/>
  <c r="F5213" i="56" s="1"/>
  <c r="F5214" i="56" s="1"/>
  <c r="F5215" i="56" s="1"/>
  <c r="F5216" i="56" s="1"/>
  <c r="F5217" i="56" s="1"/>
  <c r="F5218" i="56" s="1"/>
  <c r="F5219" i="56" s="1"/>
  <c r="F5220" i="56" s="1"/>
  <c r="F5221" i="56" s="1"/>
  <c r="F5222" i="56" s="1"/>
  <c r="F5223" i="56" s="1"/>
  <c r="F5224" i="56" s="1"/>
  <c r="F5225" i="56" s="1"/>
  <c r="F5226" i="56" s="1"/>
  <c r="F5227" i="56" s="1"/>
  <c r="F5228" i="56" s="1"/>
  <c r="F5229" i="56" s="1"/>
  <c r="F5230" i="56" s="1"/>
  <c r="F5231" i="56" s="1"/>
  <c r="F5232" i="56" s="1"/>
  <c r="F5233" i="56" s="1"/>
  <c r="F5234" i="56" s="1"/>
  <c r="F5235" i="56" s="1"/>
  <c r="F5236" i="56" s="1"/>
  <c r="F5237" i="56" s="1"/>
  <c r="F5238" i="56" s="1"/>
  <c r="F5239" i="56" s="1"/>
  <c r="F5240" i="56" s="1"/>
  <c r="F5241" i="56" s="1"/>
  <c r="F5242" i="56" s="1"/>
  <c r="F5243" i="56" s="1"/>
  <c r="F5244" i="56" s="1"/>
  <c r="F5245" i="56" s="1"/>
  <c r="F5246" i="56" s="1"/>
  <c r="F5247" i="56" s="1"/>
  <c r="F5248" i="56" s="1"/>
  <c r="F5249" i="56" s="1"/>
  <c r="F5250" i="56" s="1"/>
  <c r="F5251" i="56" s="1"/>
  <c r="F5252" i="56" s="1"/>
  <c r="F5253" i="56" s="1"/>
  <c r="F5254" i="56" s="1"/>
  <c r="F5255" i="56" s="1"/>
  <c r="F5256" i="56" s="1"/>
  <c r="F5257" i="56" s="1"/>
  <c r="F5258" i="56" s="1"/>
  <c r="F5259" i="56" s="1"/>
  <c r="F5260" i="56" s="1"/>
  <c r="F5261" i="56" s="1"/>
  <c r="F5262" i="56" s="1"/>
  <c r="F5263" i="56" s="1"/>
  <c r="F5264" i="56" s="1"/>
  <c r="F5265" i="56" s="1"/>
  <c r="F5266" i="56" s="1"/>
  <c r="F5267" i="56" s="1"/>
  <c r="F5268" i="56" s="1"/>
  <c r="F5269" i="56" s="1"/>
  <c r="F5270" i="56" s="1"/>
  <c r="F5271" i="56" s="1"/>
  <c r="F5272" i="56" s="1"/>
  <c r="F5273" i="56" s="1"/>
  <c r="F5274" i="56" s="1"/>
  <c r="F5275" i="56" s="1"/>
  <c r="F5276" i="56" s="1"/>
  <c r="F5277" i="56" s="1"/>
  <c r="F5278" i="56" s="1"/>
  <c r="F5279" i="56" s="1"/>
  <c r="F5280" i="56" s="1"/>
  <c r="F5281" i="56" s="1"/>
  <c r="F5282" i="56" s="1"/>
  <c r="F5283" i="56" s="1"/>
  <c r="F5284" i="56" s="1"/>
  <c r="F5285" i="56" s="1"/>
  <c r="F5286" i="56" s="1"/>
  <c r="F5287" i="56" s="1"/>
  <c r="F5288" i="56" s="1"/>
  <c r="F5289" i="56" s="1"/>
  <c r="F5290" i="56" s="1"/>
  <c r="F5291" i="56" s="1"/>
  <c r="F5292" i="56" s="1"/>
  <c r="F5293" i="56" s="1"/>
  <c r="F5294" i="56" s="1"/>
  <c r="F5295" i="56" s="1"/>
  <c r="F5296" i="56" s="1"/>
  <c r="F5297" i="56" s="1"/>
  <c r="F5298" i="56" s="1"/>
  <c r="F5299" i="56" s="1"/>
  <c r="F5300" i="56" s="1"/>
  <c r="F5301" i="56" s="1"/>
  <c r="F5302" i="56" s="1"/>
  <c r="F5303" i="56" s="1"/>
  <c r="F5304" i="56" s="1"/>
  <c r="F5305" i="56" s="1"/>
  <c r="F5306" i="56" s="1"/>
  <c r="F5307" i="56" s="1"/>
  <c r="F5308" i="56" s="1"/>
  <c r="F5309" i="56" s="1"/>
  <c r="F5310" i="56" s="1"/>
  <c r="F5311" i="56" s="1"/>
  <c r="F5312" i="56" s="1"/>
  <c r="F5313" i="56" s="1"/>
  <c r="F5314" i="56" s="1"/>
  <c r="F5315" i="56" s="1"/>
  <c r="F5316" i="56" s="1"/>
  <c r="F5317" i="56" s="1"/>
  <c r="F5318" i="56" s="1"/>
  <c r="F5319" i="56" s="1"/>
  <c r="F5320" i="56" s="1"/>
  <c r="F5321" i="56" s="1"/>
  <c r="F5322" i="56" s="1"/>
  <c r="F5323" i="56" s="1"/>
  <c r="F5324" i="56" s="1"/>
  <c r="F5325" i="56" s="1"/>
  <c r="F5326" i="56" s="1"/>
  <c r="F5327" i="56" s="1"/>
  <c r="F5328" i="56" s="1"/>
  <c r="F5329" i="56" s="1"/>
  <c r="F5330" i="56" s="1"/>
  <c r="F5331" i="56" s="1"/>
  <c r="F5332" i="56" s="1"/>
  <c r="F5333" i="56" s="1"/>
  <c r="F5334" i="56" s="1"/>
  <c r="F5335" i="56" s="1"/>
  <c r="F5336" i="56" s="1"/>
  <c r="F5337" i="56" s="1"/>
  <c r="F5338" i="56" s="1"/>
  <c r="F5339" i="56" s="1"/>
  <c r="F5340" i="56" s="1"/>
  <c r="F5341" i="56" s="1"/>
  <c r="F5342" i="56" s="1"/>
  <c r="F5343" i="56" s="1"/>
  <c r="F5344" i="56" s="1"/>
  <c r="F5345" i="56" s="1"/>
  <c r="F5346" i="56" s="1"/>
  <c r="F5347" i="56" s="1"/>
  <c r="F5348" i="56" s="1"/>
  <c r="F5349" i="56" s="1"/>
  <c r="F5350" i="56" s="1"/>
  <c r="F5351" i="56" s="1"/>
  <c r="F5352" i="56" s="1"/>
  <c r="F5353" i="56" s="1"/>
  <c r="F5354" i="56" s="1"/>
  <c r="F5355" i="56" s="1"/>
  <c r="F5356" i="56" s="1"/>
  <c r="F5357" i="56" s="1"/>
  <c r="F5358" i="56" s="1"/>
  <c r="F5359" i="56" s="1"/>
  <c r="F5360" i="56" s="1"/>
  <c r="F5361" i="56" s="1"/>
  <c r="F5362" i="56" s="1"/>
  <c r="F5363" i="56" s="1"/>
  <c r="F5364" i="56" s="1"/>
  <c r="F5365" i="56" s="1"/>
  <c r="F5366" i="56" s="1"/>
  <c r="F5367" i="56" s="1"/>
  <c r="F5368" i="56" s="1"/>
  <c r="F5369" i="56" s="1"/>
  <c r="F5370" i="56" s="1"/>
  <c r="F5371" i="56" s="1"/>
  <c r="F5372" i="56" s="1"/>
  <c r="F5373" i="56" s="1"/>
  <c r="F5374" i="56" s="1"/>
  <c r="F5375" i="56" s="1"/>
  <c r="F5376" i="56" s="1"/>
  <c r="F5377" i="56" s="1"/>
  <c r="F5378" i="56" s="1"/>
  <c r="F5379" i="56" s="1"/>
  <c r="F5380" i="56" s="1"/>
  <c r="F5381" i="56" s="1"/>
  <c r="F5382" i="56" s="1"/>
  <c r="F5383" i="56" s="1"/>
  <c r="F5384" i="56" s="1"/>
  <c r="F5385" i="56" s="1"/>
  <c r="F5386" i="56" s="1"/>
  <c r="F5387" i="56" s="1"/>
  <c r="F5388" i="56" s="1"/>
  <c r="F5389" i="56" s="1"/>
  <c r="F5390" i="56" s="1"/>
  <c r="F5391" i="56" s="1"/>
  <c r="F5392" i="56" s="1"/>
  <c r="F5393" i="56" s="1"/>
  <c r="F5394" i="56" s="1"/>
  <c r="F5395" i="56" s="1"/>
  <c r="F5396" i="56" s="1"/>
  <c r="F5397" i="56" s="1"/>
  <c r="F5398" i="56" s="1"/>
  <c r="F5399" i="56" s="1"/>
  <c r="F5400" i="56" s="1"/>
  <c r="F5401" i="56" s="1"/>
  <c r="F5402" i="56" s="1"/>
  <c r="F5403" i="56" s="1"/>
  <c r="F5404" i="56" s="1"/>
  <c r="F5405" i="56" s="1"/>
  <c r="F5406" i="56" s="1"/>
  <c r="F5407" i="56" s="1"/>
  <c r="F5408" i="56" s="1"/>
  <c r="F5409" i="56" s="1"/>
  <c r="F5410" i="56" s="1"/>
  <c r="F5411" i="56" s="1"/>
  <c r="F5412" i="56" s="1"/>
  <c r="F5413" i="56" s="1"/>
  <c r="F5414" i="56" s="1"/>
  <c r="F5415" i="56" s="1"/>
  <c r="F5416" i="56" s="1"/>
  <c r="F5417" i="56" s="1"/>
  <c r="F5418" i="56" s="1"/>
  <c r="F5419" i="56" s="1"/>
  <c r="F5420" i="56" s="1"/>
  <c r="F5421" i="56" s="1"/>
  <c r="F5422" i="56" s="1"/>
  <c r="F5423" i="56" s="1"/>
  <c r="F5424" i="56" s="1"/>
  <c r="F5425" i="56" s="1"/>
  <c r="F5426" i="56" s="1"/>
  <c r="F5427" i="56" s="1"/>
  <c r="F5428" i="56" s="1"/>
  <c r="F5429" i="56" s="1"/>
  <c r="F5430" i="56" s="1"/>
  <c r="F5431" i="56" s="1"/>
  <c r="F5432" i="56" s="1"/>
  <c r="F5433" i="56" s="1"/>
  <c r="F5434" i="56" s="1"/>
  <c r="F5435" i="56" s="1"/>
  <c r="F5436" i="56" s="1"/>
  <c r="F5437" i="56" s="1"/>
  <c r="F5438" i="56" s="1"/>
  <c r="F5439" i="56" s="1"/>
  <c r="F5440" i="56" s="1"/>
  <c r="F5441" i="56" s="1"/>
  <c r="F5442" i="56" s="1"/>
  <c r="F5443" i="56" s="1"/>
  <c r="F5444" i="56" s="1"/>
  <c r="F5445" i="56" s="1"/>
  <c r="F5446" i="56" s="1"/>
  <c r="F5447" i="56" s="1"/>
  <c r="F5448" i="56" s="1"/>
  <c r="F5449" i="56" s="1"/>
  <c r="F5450" i="56" s="1"/>
  <c r="F5451" i="56" s="1"/>
  <c r="F5452" i="56" s="1"/>
  <c r="F5453" i="56" s="1"/>
  <c r="F5454" i="56" s="1"/>
  <c r="F5455" i="56" s="1"/>
  <c r="F5456" i="56" s="1"/>
  <c r="F5457" i="56" s="1"/>
  <c r="F5458" i="56" s="1"/>
  <c r="F5459" i="56" s="1"/>
  <c r="F5460" i="56" s="1"/>
  <c r="F5461" i="56" s="1"/>
  <c r="F5462" i="56" s="1"/>
  <c r="F5463" i="56" s="1"/>
  <c r="F5464" i="56" s="1"/>
  <c r="F5465" i="56" s="1"/>
  <c r="F5466" i="56" s="1"/>
  <c r="F5467" i="56" s="1"/>
  <c r="F5468" i="56" s="1"/>
  <c r="F5469" i="56" s="1"/>
  <c r="F5470" i="56" s="1"/>
  <c r="F5471" i="56" s="1"/>
  <c r="F5472" i="56" s="1"/>
  <c r="F5473" i="56" s="1"/>
  <c r="F5474" i="56" s="1"/>
  <c r="F5475" i="56" s="1"/>
  <c r="F5476" i="56" s="1"/>
  <c r="F5477" i="56" s="1"/>
  <c r="F5478" i="56" s="1"/>
  <c r="F5479" i="56" s="1"/>
  <c r="F5480" i="56" s="1"/>
  <c r="F5481" i="56" s="1"/>
  <c r="F5482" i="56" s="1"/>
  <c r="F5483" i="56" s="1"/>
  <c r="F5484" i="56" s="1"/>
  <c r="F5485" i="56" s="1"/>
  <c r="F5486" i="56" s="1"/>
  <c r="F5487" i="56" s="1"/>
  <c r="F5488" i="56" s="1"/>
  <c r="F5489" i="56" s="1"/>
  <c r="F5490" i="56" s="1"/>
  <c r="F5491" i="56" s="1"/>
  <c r="F5492" i="56" s="1"/>
  <c r="F5493" i="56" s="1"/>
  <c r="F5494" i="56" s="1"/>
  <c r="F5495" i="56" s="1"/>
  <c r="F5496" i="56" s="1"/>
  <c r="F5497" i="56" s="1"/>
  <c r="F5498" i="56" s="1"/>
  <c r="F5499" i="56" s="1"/>
  <c r="F5500" i="56" s="1"/>
  <c r="F5501" i="56" s="1"/>
  <c r="F5502" i="56" s="1"/>
  <c r="F5503" i="56" s="1"/>
  <c r="F5504" i="56" s="1"/>
  <c r="F5505" i="56" s="1"/>
  <c r="F5506" i="56" s="1"/>
  <c r="F5507" i="56" s="1"/>
  <c r="F5508" i="56" s="1"/>
  <c r="F5509" i="56" s="1"/>
  <c r="F5510" i="56" s="1"/>
  <c r="F5511" i="56" s="1"/>
  <c r="F5512" i="56" s="1"/>
  <c r="F5513" i="56" s="1"/>
  <c r="F5514" i="56" s="1"/>
  <c r="F5515" i="56" s="1"/>
  <c r="F5516" i="56" s="1"/>
  <c r="F5517" i="56" s="1"/>
  <c r="F5518" i="56" s="1"/>
  <c r="F5519" i="56" s="1"/>
  <c r="F5520" i="56" s="1"/>
  <c r="F5521" i="56" s="1"/>
  <c r="F5522" i="56" s="1"/>
  <c r="F5523" i="56" s="1"/>
  <c r="F5524" i="56" s="1"/>
  <c r="F5525" i="56" s="1"/>
  <c r="F5526" i="56" s="1"/>
  <c r="F5527" i="56" s="1"/>
  <c r="F5528" i="56" s="1"/>
  <c r="F5529" i="56" s="1"/>
  <c r="F5530" i="56" s="1"/>
  <c r="F5531" i="56" s="1"/>
  <c r="F5532" i="56" s="1"/>
  <c r="F5533" i="56" s="1"/>
  <c r="F5534" i="56" s="1"/>
  <c r="F5535" i="56" s="1"/>
  <c r="F5536" i="56" s="1"/>
  <c r="F5537" i="56" s="1"/>
  <c r="F5538" i="56" s="1"/>
  <c r="F5539" i="56" s="1"/>
  <c r="F5540" i="56" s="1"/>
  <c r="F5541" i="56" s="1"/>
  <c r="F5542" i="56" s="1"/>
  <c r="F5543" i="56" s="1"/>
  <c r="F5544" i="56" s="1"/>
  <c r="F5545" i="56" s="1"/>
  <c r="F5546" i="56" s="1"/>
  <c r="F5547" i="56" s="1"/>
  <c r="F5548" i="56" s="1"/>
  <c r="F5549" i="56" s="1"/>
  <c r="F5550" i="56" s="1"/>
  <c r="F5551" i="56" s="1"/>
  <c r="F5552" i="56" s="1"/>
  <c r="F5553" i="56" s="1"/>
  <c r="F5554" i="56" s="1"/>
  <c r="F5555" i="56" s="1"/>
  <c r="F5556" i="56" s="1"/>
  <c r="F5557" i="56" s="1"/>
  <c r="F5558" i="56" s="1"/>
  <c r="F5559" i="56" s="1"/>
  <c r="F5560" i="56" s="1"/>
  <c r="F5561" i="56" s="1"/>
  <c r="F5562" i="56" s="1"/>
  <c r="F5563" i="56" s="1"/>
  <c r="F5564" i="56" s="1"/>
  <c r="F5565" i="56" s="1"/>
  <c r="F5566" i="56" s="1"/>
  <c r="F5567" i="56" s="1"/>
  <c r="F5568" i="56" s="1"/>
  <c r="F5569" i="56" s="1"/>
  <c r="F5570" i="56" s="1"/>
  <c r="F5571" i="56" s="1"/>
  <c r="F5572" i="56" s="1"/>
  <c r="F5573" i="56" s="1"/>
  <c r="F5574" i="56" s="1"/>
  <c r="F5575" i="56" s="1"/>
  <c r="F5576" i="56" s="1"/>
  <c r="F5577" i="56" s="1"/>
  <c r="F5578" i="56" s="1"/>
  <c r="F5579" i="56" s="1"/>
  <c r="F5580" i="56" s="1"/>
  <c r="F5581" i="56" s="1"/>
  <c r="F5582" i="56" s="1"/>
  <c r="F5583" i="56" s="1"/>
  <c r="F5584" i="56" s="1"/>
  <c r="F5585" i="56" s="1"/>
  <c r="F5586" i="56" s="1"/>
  <c r="F5587" i="56" s="1"/>
  <c r="F5588" i="56" s="1"/>
  <c r="F5589" i="56" s="1"/>
  <c r="F5590" i="56" s="1"/>
  <c r="F5591" i="56" s="1"/>
  <c r="F5592" i="56" s="1"/>
  <c r="F5593" i="56" s="1"/>
  <c r="F5594" i="56" s="1"/>
  <c r="F5595" i="56" s="1"/>
  <c r="F5596" i="56" s="1"/>
  <c r="F5597" i="56" s="1"/>
  <c r="F5598" i="56" s="1"/>
  <c r="F5599" i="56" s="1"/>
  <c r="F5600" i="56" s="1"/>
  <c r="F5601" i="56" s="1"/>
  <c r="F5602" i="56" s="1"/>
  <c r="F5603" i="56" s="1"/>
  <c r="F5604" i="56" s="1"/>
  <c r="F5605" i="56" s="1"/>
  <c r="F5606" i="56" s="1"/>
  <c r="F5607" i="56" s="1"/>
  <c r="F5608" i="56" s="1"/>
  <c r="F5609" i="56" s="1"/>
  <c r="F5610" i="56" s="1"/>
  <c r="F5611" i="56" s="1"/>
  <c r="F5612" i="56" s="1"/>
  <c r="F5613" i="56" s="1"/>
  <c r="F5614" i="56" s="1"/>
  <c r="F5615" i="56" s="1"/>
  <c r="F5616" i="56" s="1"/>
  <c r="F5617" i="56" s="1"/>
  <c r="F5618" i="56" s="1"/>
  <c r="F5619" i="56" s="1"/>
  <c r="F5620" i="56" s="1"/>
  <c r="F5621" i="56" s="1"/>
  <c r="F5622" i="56" s="1"/>
  <c r="F5623" i="56" s="1"/>
  <c r="F5624" i="56" s="1"/>
  <c r="F5625" i="56" s="1"/>
  <c r="F5626" i="56" s="1"/>
  <c r="F5627" i="56" s="1"/>
  <c r="F5628" i="56" s="1"/>
  <c r="F5629" i="56" s="1"/>
  <c r="F5630" i="56" s="1"/>
  <c r="F5631" i="56" s="1"/>
  <c r="F5632" i="56" s="1"/>
  <c r="F5633" i="56" s="1"/>
  <c r="F5634" i="56" s="1"/>
  <c r="F5635" i="56" s="1"/>
  <c r="F5636" i="56" s="1"/>
  <c r="F5637" i="56" s="1"/>
  <c r="F5638" i="56" s="1"/>
  <c r="F5639" i="56" s="1"/>
  <c r="F5640" i="56" s="1"/>
  <c r="F5641" i="56" s="1"/>
  <c r="F5642" i="56" s="1"/>
  <c r="F5643" i="56" s="1"/>
  <c r="F5644" i="56" s="1"/>
  <c r="F5645" i="56" s="1"/>
  <c r="F5646" i="56" s="1"/>
  <c r="F5647" i="56" s="1"/>
  <c r="F5648" i="56" s="1"/>
  <c r="F5649" i="56" s="1"/>
  <c r="F5650" i="56" s="1"/>
  <c r="F5651" i="56" s="1"/>
  <c r="F5652" i="56" s="1"/>
  <c r="F5653" i="56" s="1"/>
  <c r="F5654" i="56" s="1"/>
  <c r="F5655" i="56" s="1"/>
  <c r="F5656" i="56" s="1"/>
  <c r="F5657" i="56" s="1"/>
  <c r="F5658" i="56" s="1"/>
  <c r="F5659" i="56" s="1"/>
  <c r="F5660" i="56" s="1"/>
  <c r="F5661" i="56" s="1"/>
  <c r="F5662" i="56" s="1"/>
  <c r="F5663" i="56" s="1"/>
  <c r="F5664" i="56" s="1"/>
  <c r="F5665" i="56" s="1"/>
  <c r="F5666" i="56" s="1"/>
  <c r="F5667" i="56" s="1"/>
  <c r="F5668" i="56" s="1"/>
  <c r="F5669" i="56" s="1"/>
  <c r="F5670" i="56" s="1"/>
  <c r="F5671" i="56" s="1"/>
  <c r="F5672" i="56" s="1"/>
  <c r="F5673" i="56" s="1"/>
  <c r="F5674" i="56" s="1"/>
  <c r="F5675" i="56" s="1"/>
  <c r="F5676" i="56" s="1"/>
  <c r="F5677" i="56" s="1"/>
  <c r="F5678" i="56" s="1"/>
  <c r="F5679" i="56" s="1"/>
  <c r="F5680" i="56" s="1"/>
  <c r="F5681" i="56" s="1"/>
  <c r="F5682" i="56" s="1"/>
  <c r="F5683" i="56" s="1"/>
  <c r="F5684" i="56" s="1"/>
  <c r="F5685" i="56" s="1"/>
  <c r="F5686" i="56" s="1"/>
  <c r="F5687" i="56" s="1"/>
  <c r="F5688" i="56" s="1"/>
  <c r="F5689" i="56" s="1"/>
  <c r="F5690" i="56" s="1"/>
  <c r="F5691" i="56" s="1"/>
  <c r="F5692" i="56" s="1"/>
  <c r="F5693" i="56" s="1"/>
  <c r="F5694" i="56" s="1"/>
  <c r="F5695" i="56" s="1"/>
  <c r="F5696" i="56" s="1"/>
  <c r="F5697" i="56" s="1"/>
  <c r="F5698" i="56" s="1"/>
  <c r="F5699" i="56" s="1"/>
  <c r="F5700" i="56" s="1"/>
  <c r="F5701" i="56" s="1"/>
  <c r="F5702" i="56" s="1"/>
  <c r="F5703" i="56" s="1"/>
  <c r="F5704" i="56" s="1"/>
  <c r="F5705" i="56" s="1"/>
  <c r="F5706" i="56" s="1"/>
  <c r="F5707" i="56" s="1"/>
  <c r="F5708" i="56" s="1"/>
  <c r="F5709" i="56" s="1"/>
  <c r="F5710" i="56" s="1"/>
  <c r="F5711" i="56" s="1"/>
  <c r="F5712" i="56" s="1"/>
  <c r="F5713" i="56" s="1"/>
  <c r="F5714" i="56" s="1"/>
  <c r="F5715" i="56" s="1"/>
  <c r="F5716" i="56" s="1"/>
  <c r="F5717" i="56" s="1"/>
  <c r="F5718" i="56" s="1"/>
  <c r="F5719" i="56" s="1"/>
  <c r="F5720" i="56" s="1"/>
  <c r="F5721" i="56" s="1"/>
  <c r="F5722" i="56" s="1"/>
  <c r="F5723" i="56" s="1"/>
  <c r="F5724" i="56" s="1"/>
  <c r="F5725" i="56" s="1"/>
  <c r="F5726" i="56" s="1"/>
  <c r="F5727" i="56" s="1"/>
  <c r="F5728" i="56" s="1"/>
  <c r="F5729" i="56" s="1"/>
  <c r="F5730" i="56" s="1"/>
  <c r="F5731" i="56" s="1"/>
  <c r="F5732" i="56" s="1"/>
  <c r="F5733" i="56" s="1"/>
  <c r="F5734" i="56" s="1"/>
  <c r="F5735" i="56" s="1"/>
  <c r="F5736" i="56" s="1"/>
  <c r="F5737" i="56" s="1"/>
  <c r="F5738" i="56" s="1"/>
  <c r="F5739" i="56" s="1"/>
  <c r="F5740" i="56" s="1"/>
  <c r="F5741" i="56" s="1"/>
  <c r="F5742" i="56" s="1"/>
  <c r="F5743" i="56" s="1"/>
  <c r="F5744" i="56" s="1"/>
  <c r="F5745" i="56" s="1"/>
  <c r="F5746" i="56" s="1"/>
  <c r="F5747" i="56" s="1"/>
  <c r="F5748" i="56" s="1"/>
  <c r="F5749" i="56" s="1"/>
  <c r="F5750" i="56" s="1"/>
  <c r="F5751" i="56" s="1"/>
  <c r="F5752" i="56" s="1"/>
  <c r="F5753" i="56" s="1"/>
  <c r="F5754" i="56" s="1"/>
  <c r="F5755" i="56" s="1"/>
  <c r="F5756" i="56" s="1"/>
  <c r="F5757" i="56" s="1"/>
  <c r="F5758" i="56" s="1"/>
  <c r="F5759" i="56" s="1"/>
  <c r="F5760" i="56" s="1"/>
  <c r="F5761" i="56" s="1"/>
  <c r="F5762" i="56" s="1"/>
  <c r="F5763" i="56" s="1"/>
  <c r="F5764" i="56" s="1"/>
  <c r="F5765" i="56" s="1"/>
  <c r="F5766" i="56" s="1"/>
  <c r="F5767" i="56" s="1"/>
  <c r="F5768" i="56" s="1"/>
  <c r="F5769" i="56" s="1"/>
  <c r="F5770" i="56" s="1"/>
  <c r="F5771" i="56" s="1"/>
  <c r="F5772" i="56" s="1"/>
  <c r="F5773" i="56" s="1"/>
  <c r="F5774" i="56" s="1"/>
  <c r="F5775" i="56" s="1"/>
  <c r="F5776" i="56" s="1"/>
  <c r="F5777" i="56" s="1"/>
  <c r="F5778" i="56" s="1"/>
  <c r="F5779" i="56" s="1"/>
  <c r="F5780" i="56" s="1"/>
  <c r="F5781" i="56" s="1"/>
  <c r="F5782" i="56" s="1"/>
  <c r="F5783" i="56" s="1"/>
  <c r="F5784" i="56" s="1"/>
  <c r="F5785" i="56" s="1"/>
  <c r="F5786" i="56" s="1"/>
  <c r="F5787" i="56" s="1"/>
  <c r="F5788" i="56" s="1"/>
  <c r="F5789" i="56" s="1"/>
  <c r="F5790" i="56" s="1"/>
  <c r="F5791" i="56" s="1"/>
  <c r="F5792" i="56" s="1"/>
  <c r="F5793" i="56" s="1"/>
  <c r="F5794" i="56" s="1"/>
  <c r="F5795" i="56" s="1"/>
  <c r="F5796" i="56" s="1"/>
  <c r="F5797" i="56" s="1"/>
  <c r="F5798" i="56" s="1"/>
  <c r="F5799" i="56" s="1"/>
  <c r="F5800" i="56" s="1"/>
  <c r="F5801" i="56" s="1"/>
  <c r="F5802" i="56" s="1"/>
  <c r="F5803" i="56" s="1"/>
  <c r="F5804" i="56" s="1"/>
  <c r="F5805" i="56" s="1"/>
  <c r="F5806" i="56" s="1"/>
  <c r="F5807" i="56" s="1"/>
  <c r="F5808" i="56" s="1"/>
  <c r="F5809" i="56" s="1"/>
  <c r="F5810" i="56" s="1"/>
  <c r="F5811" i="56" s="1"/>
  <c r="F5812" i="56" s="1"/>
  <c r="F5813" i="56" s="1"/>
  <c r="F5814" i="56" s="1"/>
  <c r="F5815" i="56" s="1"/>
  <c r="F5816" i="56" s="1"/>
  <c r="F5817" i="56" s="1"/>
  <c r="F5818" i="56" s="1"/>
  <c r="F5819" i="56" s="1"/>
  <c r="F5820" i="56" s="1"/>
  <c r="F5821" i="56" s="1"/>
  <c r="F5822" i="56" s="1"/>
  <c r="F5823" i="56" s="1"/>
  <c r="F5824" i="56" s="1"/>
  <c r="F5825" i="56" s="1"/>
  <c r="F5826" i="56" s="1"/>
  <c r="F5827" i="56" s="1"/>
  <c r="F5828" i="56" s="1"/>
  <c r="F5829" i="56" s="1"/>
  <c r="F5830" i="56" s="1"/>
  <c r="F5831" i="56" s="1"/>
  <c r="F5832" i="56" s="1"/>
  <c r="F5833" i="56" s="1"/>
  <c r="F5834" i="56" s="1"/>
  <c r="F5835" i="56" s="1"/>
  <c r="F5836" i="56" s="1"/>
  <c r="F5837" i="56" s="1"/>
  <c r="F5838" i="56" s="1"/>
  <c r="F5839" i="56" s="1"/>
  <c r="F5840" i="56" s="1"/>
  <c r="F5841" i="56" s="1"/>
  <c r="F5842" i="56" s="1"/>
  <c r="F5843" i="56" s="1"/>
  <c r="F5844" i="56" s="1"/>
  <c r="F5845" i="56" s="1"/>
  <c r="F5846" i="56" s="1"/>
  <c r="F5847" i="56" s="1"/>
  <c r="F5848" i="56" s="1"/>
  <c r="F5849" i="56" s="1"/>
  <c r="F5850" i="56" s="1"/>
  <c r="F5851" i="56" s="1"/>
  <c r="F5852" i="56" s="1"/>
  <c r="F5853" i="56" s="1"/>
  <c r="F5854" i="56" s="1"/>
  <c r="F5855" i="56" s="1"/>
  <c r="F5856" i="56" s="1"/>
  <c r="F5857" i="56" s="1"/>
  <c r="F5858" i="56" s="1"/>
  <c r="F5859" i="56" s="1"/>
  <c r="F5860" i="56" s="1"/>
  <c r="F5861" i="56" s="1"/>
  <c r="F5862" i="56" s="1"/>
  <c r="F5863" i="56" s="1"/>
  <c r="F5864" i="56" s="1"/>
  <c r="F5865" i="56" s="1"/>
  <c r="F5866" i="56" s="1"/>
  <c r="F5867" i="56" s="1"/>
  <c r="F5868" i="56" s="1"/>
  <c r="F5869" i="56" s="1"/>
  <c r="F5870" i="56" s="1"/>
  <c r="F5871" i="56" s="1"/>
  <c r="F5872" i="56" s="1"/>
  <c r="F5873" i="56" s="1"/>
  <c r="F5874" i="56" s="1"/>
  <c r="F5875" i="56" s="1"/>
  <c r="F5876" i="56" s="1"/>
  <c r="F5877" i="56" s="1"/>
  <c r="F5878" i="56" s="1"/>
  <c r="F5879" i="56" s="1"/>
  <c r="F5880" i="56" s="1"/>
  <c r="F5881" i="56" s="1"/>
  <c r="F5882" i="56" s="1"/>
  <c r="F5883" i="56" s="1"/>
  <c r="F5884" i="56" s="1"/>
  <c r="F5885" i="56" s="1"/>
  <c r="F5886" i="56" s="1"/>
  <c r="F5887" i="56" s="1"/>
  <c r="F5888" i="56" s="1"/>
  <c r="F5889" i="56" s="1"/>
  <c r="F5890" i="56" s="1"/>
  <c r="F5891" i="56" s="1"/>
  <c r="F5892" i="56" s="1"/>
  <c r="F5893" i="56" s="1"/>
  <c r="F5894" i="56" s="1"/>
  <c r="F5895" i="56" s="1"/>
  <c r="F5896" i="56" s="1"/>
  <c r="F5897" i="56" s="1"/>
  <c r="F5898" i="56" s="1"/>
  <c r="F5899" i="56" s="1"/>
  <c r="F5900" i="56" s="1"/>
  <c r="F5901" i="56" s="1"/>
  <c r="F5902" i="56" s="1"/>
  <c r="F5903" i="56" s="1"/>
  <c r="F5904" i="56" s="1"/>
  <c r="F5905" i="56" s="1"/>
  <c r="F5906" i="56" s="1"/>
  <c r="F5907" i="56" s="1"/>
  <c r="F5908" i="56" s="1"/>
  <c r="F5909" i="56" s="1"/>
  <c r="F5910" i="56" s="1"/>
  <c r="F5911" i="56" s="1"/>
  <c r="F5912" i="56" s="1"/>
  <c r="F5913" i="56" s="1"/>
  <c r="F5914" i="56" s="1"/>
  <c r="F5915" i="56" s="1"/>
  <c r="F5916" i="56" s="1"/>
  <c r="F5917" i="56" s="1"/>
  <c r="F5918" i="56" s="1"/>
  <c r="F5919" i="56" s="1"/>
  <c r="F5920" i="56" s="1"/>
  <c r="F5921" i="56" s="1"/>
  <c r="F5922" i="56" s="1"/>
  <c r="F5923" i="56" s="1"/>
  <c r="F5924" i="56" s="1"/>
  <c r="F5925" i="56" s="1"/>
  <c r="F5926" i="56" s="1"/>
  <c r="F5927" i="56" s="1"/>
  <c r="F5928" i="56" s="1"/>
  <c r="F5929" i="56" s="1"/>
  <c r="F5930" i="56" s="1"/>
  <c r="F5931" i="56" s="1"/>
  <c r="F5932" i="56" s="1"/>
  <c r="F5933" i="56" s="1"/>
  <c r="F5934" i="56" s="1"/>
  <c r="F5935" i="56" s="1"/>
  <c r="F5936" i="56" s="1"/>
  <c r="F5937" i="56" s="1"/>
  <c r="F5938" i="56" s="1"/>
  <c r="F5939" i="56" s="1"/>
  <c r="F5940" i="56" s="1"/>
  <c r="F5941" i="56" s="1"/>
  <c r="F5942" i="56" s="1"/>
  <c r="F5943" i="56" s="1"/>
  <c r="F5944" i="56" s="1"/>
  <c r="F5945" i="56" s="1"/>
  <c r="F5946" i="56" s="1"/>
  <c r="F5947" i="56" s="1"/>
  <c r="F5948" i="56" s="1"/>
  <c r="F5949" i="56" s="1"/>
  <c r="F5950" i="56" s="1"/>
  <c r="F5951" i="56" s="1"/>
  <c r="F5952" i="56" s="1"/>
  <c r="F5953" i="56" s="1"/>
  <c r="F5954" i="56" s="1"/>
  <c r="F5955" i="56" s="1"/>
  <c r="F5956" i="56" s="1"/>
  <c r="F5957" i="56" s="1"/>
  <c r="F5958" i="56" s="1"/>
  <c r="F5959" i="56" s="1"/>
  <c r="F5960" i="56" s="1"/>
  <c r="F5961" i="56" s="1"/>
  <c r="F5962" i="56" s="1"/>
  <c r="F5963" i="56" s="1"/>
  <c r="F5964" i="56" s="1"/>
  <c r="F5965" i="56" s="1"/>
  <c r="F5966" i="56" s="1"/>
  <c r="F5967" i="56" s="1"/>
  <c r="F5968" i="56" s="1"/>
  <c r="F5969" i="56" s="1"/>
  <c r="F5970" i="56" s="1"/>
  <c r="F5971" i="56" s="1"/>
  <c r="F5972" i="56" s="1"/>
  <c r="F5973" i="56" s="1"/>
  <c r="F5974" i="56" s="1"/>
  <c r="F5975" i="56" s="1"/>
  <c r="F5976" i="56" s="1"/>
  <c r="F5977" i="56" s="1"/>
  <c r="F5978" i="56" s="1"/>
  <c r="F5979" i="56" s="1"/>
  <c r="F5980" i="56" s="1"/>
  <c r="F5981" i="56" s="1"/>
  <c r="F5982" i="56" s="1"/>
  <c r="F5983" i="56" s="1"/>
  <c r="F5984" i="56" s="1"/>
  <c r="F5985" i="56" s="1"/>
  <c r="F5986" i="56" s="1"/>
  <c r="F5987" i="56" s="1"/>
  <c r="F5988" i="56" s="1"/>
  <c r="F5989" i="56" s="1"/>
  <c r="F5990" i="56" s="1"/>
  <c r="F5991" i="56" s="1"/>
  <c r="F5992" i="56" s="1"/>
  <c r="F5993" i="56" s="1"/>
  <c r="F5994" i="56" s="1"/>
  <c r="F5995" i="56" s="1"/>
  <c r="F5996" i="56" s="1"/>
  <c r="F5997" i="56" s="1"/>
  <c r="F5998" i="56" s="1"/>
  <c r="F5999" i="56" s="1"/>
  <c r="F6000" i="56" s="1"/>
  <c r="F6001" i="56" s="1"/>
  <c r="F6002" i="56" s="1"/>
  <c r="F6003" i="56" s="1"/>
  <c r="F6004" i="56" s="1"/>
  <c r="F6005" i="56" s="1"/>
  <c r="F6006" i="56" s="1"/>
  <c r="F6007" i="56" s="1"/>
  <c r="F6008" i="56" s="1"/>
  <c r="F6009" i="56" s="1"/>
  <c r="F6010" i="56" s="1"/>
  <c r="F6011" i="56" s="1"/>
  <c r="F6012" i="56" s="1"/>
  <c r="F6013" i="56" s="1"/>
  <c r="F6014" i="56" s="1"/>
  <c r="F6015" i="56" s="1"/>
  <c r="F6016" i="56" s="1"/>
  <c r="F6017" i="56" s="1"/>
  <c r="F6018" i="56" s="1"/>
  <c r="F6019" i="56" s="1"/>
  <c r="F6020" i="56" s="1"/>
  <c r="F6021" i="56" s="1"/>
  <c r="F6022" i="56" s="1"/>
  <c r="F6023" i="56" s="1"/>
  <c r="F6024" i="56" s="1"/>
  <c r="F6025" i="56" s="1"/>
  <c r="F6026" i="56" s="1"/>
  <c r="F6027" i="56" s="1"/>
  <c r="F6028" i="56" s="1"/>
  <c r="F6029" i="56" s="1"/>
  <c r="F6030" i="56" s="1"/>
  <c r="F6031" i="56" s="1"/>
  <c r="F6032" i="56" s="1"/>
  <c r="F6033" i="56" s="1"/>
  <c r="F6034" i="56" s="1"/>
  <c r="F6035" i="56" s="1"/>
  <c r="F6036" i="56" s="1"/>
  <c r="F6037" i="56" s="1"/>
  <c r="F6038" i="56" s="1"/>
  <c r="F6039" i="56" s="1"/>
  <c r="F6040" i="56" s="1"/>
  <c r="F6041" i="56" s="1"/>
  <c r="F6042" i="56" s="1"/>
  <c r="F6043" i="56" s="1"/>
  <c r="F6044" i="56" s="1"/>
  <c r="F6045" i="56" s="1"/>
  <c r="F6046" i="56" s="1"/>
  <c r="F6047" i="56" s="1"/>
  <c r="F6048" i="56" s="1"/>
  <c r="F6049" i="56" s="1"/>
  <c r="F6050" i="56" s="1"/>
  <c r="F6051" i="56" s="1"/>
  <c r="F6052" i="56" s="1"/>
  <c r="F6053" i="56" s="1"/>
  <c r="F6054" i="56" s="1"/>
  <c r="F6055" i="56" s="1"/>
  <c r="F6056" i="56" s="1"/>
  <c r="F6057" i="56" s="1"/>
  <c r="F6058" i="56" s="1"/>
  <c r="F6059" i="56" s="1"/>
  <c r="F6060" i="56" s="1"/>
  <c r="F6061" i="56" s="1"/>
  <c r="F6062" i="56" s="1"/>
  <c r="F6063" i="56" s="1"/>
  <c r="F6064" i="56" s="1"/>
  <c r="F6065" i="56" s="1"/>
  <c r="F6066" i="56" s="1"/>
  <c r="F6067" i="56" s="1"/>
  <c r="F6068" i="56" s="1"/>
  <c r="F6069" i="56" s="1"/>
  <c r="F6070" i="56" s="1"/>
  <c r="F6071" i="56" s="1"/>
  <c r="F6072" i="56" s="1"/>
  <c r="F6073" i="56" s="1"/>
  <c r="F6074" i="56" s="1"/>
  <c r="F6075" i="56" s="1"/>
  <c r="F6076" i="56" s="1"/>
  <c r="F6077" i="56" s="1"/>
  <c r="F6078" i="56" s="1"/>
  <c r="F6079" i="56" s="1"/>
  <c r="F6080" i="56" s="1"/>
  <c r="F6081" i="56" s="1"/>
  <c r="F6082" i="56" s="1"/>
  <c r="F6083" i="56" s="1"/>
  <c r="F6084" i="56" s="1"/>
  <c r="F6085" i="56" s="1"/>
  <c r="F6086" i="56" s="1"/>
  <c r="F6087" i="56" s="1"/>
  <c r="F6088" i="56" s="1"/>
  <c r="F6089" i="56" s="1"/>
  <c r="F6090" i="56" s="1"/>
  <c r="F6091" i="56" s="1"/>
  <c r="F6092" i="56" s="1"/>
  <c r="F6093" i="56" s="1"/>
  <c r="F6094" i="56" s="1"/>
  <c r="F6095" i="56" s="1"/>
  <c r="F6096" i="56" s="1"/>
  <c r="F6097" i="56" s="1"/>
  <c r="F6098" i="56" s="1"/>
  <c r="F6099" i="56" s="1"/>
  <c r="F6100" i="56" s="1"/>
  <c r="F6101" i="56" s="1"/>
  <c r="F6102" i="56" s="1"/>
  <c r="F6103" i="56" s="1"/>
  <c r="F6104" i="56" s="1"/>
  <c r="F6105" i="56" s="1"/>
  <c r="F6106" i="56" s="1"/>
  <c r="F6107" i="56" s="1"/>
  <c r="F6108" i="56" s="1"/>
  <c r="F6109" i="56" s="1"/>
  <c r="F6110" i="56" s="1"/>
  <c r="F6111" i="56" s="1"/>
  <c r="F6112" i="56" s="1"/>
  <c r="F6113" i="56" s="1"/>
  <c r="F6114" i="56" s="1"/>
  <c r="F6115" i="56" s="1"/>
  <c r="F6116" i="56" s="1"/>
  <c r="F6117" i="56" s="1"/>
  <c r="F6118" i="56" s="1"/>
  <c r="F6119" i="56" s="1"/>
  <c r="F6120" i="56" s="1"/>
  <c r="F6121" i="56" s="1"/>
  <c r="F6122" i="56" s="1"/>
  <c r="F6123" i="56" s="1"/>
  <c r="F6124" i="56" s="1"/>
  <c r="F6125" i="56" s="1"/>
  <c r="F6126" i="56" s="1"/>
  <c r="F6127" i="56" s="1"/>
  <c r="F6128" i="56" s="1"/>
  <c r="F6129" i="56" s="1"/>
  <c r="F6130" i="56" s="1"/>
  <c r="F6131" i="56" s="1"/>
  <c r="F6132" i="56" s="1"/>
  <c r="F6133" i="56" s="1"/>
  <c r="F6134" i="56" s="1"/>
  <c r="F6135" i="56" s="1"/>
  <c r="F6136" i="56" s="1"/>
  <c r="F6137" i="56" s="1"/>
  <c r="F6138" i="56" s="1"/>
  <c r="F6139" i="56" s="1"/>
  <c r="F6140" i="56" s="1"/>
  <c r="F6141" i="56" s="1"/>
  <c r="F6142" i="56" s="1"/>
  <c r="F6143" i="56" s="1"/>
  <c r="F6144" i="56" s="1"/>
  <c r="F6145" i="56" s="1"/>
  <c r="F6146" i="56" s="1"/>
  <c r="F6147" i="56" s="1"/>
  <c r="F6148" i="56" s="1"/>
  <c r="F6149" i="56" s="1"/>
  <c r="F6150" i="56" s="1"/>
  <c r="F6151" i="56" s="1"/>
  <c r="F6152" i="56" s="1"/>
  <c r="F6153" i="56" s="1"/>
  <c r="F6154" i="56" s="1"/>
  <c r="F6155" i="56" s="1"/>
  <c r="F6156" i="56" s="1"/>
  <c r="F6157" i="56" s="1"/>
  <c r="F6158" i="56" s="1"/>
  <c r="F6159" i="56" s="1"/>
  <c r="F6160" i="56" s="1"/>
  <c r="F6161" i="56" s="1"/>
  <c r="F6162" i="56" s="1"/>
  <c r="F6163" i="56" s="1"/>
  <c r="F6164" i="56" s="1"/>
  <c r="F6165" i="56" s="1"/>
  <c r="F6166" i="56" s="1"/>
  <c r="F6167" i="56" s="1"/>
  <c r="F6168" i="56" s="1"/>
  <c r="F6169" i="56" s="1"/>
  <c r="F6170" i="56" s="1"/>
  <c r="F6171" i="56" s="1"/>
  <c r="F6172" i="56" s="1"/>
  <c r="F6173" i="56" s="1"/>
  <c r="F6174" i="56" s="1"/>
  <c r="F6175" i="56" s="1"/>
  <c r="F6176" i="56" s="1"/>
  <c r="F6177" i="56" s="1"/>
  <c r="F6178" i="56" s="1"/>
  <c r="F6179" i="56" s="1"/>
  <c r="F6180" i="56" s="1"/>
  <c r="F6181" i="56" s="1"/>
  <c r="F6182" i="56" s="1"/>
  <c r="F6183" i="56" s="1"/>
  <c r="F6184" i="56" s="1"/>
  <c r="F6185" i="56" s="1"/>
  <c r="F6186" i="56" s="1"/>
  <c r="F6187" i="56" s="1"/>
  <c r="F6188" i="56" s="1"/>
  <c r="F6189" i="56" s="1"/>
  <c r="F6190" i="56" s="1"/>
  <c r="F6191" i="56" s="1"/>
  <c r="F6192" i="56" s="1"/>
  <c r="F6193" i="56" s="1"/>
  <c r="F6194" i="56" s="1"/>
  <c r="F6195" i="56" s="1"/>
  <c r="F6196" i="56" s="1"/>
  <c r="F6197" i="56" s="1"/>
  <c r="F6198" i="56" s="1"/>
  <c r="F6199" i="56" s="1"/>
  <c r="F6200" i="56" s="1"/>
  <c r="F6201" i="56" s="1"/>
  <c r="F6202" i="56" s="1"/>
  <c r="F6203" i="56" s="1"/>
  <c r="F6204" i="56" s="1"/>
  <c r="F6205" i="56" s="1"/>
  <c r="F6206" i="56" s="1"/>
  <c r="F6207" i="56" s="1"/>
  <c r="F6208" i="56" s="1"/>
  <c r="F6209" i="56" s="1"/>
  <c r="F6210" i="56" s="1"/>
  <c r="F6211" i="56" s="1"/>
  <c r="F6212" i="56" s="1"/>
  <c r="F6213" i="56" s="1"/>
  <c r="F6214" i="56" s="1"/>
  <c r="F6215" i="56" s="1"/>
  <c r="F6216" i="56" s="1"/>
  <c r="F6217" i="56" s="1"/>
  <c r="F6218" i="56" s="1"/>
  <c r="F6219" i="56" s="1"/>
  <c r="F6220" i="56" s="1"/>
  <c r="F6221" i="56" s="1"/>
  <c r="F6222" i="56" s="1"/>
  <c r="F6223" i="56" s="1"/>
  <c r="F6224" i="56" s="1"/>
  <c r="F6225" i="56" s="1"/>
  <c r="F6226" i="56" s="1"/>
  <c r="F6227" i="56" s="1"/>
  <c r="F6228" i="56" s="1"/>
  <c r="F6229" i="56" s="1"/>
  <c r="F6230" i="56" s="1"/>
  <c r="F6231" i="56" s="1"/>
  <c r="F6232" i="56" s="1"/>
  <c r="F6233" i="56" s="1"/>
  <c r="F6234" i="56" s="1"/>
  <c r="F6235" i="56" s="1"/>
  <c r="F6236" i="56" s="1"/>
  <c r="F6237" i="56" s="1"/>
  <c r="F6238" i="56" s="1"/>
  <c r="F6239" i="56" s="1"/>
  <c r="F6240" i="56" s="1"/>
  <c r="F6241" i="56" s="1"/>
  <c r="F6242" i="56" s="1"/>
  <c r="F6243" i="56" s="1"/>
  <c r="F6244" i="56" s="1"/>
  <c r="F6245" i="56" s="1"/>
  <c r="F6246" i="56" s="1"/>
  <c r="F6247" i="56" s="1"/>
  <c r="F6248" i="56" s="1"/>
  <c r="F6249" i="56" s="1"/>
  <c r="F6250" i="56" s="1"/>
  <c r="F6251" i="56" s="1"/>
  <c r="F6252" i="56" s="1"/>
  <c r="F6253" i="56" s="1"/>
  <c r="F6254" i="56" s="1"/>
  <c r="F6255" i="56" s="1"/>
  <c r="F6256" i="56" s="1"/>
  <c r="F6257" i="56" s="1"/>
  <c r="F6258" i="56" s="1"/>
  <c r="F6259" i="56" s="1"/>
  <c r="F6260" i="56" s="1"/>
  <c r="F6261" i="56" s="1"/>
  <c r="F6262" i="56" s="1"/>
  <c r="F6263" i="56" s="1"/>
  <c r="F6264" i="56" s="1"/>
  <c r="F6265" i="56" s="1"/>
  <c r="F6266" i="56" s="1"/>
  <c r="F6267" i="56" s="1"/>
  <c r="F6268" i="56" s="1"/>
  <c r="F6269" i="56" s="1"/>
  <c r="F6270" i="56" s="1"/>
  <c r="F6271" i="56" s="1"/>
  <c r="F6272" i="56" s="1"/>
  <c r="F6273" i="56" s="1"/>
  <c r="F6274" i="56" s="1"/>
  <c r="F6275" i="56" s="1"/>
  <c r="F6276" i="56" s="1"/>
  <c r="F6277" i="56" s="1"/>
  <c r="F6278" i="56" s="1"/>
  <c r="F6279" i="56" s="1"/>
  <c r="F6280" i="56" s="1"/>
  <c r="F6281" i="56" s="1"/>
  <c r="F6282" i="56" s="1"/>
  <c r="F6283" i="56" s="1"/>
  <c r="F6284" i="56" s="1"/>
  <c r="F6285" i="56" s="1"/>
  <c r="F6286" i="56" s="1"/>
  <c r="F6287" i="56" s="1"/>
  <c r="F6288" i="56" s="1"/>
  <c r="F6289" i="56" s="1"/>
  <c r="F6290" i="56" s="1"/>
  <c r="F6291" i="56" s="1"/>
  <c r="F6292" i="56" s="1"/>
  <c r="F6293" i="56" s="1"/>
  <c r="F6294" i="56" s="1"/>
  <c r="F6295" i="56" s="1"/>
  <c r="F6296" i="56" s="1"/>
  <c r="F6297" i="56" s="1"/>
  <c r="F6298" i="56" s="1"/>
  <c r="F6299" i="56" s="1"/>
  <c r="F6300" i="56" s="1"/>
  <c r="F6301" i="56" s="1"/>
  <c r="F6302" i="56" s="1"/>
  <c r="F6303" i="56" s="1"/>
  <c r="F6304" i="56" s="1"/>
  <c r="F6305" i="56" s="1"/>
  <c r="F6306" i="56" s="1"/>
  <c r="F6307" i="56" s="1"/>
  <c r="F6308" i="56" s="1"/>
  <c r="F6309" i="56" s="1"/>
  <c r="F6310" i="56" s="1"/>
  <c r="F6311" i="56" s="1"/>
  <c r="F6312" i="56" s="1"/>
  <c r="F6313" i="56" s="1"/>
  <c r="F6314" i="56" s="1"/>
  <c r="F6315" i="56" s="1"/>
  <c r="F6316" i="56" s="1"/>
  <c r="F6317" i="56" s="1"/>
  <c r="F6318" i="56" s="1"/>
  <c r="F6319" i="56" s="1"/>
  <c r="F6320" i="56" s="1"/>
  <c r="F6321" i="56" s="1"/>
  <c r="F6322" i="56" s="1"/>
  <c r="F6323" i="56" s="1"/>
  <c r="F6324" i="56" s="1"/>
  <c r="F6325" i="56" s="1"/>
  <c r="F6326" i="56" s="1"/>
  <c r="F6327" i="56" s="1"/>
  <c r="F6328" i="56" s="1"/>
  <c r="F6329" i="56" s="1"/>
  <c r="F6330" i="56" s="1"/>
  <c r="F6331" i="56" s="1"/>
  <c r="F6332" i="56" s="1"/>
  <c r="F6333" i="56" s="1"/>
  <c r="F6334" i="56" s="1"/>
  <c r="F6335" i="56" s="1"/>
  <c r="F6336" i="56" s="1"/>
  <c r="F6337" i="56" s="1"/>
  <c r="F6338" i="56" s="1"/>
  <c r="F6339" i="56" s="1"/>
  <c r="F6340" i="56" s="1"/>
  <c r="F6341" i="56" s="1"/>
  <c r="F6342" i="56" s="1"/>
  <c r="F6343" i="56" s="1"/>
  <c r="F6344" i="56" s="1"/>
  <c r="F6345" i="56" s="1"/>
  <c r="F6346" i="56" s="1"/>
  <c r="F6347" i="56" s="1"/>
  <c r="F6348" i="56" s="1"/>
  <c r="F6349" i="56" s="1"/>
  <c r="F6350" i="56" s="1"/>
  <c r="F6351" i="56" s="1"/>
  <c r="F6352" i="56" s="1"/>
  <c r="F6353" i="56" s="1"/>
  <c r="F6354" i="56" s="1"/>
  <c r="F6355" i="56" s="1"/>
  <c r="F6356" i="56" s="1"/>
  <c r="F6357" i="56" s="1"/>
  <c r="F6358" i="56" s="1"/>
  <c r="F6359" i="56" s="1"/>
  <c r="F6360" i="56" s="1"/>
  <c r="F6361" i="56" s="1"/>
  <c r="F6362" i="56" s="1"/>
  <c r="F6363" i="56" s="1"/>
  <c r="F6364" i="56" s="1"/>
  <c r="F6365" i="56" s="1"/>
  <c r="F6366" i="56" s="1"/>
  <c r="F6367" i="56" s="1"/>
  <c r="F6368" i="56" s="1"/>
  <c r="F6369" i="56" s="1"/>
  <c r="F6370" i="56" s="1"/>
  <c r="F6371" i="56" s="1"/>
  <c r="F6372" i="56" s="1"/>
  <c r="F6373" i="56" s="1"/>
  <c r="F6374" i="56" s="1"/>
  <c r="F6375" i="56" s="1"/>
  <c r="F6376" i="56" s="1"/>
  <c r="F6377" i="56" s="1"/>
  <c r="F6378" i="56" s="1"/>
  <c r="F6379" i="56" s="1"/>
  <c r="F6380" i="56" s="1"/>
  <c r="F6381" i="56" s="1"/>
  <c r="F6382" i="56" s="1"/>
  <c r="F6383" i="56" s="1"/>
  <c r="F6384" i="56" s="1"/>
  <c r="F6385" i="56" s="1"/>
  <c r="F6386" i="56" s="1"/>
  <c r="F6387" i="56" s="1"/>
  <c r="F6388" i="56" s="1"/>
  <c r="F6389" i="56" s="1"/>
  <c r="F6390" i="56" s="1"/>
  <c r="F6391" i="56" s="1"/>
  <c r="F6392" i="56" s="1"/>
  <c r="F6393" i="56" s="1"/>
  <c r="F6394" i="56" s="1"/>
  <c r="F6395" i="56" s="1"/>
  <c r="F6396" i="56" s="1"/>
  <c r="F6397" i="56" s="1"/>
  <c r="F6398" i="56" s="1"/>
  <c r="F6399" i="56" s="1"/>
  <c r="F6400" i="56" s="1"/>
  <c r="F6401" i="56" s="1"/>
  <c r="F6402" i="56" s="1"/>
  <c r="F6403" i="56" s="1"/>
  <c r="F6404" i="56" s="1"/>
  <c r="F6405" i="56" s="1"/>
  <c r="F6406" i="56" s="1"/>
  <c r="F6407" i="56" s="1"/>
  <c r="F6408" i="56" s="1"/>
  <c r="F6409" i="56" s="1"/>
  <c r="F6410" i="56" s="1"/>
  <c r="F6411" i="56" s="1"/>
  <c r="F6412" i="56" s="1"/>
  <c r="F6413" i="56" s="1"/>
  <c r="F6414" i="56" s="1"/>
  <c r="F6415" i="56" s="1"/>
  <c r="F6416" i="56" s="1"/>
  <c r="F6417" i="56" s="1"/>
  <c r="F6418" i="56" s="1"/>
  <c r="F6419" i="56" s="1"/>
  <c r="F6420" i="56" s="1"/>
  <c r="F6421" i="56" s="1"/>
  <c r="F6422" i="56" s="1"/>
  <c r="F6423" i="56" s="1"/>
  <c r="F6424" i="56" s="1"/>
  <c r="F6425" i="56" s="1"/>
  <c r="F6426" i="56" s="1"/>
  <c r="F6427" i="56" s="1"/>
  <c r="F6428" i="56" s="1"/>
  <c r="F6429" i="56" s="1"/>
  <c r="F6430" i="56" s="1"/>
  <c r="F6431" i="56" s="1"/>
  <c r="F6432" i="56" s="1"/>
  <c r="F6433" i="56" s="1"/>
  <c r="F6434" i="56" s="1"/>
  <c r="F6435" i="56" s="1"/>
  <c r="F6436" i="56" s="1"/>
  <c r="F6437" i="56" s="1"/>
  <c r="F6438" i="56" s="1"/>
  <c r="F6439" i="56" s="1"/>
  <c r="F6440" i="56" s="1"/>
  <c r="F6441" i="56" s="1"/>
  <c r="F6442" i="56" s="1"/>
  <c r="F6443" i="56" s="1"/>
  <c r="F6444" i="56" s="1"/>
  <c r="F6445" i="56" s="1"/>
  <c r="F6446" i="56" s="1"/>
  <c r="F6447" i="56" s="1"/>
  <c r="F6448" i="56" s="1"/>
  <c r="F6449" i="56" s="1"/>
  <c r="F6450" i="56" s="1"/>
  <c r="F6451" i="56" s="1"/>
  <c r="F6452" i="56" s="1"/>
  <c r="F6453" i="56" s="1"/>
  <c r="F6454" i="56" s="1"/>
  <c r="F6455" i="56" s="1"/>
  <c r="F6456" i="56" s="1"/>
  <c r="F6457" i="56" s="1"/>
  <c r="F6458" i="56" s="1"/>
  <c r="F6459" i="56" s="1"/>
  <c r="F6460" i="56" s="1"/>
  <c r="F6461" i="56" s="1"/>
  <c r="F6462" i="56" s="1"/>
  <c r="F6463" i="56" s="1"/>
  <c r="F6464" i="56" s="1"/>
  <c r="F6465" i="56" s="1"/>
  <c r="F6466" i="56" s="1"/>
  <c r="F6467" i="56" s="1"/>
  <c r="F6468" i="56" s="1"/>
  <c r="F6469" i="56" s="1"/>
  <c r="F6470" i="56" s="1"/>
  <c r="F6471" i="56" s="1"/>
  <c r="F6472" i="56" s="1"/>
  <c r="F6473" i="56" s="1"/>
  <c r="F6474" i="56" s="1"/>
  <c r="F6475" i="56" s="1"/>
  <c r="F6476" i="56" s="1"/>
  <c r="F6477" i="56" s="1"/>
  <c r="F6478" i="56" s="1"/>
  <c r="F6479" i="56" s="1"/>
  <c r="F6480" i="56" s="1"/>
  <c r="F6481" i="56" s="1"/>
  <c r="F6482" i="56" s="1"/>
  <c r="F6483" i="56" s="1"/>
  <c r="F6484" i="56" s="1"/>
  <c r="F6485" i="56" s="1"/>
  <c r="F6486" i="56" s="1"/>
  <c r="F6487" i="56" s="1"/>
  <c r="F6488" i="56" s="1"/>
  <c r="F6489" i="56" s="1"/>
  <c r="F6490" i="56" s="1"/>
  <c r="F6491" i="56" s="1"/>
  <c r="F6492" i="56" s="1"/>
  <c r="F6493" i="56" s="1"/>
  <c r="F6494" i="56" s="1"/>
  <c r="F6495" i="56" s="1"/>
  <c r="F6496" i="56" s="1"/>
  <c r="F6497" i="56" s="1"/>
  <c r="F6498" i="56" s="1"/>
  <c r="F6499" i="56" s="1"/>
  <c r="F6500" i="56" s="1"/>
  <c r="F6501" i="56" s="1"/>
  <c r="F6502" i="56" s="1"/>
  <c r="F6503" i="56" s="1"/>
  <c r="F6504" i="56" s="1"/>
  <c r="F6505" i="56" s="1"/>
  <c r="F6506" i="56" s="1"/>
  <c r="F6507" i="56" s="1"/>
  <c r="F6508" i="56" s="1"/>
  <c r="F6509" i="56" s="1"/>
  <c r="F6510" i="56" s="1"/>
  <c r="F6511" i="56" s="1"/>
  <c r="F6512" i="56" s="1"/>
  <c r="F6513" i="56" s="1"/>
  <c r="F6514" i="56" s="1"/>
  <c r="F6515" i="56" s="1"/>
  <c r="F6516" i="56" s="1"/>
  <c r="F6517" i="56" s="1"/>
  <c r="F6518" i="56" s="1"/>
  <c r="F6519" i="56" s="1"/>
  <c r="F6520" i="56" s="1"/>
  <c r="F6521" i="56" s="1"/>
  <c r="F6522" i="56" s="1"/>
  <c r="F6523" i="56" s="1"/>
  <c r="F6524" i="56" s="1"/>
  <c r="F6525" i="56" s="1"/>
  <c r="F6526" i="56" s="1"/>
  <c r="F6527" i="56" s="1"/>
  <c r="F6528" i="56" s="1"/>
  <c r="F6529" i="56" s="1"/>
  <c r="F6530" i="56" s="1"/>
  <c r="F6531" i="56" s="1"/>
  <c r="F6532" i="56" s="1"/>
  <c r="F6533" i="56" s="1"/>
  <c r="F6534" i="56" s="1"/>
  <c r="F6535" i="56" s="1"/>
  <c r="F6536" i="56" s="1"/>
  <c r="F6537" i="56" s="1"/>
  <c r="F6538" i="56" s="1"/>
  <c r="F6539" i="56" s="1"/>
  <c r="F6540" i="56" s="1"/>
  <c r="F6541" i="56" s="1"/>
  <c r="F6542" i="56" s="1"/>
  <c r="F6543" i="56" s="1"/>
  <c r="F6544" i="56" s="1"/>
  <c r="F6545" i="56" s="1"/>
  <c r="F6546" i="56" s="1"/>
  <c r="F6547" i="56" s="1"/>
  <c r="F6548" i="56" s="1"/>
  <c r="F6549" i="56" s="1"/>
  <c r="F6550" i="56" s="1"/>
  <c r="F6551" i="56" s="1"/>
  <c r="F6552" i="56" s="1"/>
  <c r="F6553" i="56" s="1"/>
  <c r="F6554" i="56" s="1"/>
  <c r="F6555" i="56" s="1"/>
  <c r="F6556" i="56" s="1"/>
  <c r="F6557" i="56" s="1"/>
  <c r="F6558" i="56" s="1"/>
  <c r="F6559" i="56" s="1"/>
  <c r="F6560" i="56" s="1"/>
  <c r="F6561" i="56" s="1"/>
  <c r="F6562" i="56" s="1"/>
  <c r="F6563" i="56" s="1"/>
  <c r="F6564" i="56" s="1"/>
  <c r="F6565" i="56" s="1"/>
  <c r="F6566" i="56" s="1"/>
  <c r="F6567" i="56" s="1"/>
  <c r="F6568" i="56" s="1"/>
  <c r="F6569" i="56" s="1"/>
  <c r="F6570" i="56" s="1"/>
  <c r="F6571" i="56" s="1"/>
  <c r="F6572" i="56" s="1"/>
  <c r="F6573" i="56" s="1"/>
  <c r="F6574" i="56" s="1"/>
  <c r="F6575" i="56" s="1"/>
  <c r="F6576" i="56" s="1"/>
  <c r="F6577" i="56" s="1"/>
  <c r="F6578" i="56" s="1"/>
  <c r="F6579" i="56" s="1"/>
  <c r="F6580" i="56" s="1"/>
  <c r="F6581" i="56" s="1"/>
  <c r="F6582" i="56" s="1"/>
  <c r="F6583" i="56" s="1"/>
  <c r="F6584" i="56" s="1"/>
  <c r="F6585" i="56" s="1"/>
  <c r="F6586" i="56" s="1"/>
  <c r="F6587" i="56" s="1"/>
  <c r="F6588" i="56" s="1"/>
  <c r="F6589" i="56" s="1"/>
  <c r="F6590" i="56" s="1"/>
  <c r="F6591" i="56" s="1"/>
  <c r="F6592" i="56" s="1"/>
  <c r="F6593" i="56" s="1"/>
  <c r="F6594" i="56" s="1"/>
  <c r="F6595" i="56" s="1"/>
  <c r="F6596" i="56" s="1"/>
  <c r="F6597" i="56" s="1"/>
  <c r="F6598" i="56" s="1"/>
  <c r="F6599" i="56" s="1"/>
  <c r="F6600" i="56" s="1"/>
  <c r="F6601" i="56" s="1"/>
  <c r="F6602" i="56" s="1"/>
  <c r="F6603" i="56" s="1"/>
  <c r="F6604" i="56" s="1"/>
  <c r="F6605" i="56" s="1"/>
  <c r="F6606" i="56" s="1"/>
  <c r="F6607" i="56" s="1"/>
  <c r="F6608" i="56" s="1"/>
  <c r="F6609" i="56" s="1"/>
  <c r="F6610" i="56" s="1"/>
  <c r="F6611" i="56" s="1"/>
  <c r="F6612" i="56" s="1"/>
  <c r="F6613" i="56" s="1"/>
  <c r="F6614" i="56" s="1"/>
  <c r="F6615" i="56" s="1"/>
  <c r="F6616" i="56" s="1"/>
  <c r="F6617" i="56" s="1"/>
  <c r="F6618" i="56" s="1"/>
  <c r="F6619" i="56" s="1"/>
  <c r="F6620" i="56" s="1"/>
  <c r="F6621" i="56" s="1"/>
  <c r="F6622" i="56" s="1"/>
  <c r="F6623" i="56" s="1"/>
  <c r="F6624" i="56" s="1"/>
  <c r="F6625" i="56" s="1"/>
  <c r="F6626" i="56" s="1"/>
  <c r="F6627" i="56" s="1"/>
  <c r="F6628" i="56" s="1"/>
  <c r="F6629" i="56" s="1"/>
  <c r="F6630" i="56" s="1"/>
  <c r="F6631" i="56" s="1"/>
  <c r="F6632" i="56" s="1"/>
  <c r="F6633" i="56" s="1"/>
  <c r="F6634" i="56" s="1"/>
  <c r="F6635" i="56" s="1"/>
  <c r="F6636" i="56" s="1"/>
  <c r="F6637" i="56" s="1"/>
  <c r="F6638" i="56" s="1"/>
  <c r="F6639" i="56" s="1"/>
  <c r="F6640" i="56" s="1"/>
  <c r="F6641" i="56" s="1"/>
  <c r="F6642" i="56" s="1"/>
  <c r="F6643" i="56" s="1"/>
  <c r="F6644" i="56" s="1"/>
  <c r="F6645" i="56" s="1"/>
  <c r="F6646" i="56" s="1"/>
  <c r="F6647" i="56" s="1"/>
  <c r="F6648" i="56" s="1"/>
  <c r="F6649" i="56" s="1"/>
  <c r="F6650" i="56" s="1"/>
  <c r="F6651" i="56" s="1"/>
  <c r="F6652" i="56" s="1"/>
  <c r="F6653" i="56" s="1"/>
  <c r="F6654" i="56" s="1"/>
  <c r="F6655" i="56" s="1"/>
  <c r="F6656" i="56" s="1"/>
  <c r="F6657" i="56" s="1"/>
  <c r="F6658" i="56" s="1"/>
  <c r="F6659" i="56" s="1"/>
  <c r="F6660" i="56" s="1"/>
  <c r="F6661" i="56" s="1"/>
  <c r="F6662" i="56" s="1"/>
  <c r="F6663" i="56" s="1"/>
  <c r="F6664" i="56" s="1"/>
  <c r="F6665" i="56" s="1"/>
  <c r="F6666" i="56" s="1"/>
  <c r="F6667" i="56" s="1"/>
  <c r="F6668" i="56" s="1"/>
  <c r="F6669" i="56" s="1"/>
  <c r="F6670" i="56" s="1"/>
  <c r="F6671" i="56" s="1"/>
  <c r="F6672" i="56" s="1"/>
  <c r="F6673" i="56" s="1"/>
  <c r="F6674" i="56" s="1"/>
  <c r="F6675" i="56" s="1"/>
  <c r="F6676" i="56" s="1"/>
  <c r="F6677" i="56" s="1"/>
  <c r="F6678" i="56" s="1"/>
  <c r="F6679" i="56" s="1"/>
  <c r="F6680" i="56" s="1"/>
  <c r="F6681" i="56" s="1"/>
  <c r="F6682" i="56" s="1"/>
  <c r="F6683" i="56" s="1"/>
  <c r="F6684" i="56" s="1"/>
  <c r="F6685" i="56" s="1"/>
  <c r="F6686" i="56" s="1"/>
  <c r="F6687" i="56" s="1"/>
  <c r="F6688" i="56" s="1"/>
  <c r="F6689" i="56" s="1"/>
  <c r="F6690" i="56" s="1"/>
  <c r="F6691" i="56" s="1"/>
  <c r="F6692" i="56" s="1"/>
  <c r="F6693" i="56" s="1"/>
  <c r="F6694" i="56" s="1"/>
  <c r="F6695" i="56" s="1"/>
  <c r="F6696" i="56" s="1"/>
  <c r="F6697" i="56" s="1"/>
  <c r="F6698" i="56" s="1"/>
  <c r="F6699" i="56" s="1"/>
  <c r="F6700" i="56" s="1"/>
  <c r="F6701" i="56" s="1"/>
  <c r="F6702" i="56" s="1"/>
  <c r="F6703" i="56" s="1"/>
  <c r="F6704" i="56" s="1"/>
  <c r="F6705" i="56" s="1"/>
  <c r="F6706" i="56" s="1"/>
  <c r="F6707" i="56" s="1"/>
  <c r="F6708" i="56" s="1"/>
  <c r="F6709" i="56" s="1"/>
  <c r="F6710" i="56" s="1"/>
  <c r="F6711" i="56" s="1"/>
  <c r="F6712" i="56" s="1"/>
  <c r="F6713" i="56" s="1"/>
  <c r="F6714" i="56" s="1"/>
  <c r="F6715" i="56" s="1"/>
  <c r="F6716" i="56" s="1"/>
  <c r="F6717" i="56" s="1"/>
  <c r="F6718" i="56" s="1"/>
  <c r="F6719" i="56" s="1"/>
  <c r="F6720" i="56" s="1"/>
  <c r="F6721" i="56" s="1"/>
  <c r="F6722" i="56" s="1"/>
  <c r="F6723" i="56" s="1"/>
  <c r="F6724" i="56" s="1"/>
  <c r="F6725" i="56" s="1"/>
  <c r="F6726" i="56" s="1"/>
  <c r="F6727" i="56" s="1"/>
  <c r="F6728" i="56" s="1"/>
  <c r="F6729" i="56" s="1"/>
  <c r="F6730" i="56" s="1"/>
  <c r="F6731" i="56" s="1"/>
  <c r="F6732" i="56" s="1"/>
  <c r="F6733" i="56" s="1"/>
  <c r="F6734" i="56" s="1"/>
  <c r="F6735" i="56" s="1"/>
  <c r="F6736" i="56" s="1"/>
  <c r="F6737" i="56" s="1"/>
  <c r="F6738" i="56" s="1"/>
  <c r="F6739" i="56" s="1"/>
  <c r="F6740" i="56" s="1"/>
  <c r="F6741" i="56" s="1"/>
  <c r="F6742" i="56" s="1"/>
  <c r="F6743" i="56" s="1"/>
  <c r="F6744" i="56" s="1"/>
  <c r="F6745" i="56" s="1"/>
  <c r="F6746" i="56" s="1"/>
  <c r="F6747" i="56" s="1"/>
  <c r="F6748" i="56" s="1"/>
  <c r="F6749" i="56" s="1"/>
  <c r="F6750" i="56" s="1"/>
  <c r="F6751" i="56" s="1"/>
  <c r="F6752" i="56" s="1"/>
  <c r="F6753" i="56" s="1"/>
  <c r="F6754" i="56" s="1"/>
  <c r="F6755" i="56" s="1"/>
  <c r="F6756" i="56" s="1"/>
  <c r="F6757" i="56" s="1"/>
  <c r="F6758" i="56" s="1"/>
  <c r="F6759" i="56" s="1"/>
  <c r="F6760" i="56" s="1"/>
  <c r="F6761" i="56" s="1"/>
  <c r="F6762" i="56" s="1"/>
  <c r="F6763" i="56" s="1"/>
  <c r="F6764" i="56" s="1"/>
  <c r="F6765" i="56" s="1"/>
  <c r="F6766" i="56" s="1"/>
  <c r="F6767" i="56" s="1"/>
  <c r="F6768" i="56" s="1"/>
  <c r="F6769" i="56" s="1"/>
  <c r="F6770" i="56" s="1"/>
  <c r="F6771" i="56" s="1"/>
  <c r="F6772" i="56" s="1"/>
  <c r="F6773" i="56" s="1"/>
  <c r="F6774" i="56" s="1"/>
  <c r="F6775" i="56" s="1"/>
  <c r="F6776" i="56" s="1"/>
  <c r="F6777" i="56" s="1"/>
  <c r="F6778" i="56" s="1"/>
  <c r="F6779" i="56" s="1"/>
  <c r="F6780" i="56" s="1"/>
  <c r="F6781" i="56" s="1"/>
  <c r="F6782" i="56" s="1"/>
  <c r="F6783" i="56" s="1"/>
  <c r="F6784" i="56" s="1"/>
  <c r="F6785" i="56" s="1"/>
  <c r="F6786" i="56" s="1"/>
  <c r="F6787" i="56" s="1"/>
  <c r="F6788" i="56" s="1"/>
  <c r="F6789" i="56" s="1"/>
  <c r="F6790" i="56" s="1"/>
  <c r="F6791" i="56" s="1"/>
  <c r="F6792" i="56" s="1"/>
  <c r="F6793" i="56" s="1"/>
  <c r="F6794" i="56" s="1"/>
  <c r="F6795" i="56" s="1"/>
  <c r="F6796" i="56" s="1"/>
  <c r="F6797" i="56" s="1"/>
  <c r="F6798" i="56" s="1"/>
  <c r="F6799" i="56" s="1"/>
  <c r="F6800" i="56" s="1"/>
  <c r="F6801" i="56" s="1"/>
  <c r="F6802" i="56" s="1"/>
  <c r="F6803" i="56" s="1"/>
  <c r="F6804" i="56" s="1"/>
  <c r="F6805" i="56" s="1"/>
  <c r="F6806" i="56" s="1"/>
  <c r="F6807" i="56" s="1"/>
  <c r="F6808" i="56" s="1"/>
  <c r="F6809" i="56" s="1"/>
  <c r="F6810" i="56" s="1"/>
  <c r="F6811" i="56" s="1"/>
  <c r="F6812" i="56" s="1"/>
  <c r="F6813" i="56" s="1"/>
  <c r="F6814" i="56" s="1"/>
  <c r="F6815" i="56" s="1"/>
  <c r="F6816" i="56" s="1"/>
  <c r="F6817" i="56" s="1"/>
  <c r="F6818" i="56" s="1"/>
  <c r="F6819" i="56" s="1"/>
  <c r="F6820" i="56" s="1"/>
  <c r="F6821" i="56" s="1"/>
  <c r="F6822" i="56" s="1"/>
  <c r="F6823" i="56" s="1"/>
  <c r="F6824" i="56" s="1"/>
  <c r="F6825" i="56" s="1"/>
  <c r="F6826" i="56" s="1"/>
  <c r="F6827" i="56" s="1"/>
  <c r="F6828" i="56" s="1"/>
  <c r="F6829" i="56" s="1"/>
  <c r="F6830" i="56" s="1"/>
  <c r="F6831" i="56" s="1"/>
  <c r="F6832" i="56" s="1"/>
  <c r="F6833" i="56" s="1"/>
  <c r="F6834" i="56" s="1"/>
  <c r="F6835" i="56" s="1"/>
  <c r="F6836" i="56" s="1"/>
  <c r="F6837" i="56" s="1"/>
  <c r="F6838" i="56" s="1"/>
  <c r="F6839" i="56" s="1"/>
  <c r="F6840" i="56" s="1"/>
  <c r="F6841" i="56" s="1"/>
  <c r="F6842" i="56" s="1"/>
  <c r="F6843" i="56" s="1"/>
  <c r="F6844" i="56" s="1"/>
  <c r="F6845" i="56" s="1"/>
  <c r="F6846" i="56" s="1"/>
  <c r="F6847" i="56" s="1"/>
  <c r="F6848" i="56" s="1"/>
  <c r="F6849" i="56" s="1"/>
  <c r="F6850" i="56" s="1"/>
  <c r="F6851" i="56" s="1"/>
  <c r="F6852" i="56" s="1"/>
  <c r="F6853" i="56" s="1"/>
  <c r="F6854" i="56" s="1"/>
  <c r="F6855" i="56" s="1"/>
  <c r="F6856" i="56" s="1"/>
  <c r="F6857" i="56" s="1"/>
  <c r="F6858" i="56" s="1"/>
  <c r="F6859" i="56" s="1"/>
  <c r="F6860" i="56" s="1"/>
  <c r="F6861" i="56" s="1"/>
  <c r="F6862" i="56" s="1"/>
  <c r="F6863" i="56" s="1"/>
  <c r="F6864" i="56" s="1"/>
  <c r="F6865" i="56" s="1"/>
  <c r="F6866" i="56" s="1"/>
  <c r="F6867" i="56" s="1"/>
  <c r="F6868" i="56" s="1"/>
  <c r="F6869" i="56" s="1"/>
  <c r="F6870" i="56" s="1"/>
  <c r="F6871" i="56" s="1"/>
  <c r="F6872" i="56" s="1"/>
  <c r="F6873" i="56" s="1"/>
  <c r="F6874" i="56" s="1"/>
  <c r="F6875" i="56" s="1"/>
  <c r="F6876" i="56" s="1"/>
  <c r="F6877" i="56" s="1"/>
  <c r="F6878" i="56" s="1"/>
  <c r="F6879" i="56" s="1"/>
  <c r="F6880" i="56" s="1"/>
  <c r="F6881" i="56" s="1"/>
  <c r="F6882" i="56" s="1"/>
  <c r="F6883" i="56" s="1"/>
  <c r="F6884" i="56" s="1"/>
  <c r="F6885" i="56" s="1"/>
  <c r="F6886" i="56" s="1"/>
  <c r="F6887" i="56" s="1"/>
  <c r="F6888" i="56" s="1"/>
  <c r="F6889" i="56" s="1"/>
  <c r="F6890" i="56" s="1"/>
  <c r="F6891" i="56" s="1"/>
  <c r="F6892" i="56" s="1"/>
  <c r="F6893" i="56" s="1"/>
  <c r="F6894" i="56" s="1"/>
  <c r="F6895" i="56" s="1"/>
  <c r="F6896" i="56" s="1"/>
  <c r="F6897" i="56" s="1"/>
  <c r="F6898" i="56" s="1"/>
  <c r="F6899" i="56" s="1"/>
  <c r="F6900" i="56" s="1"/>
  <c r="F6901" i="56" s="1"/>
  <c r="F6902" i="56" s="1"/>
  <c r="F6903" i="56" s="1"/>
  <c r="F6904" i="56" s="1"/>
  <c r="F6905" i="56" s="1"/>
  <c r="F6906" i="56" s="1"/>
  <c r="F6907" i="56" s="1"/>
  <c r="F6908" i="56" s="1"/>
  <c r="F6909" i="56" s="1"/>
  <c r="F6910" i="56" s="1"/>
  <c r="F6911" i="56" s="1"/>
  <c r="F6912" i="56" s="1"/>
  <c r="F6913" i="56" s="1"/>
  <c r="F6914" i="56" s="1"/>
  <c r="F6915" i="56" s="1"/>
  <c r="F6916" i="56" s="1"/>
  <c r="F6917" i="56" s="1"/>
  <c r="F6918" i="56" s="1"/>
  <c r="F6919" i="56" s="1"/>
  <c r="F6920" i="56" s="1"/>
  <c r="F6921" i="56" s="1"/>
  <c r="F6922" i="56" s="1"/>
  <c r="F6923" i="56" s="1"/>
  <c r="F6924" i="56" s="1"/>
  <c r="F6925" i="56" s="1"/>
  <c r="F6926" i="56" s="1"/>
  <c r="F6927" i="56" s="1"/>
  <c r="F6928" i="56" s="1"/>
  <c r="F6929" i="56" s="1"/>
  <c r="F6930" i="56" s="1"/>
  <c r="F6932" i="56" l="1"/>
  <c r="F6933" i="56" s="1"/>
  <c r="F6934" i="56" s="1"/>
  <c r="F6935" i="56" s="1"/>
  <c r="F6936" i="56" s="1"/>
  <c r="F6937" i="56" s="1"/>
  <c r="F6938" i="56" s="1"/>
  <c r="F6939" i="56" s="1"/>
  <c r="F6940" i="56" s="1"/>
  <c r="F6941" i="56" s="1"/>
  <c r="F6942" i="56" s="1"/>
  <c r="F6943" i="56" s="1"/>
  <c r="F6944" i="56" s="1"/>
  <c r="F6945" i="56" s="1"/>
  <c r="F6946" i="56" s="1"/>
  <c r="F6947" i="56" s="1"/>
  <c r="F6948" i="56" s="1"/>
  <c r="F6949" i="56" s="1"/>
  <c r="F6950" i="56" s="1"/>
  <c r="F6951" i="56" s="1"/>
  <c r="F6952" i="56" s="1"/>
  <c r="F6953" i="56" s="1"/>
  <c r="F6954" i="56" s="1"/>
  <c r="F6955" i="56" s="1"/>
  <c r="F6956" i="56" s="1"/>
  <c r="F6957" i="56" s="1"/>
  <c r="F6958" i="56" s="1"/>
  <c r="F6959" i="56" s="1"/>
  <c r="F6960" i="56" s="1"/>
  <c r="F6961" i="56" s="1"/>
  <c r="F6962" i="56" s="1"/>
  <c r="F6963" i="56" s="1"/>
  <c r="F6964" i="56" s="1"/>
  <c r="F6965" i="56" s="1"/>
  <c r="F6966" i="56" s="1"/>
  <c r="F6967" i="56" s="1"/>
  <c r="F6968" i="56" s="1"/>
  <c r="F6969" i="56" s="1"/>
  <c r="F6970" i="56" s="1"/>
  <c r="F6971" i="56" s="1"/>
  <c r="F6972" i="56" s="1"/>
  <c r="F6973" i="56" s="1"/>
  <c r="F6974" i="56" s="1"/>
  <c r="F6975" i="56" s="1"/>
  <c r="F6976" i="56" s="1"/>
  <c r="F6977" i="56" s="1"/>
  <c r="F6978" i="56" s="1"/>
  <c r="F6979" i="56" s="1"/>
  <c r="F6980" i="56" s="1"/>
  <c r="F6981" i="56" s="1"/>
  <c r="F6982" i="56" s="1"/>
  <c r="F6983" i="56" s="1"/>
  <c r="F6984" i="56" s="1"/>
  <c r="F6985" i="56" s="1"/>
  <c r="F6986" i="56" s="1"/>
  <c r="F6987" i="56" s="1"/>
  <c r="F6988" i="56" s="1"/>
  <c r="F6989" i="56" s="1"/>
  <c r="F6990" i="56" s="1"/>
  <c r="F6991" i="56" s="1"/>
  <c r="F6992" i="56" s="1"/>
  <c r="F6993" i="56" s="1"/>
  <c r="F6994" i="56" s="1"/>
  <c r="F6995" i="56" s="1"/>
  <c r="F6996" i="56" s="1"/>
  <c r="F6997" i="56" s="1"/>
  <c r="F6998" i="56" s="1"/>
  <c r="F6999" i="56" s="1"/>
  <c r="F7000" i="56" s="1"/>
  <c r="F7001" i="56" s="1"/>
  <c r="F7002" i="56" s="1"/>
  <c r="F7003" i="56" s="1"/>
  <c r="F7004" i="56" s="1"/>
  <c r="F7005" i="56" s="1"/>
  <c r="F7006" i="56" s="1"/>
  <c r="F7007" i="56" s="1"/>
  <c r="F7008" i="56" s="1"/>
  <c r="F7009" i="56" s="1"/>
  <c r="F7010" i="56" s="1"/>
  <c r="F7011" i="56" s="1"/>
  <c r="F7012" i="56" s="1"/>
  <c r="F7013" i="56" s="1"/>
  <c r="F7014" i="56" s="1"/>
  <c r="F7015" i="56" s="1"/>
  <c r="F7016" i="56" s="1"/>
  <c r="F7017" i="56" s="1"/>
  <c r="F7018" i="56" s="1"/>
  <c r="F7019" i="56" s="1"/>
  <c r="F7020" i="56" s="1"/>
  <c r="F7021" i="56" s="1"/>
  <c r="F7022" i="56" s="1"/>
  <c r="F7023" i="56" s="1"/>
  <c r="F7024" i="56" s="1"/>
  <c r="F7025" i="56" s="1"/>
  <c r="F7026" i="56" s="1"/>
  <c r="F7027" i="56" s="1"/>
  <c r="F7028" i="56" s="1"/>
  <c r="F7029" i="56" s="1"/>
  <c r="F7030" i="56" s="1"/>
  <c r="F7031" i="56" s="1"/>
  <c r="F7032" i="56" s="1"/>
  <c r="F7033" i="56" s="1"/>
  <c r="F7034" i="56" s="1"/>
  <c r="F7035" i="56" s="1"/>
  <c r="F7036" i="56" s="1"/>
  <c r="F7037" i="56" s="1"/>
  <c r="F7038" i="56" s="1"/>
  <c r="F7039" i="56" s="1"/>
  <c r="F7040" i="56" s="1"/>
  <c r="F7041" i="56" s="1"/>
  <c r="F7042" i="56" s="1"/>
  <c r="F7043" i="56" s="1"/>
  <c r="F7044" i="56" s="1"/>
  <c r="F7045" i="56" s="1"/>
  <c r="F7046" i="56" s="1"/>
  <c r="F7047" i="56" s="1"/>
  <c r="F7048" i="56" s="1"/>
  <c r="F7049" i="56" s="1"/>
  <c r="F7050" i="56" s="1"/>
  <c r="F7051" i="56" s="1"/>
  <c r="F7052" i="56" s="1"/>
  <c r="F7053" i="56" s="1"/>
  <c r="F7054" i="56" s="1"/>
  <c r="F7055" i="56" s="1"/>
  <c r="F7056" i="56" s="1"/>
  <c r="F7057" i="56" s="1"/>
  <c r="F7058" i="56" s="1"/>
  <c r="F7059" i="56" s="1"/>
  <c r="F7060" i="56" s="1"/>
  <c r="F7061" i="56" s="1"/>
  <c r="F7062" i="56" s="1"/>
  <c r="F7063" i="56" s="1"/>
  <c r="F7064" i="56" s="1"/>
  <c r="F7065" i="56" s="1"/>
  <c r="F7066" i="56" s="1"/>
  <c r="F7067" i="56" s="1"/>
  <c r="F7068" i="56" s="1"/>
  <c r="F7069" i="56" s="1"/>
  <c r="F7070" i="56" s="1"/>
  <c r="F7071" i="56" s="1"/>
  <c r="F7072" i="56" s="1"/>
  <c r="F7073" i="56" s="1"/>
  <c r="F7074" i="56" s="1"/>
  <c r="F7075" i="56" s="1"/>
  <c r="F7076" i="56" s="1"/>
  <c r="F7077" i="56" s="1"/>
  <c r="F7078" i="56" s="1"/>
  <c r="F7079" i="56" s="1"/>
  <c r="F7080" i="56" s="1"/>
  <c r="F7081" i="56" s="1"/>
  <c r="F7082" i="56" s="1"/>
  <c r="F7083" i="56" s="1"/>
  <c r="F7084" i="56" s="1"/>
  <c r="F7085" i="56" s="1"/>
  <c r="F7086" i="56" s="1"/>
  <c r="F7087" i="56" s="1"/>
  <c r="F7088" i="56" s="1"/>
  <c r="F7089" i="56" s="1"/>
  <c r="F7090" i="56" s="1"/>
  <c r="F7091" i="56" s="1"/>
  <c r="F7092" i="56" s="1"/>
  <c r="F7093" i="56" s="1"/>
  <c r="F7094" i="56" s="1"/>
  <c r="F7095" i="56" s="1"/>
  <c r="F7096" i="56" s="1"/>
  <c r="F7097" i="56" s="1"/>
  <c r="F7098" i="56" s="1"/>
  <c r="F7099" i="56" s="1"/>
  <c r="F7100" i="56" s="1"/>
  <c r="F7101" i="56" s="1"/>
  <c r="F7102" i="56" s="1"/>
  <c r="F7103" i="56" s="1"/>
  <c r="F7104" i="56" s="1"/>
  <c r="F7105" i="56" s="1"/>
  <c r="F7106" i="56" s="1"/>
  <c r="F7107" i="56" s="1"/>
  <c r="F7108" i="56" s="1"/>
  <c r="F7109" i="56" s="1"/>
  <c r="F7110" i="56" s="1"/>
  <c r="F7111" i="56" s="1"/>
  <c r="F7112" i="56" s="1"/>
  <c r="F7113" i="56" s="1"/>
  <c r="F7114" i="56" s="1"/>
  <c r="F7115" i="56" s="1"/>
  <c r="F7116" i="56" s="1"/>
  <c r="F7117" i="56" s="1"/>
  <c r="F7118" i="56" s="1"/>
  <c r="F7119" i="56" s="1"/>
  <c r="F7120" i="56" s="1"/>
  <c r="F7121" i="56" s="1"/>
  <c r="F7122" i="56" s="1"/>
  <c r="F7123" i="56" s="1"/>
  <c r="F7124" i="56" s="1"/>
  <c r="F7125" i="56" s="1"/>
  <c r="F7126" i="56" s="1"/>
  <c r="F7127" i="56" s="1"/>
  <c r="F7128" i="56" s="1"/>
  <c r="F7129" i="56" s="1"/>
  <c r="F7130" i="56" s="1"/>
  <c r="F7131" i="56" s="1"/>
  <c r="F7132" i="56" s="1"/>
  <c r="F7133" i="56" s="1"/>
  <c r="F7134" i="56" s="1"/>
  <c r="F7135" i="56" s="1"/>
  <c r="F7136" i="56" s="1"/>
  <c r="F7137" i="56" s="1"/>
  <c r="F7138" i="56" s="1"/>
  <c r="F7139" i="56" s="1"/>
  <c r="F7140" i="56" s="1"/>
  <c r="F7141" i="56" s="1"/>
  <c r="F7142" i="56" s="1"/>
  <c r="F7143" i="56" s="1"/>
  <c r="F7144" i="56" s="1"/>
  <c r="F7145" i="56" s="1"/>
  <c r="F7146" i="56" s="1"/>
  <c r="F7147" i="56" s="1"/>
  <c r="F7148" i="56" s="1"/>
  <c r="F7149" i="56" s="1"/>
  <c r="F7150" i="56" s="1"/>
  <c r="F7151" i="56" s="1"/>
  <c r="F7152" i="56" s="1"/>
  <c r="F7153" i="56" s="1"/>
  <c r="F7154" i="56" s="1"/>
  <c r="F7155" i="56" s="1"/>
  <c r="F7156" i="56" s="1"/>
  <c r="F7157" i="56" s="1"/>
  <c r="F7158" i="56" s="1"/>
  <c r="F7159" i="56" s="1"/>
  <c r="F7160" i="56" s="1"/>
  <c r="F7161" i="56" s="1"/>
  <c r="F7162" i="56" s="1"/>
  <c r="F7163" i="56" s="1"/>
  <c r="F7164" i="56" s="1"/>
  <c r="F7165" i="56" s="1"/>
  <c r="F7166" i="56" s="1"/>
  <c r="F7167" i="56" s="1"/>
  <c r="F7168" i="56" s="1"/>
  <c r="F7169" i="56" s="1"/>
  <c r="F7170" i="56" s="1"/>
  <c r="F7171" i="56" s="1"/>
  <c r="F7172" i="56" s="1"/>
  <c r="F7173" i="56" s="1"/>
  <c r="F7174" i="56" s="1"/>
  <c r="F7175" i="56" s="1"/>
  <c r="F7176" i="56" s="1"/>
  <c r="F7177" i="56" s="1"/>
  <c r="F7178" i="56" s="1"/>
  <c r="F7179" i="56" s="1"/>
  <c r="F7180" i="56" s="1"/>
  <c r="F7181" i="56" s="1"/>
  <c r="F7182" i="56" s="1"/>
  <c r="F7183" i="56" s="1"/>
  <c r="F7184" i="56" s="1"/>
  <c r="F7185" i="56" s="1"/>
  <c r="F7186" i="56" s="1"/>
  <c r="F7187" i="56" s="1"/>
  <c r="F7188" i="56" s="1"/>
  <c r="F7189" i="56" s="1"/>
  <c r="F7190" i="56" s="1"/>
  <c r="F7191" i="56" s="1"/>
  <c r="F7192" i="56" s="1"/>
  <c r="F7193" i="56" s="1"/>
  <c r="F7194" i="56" s="1"/>
  <c r="F7195" i="56" s="1"/>
  <c r="F7196" i="56" s="1"/>
  <c r="F7197" i="56" s="1"/>
  <c r="F7198" i="56" s="1"/>
  <c r="F6931" i="56"/>
  <c r="E3541" i="12" l="1"/>
  <c r="E3529" i="12" l="1"/>
  <c r="H327" i="54" l="1"/>
  <c r="E3495" i="12" l="1"/>
  <c r="E3494" i="12"/>
  <c r="E3492" i="12" l="1"/>
  <c r="E3460" i="12" l="1"/>
  <c r="E3431" i="12" l="1"/>
  <c r="E3430" i="12"/>
  <c r="E3407" i="12" l="1"/>
  <c r="J171" i="45" l="1"/>
  <c r="E3384" i="12" l="1"/>
  <c r="E3385" i="12"/>
  <c r="E3326" i="12" l="1"/>
  <c r="E3310" i="12" l="1"/>
  <c r="E3298" i="12" l="1"/>
  <c r="E3299" i="12"/>
  <c r="I3279" i="12" l="1"/>
  <c r="I3280" i="12" s="1"/>
  <c r="E3280" i="12" l="1"/>
  <c r="E3279" i="12"/>
  <c r="E3217" i="12" l="1"/>
  <c r="E3216" i="12"/>
  <c r="I3209" i="12" l="1"/>
  <c r="I3200" i="12" l="1"/>
  <c r="I295" i="54" l="1"/>
  <c r="I297" i="54" s="1"/>
  <c r="I294" i="54"/>
  <c r="K294" i="54" s="1"/>
  <c r="E3163" i="12" l="1"/>
  <c r="E3162" i="12"/>
  <c r="E3116" i="12" l="1"/>
  <c r="E3076" i="12" l="1"/>
  <c r="E3075" i="12"/>
  <c r="E3046" i="12" l="1"/>
  <c r="F2" i="53" l="1"/>
  <c r="F3" i="53" s="1"/>
  <c r="F4" i="53" s="1"/>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F31" i="53" s="1"/>
  <c r="F32" i="53" s="1"/>
  <c r="F33" i="53" s="1"/>
  <c r="F34" i="53" s="1"/>
  <c r="F35" i="53" s="1"/>
  <c r="F36" i="53" s="1"/>
  <c r="F37" i="53" s="1"/>
  <c r="F38" i="53" s="1"/>
  <c r="F39" i="53" s="1"/>
  <c r="F40" i="53" s="1"/>
  <c r="F41" i="53" s="1"/>
  <c r="F42" i="53" s="1"/>
  <c r="F43" i="53" s="1"/>
  <c r="F44" i="53" s="1"/>
  <c r="F45" i="53" s="1"/>
  <c r="F46" i="53" s="1"/>
  <c r="F47" i="53" s="1"/>
  <c r="F48" i="53" s="1"/>
  <c r="F49" i="53" s="1"/>
  <c r="F50" i="53" s="1"/>
  <c r="F51" i="53" s="1"/>
  <c r="F52" i="53" s="1"/>
  <c r="F53" i="53" s="1"/>
  <c r="F54" i="53" s="1"/>
  <c r="F55" i="53" s="1"/>
  <c r="F56" i="53" s="1"/>
  <c r="F57" i="53" s="1"/>
  <c r="F58" i="53" s="1"/>
  <c r="F59" i="53" s="1"/>
  <c r="F60" i="53" s="1"/>
  <c r="F61" i="53" s="1"/>
  <c r="F62" i="53" s="1"/>
  <c r="F63" i="53" s="1"/>
  <c r="F64" i="53" s="1"/>
  <c r="F65" i="53" s="1"/>
  <c r="F66" i="53" s="1"/>
  <c r="F67" i="53" s="1"/>
  <c r="F68" i="53" s="1"/>
  <c r="F69" i="53" s="1"/>
  <c r="F70" i="53" s="1"/>
  <c r="F71" i="53" s="1"/>
  <c r="F72" i="53" s="1"/>
  <c r="F73" i="53" s="1"/>
  <c r="F74" i="53" s="1"/>
  <c r="F75" i="53" s="1"/>
  <c r="F76" i="53" s="1"/>
  <c r="F77" i="53" s="1"/>
  <c r="F78" i="53" s="1"/>
  <c r="F79" i="53" s="1"/>
  <c r="F80" i="53" s="1"/>
  <c r="F81" i="53" s="1"/>
  <c r="F82" i="53" s="1"/>
  <c r="F83" i="53" s="1"/>
  <c r="F84" i="53" s="1"/>
  <c r="F85" i="53" s="1"/>
  <c r="F86" i="53" s="1"/>
  <c r="F87" i="53" s="1"/>
  <c r="F88" i="53" s="1"/>
  <c r="F89" i="53" s="1"/>
  <c r="F90" i="53" s="1"/>
  <c r="F91" i="53" s="1"/>
  <c r="F92" i="53" s="1"/>
  <c r="F93" i="53" s="1"/>
  <c r="F94" i="53" s="1"/>
  <c r="F95" i="53" s="1"/>
  <c r="F96" i="53" s="1"/>
  <c r="F97" i="53" s="1"/>
  <c r="F98" i="53" s="1"/>
  <c r="F99" i="53" s="1"/>
  <c r="F100" i="53" s="1"/>
  <c r="F101" i="53" s="1"/>
  <c r="F102" i="53" s="1"/>
  <c r="F103" i="53" s="1"/>
  <c r="F104" i="53" s="1"/>
  <c r="F105" i="53" s="1"/>
  <c r="F106" i="53" s="1"/>
  <c r="F107" i="53" s="1"/>
  <c r="F108" i="53" s="1"/>
  <c r="F109" i="53" s="1"/>
  <c r="F110" i="53" s="1"/>
  <c r="F111" i="53" s="1"/>
  <c r="F112" i="53" s="1"/>
  <c r="F113" i="53" s="1"/>
  <c r="F114" i="53" s="1"/>
  <c r="F115" i="53" s="1"/>
  <c r="F116" i="53" s="1"/>
  <c r="F117" i="53" s="1"/>
  <c r="F118" i="53" s="1"/>
  <c r="F119" i="53" s="1"/>
  <c r="F120" i="53" s="1"/>
  <c r="F121" i="53" s="1"/>
  <c r="F122" i="53" s="1"/>
  <c r="F123" i="53" s="1"/>
  <c r="F124" i="53" s="1"/>
  <c r="F125" i="53" s="1"/>
  <c r="F126" i="53" s="1"/>
  <c r="F127" i="53" s="1"/>
  <c r="F128" i="53" s="1"/>
  <c r="F129" i="53" s="1"/>
  <c r="F130" i="53" s="1"/>
  <c r="F131" i="53" s="1"/>
  <c r="F132" i="53" s="1"/>
  <c r="F133" i="53" s="1"/>
  <c r="F134" i="53" s="1"/>
  <c r="F135" i="53" s="1"/>
  <c r="F136" i="53" s="1"/>
  <c r="F137" i="53" s="1"/>
  <c r="F138" i="53" s="1"/>
  <c r="F139" i="53" s="1"/>
  <c r="F140" i="53" s="1"/>
  <c r="F141" i="53" s="1"/>
  <c r="F142" i="53" s="1"/>
  <c r="F143" i="53" s="1"/>
  <c r="F144" i="53" s="1"/>
  <c r="F145" i="53" s="1"/>
  <c r="F146" i="53" s="1"/>
  <c r="F147" i="53" s="1"/>
  <c r="F148" i="53" s="1"/>
  <c r="F149" i="53" s="1"/>
  <c r="F150" i="53" s="1"/>
  <c r="F151" i="53" s="1"/>
  <c r="F152" i="53" s="1"/>
  <c r="F153" i="53" s="1"/>
  <c r="F154" i="53" s="1"/>
  <c r="F155" i="53" s="1"/>
  <c r="F156" i="53" s="1"/>
  <c r="F157" i="53" s="1"/>
  <c r="F158" i="53" s="1"/>
  <c r="F159" i="53" s="1"/>
  <c r="F160" i="53" s="1"/>
  <c r="F161" i="53" s="1"/>
  <c r="F162" i="53" s="1"/>
  <c r="F163" i="53" s="1"/>
  <c r="F164" i="53" s="1"/>
  <c r="F165" i="53" s="1"/>
  <c r="F166" i="53" s="1"/>
  <c r="F167" i="53" s="1"/>
  <c r="F168" i="53" s="1"/>
  <c r="F169" i="53" s="1"/>
  <c r="F170" i="53" s="1"/>
  <c r="F171" i="53" s="1"/>
  <c r="F172" i="53" s="1"/>
  <c r="F173" i="53" s="1"/>
  <c r="F174" i="53" s="1"/>
  <c r="F175" i="53" s="1"/>
  <c r="F176" i="53" s="1"/>
  <c r="F177" i="53" s="1"/>
  <c r="F178" i="53" s="1"/>
  <c r="F179" i="53" s="1"/>
  <c r="F180" i="53" s="1"/>
  <c r="F181" i="53" s="1"/>
  <c r="F182" i="53" s="1"/>
  <c r="F183" i="53" s="1"/>
  <c r="F184" i="53" s="1"/>
  <c r="F185" i="53" s="1"/>
  <c r="F186" i="53" s="1"/>
  <c r="F187" i="53" s="1"/>
  <c r="F188" i="53" s="1"/>
  <c r="F189" i="53" s="1"/>
  <c r="F190" i="53" s="1"/>
  <c r="F191" i="53" s="1"/>
  <c r="F192" i="53" s="1"/>
  <c r="F193" i="53" s="1"/>
  <c r="F194" i="53" s="1"/>
  <c r="F195" i="53" s="1"/>
  <c r="F196" i="53" s="1"/>
  <c r="F197" i="53" s="1"/>
  <c r="F198" i="53" s="1"/>
  <c r="F199" i="53" s="1"/>
  <c r="F200" i="53" s="1"/>
  <c r="F201" i="53" s="1"/>
  <c r="F202" i="53" s="1"/>
  <c r="F203" i="53" s="1"/>
  <c r="F204" i="53" s="1"/>
  <c r="F205" i="53" s="1"/>
  <c r="F206" i="53" s="1"/>
  <c r="F207" i="53" s="1"/>
  <c r="F208" i="53" s="1"/>
  <c r="F209" i="53" s="1"/>
  <c r="F210" i="53" s="1"/>
  <c r="F211" i="53" s="1"/>
  <c r="F212" i="53" s="1"/>
  <c r="F213" i="53" s="1"/>
  <c r="F214" i="53" s="1"/>
  <c r="F215" i="53" s="1"/>
  <c r="F216" i="53" s="1"/>
  <c r="F217" i="53" s="1"/>
  <c r="F218" i="53" s="1"/>
  <c r="F219" i="53" s="1"/>
  <c r="F220" i="53" s="1"/>
  <c r="F221" i="53" s="1"/>
  <c r="F222" i="53" s="1"/>
  <c r="F223" i="53" s="1"/>
  <c r="F224" i="53" s="1"/>
  <c r="F225" i="53" s="1"/>
  <c r="F226" i="53" s="1"/>
  <c r="F227" i="53" s="1"/>
  <c r="F228" i="53" s="1"/>
  <c r="F229" i="53" s="1"/>
  <c r="F230" i="53" s="1"/>
  <c r="F231" i="53" s="1"/>
  <c r="F232" i="53" s="1"/>
  <c r="F233" i="53" s="1"/>
  <c r="F234" i="53" s="1"/>
  <c r="F235" i="53" s="1"/>
  <c r="F236" i="53" s="1"/>
  <c r="F237" i="53" s="1"/>
  <c r="F238" i="53" s="1"/>
  <c r="F239" i="53" s="1"/>
  <c r="F240" i="53" s="1"/>
  <c r="F241" i="53" s="1"/>
  <c r="F242" i="53" s="1"/>
  <c r="F243" i="53" s="1"/>
  <c r="F244" i="53" s="1"/>
  <c r="F245" i="53" s="1"/>
  <c r="F246" i="53" s="1"/>
  <c r="F247" i="53" s="1"/>
  <c r="F248" i="53" s="1"/>
  <c r="F249" i="53" s="1"/>
  <c r="F250" i="53" s="1"/>
  <c r="F251" i="53" s="1"/>
  <c r="F252" i="53" s="1"/>
  <c r="F253" i="53" s="1"/>
  <c r="F254" i="53" s="1"/>
  <c r="F255" i="53" s="1"/>
  <c r="F256" i="53" s="1"/>
  <c r="F257" i="53" s="1"/>
  <c r="F258" i="53" s="1"/>
  <c r="F259" i="53" s="1"/>
  <c r="F260" i="53" s="1"/>
  <c r="F261" i="53" s="1"/>
  <c r="F262" i="53" s="1"/>
  <c r="F263" i="53" s="1"/>
  <c r="F264" i="53" s="1"/>
  <c r="F265" i="53" s="1"/>
  <c r="F266" i="53" s="1"/>
  <c r="F267" i="53" s="1"/>
  <c r="F268" i="53" s="1"/>
  <c r="F269" i="53" s="1"/>
  <c r="F270" i="53" s="1"/>
  <c r="F271" i="53" s="1"/>
  <c r="F272" i="53" s="1"/>
  <c r="F273" i="53" s="1"/>
  <c r="F274" i="53" s="1"/>
  <c r="F275" i="53" s="1"/>
  <c r="F276" i="53" s="1"/>
  <c r="F277" i="53" s="1"/>
  <c r="F278" i="53" s="1"/>
  <c r="F279" i="53" s="1"/>
  <c r="F280" i="53" s="1"/>
  <c r="F281" i="53" s="1"/>
  <c r="F282" i="53" s="1"/>
  <c r="F283" i="53" s="1"/>
  <c r="F284" i="53" s="1"/>
  <c r="F285" i="53" s="1"/>
  <c r="F286" i="53" s="1"/>
  <c r="F287" i="53" s="1"/>
  <c r="F288" i="53" s="1"/>
  <c r="F289" i="53" s="1"/>
  <c r="F290" i="53" s="1"/>
  <c r="F291" i="53" s="1"/>
  <c r="F292" i="53" s="1"/>
  <c r="F293" i="53" s="1"/>
  <c r="F294" i="53" s="1"/>
  <c r="F295" i="53" s="1"/>
  <c r="F296" i="53" s="1"/>
  <c r="F297" i="53" s="1"/>
  <c r="F298" i="53" s="1"/>
  <c r="F299" i="53" s="1"/>
  <c r="F300" i="53" s="1"/>
  <c r="F301" i="53" s="1"/>
  <c r="F302" i="53" s="1"/>
  <c r="F303" i="53" s="1"/>
  <c r="F304" i="53" s="1"/>
  <c r="F305" i="53" s="1"/>
  <c r="F306" i="53" s="1"/>
  <c r="F307" i="53" s="1"/>
  <c r="F308" i="53" s="1"/>
  <c r="F309" i="53" s="1"/>
  <c r="F310" i="53" s="1"/>
  <c r="F311" i="53" s="1"/>
  <c r="F312" i="53" s="1"/>
  <c r="F313" i="53" s="1"/>
  <c r="F314" i="53" s="1"/>
  <c r="F315" i="53" s="1"/>
  <c r="F316" i="53" s="1"/>
  <c r="F317" i="53" s="1"/>
  <c r="F318" i="53" s="1"/>
  <c r="F319" i="53" s="1"/>
  <c r="F320" i="53" s="1"/>
  <c r="F321" i="53" s="1"/>
  <c r="F322" i="53" s="1"/>
  <c r="F323" i="53" s="1"/>
  <c r="F324" i="53" s="1"/>
  <c r="F325" i="53" s="1"/>
  <c r="F326" i="53" s="1"/>
  <c r="F327" i="53" s="1"/>
  <c r="F328" i="53" s="1"/>
  <c r="F329" i="53" s="1"/>
  <c r="F330" i="53" s="1"/>
  <c r="F331" i="53" s="1"/>
  <c r="F332" i="53" s="1"/>
  <c r="F333" i="53" s="1"/>
  <c r="F334" i="53" s="1"/>
  <c r="F335" i="53" s="1"/>
  <c r="F336" i="53" s="1"/>
  <c r="F337" i="53" s="1"/>
  <c r="F338" i="53" s="1"/>
  <c r="F339" i="53" s="1"/>
  <c r="F340" i="53" s="1"/>
  <c r="F341" i="53" s="1"/>
  <c r="F342" i="53" s="1"/>
  <c r="F343" i="53" s="1"/>
  <c r="F344" i="53" s="1"/>
  <c r="F345" i="53" s="1"/>
  <c r="F346" i="53" s="1"/>
  <c r="F347" i="53" s="1"/>
  <c r="F348" i="53" s="1"/>
  <c r="F349" i="53" s="1"/>
  <c r="F350" i="53" s="1"/>
  <c r="F351" i="53" s="1"/>
  <c r="F352" i="53" s="1"/>
  <c r="F353" i="53" s="1"/>
  <c r="F354" i="53" s="1"/>
  <c r="F355" i="53" s="1"/>
  <c r="F356" i="53" s="1"/>
  <c r="F357" i="53" s="1"/>
  <c r="F358" i="53" s="1"/>
  <c r="F359" i="53" s="1"/>
  <c r="F360" i="53" s="1"/>
  <c r="F361" i="53" s="1"/>
  <c r="F362" i="53" s="1"/>
  <c r="F363" i="53" s="1"/>
  <c r="F364" i="53" s="1"/>
  <c r="F365" i="53" s="1"/>
  <c r="F366" i="53" s="1"/>
  <c r="F367" i="53" s="1"/>
  <c r="F368" i="53" s="1"/>
  <c r="F369" i="53" s="1"/>
  <c r="F370" i="53" s="1"/>
  <c r="F371" i="53" s="1"/>
  <c r="F372" i="53" s="1"/>
  <c r="F373" i="53" s="1"/>
  <c r="F374" i="53" s="1"/>
  <c r="F375" i="53" s="1"/>
  <c r="F376" i="53" s="1"/>
  <c r="F377" i="53" s="1"/>
  <c r="F378" i="53" s="1"/>
  <c r="F379" i="53" s="1"/>
  <c r="F380" i="53" s="1"/>
  <c r="F381" i="53" s="1"/>
  <c r="F382" i="53" s="1"/>
  <c r="F383" i="53" s="1"/>
  <c r="F384" i="53" s="1"/>
  <c r="F385" i="53" s="1"/>
  <c r="F386" i="53" s="1"/>
  <c r="F387" i="53" s="1"/>
  <c r="F388" i="53" s="1"/>
  <c r="F389" i="53" s="1"/>
  <c r="F390" i="53" s="1"/>
  <c r="F391" i="53" s="1"/>
  <c r="F392" i="53" s="1"/>
  <c r="F393" i="53" s="1"/>
  <c r="F394" i="53" s="1"/>
  <c r="F395" i="53" s="1"/>
  <c r="F396" i="53" s="1"/>
  <c r="F397" i="53" s="1"/>
  <c r="F398" i="53" s="1"/>
  <c r="F399" i="53" s="1"/>
  <c r="F400" i="53" s="1"/>
  <c r="F401" i="53" s="1"/>
  <c r="F402" i="53" s="1"/>
  <c r="F403" i="53" s="1"/>
  <c r="F404" i="53" s="1"/>
  <c r="F405" i="53" s="1"/>
  <c r="F406" i="53" s="1"/>
  <c r="F407" i="53" s="1"/>
  <c r="F408" i="53" s="1"/>
  <c r="F409" i="53" s="1"/>
  <c r="F410" i="53" s="1"/>
  <c r="F411" i="53" s="1"/>
  <c r="F412" i="53" s="1"/>
  <c r="F413" i="53" s="1"/>
  <c r="F414" i="53" s="1"/>
  <c r="F415" i="53" s="1"/>
  <c r="F416" i="53" s="1"/>
  <c r="F417" i="53" s="1"/>
  <c r="F418" i="53" s="1"/>
  <c r="F419" i="53" s="1"/>
  <c r="F420" i="53" s="1"/>
  <c r="F421" i="53" s="1"/>
  <c r="F422" i="53" s="1"/>
  <c r="F423" i="53" s="1"/>
  <c r="F424" i="53" s="1"/>
  <c r="F425" i="53" s="1"/>
  <c r="F426" i="53" s="1"/>
  <c r="F427" i="53" s="1"/>
  <c r="F428" i="53" s="1"/>
  <c r="F429" i="53" s="1"/>
  <c r="F430" i="53" s="1"/>
  <c r="F431" i="53" s="1"/>
  <c r="F432" i="53" s="1"/>
  <c r="F433" i="53" s="1"/>
  <c r="F434" i="53" s="1"/>
  <c r="F435" i="53" s="1"/>
  <c r="F436" i="53" s="1"/>
  <c r="F437" i="53" s="1"/>
  <c r="F438" i="53" s="1"/>
  <c r="F439" i="53" s="1"/>
  <c r="F440" i="53" s="1"/>
  <c r="F441" i="53" s="1"/>
  <c r="F442" i="53" s="1"/>
  <c r="F443" i="53" s="1"/>
  <c r="F444" i="53" s="1"/>
  <c r="F445" i="53" s="1"/>
  <c r="F446" i="53" s="1"/>
  <c r="F447" i="53" s="1"/>
  <c r="F448" i="53" s="1"/>
  <c r="F449" i="53" s="1"/>
  <c r="F450" i="53" s="1"/>
  <c r="F451" i="53" s="1"/>
  <c r="F452" i="53" s="1"/>
  <c r="F453" i="53" s="1"/>
  <c r="F454" i="53" s="1"/>
  <c r="F455" i="53" s="1"/>
  <c r="F456" i="53" s="1"/>
  <c r="F457" i="53" s="1"/>
  <c r="F458" i="53" s="1"/>
  <c r="F459" i="53" s="1"/>
  <c r="F460" i="53" s="1"/>
  <c r="F461" i="53" s="1"/>
  <c r="F462" i="53" s="1"/>
  <c r="F463" i="53" s="1"/>
  <c r="F464" i="53" s="1"/>
  <c r="F465" i="53" s="1"/>
  <c r="F466" i="53" s="1"/>
  <c r="F467" i="53" s="1"/>
  <c r="F468" i="53" s="1"/>
  <c r="F469" i="53" s="1"/>
  <c r="F470" i="53" s="1"/>
  <c r="F471" i="53" s="1"/>
  <c r="F472" i="53" s="1"/>
  <c r="F473" i="53" s="1"/>
  <c r="F474" i="53" s="1"/>
  <c r="F475" i="53" s="1"/>
  <c r="F476" i="53" s="1"/>
  <c r="F477" i="53" s="1"/>
  <c r="F478" i="53" s="1"/>
  <c r="F479" i="53" s="1"/>
  <c r="F480" i="53" s="1"/>
  <c r="F481" i="53" s="1"/>
  <c r="F482" i="53" s="1"/>
  <c r="F483" i="53" s="1"/>
  <c r="F484" i="53" s="1"/>
  <c r="F485" i="53" s="1"/>
  <c r="F486" i="53" s="1"/>
  <c r="F487" i="53" s="1"/>
  <c r="F488" i="53" s="1"/>
  <c r="F489" i="53" s="1"/>
  <c r="F490" i="53" s="1"/>
  <c r="F491" i="53" s="1"/>
  <c r="F492" i="53" s="1"/>
  <c r="F493" i="53" s="1"/>
  <c r="F494" i="53" s="1"/>
  <c r="F495" i="53" s="1"/>
  <c r="F496" i="53" s="1"/>
  <c r="F497" i="53" s="1"/>
  <c r="F498" i="53" s="1"/>
  <c r="F499" i="53" s="1"/>
  <c r="F500" i="53" s="1"/>
  <c r="F501" i="53" s="1"/>
  <c r="F502" i="53" s="1"/>
  <c r="F503" i="53" s="1"/>
  <c r="F504" i="53" s="1"/>
  <c r="F505" i="53" s="1"/>
  <c r="F506" i="53" s="1"/>
  <c r="F507" i="53" s="1"/>
  <c r="F508" i="53" s="1"/>
  <c r="F509" i="53" s="1"/>
  <c r="F510" i="53" s="1"/>
  <c r="F511" i="53" s="1"/>
  <c r="F512" i="53" s="1"/>
  <c r="F513" i="53" s="1"/>
  <c r="F514" i="53" s="1"/>
  <c r="F515" i="53" s="1"/>
  <c r="F516" i="53" s="1"/>
  <c r="F517" i="53" s="1"/>
  <c r="F518" i="53" s="1"/>
  <c r="F519" i="53" s="1"/>
  <c r="F520" i="53" s="1"/>
  <c r="F521" i="53" s="1"/>
  <c r="F522" i="53" s="1"/>
  <c r="F523" i="53" s="1"/>
  <c r="F524" i="53" s="1"/>
  <c r="F525" i="53" s="1"/>
  <c r="F526" i="53" s="1"/>
  <c r="F527" i="53" s="1"/>
  <c r="F528" i="53" s="1"/>
  <c r="F529" i="53" s="1"/>
  <c r="F530" i="53" s="1"/>
  <c r="F531" i="53" s="1"/>
  <c r="F532" i="53" s="1"/>
  <c r="F533" i="53" s="1"/>
  <c r="F534" i="53" s="1"/>
  <c r="F535" i="53" s="1"/>
  <c r="F536" i="53" s="1"/>
  <c r="F537" i="53" s="1"/>
  <c r="F538" i="53" s="1"/>
  <c r="F539" i="53" s="1"/>
  <c r="F540" i="53" s="1"/>
  <c r="F541" i="53" s="1"/>
  <c r="F542" i="53" s="1"/>
  <c r="F543" i="53" s="1"/>
  <c r="F544" i="53" s="1"/>
  <c r="F545" i="53" s="1"/>
  <c r="F546" i="53" s="1"/>
  <c r="F547" i="53" s="1"/>
  <c r="F548" i="53" s="1"/>
  <c r="F549" i="53" s="1"/>
  <c r="F550" i="53" s="1"/>
  <c r="F551" i="53" s="1"/>
  <c r="F552" i="53" s="1"/>
  <c r="F553" i="53" s="1"/>
  <c r="F554" i="53" s="1"/>
  <c r="F555" i="53" s="1"/>
  <c r="F556" i="53" s="1"/>
  <c r="F557" i="53" s="1"/>
  <c r="F558" i="53" s="1"/>
  <c r="F559" i="53" s="1"/>
  <c r="F560" i="53" s="1"/>
  <c r="F561" i="53" s="1"/>
  <c r="F562" i="53" s="1"/>
  <c r="F563" i="53" s="1"/>
  <c r="F564" i="53" s="1"/>
  <c r="F565" i="53" s="1"/>
  <c r="F566" i="53" s="1"/>
  <c r="F567" i="53" s="1"/>
  <c r="F568" i="53" s="1"/>
  <c r="F569" i="53" s="1"/>
  <c r="F570" i="53" s="1"/>
  <c r="F571" i="53" s="1"/>
  <c r="F572" i="53" s="1"/>
  <c r="F573" i="53" s="1"/>
  <c r="F574" i="53" s="1"/>
  <c r="F575" i="53" s="1"/>
  <c r="F576" i="53" s="1"/>
  <c r="F577" i="53" s="1"/>
  <c r="F578" i="53" s="1"/>
  <c r="F579" i="53" s="1"/>
  <c r="F580" i="53" s="1"/>
  <c r="F581" i="53" s="1"/>
  <c r="F582" i="53" s="1"/>
  <c r="F583" i="53" s="1"/>
  <c r="F584" i="53" s="1"/>
  <c r="F585" i="53" s="1"/>
  <c r="F586" i="53" s="1"/>
  <c r="F587" i="53" s="1"/>
  <c r="F588" i="53" s="1"/>
  <c r="F589" i="53" s="1"/>
  <c r="F590" i="53" s="1"/>
  <c r="F591" i="53" s="1"/>
  <c r="F592" i="53" s="1"/>
  <c r="F593" i="53" s="1"/>
  <c r="F594" i="53" s="1"/>
  <c r="F595" i="53" s="1"/>
  <c r="F596" i="53" s="1"/>
  <c r="F597" i="53" s="1"/>
  <c r="F598" i="53" s="1"/>
  <c r="F599" i="53" s="1"/>
  <c r="F600" i="53" s="1"/>
  <c r="F601" i="53" s="1"/>
  <c r="F602" i="53" s="1"/>
  <c r="F603" i="53" s="1"/>
  <c r="F604" i="53" s="1"/>
  <c r="F605" i="53" s="1"/>
  <c r="F606" i="53" s="1"/>
  <c r="F607" i="53" s="1"/>
  <c r="F608" i="53" s="1"/>
  <c r="F609" i="53" s="1"/>
  <c r="F610" i="53" s="1"/>
  <c r="F611" i="53" s="1"/>
  <c r="F612" i="53" s="1"/>
  <c r="F613" i="53" s="1"/>
  <c r="F614" i="53" s="1"/>
  <c r="F615" i="53" s="1"/>
  <c r="F616" i="53" s="1"/>
  <c r="F617" i="53" s="1"/>
  <c r="F618" i="53" s="1"/>
  <c r="F619" i="53" s="1"/>
  <c r="F620" i="53" s="1"/>
  <c r="F621" i="53" s="1"/>
  <c r="F622" i="53" s="1"/>
  <c r="F623" i="53" s="1"/>
  <c r="F624" i="53" s="1"/>
  <c r="F625" i="53" s="1"/>
  <c r="F626" i="53" s="1"/>
  <c r="F627" i="53" s="1"/>
  <c r="F628" i="53" s="1"/>
  <c r="F629" i="53" s="1"/>
  <c r="F630" i="53" s="1"/>
  <c r="F631" i="53" s="1"/>
  <c r="F632" i="53" s="1"/>
  <c r="F633" i="53" s="1"/>
  <c r="F634" i="53" s="1"/>
  <c r="F635" i="53" s="1"/>
  <c r="F636" i="53" s="1"/>
  <c r="F637" i="53" s="1"/>
  <c r="F638" i="53" s="1"/>
  <c r="F639" i="53" s="1"/>
  <c r="F640" i="53" s="1"/>
  <c r="F641" i="53" s="1"/>
  <c r="F642" i="53" s="1"/>
  <c r="F643" i="53" s="1"/>
  <c r="F644" i="53" s="1"/>
  <c r="F645" i="53" s="1"/>
  <c r="F646" i="53" s="1"/>
  <c r="F647" i="53" s="1"/>
  <c r="F648" i="53" s="1"/>
  <c r="F649" i="53" s="1"/>
  <c r="F650" i="53" s="1"/>
  <c r="F651" i="53" s="1"/>
  <c r="F652" i="53" s="1"/>
  <c r="K198" i="54"/>
  <c r="D23" i="54"/>
  <c r="F2" i="54"/>
  <c r="F3" i="54" s="1"/>
  <c r="F4" i="54" s="1"/>
  <c r="F5" i="54" s="1"/>
  <c r="F6" i="54" s="1"/>
  <c r="F7" i="54" s="1"/>
  <c r="F8" i="54" s="1"/>
  <c r="F9" i="54" s="1"/>
  <c r="F10" i="54" s="1"/>
  <c r="F11" i="54" s="1"/>
  <c r="F12" i="54" s="1"/>
  <c r="F13" i="54" s="1"/>
  <c r="F14" i="54" s="1"/>
  <c r="F15" i="54" s="1"/>
  <c r="F16" i="54" s="1"/>
  <c r="F17" i="54" s="1"/>
  <c r="F18" i="54" s="1"/>
  <c r="F19" i="54" s="1"/>
  <c r="F20" i="54" s="1"/>
  <c r="F21" i="54" s="1"/>
  <c r="F22" i="54" s="1"/>
  <c r="F23" i="54" l="1"/>
  <c r="F24" i="54" s="1"/>
  <c r="F25" i="54" s="1"/>
  <c r="F26" i="54" s="1"/>
  <c r="F27" i="54" s="1"/>
  <c r="F28" i="54" s="1"/>
  <c r="F29" i="54" s="1"/>
  <c r="F30" i="54" s="1"/>
  <c r="F31" i="54" s="1"/>
  <c r="F32" i="54" s="1"/>
  <c r="F33" i="54" s="1"/>
  <c r="F34" i="54" s="1"/>
  <c r="F35" i="54" s="1"/>
  <c r="F36" i="54" s="1"/>
  <c r="F37" i="54" s="1"/>
  <c r="F38" i="54" s="1"/>
  <c r="F39" i="54" s="1"/>
  <c r="F40" i="54" s="1"/>
  <c r="F41" i="54" s="1"/>
  <c r="F42" i="54" s="1"/>
  <c r="F43" i="54" s="1"/>
  <c r="F44" i="54" s="1"/>
  <c r="F45" i="54" s="1"/>
  <c r="F46" i="54" s="1"/>
  <c r="F47" i="54" s="1"/>
  <c r="F48" i="54" s="1"/>
  <c r="F49" i="54" s="1"/>
  <c r="F50" i="54" s="1"/>
  <c r="F51" i="54" s="1"/>
  <c r="F52" i="54" s="1"/>
  <c r="F53" i="54" s="1"/>
  <c r="F54" i="54" s="1"/>
  <c r="F55" i="54" s="1"/>
  <c r="F56" i="54" s="1"/>
  <c r="F57" i="54" s="1"/>
  <c r="F58" i="54" s="1"/>
  <c r="F59" i="54" s="1"/>
  <c r="F60" i="54" s="1"/>
  <c r="F61" i="54" s="1"/>
  <c r="F62" i="54" s="1"/>
  <c r="F63" i="54" s="1"/>
  <c r="F64" i="54" s="1"/>
  <c r="F65" i="54" s="1"/>
  <c r="F66" i="54" s="1"/>
  <c r="F67" i="54" s="1"/>
  <c r="F68" i="54" s="1"/>
  <c r="F69" i="54" s="1"/>
  <c r="F70" i="54" s="1"/>
  <c r="F71" i="54" s="1"/>
  <c r="F72" i="54" s="1"/>
  <c r="F73" i="54" s="1"/>
  <c r="F74" i="54" s="1"/>
  <c r="F75" i="54" s="1"/>
  <c r="F76" i="54" s="1"/>
  <c r="F77" i="54" s="1"/>
  <c r="F78" i="54" s="1"/>
  <c r="F79" i="54" s="1"/>
  <c r="F80" i="54" s="1"/>
  <c r="F81" i="54" s="1"/>
  <c r="F82" i="54" s="1"/>
  <c r="F83" i="54" s="1"/>
  <c r="F84" i="54" s="1"/>
  <c r="F85" i="54" s="1"/>
  <c r="F86" i="54" s="1"/>
  <c r="F87" i="54" s="1"/>
  <c r="F88" i="54" s="1"/>
  <c r="F89" i="54" s="1"/>
  <c r="F90" i="54" s="1"/>
  <c r="F91" i="54" s="1"/>
  <c r="F92" i="54" s="1"/>
  <c r="F93" i="54" s="1"/>
  <c r="F94" i="54" s="1"/>
  <c r="F95" i="54" s="1"/>
  <c r="F96" i="54" s="1"/>
  <c r="F97" i="54" s="1"/>
  <c r="F98" i="54" s="1"/>
  <c r="F99" i="54" s="1"/>
  <c r="F100" i="54" s="1"/>
  <c r="F101" i="54" s="1"/>
  <c r="F102" i="54" s="1"/>
  <c r="F103" i="54" s="1"/>
  <c r="F104" i="54" s="1"/>
  <c r="F105" i="54" s="1"/>
  <c r="F106" i="54" s="1"/>
  <c r="F107" i="54" s="1"/>
  <c r="F108" i="54" s="1"/>
  <c r="F109" i="54" s="1"/>
  <c r="F110" i="54" s="1"/>
  <c r="F111" i="54" s="1"/>
  <c r="F112" i="54" s="1"/>
  <c r="F113" i="54" s="1"/>
  <c r="F114" i="54" s="1"/>
  <c r="F115" i="54" s="1"/>
  <c r="F116" i="54" s="1"/>
  <c r="F117" i="54" s="1"/>
  <c r="F118" i="54" s="1"/>
  <c r="F119" i="54" s="1"/>
  <c r="F120" i="54" s="1"/>
  <c r="F121" i="54" s="1"/>
  <c r="F122" i="54" s="1"/>
  <c r="F123" i="54" s="1"/>
  <c r="F124" i="54" s="1"/>
  <c r="F125" i="54" s="1"/>
  <c r="F126" i="54" s="1"/>
  <c r="F127" i="54" s="1"/>
  <c r="F128" i="54" s="1"/>
  <c r="F129" i="54" s="1"/>
  <c r="F130" i="54" s="1"/>
  <c r="F131" i="54" s="1"/>
  <c r="F132" i="54" s="1"/>
  <c r="F133" i="54" s="1"/>
  <c r="F134" i="54" s="1"/>
  <c r="F135" i="54" s="1"/>
  <c r="F136" i="54" s="1"/>
  <c r="F137" i="54" s="1"/>
  <c r="F138" i="54" s="1"/>
  <c r="F139" i="54" s="1"/>
  <c r="F140" i="54" s="1"/>
  <c r="F141" i="54" s="1"/>
  <c r="F142" i="54" s="1"/>
  <c r="F143" i="54" s="1"/>
  <c r="F144" i="54" s="1"/>
  <c r="F145" i="54" s="1"/>
  <c r="F146" i="54" s="1"/>
  <c r="F147" i="54" s="1"/>
  <c r="F148" i="54" s="1"/>
  <c r="F149" i="54" s="1"/>
  <c r="F150" i="54" s="1"/>
  <c r="F151" i="54" s="1"/>
  <c r="F152" i="54" s="1"/>
  <c r="F153" i="54" s="1"/>
  <c r="F154" i="54" s="1"/>
  <c r="F155" i="54" s="1"/>
  <c r="F156" i="54" s="1"/>
  <c r="F157" i="54" s="1"/>
  <c r="F158" i="54" s="1"/>
  <c r="F159" i="54" s="1"/>
  <c r="F160" i="54" s="1"/>
  <c r="F161" i="54" s="1"/>
  <c r="F162" i="54" s="1"/>
  <c r="F163" i="54" s="1"/>
  <c r="F164" i="54" s="1"/>
  <c r="F165" i="54" s="1"/>
  <c r="F166" i="54" s="1"/>
  <c r="F167" i="54" s="1"/>
  <c r="F168" i="54" s="1"/>
  <c r="F169" i="54" s="1"/>
  <c r="F170" i="54" s="1"/>
  <c r="F171" i="54" s="1"/>
  <c r="F172" i="54" s="1"/>
  <c r="F173" i="54" s="1"/>
  <c r="F174" i="54" s="1"/>
  <c r="F175" i="54" s="1"/>
  <c r="F176" i="54" s="1"/>
  <c r="F177" i="54" s="1"/>
  <c r="F178" i="54" s="1"/>
  <c r="F179" i="54" s="1"/>
  <c r="F180" i="54" s="1"/>
  <c r="F181" i="54" s="1"/>
  <c r="F182" i="54" s="1"/>
  <c r="F183" i="54" s="1"/>
  <c r="F184" i="54" s="1"/>
  <c r="F185" i="54" s="1"/>
  <c r="F186" i="54" s="1"/>
  <c r="F187" i="54" s="1"/>
  <c r="F188" i="54" s="1"/>
  <c r="F189" i="54" s="1"/>
  <c r="F190" i="54" s="1"/>
  <c r="F191" i="54" s="1"/>
  <c r="F192" i="54" s="1"/>
  <c r="F193" i="54" s="1"/>
  <c r="F194" i="54" s="1"/>
  <c r="F195" i="54" s="1"/>
  <c r="F196" i="54" s="1"/>
  <c r="F197" i="54" s="1"/>
  <c r="F198" i="54" s="1"/>
  <c r="F199" i="54" s="1"/>
  <c r="F200" i="54" s="1"/>
  <c r="F201" i="54" s="1"/>
  <c r="F202" i="54" s="1"/>
  <c r="F203" i="54" s="1"/>
  <c r="F204" i="54" s="1"/>
  <c r="F205" i="54" s="1"/>
  <c r="F206" i="54" s="1"/>
  <c r="F207" i="54" s="1"/>
  <c r="F208" i="54" s="1"/>
  <c r="F209" i="54" s="1"/>
  <c r="F210" i="54" s="1"/>
  <c r="F211" i="54" s="1"/>
  <c r="F212" i="54" s="1"/>
  <c r="F213" i="54" s="1"/>
  <c r="F214" i="54" s="1"/>
  <c r="F215" i="54" s="1"/>
  <c r="F216" i="54" s="1"/>
  <c r="F217" i="54" s="1"/>
  <c r="F218" i="54" s="1"/>
  <c r="F219" i="54" s="1"/>
  <c r="F220" i="54" s="1"/>
  <c r="F221" i="54" s="1"/>
  <c r="F222" i="54" s="1"/>
  <c r="F223" i="54" s="1"/>
  <c r="F224" i="54" s="1"/>
  <c r="F225" i="54" s="1"/>
  <c r="F226" i="54" s="1"/>
  <c r="F227" i="54" s="1"/>
  <c r="F228" i="54" s="1"/>
  <c r="F229" i="54" s="1"/>
  <c r="F230" i="54" s="1"/>
  <c r="F231" i="54" s="1"/>
  <c r="F232" i="54" s="1"/>
  <c r="F233" i="54" s="1"/>
  <c r="F234" i="54" s="1"/>
  <c r="F235" i="54" s="1"/>
  <c r="F236" i="54" s="1"/>
  <c r="F237" i="54" s="1"/>
  <c r="F238" i="54" s="1"/>
  <c r="F239" i="54" s="1"/>
  <c r="F240" i="54" s="1"/>
  <c r="F241" i="54" s="1"/>
  <c r="F242" i="54" s="1"/>
  <c r="F243" i="54" s="1"/>
  <c r="F244" i="54" s="1"/>
  <c r="F245" i="54" s="1"/>
  <c r="F246" i="54" s="1"/>
  <c r="F247" i="54" s="1"/>
  <c r="F248" i="54" s="1"/>
  <c r="F249" i="54" s="1"/>
  <c r="F250" i="54" s="1"/>
  <c r="F251" i="54" s="1"/>
  <c r="F252" i="54" s="1"/>
  <c r="F253" i="54" s="1"/>
  <c r="F254" i="54" s="1"/>
  <c r="F255" i="54" s="1"/>
  <c r="F256" i="54" s="1"/>
  <c r="F257" i="54" s="1"/>
  <c r="F258" i="54" s="1"/>
  <c r="F259" i="54" s="1"/>
  <c r="F260" i="54" s="1"/>
  <c r="F261" i="54" s="1"/>
  <c r="F262" i="54" s="1"/>
  <c r="F263" i="54" s="1"/>
  <c r="F264" i="54" s="1"/>
  <c r="F265" i="54" s="1"/>
  <c r="F266" i="54" s="1"/>
  <c r="F267" i="54" s="1"/>
  <c r="F268" i="54" s="1"/>
  <c r="F269" i="54" s="1"/>
  <c r="F270" i="54" s="1"/>
  <c r="F271" i="54" s="1"/>
  <c r="F272" i="54" s="1"/>
  <c r="F273" i="54" s="1"/>
  <c r="F274" i="54" s="1"/>
  <c r="F275" i="54" s="1"/>
  <c r="F276" i="54" s="1"/>
  <c r="F277" i="54" s="1"/>
  <c r="F278" i="54" s="1"/>
  <c r="F279" i="54" s="1"/>
  <c r="F280" i="54" s="1"/>
  <c r="F281" i="54" s="1"/>
  <c r="F282" i="54" s="1"/>
  <c r="F283" i="54" s="1"/>
  <c r="F284" i="54" s="1"/>
  <c r="F285" i="54" s="1"/>
  <c r="F286" i="54" s="1"/>
  <c r="F287" i="54" s="1"/>
  <c r="F288" i="54" s="1"/>
  <c r="F289" i="54" s="1"/>
  <c r="F290" i="54" s="1"/>
  <c r="F291" i="54" s="1"/>
  <c r="F292" i="54" s="1"/>
  <c r="F293" i="54" s="1"/>
  <c r="F294" i="54" s="1"/>
  <c r="F295" i="54" s="1"/>
  <c r="F296" i="54" s="1"/>
  <c r="F297" i="54" s="1"/>
  <c r="F298" i="54" s="1"/>
  <c r="F299" i="54" s="1"/>
  <c r="F300" i="54" s="1"/>
  <c r="F301" i="54" s="1"/>
  <c r="F302" i="54" s="1"/>
  <c r="F303" i="54" s="1"/>
  <c r="F304" i="54" s="1"/>
  <c r="F305" i="54" s="1"/>
  <c r="F306" i="54" s="1"/>
  <c r="F307" i="54" s="1"/>
  <c r="F308" i="54" s="1"/>
  <c r="F309" i="54" s="1"/>
  <c r="F310" i="54" s="1"/>
  <c r="F311" i="54" s="1"/>
  <c r="F312" i="54" s="1"/>
  <c r="F313" i="54" s="1"/>
  <c r="F314" i="54" s="1"/>
  <c r="F315" i="54" s="1"/>
  <c r="F316" i="54" s="1"/>
  <c r="F317" i="54" s="1"/>
  <c r="F318" i="54" s="1"/>
  <c r="F319" i="54" s="1"/>
  <c r="F320" i="54" s="1"/>
  <c r="F321" i="54" s="1"/>
  <c r="F322" i="54" s="1"/>
  <c r="F323" i="54" s="1"/>
  <c r="F324" i="54" s="1"/>
  <c r="F653" i="53"/>
  <c r="F654" i="53" s="1"/>
  <c r="F655" i="53" s="1"/>
  <c r="F325" i="54" l="1"/>
  <c r="F326" i="54" s="1"/>
  <c r="F327" i="54" s="1"/>
  <c r="F328" i="54" s="1"/>
  <c r="F329" i="54" s="1"/>
  <c r="F330" i="54" s="1"/>
  <c r="F331" i="54" s="1"/>
  <c r="F332" i="54" s="1"/>
  <c r="F333" i="54" s="1"/>
  <c r="F334" i="54" s="1"/>
  <c r="F335" i="54" s="1"/>
  <c r="F336" i="54" s="1"/>
  <c r="F337" i="54" s="1"/>
  <c r="F338" i="54" s="1"/>
  <c r="F339" i="54" s="1"/>
  <c r="F656" i="53"/>
  <c r="F657" i="53" s="1"/>
  <c r="F658" i="53" s="1"/>
  <c r="F659" i="53" s="1"/>
  <c r="F660" i="53" s="1"/>
  <c r="F661" i="53" l="1"/>
  <c r="F662" i="53" s="1"/>
  <c r="F663" i="53" s="1"/>
  <c r="F664" i="53" s="1"/>
  <c r="F665" i="53" s="1"/>
  <c r="F666" i="53" s="1"/>
  <c r="F667" i="53" s="1"/>
  <c r="F668" i="53" s="1"/>
  <c r="F669" i="53" s="1"/>
  <c r="F670" i="53" s="1"/>
  <c r="F671" i="53" s="1"/>
  <c r="F672" i="53" s="1"/>
  <c r="F673" i="53" s="1"/>
  <c r="F674" i="53" s="1"/>
  <c r="F675" i="53" s="1"/>
  <c r="F676" i="53" s="1"/>
  <c r="F677" i="53" s="1"/>
  <c r="F678" i="53" l="1"/>
  <c r="F679" i="53" s="1"/>
  <c r="F680" i="53" s="1"/>
  <c r="F681" i="53" s="1"/>
  <c r="F682" i="53" s="1"/>
  <c r="F683" i="53" s="1"/>
  <c r="F684" i="53" s="1"/>
  <c r="F685" i="53" s="1"/>
  <c r="F686" i="53" s="1"/>
  <c r="F687" i="53" s="1"/>
  <c r="F688" i="53" s="1"/>
  <c r="F689" i="53" s="1"/>
  <c r="F690" i="53" s="1"/>
  <c r="F691" i="53" s="1"/>
  <c r="F692" i="53" s="1"/>
  <c r="F693" i="53" s="1"/>
  <c r="F340" i="54" l="1"/>
  <c r="F341" i="54" s="1"/>
  <c r="F342" i="54" s="1"/>
  <c r="F343" i="54" s="1"/>
  <c r="F344" i="54" s="1"/>
  <c r="F694" i="53"/>
  <c r="F695" i="53" s="1"/>
  <c r="F696" i="53" s="1"/>
  <c r="F697" i="53" s="1"/>
  <c r="F698" i="53" s="1"/>
  <c r="F699" i="53" s="1"/>
  <c r="F700" i="53" s="1"/>
  <c r="F701" i="53" s="1"/>
  <c r="F702" i="53" s="1"/>
  <c r="F703" i="53" s="1"/>
  <c r="F704" i="53" s="1"/>
  <c r="F705" i="53" s="1"/>
  <c r="F706" i="53" s="1"/>
  <c r="F707" i="53" s="1"/>
  <c r="F708" i="53" s="1"/>
  <c r="F709" i="53" s="1"/>
  <c r="F710" i="53" s="1"/>
  <c r="F711" i="53" s="1"/>
  <c r="F712" i="53" s="1"/>
  <c r="F713" i="53" s="1"/>
  <c r="F714" i="53" s="1"/>
  <c r="F715" i="53" s="1"/>
  <c r="F716" i="53" s="1"/>
  <c r="F717" i="53" s="1"/>
  <c r="F718" i="53" s="1"/>
  <c r="F719" i="53" s="1"/>
  <c r="F720" i="53" s="1"/>
  <c r="F721" i="53" s="1"/>
  <c r="F722" i="53" s="1"/>
  <c r="F723" i="53" s="1"/>
  <c r="F724" i="53" s="1"/>
  <c r="F725" i="53" s="1"/>
  <c r="F726" i="53" s="1"/>
  <c r="F727" i="53" s="1"/>
  <c r="F728" i="53" s="1"/>
  <c r="F729" i="53" s="1"/>
  <c r="F730" i="53" s="1"/>
  <c r="F731" i="53" s="1"/>
  <c r="F732" i="53" s="1"/>
  <c r="F733" i="53" s="1"/>
  <c r="F734" i="53" s="1"/>
  <c r="F735" i="53" s="1"/>
  <c r="F736" i="53" s="1"/>
  <c r="F737" i="53" s="1"/>
  <c r="F738" i="53" s="1"/>
  <c r="F739" i="53" s="1"/>
  <c r="F740" i="53" s="1"/>
  <c r="F741" i="53" s="1"/>
  <c r="F742" i="53" s="1"/>
  <c r="F743" i="53" s="1"/>
  <c r="F744" i="53" s="1"/>
  <c r="F745" i="53" s="1"/>
  <c r="F746" i="53" s="1"/>
  <c r="F747" i="53" s="1"/>
  <c r="F748" i="53" s="1"/>
  <c r="F749" i="53" s="1"/>
  <c r="F750" i="53" s="1"/>
  <c r="F751" i="53" s="1"/>
  <c r="F752" i="53" s="1"/>
  <c r="F753" i="53" s="1"/>
  <c r="F754" i="53" s="1"/>
  <c r="F755" i="53" s="1"/>
  <c r="F756" i="53" s="1"/>
  <c r="F757" i="53" s="1"/>
  <c r="F758" i="53" s="1"/>
  <c r="F759" i="53" s="1"/>
  <c r="F760" i="53" s="1"/>
  <c r="F761" i="53" s="1"/>
  <c r="F762" i="53" s="1"/>
  <c r="F763" i="53" s="1"/>
  <c r="F764" i="53" s="1"/>
  <c r="F765" i="53" s="1"/>
  <c r="F766" i="53" s="1"/>
  <c r="F767" i="53" s="1"/>
  <c r="F345" i="54" l="1"/>
  <c r="F346" i="54" s="1"/>
  <c r="F768" i="53"/>
  <c r="F770" i="53" s="1"/>
  <c r="F347" i="54" l="1"/>
  <c r="F348" i="54" s="1"/>
  <c r="F349" i="54" s="1"/>
  <c r="F350" i="54" s="1"/>
  <c r="F351" i="54" s="1"/>
  <c r="F352" i="54" s="1"/>
  <c r="F353" i="54" s="1"/>
  <c r="F354" i="54" s="1"/>
  <c r="F355" i="54" s="1"/>
  <c r="F356" i="54" s="1"/>
  <c r="F357" i="54" s="1"/>
  <c r="F358" i="54" s="1"/>
  <c r="F359" i="54" s="1"/>
  <c r="F360" i="54" s="1"/>
  <c r="F361" i="54" s="1"/>
  <c r="F362" i="54" s="1"/>
  <c r="F363" i="54" s="1"/>
  <c r="F364" i="54" s="1"/>
  <c r="F769" i="53"/>
  <c r="E3018" i="12"/>
  <c r="F771" i="53" l="1"/>
  <c r="F772" i="53" s="1"/>
  <c r="F773" i="53" s="1"/>
  <c r="F774" i="53" s="1"/>
  <c r="F775" i="53" s="1"/>
  <c r="F776" i="53" s="1"/>
  <c r="F777" i="53" s="1"/>
  <c r="F778" i="53" s="1"/>
  <c r="F779" i="53" s="1"/>
  <c r="F780" i="53" s="1"/>
  <c r="F781" i="53" s="1"/>
  <c r="F782" i="53" s="1"/>
  <c r="F783" i="53" s="1"/>
  <c r="F365" i="54"/>
  <c r="F366" i="54" s="1"/>
  <c r="F367" i="54" s="1"/>
  <c r="F784" i="53" l="1"/>
  <c r="F785" i="53" s="1"/>
  <c r="F786" i="53" s="1"/>
  <c r="F787" i="53" s="1"/>
  <c r="F788" i="53" s="1"/>
  <c r="F789" i="53" s="1"/>
  <c r="F790" i="53" s="1"/>
  <c r="F791" i="53" s="1"/>
  <c r="F792" i="53" s="1"/>
  <c r="F793" i="53" s="1"/>
  <c r="F794" i="53" s="1"/>
  <c r="F795" i="53" s="1"/>
  <c r="F796" i="53" s="1"/>
  <c r="F368" i="54"/>
  <c r="F369" i="54" s="1"/>
  <c r="F370" i="54" s="1"/>
  <c r="F371" i="54" s="1"/>
  <c r="F372" i="54" s="1"/>
  <c r="F373" i="54" s="1"/>
  <c r="F374" i="54" s="1"/>
  <c r="F375" i="54" s="1"/>
  <c r="F376" i="54" s="1"/>
  <c r="F377" i="54" s="1"/>
  <c r="F378" i="54" s="1"/>
  <c r="F379" i="54" s="1"/>
  <c r="F380" i="54" s="1"/>
  <c r="F381" i="54" s="1"/>
  <c r="F382" i="54" s="1"/>
  <c r="F383" i="54" s="1"/>
  <c r="F384" i="54" s="1"/>
  <c r="F385" i="54" s="1"/>
  <c r="F386" i="54" s="1"/>
  <c r="F387" i="54" s="1"/>
  <c r="F388" i="54" s="1"/>
  <c r="F389" i="54" s="1"/>
  <c r="F390" i="54" s="1"/>
  <c r="F391" i="54" s="1"/>
  <c r="F392" i="54" s="1"/>
  <c r="F393" i="54" s="1"/>
  <c r="C2" i="51"/>
  <c r="F394" i="54" l="1"/>
  <c r="F395" i="54" s="1"/>
  <c r="F396" i="54" s="1"/>
  <c r="F397" i="54" s="1"/>
  <c r="F398" i="54" s="1"/>
  <c r="F399" i="54" s="1"/>
  <c r="F400" i="54" s="1"/>
  <c r="F401" i="54" s="1"/>
  <c r="F402" i="54" s="1"/>
  <c r="F403" i="54" s="1"/>
  <c r="F404" i="54" s="1"/>
  <c r="F405" i="54" s="1"/>
  <c r="F406" i="54" s="1"/>
  <c r="F407" i="54" s="1"/>
  <c r="F408" i="54" s="1"/>
  <c r="F409" i="54" s="1"/>
  <c r="F410" i="54" s="1"/>
  <c r="F411" i="54" s="1"/>
  <c r="F412" i="54" s="1"/>
  <c r="F413" i="54" s="1"/>
  <c r="F797" i="53"/>
  <c r="F798" i="53" s="1"/>
  <c r="F799" i="53" s="1"/>
  <c r="F800" i="53" s="1"/>
  <c r="F801" i="53" s="1"/>
  <c r="F802" i="53" s="1"/>
  <c r="F803" i="53" s="1"/>
  <c r="F804" i="53" s="1"/>
  <c r="F805" i="53" s="1"/>
  <c r="F806" i="53" s="1"/>
  <c r="F807" i="53" s="1"/>
  <c r="F808" i="53" s="1"/>
  <c r="F809" i="53" s="1"/>
  <c r="F810" i="53" s="1"/>
  <c r="F811" i="53" s="1"/>
  <c r="F812" i="53" s="1"/>
  <c r="F813" i="53" s="1"/>
  <c r="F814" i="53" s="1"/>
  <c r="F815" i="53" s="1"/>
  <c r="F816" i="53" s="1"/>
  <c r="H1" i="51"/>
  <c r="F817" i="53" l="1"/>
  <c r="F818" i="53" s="1"/>
  <c r="F819" i="53" s="1"/>
  <c r="F820" i="53" s="1"/>
  <c r="F414" i="54"/>
  <c r="F415" i="54" s="1"/>
  <c r="F416" i="54" s="1"/>
  <c r="F417" i="54" s="1"/>
  <c r="F418" i="54" s="1"/>
  <c r="F419" i="54" s="1"/>
  <c r="F420" i="54" s="1"/>
  <c r="F421" i="54" s="1"/>
  <c r="F422" i="54" s="1"/>
  <c r="F423" i="54" s="1"/>
  <c r="F424" i="54" s="1"/>
  <c r="H2" i="51"/>
  <c r="D7" i="57" l="1"/>
  <c r="F821" i="53"/>
  <c r="F822" i="53" s="1"/>
  <c r="F823" i="53" s="1"/>
  <c r="F824" i="53" s="1"/>
  <c r="F825" i="53" s="1"/>
  <c r="F826" i="53" s="1"/>
  <c r="F827" i="53" s="1"/>
  <c r="F828" i="53" s="1"/>
  <c r="F829" i="53" s="1"/>
  <c r="F830" i="53" s="1"/>
  <c r="F831" i="53" s="1"/>
  <c r="F832" i="53" s="1"/>
  <c r="F833" i="53" s="1"/>
  <c r="F834" i="53" s="1"/>
  <c r="F835" i="53" s="1"/>
  <c r="F836" i="53" s="1"/>
  <c r="F837" i="53" s="1"/>
  <c r="F838" i="53" s="1"/>
  <c r="F839" i="53" s="1"/>
  <c r="F840" i="53" s="1"/>
  <c r="F841" i="53" s="1"/>
  <c r="F842" i="53" s="1"/>
  <c r="F843" i="53" s="1"/>
  <c r="F844" i="53" s="1"/>
  <c r="F845" i="53" s="1"/>
  <c r="F846" i="53" s="1"/>
  <c r="F425" i="54"/>
  <c r="F426" i="54" s="1"/>
  <c r="F427" i="54" s="1"/>
  <c r="F428" i="54" s="1"/>
  <c r="E3011" i="12"/>
  <c r="E3010" i="12"/>
  <c r="F847" i="53" l="1"/>
  <c r="F848" i="53" s="1"/>
  <c r="F849" i="53" s="1"/>
  <c r="F850" i="53" s="1"/>
  <c r="F851" i="53" s="1"/>
  <c r="F852" i="53" s="1"/>
  <c r="F853" i="53" s="1"/>
  <c r="F429" i="54"/>
  <c r="F430" i="54" s="1"/>
  <c r="F431" i="54" s="1"/>
  <c r="F432" i="54" s="1"/>
  <c r="F433" i="54" s="1"/>
  <c r="F434" i="54" s="1"/>
  <c r="F435" i="54" s="1"/>
  <c r="F436" i="54" s="1"/>
  <c r="F437" i="54" s="1"/>
  <c r="F438" i="54" s="1"/>
  <c r="F439" i="54" s="1"/>
  <c r="F854" i="53" l="1"/>
  <c r="F855" i="53" s="1"/>
  <c r="F856" i="53" s="1"/>
  <c r="F857" i="53" s="1"/>
  <c r="F858" i="53" s="1"/>
  <c r="F859" i="53" s="1"/>
  <c r="F860" i="53" s="1"/>
  <c r="F861" i="53" s="1"/>
  <c r="F862" i="53" s="1"/>
  <c r="F863" i="53" s="1"/>
  <c r="F864" i="53" s="1"/>
  <c r="F865" i="53" s="1"/>
  <c r="F866" i="53" s="1"/>
  <c r="F867" i="53" s="1"/>
  <c r="F868" i="53" s="1"/>
  <c r="F869" i="53" s="1"/>
  <c r="F870" i="53" s="1"/>
  <c r="F871" i="53" s="1"/>
  <c r="F872" i="53" s="1"/>
  <c r="F440" i="54"/>
  <c r="F441" i="54" s="1"/>
  <c r="F442" i="54" s="1"/>
  <c r="F873" i="53" l="1"/>
  <c r="F874" i="53" s="1"/>
  <c r="F875" i="53" s="1"/>
  <c r="F876" i="53" s="1"/>
  <c r="F877" i="53" s="1"/>
  <c r="F878" i="53" s="1"/>
  <c r="F879" i="53" s="1"/>
  <c r="F880" i="53" s="1"/>
  <c r="F881" i="53" s="1"/>
  <c r="F882" i="53" s="1"/>
  <c r="F883" i="53" s="1"/>
  <c r="F884" i="53" s="1"/>
  <c r="F885" i="53" s="1"/>
  <c r="F886" i="53" s="1"/>
  <c r="F887" i="53" s="1"/>
  <c r="F888" i="53" s="1"/>
  <c r="F889" i="53" s="1"/>
  <c r="F890" i="53" s="1"/>
  <c r="F891" i="53" s="1"/>
  <c r="F892" i="53" s="1"/>
  <c r="F893" i="53" s="1"/>
  <c r="F894" i="53" s="1"/>
  <c r="F895" i="53" s="1"/>
  <c r="F896" i="53" s="1"/>
  <c r="F897" i="53" s="1"/>
  <c r="F898" i="53" s="1"/>
  <c r="F899" i="53" s="1"/>
  <c r="F900" i="53" s="1"/>
  <c r="F901" i="53" s="1"/>
  <c r="F443" i="54"/>
  <c r="F444" i="54" s="1"/>
  <c r="F445" i="54" s="1"/>
  <c r="F446" i="54" s="1"/>
  <c r="F902" i="53" l="1"/>
  <c r="F903" i="53" s="1"/>
  <c r="F904" i="53" s="1"/>
  <c r="F905" i="53" s="1"/>
  <c r="F906" i="53" s="1"/>
  <c r="F447" i="54"/>
  <c r="F448" i="54" s="1"/>
  <c r="F449" i="54" s="1"/>
  <c r="F450" i="54" s="1"/>
  <c r="F451" i="54" s="1"/>
  <c r="F452" i="54" s="1"/>
  <c r="F453" i="54" s="1"/>
  <c r="F454" i="54" s="1"/>
  <c r="F907" i="53" l="1"/>
  <c r="F908" i="53" s="1"/>
  <c r="F909" i="53" s="1"/>
  <c r="F910" i="53" s="1"/>
  <c r="F911" i="53" s="1"/>
  <c r="F912" i="53" s="1"/>
  <c r="F913" i="53" s="1"/>
  <c r="F914" i="53" s="1"/>
  <c r="F915" i="53" s="1"/>
  <c r="F916" i="53" s="1"/>
  <c r="F917" i="53" s="1"/>
  <c r="F918" i="53" s="1"/>
  <c r="F919" i="53" s="1"/>
  <c r="F920" i="53" s="1"/>
  <c r="F921" i="53" s="1"/>
  <c r="F922" i="53" s="1"/>
  <c r="F923" i="53" s="1"/>
  <c r="F924" i="53" s="1"/>
  <c r="F925" i="53" s="1"/>
  <c r="F926" i="53" s="1"/>
  <c r="F927" i="53" s="1"/>
  <c r="F928" i="53" s="1"/>
  <c r="F929" i="53" s="1"/>
  <c r="F930" i="53" s="1"/>
  <c r="F931" i="53" s="1"/>
  <c r="F932" i="53" s="1"/>
  <c r="F933" i="53" s="1"/>
  <c r="F934" i="53" s="1"/>
  <c r="F935" i="53" s="1"/>
  <c r="F936" i="53" s="1"/>
  <c r="F937" i="53" s="1"/>
  <c r="F938" i="53" s="1"/>
  <c r="F939" i="53" s="1"/>
  <c r="F940" i="53" s="1"/>
  <c r="F941" i="53" s="1"/>
  <c r="F942" i="53" s="1"/>
  <c r="F943" i="53" s="1"/>
  <c r="F944" i="53" s="1"/>
  <c r="F945" i="53" s="1"/>
  <c r="F946" i="53" s="1"/>
  <c r="F947" i="53" s="1"/>
  <c r="F948" i="53" s="1"/>
  <c r="F949" i="53" s="1"/>
  <c r="F950" i="53" s="1"/>
  <c r="F951" i="53" s="1"/>
  <c r="F952" i="53" s="1"/>
  <c r="F953" i="53" s="1"/>
  <c r="F954" i="53" s="1"/>
  <c r="F955" i="53" s="1"/>
  <c r="F956" i="53" s="1"/>
  <c r="F957" i="53" s="1"/>
  <c r="F958" i="53" s="1"/>
  <c r="F959" i="53" s="1"/>
  <c r="F960" i="53" s="1"/>
  <c r="F961" i="53" s="1"/>
  <c r="F962" i="53" s="1"/>
  <c r="F963" i="53" s="1"/>
  <c r="F964" i="53" s="1"/>
  <c r="F965" i="53" s="1"/>
  <c r="F966" i="53" s="1"/>
  <c r="F967" i="53" s="1"/>
  <c r="F455" i="54"/>
  <c r="F456" i="54" s="1"/>
  <c r="F457" i="54" s="1"/>
  <c r="F458" i="54" s="1"/>
  <c r="F459" i="54" s="1"/>
  <c r="F460" i="54" s="1"/>
  <c r="F461" i="54" s="1"/>
  <c r="F462" i="54" s="1"/>
  <c r="F463" i="54" s="1"/>
  <c r="F464" i="54" s="1"/>
  <c r="F465" i="54" s="1"/>
  <c r="F466" i="54" s="1"/>
  <c r="F467" i="54" s="1"/>
  <c r="F468" i="54" s="1"/>
  <c r="F469" i="54" s="1"/>
  <c r="F470" i="54" s="1"/>
  <c r="F471" i="54" s="1"/>
  <c r="F472" i="54" s="1"/>
  <c r="F473" i="54" s="1"/>
  <c r="F474" i="54" s="1"/>
  <c r="F475" i="54" s="1"/>
  <c r="F476" i="54" s="1"/>
  <c r="F477" i="54" s="1"/>
  <c r="F478" i="54" s="1"/>
  <c r="F479" i="54" s="1"/>
  <c r="F480" i="54" s="1"/>
  <c r="F481" i="54" s="1"/>
  <c r="F968" i="53" l="1"/>
  <c r="F969" i="53" s="1"/>
  <c r="F970" i="53" s="1"/>
  <c r="F482" i="54"/>
  <c r="F483" i="54" s="1"/>
  <c r="F484" i="54" s="1"/>
  <c r="F485" i="54" s="1"/>
  <c r="F486" i="54" s="1"/>
  <c r="F487" i="54" s="1"/>
  <c r="F488" i="54" s="1"/>
  <c r="F489" i="54" s="1"/>
  <c r="F490" i="54" s="1"/>
  <c r="F491" i="54" s="1"/>
  <c r="F492" i="54" s="1"/>
  <c r="F493" i="54" s="1"/>
  <c r="F494" i="54" s="1"/>
  <c r="F495" i="54" s="1"/>
  <c r="F496" i="54" s="1"/>
  <c r="F497" i="54" s="1"/>
  <c r="F498" i="54" s="1"/>
  <c r="F499" i="54" s="1"/>
  <c r="F500" i="54" s="1"/>
  <c r="F501" i="54" s="1"/>
  <c r="F502" i="54" s="1"/>
  <c r="F503" i="54" s="1"/>
  <c r="F504" i="54" s="1"/>
  <c r="F505" i="54" s="1"/>
  <c r="F506" i="54" s="1"/>
  <c r="F507" i="54" s="1"/>
  <c r="F508" i="54" s="1"/>
  <c r="F509" i="54" s="1"/>
  <c r="F510" i="54" s="1"/>
  <c r="F511" i="54" s="1"/>
  <c r="F512" i="54" s="1"/>
  <c r="F513" i="54" s="1"/>
  <c r="F514" i="54" s="1"/>
  <c r="F515" i="54" s="1"/>
  <c r="F516" i="54" s="1"/>
  <c r="F517" i="54" s="1"/>
  <c r="F518" i="54" s="1"/>
  <c r="F519" i="54" s="1"/>
  <c r="F520" i="54" s="1"/>
  <c r="F521" i="54" s="1"/>
  <c r="F522" i="54" s="1"/>
  <c r="F523" i="54" s="1"/>
  <c r="F524" i="54" s="1"/>
  <c r="F525" i="54" s="1"/>
  <c r="F526" i="54" s="1"/>
  <c r="F527" i="54" s="1"/>
  <c r="F528" i="54" s="1"/>
  <c r="F529" i="54" s="1"/>
  <c r="F530" i="54" s="1"/>
  <c r="F531" i="54" s="1"/>
  <c r="F532" i="54" s="1"/>
  <c r="F533" i="54" s="1"/>
  <c r="F534" i="54" s="1"/>
  <c r="F535" i="54" s="1"/>
  <c r="F536" i="54" s="1"/>
  <c r="F537" i="54" s="1"/>
  <c r="F538" i="54" s="1"/>
  <c r="F539" i="54" s="1"/>
  <c r="F540" i="54" s="1"/>
  <c r="F541" i="54" s="1"/>
  <c r="F542" i="54" s="1"/>
  <c r="F543" i="54" s="1"/>
  <c r="F544" i="54" s="1"/>
  <c r="F545" i="54" s="1"/>
  <c r="F546" i="54" s="1"/>
  <c r="F547" i="54" s="1"/>
  <c r="F548" i="54" s="1"/>
  <c r="F549" i="54" s="1"/>
  <c r="F550" i="54" s="1"/>
  <c r="F551" i="54" s="1"/>
  <c r="F552" i="54" s="1"/>
  <c r="F553" i="54" s="1"/>
  <c r="F554" i="54" s="1"/>
  <c r="F555" i="54" s="1"/>
  <c r="F556" i="54" s="1"/>
  <c r="F557" i="54" s="1"/>
  <c r="F558" i="54" s="1"/>
  <c r="F559" i="54" s="1"/>
  <c r="F560" i="54" s="1"/>
  <c r="F561" i="54" s="1"/>
  <c r="F562" i="54" s="1"/>
  <c r="F563" i="54" s="1"/>
  <c r="F564" i="54" s="1"/>
  <c r="F565" i="54" s="1"/>
  <c r="F566" i="54" s="1"/>
  <c r="F567" i="54" s="1"/>
  <c r="F568" i="54" s="1"/>
  <c r="F569" i="54" s="1"/>
  <c r="F570" i="54" s="1"/>
  <c r="F571" i="54" s="1"/>
  <c r="F572" i="54" s="1"/>
  <c r="F573" i="54" s="1"/>
  <c r="F574" i="54" s="1"/>
  <c r="F575" i="54" s="1"/>
  <c r="F576" i="54" s="1"/>
  <c r="F577" i="54" s="1"/>
  <c r="F578" i="54" s="1"/>
  <c r="F579" i="54" s="1"/>
  <c r="F580" i="54" s="1"/>
  <c r="F581" i="54" s="1"/>
  <c r="F582" i="54" s="1"/>
  <c r="F583" i="54" s="1"/>
  <c r="F584" i="54" s="1"/>
  <c r="F585" i="54" s="1"/>
  <c r="F586" i="54" s="1"/>
  <c r="F587" i="54" s="1"/>
  <c r="F588" i="54" s="1"/>
  <c r="F589" i="54" s="1"/>
  <c r="F590" i="54" s="1"/>
  <c r="F591" i="54" s="1"/>
  <c r="F592" i="54" s="1"/>
  <c r="F593" i="54" s="1"/>
  <c r="F594" i="54" s="1"/>
  <c r="F595" i="54" s="1"/>
  <c r="F596" i="54" s="1"/>
  <c r="F597" i="54" s="1"/>
  <c r="F598" i="54" s="1"/>
  <c r="F599" i="54" s="1"/>
  <c r="F600" i="54" s="1"/>
  <c r="F601" i="54" s="1"/>
  <c r="F602" i="54" s="1"/>
  <c r="F603" i="54" s="1"/>
  <c r="F604" i="54" s="1"/>
  <c r="F605" i="54" s="1"/>
  <c r="F606" i="54" s="1"/>
  <c r="F607" i="54" s="1"/>
  <c r="F608" i="54" s="1"/>
  <c r="F609" i="54" s="1"/>
  <c r="F610" i="54" s="1"/>
  <c r="F611" i="54" s="1"/>
  <c r="F612" i="54" s="1"/>
  <c r="F613" i="54" s="1"/>
  <c r="F614" i="54" s="1"/>
  <c r="F615" i="54" s="1"/>
  <c r="F616" i="54" s="1"/>
  <c r="F617" i="54" s="1"/>
  <c r="F618" i="54" s="1"/>
  <c r="F619" i="54" s="1"/>
  <c r="F620" i="54" s="1"/>
  <c r="F621" i="54" s="1"/>
  <c r="F622" i="54" s="1"/>
  <c r="F623" i="54" s="1"/>
  <c r="F624" i="54" s="1"/>
  <c r="F625" i="54" s="1"/>
  <c r="F626" i="54" s="1"/>
  <c r="F627" i="54" s="1"/>
  <c r="F628" i="54" s="1"/>
  <c r="F629" i="54" s="1"/>
  <c r="F630" i="54" s="1"/>
  <c r="F631" i="54" s="1"/>
  <c r="F632" i="54" s="1"/>
  <c r="F633" i="54" l="1"/>
  <c r="F634" i="54" s="1"/>
  <c r="F635" i="54" s="1"/>
  <c r="F636" i="54" s="1"/>
  <c r="F637" i="54" s="1"/>
  <c r="F638" i="54" s="1"/>
  <c r="F639" i="54" s="1"/>
  <c r="F640" i="54" s="1"/>
  <c r="F641" i="54" s="1"/>
  <c r="F642" i="54" s="1"/>
  <c r="F643" i="54" s="1"/>
  <c r="F644" i="54" s="1"/>
  <c r="F645" i="54" s="1"/>
  <c r="F646" i="54" s="1"/>
  <c r="F647" i="54" s="1"/>
  <c r="F648" i="54" s="1"/>
  <c r="F971" i="53"/>
  <c r="F972" i="53" s="1"/>
  <c r="F973" i="53" s="1"/>
  <c r="F974" i="53" s="1"/>
  <c r="F975" i="53" s="1"/>
  <c r="F976" i="53" s="1"/>
  <c r="F977" i="53" s="1"/>
  <c r="F978" i="53" s="1"/>
  <c r="F979" i="53" s="1"/>
  <c r="F980" i="53" s="1"/>
  <c r="F981" i="53" s="1"/>
  <c r="F982" i="53" s="1"/>
  <c r="F983" i="53" s="1"/>
  <c r="F984" i="53" s="1"/>
  <c r="F985" i="53" s="1"/>
  <c r="F986" i="53" s="1"/>
  <c r="F987" i="53" s="1"/>
  <c r="F988" i="53" s="1"/>
  <c r="F989" i="53" s="1"/>
  <c r="F990" i="53" s="1"/>
  <c r="F991" i="53" s="1"/>
  <c r="F992" i="53" s="1"/>
  <c r="F993" i="53" s="1"/>
  <c r="F994" i="53" s="1"/>
  <c r="F649" i="54" l="1"/>
  <c r="F650" i="54" s="1"/>
  <c r="F651" i="54" s="1"/>
  <c r="F652" i="54" s="1"/>
  <c r="F653" i="54" s="1"/>
  <c r="F995" i="53"/>
  <c r="F996" i="53" s="1"/>
  <c r="F997" i="53" s="1"/>
  <c r="F998" i="53" s="1"/>
  <c r="F999" i="53" s="1"/>
  <c r="F1000" i="53" s="1"/>
  <c r="F654" i="54" l="1"/>
  <c r="F655" i="54" s="1"/>
  <c r="F656" i="54" s="1"/>
  <c r="F657" i="54" s="1"/>
  <c r="F658" i="54" s="1"/>
  <c r="F659" i="54" s="1"/>
  <c r="F660" i="54" s="1"/>
  <c r="F661" i="54" s="1"/>
  <c r="F662" i="54" s="1"/>
  <c r="F663" i="54" s="1"/>
  <c r="F664" i="54" s="1"/>
  <c r="F665" i="54" s="1"/>
  <c r="F666" i="54" s="1"/>
  <c r="F667" i="54" s="1"/>
  <c r="F668" i="54" s="1"/>
  <c r="F669" i="54" s="1"/>
  <c r="F670" i="54" s="1"/>
  <c r="F671" i="54" s="1"/>
  <c r="F672" i="54" s="1"/>
  <c r="F673" i="54" s="1"/>
  <c r="F674" i="54" s="1"/>
  <c r="F675" i="54" s="1"/>
  <c r="F676" i="54" s="1"/>
  <c r="F677" i="54" s="1"/>
  <c r="F678" i="54" s="1"/>
  <c r="F679" i="54" s="1"/>
  <c r="F680" i="54" s="1"/>
  <c r="F681" i="54" s="1"/>
  <c r="F682" i="54" s="1"/>
  <c r="F683" i="54" s="1"/>
  <c r="F684" i="54" s="1"/>
  <c r="F685" i="54" s="1"/>
  <c r="F686" i="54" s="1"/>
  <c r="F687" i="54" s="1"/>
  <c r="F688" i="54" s="1"/>
  <c r="F689" i="54" s="1"/>
  <c r="F690" i="54" s="1"/>
  <c r="F691" i="54" s="1"/>
  <c r="F692" i="54" s="1"/>
  <c r="F693" i="54" s="1"/>
  <c r="F694" i="54" s="1"/>
  <c r="F695" i="54" s="1"/>
  <c r="F696" i="54" s="1"/>
  <c r="F697" i="54" s="1"/>
  <c r="F698" i="54" s="1"/>
  <c r="F699" i="54" s="1"/>
  <c r="F700" i="54" s="1"/>
  <c r="F701" i="54" s="1"/>
  <c r="F702" i="54" s="1"/>
  <c r="F703" i="54" s="1"/>
  <c r="F704" i="54" s="1"/>
  <c r="F705" i="54" s="1"/>
  <c r="F706" i="54" s="1"/>
  <c r="F707" i="54" s="1"/>
  <c r="F708" i="54" s="1"/>
  <c r="F709" i="54" s="1"/>
  <c r="F710" i="54" s="1"/>
  <c r="F711" i="54" s="1"/>
  <c r="F712" i="54" s="1"/>
  <c r="F1001" i="53"/>
  <c r="F1002" i="53" s="1"/>
  <c r="F1003" i="53" s="1"/>
  <c r="F1004" i="53" s="1"/>
  <c r="F1005" i="53" s="1"/>
  <c r="F1006" i="53" s="1"/>
  <c r="F1007" i="53" s="1"/>
  <c r="F1008" i="53" s="1"/>
  <c r="F1009" i="53" s="1"/>
  <c r="F713" i="54" l="1"/>
  <c r="F714" i="54" s="1"/>
  <c r="F715" i="54" s="1"/>
  <c r="F716" i="54" s="1"/>
  <c r="F1010" i="53"/>
  <c r="F1011" i="53" s="1"/>
  <c r="F1012" i="53" s="1"/>
  <c r="F1013" i="53" s="1"/>
  <c r="F1014" i="53" s="1"/>
  <c r="F1015" i="53" s="1"/>
  <c r="F1016" i="53" s="1"/>
  <c r="F1017" i="53" s="1"/>
  <c r="F1018" i="53" s="1"/>
  <c r="F1019" i="53" s="1"/>
  <c r="F1020" i="53" s="1"/>
  <c r="F1021" i="53" s="1"/>
  <c r="F1022" i="53" s="1"/>
  <c r="F1023" i="53" s="1"/>
  <c r="F1024" i="53" s="1"/>
  <c r="F1025" i="53" s="1"/>
  <c r="F1026" i="53" s="1"/>
  <c r="F1027" i="53" s="1"/>
  <c r="F1028" i="53" s="1"/>
  <c r="F1029" i="53" s="1"/>
  <c r="F717" i="54" l="1"/>
  <c r="F718" i="54" s="1"/>
  <c r="F719" i="54" s="1"/>
  <c r="F720" i="54" s="1"/>
  <c r="F721" i="54" s="1"/>
  <c r="F722" i="54" s="1"/>
  <c r="F723" i="54" s="1"/>
  <c r="F724" i="54" s="1"/>
  <c r="F725" i="54" s="1"/>
  <c r="F726" i="54" s="1"/>
  <c r="F727" i="54" s="1"/>
  <c r="F728" i="54" s="1"/>
  <c r="F729" i="54" s="1"/>
  <c r="F730" i="54" s="1"/>
  <c r="F731" i="54" s="1"/>
  <c r="F1030" i="53"/>
  <c r="F1031" i="53" s="1"/>
  <c r="F1032" i="53" s="1"/>
  <c r="F1033" i="53" s="1"/>
  <c r="F1034" i="53" s="1"/>
  <c r="F1035" i="53" s="1"/>
  <c r="F1036" i="53" s="1"/>
  <c r="F1037" i="53" s="1"/>
  <c r="F1038" i="53" s="1"/>
  <c r="F1039" i="53" s="1"/>
  <c r="F1040" i="53" s="1"/>
  <c r="F1041" i="53" s="1"/>
  <c r="F1042" i="53" s="1"/>
  <c r="F1043" i="53" s="1"/>
  <c r="F1044" i="53" s="1"/>
  <c r="F732" i="54" l="1"/>
  <c r="F733" i="54" s="1"/>
  <c r="F734" i="54" s="1"/>
  <c r="F735" i="54" s="1"/>
  <c r="F736" i="54" s="1"/>
  <c r="F1045" i="53"/>
  <c r="F1046" i="53" s="1"/>
  <c r="F737" i="54" l="1"/>
  <c r="F738" i="54" s="1"/>
  <c r="F739" i="54" s="1"/>
  <c r="F740" i="54" s="1"/>
  <c r="F741" i="54" s="1"/>
  <c r="F742" i="54" s="1"/>
  <c r="F743" i="54" s="1"/>
  <c r="F744" i="54" s="1"/>
  <c r="F745" i="54" s="1"/>
  <c r="F746" i="54" s="1"/>
  <c r="F747" i="54" s="1"/>
  <c r="F748" i="54" s="1"/>
  <c r="F749" i="54" s="1"/>
  <c r="F750" i="54" s="1"/>
  <c r="F751" i="54" s="1"/>
  <c r="F752" i="54" s="1"/>
  <c r="F753" i="54" s="1"/>
  <c r="F1047" i="53"/>
  <c r="F1048" i="53" s="1"/>
  <c r="F754" i="54" l="1"/>
  <c r="F755" i="54" s="1"/>
  <c r="F756" i="54" s="1"/>
  <c r="F757" i="54" s="1"/>
  <c r="F758" i="54" s="1"/>
  <c r="F759" i="54" s="1"/>
  <c r="F760" i="54" s="1"/>
  <c r="F761" i="54" s="1"/>
  <c r="F762" i="54" s="1"/>
  <c r="F763" i="54" s="1"/>
  <c r="F764" i="54" s="1"/>
  <c r="F765" i="54" s="1"/>
  <c r="F766" i="54" s="1"/>
  <c r="F767" i="54" s="1"/>
  <c r="F768" i="54" s="1"/>
  <c r="F769" i="54" s="1"/>
  <c r="F770" i="54" s="1"/>
  <c r="F771" i="54" s="1"/>
  <c r="F772" i="54" s="1"/>
  <c r="F773" i="54" s="1"/>
  <c r="F774" i="54" s="1"/>
  <c r="K389" i="60"/>
  <c r="M389" i="60" s="1"/>
  <c r="K387" i="60"/>
  <c r="M387" i="60" s="1"/>
  <c r="F1049" i="53"/>
  <c r="F1050" i="53" s="1"/>
  <c r="F1051" i="53" s="1"/>
  <c r="F1052" i="53" s="1"/>
  <c r="F1053" i="53" s="1"/>
  <c r="F1054" i="53" s="1"/>
  <c r="F1055" i="53" s="1"/>
  <c r="F1056" i="53" s="1"/>
  <c r="F1057" i="53" s="1"/>
  <c r="E2866" i="12"/>
  <c r="F775" i="54" l="1"/>
  <c r="F776" i="54" s="1"/>
  <c r="F777" i="54" s="1"/>
  <c r="F778" i="54" s="1"/>
  <c r="F779" i="54" s="1"/>
  <c r="F780" i="54" s="1"/>
  <c r="F781" i="54" s="1"/>
  <c r="F782" i="54" s="1"/>
  <c r="F783" i="54" s="1"/>
  <c r="F784" i="54" s="1"/>
  <c r="F785" i="54" s="1"/>
  <c r="F786" i="54" s="1"/>
  <c r="F787" i="54" s="1"/>
  <c r="F788" i="54" s="1"/>
  <c r="F789" i="54" s="1"/>
  <c r="F790" i="54" s="1"/>
  <c r="F791" i="54" s="1"/>
  <c r="F792" i="54" s="1"/>
  <c r="F793" i="54" s="1"/>
  <c r="F794" i="54" s="1"/>
  <c r="F795" i="54" s="1"/>
  <c r="F796" i="54" s="1"/>
  <c r="F797" i="54" s="1"/>
  <c r="F798" i="54" s="1"/>
  <c r="F799" i="54" s="1"/>
  <c r="F800" i="54" s="1"/>
  <c r="F801" i="54" s="1"/>
  <c r="F802" i="54" s="1"/>
  <c r="F803" i="54" s="1"/>
  <c r="F804" i="54" s="1"/>
  <c r="F805" i="54" s="1"/>
  <c r="F806" i="54" s="1"/>
  <c r="F807" i="54" s="1"/>
  <c r="F1058" i="53"/>
  <c r="F1059" i="53" s="1"/>
  <c r="F1060" i="53" s="1"/>
  <c r="F1061" i="53" s="1"/>
  <c r="F1062" i="53" s="1"/>
  <c r="F808" i="54" l="1"/>
  <c r="F809" i="54" s="1"/>
  <c r="F810" i="54" s="1"/>
  <c r="F811" i="54" s="1"/>
  <c r="F812" i="54" s="1"/>
  <c r="F813" i="54" s="1"/>
  <c r="F814" i="54" s="1"/>
  <c r="F815" i="54" s="1"/>
  <c r="F816" i="54" s="1"/>
  <c r="F817" i="54" s="1"/>
  <c r="F818" i="54" s="1"/>
  <c r="F819" i="54" s="1"/>
  <c r="F820" i="54" s="1"/>
  <c r="F821" i="54" s="1"/>
  <c r="F822" i="54" s="1"/>
  <c r="F823" i="54" s="1"/>
  <c r="F824" i="54" s="1"/>
  <c r="F825" i="54" s="1"/>
  <c r="F826" i="54" s="1"/>
  <c r="F827" i="54" s="1"/>
  <c r="F828" i="54" s="1"/>
  <c r="F829" i="54" s="1"/>
  <c r="F830" i="54" s="1"/>
  <c r="F831" i="54" s="1"/>
  <c r="F832" i="54" s="1"/>
  <c r="F833" i="54" s="1"/>
  <c r="F834" i="54" s="1"/>
  <c r="F835" i="54" s="1"/>
  <c r="F836" i="54" s="1"/>
  <c r="F837" i="54" s="1"/>
  <c r="F838" i="54" s="1"/>
  <c r="F839" i="54" s="1"/>
  <c r="F840" i="54" s="1"/>
  <c r="F841" i="54" s="1"/>
  <c r="F842" i="54" s="1"/>
  <c r="F843" i="54" s="1"/>
  <c r="F844" i="54" s="1"/>
  <c r="F845" i="54" s="1"/>
  <c r="F1063" i="53"/>
  <c r="F1064" i="53" s="1"/>
  <c r="F1065" i="53" s="1"/>
  <c r="F1066" i="53" s="1"/>
  <c r="F1067" i="53" s="1"/>
  <c r="F1068" i="53" s="1"/>
  <c r="F1069" i="53" s="1"/>
  <c r="F1070" i="53" s="1"/>
  <c r="F1071" i="53" s="1"/>
  <c r="F1072" i="53" s="1"/>
  <c r="F1073" i="53" s="1"/>
  <c r="F1074" i="53" s="1"/>
  <c r="F1075" i="53" s="1"/>
  <c r="F1076" i="53" s="1"/>
  <c r="F1077" i="53" l="1"/>
  <c r="F1078" i="53" s="1"/>
  <c r="F1079" i="53" s="1"/>
  <c r="F1080" i="53" s="1"/>
  <c r="F1081" i="53" s="1"/>
  <c r="F1082" i="53" s="1"/>
  <c r="F1083" i="53" s="1"/>
  <c r="F1084" i="53" s="1"/>
  <c r="F1085" i="53" s="1"/>
  <c r="F1086" i="53" s="1"/>
  <c r="F1087" i="53" s="1"/>
  <c r="F1088" i="53" s="1"/>
  <c r="F1089" i="53" s="1"/>
  <c r="F1090" i="53" s="1"/>
  <c r="F1091" i="53" s="1"/>
  <c r="F1092" i="53" s="1"/>
  <c r="F1093" i="53" s="1"/>
  <c r="F1094" i="53" s="1"/>
  <c r="F1095" i="53" s="1"/>
  <c r="F1096" i="53" s="1"/>
  <c r="F1097" i="53" s="1"/>
  <c r="F1098" i="53" s="1"/>
  <c r="F1099" i="53" s="1"/>
  <c r="F1100" i="53" s="1"/>
  <c r="F1101" i="53" s="1"/>
  <c r="F1102" i="53" s="1"/>
  <c r="F1103" i="53" s="1"/>
  <c r="F1104" i="53" s="1"/>
  <c r="F1105" i="53" s="1"/>
  <c r="F1106" i="53" s="1"/>
  <c r="F1107" i="53" s="1"/>
  <c r="F1108" i="53" s="1"/>
  <c r="F1109" i="53" s="1"/>
  <c r="F1110" i="53" s="1"/>
  <c r="F1111" i="53" s="1"/>
  <c r="F1112" i="53" s="1"/>
  <c r="H1" i="47"/>
  <c r="F846" i="54" l="1"/>
  <c r="F847" i="54" s="1"/>
  <c r="F848" i="54" s="1"/>
  <c r="H2" i="47"/>
  <c r="J421" i="47" s="1"/>
  <c r="J670" i="47" s="1"/>
  <c r="H1" i="45"/>
  <c r="E2801" i="12"/>
  <c r="E2800" i="12"/>
  <c r="E2799" i="12"/>
  <c r="E2787" i="12"/>
  <c r="E2765" i="12"/>
  <c r="E2743" i="12"/>
  <c r="E2695" i="12"/>
  <c r="E2653" i="12"/>
  <c r="E2629" i="12"/>
  <c r="E2621" i="12"/>
  <c r="E2600" i="12"/>
  <c r="E2592" i="12"/>
  <c r="E2587" i="12"/>
  <c r="E2585" i="12"/>
  <c r="E2541" i="12"/>
  <c r="E2489" i="12"/>
  <c r="E2484" i="12"/>
  <c r="E2432" i="12"/>
  <c r="E2431" i="12"/>
  <c r="E2372" i="12"/>
  <c r="E2324" i="12"/>
  <c r="E2292" i="12"/>
  <c r="E2291" i="12"/>
  <c r="E2153" i="12"/>
  <c r="E2125" i="12"/>
  <c r="E2073" i="12"/>
  <c r="F2063" i="12"/>
  <c r="E1996" i="12"/>
  <c r="E1990" i="12"/>
  <c r="E1964" i="12"/>
  <c r="E1957" i="12"/>
  <c r="E1933" i="12"/>
  <c r="E1925" i="12"/>
  <c r="E1912" i="12"/>
  <c r="E1891" i="12"/>
  <c r="E1862" i="12"/>
  <c r="E1827" i="12"/>
  <c r="E1820" i="12"/>
  <c r="E1796" i="12"/>
  <c r="E1762" i="12"/>
  <c r="E1747" i="12"/>
  <c r="E1700" i="12"/>
  <c r="E1675" i="12"/>
  <c r="E1674" i="12"/>
  <c r="E1672" i="12"/>
  <c r="E1668" i="12"/>
  <c r="E1656" i="12"/>
  <c r="E1638" i="12"/>
  <c r="E1565" i="12"/>
  <c r="E1544" i="12"/>
  <c r="E1542" i="12"/>
  <c r="E1524" i="12"/>
  <c r="E1503" i="12"/>
  <c r="E1481" i="12"/>
  <c r="E1439" i="12"/>
  <c r="E1396" i="12"/>
  <c r="E1393" i="12"/>
  <c r="E1391" i="12"/>
  <c r="E1372" i="12"/>
  <c r="E1357" i="12"/>
  <c r="E1323" i="12"/>
  <c r="E1310" i="12"/>
  <c r="E1305" i="12"/>
  <c r="G1297" i="12"/>
  <c r="G1298" i="12" s="1"/>
  <c r="G1299" i="12" s="1"/>
  <c r="G1300" i="12" s="1"/>
  <c r="G1301" i="12" s="1"/>
  <c r="G1302" i="12" s="1"/>
  <c r="G1303" i="12" s="1"/>
  <c r="G1304" i="12" s="1"/>
  <c r="E1296" i="12"/>
  <c r="E1279" i="12"/>
  <c r="E1258" i="12"/>
  <c r="E1227" i="12"/>
  <c r="E1226" i="12"/>
  <c r="E1221" i="12"/>
  <c r="G1220" i="12"/>
  <c r="E1191" i="12"/>
  <c r="E1188" i="12"/>
  <c r="E1170" i="12"/>
  <c r="E1169" i="12"/>
  <c r="E1160" i="12"/>
  <c r="E1149" i="12"/>
  <c r="E1110" i="12"/>
  <c r="E1064" i="12"/>
  <c r="E1045" i="12"/>
  <c r="E1029" i="12"/>
  <c r="E1010" i="12"/>
  <c r="E989" i="12"/>
  <c r="E982" i="12"/>
  <c r="E973" i="12"/>
  <c r="E960" i="12"/>
  <c r="E949" i="12"/>
  <c r="E948" i="12"/>
  <c r="E941" i="12"/>
  <c r="E933" i="12"/>
  <c r="E912" i="12"/>
  <c r="E910" i="12"/>
  <c r="E901" i="12"/>
  <c r="E891" i="12"/>
  <c r="E882" i="12"/>
  <c r="E866" i="12"/>
  <c r="E858" i="12"/>
  <c r="E841" i="12"/>
  <c r="E830" i="12"/>
  <c r="E827" i="12"/>
  <c r="E812" i="12"/>
  <c r="E806" i="12"/>
  <c r="E805" i="12"/>
  <c r="E793" i="12"/>
  <c r="E755" i="12"/>
  <c r="E745" i="12"/>
  <c r="E729" i="12"/>
  <c r="E710" i="12"/>
  <c r="E704" i="12"/>
  <c r="E703" i="12"/>
  <c r="E702" i="12"/>
  <c r="E667" i="12"/>
  <c r="E642" i="12"/>
  <c r="E602" i="12"/>
  <c r="E555" i="12"/>
  <c r="E550" i="12"/>
  <c r="E526" i="12"/>
  <c r="E525" i="12"/>
  <c r="E467" i="12"/>
  <c r="E466" i="12"/>
  <c r="E414" i="12"/>
  <c r="E406" i="12"/>
  <c r="E405" i="12"/>
  <c r="E385" i="12"/>
  <c r="E376" i="12"/>
  <c r="E375" i="12"/>
  <c r="E373" i="12"/>
  <c r="E363" i="12"/>
  <c r="E339" i="12"/>
  <c r="E338" i="12"/>
  <c r="E321" i="12"/>
  <c r="E320" i="12"/>
  <c r="E318" i="12"/>
  <c r="E237" i="12"/>
  <c r="E209" i="12"/>
  <c r="E184" i="12"/>
  <c r="E180" i="12"/>
  <c r="E154" i="12"/>
  <c r="E124" i="12"/>
  <c r="E95" i="12"/>
  <c r="E45" i="12"/>
  <c r="E17" i="12"/>
  <c r="F849" i="54" l="1"/>
  <c r="F850" i="54" s="1"/>
  <c r="F851" i="54" s="1"/>
  <c r="F852" i="54" s="1"/>
  <c r="F853" i="54" s="1"/>
  <c r="F854" i="54" s="1"/>
  <c r="F855" i="54" s="1"/>
  <c r="F856" i="54" s="1"/>
  <c r="F857" i="54" s="1"/>
  <c r="F858" i="54" s="1"/>
  <c r="F859" i="54" s="1"/>
  <c r="F1113" i="53"/>
  <c r="F1114" i="53" s="1"/>
  <c r="F1115" i="53" s="1"/>
  <c r="F1116" i="53" s="1"/>
  <c r="F1117" i="53" s="1"/>
  <c r="F1118" i="53" s="1"/>
  <c r="F1119" i="53" s="1"/>
  <c r="F1120" i="53" s="1"/>
  <c r="F1121" i="53" s="1"/>
  <c r="F1122" i="53" s="1"/>
  <c r="F1123" i="53" s="1"/>
  <c r="F1124" i="53" s="1"/>
  <c r="F1125" i="53" s="1"/>
  <c r="F1126" i="53" s="1"/>
  <c r="F1127" i="53" s="1"/>
  <c r="F1128" i="53" s="1"/>
  <c r="F1129" i="53" s="1"/>
  <c r="F1130" i="53" s="1"/>
  <c r="F1131" i="53" s="1"/>
  <c r="F1132" i="53" s="1"/>
  <c r="F1133" i="53" s="1"/>
  <c r="F1134" i="53" s="1"/>
  <c r="F1135" i="53" s="1"/>
  <c r="F1136" i="53" s="1"/>
  <c r="F1137" i="53" s="1"/>
  <c r="F1138" i="53" s="1"/>
  <c r="D6" i="57"/>
  <c r="G1221" i="12"/>
  <c r="G1222" i="12" s="1"/>
  <c r="G1223" i="12" s="1"/>
  <c r="G1224" i="12" s="1"/>
  <c r="G1225" i="12" s="1"/>
  <c r="G1226" i="12" s="1"/>
  <c r="G1227" i="12" s="1"/>
  <c r="G1228" i="12" s="1"/>
  <c r="G1229" i="12" s="1"/>
  <c r="G1230" i="12" s="1"/>
  <c r="G1231" i="12" s="1"/>
  <c r="G1232" i="12" s="1"/>
  <c r="G1233" i="12" s="1"/>
  <c r="G1234" i="12" s="1"/>
  <c r="G1235" i="12" s="1"/>
  <c r="G1236" i="12" s="1"/>
  <c r="G1237" i="12" s="1"/>
  <c r="G1238" i="12" s="1"/>
  <c r="G1239" i="12" s="1"/>
  <c r="G1240" i="12" s="1"/>
  <c r="G1241" i="12" s="1"/>
  <c r="G1242" i="12" s="1"/>
  <c r="G1243" i="12" s="1"/>
  <c r="G1244" i="12" s="1"/>
  <c r="G1245" i="12" s="1"/>
  <c r="G1246" i="12" s="1"/>
  <c r="G1247" i="12" s="1"/>
  <c r="G1248" i="12" s="1"/>
  <c r="G1249" i="12" s="1"/>
  <c r="G1250" i="12" s="1"/>
  <c r="G1251" i="12" s="1"/>
  <c r="G1252" i="12" s="1"/>
  <c r="G1253" i="12" s="1"/>
  <c r="G1254" i="12" s="1"/>
  <c r="G1255" i="12" s="1"/>
  <c r="G1256" i="12" s="1"/>
  <c r="G1257" i="12" s="1"/>
  <c r="G1258" i="12" s="1"/>
  <c r="G1259" i="12" s="1"/>
  <c r="G1260" i="12" s="1"/>
  <c r="G1261" i="12" s="1"/>
  <c r="G1262" i="12" s="1"/>
  <c r="G1263" i="12" s="1"/>
  <c r="G1264" i="12" s="1"/>
  <c r="G1265" i="12" s="1"/>
  <c r="G1266" i="12" s="1"/>
  <c r="G1267" i="12" s="1"/>
  <c r="G1268" i="12" s="1"/>
  <c r="G1269" i="12" s="1"/>
  <c r="G1270" i="12" s="1"/>
  <c r="G1271" i="12" s="1"/>
  <c r="G1272" i="12" s="1"/>
  <c r="G1273" i="12" s="1"/>
  <c r="G1274" i="12" s="1"/>
  <c r="G1275" i="12" s="1"/>
  <c r="G1276" i="12" s="1"/>
  <c r="G1277" i="12" s="1"/>
  <c r="G1278" i="12" s="1"/>
  <c r="G1279" i="12" s="1"/>
  <c r="G1280" i="12" s="1"/>
  <c r="G1281" i="12" s="1"/>
  <c r="G1282" i="12" s="1"/>
  <c r="G1283" i="12" s="1"/>
  <c r="G1284" i="12" s="1"/>
  <c r="G1285" i="12" s="1"/>
  <c r="G1286" i="12" s="1"/>
  <c r="G1287" i="12" s="1"/>
  <c r="G1288" i="12" s="1"/>
  <c r="G1289" i="12" s="1"/>
  <c r="G1290" i="12" s="1"/>
  <c r="G1291" i="12" s="1"/>
  <c r="G1292" i="12" s="1"/>
  <c r="G1293" i="12" s="1"/>
  <c r="G1294" i="12" s="1"/>
  <c r="G1295" i="12" s="1"/>
  <c r="G1296" i="12" s="1"/>
  <c r="G1305" i="12"/>
  <c r="G1306" i="12" s="1"/>
  <c r="G1307" i="12" s="1"/>
  <c r="G1308" i="12" s="1"/>
  <c r="G1309" i="12" s="1"/>
  <c r="G1310" i="12" s="1"/>
  <c r="G1311" i="12" s="1"/>
  <c r="G1312" i="12" s="1"/>
  <c r="G1313" i="12" s="1"/>
  <c r="G1314" i="12" s="1"/>
  <c r="G1315" i="12" s="1"/>
  <c r="G1316" i="12" s="1"/>
  <c r="G1317" i="12" s="1"/>
  <c r="G1318" i="12" s="1"/>
  <c r="G1319" i="12" s="1"/>
  <c r="G1320" i="12" s="1"/>
  <c r="G1321" i="12" s="1"/>
  <c r="G1322" i="12" s="1"/>
  <c r="G1323" i="12" s="1"/>
  <c r="G1324" i="12" s="1"/>
  <c r="G1325" i="12" s="1"/>
  <c r="G1326" i="12" s="1"/>
  <c r="G1327" i="12" s="1"/>
  <c r="G1328" i="12" s="1"/>
  <c r="G1329" i="12" s="1"/>
  <c r="G1330" i="12" s="1"/>
  <c r="G1331" i="12" s="1"/>
  <c r="G1332" i="12" s="1"/>
  <c r="G1333" i="12" s="1"/>
  <c r="G1334" i="12" s="1"/>
  <c r="G1335" i="12" s="1"/>
  <c r="G1336" i="12" s="1"/>
  <c r="G1337" i="12" s="1"/>
  <c r="G1338" i="12" s="1"/>
  <c r="G1339" i="12" s="1"/>
  <c r="G1340" i="12" s="1"/>
  <c r="G1341" i="12" s="1"/>
  <c r="G1342" i="12" s="1"/>
  <c r="G1343" i="12" s="1"/>
  <c r="G1344" i="12" s="1"/>
  <c r="G1345" i="12" s="1"/>
  <c r="G1346" i="12" s="1"/>
  <c r="G1347" i="12" s="1"/>
  <c r="G1348" i="12" s="1"/>
  <c r="G1349" i="12" s="1"/>
  <c r="G1350" i="12" s="1"/>
  <c r="G1351" i="12" s="1"/>
  <c r="G1352" i="12" s="1"/>
  <c r="G1353" i="12" s="1"/>
  <c r="G1354" i="12" s="1"/>
  <c r="G1355" i="12" s="1"/>
  <c r="G1356" i="12" s="1"/>
  <c r="G1357" i="12" s="1"/>
  <c r="G1358" i="12" s="1"/>
  <c r="G1359" i="12" s="1"/>
  <c r="G1360" i="12" s="1"/>
  <c r="G1361" i="12" s="1"/>
  <c r="G1362" i="12" s="1"/>
  <c r="G1363" i="12" s="1"/>
  <c r="G1364" i="12" s="1"/>
  <c r="G1365" i="12" s="1"/>
  <c r="G1366" i="12" s="1"/>
  <c r="G1367" i="12" s="1"/>
  <c r="G1368" i="12" s="1"/>
  <c r="G1369" i="12" s="1"/>
  <c r="G1370" i="12" s="1"/>
  <c r="G1371" i="12" s="1"/>
  <c r="G1372" i="12" s="1"/>
  <c r="G1373" i="12" s="1"/>
  <c r="G1374" i="12" s="1"/>
  <c r="G1375" i="12" s="1"/>
  <c r="G1376" i="12" s="1"/>
  <c r="G1377" i="12" s="1"/>
  <c r="G1378" i="12" s="1"/>
  <c r="G1379" i="12" s="1"/>
  <c r="G1380" i="12" s="1"/>
  <c r="G1381" i="12" s="1"/>
  <c r="G1382" i="12" s="1"/>
  <c r="G1383" i="12" s="1"/>
  <c r="G1384" i="12" s="1"/>
  <c r="G1385" i="12" s="1"/>
  <c r="G1386" i="12" s="1"/>
  <c r="G1387" i="12" s="1"/>
  <c r="G1388" i="12" s="1"/>
  <c r="G1389" i="12" s="1"/>
  <c r="G1390" i="12" s="1"/>
  <c r="G1391" i="12" s="1"/>
  <c r="G1392" i="12" s="1"/>
  <c r="G1393" i="12" s="1"/>
  <c r="G1394" i="12" s="1"/>
  <c r="G1395" i="12" s="1"/>
  <c r="G1396" i="12" s="1"/>
  <c r="G1397" i="12" s="1"/>
  <c r="G1398" i="12" s="1"/>
  <c r="G1399" i="12" s="1"/>
  <c r="G1400" i="12" s="1"/>
  <c r="G1401" i="12" s="1"/>
  <c r="G1402" i="12" s="1"/>
  <c r="G1403" i="12" s="1"/>
  <c r="G1404" i="12" s="1"/>
  <c r="G1405" i="12" s="1"/>
  <c r="G1406" i="12" s="1"/>
  <c r="G1407" i="12" s="1"/>
  <c r="G1408" i="12" s="1"/>
  <c r="G1409" i="12" s="1"/>
  <c r="G1410" i="12" s="1"/>
  <c r="G1411" i="12" s="1"/>
  <c r="G1412" i="12" s="1"/>
  <c r="G1413" i="12" s="1"/>
  <c r="G1414" i="12" s="1"/>
  <c r="G1415" i="12" s="1"/>
  <c r="G1416" i="12" s="1"/>
  <c r="G1417" i="12" s="1"/>
  <c r="G1418" i="12" s="1"/>
  <c r="G1419" i="12" s="1"/>
  <c r="G1420" i="12" s="1"/>
  <c r="G1421" i="12" s="1"/>
  <c r="G1422" i="12" s="1"/>
  <c r="G1423" i="12" s="1"/>
  <c r="G1424" i="12" s="1"/>
  <c r="G1425" i="12" s="1"/>
  <c r="G1426" i="12" s="1"/>
  <c r="G1427" i="12" s="1"/>
  <c r="G1428" i="12" s="1"/>
  <c r="G1429" i="12" s="1"/>
  <c r="G1430" i="12" s="1"/>
  <c r="G1431" i="12" s="1"/>
  <c r="G1432" i="12" s="1"/>
  <c r="G1433" i="12" s="1"/>
  <c r="G1434" i="12" s="1"/>
  <c r="G1435" i="12" s="1"/>
  <c r="G1436" i="12" s="1"/>
  <c r="G1437" i="12" s="1"/>
  <c r="G1438" i="12" s="1"/>
  <c r="G1439" i="12" s="1"/>
  <c r="G1440" i="12" s="1"/>
  <c r="G1441" i="12" s="1"/>
  <c r="G1442" i="12" s="1"/>
  <c r="G1443" i="12" s="1"/>
  <c r="G1444" i="12" s="1"/>
  <c r="G1445" i="12" s="1"/>
  <c r="G1446" i="12" s="1"/>
  <c r="G1447" i="12" s="1"/>
  <c r="G1448" i="12" s="1"/>
  <c r="G1449" i="12" s="1"/>
  <c r="G1450" i="12" s="1"/>
  <c r="G1451" i="12" s="1"/>
  <c r="G1452" i="12" s="1"/>
  <c r="G1453" i="12" s="1"/>
  <c r="G1454" i="12" s="1"/>
  <c r="G1455" i="12" s="1"/>
  <c r="G1456" i="12" s="1"/>
  <c r="G1457" i="12" s="1"/>
  <c r="G1458" i="12" s="1"/>
  <c r="G1459" i="12" s="1"/>
  <c r="G1460" i="12" s="1"/>
  <c r="G1461" i="12" s="1"/>
  <c r="G1462" i="12" s="1"/>
  <c r="G1463" i="12" s="1"/>
  <c r="G1464" i="12" s="1"/>
  <c r="G1465" i="12" s="1"/>
  <c r="G1466" i="12" s="1"/>
  <c r="G1467" i="12" s="1"/>
  <c r="G1468" i="12" s="1"/>
  <c r="G1469" i="12" s="1"/>
  <c r="G1470" i="12" s="1"/>
  <c r="G1471" i="12" s="1"/>
  <c r="G1472" i="12" s="1"/>
  <c r="G1473" i="12" s="1"/>
  <c r="G1474" i="12" s="1"/>
  <c r="G1475" i="12" s="1"/>
  <c r="G1476" i="12" s="1"/>
  <c r="G1477" i="12" s="1"/>
  <c r="G1478" i="12" s="1"/>
  <c r="G1479" i="12" s="1"/>
  <c r="G1480" i="12" s="1"/>
  <c r="G1481" i="12" s="1"/>
  <c r="G1482" i="12" s="1"/>
  <c r="G1483" i="12" s="1"/>
  <c r="G1484" i="12" s="1"/>
  <c r="G1485" i="12" s="1"/>
  <c r="G1486" i="12" s="1"/>
  <c r="G1487" i="12" s="1"/>
  <c r="G1488" i="12" s="1"/>
  <c r="G1489" i="12" s="1"/>
  <c r="G1490" i="12" s="1"/>
  <c r="G1491" i="12" s="1"/>
  <c r="G1492" i="12" s="1"/>
  <c r="G1493" i="12" s="1"/>
  <c r="G1494" i="12" s="1"/>
  <c r="G1495" i="12" s="1"/>
  <c r="G1496" i="12" s="1"/>
  <c r="G1497" i="12" s="1"/>
  <c r="G1498" i="12" s="1"/>
  <c r="G1499" i="12" s="1"/>
  <c r="G1500" i="12" s="1"/>
  <c r="G1501" i="12" s="1"/>
  <c r="G1502" i="12" s="1"/>
  <c r="G1503" i="12" s="1"/>
  <c r="G1504" i="12" s="1"/>
  <c r="G1505" i="12" s="1"/>
  <c r="G1506" i="12" s="1"/>
  <c r="G1507" i="12" s="1"/>
  <c r="G1508" i="12" s="1"/>
  <c r="G1509" i="12" s="1"/>
  <c r="G1510" i="12" s="1"/>
  <c r="G1511" i="12" s="1"/>
  <c r="G1512" i="12" s="1"/>
  <c r="G1513" i="12" s="1"/>
  <c r="G1514" i="12" s="1"/>
  <c r="G1515" i="12" s="1"/>
  <c r="G1516" i="12" s="1"/>
  <c r="G1517" i="12" s="1"/>
  <c r="G1518" i="12" s="1"/>
  <c r="G1519" i="12" s="1"/>
  <c r="G1520" i="12" s="1"/>
  <c r="G1521" i="12" s="1"/>
  <c r="G1522" i="12" s="1"/>
  <c r="G1523" i="12" s="1"/>
  <c r="G1524" i="12" s="1"/>
  <c r="G1525" i="12" s="1"/>
  <c r="G1526" i="12" s="1"/>
  <c r="G1527" i="12" s="1"/>
  <c r="G1528" i="12" s="1"/>
  <c r="G1529" i="12" s="1"/>
  <c r="G1530" i="12" s="1"/>
  <c r="G1531" i="12" s="1"/>
  <c r="G1532" i="12" s="1"/>
  <c r="G1533" i="12" s="1"/>
  <c r="G1534" i="12" s="1"/>
  <c r="G1535" i="12" s="1"/>
  <c r="G1536" i="12" s="1"/>
  <c r="G1537" i="12" s="1"/>
  <c r="G1538" i="12" s="1"/>
  <c r="G1539" i="12" s="1"/>
  <c r="G1540" i="12" s="1"/>
  <c r="G1541" i="12" s="1"/>
  <c r="G1542" i="12" s="1"/>
  <c r="G1543" i="12" s="1"/>
  <c r="G1544" i="12" s="1"/>
  <c r="G1545" i="12" s="1"/>
  <c r="G1546" i="12" s="1"/>
  <c r="G1547" i="12" s="1"/>
  <c r="G1548" i="12" s="1"/>
  <c r="G1549" i="12" s="1"/>
  <c r="G1550" i="12" s="1"/>
  <c r="G1551" i="12" s="1"/>
  <c r="G1552" i="12" s="1"/>
  <c r="G1553" i="12" s="1"/>
  <c r="G1554" i="12" s="1"/>
  <c r="G1555" i="12" s="1"/>
  <c r="G1556" i="12" s="1"/>
  <c r="G1557" i="12" s="1"/>
  <c r="G1558" i="12" s="1"/>
  <c r="G1559" i="12" s="1"/>
  <c r="G1560" i="12" s="1"/>
  <c r="G1561" i="12" s="1"/>
  <c r="G1562" i="12" s="1"/>
  <c r="G1563" i="12" s="1"/>
  <c r="G1564" i="12" s="1"/>
  <c r="G1565" i="12" s="1"/>
  <c r="G1566" i="12" s="1"/>
  <c r="G1567" i="12" s="1"/>
  <c r="G1568" i="12" s="1"/>
  <c r="G1569" i="12" s="1"/>
  <c r="G1570" i="12" s="1"/>
  <c r="G1571" i="12" s="1"/>
  <c r="G1572" i="12" s="1"/>
  <c r="G1573" i="12" s="1"/>
  <c r="G1574" i="12" s="1"/>
  <c r="G1575" i="12" s="1"/>
  <c r="G1576" i="12" s="1"/>
  <c r="G1577" i="12" s="1"/>
  <c r="G1578" i="12" s="1"/>
  <c r="G1579" i="12" s="1"/>
  <c r="G1580" i="12" s="1"/>
  <c r="G1581" i="12" s="1"/>
  <c r="G1582" i="12" s="1"/>
  <c r="G1583" i="12" s="1"/>
  <c r="G1584" i="12" s="1"/>
  <c r="G1585" i="12" s="1"/>
  <c r="G1586" i="12" s="1"/>
  <c r="G1587" i="12" s="1"/>
  <c r="G1588" i="12" s="1"/>
  <c r="G1589" i="12" s="1"/>
  <c r="G1590" i="12" s="1"/>
  <c r="G1591" i="12" s="1"/>
  <c r="G1592" i="12" s="1"/>
  <c r="G1593" i="12" s="1"/>
  <c r="G1594" i="12" s="1"/>
  <c r="G1595" i="12" s="1"/>
  <c r="G1596" i="12" s="1"/>
  <c r="G1597" i="12" s="1"/>
  <c r="G1598" i="12" s="1"/>
  <c r="G1599" i="12" s="1"/>
  <c r="G1600" i="12" s="1"/>
  <c r="G1601" i="12" s="1"/>
  <c r="G1602" i="12" s="1"/>
  <c r="G1603" i="12" s="1"/>
  <c r="G1604" i="12" s="1"/>
  <c r="G1605" i="12" s="1"/>
  <c r="G1606" i="12" s="1"/>
  <c r="G1607" i="12" s="1"/>
  <c r="G1608" i="12" s="1"/>
  <c r="G1609" i="12" s="1"/>
  <c r="G1610" i="12" s="1"/>
  <c r="G1611" i="12" s="1"/>
  <c r="G1612" i="12" s="1"/>
  <c r="G1613" i="12" s="1"/>
  <c r="G1614" i="12" s="1"/>
  <c r="G1615" i="12" s="1"/>
  <c r="G1616" i="12" s="1"/>
  <c r="G1617" i="12" s="1"/>
  <c r="G1618" i="12" s="1"/>
  <c r="G1619" i="12" s="1"/>
  <c r="G1620" i="12" s="1"/>
  <c r="G1621" i="12" s="1"/>
  <c r="G1622" i="12" s="1"/>
  <c r="G1623" i="12" s="1"/>
  <c r="G1624" i="12" s="1"/>
  <c r="G1625" i="12" s="1"/>
  <c r="G1626" i="12" s="1"/>
  <c r="G1627" i="12" s="1"/>
  <c r="G1628" i="12" s="1"/>
  <c r="G1629" i="12" s="1"/>
  <c r="G1630" i="12" s="1"/>
  <c r="G1631" i="12" s="1"/>
  <c r="G1632" i="12" s="1"/>
  <c r="G1633" i="12" s="1"/>
  <c r="G1634" i="12" s="1"/>
  <c r="G1635" i="12" s="1"/>
  <c r="G1636" i="12" s="1"/>
  <c r="G1637" i="12" s="1"/>
  <c r="G1638" i="12" s="1"/>
  <c r="G1639" i="12" s="1"/>
  <c r="G1640" i="12" s="1"/>
  <c r="G1641" i="12" s="1"/>
  <c r="G1642" i="12" s="1"/>
  <c r="G1643" i="12" s="1"/>
  <c r="G1644" i="12" s="1"/>
  <c r="G1645" i="12" s="1"/>
  <c r="G1646" i="12" s="1"/>
  <c r="G1647" i="12" s="1"/>
  <c r="G1648" i="12" s="1"/>
  <c r="G1649" i="12" s="1"/>
  <c r="G1650" i="12" s="1"/>
  <c r="G1651" i="12" s="1"/>
  <c r="G1652" i="12" s="1"/>
  <c r="G1653" i="12" s="1"/>
  <c r="G1654" i="12" s="1"/>
  <c r="G1655" i="12" s="1"/>
  <c r="G1656" i="12" s="1"/>
  <c r="G1657" i="12" s="1"/>
  <c r="G1658" i="12" s="1"/>
  <c r="G1659" i="12" s="1"/>
  <c r="G1660" i="12" s="1"/>
  <c r="G1661" i="12" s="1"/>
  <c r="G1662" i="12" s="1"/>
  <c r="G1663" i="12" s="1"/>
  <c r="G1664" i="12" s="1"/>
  <c r="G1665" i="12" s="1"/>
  <c r="G1666" i="12" s="1"/>
  <c r="G1667" i="12" s="1"/>
  <c r="G1668" i="12" s="1"/>
  <c r="G1669" i="12" s="1"/>
  <c r="G1670" i="12" s="1"/>
  <c r="G1671" i="12" s="1"/>
  <c r="G1672" i="12" s="1"/>
  <c r="G1673" i="12" s="1"/>
  <c r="G1674" i="12" s="1"/>
  <c r="G1675" i="12" s="1"/>
  <c r="G1676" i="12" s="1"/>
  <c r="G1677" i="12" s="1"/>
  <c r="G1678" i="12" s="1"/>
  <c r="G1679" i="12" s="1"/>
  <c r="G1680" i="12" s="1"/>
  <c r="G1681" i="12" s="1"/>
  <c r="G1682" i="12" s="1"/>
  <c r="G1683" i="12" s="1"/>
  <c r="G1684" i="12" s="1"/>
  <c r="G1685" i="12" s="1"/>
  <c r="G1686" i="12" s="1"/>
  <c r="G1687" i="12" s="1"/>
  <c r="G1688" i="12" s="1"/>
  <c r="G1689" i="12" s="1"/>
  <c r="G1690" i="12" s="1"/>
  <c r="G1691" i="12" s="1"/>
  <c r="G1692" i="12" s="1"/>
  <c r="G1693" i="12" s="1"/>
  <c r="G1694" i="12" s="1"/>
  <c r="G1695" i="12" s="1"/>
  <c r="G1696" i="12" s="1"/>
  <c r="G1697" i="12" s="1"/>
  <c r="G1698" i="12" s="1"/>
  <c r="G1699" i="12" s="1"/>
  <c r="G1700" i="12" s="1"/>
  <c r="G1701" i="12" s="1"/>
  <c r="G1702" i="12" s="1"/>
  <c r="G1703" i="12" s="1"/>
  <c r="G1704" i="12" s="1"/>
  <c r="G1705" i="12" s="1"/>
  <c r="G1706" i="12" s="1"/>
  <c r="G1707" i="12" s="1"/>
  <c r="G1708" i="12" s="1"/>
  <c r="G1709" i="12" s="1"/>
  <c r="G1710" i="12" s="1"/>
  <c r="G1711" i="12" s="1"/>
  <c r="G1712" i="12" s="1"/>
  <c r="G1713" i="12" s="1"/>
  <c r="G1714" i="12" s="1"/>
  <c r="G1715" i="12" s="1"/>
  <c r="G1716" i="12" s="1"/>
  <c r="G1717" i="12" s="1"/>
  <c r="G1718" i="12" s="1"/>
  <c r="G1719" i="12" s="1"/>
  <c r="G1720" i="12" s="1"/>
  <c r="G1721" i="12" s="1"/>
  <c r="G1722" i="12" s="1"/>
  <c r="G1723" i="12" s="1"/>
  <c r="G1724" i="12" s="1"/>
  <c r="G1725" i="12" s="1"/>
  <c r="G1726" i="12" s="1"/>
  <c r="G1727" i="12" s="1"/>
  <c r="G1728" i="12" s="1"/>
  <c r="G1729" i="12" s="1"/>
  <c r="G1730" i="12" s="1"/>
  <c r="G1731" i="12" s="1"/>
  <c r="G1732" i="12" s="1"/>
  <c r="G1733" i="12" s="1"/>
  <c r="G1734" i="12" s="1"/>
  <c r="G1735" i="12" s="1"/>
  <c r="G1736" i="12" s="1"/>
  <c r="G1737" i="12" s="1"/>
  <c r="G1738" i="12" s="1"/>
  <c r="G1739" i="12" s="1"/>
  <c r="G1740" i="12" s="1"/>
  <c r="G1741" i="12" s="1"/>
  <c r="G1742" i="12" s="1"/>
  <c r="G1743" i="12" s="1"/>
  <c r="G1744" i="12" s="1"/>
  <c r="G1745" i="12" s="1"/>
  <c r="G1746" i="12" s="1"/>
  <c r="G1747" i="12" s="1"/>
  <c r="G1748" i="12" s="1"/>
  <c r="G1749" i="12" s="1"/>
  <c r="G1750" i="12" s="1"/>
  <c r="G1751" i="12" s="1"/>
  <c r="G1752" i="12" s="1"/>
  <c r="G1753" i="12" s="1"/>
  <c r="G1754" i="12" s="1"/>
  <c r="G1755" i="12" s="1"/>
  <c r="G1756" i="12" s="1"/>
  <c r="G1757" i="12" s="1"/>
  <c r="G1758" i="12" s="1"/>
  <c r="G1759" i="12" s="1"/>
  <c r="G1760" i="12" s="1"/>
  <c r="G1761" i="12" s="1"/>
  <c r="G1762" i="12" s="1"/>
  <c r="G1763" i="12" s="1"/>
  <c r="G1764" i="12" s="1"/>
  <c r="G1765" i="12" s="1"/>
  <c r="G1766" i="12" s="1"/>
  <c r="G1767" i="12" s="1"/>
  <c r="G1768" i="12" s="1"/>
  <c r="G1769" i="12" s="1"/>
  <c r="G1770" i="12" s="1"/>
  <c r="G1771" i="12" s="1"/>
  <c r="G1772" i="12" s="1"/>
  <c r="G1773" i="12" s="1"/>
  <c r="G1774" i="12" s="1"/>
  <c r="G1775" i="12" s="1"/>
  <c r="G1776" i="12" s="1"/>
  <c r="G1777" i="12" s="1"/>
  <c r="G1778" i="12" s="1"/>
  <c r="G1779" i="12" s="1"/>
  <c r="G1780" i="12" s="1"/>
  <c r="G1781" i="12" s="1"/>
  <c r="G1782" i="12" s="1"/>
  <c r="G1783" i="12" s="1"/>
  <c r="G1784" i="12" s="1"/>
  <c r="G1785" i="12" s="1"/>
  <c r="G1786" i="12" s="1"/>
  <c r="G1787" i="12" s="1"/>
  <c r="G1788" i="12" s="1"/>
  <c r="G1789" i="12" s="1"/>
  <c r="G1790" i="12" s="1"/>
  <c r="G1791" i="12" s="1"/>
  <c r="G1792" i="12" s="1"/>
  <c r="G1793" i="12" s="1"/>
  <c r="G1794" i="12" s="1"/>
  <c r="G1795" i="12" s="1"/>
  <c r="G1796" i="12" s="1"/>
  <c r="G1797" i="12" s="1"/>
  <c r="G1798" i="12" s="1"/>
  <c r="G1799" i="12" s="1"/>
  <c r="G1800" i="12" s="1"/>
  <c r="G1801" i="12" s="1"/>
  <c r="G1802" i="12" s="1"/>
  <c r="G1803" i="12" s="1"/>
  <c r="G1804" i="12" s="1"/>
  <c r="G1805" i="12" s="1"/>
  <c r="G1806" i="12" s="1"/>
  <c r="G1807" i="12" s="1"/>
  <c r="G1808" i="12" s="1"/>
  <c r="G1809" i="12" s="1"/>
  <c r="G1810" i="12" s="1"/>
  <c r="G1811" i="12" s="1"/>
  <c r="G1812" i="12" s="1"/>
  <c r="G1813" i="12" s="1"/>
  <c r="G1814" i="12" s="1"/>
  <c r="G1815" i="12" s="1"/>
  <c r="G1816" i="12" s="1"/>
  <c r="G1817" i="12" s="1"/>
  <c r="G1818" i="12" s="1"/>
  <c r="G1819" i="12" s="1"/>
  <c r="G1820" i="12" s="1"/>
  <c r="G1821" i="12" s="1"/>
  <c r="G1822" i="12" s="1"/>
  <c r="G1823" i="12" s="1"/>
  <c r="G1824" i="12" s="1"/>
  <c r="G1825" i="12" s="1"/>
  <c r="G1826" i="12" s="1"/>
  <c r="G1827" i="12" s="1"/>
  <c r="G1828" i="12" s="1"/>
  <c r="G1829" i="12" s="1"/>
  <c r="G1830" i="12" s="1"/>
  <c r="G1831" i="12" s="1"/>
  <c r="G1832" i="12" s="1"/>
  <c r="G1833" i="12" s="1"/>
  <c r="G1834" i="12" s="1"/>
  <c r="G1835" i="12" s="1"/>
  <c r="G1836" i="12" s="1"/>
  <c r="G1837" i="12" s="1"/>
  <c r="G1838" i="12" s="1"/>
  <c r="G1839" i="12" s="1"/>
  <c r="G1840" i="12" s="1"/>
  <c r="G1841" i="12" s="1"/>
  <c r="G1842" i="12" s="1"/>
  <c r="G1843" i="12" s="1"/>
  <c r="G1844" i="12" s="1"/>
  <c r="G1845" i="12" s="1"/>
  <c r="G1846" i="12" s="1"/>
  <c r="G1847" i="12" s="1"/>
  <c r="G1848" i="12" s="1"/>
  <c r="G1849" i="12" s="1"/>
  <c r="G1850" i="12" s="1"/>
  <c r="G1851" i="12" s="1"/>
  <c r="G1852" i="12" s="1"/>
  <c r="G1853" i="12" s="1"/>
  <c r="G1854" i="12" s="1"/>
  <c r="G1855" i="12" s="1"/>
  <c r="G1856" i="12" s="1"/>
  <c r="G1857" i="12" s="1"/>
  <c r="G1858" i="12" s="1"/>
  <c r="G1859" i="12" s="1"/>
  <c r="G1860" i="12" s="1"/>
  <c r="G1861" i="12" s="1"/>
  <c r="G1862" i="12" s="1"/>
  <c r="G1863" i="12" s="1"/>
  <c r="G1864" i="12" s="1"/>
  <c r="G1865" i="12" s="1"/>
  <c r="G1866" i="12" s="1"/>
  <c r="G1867" i="12" s="1"/>
  <c r="G1868" i="12" s="1"/>
  <c r="G1869" i="12" s="1"/>
  <c r="G1870" i="12" s="1"/>
  <c r="G1871" i="12" s="1"/>
  <c r="G1872" i="12" s="1"/>
  <c r="G1873" i="12" s="1"/>
  <c r="G1874" i="12" s="1"/>
  <c r="G1875" i="12" s="1"/>
  <c r="G1876" i="12" s="1"/>
  <c r="G1877" i="12" s="1"/>
  <c r="G1878" i="12" s="1"/>
  <c r="G1879" i="12" s="1"/>
  <c r="G1880" i="12" s="1"/>
  <c r="G1881" i="12" s="1"/>
  <c r="G1882" i="12" s="1"/>
  <c r="G1883" i="12" s="1"/>
  <c r="G1884" i="12" s="1"/>
  <c r="G1885" i="12" s="1"/>
  <c r="G1886" i="12" s="1"/>
  <c r="G1887" i="12" s="1"/>
  <c r="G1888" i="12" s="1"/>
  <c r="G1889" i="12" s="1"/>
  <c r="G1890" i="12" s="1"/>
  <c r="G1891" i="12" s="1"/>
  <c r="G1892" i="12" s="1"/>
  <c r="G1893" i="12" s="1"/>
  <c r="G1894" i="12" s="1"/>
  <c r="G1895" i="12" s="1"/>
  <c r="G1896" i="12" s="1"/>
  <c r="G1897" i="12" s="1"/>
  <c r="G1898" i="12" s="1"/>
  <c r="G1899" i="12" s="1"/>
  <c r="G1900" i="12" s="1"/>
  <c r="G1901" i="12" s="1"/>
  <c r="G1902" i="12" s="1"/>
  <c r="G1903" i="12" s="1"/>
  <c r="G1904" i="12" s="1"/>
  <c r="G1905" i="12" s="1"/>
  <c r="G1906" i="12" s="1"/>
  <c r="G1907" i="12" s="1"/>
  <c r="G1908" i="12" s="1"/>
  <c r="G1909" i="12" s="1"/>
  <c r="G1910" i="12" s="1"/>
  <c r="G1911" i="12" s="1"/>
  <c r="G1912" i="12" s="1"/>
  <c r="G1913" i="12" s="1"/>
  <c r="G1914" i="12" s="1"/>
  <c r="G1915" i="12" s="1"/>
  <c r="G1916" i="12" s="1"/>
  <c r="G1917" i="12" s="1"/>
  <c r="G1918" i="12" s="1"/>
  <c r="G1919" i="12" s="1"/>
  <c r="G1920" i="12" s="1"/>
  <c r="G1921" i="12" s="1"/>
  <c r="G1922" i="12" s="1"/>
  <c r="G1923" i="12" s="1"/>
  <c r="G1924" i="12" s="1"/>
  <c r="G1925" i="12" s="1"/>
  <c r="G1926" i="12" s="1"/>
  <c r="G1927" i="12" s="1"/>
  <c r="G1928" i="12" s="1"/>
  <c r="G1929" i="12" s="1"/>
  <c r="G1930" i="12" s="1"/>
  <c r="G1931" i="12" s="1"/>
  <c r="G1932" i="12" s="1"/>
  <c r="G1933" i="12" s="1"/>
  <c r="G1934" i="12" s="1"/>
  <c r="G1935" i="12" s="1"/>
  <c r="G1936" i="12" s="1"/>
  <c r="G1937" i="12" s="1"/>
  <c r="G1938" i="12" s="1"/>
  <c r="G1939" i="12" s="1"/>
  <c r="G1940" i="12" s="1"/>
  <c r="G1941" i="12" s="1"/>
  <c r="G1942" i="12" s="1"/>
  <c r="G1943" i="12" s="1"/>
  <c r="G1944" i="12" s="1"/>
  <c r="G1945" i="12" s="1"/>
  <c r="G1946" i="12" s="1"/>
  <c r="G1947" i="12" s="1"/>
  <c r="G1948" i="12" s="1"/>
  <c r="G1949" i="12" s="1"/>
  <c r="G1950" i="12" s="1"/>
  <c r="G1951" i="12" s="1"/>
  <c r="G1952" i="12" s="1"/>
  <c r="G1953" i="12" s="1"/>
  <c r="G1954" i="12" s="1"/>
  <c r="G1955" i="12" s="1"/>
  <c r="G1956" i="12" s="1"/>
  <c r="G1957" i="12" s="1"/>
  <c r="G1958" i="12" s="1"/>
  <c r="G1959" i="12" s="1"/>
  <c r="G1960" i="12" s="1"/>
  <c r="G1961" i="12" s="1"/>
  <c r="G1962" i="12" s="1"/>
  <c r="G1963" i="12" s="1"/>
  <c r="G1964" i="12" s="1"/>
  <c r="G1965" i="12" s="1"/>
  <c r="G1966" i="12" s="1"/>
  <c r="G1967" i="12" s="1"/>
  <c r="G1968" i="12" s="1"/>
  <c r="G1969" i="12" s="1"/>
  <c r="G1970" i="12" s="1"/>
  <c r="G1971" i="12" s="1"/>
  <c r="G1972" i="12" s="1"/>
  <c r="G1973" i="12" s="1"/>
  <c r="G1974" i="12" s="1"/>
  <c r="G1975" i="12" s="1"/>
  <c r="G1976" i="12" s="1"/>
  <c r="G1977" i="12" s="1"/>
  <c r="G1978" i="12" s="1"/>
  <c r="G1979" i="12" s="1"/>
  <c r="G1980" i="12" s="1"/>
  <c r="G1981" i="12" s="1"/>
  <c r="G1982" i="12" s="1"/>
  <c r="G1983" i="12" s="1"/>
  <c r="G1984" i="12" s="1"/>
  <c r="G1985" i="12" s="1"/>
  <c r="G1986" i="12" s="1"/>
  <c r="G1987" i="12" s="1"/>
  <c r="G1988" i="12" s="1"/>
  <c r="G1989" i="12" s="1"/>
  <c r="G1990" i="12" s="1"/>
  <c r="G1991" i="12" s="1"/>
  <c r="G1992" i="12" s="1"/>
  <c r="G1993" i="12" s="1"/>
  <c r="G1994" i="12" s="1"/>
  <c r="G1995" i="12" s="1"/>
  <c r="G1996" i="12" s="1"/>
  <c r="G1997" i="12" s="1"/>
  <c r="G1998" i="12" s="1"/>
  <c r="G1999" i="12" s="1"/>
  <c r="G2000" i="12" s="1"/>
  <c r="G2001" i="12" s="1"/>
  <c r="G2002" i="12" s="1"/>
  <c r="G2003" i="12" s="1"/>
  <c r="G2004" i="12" s="1"/>
  <c r="G2005" i="12" s="1"/>
  <c r="G2006" i="12" s="1"/>
  <c r="G2007" i="12" s="1"/>
  <c r="G2008" i="12" s="1"/>
  <c r="G2009" i="12" s="1"/>
  <c r="G2010" i="12" s="1"/>
  <c r="G2011" i="12" s="1"/>
  <c r="G2012" i="12" s="1"/>
  <c r="G2013" i="12" s="1"/>
  <c r="G2014" i="12" s="1"/>
  <c r="G2015" i="12" s="1"/>
  <c r="G2016" i="12" s="1"/>
  <c r="G2017" i="12" s="1"/>
  <c r="G2018" i="12" s="1"/>
  <c r="G2019" i="12" s="1"/>
  <c r="G2020" i="12" s="1"/>
  <c r="G2021" i="12" s="1"/>
  <c r="G2022" i="12" s="1"/>
  <c r="G2023" i="12" s="1"/>
  <c r="G2024" i="12" s="1"/>
  <c r="G2025" i="12" s="1"/>
  <c r="G2026" i="12" s="1"/>
  <c r="G2027" i="12" s="1"/>
  <c r="G2028" i="12" s="1"/>
  <c r="G2029" i="12" s="1"/>
  <c r="G2030" i="12" s="1"/>
  <c r="G2031" i="12" s="1"/>
  <c r="G2032" i="12" s="1"/>
  <c r="G2033" i="12" s="1"/>
  <c r="G2034" i="12" s="1"/>
  <c r="G2035" i="12" s="1"/>
  <c r="G2036" i="12" s="1"/>
  <c r="G2037" i="12" s="1"/>
  <c r="G2038" i="12" s="1"/>
  <c r="G2039" i="12" s="1"/>
  <c r="G2040" i="12" s="1"/>
  <c r="G2041" i="12" s="1"/>
  <c r="G2042" i="12" s="1"/>
  <c r="G2043" i="12" s="1"/>
  <c r="G2044" i="12" s="1"/>
  <c r="G2045" i="12" s="1"/>
  <c r="G2046" i="12" s="1"/>
  <c r="G2047" i="12" s="1"/>
  <c r="G2048" i="12" s="1"/>
  <c r="G2049" i="12" s="1"/>
  <c r="G2050" i="12" s="1"/>
  <c r="G2051" i="12" s="1"/>
  <c r="G2052" i="12" s="1"/>
  <c r="G2053" i="12" s="1"/>
  <c r="G2054" i="12" s="1"/>
  <c r="G2055" i="12" s="1"/>
  <c r="G2056" i="12" s="1"/>
  <c r="G2057" i="12" s="1"/>
  <c r="G2058" i="12" s="1"/>
  <c r="G2059" i="12" s="1"/>
  <c r="G2060" i="12" s="1"/>
  <c r="G2061" i="12" s="1"/>
  <c r="G2062" i="12" s="1"/>
  <c r="G2063" i="12" s="1"/>
  <c r="G2064" i="12" s="1"/>
  <c r="G2065" i="12" s="1"/>
  <c r="G2066" i="12" s="1"/>
  <c r="G2067" i="12" s="1"/>
  <c r="G2068" i="12" s="1"/>
  <c r="G2069" i="12" s="1"/>
  <c r="G2070" i="12" s="1"/>
  <c r="G2071" i="12" s="1"/>
  <c r="G2072" i="12" s="1"/>
  <c r="G2073" i="12" s="1"/>
  <c r="G2074" i="12" s="1"/>
  <c r="G2075" i="12" s="1"/>
  <c r="G2076" i="12" s="1"/>
  <c r="G2077" i="12" s="1"/>
  <c r="G2078" i="12" s="1"/>
  <c r="G2079" i="12" s="1"/>
  <c r="G2080" i="12" s="1"/>
  <c r="G2081" i="12" s="1"/>
  <c r="G2082" i="12" s="1"/>
  <c r="G2083" i="12" s="1"/>
  <c r="G2084" i="12" s="1"/>
  <c r="G2085" i="12" s="1"/>
  <c r="G2086" i="12" s="1"/>
  <c r="G2087" i="12" s="1"/>
  <c r="G2088" i="12" s="1"/>
  <c r="G2089" i="12" s="1"/>
  <c r="G2090" i="12" s="1"/>
  <c r="G2091" i="12" s="1"/>
  <c r="G2092" i="12" s="1"/>
  <c r="G2093" i="12" s="1"/>
  <c r="G2094" i="12" s="1"/>
  <c r="G2095" i="12" s="1"/>
  <c r="G2096" i="12" s="1"/>
  <c r="G2097" i="12" s="1"/>
  <c r="G2098" i="12" s="1"/>
  <c r="G2099" i="12" s="1"/>
  <c r="G2100" i="12" s="1"/>
  <c r="G2101" i="12" s="1"/>
  <c r="G2102" i="12" s="1"/>
  <c r="G2103" i="12" s="1"/>
  <c r="G2104" i="12" s="1"/>
  <c r="G2105" i="12" s="1"/>
  <c r="G2106" i="12" s="1"/>
  <c r="G2107" i="12" s="1"/>
  <c r="G2108" i="12" s="1"/>
  <c r="G2109" i="12" s="1"/>
  <c r="G2110" i="12" s="1"/>
  <c r="G2111" i="12" s="1"/>
  <c r="G2112" i="12" s="1"/>
  <c r="G2113" i="12" s="1"/>
  <c r="G2114" i="12" s="1"/>
  <c r="G2115" i="12" s="1"/>
  <c r="G2116" i="12" s="1"/>
  <c r="G2117" i="12" s="1"/>
  <c r="G2118" i="12" s="1"/>
  <c r="G2119" i="12" s="1"/>
  <c r="G2120" i="12" s="1"/>
  <c r="G2121" i="12" s="1"/>
  <c r="G2122" i="12" s="1"/>
  <c r="G2123" i="12" s="1"/>
  <c r="G2124" i="12" s="1"/>
  <c r="G2125" i="12" s="1"/>
  <c r="G2126" i="12" s="1"/>
  <c r="G2127" i="12" s="1"/>
  <c r="G2128" i="12" s="1"/>
  <c r="G2129" i="12" s="1"/>
  <c r="G2130" i="12" s="1"/>
  <c r="G2131" i="12" s="1"/>
  <c r="G2132" i="12" s="1"/>
  <c r="G2133" i="12" s="1"/>
  <c r="G2134" i="12" s="1"/>
  <c r="G2135" i="12" s="1"/>
  <c r="G2136" i="12" s="1"/>
  <c r="G2137" i="12" s="1"/>
  <c r="G2138" i="12" s="1"/>
  <c r="G2139" i="12" s="1"/>
  <c r="G2140" i="12" s="1"/>
  <c r="G2141" i="12" s="1"/>
  <c r="G2142" i="12" s="1"/>
  <c r="G2143" i="12" s="1"/>
  <c r="G2144" i="12" s="1"/>
  <c r="G2145" i="12" s="1"/>
  <c r="G2146" i="12" s="1"/>
  <c r="G2147" i="12" s="1"/>
  <c r="G2148" i="12" s="1"/>
  <c r="G2149" i="12" s="1"/>
  <c r="G2150" i="12" s="1"/>
  <c r="G2151" i="12" s="1"/>
  <c r="G2152" i="12" s="1"/>
  <c r="G2153" i="12" s="1"/>
  <c r="G2154" i="12" s="1"/>
  <c r="G2155" i="12" s="1"/>
  <c r="G2156" i="12" s="1"/>
  <c r="G2157" i="12" s="1"/>
  <c r="G2158" i="12" s="1"/>
  <c r="G2159" i="12" s="1"/>
  <c r="G2160" i="12" s="1"/>
  <c r="G2161" i="12" s="1"/>
  <c r="G2162" i="12" s="1"/>
  <c r="G2163" i="12" s="1"/>
  <c r="G2164" i="12" s="1"/>
  <c r="G2165" i="12" s="1"/>
  <c r="G2166" i="12" s="1"/>
  <c r="G2167" i="12" s="1"/>
  <c r="G2168" i="12" s="1"/>
  <c r="G2169" i="12" s="1"/>
  <c r="G2170" i="12" s="1"/>
  <c r="G2171" i="12" s="1"/>
  <c r="G2172" i="12" s="1"/>
  <c r="G2173" i="12" s="1"/>
  <c r="G2174" i="12" s="1"/>
  <c r="G2175" i="12" s="1"/>
  <c r="G2176" i="12" s="1"/>
  <c r="G2177" i="12" s="1"/>
  <c r="G2178" i="12" s="1"/>
  <c r="G2179" i="12" s="1"/>
  <c r="G2180" i="12" s="1"/>
  <c r="G2181" i="12" s="1"/>
  <c r="G2182" i="12" s="1"/>
  <c r="G2183" i="12" s="1"/>
  <c r="G2184" i="12" s="1"/>
  <c r="G2185" i="12" s="1"/>
  <c r="G2186" i="12" s="1"/>
  <c r="G2187" i="12" s="1"/>
  <c r="G2188" i="12" s="1"/>
  <c r="G2189" i="12" s="1"/>
  <c r="G2190" i="12" s="1"/>
  <c r="G2191" i="12" s="1"/>
  <c r="G2192" i="12" s="1"/>
  <c r="G2193" i="12" s="1"/>
  <c r="G2194" i="12" s="1"/>
  <c r="G2195" i="12" s="1"/>
  <c r="G2196" i="12" s="1"/>
  <c r="G2197" i="12" s="1"/>
  <c r="G2198" i="12" s="1"/>
  <c r="G2199" i="12" s="1"/>
  <c r="G2200" i="12" s="1"/>
  <c r="G2201" i="12" s="1"/>
  <c r="G2202" i="12" s="1"/>
  <c r="G2203" i="12" s="1"/>
  <c r="G2204" i="12" s="1"/>
  <c r="G2205" i="12" s="1"/>
  <c r="G2206" i="12" s="1"/>
  <c r="G2207" i="12" s="1"/>
  <c r="G2208" i="12" s="1"/>
  <c r="G2209" i="12" s="1"/>
  <c r="G2210" i="12" s="1"/>
  <c r="G2211" i="12" s="1"/>
  <c r="G2212" i="12" s="1"/>
  <c r="G2213" i="12" s="1"/>
  <c r="G2214" i="12" s="1"/>
  <c r="G2215" i="12" s="1"/>
  <c r="G2216" i="12" s="1"/>
  <c r="G2217" i="12" s="1"/>
  <c r="G2218" i="12" s="1"/>
  <c r="G2219" i="12" s="1"/>
  <c r="G2220" i="12" s="1"/>
  <c r="G2221" i="12" s="1"/>
  <c r="G2222" i="12" s="1"/>
  <c r="G2223" i="12" s="1"/>
  <c r="G2224" i="12" s="1"/>
  <c r="G2225" i="12" s="1"/>
  <c r="G2226" i="12" s="1"/>
  <c r="G2227" i="12" s="1"/>
  <c r="G2228" i="12" s="1"/>
  <c r="G2229" i="12" s="1"/>
  <c r="G2230" i="12" s="1"/>
  <c r="G2231" i="12" s="1"/>
  <c r="G2232" i="12" s="1"/>
  <c r="G2233" i="12" s="1"/>
  <c r="G2234" i="12" s="1"/>
  <c r="G2235" i="12" s="1"/>
  <c r="G2236" i="12" s="1"/>
  <c r="G2237" i="12" s="1"/>
  <c r="G2238" i="12" s="1"/>
  <c r="G2239" i="12" s="1"/>
  <c r="G2240" i="12" s="1"/>
  <c r="G2241" i="12" s="1"/>
  <c r="G2242" i="12" s="1"/>
  <c r="G2243" i="12" s="1"/>
  <c r="G2244" i="12" s="1"/>
  <c r="G2245" i="12" s="1"/>
  <c r="G2246" i="12" s="1"/>
  <c r="G2247" i="12" s="1"/>
  <c r="G2248" i="12" s="1"/>
  <c r="G2249" i="12" s="1"/>
  <c r="G2250" i="12" s="1"/>
  <c r="G2251" i="12" s="1"/>
  <c r="G2252" i="12" s="1"/>
  <c r="G2253" i="12" s="1"/>
  <c r="G2254" i="12" s="1"/>
  <c r="G2255" i="12" s="1"/>
  <c r="G2256" i="12" s="1"/>
  <c r="G2257" i="12" s="1"/>
  <c r="G2258" i="12" s="1"/>
  <c r="G2259" i="12" s="1"/>
  <c r="G2260" i="12" s="1"/>
  <c r="G2261" i="12" s="1"/>
  <c r="G2262" i="12" s="1"/>
  <c r="G2263" i="12" s="1"/>
  <c r="G2264" i="12" s="1"/>
  <c r="G2265" i="12" s="1"/>
  <c r="G2266" i="12" s="1"/>
  <c r="G2267" i="12" s="1"/>
  <c r="G2268" i="12" s="1"/>
  <c r="G2269" i="12" s="1"/>
  <c r="G2270" i="12" s="1"/>
  <c r="G2271" i="12" s="1"/>
  <c r="G2272" i="12" s="1"/>
  <c r="G2273" i="12" s="1"/>
  <c r="G2274" i="12" s="1"/>
  <c r="G2275" i="12" s="1"/>
  <c r="G2276" i="12" s="1"/>
  <c r="G2277" i="12" s="1"/>
  <c r="G2278" i="12" s="1"/>
  <c r="G2279" i="12" s="1"/>
  <c r="G2280" i="12" s="1"/>
  <c r="G2281" i="12" s="1"/>
  <c r="G2282" i="12" s="1"/>
  <c r="G2283" i="12" s="1"/>
  <c r="G2284" i="12" s="1"/>
  <c r="G2285" i="12" s="1"/>
  <c r="G2286" i="12" s="1"/>
  <c r="G2287" i="12" s="1"/>
  <c r="G2288" i="12" s="1"/>
  <c r="G2289" i="12" s="1"/>
  <c r="G2290" i="12" s="1"/>
  <c r="G2291" i="12" s="1"/>
  <c r="G2292" i="12" s="1"/>
  <c r="G2293" i="12" s="1"/>
  <c r="G2294" i="12" s="1"/>
  <c r="G2295" i="12" s="1"/>
  <c r="G2296" i="12" s="1"/>
  <c r="G2297" i="12" s="1"/>
  <c r="G2298" i="12" s="1"/>
  <c r="G2299" i="12" s="1"/>
  <c r="G2300" i="12" s="1"/>
  <c r="G2301" i="12" s="1"/>
  <c r="G2302" i="12" s="1"/>
  <c r="G2303" i="12" s="1"/>
  <c r="G2304" i="12" s="1"/>
  <c r="G2305" i="12" s="1"/>
  <c r="G2306" i="12" s="1"/>
  <c r="G2307" i="12" s="1"/>
  <c r="G2308" i="12" s="1"/>
  <c r="G2309" i="12" s="1"/>
  <c r="G2310" i="12" s="1"/>
  <c r="G2311" i="12" s="1"/>
  <c r="G2312" i="12" s="1"/>
  <c r="G2313" i="12" s="1"/>
  <c r="G2314" i="12" s="1"/>
  <c r="G2315" i="12" s="1"/>
  <c r="G2316" i="12" s="1"/>
  <c r="G2317" i="12" s="1"/>
  <c r="G2318" i="12" s="1"/>
  <c r="G2319" i="12" s="1"/>
  <c r="G2320" i="12" s="1"/>
  <c r="G2321" i="12" s="1"/>
  <c r="G2322" i="12" s="1"/>
  <c r="G2323" i="12" s="1"/>
  <c r="G2324" i="12" s="1"/>
  <c r="G2325" i="12" s="1"/>
  <c r="G2326" i="12" s="1"/>
  <c r="G2327" i="12" s="1"/>
  <c r="G2328" i="12" s="1"/>
  <c r="G2329" i="12" s="1"/>
  <c r="G2330" i="12" s="1"/>
  <c r="G2331" i="12" s="1"/>
  <c r="G2332" i="12" s="1"/>
  <c r="G2333" i="12" s="1"/>
  <c r="G2334" i="12" s="1"/>
  <c r="G2335" i="12" s="1"/>
  <c r="G2336" i="12" s="1"/>
  <c r="G2337" i="12" s="1"/>
  <c r="G2338" i="12" s="1"/>
  <c r="G2339" i="12" s="1"/>
  <c r="G2340" i="12" s="1"/>
  <c r="G2341" i="12" s="1"/>
  <c r="G2342" i="12" s="1"/>
  <c r="G2343" i="12" s="1"/>
  <c r="G2344" i="12" s="1"/>
  <c r="G2345" i="12" s="1"/>
  <c r="G2346" i="12" s="1"/>
  <c r="G2347" i="12" s="1"/>
  <c r="G2348" i="12" s="1"/>
  <c r="G2349" i="12" s="1"/>
  <c r="G2350" i="12" s="1"/>
  <c r="G2351" i="12" s="1"/>
  <c r="G2352" i="12" s="1"/>
  <c r="G2353" i="12" s="1"/>
  <c r="G2354" i="12" s="1"/>
  <c r="G2355" i="12" s="1"/>
  <c r="G2356" i="12" s="1"/>
  <c r="G2357" i="12" s="1"/>
  <c r="G2358" i="12" s="1"/>
  <c r="G2359" i="12" s="1"/>
  <c r="G2360" i="12" s="1"/>
  <c r="G2361" i="12" s="1"/>
  <c r="G2362" i="12" s="1"/>
  <c r="G2363" i="12" s="1"/>
  <c r="G2364" i="12" s="1"/>
  <c r="G2365" i="12" s="1"/>
  <c r="G2366" i="12" s="1"/>
  <c r="G2367" i="12" s="1"/>
  <c r="G2368" i="12" s="1"/>
  <c r="G2369" i="12" s="1"/>
  <c r="G2370" i="12" s="1"/>
  <c r="G2371" i="12" s="1"/>
  <c r="G2372" i="12" s="1"/>
  <c r="G2373" i="12" s="1"/>
  <c r="G2374" i="12" s="1"/>
  <c r="G2375" i="12" s="1"/>
  <c r="G2376" i="12" s="1"/>
  <c r="G2377" i="12" s="1"/>
  <c r="G2378" i="12" s="1"/>
  <c r="G2379" i="12" s="1"/>
  <c r="G2380" i="12" s="1"/>
  <c r="G2381" i="12" s="1"/>
  <c r="G2382" i="12" s="1"/>
  <c r="G2383" i="12" s="1"/>
  <c r="G2384" i="12" s="1"/>
  <c r="G2385" i="12" s="1"/>
  <c r="G2386" i="12" s="1"/>
  <c r="G2387" i="12" s="1"/>
  <c r="G2388" i="12" s="1"/>
  <c r="G2389" i="12" s="1"/>
  <c r="G2390" i="12" s="1"/>
  <c r="G2391" i="12" s="1"/>
  <c r="G2392" i="12" s="1"/>
  <c r="G2393" i="12" s="1"/>
  <c r="G2394" i="12" s="1"/>
  <c r="G2395" i="12" s="1"/>
  <c r="G2396" i="12" s="1"/>
  <c r="G2397" i="12" s="1"/>
  <c r="G2398" i="12" s="1"/>
  <c r="G2399" i="12" s="1"/>
  <c r="G2400" i="12" s="1"/>
  <c r="G2401" i="12" s="1"/>
  <c r="G2402" i="12" s="1"/>
  <c r="G2403" i="12" s="1"/>
  <c r="G2404" i="12" s="1"/>
  <c r="G2405" i="12" s="1"/>
  <c r="G2406" i="12" s="1"/>
  <c r="G2407" i="12" s="1"/>
  <c r="G2408" i="12" s="1"/>
  <c r="G2409" i="12" s="1"/>
  <c r="G2410" i="12" s="1"/>
  <c r="G2411" i="12" s="1"/>
  <c r="G2412" i="12" s="1"/>
  <c r="G2413" i="12" s="1"/>
  <c r="G2414" i="12" s="1"/>
  <c r="G2415" i="12" s="1"/>
  <c r="G2416" i="12" s="1"/>
  <c r="G2417" i="12" s="1"/>
  <c r="G2418" i="12" s="1"/>
  <c r="G2419" i="12" s="1"/>
  <c r="G2420" i="12" s="1"/>
  <c r="G2421" i="12" s="1"/>
  <c r="G2422" i="12" s="1"/>
  <c r="G2423" i="12" s="1"/>
  <c r="G2424" i="12" s="1"/>
  <c r="G2425" i="12" s="1"/>
  <c r="G2426" i="12" s="1"/>
  <c r="G2427" i="12" s="1"/>
  <c r="G2428" i="12" s="1"/>
  <c r="G2429" i="12" s="1"/>
  <c r="G2430" i="12" s="1"/>
  <c r="G2431" i="12" s="1"/>
  <c r="G2432" i="12" s="1"/>
  <c r="G2433" i="12" s="1"/>
  <c r="G2434" i="12" s="1"/>
  <c r="G2435" i="12" s="1"/>
  <c r="G2436" i="12" s="1"/>
  <c r="G2437" i="12" s="1"/>
  <c r="G2438" i="12" s="1"/>
  <c r="G2439" i="12" s="1"/>
  <c r="G2440" i="12" s="1"/>
  <c r="G2441" i="12" s="1"/>
  <c r="G2442" i="12" s="1"/>
  <c r="G2443" i="12" s="1"/>
  <c r="G2444" i="12" s="1"/>
  <c r="G2445" i="12" s="1"/>
  <c r="G2446" i="12" s="1"/>
  <c r="G2447" i="12" s="1"/>
  <c r="G2448" i="12" s="1"/>
  <c r="G2449" i="12" s="1"/>
  <c r="G2450" i="12" s="1"/>
  <c r="G2451" i="12" s="1"/>
  <c r="G2452" i="12" s="1"/>
  <c r="G2453" i="12" s="1"/>
  <c r="G2454" i="12" s="1"/>
  <c r="G2455" i="12" s="1"/>
  <c r="G2456" i="12" s="1"/>
  <c r="G2457" i="12" s="1"/>
  <c r="G2458" i="12" s="1"/>
  <c r="G2459" i="12" s="1"/>
  <c r="G2460" i="12" s="1"/>
  <c r="G2461" i="12" s="1"/>
  <c r="G2462" i="12" s="1"/>
  <c r="G2463" i="12" s="1"/>
  <c r="G2464" i="12" s="1"/>
  <c r="G2465" i="12" s="1"/>
  <c r="G2466" i="12" s="1"/>
  <c r="G2467" i="12" s="1"/>
  <c r="G2468" i="12" s="1"/>
  <c r="G2469" i="12" s="1"/>
  <c r="G2470" i="12" s="1"/>
  <c r="G2471" i="12" s="1"/>
  <c r="G2472" i="12" s="1"/>
  <c r="G2473" i="12" s="1"/>
  <c r="G2474" i="12" s="1"/>
  <c r="G2475" i="12" s="1"/>
  <c r="G2476" i="12" s="1"/>
  <c r="G2477" i="12" s="1"/>
  <c r="G2478" i="12" s="1"/>
  <c r="G2479" i="12" s="1"/>
  <c r="G2480" i="12" s="1"/>
  <c r="G2481" i="12" s="1"/>
  <c r="G2482" i="12" s="1"/>
  <c r="G2483" i="12" s="1"/>
  <c r="G2484" i="12" s="1"/>
  <c r="G2485" i="12" s="1"/>
  <c r="G2486" i="12" s="1"/>
  <c r="G2487" i="12" s="1"/>
  <c r="G2488" i="12" s="1"/>
  <c r="G2489" i="12" s="1"/>
  <c r="G2490" i="12" s="1"/>
  <c r="G2491" i="12" s="1"/>
  <c r="G2492" i="12" s="1"/>
  <c r="G2493" i="12" s="1"/>
  <c r="G2494" i="12" s="1"/>
  <c r="G2495" i="12" s="1"/>
  <c r="G2496" i="12" s="1"/>
  <c r="G2497" i="12" s="1"/>
  <c r="G2498" i="12" s="1"/>
  <c r="G2499" i="12" s="1"/>
  <c r="G2500" i="12" s="1"/>
  <c r="G2501" i="12" s="1"/>
  <c r="G2502" i="12" s="1"/>
  <c r="G2503" i="12" s="1"/>
  <c r="G2504" i="12" s="1"/>
  <c r="G2505" i="12" s="1"/>
  <c r="G2506" i="12" s="1"/>
  <c r="G2507" i="12" s="1"/>
  <c r="G2508" i="12" s="1"/>
  <c r="G2509" i="12" s="1"/>
  <c r="G2510" i="12" s="1"/>
  <c r="G2511" i="12" s="1"/>
  <c r="G2512" i="12" s="1"/>
  <c r="G2513" i="12" s="1"/>
  <c r="G2514" i="12" s="1"/>
  <c r="G2515" i="12" s="1"/>
  <c r="G2516" i="12" s="1"/>
  <c r="G2517" i="12" s="1"/>
  <c r="G2518" i="12" s="1"/>
  <c r="G2519" i="12" s="1"/>
  <c r="G2520" i="12" s="1"/>
  <c r="G2521" i="12" s="1"/>
  <c r="G2522" i="12" s="1"/>
  <c r="G2523" i="12" s="1"/>
  <c r="G2524" i="12" s="1"/>
  <c r="G2525" i="12" s="1"/>
  <c r="G2526" i="12" s="1"/>
  <c r="G2527" i="12" s="1"/>
  <c r="G2528" i="12" s="1"/>
  <c r="G2529" i="12" s="1"/>
  <c r="G2530" i="12" s="1"/>
  <c r="G2531" i="12" s="1"/>
  <c r="G2532" i="12" s="1"/>
  <c r="G2533" i="12" s="1"/>
  <c r="G2534" i="12" s="1"/>
  <c r="G2535" i="12" s="1"/>
  <c r="G2536" i="12" s="1"/>
  <c r="G2537" i="12" s="1"/>
  <c r="G2538" i="12" s="1"/>
  <c r="G2539" i="12" s="1"/>
  <c r="G2540" i="12" s="1"/>
  <c r="G2541" i="12" s="1"/>
  <c r="G2542" i="12" s="1"/>
  <c r="G2543" i="12" s="1"/>
  <c r="G2544" i="12" s="1"/>
  <c r="G2545" i="12" s="1"/>
  <c r="G2546" i="12" s="1"/>
  <c r="G2547" i="12" s="1"/>
  <c r="G2548" i="12" s="1"/>
  <c r="G2549" i="12" s="1"/>
  <c r="G2550" i="12" s="1"/>
  <c r="G2551" i="12" s="1"/>
  <c r="G2552" i="12" s="1"/>
  <c r="G2553" i="12" s="1"/>
  <c r="G2554" i="12" s="1"/>
  <c r="G2555" i="12" s="1"/>
  <c r="G2556" i="12" s="1"/>
  <c r="G2557" i="12" s="1"/>
  <c r="G2558" i="12" s="1"/>
  <c r="G2559" i="12" s="1"/>
  <c r="G2560" i="12" s="1"/>
  <c r="G2561" i="12" s="1"/>
  <c r="G2562" i="12" s="1"/>
  <c r="G2563" i="12" s="1"/>
  <c r="G2564" i="12" s="1"/>
  <c r="G2565" i="12" s="1"/>
  <c r="G2566" i="12" s="1"/>
  <c r="G2567" i="12" s="1"/>
  <c r="G2568" i="12" s="1"/>
  <c r="G2569" i="12" s="1"/>
  <c r="G2570" i="12" s="1"/>
  <c r="G2571" i="12" s="1"/>
  <c r="G2572" i="12" s="1"/>
  <c r="G2573" i="12" s="1"/>
  <c r="G2574" i="12" s="1"/>
  <c r="G2575" i="12" s="1"/>
  <c r="G2576" i="12" s="1"/>
  <c r="G2577" i="12" s="1"/>
  <c r="G2578" i="12" s="1"/>
  <c r="G2579" i="12" s="1"/>
  <c r="G2580" i="12" s="1"/>
  <c r="G2581" i="12" s="1"/>
  <c r="G2582" i="12" s="1"/>
  <c r="G2583" i="12" s="1"/>
  <c r="G2584" i="12" s="1"/>
  <c r="G2585" i="12" s="1"/>
  <c r="G2586" i="12" s="1"/>
  <c r="G2587" i="12" s="1"/>
  <c r="G2588" i="12" s="1"/>
  <c r="G2589" i="12" s="1"/>
  <c r="G2590" i="12" s="1"/>
  <c r="G2591" i="12" s="1"/>
  <c r="G2592" i="12" s="1"/>
  <c r="G2593" i="12" s="1"/>
  <c r="G2594" i="12" s="1"/>
  <c r="G2595" i="12" s="1"/>
  <c r="G2596" i="12" s="1"/>
  <c r="G2597" i="12" s="1"/>
  <c r="G2598" i="12" s="1"/>
  <c r="G2599" i="12" s="1"/>
  <c r="G2600" i="12" s="1"/>
  <c r="G2601" i="12" s="1"/>
  <c r="G2602" i="12" s="1"/>
  <c r="G2603" i="12" s="1"/>
  <c r="G2604" i="12" s="1"/>
  <c r="G2605" i="12" s="1"/>
  <c r="G2606" i="12" s="1"/>
  <c r="G2607" i="12" s="1"/>
  <c r="G2608" i="12" s="1"/>
  <c r="G2609" i="12" s="1"/>
  <c r="G2610" i="12" s="1"/>
  <c r="G2611" i="12" s="1"/>
  <c r="G2612" i="12" s="1"/>
  <c r="G2613" i="12" s="1"/>
  <c r="G2614" i="12" s="1"/>
  <c r="G2615" i="12" s="1"/>
  <c r="G2616" i="12" s="1"/>
  <c r="G2617" i="12" s="1"/>
  <c r="G2618" i="12" s="1"/>
  <c r="G2619" i="12" s="1"/>
  <c r="G2620" i="12" s="1"/>
  <c r="G2621" i="12" s="1"/>
  <c r="G2622" i="12" s="1"/>
  <c r="G2623" i="12" s="1"/>
  <c r="G2624" i="12" s="1"/>
  <c r="G2625" i="12" s="1"/>
  <c r="G2626" i="12" s="1"/>
  <c r="G2627" i="12" s="1"/>
  <c r="G2628" i="12" s="1"/>
  <c r="G2629" i="12" s="1"/>
  <c r="G2630" i="12" s="1"/>
  <c r="G2631" i="12" s="1"/>
  <c r="G2632" i="12" s="1"/>
  <c r="G2633" i="12" s="1"/>
  <c r="G2634" i="12" s="1"/>
  <c r="G2635" i="12" s="1"/>
  <c r="G2636" i="12" s="1"/>
  <c r="G2637" i="12" s="1"/>
  <c r="G2638" i="12" s="1"/>
  <c r="G2639" i="12" s="1"/>
  <c r="G2640" i="12" s="1"/>
  <c r="G2641" i="12" s="1"/>
  <c r="G2642" i="12" s="1"/>
  <c r="G2643" i="12" s="1"/>
  <c r="G2644" i="12" s="1"/>
  <c r="G2645" i="12" s="1"/>
  <c r="G2646" i="12" s="1"/>
  <c r="G2647" i="12" s="1"/>
  <c r="G2648" i="12" s="1"/>
  <c r="G2649" i="12" s="1"/>
  <c r="G2650" i="12" s="1"/>
  <c r="G2651" i="12" s="1"/>
  <c r="G2652" i="12" s="1"/>
  <c r="G2653" i="12" s="1"/>
  <c r="G2654" i="12" s="1"/>
  <c r="G2655" i="12" s="1"/>
  <c r="G2656" i="12" s="1"/>
  <c r="G2657" i="12" s="1"/>
  <c r="G2658" i="12" s="1"/>
  <c r="G2659" i="12" s="1"/>
  <c r="G2660" i="12" s="1"/>
  <c r="G2661" i="12" s="1"/>
  <c r="G2662" i="12" s="1"/>
  <c r="G2663" i="12" s="1"/>
  <c r="G2664" i="12" s="1"/>
  <c r="G2665" i="12" s="1"/>
  <c r="G2666" i="12" s="1"/>
  <c r="G2667" i="12" s="1"/>
  <c r="G2668" i="12" s="1"/>
  <c r="G2669" i="12" s="1"/>
  <c r="G2670" i="12" s="1"/>
  <c r="G2671" i="12" s="1"/>
  <c r="G2672" i="12" s="1"/>
  <c r="G2673" i="12" s="1"/>
  <c r="G2674" i="12" s="1"/>
  <c r="G2675" i="12" s="1"/>
  <c r="G2676" i="12" s="1"/>
  <c r="G2677" i="12" s="1"/>
  <c r="G2678" i="12" s="1"/>
  <c r="G2679" i="12" s="1"/>
  <c r="G2680" i="12" s="1"/>
  <c r="G2681" i="12" s="1"/>
  <c r="G2682" i="12" s="1"/>
  <c r="G2683" i="12" s="1"/>
  <c r="G2684" i="12" s="1"/>
  <c r="G2685" i="12" s="1"/>
  <c r="G2686" i="12" s="1"/>
  <c r="G2687" i="12" s="1"/>
  <c r="G2688" i="12" s="1"/>
  <c r="G2689" i="12" s="1"/>
  <c r="G2690" i="12" s="1"/>
  <c r="G2691" i="12" s="1"/>
  <c r="G2692" i="12" s="1"/>
  <c r="G2693" i="12" s="1"/>
  <c r="G2694" i="12" s="1"/>
  <c r="G2695" i="12" s="1"/>
  <c r="G2696" i="12" s="1"/>
  <c r="G2697" i="12" s="1"/>
  <c r="G2698" i="12" s="1"/>
  <c r="G2699" i="12" s="1"/>
  <c r="G2700" i="12" s="1"/>
  <c r="G2701" i="12" s="1"/>
  <c r="G2702" i="12" s="1"/>
  <c r="G2703" i="12" s="1"/>
  <c r="G2704" i="12" s="1"/>
  <c r="G2705" i="12" s="1"/>
  <c r="G2706" i="12" s="1"/>
  <c r="G2707" i="12" s="1"/>
  <c r="G2708" i="12" s="1"/>
  <c r="G2709" i="12" s="1"/>
  <c r="G2710" i="12" s="1"/>
  <c r="G2711" i="12" s="1"/>
  <c r="G2712" i="12" s="1"/>
  <c r="G2713" i="12" s="1"/>
  <c r="G2714" i="12" s="1"/>
  <c r="G2715" i="12" s="1"/>
  <c r="G2716" i="12" s="1"/>
  <c r="G2717" i="12" s="1"/>
  <c r="G2718" i="12" s="1"/>
  <c r="G2719" i="12" s="1"/>
  <c r="G2720" i="12" s="1"/>
  <c r="G2721" i="12" s="1"/>
  <c r="G2722" i="12" s="1"/>
  <c r="G2723" i="12" s="1"/>
  <c r="G2724" i="12" s="1"/>
  <c r="G2725" i="12" s="1"/>
  <c r="G2726" i="12" s="1"/>
  <c r="G2727" i="12" s="1"/>
  <c r="G2728" i="12" s="1"/>
  <c r="G2729" i="12" s="1"/>
  <c r="G2730" i="12" s="1"/>
  <c r="G2731" i="12" s="1"/>
  <c r="G2732" i="12" s="1"/>
  <c r="G2733" i="12" s="1"/>
  <c r="G2734" i="12" s="1"/>
  <c r="G2735" i="12" s="1"/>
  <c r="G2736" i="12" s="1"/>
  <c r="G2737" i="12" s="1"/>
  <c r="G2738" i="12" s="1"/>
  <c r="G2739" i="12" s="1"/>
  <c r="G2740" i="12" s="1"/>
  <c r="G2741" i="12" s="1"/>
  <c r="G2742" i="12" s="1"/>
  <c r="G2743" i="12" s="1"/>
  <c r="G2744" i="12" s="1"/>
  <c r="G2745" i="12" s="1"/>
  <c r="G2746" i="12" s="1"/>
  <c r="G2747" i="12" s="1"/>
  <c r="G2748" i="12" s="1"/>
  <c r="G2749" i="12" s="1"/>
  <c r="G2750" i="12" s="1"/>
  <c r="G2751" i="12" s="1"/>
  <c r="G2752" i="12" s="1"/>
  <c r="G2753" i="12" s="1"/>
  <c r="G2754" i="12" s="1"/>
  <c r="G2755" i="12" s="1"/>
  <c r="G2756" i="12" s="1"/>
  <c r="G2757" i="12" s="1"/>
  <c r="G2758" i="12" s="1"/>
  <c r="G2759" i="12" s="1"/>
  <c r="G2760" i="12" s="1"/>
  <c r="G2761" i="12" s="1"/>
  <c r="G2762" i="12" s="1"/>
  <c r="G2763" i="12" s="1"/>
  <c r="G2764" i="12" s="1"/>
  <c r="G2765" i="12" s="1"/>
  <c r="G2766" i="12" s="1"/>
  <c r="G2767" i="12" s="1"/>
  <c r="G2768" i="12" s="1"/>
  <c r="G2769" i="12" s="1"/>
  <c r="G2770" i="12" s="1"/>
  <c r="G2771" i="12" s="1"/>
  <c r="G2772" i="12" s="1"/>
  <c r="G2773" i="12" s="1"/>
  <c r="G2774" i="12" s="1"/>
  <c r="G2775" i="12" s="1"/>
  <c r="G2776" i="12" s="1"/>
  <c r="G2777" i="12" s="1"/>
  <c r="G2778" i="12" s="1"/>
  <c r="G2779" i="12" s="1"/>
  <c r="G2780" i="12" s="1"/>
  <c r="G2781" i="12" s="1"/>
  <c r="G2782" i="12" s="1"/>
  <c r="G2783" i="12" s="1"/>
  <c r="G2784" i="12" s="1"/>
  <c r="G2785" i="12" s="1"/>
  <c r="G2786" i="12" s="1"/>
  <c r="G2787" i="12" s="1"/>
  <c r="G2788" i="12" s="1"/>
  <c r="G2789" i="12" s="1"/>
  <c r="G2790" i="12" s="1"/>
  <c r="G2791" i="12" s="1"/>
  <c r="G2792" i="12" s="1"/>
  <c r="G2793" i="12" s="1"/>
  <c r="G2794" i="12" s="1"/>
  <c r="G2795" i="12" s="1"/>
  <c r="G2796" i="12" s="1"/>
  <c r="G2797" i="12" s="1"/>
  <c r="G2798" i="12" s="1"/>
  <c r="G2799" i="12" s="1"/>
  <c r="G2800" i="12" s="1"/>
  <c r="G2801" i="12" s="1"/>
  <c r="G2802" i="12" s="1"/>
  <c r="G2803" i="12" s="1"/>
  <c r="G2804" i="12" s="1"/>
  <c r="G2805" i="12" s="1"/>
  <c r="G2806" i="12" s="1"/>
  <c r="G2807" i="12" s="1"/>
  <c r="G2808" i="12" s="1"/>
  <c r="G2809" i="12" s="1"/>
  <c r="G2810" i="12" s="1"/>
  <c r="G2811" i="12" s="1"/>
  <c r="G2812" i="12" s="1"/>
  <c r="G2813" i="12" s="1"/>
  <c r="G2814" i="12" s="1"/>
  <c r="G2815" i="12" s="1"/>
  <c r="G2816" i="12" s="1"/>
  <c r="G2817" i="12" s="1"/>
  <c r="G2818" i="12" s="1"/>
  <c r="G2819" i="12" s="1"/>
  <c r="G2820" i="12" s="1"/>
  <c r="G2821" i="12" s="1"/>
  <c r="G2822" i="12" s="1"/>
  <c r="G2823" i="12" s="1"/>
  <c r="L214" i="45"/>
  <c r="F860" i="54" l="1"/>
  <c r="F861" i="54" s="1"/>
  <c r="F862" i="54" s="1"/>
  <c r="F863" i="54" s="1"/>
  <c r="F864" i="54" s="1"/>
  <c r="F865" i="54" s="1"/>
  <c r="F866" i="54" s="1"/>
  <c r="F867" i="54" s="1"/>
  <c r="F868" i="54" s="1"/>
  <c r="F869" i="54" s="1"/>
  <c r="F870" i="54" s="1"/>
  <c r="F871" i="54" s="1"/>
  <c r="F872" i="54" s="1"/>
  <c r="F873" i="54" s="1"/>
  <c r="F874" i="54" s="1"/>
  <c r="F875" i="54" s="1"/>
  <c r="F876" i="54" s="1"/>
  <c r="F877" i="54" s="1"/>
  <c r="F878" i="54" s="1"/>
  <c r="F879" i="54" s="1"/>
  <c r="F880" i="54" s="1"/>
  <c r="F881" i="54" s="1"/>
  <c r="F882" i="54" s="1"/>
  <c r="F883" i="54" s="1"/>
  <c r="F884" i="54" s="1"/>
  <c r="F885" i="54" s="1"/>
  <c r="F886" i="54" s="1"/>
  <c r="F887" i="54" s="1"/>
  <c r="F888" i="54" s="1"/>
  <c r="F889" i="54" s="1"/>
  <c r="F890" i="54" s="1"/>
  <c r="F891" i="54" s="1"/>
  <c r="F892" i="54" s="1"/>
  <c r="F893" i="54" s="1"/>
  <c r="F894" i="54" s="1"/>
  <c r="F895" i="54" s="1"/>
  <c r="F896" i="54" s="1"/>
  <c r="F897" i="54" s="1"/>
  <c r="F898" i="54" s="1"/>
  <c r="F899" i="54" s="1"/>
  <c r="F900" i="54" s="1"/>
  <c r="F901" i="54" s="1"/>
  <c r="F902" i="54" s="1"/>
  <c r="F903" i="54" s="1"/>
  <c r="F904" i="54" s="1"/>
  <c r="F905" i="54" s="1"/>
  <c r="F906" i="54" s="1"/>
  <c r="F907" i="54" s="1"/>
  <c r="F908" i="54" s="1"/>
  <c r="F909" i="54" s="1"/>
  <c r="F910" i="54" s="1"/>
  <c r="F911" i="54" s="1"/>
  <c r="F912" i="54" s="1"/>
  <c r="F913" i="54" s="1"/>
  <c r="F914" i="54" s="1"/>
  <c r="F915" i="54" s="1"/>
  <c r="F916" i="54" s="1"/>
  <c r="F917" i="54" s="1"/>
  <c r="F918" i="54" s="1"/>
  <c r="F919" i="54" s="1"/>
  <c r="F920" i="54" s="1"/>
  <c r="F921" i="54" s="1"/>
  <c r="F922" i="54" s="1"/>
  <c r="F923" i="54" s="1"/>
  <c r="F924" i="54" s="1"/>
  <c r="F925" i="54" s="1"/>
  <c r="F926" i="54" s="1"/>
  <c r="F927" i="54" s="1"/>
  <c r="F928" i="54" s="1"/>
  <c r="F929" i="54" s="1"/>
  <c r="F930" i="54" s="1"/>
  <c r="F931" i="54" s="1"/>
  <c r="F932" i="54" s="1"/>
  <c r="F933" i="54" s="1"/>
  <c r="F934" i="54" s="1"/>
  <c r="F935" i="54" s="1"/>
  <c r="F936" i="54" s="1"/>
  <c r="F937" i="54" s="1"/>
  <c r="F938" i="54" s="1"/>
  <c r="F939" i="54" s="1"/>
  <c r="F940" i="54" s="1"/>
  <c r="F941" i="54" s="1"/>
  <c r="F942" i="54" s="1"/>
  <c r="F943" i="54" s="1"/>
  <c r="F944" i="54" s="1"/>
  <c r="F945" i="54" s="1"/>
  <c r="F946" i="54" s="1"/>
  <c r="F947" i="54" s="1"/>
  <c r="F948" i="54" s="1"/>
  <c r="F949" i="54" s="1"/>
  <c r="F1139" i="53"/>
  <c r="F1140" i="53" s="1"/>
  <c r="F1141" i="53" s="1"/>
  <c r="F1142" i="53" s="1"/>
  <c r="F1143" i="53" s="1"/>
  <c r="D5" i="57"/>
  <c r="J22" i="45"/>
  <c r="G2824" i="12"/>
  <c r="G2825" i="12" s="1"/>
  <c r="G2826" i="12" s="1"/>
  <c r="G2827" i="12" s="1"/>
  <c r="G2828" i="12" s="1"/>
  <c r="G2829" i="12" s="1"/>
  <c r="G2830" i="12" s="1"/>
  <c r="G2831" i="12" s="1"/>
  <c r="G2832" i="12" s="1"/>
  <c r="G2833" i="12" s="1"/>
  <c r="G2834" i="12" s="1"/>
  <c r="G2835" i="12" s="1"/>
  <c r="G2836" i="12" s="1"/>
  <c r="G2837" i="12" s="1"/>
  <c r="G2838" i="12" s="1"/>
  <c r="G2839" i="12" s="1"/>
  <c r="G2840" i="12" s="1"/>
  <c r="G2841" i="12" s="1"/>
  <c r="F950" i="54" l="1"/>
  <c r="F951" i="54" s="1"/>
  <c r="F952" i="54" s="1"/>
  <c r="F953" i="54" s="1"/>
  <c r="F954" i="54" s="1"/>
  <c r="F955" i="54" s="1"/>
  <c r="F956" i="54" s="1"/>
  <c r="F957" i="54" s="1"/>
  <c r="F958" i="54" s="1"/>
  <c r="F959" i="54" s="1"/>
  <c r="F960" i="54" s="1"/>
  <c r="F961" i="54" s="1"/>
  <c r="F962" i="54" s="1"/>
  <c r="F963" i="54" s="1"/>
  <c r="F964" i="54" s="1"/>
  <c r="F965" i="54" s="1"/>
  <c r="F966" i="54" s="1"/>
  <c r="F967" i="54" s="1"/>
  <c r="F968" i="54" s="1"/>
  <c r="F969" i="54" s="1"/>
  <c r="F970" i="54" s="1"/>
  <c r="F971" i="54" s="1"/>
  <c r="F972" i="54" s="1"/>
  <c r="F973" i="54" s="1"/>
  <c r="F1144" i="53"/>
  <c r="F1145" i="53" s="1"/>
  <c r="F1146" i="53" s="1"/>
  <c r="G2842" i="12"/>
  <c r="G2843" i="12" s="1"/>
  <c r="G2844" i="12" s="1"/>
  <c r="G2845" i="12" s="1"/>
  <c r="F974" i="54" l="1"/>
  <c r="F975" i="54" s="1"/>
  <c r="F976" i="54" s="1"/>
  <c r="F977" i="54" s="1"/>
  <c r="F978" i="54" s="1"/>
  <c r="F979" i="54" s="1"/>
  <c r="F980" i="54" s="1"/>
  <c r="F981" i="54" s="1"/>
  <c r="F982" i="54" s="1"/>
  <c r="F983" i="54" s="1"/>
  <c r="F984" i="54" s="1"/>
  <c r="F985" i="54" s="1"/>
  <c r="F986" i="54" s="1"/>
  <c r="F987" i="54" s="1"/>
  <c r="F988" i="54" s="1"/>
  <c r="F989" i="54" s="1"/>
  <c r="F990" i="54" s="1"/>
  <c r="F991" i="54" s="1"/>
  <c r="F992" i="54" s="1"/>
  <c r="F993" i="54" s="1"/>
  <c r="F1147" i="53"/>
  <c r="G2846" i="12"/>
  <c r="G2847" i="12" s="1"/>
  <c r="G2848" i="12" s="1"/>
  <c r="G2849" i="12" s="1"/>
  <c r="G2850" i="12" s="1"/>
  <c r="G2851" i="12" s="1"/>
  <c r="G2852" i="12" s="1"/>
  <c r="G2853" i="12" s="1"/>
  <c r="G2854" i="12" s="1"/>
  <c r="G2855" i="12" s="1"/>
  <c r="G2856" i="12" s="1"/>
  <c r="G2857" i="12" s="1"/>
  <c r="G2858" i="12" s="1"/>
  <c r="G2859" i="12" s="1"/>
  <c r="F1014" i="54" l="1"/>
  <c r="F1015" i="54" s="1"/>
  <c r="F1016" i="54" s="1"/>
  <c r="F1017" i="54" s="1"/>
  <c r="F1018" i="54" s="1"/>
  <c r="F1019" i="54" s="1"/>
  <c r="F1020" i="54" s="1"/>
  <c r="F1021" i="54" s="1"/>
  <c r="F1022" i="54" s="1"/>
  <c r="F1023" i="54" s="1"/>
  <c r="F1024" i="54" s="1"/>
  <c r="D8" i="57" s="1"/>
  <c r="F1148" i="53"/>
  <c r="F1149" i="53" s="1"/>
  <c r="F1150" i="53" s="1"/>
  <c r="F1151" i="53" s="1"/>
  <c r="F1152" i="53" s="1"/>
  <c r="F1153" i="53" s="1"/>
  <c r="F1154" i="53" s="1"/>
  <c r="G2860" i="12"/>
  <c r="G2861" i="12" s="1"/>
  <c r="G2862" i="12" s="1"/>
  <c r="G2863" i="12" s="1"/>
  <c r="G2864" i="12" s="1"/>
  <c r="G2865" i="12" s="1"/>
  <c r="G2866" i="12" s="1"/>
  <c r="G2867" i="12" s="1"/>
  <c r="G2868" i="12" s="1"/>
  <c r="G2869" i="12" s="1"/>
  <c r="G2870" i="12" s="1"/>
  <c r="G2871" i="12" s="1"/>
  <c r="G2872" i="12" s="1"/>
  <c r="G2873" i="12" s="1"/>
  <c r="G2874" i="12" s="1"/>
  <c r="F1155" i="53" l="1"/>
  <c r="F1156" i="53" s="1"/>
  <c r="F1157" i="53" s="1"/>
  <c r="F1158" i="53" s="1"/>
  <c r="F1159" i="53" s="1"/>
  <c r="F1160" i="53" s="1"/>
  <c r="F1161" i="53" s="1"/>
  <c r="F1162" i="53" s="1"/>
  <c r="G2875" i="12"/>
  <c r="G2876" i="12" s="1"/>
  <c r="G2877" i="12" s="1"/>
  <c r="G2878" i="12" s="1"/>
  <c r="F1163" i="53" l="1"/>
  <c r="F1164" i="53" s="1"/>
  <c r="F1165" i="53" s="1"/>
  <c r="F1166" i="53" s="1"/>
  <c r="F1167" i="53" s="1"/>
  <c r="F1168" i="53" s="1"/>
  <c r="F1169" i="53" s="1"/>
  <c r="F1170" i="53" s="1"/>
  <c r="F1171" i="53" s="1"/>
  <c r="F1172" i="53" s="1"/>
  <c r="F1173" i="53" s="1"/>
  <c r="F1174" i="53" s="1"/>
  <c r="F1175" i="53" s="1"/>
  <c r="F1176" i="53" s="1"/>
  <c r="F1177" i="53" s="1"/>
  <c r="F1178" i="53" s="1"/>
  <c r="F1179" i="53" s="1"/>
  <c r="F1180" i="53" s="1"/>
  <c r="F1181" i="53" s="1"/>
  <c r="F1182" i="53" s="1"/>
  <c r="F1183" i="53" s="1"/>
  <c r="F1184" i="53" s="1"/>
  <c r="F1185" i="53" s="1"/>
  <c r="F1186" i="53" s="1"/>
  <c r="F1187" i="53" s="1"/>
  <c r="F1188" i="53" s="1"/>
  <c r="F1189" i="53" s="1"/>
  <c r="F1190" i="53" s="1"/>
  <c r="F1191" i="53" s="1"/>
  <c r="F1192" i="53" s="1"/>
  <c r="F1193" i="53" s="1"/>
  <c r="F1194" i="53" s="1"/>
  <c r="F1195" i="53" s="1"/>
  <c r="F1196" i="53" s="1"/>
  <c r="F1197" i="53" s="1"/>
  <c r="F1198" i="53" s="1"/>
  <c r="G2879" i="12"/>
  <c r="G2880" i="12" s="1"/>
  <c r="G2881" i="12" s="1"/>
  <c r="G2882" i="12" s="1"/>
  <c r="G2883" i="12" s="1"/>
  <c r="G2884" i="12" s="1"/>
  <c r="G2885" i="12" s="1"/>
  <c r="G2886" i="12" s="1"/>
  <c r="G2887" i="12" s="1"/>
  <c r="F1199" i="53" l="1"/>
  <c r="F1200" i="53" s="1"/>
  <c r="F1201" i="53" s="1"/>
  <c r="F1202" i="53" s="1"/>
  <c r="F1203" i="53" s="1"/>
  <c r="F1204" i="53" s="1"/>
  <c r="F1205" i="53" s="1"/>
  <c r="F1206" i="53" s="1"/>
  <c r="F1207" i="53" s="1"/>
  <c r="F1208" i="53" s="1"/>
  <c r="F1209" i="53" s="1"/>
  <c r="F1210" i="53" s="1"/>
  <c r="F1211" i="53" s="1"/>
  <c r="G2888" i="12"/>
  <c r="G2889" i="12" s="1"/>
  <c r="G2890" i="12" s="1"/>
  <c r="F1212" i="53" l="1"/>
  <c r="F1213" i="53" s="1"/>
  <c r="F1214" i="53" s="1"/>
  <c r="F1215" i="53" s="1"/>
  <c r="F1216" i="53" s="1"/>
  <c r="F1217" i="53" s="1"/>
  <c r="F1218" i="53" s="1"/>
  <c r="F1219" i="53" s="1"/>
  <c r="F1220" i="53" s="1"/>
  <c r="F1221" i="53" s="1"/>
  <c r="F1222" i="53" s="1"/>
  <c r="F1223" i="53" s="1"/>
  <c r="F1224" i="53" s="1"/>
  <c r="F1225" i="53" s="1"/>
  <c r="F1226" i="53" s="1"/>
  <c r="G2891" i="12"/>
  <c r="G2892" i="12" s="1"/>
  <c r="G2893" i="12" s="1"/>
  <c r="G2894" i="12" s="1"/>
  <c r="F1227" i="53" l="1"/>
  <c r="F1228" i="53" s="1"/>
  <c r="F1229" i="53" s="1"/>
  <c r="F1230" i="53" s="1"/>
  <c r="F1231" i="53" s="1"/>
  <c r="F1232" i="53" s="1"/>
  <c r="F1233" i="53" s="1"/>
  <c r="F1234" i="53" s="1"/>
  <c r="F1235" i="53" s="1"/>
  <c r="F1236" i="53" s="1"/>
  <c r="F1237" i="53" s="1"/>
  <c r="F1238" i="53" s="1"/>
  <c r="F1239" i="53" s="1"/>
  <c r="F1240" i="53" s="1"/>
  <c r="F1241" i="53" s="1"/>
  <c r="F1242" i="53" s="1"/>
  <c r="F1243" i="53" s="1"/>
  <c r="F1244" i="53" s="1"/>
  <c r="F1245" i="53" s="1"/>
  <c r="F1246" i="53" s="1"/>
  <c r="F1247" i="53" s="1"/>
  <c r="F1248" i="53" s="1"/>
  <c r="F1249" i="53" s="1"/>
  <c r="F1250" i="53" s="1"/>
  <c r="F1251" i="53" s="1"/>
  <c r="F1252" i="53" s="1"/>
  <c r="F1253" i="53" s="1"/>
  <c r="F1254" i="53" s="1"/>
  <c r="F1255" i="53" s="1"/>
  <c r="F1256" i="53" s="1"/>
  <c r="F1257" i="53" s="1"/>
  <c r="F1258" i="53" s="1"/>
  <c r="F1259" i="53" s="1"/>
  <c r="F1260" i="53" s="1"/>
  <c r="F1261" i="53" s="1"/>
  <c r="F1262" i="53" s="1"/>
  <c r="F1263" i="53" s="1"/>
  <c r="F1264" i="53" s="1"/>
  <c r="F1265" i="53" s="1"/>
  <c r="F1266" i="53" s="1"/>
  <c r="F1267" i="53" s="1"/>
  <c r="F1268" i="53" s="1"/>
  <c r="F1269" i="53" s="1"/>
  <c r="F1270" i="53" s="1"/>
  <c r="F1271" i="53" s="1"/>
  <c r="F1272" i="53" s="1"/>
  <c r="F1273" i="53" s="1"/>
  <c r="F1274" i="53" s="1"/>
  <c r="G2895" i="12"/>
  <c r="F1275" i="53" l="1"/>
  <c r="F1276" i="53" s="1"/>
  <c r="F1277" i="53" s="1"/>
  <c r="F1278" i="53" s="1"/>
  <c r="F1279" i="53" s="1"/>
  <c r="F1280" i="53" s="1"/>
  <c r="F1281" i="53" s="1"/>
  <c r="G2896" i="12"/>
  <c r="G2897" i="12" s="1"/>
  <c r="G2898" i="12" s="1"/>
  <c r="G2899" i="12" s="1"/>
  <c r="G2900" i="12" s="1"/>
  <c r="G2901" i="12" s="1"/>
  <c r="G2902" i="12" s="1"/>
  <c r="G2903" i="12" s="1"/>
  <c r="G2904" i="12" s="1"/>
  <c r="G2905" i="12" s="1"/>
  <c r="G2906" i="12" s="1"/>
  <c r="G2907" i="12" s="1"/>
  <c r="G2908" i="12" s="1"/>
  <c r="G2909" i="12" s="1"/>
  <c r="G2910" i="12" s="1"/>
  <c r="G2911" i="12" s="1"/>
  <c r="G2912" i="12" s="1"/>
  <c r="G2913" i="12" s="1"/>
  <c r="G2914" i="12" s="1"/>
  <c r="G2915" i="12" s="1"/>
  <c r="G2916" i="12" s="1"/>
  <c r="G2917" i="12" s="1"/>
  <c r="G2918" i="12" s="1"/>
  <c r="G2919" i="12" s="1"/>
  <c r="G2920" i="12" s="1"/>
  <c r="G2921" i="12" s="1"/>
  <c r="G2922" i="12" s="1"/>
  <c r="G2923" i="12" s="1"/>
  <c r="G2924" i="12" s="1"/>
  <c r="G2925" i="12" s="1"/>
  <c r="G2926" i="12" s="1"/>
  <c r="G2927" i="12" s="1"/>
  <c r="G2928" i="12" s="1"/>
  <c r="G2929" i="12" s="1"/>
  <c r="G2930" i="12" s="1"/>
  <c r="G2931" i="12" s="1"/>
  <c r="F1282" i="53" l="1"/>
  <c r="F1283" i="53" s="1"/>
  <c r="F1284" i="53" s="1"/>
  <c r="F1285" i="53" s="1"/>
  <c r="F1286" i="53" s="1"/>
  <c r="F1287" i="53" s="1"/>
  <c r="F1288" i="53" s="1"/>
  <c r="F1289" i="53" s="1"/>
  <c r="F1290" i="53" s="1"/>
  <c r="F1291" i="53" s="1"/>
  <c r="F1294" i="53" s="1"/>
  <c r="F1295" i="53" s="1"/>
  <c r="F1296" i="53" s="1"/>
  <c r="F1297" i="53" s="1"/>
  <c r="F1298" i="53" s="1"/>
  <c r="F1299" i="53" s="1"/>
  <c r="F1300" i="53" s="1"/>
  <c r="F1301" i="53" s="1"/>
  <c r="F1302" i="53" s="1"/>
  <c r="F1303" i="53" s="1"/>
  <c r="F1304" i="53" s="1"/>
  <c r="F1305" i="53" s="1"/>
  <c r="F1306" i="53" s="1"/>
  <c r="F1307" i="53" s="1"/>
  <c r="F1308" i="53" s="1"/>
  <c r="F1309" i="53" s="1"/>
  <c r="F1310" i="53" s="1"/>
  <c r="F1311" i="53" s="1"/>
  <c r="F1312" i="53" s="1"/>
  <c r="F1313" i="53" s="1"/>
  <c r="F1314" i="53" s="1"/>
  <c r="F1315" i="53" s="1"/>
  <c r="F1316" i="53" s="1"/>
  <c r="F1317" i="53" s="1"/>
  <c r="F1318" i="53" s="1"/>
  <c r="F1319" i="53" s="1"/>
  <c r="F1320" i="53" s="1"/>
  <c r="F1321" i="53" s="1"/>
  <c r="F1322" i="53" s="1"/>
  <c r="F1323" i="53" s="1"/>
  <c r="F1324" i="53" s="1"/>
  <c r="F1325" i="53" s="1"/>
  <c r="F1326" i="53" s="1"/>
  <c r="F1327" i="53" s="1"/>
  <c r="F1328" i="53" s="1"/>
  <c r="F1329" i="53" s="1"/>
  <c r="F1330" i="53" s="1"/>
  <c r="F1331" i="53" s="1"/>
  <c r="F1332" i="53" s="1"/>
  <c r="F1333" i="53" s="1"/>
  <c r="F1334" i="53" s="1"/>
  <c r="F1335" i="53" s="1"/>
  <c r="F1336" i="53" s="1"/>
  <c r="F1337" i="53" s="1"/>
  <c r="F1338" i="53" s="1"/>
  <c r="F1339" i="53" s="1"/>
  <c r="F1340" i="53" s="1"/>
  <c r="F1341" i="53" s="1"/>
  <c r="F1342" i="53" s="1"/>
  <c r="F1343" i="53" s="1"/>
  <c r="F1344" i="53" s="1"/>
  <c r="F1345" i="53" s="1"/>
  <c r="F1346" i="53" s="1"/>
  <c r="F1347" i="53" s="1"/>
  <c r="F1348" i="53" s="1"/>
  <c r="F1349" i="53" s="1"/>
  <c r="F1350" i="53" s="1"/>
  <c r="F1351" i="53" s="1"/>
  <c r="F1352" i="53" s="1"/>
  <c r="F1353" i="53" s="1"/>
  <c r="F1354" i="53" s="1"/>
  <c r="F1355" i="53" s="1"/>
  <c r="F1356" i="53" s="1"/>
  <c r="F1357" i="53" s="1"/>
  <c r="F1358" i="53" s="1"/>
  <c r="F1359" i="53" s="1"/>
  <c r="F1360" i="53" s="1"/>
  <c r="F1361" i="53" s="1"/>
  <c r="F1362" i="53" s="1"/>
  <c r="F1363" i="53" s="1"/>
  <c r="F1364" i="53" s="1"/>
  <c r="F1365" i="53" s="1"/>
  <c r="F1366" i="53" s="1"/>
  <c r="F1367" i="53" s="1"/>
  <c r="F1368" i="53" s="1"/>
  <c r="F1369" i="53" s="1"/>
  <c r="F1370" i="53" s="1"/>
  <c r="F1371" i="53" s="1"/>
  <c r="F1372" i="53" s="1"/>
  <c r="F1373" i="53" s="1"/>
  <c r="F1374" i="53" s="1"/>
  <c r="F1375" i="53" s="1"/>
  <c r="F1376" i="53" s="1"/>
  <c r="F1377" i="53" s="1"/>
  <c r="F1378" i="53" s="1"/>
  <c r="F1379" i="53" s="1"/>
  <c r="F1380" i="53" s="1"/>
  <c r="F1381" i="53" s="1"/>
  <c r="F1382" i="53" s="1"/>
  <c r="F1383" i="53" s="1"/>
  <c r="F1384" i="53" s="1"/>
  <c r="F1385" i="53" s="1"/>
  <c r="F1386" i="53" s="1"/>
  <c r="F1387" i="53" s="1"/>
  <c r="F1388" i="53" s="1"/>
  <c r="F1389" i="53" s="1"/>
  <c r="F1390" i="53" s="1"/>
  <c r="F1391" i="53" s="1"/>
  <c r="F1392" i="53" s="1"/>
  <c r="F1393" i="53" s="1"/>
  <c r="F1394" i="53" s="1"/>
  <c r="F1395" i="53" s="1"/>
  <c r="F1396" i="53" s="1"/>
  <c r="F1397" i="53" s="1"/>
  <c r="F1398" i="53" s="1"/>
  <c r="F1399" i="53" s="1"/>
  <c r="F1400" i="53" s="1"/>
  <c r="F1401" i="53" s="1"/>
  <c r="F1402" i="53" s="1"/>
  <c r="F1403" i="53" s="1"/>
  <c r="F1404" i="53" s="1"/>
  <c r="F1405" i="53" s="1"/>
  <c r="F1406" i="53" s="1"/>
  <c r="F1407" i="53" s="1"/>
  <c r="F1408" i="53" s="1"/>
  <c r="F1409" i="53" s="1"/>
  <c r="F1410" i="53" s="1"/>
  <c r="F1411" i="53" s="1"/>
  <c r="F1412" i="53" s="1"/>
  <c r="F1413" i="53" s="1"/>
  <c r="F1414" i="53" s="1"/>
  <c r="F1415" i="53" s="1"/>
  <c r="F1416" i="53" s="1"/>
  <c r="F1417" i="53" s="1"/>
  <c r="F1418" i="53" s="1"/>
  <c r="F1419" i="53" s="1"/>
  <c r="F1420" i="53" s="1"/>
  <c r="F1421" i="53" s="1"/>
  <c r="F1422" i="53" s="1"/>
  <c r="F1423" i="53" s="1"/>
  <c r="F1424" i="53" s="1"/>
  <c r="F1425" i="53" s="1"/>
  <c r="F1426" i="53" s="1"/>
  <c r="F1427" i="53" s="1"/>
  <c r="F1428" i="53" s="1"/>
  <c r="F1429" i="53" s="1"/>
  <c r="F1430" i="53" s="1"/>
  <c r="F1431" i="53" s="1"/>
  <c r="F1432" i="53" s="1"/>
  <c r="F1433" i="53" s="1"/>
  <c r="F1434" i="53" s="1"/>
  <c r="F1435" i="53" s="1"/>
  <c r="F1436" i="53" s="1"/>
  <c r="F1437" i="53" s="1"/>
  <c r="F1438" i="53" s="1"/>
  <c r="F1439" i="53" s="1"/>
  <c r="F1440" i="53" s="1"/>
  <c r="F1441" i="53" s="1"/>
  <c r="F1442" i="53" s="1"/>
  <c r="F1443" i="53" s="1"/>
  <c r="F1444" i="53" s="1"/>
  <c r="F1445" i="53" s="1"/>
  <c r="F1446" i="53" s="1"/>
  <c r="F1447" i="53" s="1"/>
  <c r="F1448" i="53" s="1"/>
  <c r="F1449" i="53" s="1"/>
  <c r="F1450" i="53" s="1"/>
  <c r="F1451" i="53" s="1"/>
  <c r="F1452" i="53" s="1"/>
  <c r="F1453" i="53" s="1"/>
  <c r="F1454" i="53" s="1"/>
  <c r="F1455" i="53" s="1"/>
  <c r="F1456" i="53" s="1"/>
  <c r="F1457" i="53" s="1"/>
  <c r="F1458" i="53" s="1"/>
  <c r="F1459" i="53" s="1"/>
  <c r="F1460" i="53" s="1"/>
  <c r="F1461" i="53" s="1"/>
  <c r="F1462" i="53" s="1"/>
  <c r="F1463" i="53" s="1"/>
  <c r="F1464" i="53" s="1"/>
  <c r="F1465" i="53" s="1"/>
  <c r="F1466" i="53" s="1"/>
  <c r="F1467" i="53" s="1"/>
  <c r="F1468" i="53" s="1"/>
  <c r="F1469" i="53" s="1"/>
  <c r="F1470" i="53" s="1"/>
  <c r="F1471" i="53" s="1"/>
  <c r="F1472" i="53" s="1"/>
  <c r="F1473" i="53" s="1"/>
  <c r="F1474" i="53" s="1"/>
  <c r="F1475" i="53" s="1"/>
  <c r="F1476" i="53" s="1"/>
  <c r="F1477" i="53" s="1"/>
  <c r="F1478" i="53" s="1"/>
  <c r="F1479" i="53" s="1"/>
  <c r="F1480" i="53" s="1"/>
  <c r="F1481" i="53" s="1"/>
  <c r="F1482" i="53" s="1"/>
  <c r="F1483" i="53" s="1"/>
  <c r="F1484" i="53" s="1"/>
  <c r="F1485" i="53" s="1"/>
  <c r="F1486" i="53" s="1"/>
  <c r="F1487" i="53" s="1"/>
  <c r="F1488" i="53" s="1"/>
  <c r="F1489" i="53" s="1"/>
  <c r="F1490" i="53" s="1"/>
  <c r="F1491" i="53" s="1"/>
  <c r="F1492" i="53" s="1"/>
  <c r="F1493" i="53" s="1"/>
  <c r="F1494" i="53" s="1"/>
  <c r="F1495" i="53" s="1"/>
  <c r="F1496" i="53" s="1"/>
  <c r="F1497" i="53" s="1"/>
  <c r="F1498" i="53" s="1"/>
  <c r="F1499" i="53" s="1"/>
  <c r="F1500" i="53" s="1"/>
  <c r="F1501" i="53" s="1"/>
  <c r="F1502" i="53" s="1"/>
  <c r="F1503" i="53" s="1"/>
  <c r="F1504" i="53" s="1"/>
  <c r="F1505" i="53" s="1"/>
  <c r="F1506" i="53" s="1"/>
  <c r="F1507" i="53" s="1"/>
  <c r="F1508" i="53" s="1"/>
  <c r="F1509" i="53" s="1"/>
  <c r="F1510" i="53" s="1"/>
  <c r="F1511" i="53" s="1"/>
  <c r="F1512" i="53" s="1"/>
  <c r="F1513" i="53" s="1"/>
  <c r="F1514" i="53" s="1"/>
  <c r="F1515" i="53" s="1"/>
  <c r="F1516" i="53" s="1"/>
  <c r="F1517" i="53" s="1"/>
  <c r="F1518" i="53" s="1"/>
  <c r="F1519" i="53" s="1"/>
  <c r="F1520" i="53" s="1"/>
  <c r="F1521" i="53" s="1"/>
  <c r="F1522" i="53" s="1"/>
  <c r="F1523" i="53" s="1"/>
  <c r="F1524" i="53" s="1"/>
  <c r="F1525" i="53" s="1"/>
  <c r="F1526" i="53" s="1"/>
  <c r="F1527" i="53" s="1"/>
  <c r="F1528" i="53" s="1"/>
  <c r="F1529" i="53" s="1"/>
  <c r="F1530" i="53" s="1"/>
  <c r="F1531" i="53" s="1"/>
  <c r="F1532" i="53" s="1"/>
  <c r="F1533" i="53" s="1"/>
  <c r="F1534" i="53" s="1"/>
  <c r="F1535" i="53" s="1"/>
  <c r="F1536" i="53" s="1"/>
  <c r="F1537" i="53" s="1"/>
  <c r="F1538" i="53" s="1"/>
  <c r="F1539" i="53" s="1"/>
  <c r="F1540" i="53" s="1"/>
  <c r="F1541" i="53" s="1"/>
  <c r="F1542" i="53" s="1"/>
  <c r="F1543" i="53" s="1"/>
  <c r="F1544" i="53" s="1"/>
  <c r="F1545" i="53" s="1"/>
  <c r="F1546" i="53" s="1"/>
  <c r="F1547" i="53" s="1"/>
  <c r="F1548" i="53" s="1"/>
  <c r="F1549" i="53" s="1"/>
  <c r="F1550" i="53" s="1"/>
  <c r="F1551" i="53" s="1"/>
  <c r="F1552" i="53" s="1"/>
  <c r="F1553" i="53" s="1"/>
  <c r="F1554" i="53" s="1"/>
  <c r="F1555" i="53" s="1"/>
  <c r="F1556" i="53" s="1"/>
  <c r="F1557" i="53" s="1"/>
  <c r="F1558" i="53" s="1"/>
  <c r="F1559" i="53" s="1"/>
  <c r="F1560" i="53" s="1"/>
  <c r="F1561" i="53" s="1"/>
  <c r="F1562" i="53" s="1"/>
  <c r="F1563" i="53" s="1"/>
  <c r="F1564" i="53" s="1"/>
  <c r="F1565" i="53" s="1"/>
  <c r="F1566" i="53" s="1"/>
  <c r="F1567" i="53" s="1"/>
  <c r="F1568" i="53" s="1"/>
  <c r="F1569" i="53" s="1"/>
  <c r="F1570" i="53" s="1"/>
  <c r="F1571" i="53" s="1"/>
  <c r="F1572" i="53" s="1"/>
  <c r="F1573" i="53" s="1"/>
  <c r="F1574" i="53" s="1"/>
  <c r="F1575" i="53" s="1"/>
  <c r="F1576" i="53" s="1"/>
  <c r="F1577" i="53" s="1"/>
  <c r="F1578" i="53" s="1"/>
  <c r="F1579" i="53" s="1"/>
  <c r="F1580" i="53" s="1"/>
  <c r="F1581" i="53" s="1"/>
  <c r="F1582" i="53" s="1"/>
  <c r="F1583" i="53" s="1"/>
  <c r="F1584" i="53" s="1"/>
  <c r="F1585" i="53" s="1"/>
  <c r="F1586" i="53" s="1"/>
  <c r="F1587" i="53" s="1"/>
  <c r="F1588" i="53" s="1"/>
  <c r="F1589" i="53" s="1"/>
  <c r="F1590" i="53" s="1"/>
  <c r="F1591" i="53" s="1"/>
  <c r="F1592" i="53" s="1"/>
  <c r="F1593" i="53" s="1"/>
  <c r="F1594" i="53" s="1"/>
  <c r="F1595" i="53" s="1"/>
  <c r="F1596" i="53" s="1"/>
  <c r="F1597" i="53" s="1"/>
  <c r="F1598" i="53" s="1"/>
  <c r="F1599" i="53" s="1"/>
  <c r="F1600" i="53" s="1"/>
  <c r="F1601" i="53" s="1"/>
  <c r="F1602" i="53" s="1"/>
  <c r="F1603" i="53" s="1"/>
  <c r="F1604" i="53" s="1"/>
  <c r="F1605" i="53" s="1"/>
  <c r="F1606" i="53" s="1"/>
  <c r="F1607" i="53" s="1"/>
  <c r="F1608" i="53" s="1"/>
  <c r="F1609" i="53" s="1"/>
  <c r="F1610" i="53" s="1"/>
  <c r="F1611" i="53" s="1"/>
  <c r="F1612" i="53" s="1"/>
  <c r="F1613" i="53" s="1"/>
  <c r="F1614" i="53" s="1"/>
  <c r="F1615" i="53" s="1"/>
  <c r="F1616" i="53" s="1"/>
  <c r="F1617" i="53" s="1"/>
  <c r="F1618" i="53" s="1"/>
  <c r="F1619" i="53" s="1"/>
  <c r="F1620" i="53" s="1"/>
  <c r="F1621" i="53" s="1"/>
  <c r="F1622" i="53" s="1"/>
  <c r="F1623" i="53" s="1"/>
  <c r="F1624" i="53" s="1"/>
  <c r="F1625" i="53" s="1"/>
  <c r="F1626" i="53" s="1"/>
  <c r="F1627" i="53" s="1"/>
  <c r="F1628" i="53" s="1"/>
  <c r="F1629" i="53" s="1"/>
  <c r="F1630" i="53" s="1"/>
  <c r="F1631" i="53" s="1"/>
  <c r="F1632" i="53" s="1"/>
  <c r="F1633" i="53" s="1"/>
  <c r="F1634" i="53" s="1"/>
  <c r="F1635" i="53" s="1"/>
  <c r="F1636" i="53" s="1"/>
  <c r="F1637" i="53" s="1"/>
  <c r="F1638" i="53" s="1"/>
  <c r="F1639" i="53" s="1"/>
  <c r="F1640" i="53" s="1"/>
  <c r="F1641" i="53" s="1"/>
  <c r="F1642" i="53" s="1"/>
  <c r="F1643" i="53" s="1"/>
  <c r="F1644" i="53" s="1"/>
  <c r="F1645" i="53" s="1"/>
  <c r="F1646" i="53" s="1"/>
  <c r="F1647" i="53" s="1"/>
  <c r="F1648" i="53" s="1"/>
  <c r="F1649" i="53" s="1"/>
  <c r="F1650" i="53" s="1"/>
  <c r="F1651" i="53" s="1"/>
  <c r="F1652" i="53" s="1"/>
  <c r="F1653" i="53" s="1"/>
  <c r="F1654" i="53" s="1"/>
  <c r="F1655" i="53" s="1"/>
  <c r="F1656" i="53" s="1"/>
  <c r="F1657" i="53" s="1"/>
  <c r="F1658" i="53" s="1"/>
  <c r="F1659" i="53" s="1"/>
  <c r="F1660" i="53" s="1"/>
  <c r="F1661" i="53" s="1"/>
  <c r="F1662" i="53" s="1"/>
  <c r="F1663" i="53" s="1"/>
  <c r="F1664" i="53" s="1"/>
  <c r="F1665" i="53" s="1"/>
  <c r="F1666" i="53" s="1"/>
  <c r="F1667" i="53" s="1"/>
  <c r="F1668" i="53" s="1"/>
  <c r="F1669" i="53" s="1"/>
  <c r="F1670" i="53" s="1"/>
  <c r="F1671" i="53" s="1"/>
  <c r="F1672" i="53" s="1"/>
  <c r="F1673" i="53" s="1"/>
  <c r="F1674" i="53" s="1"/>
  <c r="F1675" i="53" s="1"/>
  <c r="F1676" i="53" s="1"/>
  <c r="F1677" i="53" s="1"/>
  <c r="F1678" i="53" s="1"/>
  <c r="F1679" i="53" s="1"/>
  <c r="F1680" i="53" s="1"/>
  <c r="F1681" i="53" s="1"/>
  <c r="F1682" i="53" s="1"/>
  <c r="F1683" i="53" s="1"/>
  <c r="F1684" i="53" s="1"/>
  <c r="F1685" i="53" s="1"/>
  <c r="F1686" i="53" s="1"/>
  <c r="F1687" i="53" s="1"/>
  <c r="F1688" i="53" s="1"/>
  <c r="F1689" i="53" s="1"/>
  <c r="F1690" i="53" s="1"/>
  <c r="F1691" i="53" s="1"/>
  <c r="F1692" i="53" s="1"/>
  <c r="F1693" i="53" s="1"/>
  <c r="F1694" i="53" s="1"/>
  <c r="F1695" i="53" s="1"/>
  <c r="F1696" i="53" s="1"/>
  <c r="F1697" i="53" s="1"/>
  <c r="F1698" i="53" s="1"/>
  <c r="F1699" i="53" s="1"/>
  <c r="F1700" i="53" s="1"/>
  <c r="F1701" i="53" s="1"/>
  <c r="F1702" i="53" s="1"/>
  <c r="F1703" i="53" s="1"/>
  <c r="F1704" i="53" s="1"/>
  <c r="F1705" i="53" s="1"/>
  <c r="F1706" i="53" s="1"/>
  <c r="F1707" i="53" s="1"/>
  <c r="F1708" i="53" s="1"/>
  <c r="F1709" i="53" s="1"/>
  <c r="F1710" i="53" s="1"/>
  <c r="F1711" i="53" s="1"/>
  <c r="F1712" i="53" s="1"/>
  <c r="F1713" i="53" s="1"/>
  <c r="F1714" i="53" s="1"/>
  <c r="F1715" i="53" s="1"/>
  <c r="F1716" i="53" s="1"/>
  <c r="F1717" i="53" s="1"/>
  <c r="F1718" i="53" s="1"/>
  <c r="F1719" i="53" s="1"/>
  <c r="F1720" i="53" s="1"/>
  <c r="F1721" i="53" s="1"/>
  <c r="F1722" i="53" s="1"/>
  <c r="F1723" i="53" s="1"/>
  <c r="F1724" i="53" s="1"/>
  <c r="F1725" i="53" s="1"/>
  <c r="F1726" i="53" s="1"/>
  <c r="F1727" i="53" s="1"/>
  <c r="F1728" i="53" s="1"/>
  <c r="F1729" i="53" s="1"/>
  <c r="F1730" i="53" s="1"/>
  <c r="F1731" i="53" s="1"/>
  <c r="F1732" i="53" s="1"/>
  <c r="F1733" i="53" s="1"/>
  <c r="F1734" i="53" s="1"/>
  <c r="F1735" i="53" s="1"/>
  <c r="F1736" i="53" s="1"/>
  <c r="F1737" i="53" s="1"/>
  <c r="F1738" i="53" s="1"/>
  <c r="F1739" i="53" s="1"/>
  <c r="F1740" i="53" s="1"/>
  <c r="F1741" i="53" s="1"/>
  <c r="F1742" i="53" s="1"/>
  <c r="F1743" i="53" s="1"/>
  <c r="F1744" i="53" s="1"/>
  <c r="F1745" i="53" s="1"/>
  <c r="F1746" i="53" s="1"/>
  <c r="F1747" i="53" s="1"/>
  <c r="F1748" i="53" s="1"/>
  <c r="F1749" i="53" s="1"/>
  <c r="F1750" i="53" s="1"/>
  <c r="F1751" i="53" s="1"/>
  <c r="F1752" i="53" s="1"/>
  <c r="F1753" i="53" s="1"/>
  <c r="F1754" i="53" s="1"/>
  <c r="F1755" i="53" s="1"/>
  <c r="F1756" i="53" s="1"/>
  <c r="F1757" i="53" s="1"/>
  <c r="F1758" i="53" s="1"/>
  <c r="F1759" i="53" s="1"/>
  <c r="F1760" i="53" s="1"/>
  <c r="F1761" i="53" s="1"/>
  <c r="F1762" i="53" s="1"/>
  <c r="F1763" i="53" s="1"/>
  <c r="F1764" i="53" s="1"/>
  <c r="F1765" i="53" s="1"/>
  <c r="F1766" i="53" s="1"/>
  <c r="F1767" i="53" s="1"/>
  <c r="F1768" i="53" s="1"/>
  <c r="F1769" i="53" s="1"/>
  <c r="F1770" i="53" s="1"/>
  <c r="F1771" i="53" s="1"/>
  <c r="F1772" i="53" s="1"/>
  <c r="F1773" i="53" s="1"/>
  <c r="F1774" i="53" s="1"/>
  <c r="F1775" i="53" s="1"/>
  <c r="F1776" i="53" s="1"/>
  <c r="F1777" i="53" s="1"/>
  <c r="F1778" i="53" s="1"/>
  <c r="F1779" i="53" s="1"/>
  <c r="F1780" i="53" s="1"/>
  <c r="F1781" i="53" s="1"/>
  <c r="F1782" i="53" s="1"/>
  <c r="F1783" i="53" s="1"/>
  <c r="F1784" i="53" s="1"/>
  <c r="F1785" i="53" s="1"/>
  <c r="F1786" i="53" s="1"/>
  <c r="F1787" i="53" s="1"/>
  <c r="F1788" i="53" s="1"/>
  <c r="F1789" i="53" s="1"/>
  <c r="F1790" i="53" s="1"/>
  <c r="F1791" i="53" s="1"/>
  <c r="F1792" i="53" s="1"/>
  <c r="F1793" i="53" s="1"/>
  <c r="F1794" i="53" s="1"/>
  <c r="F1795" i="53" s="1"/>
  <c r="F1796" i="53" s="1"/>
  <c r="F1797" i="53" s="1"/>
  <c r="F1798" i="53" s="1"/>
  <c r="F1799" i="53" s="1"/>
  <c r="F1800" i="53" s="1"/>
  <c r="F1801" i="53" s="1"/>
  <c r="F1802" i="53" s="1"/>
  <c r="F1803" i="53" s="1"/>
  <c r="F1804" i="53" s="1"/>
  <c r="F1805" i="53" s="1"/>
  <c r="F1806" i="53" s="1"/>
  <c r="F1807" i="53" s="1"/>
  <c r="F1808" i="53" s="1"/>
  <c r="F1809" i="53" s="1"/>
  <c r="F1810" i="53" s="1"/>
  <c r="F1811" i="53" s="1"/>
  <c r="F1812" i="53" s="1"/>
  <c r="F1813" i="53" s="1"/>
  <c r="F1814" i="53" s="1"/>
  <c r="F1815" i="53" s="1"/>
  <c r="F1816" i="53" s="1"/>
  <c r="F1817" i="53" s="1"/>
  <c r="F1818" i="53" s="1"/>
  <c r="F1819" i="53" s="1"/>
  <c r="F1820" i="53" s="1"/>
  <c r="F1821" i="53" s="1"/>
  <c r="F1822" i="53" s="1"/>
  <c r="F1823" i="53" s="1"/>
  <c r="F1824" i="53" s="1"/>
  <c r="F1825" i="53" s="1"/>
  <c r="F1826" i="53" s="1"/>
  <c r="F1827" i="53" s="1"/>
  <c r="F1828" i="53" s="1"/>
  <c r="F1829" i="53" s="1"/>
  <c r="F1830" i="53" s="1"/>
  <c r="F1831" i="53" s="1"/>
  <c r="F1832" i="53" s="1"/>
  <c r="F1833" i="53" s="1"/>
  <c r="F1834" i="53" s="1"/>
  <c r="F1835" i="53" s="1"/>
  <c r="F1836" i="53" s="1"/>
  <c r="F1837" i="53" s="1"/>
  <c r="F1838" i="53" s="1"/>
  <c r="F1839" i="53" s="1"/>
  <c r="F1840" i="53" s="1"/>
  <c r="F1841" i="53" s="1"/>
  <c r="F1842" i="53" s="1"/>
  <c r="F1843" i="53" s="1"/>
  <c r="F1844" i="53" s="1"/>
  <c r="F1845" i="53" s="1"/>
  <c r="F1846" i="53" s="1"/>
  <c r="F1847" i="53" s="1"/>
  <c r="F1848" i="53" s="1"/>
  <c r="F1849" i="53" s="1"/>
  <c r="F1850" i="53" s="1"/>
  <c r="F1851" i="53" s="1"/>
  <c r="F1852" i="53" s="1"/>
  <c r="F1853" i="53" s="1"/>
  <c r="F1854" i="53" s="1"/>
  <c r="F1855" i="53" s="1"/>
  <c r="F1856" i="53" s="1"/>
  <c r="F1857" i="53" s="1"/>
  <c r="F1858" i="53" s="1"/>
  <c r="F1859" i="53" s="1"/>
  <c r="F1860" i="53" s="1"/>
  <c r="F1861" i="53" s="1"/>
  <c r="F1862" i="53" s="1"/>
  <c r="F1863" i="53" s="1"/>
  <c r="F1864" i="53" s="1"/>
  <c r="F1865" i="53" s="1"/>
  <c r="F1866" i="53" s="1"/>
  <c r="F1867" i="53" s="1"/>
  <c r="F1868" i="53" s="1"/>
  <c r="F1869" i="53" s="1"/>
  <c r="F1870" i="53" s="1"/>
  <c r="F1871" i="53" s="1"/>
  <c r="F1872" i="53" s="1"/>
  <c r="F1873" i="53" s="1"/>
  <c r="F1874" i="53" s="1"/>
  <c r="F1875" i="53" s="1"/>
  <c r="F1876" i="53" s="1"/>
  <c r="F1877" i="53" s="1"/>
  <c r="F1878" i="53" s="1"/>
  <c r="F1879" i="53" s="1"/>
  <c r="F1880" i="53" s="1"/>
  <c r="F1881" i="53" s="1"/>
  <c r="F1882" i="53" s="1"/>
  <c r="F1883" i="53" s="1"/>
  <c r="F1884" i="53" s="1"/>
  <c r="F1885" i="53" s="1"/>
  <c r="F1886" i="53" s="1"/>
  <c r="F1887" i="53" s="1"/>
  <c r="F1888" i="53" s="1"/>
  <c r="F1889" i="53" s="1"/>
  <c r="F1890" i="53" s="1"/>
  <c r="F1891" i="53" s="1"/>
  <c r="F1892" i="53" s="1"/>
  <c r="F1893" i="53" s="1"/>
  <c r="F1894" i="53" s="1"/>
  <c r="F1895" i="53" s="1"/>
  <c r="F1896" i="53" s="1"/>
  <c r="F1897" i="53" s="1"/>
  <c r="F1898" i="53" s="1"/>
  <c r="F1899" i="53" s="1"/>
  <c r="F1900" i="53" s="1"/>
  <c r="F1901" i="53" s="1"/>
  <c r="F1902" i="53" s="1"/>
  <c r="F1903" i="53" s="1"/>
  <c r="F1904" i="53" s="1"/>
  <c r="F1905" i="53" s="1"/>
  <c r="F1906" i="53" s="1"/>
  <c r="F1907" i="53" s="1"/>
  <c r="F1908" i="53" s="1"/>
  <c r="F1909" i="53" s="1"/>
  <c r="F1910" i="53" s="1"/>
  <c r="F1911" i="53" s="1"/>
  <c r="F1912" i="53" s="1"/>
  <c r="F1913" i="53" s="1"/>
  <c r="F1914" i="53" s="1"/>
  <c r="F1915" i="53" s="1"/>
  <c r="F1916" i="53" s="1"/>
  <c r="F1917" i="53" s="1"/>
  <c r="F1918" i="53" s="1"/>
  <c r="F1919" i="53" s="1"/>
  <c r="F1920" i="53" s="1"/>
  <c r="F1921" i="53" s="1"/>
  <c r="F1922" i="53" s="1"/>
  <c r="F1923" i="53" s="1"/>
  <c r="F1924" i="53" s="1"/>
  <c r="F1925" i="53" s="1"/>
  <c r="F1926" i="53" s="1"/>
  <c r="F1927" i="53" s="1"/>
  <c r="F1928" i="53" s="1"/>
  <c r="F1929" i="53" s="1"/>
  <c r="F1930" i="53" s="1"/>
  <c r="F1931" i="53" s="1"/>
  <c r="F1932" i="53" s="1"/>
  <c r="F1933" i="53" s="1"/>
  <c r="F1934" i="53" s="1"/>
  <c r="F1935" i="53" s="1"/>
  <c r="F1936" i="53" s="1"/>
  <c r="F1937" i="53" s="1"/>
  <c r="F1938" i="53" s="1"/>
  <c r="F1939" i="53" s="1"/>
  <c r="F1940" i="53" s="1"/>
  <c r="F1941" i="53" s="1"/>
  <c r="F1942" i="53" s="1"/>
  <c r="F1943" i="53" s="1"/>
  <c r="F1944" i="53" s="1"/>
  <c r="F1945" i="53" s="1"/>
  <c r="F1946" i="53" s="1"/>
  <c r="F1947" i="53" s="1"/>
  <c r="F1948" i="53" s="1"/>
  <c r="F1949" i="53" s="1"/>
  <c r="F1950" i="53" s="1"/>
  <c r="F1951" i="53" s="1"/>
  <c r="F1952" i="53" s="1"/>
  <c r="F1953" i="53" s="1"/>
  <c r="F1954" i="53" s="1"/>
  <c r="F1955" i="53" s="1"/>
  <c r="F1956" i="53" s="1"/>
  <c r="F1957" i="53" s="1"/>
  <c r="F1958" i="53" s="1"/>
  <c r="F1959" i="53" s="1"/>
  <c r="F1960" i="53" s="1"/>
  <c r="F1961" i="53" s="1"/>
  <c r="F1962" i="53" s="1"/>
  <c r="F1963" i="53" s="1"/>
  <c r="F1964" i="53" s="1"/>
  <c r="F1965" i="53" s="1"/>
  <c r="F1966" i="53" s="1"/>
  <c r="F1967" i="53" s="1"/>
  <c r="F1968" i="53" s="1"/>
  <c r="F1969" i="53" s="1"/>
  <c r="F1970" i="53" s="1"/>
  <c r="F1971" i="53" s="1"/>
  <c r="F1972" i="53" s="1"/>
  <c r="F1973" i="53" s="1"/>
  <c r="F1974" i="53" s="1"/>
  <c r="F1975" i="53" s="1"/>
  <c r="F1976" i="53" s="1"/>
  <c r="F1977" i="53" s="1"/>
  <c r="F1978" i="53" s="1"/>
  <c r="F1979" i="53" s="1"/>
  <c r="F1980" i="53" s="1"/>
  <c r="F1981" i="53" s="1"/>
  <c r="F1982" i="53" s="1"/>
  <c r="F1983" i="53" s="1"/>
  <c r="F1984" i="53" s="1"/>
  <c r="F1985" i="53" s="1"/>
  <c r="F1986" i="53" s="1"/>
  <c r="F1987" i="53" s="1"/>
  <c r="F1988" i="53" s="1"/>
  <c r="F1989" i="53" s="1"/>
  <c r="F1990" i="53" s="1"/>
  <c r="F1991" i="53" s="1"/>
  <c r="F1992" i="53" s="1"/>
  <c r="F1993" i="53" s="1"/>
  <c r="F1994" i="53" s="1"/>
  <c r="F1995" i="53" s="1"/>
  <c r="F1996" i="53" s="1"/>
  <c r="F1997" i="53" s="1"/>
  <c r="F1998" i="53" s="1"/>
  <c r="F1999" i="53" s="1"/>
  <c r="F2000" i="53" s="1"/>
  <c r="F2001" i="53" s="1"/>
  <c r="F2002" i="53" s="1"/>
  <c r="F2003" i="53" s="1"/>
  <c r="F2004" i="53" s="1"/>
  <c r="F2005" i="53" s="1"/>
  <c r="D10" i="57" s="1"/>
  <c r="G2932" i="12"/>
  <c r="G2933" i="12" s="1"/>
  <c r="G2934" i="12" s="1"/>
  <c r="G2935" i="12" s="1"/>
  <c r="G2936" i="12" s="1"/>
  <c r="G2937" i="12" s="1"/>
  <c r="G2938" i="12" s="1"/>
  <c r="G2939" i="12" s="1"/>
  <c r="G2940" i="12" s="1"/>
  <c r="G2941" i="12" s="1"/>
  <c r="G2942" i="12" s="1"/>
  <c r="G2943" i="12" s="1"/>
  <c r="G2944" i="12" s="1"/>
  <c r="G2945" i="12" s="1"/>
  <c r="G2946" i="12" s="1"/>
  <c r="G2947" i="12" s="1"/>
  <c r="G2948" i="12" s="1"/>
  <c r="G2949" i="12" s="1"/>
  <c r="G2950" i="12" s="1"/>
  <c r="G2951" i="12" s="1"/>
  <c r="G2952" i="12" s="1"/>
  <c r="G2953" i="12" s="1"/>
  <c r="G2954" i="12" s="1"/>
  <c r="G2955" i="12" s="1"/>
  <c r="G2956" i="12" s="1"/>
  <c r="G2957" i="12" s="1"/>
  <c r="G2958" i="12" s="1"/>
  <c r="G2959" i="12" s="1"/>
  <c r="G2960" i="12" s="1"/>
  <c r="G2961" i="12" s="1"/>
  <c r="G2962" i="12" s="1"/>
  <c r="G2963" i="12" s="1"/>
  <c r="G2964" i="12" s="1"/>
  <c r="G2965" i="12" s="1"/>
  <c r="G2966" i="12" s="1"/>
  <c r="G2967" i="12" s="1"/>
  <c r="G2968" i="12" s="1"/>
  <c r="G2969" i="12" s="1"/>
  <c r="G2970" i="12" s="1"/>
  <c r="G2971" i="12" s="1"/>
  <c r="G2972" i="12" s="1"/>
  <c r="G2973" i="12" s="1"/>
  <c r="G2974" i="12" l="1"/>
  <c r="G2975" i="12" s="1"/>
  <c r="G2976" i="12" s="1"/>
  <c r="G2977" i="12" s="1"/>
  <c r="G2978" i="12" s="1"/>
  <c r="G2979" i="12" s="1"/>
  <c r="G2980" i="12" s="1"/>
  <c r="G2981" i="12" s="1"/>
  <c r="G2982" i="12" s="1"/>
  <c r="G2983" i="12" s="1"/>
  <c r="G2984" i="12" s="1"/>
  <c r="G2985" i="12" s="1"/>
  <c r="G2986" i="12" s="1"/>
  <c r="G2987" i="12" s="1"/>
  <c r="G2988" i="12" s="1"/>
  <c r="G2989" i="12" s="1"/>
  <c r="G2990" i="12" s="1"/>
  <c r="G2991" i="12" s="1"/>
  <c r="G2992" i="12" s="1"/>
  <c r="G2993" i="12" s="1"/>
  <c r="G2994" i="12" s="1"/>
  <c r="G2995" i="12" s="1"/>
  <c r="G2996" i="12" s="1"/>
  <c r="G2997" i="12" s="1"/>
  <c r="G2998" i="12" s="1"/>
  <c r="G2999" i="12" s="1"/>
  <c r="G3000" i="12" s="1"/>
  <c r="G3001" i="12" s="1"/>
  <c r="G3002" i="12" s="1"/>
  <c r="G3003" i="12" s="1"/>
  <c r="G3004" i="12" s="1"/>
  <c r="G3005" i="12" s="1"/>
  <c r="G3006" i="12" s="1"/>
  <c r="G3007" i="12" s="1"/>
  <c r="G3008" i="12" s="1"/>
  <c r="G3009" i="12" s="1"/>
  <c r="G3010" i="12" s="1"/>
  <c r="G3011" i="12" s="1"/>
  <c r="G3012" i="12" s="1"/>
  <c r="G3013" i="12" s="1"/>
  <c r="G3014" i="12" s="1"/>
  <c r="G3015" i="12" s="1"/>
  <c r="G3016" i="12" s="1"/>
  <c r="G3017" i="12" s="1"/>
  <c r="G3018" i="12" s="1"/>
  <c r="G3019" i="12" s="1"/>
  <c r="G3020" i="12" s="1"/>
  <c r="G3021" i="12" s="1"/>
  <c r="G3022" i="12" s="1"/>
  <c r="G3023" i="12" s="1"/>
  <c r="G3024" i="12" s="1"/>
  <c r="G3025" i="12" s="1"/>
  <c r="G3026" i="12" s="1"/>
  <c r="G3027" i="12" s="1"/>
  <c r="G3028" i="12" l="1"/>
  <c r="G3029" i="12" s="1"/>
  <c r="G3030" i="12" s="1"/>
  <c r="G3031" i="12" s="1"/>
  <c r="G3032" i="12" s="1"/>
  <c r="G3033" i="12" s="1"/>
  <c r="G3034" i="12" s="1"/>
  <c r="G3035" i="12" s="1"/>
  <c r="G3036" i="12" s="1"/>
  <c r="G3037" i="12" l="1"/>
  <c r="G3038" i="12" s="1"/>
  <c r="G3039" i="12" s="1"/>
  <c r="G3040" i="12" s="1"/>
  <c r="G3041" i="12" s="1"/>
  <c r="G3042" i="12" s="1"/>
  <c r="G3043" i="12" l="1"/>
  <c r="G3044" i="12" s="1"/>
  <c r="G3045" i="12" s="1"/>
  <c r="G3046" i="12" s="1"/>
  <c r="G3047" i="12" s="1"/>
  <c r="G3048" i="12" s="1"/>
  <c r="G3049" i="12" s="1"/>
  <c r="G3050" i="12" s="1"/>
  <c r="G3051" i="12" s="1"/>
  <c r="G3052" i="12" s="1"/>
  <c r="G3053" i="12" s="1"/>
  <c r="G3054" i="12" s="1"/>
  <c r="G3055" i="12" s="1"/>
  <c r="G3056" i="12" s="1"/>
  <c r="G3057" i="12" s="1"/>
  <c r="G3058" i="12" s="1"/>
  <c r="G3059" i="12" s="1"/>
  <c r="G3060" i="12" s="1"/>
  <c r="G3061" i="12" s="1"/>
  <c r="G3062" i="12" s="1"/>
  <c r="G3063" i="12" s="1"/>
  <c r="G3064" i="12" s="1"/>
  <c r="G3065" i="12" s="1"/>
  <c r="G3066" i="12" s="1"/>
  <c r="G3067" i="12" s="1"/>
  <c r="G3068" i="12" s="1"/>
  <c r="G3069" i="12" s="1"/>
  <c r="G3070" i="12" s="1"/>
  <c r="G3071" i="12" s="1"/>
  <c r="G3072" i="12" s="1"/>
  <c r="G3073" i="12" s="1"/>
  <c r="G3074" i="12" s="1"/>
  <c r="G3075" i="12" s="1"/>
  <c r="G3076" i="12" l="1"/>
  <c r="G3077" i="12" s="1"/>
  <c r="G3078" i="12" s="1"/>
  <c r="G3079" i="12" s="1"/>
  <c r="G3080" i="12" s="1"/>
  <c r="G3081" i="12" s="1"/>
  <c r="G3082" i="12" s="1"/>
  <c r="G3083" i="12" s="1"/>
  <c r="G3084" i="12" s="1"/>
  <c r="G3085" i="12" s="1"/>
  <c r="G3086" i="12" s="1"/>
  <c r="G3087" i="12" s="1"/>
  <c r="G3088" i="12" s="1"/>
  <c r="G3089" i="12" s="1"/>
  <c r="G3090" i="12" s="1"/>
  <c r="G3091" i="12" s="1"/>
  <c r="G3092" i="12" s="1"/>
  <c r="G3093" i="12" s="1"/>
  <c r="G3094" i="12" s="1"/>
  <c r="G3095" i="12" s="1"/>
  <c r="G3096" i="12" s="1"/>
  <c r="G3097" i="12" s="1"/>
  <c r="G3098" i="12" s="1"/>
  <c r="G3099" i="12" s="1"/>
  <c r="G3100" i="12" s="1"/>
  <c r="G3101" i="12" s="1"/>
  <c r="G3102" i="12" s="1"/>
  <c r="G3103" i="12" s="1"/>
  <c r="G3104" i="12" s="1"/>
  <c r="G3105" i="12" s="1"/>
  <c r="G3106" i="12" s="1"/>
  <c r="G3107" i="12" s="1"/>
  <c r="G3108" i="12" s="1"/>
  <c r="G3109" i="12" s="1"/>
  <c r="G3110" i="12" s="1"/>
  <c r="G3111" i="12" s="1"/>
  <c r="G3112" i="12" l="1"/>
  <c r="G3113" i="12" s="1"/>
  <c r="G3114" i="12" s="1"/>
  <c r="G3115" i="12" s="1"/>
  <c r="G3116" i="12" s="1"/>
  <c r="G3117" i="12" s="1"/>
  <c r="G3118" i="12" s="1"/>
  <c r="G3119" i="12" s="1"/>
  <c r="G3120" i="12" s="1"/>
  <c r="G3121" i="12" s="1"/>
  <c r="G3122" i="12" s="1"/>
  <c r="G3123" i="12" s="1"/>
  <c r="G3124" i="12" s="1"/>
  <c r="G3125" i="12" s="1"/>
  <c r="G3126" i="12" s="1"/>
  <c r="G3127" i="12" s="1"/>
  <c r="G3128" i="12" s="1"/>
  <c r="G3129" i="12" s="1"/>
  <c r="G3130" i="12" s="1"/>
  <c r="G3131" i="12" s="1"/>
  <c r="G3132" i="12" s="1"/>
  <c r="G3133" i="12" s="1"/>
  <c r="G3134" i="12" s="1"/>
  <c r="G3135" i="12" s="1"/>
  <c r="G3136" i="12" s="1"/>
  <c r="G3137" i="12" s="1"/>
  <c r="G3138" i="12" s="1"/>
  <c r="G3139" i="12" s="1"/>
  <c r="G3140" i="12" s="1"/>
  <c r="G3141" i="12" s="1"/>
  <c r="G3142" i="12" s="1"/>
  <c r="G3143" i="12" s="1"/>
  <c r="G3144" i="12" l="1"/>
  <c r="G3145" i="12" s="1"/>
  <c r="G3146" i="12" l="1"/>
  <c r="G3147" i="12" s="1"/>
  <c r="G3148" i="12" s="1"/>
  <c r="G3149" i="12" s="1"/>
  <c r="G3150" i="12" s="1"/>
  <c r="G3151" i="12" s="1"/>
  <c r="G3152" i="12" s="1"/>
  <c r="G3153" i="12" l="1"/>
  <c r="G3154" i="12" s="1"/>
  <c r="G3155" i="12" s="1"/>
  <c r="G3156" i="12" s="1"/>
  <c r="G3157" i="12" s="1"/>
  <c r="G3158" i="12" s="1"/>
  <c r="G3159" i="12" s="1"/>
  <c r="G3160" i="12" s="1"/>
  <c r="G3161" i="12" s="1"/>
  <c r="G3162" i="12" s="1"/>
  <c r="G3163" i="12" s="1"/>
  <c r="G3164" i="12" s="1"/>
  <c r="G3165" i="12" s="1"/>
  <c r="G3166" i="12" s="1"/>
  <c r="G3167" i="12" s="1"/>
  <c r="G3168" i="12" s="1"/>
  <c r="G3169" i="12" s="1"/>
  <c r="G3170" i="12" s="1"/>
  <c r="G3171" i="12" s="1"/>
  <c r="G3172" i="12" s="1"/>
  <c r="G3173" i="12" s="1"/>
  <c r="G3174" i="12" s="1"/>
  <c r="G3175" i="12" s="1"/>
  <c r="G3176" i="12" s="1"/>
  <c r="G3177" i="12" s="1"/>
  <c r="G3178" i="12" s="1"/>
  <c r="G3179" i="12" s="1"/>
  <c r="G3180" i="12" s="1"/>
  <c r="G3181" i="12" s="1"/>
  <c r="G3182" i="12" s="1"/>
  <c r="G3183" i="12" s="1"/>
  <c r="G3184" i="12" s="1"/>
  <c r="G3185" i="12" s="1"/>
  <c r="G3186" i="12" l="1"/>
  <c r="G3187" i="12" s="1"/>
  <c r="G3188" i="12" s="1"/>
  <c r="G3189" i="12" l="1"/>
  <c r="G3190" i="12" s="1"/>
  <c r="G3191" i="12" s="1"/>
  <c r="G3192" i="12" s="1"/>
  <c r="G3193" i="12" s="1"/>
  <c r="G3194" i="12" s="1"/>
  <c r="G3195" i="12" l="1"/>
  <c r="G3196" i="12" s="1"/>
  <c r="G3197" i="12" s="1"/>
  <c r="G3198" i="12" s="1"/>
  <c r="G3199" i="12" s="1"/>
  <c r="G3200" i="12" l="1"/>
  <c r="G3201" i="12" s="1"/>
  <c r="G3202" i="12" s="1"/>
  <c r="G3203" i="12" s="1"/>
  <c r="G3204" i="12" s="1"/>
  <c r="G3205" i="12" l="1"/>
  <c r="G3206" i="12" s="1"/>
  <c r="G3207" i="12" s="1"/>
  <c r="G3208" i="12" s="1"/>
  <c r="G3209" i="12" s="1"/>
  <c r="G3210" i="12" s="1"/>
  <c r="G3211" i="12" s="1"/>
  <c r="G3212" i="12" s="1"/>
  <c r="G3213" i="12" l="1"/>
  <c r="G3214" i="12" s="1"/>
  <c r="G3215" i="12" s="1"/>
  <c r="G3216" i="12" s="1"/>
  <c r="G3217" i="12" s="1"/>
  <c r="G3218" i="12" s="1"/>
  <c r="G3219" i="12" s="1"/>
  <c r="G3220" i="12" s="1"/>
  <c r="G3221" i="12" s="1"/>
  <c r="G3222" i="12" s="1"/>
  <c r="G3223" i="12" s="1"/>
  <c r="G3224" i="12" s="1"/>
  <c r="G3225" i="12" s="1"/>
  <c r="G3226" i="12" s="1"/>
  <c r="G3227" i="12" s="1"/>
  <c r="G3228" i="12" s="1"/>
  <c r="G3229" i="12" s="1"/>
  <c r="G3230" i="12" s="1"/>
  <c r="G3231" i="12" s="1"/>
  <c r="G3232" i="12" s="1"/>
  <c r="G3233" i="12" s="1"/>
  <c r="G3234" i="12" s="1"/>
  <c r="G3235" i="12" s="1"/>
  <c r="G3236" i="12" s="1"/>
  <c r="G3237" i="12" s="1"/>
  <c r="G3238" i="12" s="1"/>
  <c r="G3239" i="12" s="1"/>
  <c r="G3240" i="12" s="1"/>
  <c r="G3241" i="12" s="1"/>
  <c r="G3242" i="12" s="1"/>
  <c r="G3243" i="12" s="1"/>
  <c r="G3244" i="12" s="1"/>
  <c r="G3245" i="12" s="1"/>
  <c r="G3246" i="12" s="1"/>
  <c r="G3247" i="12" s="1"/>
  <c r="G3248" i="12" s="1"/>
  <c r="G3249" i="12" s="1"/>
  <c r="G3250" i="12" s="1"/>
  <c r="G3251" i="12" s="1"/>
  <c r="G3252" i="12" s="1"/>
  <c r="G3253" i="12" s="1"/>
  <c r="G3254" i="12" s="1"/>
  <c r="G3255" i="12" s="1"/>
  <c r="G3256" i="12" s="1"/>
  <c r="G3257" i="12" s="1"/>
  <c r="G3258" i="12" s="1"/>
  <c r="G3259" i="12" s="1"/>
  <c r="G3260" i="12" s="1"/>
  <c r="G3261" i="12" s="1"/>
  <c r="G3262" i="12" s="1"/>
  <c r="G3263" i="12" s="1"/>
  <c r="G3264" i="12" s="1"/>
  <c r="G3265" i="12" s="1"/>
  <c r="G3266" i="12" s="1"/>
  <c r="G3267" i="12" s="1"/>
  <c r="G3268" i="12" s="1"/>
  <c r="G3269" i="12" s="1"/>
  <c r="G3270" i="12" s="1"/>
  <c r="G3271" i="12" s="1"/>
  <c r="G3272" i="12" s="1"/>
  <c r="G3273" i="12" s="1"/>
  <c r="G3274" i="12" s="1"/>
  <c r="G3275" i="12" s="1"/>
  <c r="G3276" i="12" s="1"/>
  <c r="G3277" i="12" s="1"/>
  <c r="G3278" i="12" s="1"/>
  <c r="G3279" i="12" s="1"/>
  <c r="G3280" i="12" s="1"/>
  <c r="G3281" i="12" l="1"/>
  <c r="G3282" i="12" s="1"/>
  <c r="G3283" i="12" s="1"/>
  <c r="G3284" i="12" s="1"/>
  <c r="G3285" i="12" s="1"/>
  <c r="G3286" i="12" l="1"/>
  <c r="G3287" i="12" s="1"/>
  <c r="G3288" i="12" s="1"/>
  <c r="G3289" i="12" s="1"/>
  <c r="G3290" i="12" s="1"/>
  <c r="G3291" i="12" s="1"/>
  <c r="G3292" i="12" s="1"/>
  <c r="G3293" i="12" s="1"/>
  <c r="G3294" i="12" s="1"/>
  <c r="G3295" i="12" s="1"/>
  <c r="G3296" i="12" l="1"/>
  <c r="G3297" i="12" s="1"/>
  <c r="G3298" i="12" s="1"/>
  <c r="G3299" i="12" s="1"/>
  <c r="G3300" i="12" s="1"/>
  <c r="G3301" i="12" s="1"/>
  <c r="G3302" i="12" s="1"/>
  <c r="G3303" i="12" s="1"/>
  <c r="G3304" i="12" s="1"/>
  <c r="G3305" i="12" s="1"/>
  <c r="G3306" i="12" l="1"/>
  <c r="G3307" i="12" s="1"/>
  <c r="G3308" i="12" s="1"/>
  <c r="G3309" i="12" l="1"/>
  <c r="G3310" i="12" s="1"/>
  <c r="G3311" i="12" s="1"/>
  <c r="G3312" i="12" s="1"/>
  <c r="G3313" i="12" l="1"/>
  <c r="G3314" i="12" s="1"/>
  <c r="G3315" i="12" s="1"/>
  <c r="G3316" i="12" s="1"/>
  <c r="G3317" i="12" s="1"/>
  <c r="G3318" i="12" s="1"/>
  <c r="G3319" i="12" s="1"/>
  <c r="G3320" i="12" s="1"/>
  <c r="G3321" i="12" s="1"/>
  <c r="G3322" i="12" s="1"/>
  <c r="G3323" i="12" s="1"/>
  <c r="G3324" i="12" s="1"/>
  <c r="G3325" i="12" s="1"/>
  <c r="G3326" i="12" s="1"/>
  <c r="G3327" i="12" s="1"/>
  <c r="G3328" i="12" s="1"/>
  <c r="G3329" i="12" s="1"/>
  <c r="G3330" i="12" s="1"/>
  <c r="G3331" i="12" s="1"/>
  <c r="G3332" i="12" s="1"/>
  <c r="G3333" i="12" s="1"/>
  <c r="G3334" i="12" s="1"/>
  <c r="G3335" i="12" s="1"/>
  <c r="G3336" i="12" s="1"/>
  <c r="G3337" i="12" s="1"/>
  <c r="G3338" i="12" s="1"/>
  <c r="G3339" i="12" s="1"/>
  <c r="G3340" i="12" s="1"/>
  <c r="G3341" i="12" s="1"/>
  <c r="G3342" i="12" s="1"/>
  <c r="G3343" i="12" s="1"/>
  <c r="G3344" i="12" s="1"/>
  <c r="G3345" i="12" l="1"/>
  <c r="G3346" i="12" s="1"/>
  <c r="G3347" i="12" s="1"/>
  <c r="G3348" i="12" s="1"/>
  <c r="G3349" i="12" s="1"/>
  <c r="G3350" i="12" s="1"/>
  <c r="G3351" i="12" s="1"/>
  <c r="G3352" i="12" s="1"/>
  <c r="G3353" i="12" s="1"/>
  <c r="G3354" i="12" s="1"/>
  <c r="G3355" i="12" s="1"/>
  <c r="G3356" i="12" l="1"/>
  <c r="G3357" i="12" s="1"/>
  <c r="G3358" i="12" s="1"/>
  <c r="G3359" i="12" l="1"/>
  <c r="G3360" i="12" s="1"/>
  <c r="G3361" i="12" s="1"/>
  <c r="G3362" i="12" s="1"/>
  <c r="G3363" i="12" l="1"/>
  <c r="G3364" i="12" s="1"/>
  <c r="G3365" i="12" s="1"/>
  <c r="G3366" i="12" s="1"/>
  <c r="G3367" i="12" s="1"/>
  <c r="G3368" i="12" s="1"/>
  <c r="G3369" i="12" s="1"/>
  <c r="G3370" i="12" l="1"/>
  <c r="G3371" i="12" s="1"/>
  <c r="G3372" i="12" s="1"/>
  <c r="G3373" i="12" s="1"/>
  <c r="G3374" i="12" l="1"/>
  <c r="G3375" i="12" s="1"/>
  <c r="G3376" i="12" s="1"/>
  <c r="G3377" i="12" s="1"/>
  <c r="G3378" i="12" s="1"/>
  <c r="G3379" i="12" s="1"/>
  <c r="G3380" i="12" l="1"/>
  <c r="G3381" i="12" s="1"/>
  <c r="G3382" i="12" l="1"/>
  <c r="G3383" i="12" s="1"/>
  <c r="G3384" i="12" s="1"/>
  <c r="G3385" i="12" s="1"/>
  <c r="G3386" i="12" s="1"/>
  <c r="G3387" i="12" l="1"/>
  <c r="G3388" i="12" s="1"/>
  <c r="G3389" i="12" l="1"/>
  <c r="G3390" i="12" s="1"/>
  <c r="G3391" i="12" s="1"/>
  <c r="G3392" i="12" s="1"/>
  <c r="G3393" i="12" s="1"/>
  <c r="G3394" i="12" l="1"/>
  <c r="G3395" i="12" s="1"/>
  <c r="G3396" i="12" s="1"/>
  <c r="G3397" i="12" l="1"/>
  <c r="G3398" i="12" s="1"/>
  <c r="G3399" i="12" s="1"/>
  <c r="G3400" i="12" s="1"/>
  <c r="G3401" i="12" s="1"/>
  <c r="G3402" i="12" s="1"/>
  <c r="G3403" i="12" s="1"/>
  <c r="G3404" i="12" l="1"/>
  <c r="G3405" i="12" s="1"/>
  <c r="G3406" i="12" s="1"/>
  <c r="G3407" i="12" s="1"/>
  <c r="G3408" i="12" s="1"/>
  <c r="G3409" i="12" s="1"/>
  <c r="G3410" i="12" s="1"/>
  <c r="G3411" i="12" s="1"/>
  <c r="G3412" i="12" s="1"/>
  <c r="G3413" i="12" l="1"/>
  <c r="G3414" i="12" s="1"/>
  <c r="G3415" i="12" s="1"/>
  <c r="G3416" i="12" s="1"/>
  <c r="G3417" i="12" s="1"/>
  <c r="G3418" i="12" s="1"/>
  <c r="G3419" i="12" s="1"/>
  <c r="G3420" i="12" s="1"/>
  <c r="G3421" i="12" s="1"/>
  <c r="G3422" i="12" s="1"/>
  <c r="G3423" i="12" s="1"/>
  <c r="G3424" i="12" s="1"/>
  <c r="G3425" i="12" s="1"/>
  <c r="G3426" i="12" s="1"/>
  <c r="G3427" i="12" s="1"/>
  <c r="G3428" i="12" s="1"/>
  <c r="G3429" i="12" s="1"/>
  <c r="G3430" i="12" s="1"/>
  <c r="G3431" i="12" s="1"/>
  <c r="G3432" i="12" s="1"/>
  <c r="G3433" i="12" s="1"/>
  <c r="G3434" i="12" s="1"/>
  <c r="G3435" i="12" s="1"/>
  <c r="G3436" i="12" s="1"/>
  <c r="G3437" i="12" s="1"/>
  <c r="G3438" i="12" s="1"/>
  <c r="G3439" i="12" s="1"/>
  <c r="G3440" i="12" s="1"/>
  <c r="G3441" i="12" s="1"/>
  <c r="G3442" i="12" s="1"/>
  <c r="G3443" i="12" s="1"/>
  <c r="G3444" i="12" s="1"/>
  <c r="G3445" i="12" s="1"/>
  <c r="G3446" i="12" s="1"/>
  <c r="G3447" i="12" s="1"/>
  <c r="G3448" i="12" s="1"/>
  <c r="G3449" i="12" s="1"/>
  <c r="G3450" i="12" s="1"/>
  <c r="G3451" i="12" s="1"/>
  <c r="G3452" i="12" s="1"/>
  <c r="G3453" i="12" s="1"/>
  <c r="G3454" i="12" s="1"/>
  <c r="G3455" i="12" s="1"/>
  <c r="G3456" i="12" s="1"/>
  <c r="G3457" i="12" s="1"/>
  <c r="G3458" i="12" s="1"/>
  <c r="G3459" i="12" s="1"/>
  <c r="G3460" i="12" s="1"/>
  <c r="G3461" i="12" s="1"/>
  <c r="G3462" i="12" s="1"/>
  <c r="G3463" i="12" s="1"/>
  <c r="G3464" i="12" s="1"/>
  <c r="G3465" i="12" s="1"/>
  <c r="G3466" i="12" s="1"/>
  <c r="G3467" i="12" s="1"/>
  <c r="G3468" i="12" s="1"/>
  <c r="G3469" i="12" s="1"/>
  <c r="G3470" i="12" l="1"/>
  <c r="G3471" i="12" s="1"/>
  <c r="G3472" i="12" s="1"/>
  <c r="G3473" i="12" s="1"/>
  <c r="G3474" i="12" s="1"/>
  <c r="G3475" i="12" s="1"/>
  <c r="G3476" i="12" s="1"/>
  <c r="G3477" i="12" s="1"/>
  <c r="G3478" i="12" s="1"/>
  <c r="G3479" i="12" s="1"/>
  <c r="G3480" i="12" s="1"/>
  <c r="G3481" i="12" s="1"/>
  <c r="G3482" i="12" s="1"/>
  <c r="G3483" i="12" s="1"/>
  <c r="G3484" i="12" s="1"/>
  <c r="G3485" i="12" s="1"/>
  <c r="G3486" i="12" s="1"/>
  <c r="G3487" i="12" s="1"/>
  <c r="G3488" i="12" s="1"/>
  <c r="G3489" i="12" s="1"/>
  <c r="G3490" i="12" s="1"/>
  <c r="G3491" i="12" s="1"/>
  <c r="G3492" i="12" s="1"/>
  <c r="G3493" i="12" s="1"/>
  <c r="G3494" i="12" s="1"/>
  <c r="G3495" i="12" l="1"/>
  <c r="G3496" i="12" s="1"/>
  <c r="G3497" i="12" s="1"/>
  <c r="G3498" i="12" s="1"/>
  <c r="G3499" i="12" s="1"/>
  <c r="G3500" i="12" s="1"/>
  <c r="G3501" i="12" l="1"/>
  <c r="G3502" i="12" s="1"/>
  <c r="G3503" i="12" l="1"/>
  <c r="G3504" i="12" s="1"/>
  <c r="G3505" i="12" s="1"/>
  <c r="G3506" i="12" s="1"/>
  <c r="G3507" i="12" l="1"/>
  <c r="G3508" i="12" s="1"/>
  <c r="G3509" i="12" s="1"/>
  <c r="G3510" i="12" l="1"/>
  <c r="G3511" i="12" s="1"/>
  <c r="G3512" i="12" s="1"/>
  <c r="G3513" i="12" s="1"/>
  <c r="G3514" i="12" s="1"/>
  <c r="G3515" i="12" s="1"/>
  <c r="G3516" i="12" l="1"/>
  <c r="G3517" i="12" s="1"/>
  <c r="G3518" i="12" s="1"/>
  <c r="G3519" i="12" s="1"/>
  <c r="G3520" i="12" s="1"/>
  <c r="G3521" i="12" l="1"/>
  <c r="G3522" i="12" s="1"/>
  <c r="G3523" i="12" l="1"/>
  <c r="G3524" i="12" s="1"/>
  <c r="G3525" i="12" s="1"/>
  <c r="G3526" i="12" s="1"/>
  <c r="G3527" i="12" s="1"/>
  <c r="G3528" i="12" l="1"/>
  <c r="G3529" i="12" s="1"/>
  <c r="G3530" i="12" s="1"/>
  <c r="G3531" i="12" l="1"/>
  <c r="G3532" i="12" s="1"/>
  <c r="G3533" i="12" s="1"/>
  <c r="G3534" i="12" s="1"/>
  <c r="G3535" i="12" l="1"/>
  <c r="G3536" i="12" s="1"/>
  <c r="G3537" i="12" s="1"/>
  <c r="G3538" i="12" s="1"/>
  <c r="G3539" i="12" s="1"/>
  <c r="G3540" i="12" s="1"/>
  <c r="G3541" i="12" s="1"/>
  <c r="G3542" i="12" s="1"/>
  <c r="G3543" i="12" s="1"/>
  <c r="G3544" i="12" s="1"/>
  <c r="G3545" i="12" l="1"/>
  <c r="G3546" i="12" s="1"/>
  <c r="G3547" i="12" s="1"/>
  <c r="G3548" i="12" s="1"/>
  <c r="G3549" i="12" s="1"/>
  <c r="G3550" i="12" s="1"/>
  <c r="G3551" i="12" l="1"/>
  <c r="G3552" i="12" s="1"/>
  <c r="G3553" i="12" s="1"/>
  <c r="G3554" i="12" s="1"/>
  <c r="G3555" i="12" s="1"/>
  <c r="G3556" i="12" s="1"/>
  <c r="G3557" i="12" s="1"/>
  <c r="G3558" i="12" s="1"/>
  <c r="G3559" i="12" s="1"/>
  <c r="G3560" i="12" s="1"/>
  <c r="G3561" i="12" s="1"/>
  <c r="G3562" i="12" s="1"/>
  <c r="G3563" i="12" s="1"/>
  <c r="G3564" i="12" s="1"/>
  <c r="G3565" i="12" s="1"/>
  <c r="G3566" i="12" s="1"/>
  <c r="G3567" i="12" s="1"/>
  <c r="G3568" i="12" s="1"/>
  <c r="G3569" i="12" s="1"/>
  <c r="G3570" i="12" s="1"/>
  <c r="G3571" i="12" s="1"/>
  <c r="G3572" i="12" s="1"/>
  <c r="G3573" i="12" s="1"/>
  <c r="G3574" i="12" s="1"/>
  <c r="G3575" i="12" s="1"/>
  <c r="G3576" i="12" s="1"/>
  <c r="G3577" i="12" s="1"/>
  <c r="G3578" i="12" s="1"/>
  <c r="G3579" i="12" s="1"/>
  <c r="G3580" i="12" s="1"/>
  <c r="G3581" i="12" s="1"/>
  <c r="G3582" i="12" s="1"/>
  <c r="G3583" i="12" l="1"/>
  <c r="G3584" i="12" l="1"/>
  <c r="G3585" i="12" s="1"/>
  <c r="G3586" i="12" s="1"/>
  <c r="G3587" i="12" s="1"/>
  <c r="G3588" i="12" s="1"/>
  <c r="G3589" i="12" s="1"/>
  <c r="G3590" i="12" s="1"/>
  <c r="G3591" i="12" s="1"/>
  <c r="G3592" i="12" s="1"/>
  <c r="G3593" i="12" s="1"/>
  <c r="G3594" i="12" s="1"/>
  <c r="G3595" i="12" s="1"/>
  <c r="G3596" i="12" s="1"/>
  <c r="G3597" i="12" s="1"/>
  <c r="G3598" i="12" l="1"/>
  <c r="G3599" i="12" s="1"/>
  <c r="G3600" i="12" l="1"/>
  <c r="G3601" i="12" s="1"/>
  <c r="G3602" i="12" s="1"/>
  <c r="G3603" i="12" s="1"/>
  <c r="G3604" i="12" s="1"/>
  <c r="G3605" i="12" s="1"/>
  <c r="G3606" i="12" s="1"/>
  <c r="G3607" i="12" s="1"/>
  <c r="G3608" i="12" s="1"/>
  <c r="G3609" i="12" s="1"/>
  <c r="G3610" i="12" l="1"/>
  <c r="G3611" i="12" s="1"/>
  <c r="G3612" i="12" l="1"/>
  <c r="G3613" i="12" s="1"/>
  <c r="G3614" i="12" s="1"/>
  <c r="G3615" i="12" s="1"/>
  <c r="G3616" i="12" l="1"/>
  <c r="G3617" i="12" s="1"/>
  <c r="G3618" i="12" s="1"/>
  <c r="G3619" i="12" s="1"/>
  <c r="G3620" i="12" l="1"/>
  <c r="G3621" i="12" l="1"/>
  <c r="G3622" i="12" s="1"/>
  <c r="G3623" i="12" s="1"/>
  <c r="G3624" i="12" s="1"/>
  <c r="G3625" i="12" s="1"/>
  <c r="G3626" i="12" l="1"/>
  <c r="G3627" i="12" s="1"/>
  <c r="G3628" i="12" s="1"/>
  <c r="G3629" i="12" s="1"/>
  <c r="G3630" i="12" s="1"/>
  <c r="G3631" i="12" s="1"/>
  <c r="G3632" i="12" s="1"/>
  <c r="G3633" i="12" s="1"/>
  <c r="G3634" i="12" s="1"/>
  <c r="G3635" i="12" s="1"/>
  <c r="G3636" i="12" s="1"/>
  <c r="G3637" i="12" s="1"/>
  <c r="G3638" i="12" s="1"/>
  <c r="G3639" i="12" l="1"/>
  <c r="G3640" i="12" s="1"/>
  <c r="G3641" i="12" s="1"/>
  <c r="G3642" i="12" s="1"/>
  <c r="G3643" i="12" s="1"/>
  <c r="G3644" i="12" s="1"/>
  <c r="G3645" i="12" l="1"/>
  <c r="G3646" i="12" s="1"/>
  <c r="G3647" i="12" s="1"/>
  <c r="G3648" i="12" s="1"/>
  <c r="G3649" i="12" s="1"/>
  <c r="G3650" i="12" s="1"/>
  <c r="G3651" i="12" s="1"/>
  <c r="G3652" i="12" s="1"/>
  <c r="G3653" i="12" s="1"/>
  <c r="G3654" i="12" s="1"/>
  <c r="G3655" i="12" s="1"/>
  <c r="G3656" i="12" l="1"/>
  <c r="G3657" i="12" s="1"/>
  <c r="G3658" i="12" s="1"/>
  <c r="G3659" i="12" s="1"/>
  <c r="G3660" i="12" s="1"/>
  <c r="G3661" i="12" s="1"/>
  <c r="G3662" i="12" s="1"/>
  <c r="G3663" i="12" s="1"/>
  <c r="G3664" i="12" s="1"/>
  <c r="G3665" i="12" s="1"/>
  <c r="G3666" i="12" s="1"/>
  <c r="G3667" i="12" s="1"/>
  <c r="G3668" i="12" l="1"/>
  <c r="G3669" i="12" s="1"/>
  <c r="G3670" i="12" s="1"/>
  <c r="G3671" i="12" s="1"/>
  <c r="G3672" i="12" l="1"/>
  <c r="G3673" i="12" s="1"/>
  <c r="G3674" i="12" l="1"/>
  <c r="G3675" i="12" s="1"/>
  <c r="G3676" i="12" s="1"/>
  <c r="G3677" i="12" s="1"/>
  <c r="G3678" i="12" s="1"/>
  <c r="G3679" i="12" s="1"/>
  <c r="G3680" i="12" l="1"/>
  <c r="G3681" i="12" s="1"/>
  <c r="G3682" i="12" l="1"/>
  <c r="G3683" i="12" s="1"/>
  <c r="G3684" i="12" s="1"/>
  <c r="G3685" i="12" s="1"/>
  <c r="G3686" i="12" s="1"/>
  <c r="G3687" i="12" s="1"/>
  <c r="G3688" i="12" s="1"/>
  <c r="G3689" i="12" s="1"/>
  <c r="G3690" i="12" s="1"/>
  <c r="G3691" i="12" s="1"/>
  <c r="G3692" i="12" s="1"/>
  <c r="G3693" i="12" s="1"/>
  <c r="G3694" i="12" s="1"/>
  <c r="G3695" i="12" s="1"/>
  <c r="G3696" i="12" s="1"/>
  <c r="G3697" i="12" s="1"/>
  <c r="G3698" i="12" s="1"/>
  <c r="G3699" i="12" s="1"/>
  <c r="G3700" i="12" s="1"/>
  <c r="G3701" i="12" s="1"/>
  <c r="G3702" i="12" s="1"/>
  <c r="G3703" i="12" s="1"/>
  <c r="G3704" i="12" s="1"/>
  <c r="G3705" i="12" s="1"/>
  <c r="G3706" i="12" l="1"/>
  <c r="G3707" i="12" s="1"/>
  <c r="G3708" i="12" s="1"/>
  <c r="G3709" i="12" s="1"/>
  <c r="G3710" i="12" s="1"/>
  <c r="G3711" i="12" s="1"/>
  <c r="G3712" i="12" s="1"/>
  <c r="G3713" i="12" s="1"/>
  <c r="G3714" i="12" s="1"/>
  <c r="G3715" i="12" s="1"/>
  <c r="G3716" i="12" s="1"/>
  <c r="G3717" i="12" s="1"/>
  <c r="G3718" i="12" s="1"/>
  <c r="G3719" i="12" s="1"/>
  <c r="G3720" i="12" s="1"/>
  <c r="G3721" i="12" s="1"/>
  <c r="G3722" i="12" s="1"/>
  <c r="G3723" i="12" s="1"/>
  <c r="G3724" i="12" s="1"/>
  <c r="G3725" i="12" s="1"/>
  <c r="G3726" i="12" s="1"/>
  <c r="G3727" i="12" s="1"/>
  <c r="G3728" i="12" s="1"/>
  <c r="G3729" i="12" s="1"/>
  <c r="G3730" i="12" s="1"/>
  <c r="G3731" i="12" s="1"/>
  <c r="G3732" i="12" s="1"/>
  <c r="G3733" i="12" s="1"/>
  <c r="G3734" i="12" s="1"/>
  <c r="G3735" i="12" s="1"/>
  <c r="G3736" i="12" s="1"/>
  <c r="G3737" i="12" s="1"/>
  <c r="G3738" i="12" s="1"/>
  <c r="G3739" i="12" s="1"/>
  <c r="G3740" i="12" s="1"/>
  <c r="G3741" i="12" l="1"/>
  <c r="G3742" i="12" s="1"/>
  <c r="G3743" i="12" s="1"/>
  <c r="G3744" i="12" s="1"/>
  <c r="G3745" i="12" s="1"/>
  <c r="G3746" i="12" s="1"/>
  <c r="G3747" i="12" s="1"/>
  <c r="G3748" i="12" s="1"/>
  <c r="G3749" i="12" s="1"/>
  <c r="G3750" i="12" s="1"/>
  <c r="G3751" i="12" s="1"/>
  <c r="G3752" i="12" s="1"/>
  <c r="G3753" i="12" s="1"/>
  <c r="G3754" i="12" s="1"/>
  <c r="G3755" i="12" s="1"/>
  <c r="G3756" i="12" s="1"/>
  <c r="G3757" i="12" s="1"/>
  <c r="G3758" i="12" s="1"/>
  <c r="G3759" i="12" s="1"/>
  <c r="G3760" i="12" l="1"/>
  <c r="G3761" i="12" s="1"/>
  <c r="G3762" i="12" s="1"/>
  <c r="G3763" i="12" s="1"/>
  <c r="G3764" i="12" s="1"/>
  <c r="G3765" i="12" s="1"/>
  <c r="G3766" i="12" s="1"/>
  <c r="G3767" i="12" s="1"/>
  <c r="G3768" i="12" s="1"/>
  <c r="G3769" i="12" s="1"/>
  <c r="G3770" i="12" s="1"/>
  <c r="G3771" i="12" s="1"/>
  <c r="G3772" i="12" s="1"/>
  <c r="G3773" i="12" s="1"/>
  <c r="G3774" i="12" s="1"/>
  <c r="G3775" i="12" s="1"/>
  <c r="G3776" i="12" l="1"/>
  <c r="G3777" i="12" s="1"/>
  <c r="G3778" i="12" s="1"/>
  <c r="G3779" i="12" s="1"/>
  <c r="G3780" i="12" l="1"/>
  <c r="G3781" i="12" s="1"/>
  <c r="G3782" i="12" s="1"/>
  <c r="G3783" i="12" s="1"/>
  <c r="G3784" i="12" s="1"/>
  <c r="G3785" i="12" s="1"/>
  <c r="G3786" i="12" s="1"/>
  <c r="G3787" i="12" s="1"/>
  <c r="G3788" i="12" l="1"/>
  <c r="G3789" i="12" s="1"/>
  <c r="G3790" i="12" s="1"/>
  <c r="G3791" i="12" s="1"/>
  <c r="G3792" i="12" l="1"/>
  <c r="G3793" i="12" l="1"/>
  <c r="G3794" i="12" s="1"/>
  <c r="G3795" i="12" s="1"/>
  <c r="G3796" i="12" s="1"/>
  <c r="G3797" i="12" s="1"/>
  <c r="G3798" i="12" s="1"/>
  <c r="G3799" i="12" l="1"/>
  <c r="G3800" i="12" s="1"/>
  <c r="G3801" i="12" l="1"/>
  <c r="G3802" i="12" s="1"/>
  <c r="G3803" i="12" s="1"/>
  <c r="G3804" i="12" s="1"/>
  <c r="G3805" i="12" s="1"/>
  <c r="G3806" i="12" s="1"/>
  <c r="G3807" i="12" s="1"/>
  <c r="G3808" i="12" s="1"/>
  <c r="G3809" i="12" s="1"/>
  <c r="G3810" i="12" s="1"/>
  <c r="G3811" i="12" s="1"/>
  <c r="G3812" i="12" s="1"/>
  <c r="G3813" i="12" s="1"/>
  <c r="G3814" i="12" s="1"/>
  <c r="G3815" i="12" s="1"/>
  <c r="G3816" i="12" s="1"/>
  <c r="G3817" i="12" s="1"/>
  <c r="G3818" i="12" s="1"/>
  <c r="G3819" i="12" l="1"/>
  <c r="G3820" i="12" s="1"/>
  <c r="G3821" i="12" s="1"/>
  <c r="G3822" i="12" l="1"/>
  <c r="G3823" i="12" s="1"/>
  <c r="G3824" i="12" s="1"/>
  <c r="G3825" i="12" s="1"/>
  <c r="G3826" i="12" l="1"/>
  <c r="G3827" i="12" s="1"/>
  <c r="G3828" i="12" s="1"/>
  <c r="G3829" i="12" s="1"/>
  <c r="G3830" i="12" s="1"/>
  <c r="G3831" i="12" s="1"/>
  <c r="G3832" i="12" s="1"/>
  <c r="G3833" i="12" s="1"/>
  <c r="G3834" i="12" s="1"/>
  <c r="G3835" i="12" s="1"/>
  <c r="G3836" i="12" s="1"/>
  <c r="G3837" i="12" s="1"/>
  <c r="G3838" i="12" s="1"/>
  <c r="G3839" i="12" s="1"/>
  <c r="G3840" i="12" s="1"/>
  <c r="G3841" i="12" s="1"/>
  <c r="G3842" i="12" s="1"/>
  <c r="G3843" i="12" s="1"/>
  <c r="G3844" i="12" s="1"/>
  <c r="G3845" i="12" s="1"/>
  <c r="G3846" i="12" s="1"/>
  <c r="G3847" i="12" s="1"/>
  <c r="G3848" i="12" s="1"/>
  <c r="G3849" i="12" l="1"/>
  <c r="G3850" i="12" s="1"/>
  <c r="G3851" i="12" s="1"/>
  <c r="G3852" i="12" l="1"/>
  <c r="G3853" i="12" s="1"/>
  <c r="G3854" i="12" s="1"/>
  <c r="G3855" i="12" s="1"/>
  <c r="G3856" i="12" s="1"/>
  <c r="G3857" i="12" s="1"/>
  <c r="G3858" i="12" s="1"/>
  <c r="G3859" i="12" s="1"/>
  <c r="G3860" i="12" s="1"/>
  <c r="G3861" i="12" s="1"/>
  <c r="G3862" i="12" l="1"/>
  <c r="G3863" i="12" s="1"/>
  <c r="G3864" i="12" s="1"/>
  <c r="G3865" i="12" s="1"/>
  <c r="G3866" i="12" s="1"/>
  <c r="G3867" i="12" s="1"/>
  <c r="G3868" i="12" s="1"/>
  <c r="G3869" i="12" l="1"/>
  <c r="G3870" i="12" s="1"/>
  <c r="G3871" i="12" s="1"/>
  <c r="G3872" i="12" s="1"/>
  <c r="G3873" i="12" s="1"/>
  <c r="G3874" i="12" s="1"/>
  <c r="G3875" i="12" l="1"/>
  <c r="G3876" i="12" s="1"/>
  <c r="G3877" i="12" s="1"/>
  <c r="G3878" i="12" s="1"/>
  <c r="G3879" i="12" s="1"/>
  <c r="G3880" i="12" s="1"/>
  <c r="G3881" i="12" s="1"/>
  <c r="G3882" i="12" s="1"/>
  <c r="G3883" i="12" s="1"/>
  <c r="G3884" i="12" s="1"/>
  <c r="G3885" i="12" s="1"/>
  <c r="G3886" i="12" s="1"/>
  <c r="G3887" i="12" s="1"/>
  <c r="G3888" i="12" s="1"/>
  <c r="G3889" i="12" l="1"/>
  <c r="G3890" i="12" s="1"/>
  <c r="G3891" i="12" s="1"/>
  <c r="G3892" i="12" s="1"/>
  <c r="G3893" i="12" s="1"/>
  <c r="G3894" i="12" l="1"/>
  <c r="G3895" i="12" l="1"/>
  <c r="G3896" i="12" s="1"/>
  <c r="G3897" i="12" s="1"/>
  <c r="G3898" i="12" s="1"/>
  <c r="G3899" i="12" s="1"/>
  <c r="G3900" i="12" s="1"/>
  <c r="G3901" i="12" s="1"/>
  <c r="G3902" i="12" s="1"/>
  <c r="G3903" i="12" s="1"/>
  <c r="G3904" i="12" s="1"/>
  <c r="G3905" i="12" s="1"/>
  <c r="G3906" i="12" s="1"/>
  <c r="G3907" i="12" s="1"/>
  <c r="G3908" i="12" s="1"/>
  <c r="G3909" i="12" s="1"/>
  <c r="G3910" i="12" s="1"/>
  <c r="G3911" i="12" l="1"/>
  <c r="G3912" i="12" s="1"/>
  <c r="G3913" i="12" s="1"/>
  <c r="G3914" i="12" s="1"/>
  <c r="G3915" i="12" s="1"/>
  <c r="G3916" i="12" s="1"/>
  <c r="G3917" i="12" s="1"/>
  <c r="G3918" i="12" s="1"/>
  <c r="G3919" i="12" s="1"/>
  <c r="G3920" i="12" s="1"/>
  <c r="G3921" i="12" s="1"/>
  <c r="G3922" i="12" s="1"/>
  <c r="G3923" i="12" s="1"/>
  <c r="G3924" i="12" s="1"/>
  <c r="G3925" i="12" s="1"/>
  <c r="G3926" i="12" s="1"/>
  <c r="G3927" i="12" s="1"/>
  <c r="G3928" i="12" s="1"/>
  <c r="G3929" i="12" s="1"/>
  <c r="G3930" i="12" s="1"/>
  <c r="G3931" i="12" s="1"/>
  <c r="G3932" i="12" s="1"/>
  <c r="G3933" i="12" s="1"/>
  <c r="G3934" i="12" s="1"/>
  <c r="G3935" i="12" s="1"/>
  <c r="G3936" i="12" s="1"/>
  <c r="G3937" i="12" l="1"/>
  <c r="G3938" i="12" s="1"/>
  <c r="G3939" i="12" s="1"/>
  <c r="G3940" i="12" s="1"/>
  <c r="G3941" i="12" s="1"/>
  <c r="G3942" i="12" s="1"/>
  <c r="G3943" i="12" s="1"/>
  <c r="G3944" i="12" l="1"/>
  <c r="G3945" i="12" s="1"/>
  <c r="G3946" i="12" s="1"/>
  <c r="G3947" i="12" s="1"/>
  <c r="G3948" i="12" s="1"/>
  <c r="G3949" i="12" s="1"/>
  <c r="G3950" i="12" s="1"/>
  <c r="G3951" i="12" s="1"/>
  <c r="G3952" i="12" s="1"/>
  <c r="G3953" i="12" s="1"/>
  <c r="G3954" i="12" s="1"/>
  <c r="G3955" i="12" l="1"/>
  <c r="G3956" i="12" s="1"/>
  <c r="G3957" i="12" s="1"/>
  <c r="G3958" i="12" s="1"/>
  <c r="G3959" i="12" l="1"/>
  <c r="G3960" i="12" s="1"/>
  <c r="G3961" i="12" s="1"/>
  <c r="G3962" i="12" s="1"/>
  <c r="G3963" i="12" s="1"/>
  <c r="G3964" i="12" s="1"/>
  <c r="G3965" i="12" s="1"/>
  <c r="G3966" i="12" s="1"/>
  <c r="G3967" i="12" s="1"/>
  <c r="G3968" i="12" s="1"/>
  <c r="G3969" i="12" s="1"/>
  <c r="G3970" i="12" s="1"/>
  <c r="G3971" i="12" l="1"/>
  <c r="G3972" i="12" s="1"/>
  <c r="G3973" i="12" s="1"/>
  <c r="G3974" i="12" s="1"/>
  <c r="G3975" i="12" s="1"/>
  <c r="G3976" i="12" s="1"/>
  <c r="G3977" i="12" s="1"/>
  <c r="G3978" i="12" l="1"/>
  <c r="G3979" i="12" s="1"/>
  <c r="G3980" i="12" s="1"/>
  <c r="G3981" i="12" s="1"/>
  <c r="G3982" i="12" s="1"/>
  <c r="G3983" i="12" s="1"/>
  <c r="G3984" i="12" s="1"/>
  <c r="G3985" i="12" s="1"/>
  <c r="G3986" i="12" s="1"/>
  <c r="G3987" i="12" s="1"/>
  <c r="G3988" i="12" s="1"/>
  <c r="G3989" i="12" s="1"/>
  <c r="G3990" i="12" s="1"/>
  <c r="G3991" i="12" s="1"/>
  <c r="G3992" i="12" s="1"/>
  <c r="G3993" i="12" s="1"/>
  <c r="G3994" i="12" s="1"/>
  <c r="G3995" i="12" s="1"/>
  <c r="G3996" i="12" s="1"/>
  <c r="G3997" i="12" s="1"/>
  <c r="G3998" i="12" s="1"/>
  <c r="G3999" i="12" s="1"/>
  <c r="G4000" i="12" s="1"/>
  <c r="G4001" i="12" s="1"/>
  <c r="G4002" i="12" s="1"/>
  <c r="G4003" i="12" s="1"/>
  <c r="G4004" i="12" s="1"/>
  <c r="G4005" i="12" s="1"/>
  <c r="G4006" i="12" s="1"/>
  <c r="G4007" i="12" s="1"/>
  <c r="G4009" i="12" l="1"/>
  <c r="G4010" i="12" s="1"/>
  <c r="G4011" i="12" s="1"/>
  <c r="G4012" i="12" s="1"/>
  <c r="G4013" i="12" s="1"/>
  <c r="G4014" i="12" s="1"/>
  <c r="G4015" i="12" s="1"/>
  <c r="G4016" i="12" s="1"/>
  <c r="G4017" i="12" s="1"/>
  <c r="G4018" i="12" s="1"/>
  <c r="G4019" i="12" s="1"/>
  <c r="G4020" i="12" s="1"/>
  <c r="G4021" i="12" s="1"/>
  <c r="G4022" i="12" s="1"/>
  <c r="G4023" i="12" s="1"/>
  <c r="G4024" i="12" s="1"/>
  <c r="G4025" i="12" s="1"/>
  <c r="G4026" i="12" s="1"/>
  <c r="G4027" i="12" s="1"/>
  <c r="G4028" i="12" s="1"/>
  <c r="G4029" i="12" s="1"/>
  <c r="G4030" i="12" s="1"/>
  <c r="G4031" i="12" s="1"/>
  <c r="G4032" i="12" s="1"/>
  <c r="G4033" i="12" s="1"/>
  <c r="G4034" i="12" s="1"/>
  <c r="G4035" i="12" l="1"/>
  <c r="G4036" i="12" s="1"/>
  <c r="G4037" i="12" s="1"/>
  <c r="G4038" i="12" l="1"/>
  <c r="G4039" i="12" s="1"/>
  <c r="G4040" i="12" s="1"/>
  <c r="G4041" i="12" s="1"/>
  <c r="G4042" i="12" s="1"/>
  <c r="G4043" i="12" s="1"/>
  <c r="G4044" i="12" s="1"/>
  <c r="G4045" i="12" s="1"/>
  <c r="G4046" i="12" s="1"/>
  <c r="G4047" i="12" s="1"/>
  <c r="G4048" i="12" s="1"/>
  <c r="G4049" i="12" s="1"/>
  <c r="G4050" i="12" s="1"/>
  <c r="G4051" i="12" s="1"/>
  <c r="G4052" i="12" s="1"/>
  <c r="G4053" i="12" s="1"/>
  <c r="G4054" i="12" s="1"/>
  <c r="G4055" i="12" s="1"/>
  <c r="G4056" i="12" l="1"/>
  <c r="G4057" i="12" s="1"/>
  <c r="G4058" i="12" s="1"/>
  <c r="G4059" i="12" s="1"/>
  <c r="G4060" i="12" s="1"/>
  <c r="G4061" i="12" s="1"/>
  <c r="G4062" i="12" s="1"/>
  <c r="G4063" i="12" s="1"/>
  <c r="G4064" i="12" s="1"/>
  <c r="G4065" i="12" s="1"/>
  <c r="G4066" i="12" l="1"/>
  <c r="G4067" i="12" s="1"/>
  <c r="G4068" i="12" s="1"/>
  <c r="G4069" i="12" s="1"/>
  <c r="G4070" i="12" s="1"/>
  <c r="G4071" i="12" s="1"/>
  <c r="G4072" i="12" s="1"/>
  <c r="G4073" i="12" s="1"/>
  <c r="G4074" i="12" s="1"/>
  <c r="G4075" i="12" s="1"/>
  <c r="G4076" i="12" s="1"/>
  <c r="G4077" i="12" l="1"/>
  <c r="G4078" i="12" s="1"/>
  <c r="G4079" i="12" l="1"/>
  <c r="G4080" i="12" l="1"/>
  <c r="G4081" i="12" s="1"/>
  <c r="G4082" i="12" s="1"/>
  <c r="G4083" i="12" s="1"/>
  <c r="G4084" i="12" s="1"/>
  <c r="G4085" i="12" s="1"/>
  <c r="G4086" i="12" s="1"/>
  <c r="G4087" i="12" s="1"/>
  <c r="G4088" i="12" l="1"/>
  <c r="G4089" i="12" s="1"/>
  <c r="G4090" i="12" s="1"/>
  <c r="G4091" i="12" s="1"/>
  <c r="G4092" i="12" s="1"/>
  <c r="G4093" i="12" s="1"/>
  <c r="G4094" i="12" s="1"/>
  <c r="G4095" i="12" s="1"/>
  <c r="G4096" i="12" s="1"/>
  <c r="G4097" i="12" s="1"/>
  <c r="G4098" i="12" l="1"/>
  <c r="G4099" i="12" s="1"/>
  <c r="G4100" i="12" s="1"/>
  <c r="G4101" i="12" s="1"/>
  <c r="G4102" i="12" s="1"/>
  <c r="G4103" i="12" s="1"/>
  <c r="G4104" i="12" s="1"/>
  <c r="G4105" i="12" s="1"/>
  <c r="G4106" i="12" s="1"/>
  <c r="G4107" i="12" s="1"/>
  <c r="G4108" i="12" s="1"/>
  <c r="G4109" i="12" l="1"/>
  <c r="G4110" i="12" s="1"/>
  <c r="G4111" i="12" s="1"/>
  <c r="G4112" i="12" s="1"/>
  <c r="G4113" i="12" s="1"/>
  <c r="G4114" i="12" s="1"/>
  <c r="G4115" i="12" s="1"/>
  <c r="G4116" i="12" l="1"/>
  <c r="G4117" i="12" s="1"/>
  <c r="G4118" i="12" l="1"/>
  <c r="G4119" i="12" s="1"/>
  <c r="G4120" i="12" s="1"/>
  <c r="G4121" i="12" s="1"/>
  <c r="G4122" i="12" s="1"/>
  <c r="G4123" i="12" s="1"/>
  <c r="G4124" i="12" s="1"/>
  <c r="G4125" i="12" l="1"/>
  <c r="G4126" i="12" s="1"/>
  <c r="G4127" i="12" s="1"/>
  <c r="G4128" i="12" l="1"/>
  <c r="G4129" i="12" s="1"/>
  <c r="G4130" i="12" s="1"/>
  <c r="G4131" i="12" s="1"/>
  <c r="G4132" i="12" s="1"/>
  <c r="G4133" i="12" s="1"/>
  <c r="G4134" i="12" s="1"/>
  <c r="G4135" i="12" s="1"/>
  <c r="G4136" i="12" s="1"/>
  <c r="G4137" i="12" s="1"/>
  <c r="G4138" i="12" s="1"/>
  <c r="G4139" i="12" s="1"/>
  <c r="G4140" i="12" s="1"/>
  <c r="G4141" i="12" s="1"/>
  <c r="G4142" i="12" l="1"/>
  <c r="G4143" i="12" s="1"/>
  <c r="G4144" i="12" s="1"/>
  <c r="G4145" i="12" s="1"/>
  <c r="G4146" i="12" s="1"/>
  <c r="G4147" i="12" s="1"/>
  <c r="G4148" i="12" l="1"/>
  <c r="G4149" i="12" s="1"/>
  <c r="G4150" i="12" s="1"/>
  <c r="G4151" i="12" s="1"/>
  <c r="G4152" i="12" s="1"/>
  <c r="G4153" i="12" s="1"/>
  <c r="G4154" i="12" s="1"/>
  <c r="G4155" i="12" s="1"/>
  <c r="G4156" i="12" l="1"/>
  <c r="G4157" i="12" s="1"/>
  <c r="G4158" i="12" l="1"/>
  <c r="G4159" i="12" s="1"/>
  <c r="G4160" i="12" s="1"/>
  <c r="G4161" i="12" s="1"/>
  <c r="G4162" i="12" s="1"/>
  <c r="G4163" i="12" s="1"/>
  <c r="G4164" i="12" s="1"/>
  <c r="G4165" i="12" s="1"/>
  <c r="G4166" i="12" s="1"/>
  <c r="G4167" i="12" s="1"/>
  <c r="G4168" i="12" s="1"/>
  <c r="G4169" i="12" s="1"/>
  <c r="G4170" i="12" s="1"/>
  <c r="G4171" i="12" s="1"/>
  <c r="G4172" i="12" s="1"/>
  <c r="G4173" i="12" s="1"/>
  <c r="G4174" i="12" s="1"/>
  <c r="G4175" i="12" s="1"/>
  <c r="G4176" i="12" s="1"/>
  <c r="G4177" i="12" s="1"/>
  <c r="G4178" i="12" s="1"/>
  <c r="G4179" i="12" s="1"/>
  <c r="G4180" i="12" s="1"/>
  <c r="G4181" i="12" s="1"/>
  <c r="G4182" i="12" s="1"/>
  <c r="G4183" i="12" s="1"/>
  <c r="G4184" i="12" s="1"/>
  <c r="G4185" i="12" s="1"/>
  <c r="G4186" i="12" l="1"/>
  <c r="G4187" i="12" s="1"/>
  <c r="G4188" i="12" s="1"/>
  <c r="G4189" i="12" s="1"/>
  <c r="G4190" i="12" s="1"/>
  <c r="G4191" i="12" s="1"/>
  <c r="G4192" i="12" s="1"/>
  <c r="G4193" i="12" s="1"/>
  <c r="G4194" i="12" s="1"/>
  <c r="G4195" i="12" s="1"/>
  <c r="G4196" i="12" s="1"/>
  <c r="G4197" i="12" s="1"/>
  <c r="G4198" i="12" s="1"/>
  <c r="G4199" i="12" l="1"/>
  <c r="G4200" i="12" s="1"/>
  <c r="G4201" i="12" s="1"/>
  <c r="G4202" i="12" l="1"/>
  <c r="G4203" i="12" s="1"/>
  <c r="G4204" i="12" s="1"/>
  <c r="G4205" i="12" s="1"/>
  <c r="G4206" i="12" s="1"/>
  <c r="G4207" i="12" s="1"/>
  <c r="G4208" i="12" s="1"/>
  <c r="G4209" i="12" s="1"/>
  <c r="G4210" i="12" s="1"/>
  <c r="G4211" i="12" s="1"/>
  <c r="G4212" i="12" s="1"/>
  <c r="G4213" i="12" s="1"/>
  <c r="G4214" i="12" s="1"/>
  <c r="G4215" i="12" l="1"/>
  <c r="G4216" i="12" s="1"/>
  <c r="G4217" i="12" s="1"/>
  <c r="G4218" i="12" s="1"/>
  <c r="G4219" i="12" s="1"/>
  <c r="G4220" i="12" s="1"/>
  <c r="G4221" i="12" s="1"/>
  <c r="G4222" i="12" s="1"/>
  <c r="G4223" i="12" s="1"/>
  <c r="G4224" i="12" s="1"/>
  <c r="G4225" i="12" s="1"/>
  <c r="G4226" i="12" s="1"/>
  <c r="G4227" i="12" s="1"/>
  <c r="G4228" i="12" s="1"/>
  <c r="G4229" i="12" s="1"/>
  <c r="G4230" i="12" s="1"/>
  <c r="G4231" i="12" s="1"/>
  <c r="G4232" i="12" l="1"/>
  <c r="G4233" i="12" s="1"/>
  <c r="G4234" i="12" s="1"/>
  <c r="G4235" i="12" s="1"/>
  <c r="G4236" i="12" s="1"/>
  <c r="G4237" i="12" s="1"/>
  <c r="G4238" i="12" s="1"/>
  <c r="G4239" i="12" l="1"/>
  <c r="G4240" i="12" s="1"/>
  <c r="G4241" i="12" s="1"/>
  <c r="G4242" i="12" s="1"/>
  <c r="G4243" i="12" l="1"/>
  <c r="G4244" i="12" s="1"/>
  <c r="G4245" i="12" s="1"/>
  <c r="G4246" i="12" s="1"/>
  <c r="G4247" i="12" s="1"/>
  <c r="G4248" i="12" s="1"/>
  <c r="G4249" i="12" s="1"/>
  <c r="G4250" i="12" s="1"/>
  <c r="G4251" i="12" s="1"/>
  <c r="G4252" i="12" s="1"/>
  <c r="G4253" i="12" s="1"/>
  <c r="G4254" i="12" s="1"/>
  <c r="G4255" i="12" s="1"/>
  <c r="G4256" i="12" s="1"/>
  <c r="G4257" i="12" s="1"/>
  <c r="G4258" i="12" s="1"/>
  <c r="G4259" i="12" s="1"/>
  <c r="G4260" i="12" s="1"/>
  <c r="G4261" i="12" s="1"/>
  <c r="G4262" i="12" s="1"/>
  <c r="G4263" i="12" s="1"/>
  <c r="G4264" i="12" s="1"/>
  <c r="G4265" i="12" s="1"/>
  <c r="G4266" i="12" s="1"/>
  <c r="G4267" i="12" s="1"/>
  <c r="G4268" i="12" l="1"/>
  <c r="G4269" i="12" s="1"/>
  <c r="G4270" i="12" s="1"/>
  <c r="G4271" i="12" s="1"/>
  <c r="G4272" i="12" s="1"/>
  <c r="G4273" i="12" s="1"/>
  <c r="G4274" i="12" s="1"/>
  <c r="G4275" i="12" l="1"/>
  <c r="G4276" i="12" s="1"/>
  <c r="G4277" i="12" s="1"/>
  <c r="G4278" i="12" s="1"/>
  <c r="G4279" i="12" s="1"/>
  <c r="G4280" i="12" s="1"/>
  <c r="G4281" i="12" s="1"/>
  <c r="G4282" i="12" s="1"/>
  <c r="G4283" i="12" l="1"/>
  <c r="G4284" i="12" s="1"/>
  <c r="G4285" i="12" s="1"/>
  <c r="G4286" i="12" s="1"/>
  <c r="G4287" i="12" l="1"/>
  <c r="G4288" i="12" s="1"/>
  <c r="G4289" i="12" s="1"/>
  <c r="G4290" i="12" s="1"/>
  <c r="G4291" i="12" s="1"/>
  <c r="G4292" i="12" s="1"/>
  <c r="G4293" i="12" s="1"/>
  <c r="G4294" i="12" s="1"/>
  <c r="G4295" i="12" s="1"/>
  <c r="G4296" i="12" s="1"/>
  <c r="G4297" i="12" l="1"/>
  <c r="G4298" i="12" s="1"/>
  <c r="G4299" i="12" s="1"/>
  <c r="G4300" i="12" s="1"/>
  <c r="G4301" i="12" s="1"/>
  <c r="G4302" i="12" s="1"/>
  <c r="G4303" i="12" l="1"/>
  <c r="G4304" i="12" s="1"/>
  <c r="G4305" i="12" s="1"/>
  <c r="G4306" i="12" s="1"/>
  <c r="G4307" i="12" s="1"/>
  <c r="G4308" i="12" s="1"/>
  <c r="G4309" i="12" l="1"/>
  <c r="G4310" i="12" s="1"/>
  <c r="G4311" i="12" s="1"/>
  <c r="G4312" i="12" s="1"/>
  <c r="G4313" i="12" s="1"/>
  <c r="G4314" i="12" s="1"/>
  <c r="G4315" i="12" s="1"/>
  <c r="G4316" i="12" s="1"/>
  <c r="G4317" i="12" s="1"/>
  <c r="G4318" i="12" s="1"/>
  <c r="G4319" i="12" l="1"/>
  <c r="G4320" i="12" s="1"/>
  <c r="G4321" i="12" s="1"/>
  <c r="G4322" i="12" s="1"/>
  <c r="G4323" i="12" s="1"/>
  <c r="G4324" i="12" s="1"/>
  <c r="G4325" i="12" s="1"/>
  <c r="G4326" i="12" s="1"/>
  <c r="G4327" i="12" l="1"/>
  <c r="G4328" i="12" s="1"/>
  <c r="G4329" i="12" s="1"/>
  <c r="G4330" i="12" s="1"/>
  <c r="G4331" i="12" s="1"/>
  <c r="G4332" i="12" s="1"/>
  <c r="G4333" i="12" s="1"/>
  <c r="G4334" i="12" s="1"/>
  <c r="G4335" i="12" s="1"/>
  <c r="G4336" i="12" s="1"/>
  <c r="G4337" i="12" s="1"/>
  <c r="G4338" i="12" s="1"/>
  <c r="G4339" i="12" s="1"/>
  <c r="G4340" i="12" s="1"/>
  <c r="G4341" i="12" s="1"/>
  <c r="G4342" i="12" s="1"/>
  <c r="G4343" i="12" s="1"/>
  <c r="G4344" i="12" s="1"/>
  <c r="G4345" i="12" s="1"/>
  <c r="G4346" i="12" s="1"/>
  <c r="G4347" i="12" s="1"/>
  <c r="G4348" i="12" s="1"/>
  <c r="G4349" i="12" s="1"/>
  <c r="G4350" i="12" s="1"/>
  <c r="G4351" i="12" s="1"/>
  <c r="G4352" i="12" s="1"/>
  <c r="G4353" i="12" s="1"/>
  <c r="G4354" i="12" s="1"/>
  <c r="G4355" i="12" s="1"/>
  <c r="G4356" i="12" s="1"/>
  <c r="G4357" i="12" s="1"/>
  <c r="G4358" i="12" l="1"/>
  <c r="G4359" i="12" s="1"/>
  <c r="G4360" i="12" s="1"/>
  <c r="G4361" i="12" s="1"/>
  <c r="G4362" i="12" s="1"/>
  <c r="G4363" i="12" s="1"/>
  <c r="G4364" i="12" l="1"/>
  <c r="G4365" i="12" s="1"/>
  <c r="G4366" i="12" l="1"/>
  <c r="G4367" i="12" s="1"/>
  <c r="G4368" i="12" l="1"/>
  <c r="G4369" i="12" s="1"/>
  <c r="G4370" i="12" s="1"/>
  <c r="G4371" i="12" s="1"/>
  <c r="G4372" i="12" s="1"/>
  <c r="G4373" i="12" s="1"/>
  <c r="G4374" i="12" s="1"/>
  <c r="G4375" i="12" s="1"/>
  <c r="G4376" i="12" s="1"/>
  <c r="G4377" i="12" s="1"/>
  <c r="G4378" i="12" s="1"/>
  <c r="G4379" i="12" s="1"/>
  <c r="G4380" i="12" s="1"/>
  <c r="G4381" i="12" s="1"/>
  <c r="G4382" i="12" s="1"/>
  <c r="G4383" i="12" s="1"/>
  <c r="G4384" i="12" s="1"/>
  <c r="G4385" i="12" s="1"/>
  <c r="G4386" i="12" s="1"/>
  <c r="G4387" i="12" s="1"/>
  <c r="G4388" i="12" s="1"/>
  <c r="G4389" i="12" s="1"/>
  <c r="G4390" i="12" s="1"/>
  <c r="G4391" i="12" s="1"/>
  <c r="G4392" i="12" s="1"/>
  <c r="G4393" i="12" s="1"/>
  <c r="G4394" i="12" s="1"/>
  <c r="G4395" i="12" s="1"/>
  <c r="G4396" i="12" s="1"/>
  <c r="G4397" i="12" s="1"/>
  <c r="G4398" i="12" s="1"/>
  <c r="G4399" i="12" s="1"/>
  <c r="G4400" i="12" s="1"/>
  <c r="G4401" i="12" s="1"/>
  <c r="G4402" i="12" s="1"/>
  <c r="G4403" i="12" s="1"/>
  <c r="G4404" i="12" s="1"/>
  <c r="G4405" i="12" s="1"/>
  <c r="G4406" i="12" s="1"/>
  <c r="G4407" i="12" s="1"/>
  <c r="G4408" i="12" s="1"/>
  <c r="G4409" i="12" s="1"/>
  <c r="G4410" i="12" s="1"/>
  <c r="G4411" i="12" s="1"/>
  <c r="G4412" i="12" l="1"/>
  <c r="G4413" i="12" s="1"/>
  <c r="G4414" i="12" s="1"/>
  <c r="G4415" i="12" s="1"/>
  <c r="G4416" i="12" s="1"/>
  <c r="G4417" i="12" s="1"/>
  <c r="G4418" i="12" s="1"/>
  <c r="G4419" i="12" s="1"/>
  <c r="G4420" i="12" s="1"/>
  <c r="G4421" i="12" s="1"/>
  <c r="G4422" i="12" s="1"/>
  <c r="G4423" i="12" s="1"/>
  <c r="G4424" i="12" s="1"/>
  <c r="G4425" i="12" s="1"/>
  <c r="G4426" i="12" s="1"/>
  <c r="G4427" i="12" s="1"/>
  <c r="G4428" i="12" l="1"/>
  <c r="G4429" i="12" s="1"/>
  <c r="G4430" i="12" s="1"/>
  <c r="G4431" i="12" s="1"/>
  <c r="G4432" i="12" s="1"/>
  <c r="G4433" i="12" s="1"/>
  <c r="G4434" i="12" s="1"/>
  <c r="G4435" i="12" s="1"/>
  <c r="G4436" i="12" s="1"/>
  <c r="G4437" i="12" l="1"/>
  <c r="G4438" i="12" s="1"/>
  <c r="G4439" i="12" s="1"/>
  <c r="G4440" i="12" s="1"/>
  <c r="G4441" i="12" s="1"/>
  <c r="G4442" i="12" s="1"/>
  <c r="G4443" i="12" l="1"/>
  <c r="G4444" i="12" s="1"/>
  <c r="G4445" i="12" s="1"/>
  <c r="G4446" i="12" s="1"/>
  <c r="G4447" i="12" s="1"/>
  <c r="G4448" i="12" s="1"/>
  <c r="G4449" i="12" s="1"/>
  <c r="G4450" i="12" l="1"/>
  <c r="G4451" i="12" s="1"/>
  <c r="G4452" i="12" s="1"/>
  <c r="G4453" i="12" s="1"/>
  <c r="G4454" i="12" s="1"/>
  <c r="G4455" i="12" s="1"/>
  <c r="G4456" i="12" s="1"/>
  <c r="G4457" i="12" s="1"/>
  <c r="G4458" i="12" s="1"/>
  <c r="G4459" i="12" s="1"/>
  <c r="G4460" i="12" s="1"/>
  <c r="G4461" i="12" s="1"/>
  <c r="G4462" i="12" l="1"/>
  <c r="G4463" i="12" s="1"/>
  <c r="G4464" i="12" s="1"/>
  <c r="G4465" i="12" s="1"/>
  <c r="G4466" i="12" s="1"/>
  <c r="G4467" i="12" s="1"/>
  <c r="G4468" i="12" s="1"/>
  <c r="G4469" i="12" s="1"/>
  <c r="G4470" i="12" s="1"/>
  <c r="G4471" i="12" s="1"/>
  <c r="G4472" i="12" s="1"/>
  <c r="G4473" i="12" s="1"/>
  <c r="G4474" i="12" s="1"/>
  <c r="G4475" i="12" s="1"/>
  <c r="G4476" i="12" s="1"/>
  <c r="G4477" i="12" s="1"/>
  <c r="G4478" i="12" s="1"/>
  <c r="G4479" i="12" s="1"/>
  <c r="G4480" i="12" s="1"/>
  <c r="G4481" i="12" s="1"/>
  <c r="G4482" i="12" s="1"/>
  <c r="G4483" i="12" s="1"/>
  <c r="G4484" i="12" s="1"/>
  <c r="G4485" i="12" s="1"/>
  <c r="G4486" i="12" s="1"/>
  <c r="G4487" i="12" s="1"/>
  <c r="G4488" i="12" s="1"/>
  <c r="G4489" i="12" s="1"/>
  <c r="G4490" i="12" s="1"/>
  <c r="G4491" i="12" s="1"/>
  <c r="G4492" i="12" s="1"/>
  <c r="G4493" i="12" s="1"/>
  <c r="G4494" i="12" s="1"/>
  <c r="G4495" i="12" s="1"/>
  <c r="G4496" i="12" s="1"/>
  <c r="G4497" i="12" l="1"/>
  <c r="G4498" i="12" s="1"/>
  <c r="G4499" i="12" s="1"/>
  <c r="G4500" i="12" s="1"/>
  <c r="G4501" i="12" s="1"/>
  <c r="G4502" i="12" s="1"/>
  <c r="G4503" i="12" s="1"/>
  <c r="G4504" i="12" s="1"/>
  <c r="G4505" i="12" s="1"/>
  <c r="G4506" i="12" s="1"/>
  <c r="G4507" i="12" l="1"/>
  <c r="G4508" i="12" s="1"/>
  <c r="G4509" i="12" s="1"/>
  <c r="G4510" i="12" s="1"/>
  <c r="G4511" i="12" s="1"/>
  <c r="G4512" i="12" s="1"/>
  <c r="G4513" i="12" s="1"/>
  <c r="G4514" i="12" s="1"/>
  <c r="G4515" i="12" l="1"/>
  <c r="G4516" i="12" s="1"/>
  <c r="G4517" i="12" l="1"/>
  <c r="G4518" i="12" s="1"/>
  <c r="G4519" i="12" s="1"/>
  <c r="G4520" i="12" s="1"/>
  <c r="G4521" i="12" s="1"/>
  <c r="G4522" i="12" s="1"/>
  <c r="G4523" i="12" s="1"/>
  <c r="G4524" i="12" s="1"/>
  <c r="G4525" i="12" s="1"/>
  <c r="G4526" i="12" s="1"/>
  <c r="G4527" i="12" s="1"/>
  <c r="G4528" i="12" s="1"/>
  <c r="G4529" i="12" s="1"/>
  <c r="G4530" i="12" s="1"/>
  <c r="G4531" i="12" s="1"/>
  <c r="G4532" i="12" s="1"/>
  <c r="G4533" i="12" s="1"/>
  <c r="G4534" i="12" s="1"/>
  <c r="G4535" i="12" s="1"/>
  <c r="G4536" i="12" s="1"/>
  <c r="G4537" i="12" s="1"/>
  <c r="G4538" i="12" s="1"/>
  <c r="G4539" i="12" s="1"/>
  <c r="G4540" i="12" s="1"/>
  <c r="G4541" i="12" s="1"/>
  <c r="G4542" i="12" s="1"/>
  <c r="G4543" i="12" s="1"/>
  <c r="G4544" i="12" s="1"/>
  <c r="G4545" i="12" s="1"/>
  <c r="G4546" i="12" s="1"/>
  <c r="G4547" i="12" s="1"/>
  <c r="G4548" i="12" s="1"/>
  <c r="G4549" i="12" s="1"/>
  <c r="G4550" i="12" s="1"/>
  <c r="G4551" i="12" s="1"/>
  <c r="G4552" i="12" s="1"/>
  <c r="G4553" i="12" s="1"/>
  <c r="G4554" i="12" s="1"/>
  <c r="G4555" i="12" s="1"/>
  <c r="G4556" i="12" s="1"/>
  <c r="G4557" i="12" s="1"/>
  <c r="G4558" i="12" s="1"/>
  <c r="G4559" i="12" s="1"/>
  <c r="G4560" i="12" s="1"/>
  <c r="G4561" i="12" s="1"/>
  <c r="G4562" i="12" s="1"/>
  <c r="G4563" i="12" s="1"/>
  <c r="G4564" i="12" s="1"/>
  <c r="G4565" i="12" s="1"/>
  <c r="G4566" i="12" s="1"/>
  <c r="G4567" i="12" s="1"/>
  <c r="G4568" i="12" s="1"/>
  <c r="G4569" i="12" s="1"/>
  <c r="G4570" i="12" s="1"/>
  <c r="G4571" i="12" s="1"/>
  <c r="G4572" i="12" s="1"/>
  <c r="G4573" i="12" s="1"/>
  <c r="G4574" i="12" s="1"/>
  <c r="G4575" i="12" s="1"/>
  <c r="G4576" i="12" s="1"/>
  <c r="G4577" i="12" s="1"/>
  <c r="G4578" i="12" s="1"/>
  <c r="G4579" i="12" s="1"/>
  <c r="G4580" i="12" s="1"/>
  <c r="G4581" i="12" s="1"/>
  <c r="G4582" i="12" s="1"/>
  <c r="G4583" i="12" s="1"/>
  <c r="G4584" i="12" s="1"/>
  <c r="G4585" i="12" l="1"/>
  <c r="G4586" i="12" s="1"/>
  <c r="G4587" i="12" s="1"/>
  <c r="G4588" i="12" s="1"/>
  <c r="G4589" i="12" s="1"/>
  <c r="G4590" i="12" s="1"/>
  <c r="G4591" i="12" s="1"/>
  <c r="G4592" i="12" s="1"/>
  <c r="G4593" i="12" s="1"/>
  <c r="G4594" i="12" s="1"/>
  <c r="G4595" i="12" s="1"/>
  <c r="G4596" i="12" l="1"/>
  <c r="G4597" i="12" s="1"/>
  <c r="G4598" i="12" s="1"/>
  <c r="G4599" i="12" s="1"/>
  <c r="G4600" i="12" l="1"/>
  <c r="G4601" i="12" s="1"/>
  <c r="G4602" i="12" s="1"/>
  <c r="G4603" i="12" s="1"/>
  <c r="G4604" i="12" s="1"/>
  <c r="G4605" i="12" s="1"/>
  <c r="G4606" i="12" s="1"/>
  <c r="G4607" i="12" s="1"/>
  <c r="G4608" i="12" s="1"/>
  <c r="G4609" i="12" s="1"/>
  <c r="G4610" i="12" s="1"/>
  <c r="G4611" i="12" s="1"/>
  <c r="G4612" i="12" s="1"/>
  <c r="G4613" i="12" s="1"/>
  <c r="G4614" i="12" s="1"/>
  <c r="G4615" i="12" s="1"/>
  <c r="G4616" i="12" s="1"/>
  <c r="G4617" i="12" s="1"/>
  <c r="G4618" i="12" s="1"/>
  <c r="G4619" i="12" s="1"/>
  <c r="G4620" i="12" s="1"/>
  <c r="G4621" i="12" s="1"/>
  <c r="G4622" i="12" s="1"/>
  <c r="G4623" i="12" s="1"/>
  <c r="G4624" i="12" l="1"/>
  <c r="G4625" i="12" s="1"/>
  <c r="G4626" i="12" l="1"/>
  <c r="G4627" i="12" s="1"/>
  <c r="G4628" i="12" s="1"/>
  <c r="G4629" i="12" s="1"/>
  <c r="G4630" i="12" s="1"/>
  <c r="G4631" i="12" s="1"/>
  <c r="G4632" i="12" s="1"/>
  <c r="G4633" i="12" s="1"/>
  <c r="G4634" i="12" s="1"/>
  <c r="G4635" i="12" s="1"/>
  <c r="G4636" i="12" s="1"/>
  <c r="G4637" i="12" s="1"/>
  <c r="G4638" i="12" s="1"/>
  <c r="G4639" i="12" s="1"/>
  <c r="G4640" i="12" s="1"/>
  <c r="G4641" i="12" s="1"/>
  <c r="G4642" i="12" s="1"/>
  <c r="G4643" i="12" s="1"/>
  <c r="G4644" i="12" s="1"/>
  <c r="G4645" i="12" s="1"/>
  <c r="G4646" i="12" s="1"/>
  <c r="G4647" i="12" s="1"/>
  <c r="G4648" i="12" s="1"/>
  <c r="G4649" i="12" s="1"/>
  <c r="G4650" i="12" s="1"/>
  <c r="G4651" i="12" s="1"/>
  <c r="G4652" i="12" s="1"/>
  <c r="G4653" i="12" s="1"/>
  <c r="G4654" i="12" s="1"/>
  <c r="G4655" i="12" s="1"/>
  <c r="G4656" i="12" s="1"/>
  <c r="G4657" i="12" s="1"/>
  <c r="G4658" i="12" s="1"/>
  <c r="G4659" i="12" s="1"/>
  <c r="G4660" i="12" s="1"/>
  <c r="G4661" i="12" s="1"/>
  <c r="G4662" i="12" s="1"/>
  <c r="G4663" i="12" s="1"/>
  <c r="G4664" i="12" s="1"/>
  <c r="G4665" i="12" s="1"/>
  <c r="G4666" i="12" s="1"/>
  <c r="G4667" i="12" s="1"/>
  <c r="G4668" i="12" s="1"/>
  <c r="G4669" i="12" l="1"/>
  <c r="G4670" i="12" s="1"/>
  <c r="G4671" i="12" s="1"/>
  <c r="G4672" i="12" s="1"/>
  <c r="G4673" i="12" s="1"/>
  <c r="G4674" i="12" s="1"/>
  <c r="G4675" i="12" s="1"/>
  <c r="G4676" i="12" s="1"/>
  <c r="G4677" i="12" s="1"/>
  <c r="G4678" i="12" s="1"/>
  <c r="G4679" i="12" s="1"/>
  <c r="G4680" i="12" s="1"/>
  <c r="G4681" i="12" s="1"/>
  <c r="G4682" i="12" s="1"/>
  <c r="G4683" i="12" s="1"/>
  <c r="G4684" i="12" s="1"/>
  <c r="G4685" i="12" s="1"/>
  <c r="G4686" i="12" s="1"/>
  <c r="G4687" i="12" s="1"/>
  <c r="G4688" i="12" s="1"/>
  <c r="G4689" i="12" s="1"/>
  <c r="G4690" i="12" s="1"/>
  <c r="G4691" i="12" s="1"/>
  <c r="G4692" i="12" s="1"/>
  <c r="G4693" i="12" s="1"/>
  <c r="G4694" i="12" s="1"/>
  <c r="G4695" i="12" s="1"/>
  <c r="G4696" i="12" s="1"/>
  <c r="G4697" i="12" s="1"/>
  <c r="G4698" i="12" s="1"/>
  <c r="G4699" i="12" s="1"/>
  <c r="G4700" i="12" s="1"/>
  <c r="G4701" i="12" l="1"/>
  <c r="G4702" i="12" s="1"/>
  <c r="G4703" i="12" s="1"/>
  <c r="G4704" i="12" s="1"/>
  <c r="G4705" i="12" s="1"/>
  <c r="G4706" i="12" s="1"/>
  <c r="G4707" i="12" s="1"/>
  <c r="G4708" i="12" s="1"/>
  <c r="G4709" i="12" s="1"/>
  <c r="G4710" i="12" s="1"/>
  <c r="G4711" i="12" s="1"/>
  <c r="G4712" i="12" s="1"/>
  <c r="G4713" i="12" s="1"/>
  <c r="G4714" i="12" s="1"/>
  <c r="G4715" i="12" s="1"/>
  <c r="G4716" i="12" s="1"/>
  <c r="G4717" i="12" l="1"/>
  <c r="G4718" i="12" l="1"/>
  <c r="G4719" i="12" s="1"/>
  <c r="G4720" i="12" s="1"/>
  <c r="G4721" i="12" s="1"/>
  <c r="G4722" i="12" s="1"/>
  <c r="G4723" i="12" s="1"/>
  <c r="G4724" i="12" s="1"/>
  <c r="G4725" i="12" s="1"/>
  <c r="G4726" i="12" s="1"/>
  <c r="G4727" i="12" l="1"/>
  <c r="G4728" i="12" s="1"/>
  <c r="G4729" i="12" s="1"/>
  <c r="G4730" i="12" s="1"/>
  <c r="G4731" i="12" s="1"/>
  <c r="G4732" i="12" s="1"/>
  <c r="G4733" i="12" s="1"/>
  <c r="G4734" i="12" s="1"/>
  <c r="G4735" i="12" s="1"/>
  <c r="G4736" i="12" s="1"/>
  <c r="G4737" i="12" s="1"/>
  <c r="G4738" i="12" s="1"/>
  <c r="G4739" i="12" s="1"/>
  <c r="G4740" i="12" s="1"/>
  <c r="G4741" i="12" s="1"/>
  <c r="G4742" i="12" s="1"/>
  <c r="G4743" i="12" s="1"/>
  <c r="G4744" i="12" s="1"/>
  <c r="G4745" i="12" s="1"/>
  <c r="G4746" i="12" l="1"/>
  <c r="G4747" i="12" s="1"/>
  <c r="G4748" i="12" s="1"/>
  <c r="G4749" i="12" s="1"/>
  <c r="G4750" i="12" s="1"/>
  <c r="G4751" i="12" s="1"/>
  <c r="G4752" i="12" s="1"/>
  <c r="G4753" i="12" s="1"/>
  <c r="G4754" i="12" s="1"/>
  <c r="G4755" i="12" s="1"/>
  <c r="G4756" i="12" s="1"/>
  <c r="G4757" i="12" s="1"/>
  <c r="G4758" i="12" s="1"/>
  <c r="G4759" i="12" s="1"/>
  <c r="G4760" i="12" s="1"/>
  <c r="G4761" i="12" s="1"/>
  <c r="G4762" i="12" s="1"/>
  <c r="G4763" i="12" s="1"/>
  <c r="G4764" i="12" s="1"/>
  <c r="G4765" i="12" s="1"/>
  <c r="G4766" i="12" s="1"/>
  <c r="G4767" i="12" l="1"/>
  <c r="G4768" i="12" s="1"/>
  <c r="G4769" i="12" s="1"/>
  <c r="G4770" i="12" s="1"/>
  <c r="G4771" i="12" s="1"/>
  <c r="G4772" i="12" s="1"/>
  <c r="G4773" i="12" s="1"/>
  <c r="G4774" i="12" s="1"/>
  <c r="G4775" i="12" s="1"/>
  <c r="G4776" i="12" s="1"/>
  <c r="G4777" i="12" s="1"/>
  <c r="G4778" i="12" s="1"/>
  <c r="G4779" i="12" s="1"/>
  <c r="G4780" i="12" s="1"/>
  <c r="G4781" i="12" s="1"/>
  <c r="G4782" i="12" s="1"/>
  <c r="G4783" i="12" s="1"/>
  <c r="G4784" i="12" s="1"/>
  <c r="G4785" i="12" s="1"/>
  <c r="G4786" i="12" s="1"/>
  <c r="G4787" i="12" s="1"/>
  <c r="G4788" i="12" s="1"/>
  <c r="G4789" i="12" s="1"/>
  <c r="G4790" i="12" s="1"/>
  <c r="G4791" i="12" s="1"/>
  <c r="G4792" i="12" s="1"/>
  <c r="G4793" i="12" s="1"/>
  <c r="G4794" i="12" s="1"/>
  <c r="G4795" i="12" s="1"/>
  <c r="G4796" i="12" s="1"/>
  <c r="G4797" i="12" s="1"/>
  <c r="G4798" i="12" l="1"/>
  <c r="G4799" i="12" s="1"/>
  <c r="G4800" i="12" s="1"/>
  <c r="G4801" i="12" s="1"/>
  <c r="G4802" i="12" s="1"/>
  <c r="G4803" i="12" s="1"/>
  <c r="G4804" i="12" s="1"/>
  <c r="G4805" i="12" s="1"/>
  <c r="G4806" i="12" s="1"/>
  <c r="G4807" i="12" s="1"/>
  <c r="G4808" i="12" s="1"/>
  <c r="G4809" i="12" s="1"/>
  <c r="G4810" i="12" s="1"/>
  <c r="G4811" i="12" s="1"/>
  <c r="G4812" i="12" s="1"/>
  <c r="G4813" i="12" s="1"/>
  <c r="G4814" i="12" s="1"/>
  <c r="G4815" i="12" s="1"/>
  <c r="G4816" i="12" s="1"/>
  <c r="G4817" i="12" s="1"/>
  <c r="G4818" i="12" s="1"/>
  <c r="G4819" i="12" s="1"/>
  <c r="G4820" i="12" s="1"/>
  <c r="G4821" i="12" s="1"/>
  <c r="G4822" i="12" s="1"/>
  <c r="G4823" i="12" s="1"/>
  <c r="G4824" i="12" s="1"/>
  <c r="G4825" i="12" s="1"/>
  <c r="G4826" i="12" s="1"/>
  <c r="G4827" i="12" s="1"/>
  <c r="G4828" i="12" s="1"/>
  <c r="G4829" i="12" s="1"/>
  <c r="G4830" i="12" s="1"/>
  <c r="G4831" i="12" s="1"/>
  <c r="G4832" i="12" s="1"/>
  <c r="G4833" i="12" s="1"/>
  <c r="G4834" i="12" s="1"/>
  <c r="G4835" i="12" s="1"/>
  <c r="G4836" i="12" s="1"/>
  <c r="G4837" i="12" s="1"/>
  <c r="G4838" i="12" s="1"/>
  <c r="G4839" i="12" s="1"/>
  <c r="G4840" i="12" s="1"/>
  <c r="G4841" i="12" s="1"/>
  <c r="G4842" i="12" s="1"/>
  <c r="G4843" i="12" s="1"/>
  <c r="G4844" i="12" s="1"/>
  <c r="G4845" i="12" s="1"/>
  <c r="G4846" i="12" s="1"/>
  <c r="G4847" i="12" s="1"/>
  <c r="G4848" i="12" s="1"/>
  <c r="G4849" i="12" s="1"/>
  <c r="G4850" i="12" s="1"/>
  <c r="G4851" i="12" s="1"/>
  <c r="G4852" i="12" s="1"/>
  <c r="G4853" i="12" s="1"/>
  <c r="G4854" i="12" s="1"/>
  <c r="G4855" i="12" s="1"/>
  <c r="G4856" i="12" s="1"/>
  <c r="G4857" i="12" s="1"/>
  <c r="G4858" i="12" s="1"/>
  <c r="G4859" i="12" s="1"/>
  <c r="G4860" i="12" s="1"/>
  <c r="G4861" i="12" s="1"/>
  <c r="G4862" i="12" s="1"/>
  <c r="G4863" i="12" s="1"/>
  <c r="G4864" i="12" s="1"/>
  <c r="G4865" i="12" s="1"/>
  <c r="G4866" i="12" s="1"/>
  <c r="G4867" i="12" s="1"/>
  <c r="G4868" i="12" s="1"/>
  <c r="G4869" i="12" s="1"/>
  <c r="G4870" i="12" s="1"/>
  <c r="G4871" i="12" s="1"/>
  <c r="G4872" i="12" s="1"/>
  <c r="G4873" i="12" s="1"/>
  <c r="G4874" i="12" s="1"/>
  <c r="G4875" i="12" s="1"/>
  <c r="J3" i="57" l="1"/>
  <c r="G4876" i="12"/>
  <c r="G4877" i="12" s="1"/>
  <c r="G4878" i="12" s="1"/>
  <c r="G4879" i="12" s="1"/>
  <c r="G4880" i="12" s="1"/>
  <c r="G4881" i="12" s="1"/>
  <c r="G4882" i="12" s="1"/>
  <c r="G4883" i="12" s="1"/>
  <c r="G4884" i="12" s="1"/>
  <c r="G4885" i="12" s="1"/>
  <c r="G4886" i="12" s="1"/>
  <c r="G4887" i="12" s="1"/>
  <c r="G4888" i="12" s="1"/>
  <c r="G4889" i="12" s="1"/>
  <c r="G4890" i="12" s="1"/>
  <c r="G4891" i="12" s="1"/>
  <c r="G4892" i="12" s="1"/>
  <c r="G4893" i="12" s="1"/>
  <c r="G4894" i="12" s="1"/>
  <c r="G4895" i="12" s="1"/>
  <c r="G4896" i="12" s="1"/>
  <c r="G4897" i="12" s="1"/>
  <c r="G4898" i="12" s="1"/>
  <c r="G4899" i="12" s="1"/>
  <c r="G4900" i="12" s="1"/>
  <c r="G4901" i="12" l="1"/>
  <c r="G4902" i="12" s="1"/>
  <c r="G4903" i="12" s="1"/>
  <c r="G4904" i="12" s="1"/>
  <c r="G4905" i="12" s="1"/>
  <c r="G4906" i="12" s="1"/>
  <c r="G4907" i="12" s="1"/>
  <c r="G4908" i="12" s="1"/>
  <c r="G4909" i="12" s="1"/>
  <c r="G4910" i="12" s="1"/>
  <c r="G4911" i="12" s="1"/>
  <c r="G4912" i="12" s="1"/>
  <c r="G4913" i="12" s="1"/>
  <c r="G4914" i="12" s="1"/>
  <c r="G4915" i="12" s="1"/>
  <c r="G4916" i="12" s="1"/>
  <c r="G4917" i="12" s="1"/>
  <c r="G4918" i="12" s="1"/>
  <c r="G4919" i="12" s="1"/>
  <c r="G4920" i="12" s="1"/>
  <c r="G4921" i="12" s="1"/>
  <c r="G4922" i="12" s="1"/>
  <c r="G4923" i="12" s="1"/>
  <c r="G4924" i="12" s="1"/>
  <c r="G4925" i="12" s="1"/>
  <c r="G4926" i="12" s="1"/>
  <c r="G4927" i="12" s="1"/>
  <c r="G4928" i="12" s="1"/>
  <c r="G4929" i="12" s="1"/>
  <c r="G4930" i="12" s="1"/>
  <c r="G4931" i="12" l="1"/>
  <c r="G4932" i="12" s="1"/>
  <c r="G4933" i="12" s="1"/>
  <c r="G4934" i="12" s="1"/>
  <c r="G4935" i="12" s="1"/>
  <c r="G4936" i="12" s="1"/>
  <c r="G4937" i="12" s="1"/>
  <c r="G4938" i="12" s="1"/>
  <c r="G4939" i="12" s="1"/>
  <c r="G4940" i="12" s="1"/>
  <c r="G4941" i="12" s="1"/>
  <c r="G4942" i="12" s="1"/>
  <c r="G4943" i="12" s="1"/>
  <c r="G4944" i="12" s="1"/>
  <c r="G4945" i="12" s="1"/>
  <c r="G4946" i="12" s="1"/>
  <c r="G4947" i="12" s="1"/>
  <c r="G4948" i="12" s="1"/>
  <c r="G4949" i="12" s="1"/>
  <c r="G4950" i="12" s="1"/>
  <c r="G4951" i="12" s="1"/>
  <c r="G4952" i="12" l="1"/>
  <c r="G4953" i="12" s="1"/>
  <c r="G4954" i="12" s="1"/>
  <c r="G4955" i="12" s="1"/>
  <c r="G4956" i="12" s="1"/>
  <c r="G4957" i="12" s="1"/>
  <c r="G4958" i="12" s="1"/>
  <c r="G4959" i="12" s="1"/>
  <c r="G4960" i="12" s="1"/>
  <c r="G4961" i="12" s="1"/>
  <c r="G4962" i="12" s="1"/>
  <c r="G4963" i="12" s="1"/>
  <c r="G4964" i="12" s="1"/>
  <c r="G4965" i="12" s="1"/>
  <c r="G4966" i="12" s="1"/>
  <c r="G4967" i="12" s="1"/>
  <c r="G4968" i="12" s="1"/>
  <c r="G4969" i="12" s="1"/>
  <c r="G4970" i="12" s="1"/>
  <c r="G4971" i="12" s="1"/>
  <c r="G4972" i="12" s="1"/>
  <c r="G4973" i="12" s="1"/>
  <c r="G4974" i="12" s="1"/>
  <c r="G4975" i="12" s="1"/>
  <c r="G4976" i="12" s="1"/>
  <c r="G4977" i="12" s="1"/>
  <c r="G4978" i="12" s="1"/>
  <c r="G4979" i="12" s="1"/>
  <c r="G4980" i="12" s="1"/>
  <c r="G4981" i="12" s="1"/>
  <c r="G4982" i="12" s="1"/>
  <c r="G4983" i="12" s="1"/>
  <c r="G4984" i="12" s="1"/>
  <c r="G4985" i="12" s="1"/>
  <c r="G4986" i="12" s="1"/>
  <c r="G4987" i="12" s="1"/>
  <c r="G4988" i="12" s="1"/>
  <c r="G4989" i="12" s="1"/>
  <c r="G4990" i="12" s="1"/>
  <c r="G4991" i="12" s="1"/>
  <c r="G4992" i="12" s="1"/>
  <c r="G4993" i="12" s="1"/>
  <c r="G4994" i="12" s="1"/>
  <c r="G4995" i="12" s="1"/>
  <c r="G4996" i="12" s="1"/>
  <c r="G4997" i="12" s="1"/>
  <c r="G4998" i="12" s="1"/>
  <c r="G4999" i="12" s="1"/>
  <c r="G5000" i="12" s="1"/>
  <c r="G5001" i="12" s="1"/>
  <c r="G5002" i="12" l="1"/>
  <c r="G5003" i="12" s="1"/>
  <c r="G5004" i="12" s="1"/>
  <c r="G5005" i="12" s="1"/>
  <c r="G5006" i="12" s="1"/>
  <c r="G5007" i="12" s="1"/>
  <c r="G5008" i="12" s="1"/>
  <c r="G5009" i="12" s="1"/>
  <c r="G5010" i="12" s="1"/>
  <c r="G5011" i="12" s="1"/>
  <c r="G5012" i="12" s="1"/>
  <c r="G5013" i="12" s="1"/>
  <c r="G5014" i="12" l="1"/>
  <c r="G5015" i="12" s="1"/>
  <c r="G5016" i="12" s="1"/>
  <c r="G5017" i="12" s="1"/>
  <c r="G5018" i="12" s="1"/>
  <c r="G5019" i="12" s="1"/>
  <c r="G5020" i="12" s="1"/>
  <c r="G5021" i="12" s="1"/>
  <c r="G5022" i="12" l="1"/>
  <c r="G5023" i="12" s="1"/>
  <c r="G5024" i="12" s="1"/>
  <c r="G5025" i="12" s="1"/>
  <c r="G5026" i="12" s="1"/>
  <c r="G5027" i="12" s="1"/>
  <c r="G5028" i="12" s="1"/>
  <c r="G5029" i="12" s="1"/>
  <c r="G5030" i="12" l="1"/>
  <c r="G5031" i="12" s="1"/>
  <c r="G5032" i="12" s="1"/>
  <c r="G5033" i="12" s="1"/>
  <c r="G5034" i="12" s="1"/>
  <c r="G5035" i="12" s="1"/>
  <c r="G5036" i="12" s="1"/>
  <c r="G5037" i="12" s="1"/>
  <c r="G5038" i="12" s="1"/>
  <c r="G5039" i="12" s="1"/>
  <c r="G5040" i="12" s="1"/>
  <c r="G5041" i="12" s="1"/>
  <c r="G5042" i="12" s="1"/>
  <c r="G5043" i="12" s="1"/>
  <c r="G5044" i="12" s="1"/>
  <c r="G5045" i="12" s="1"/>
  <c r="G5046" i="12" s="1"/>
  <c r="G5047" i="12" l="1"/>
  <c r="G5048" i="12" s="1"/>
  <c r="G5049" i="12" s="1"/>
  <c r="G5050" i="12" s="1"/>
  <c r="G5051" i="12" s="1"/>
  <c r="G5052" i="12" s="1"/>
  <c r="G5053" i="12" s="1"/>
  <c r="G5054" i="12" s="1"/>
  <c r="G5055" i="12" s="1"/>
  <c r="G5056" i="12" s="1"/>
  <c r="G5057" i="12" s="1"/>
  <c r="G5058" i="12" s="1"/>
  <c r="G5059" i="12" s="1"/>
  <c r="G5060" i="12" s="1"/>
  <c r="G5061" i="12" s="1"/>
  <c r="G5062" i="12" s="1"/>
  <c r="G5063" i="12" s="1"/>
  <c r="G5064" i="12" s="1"/>
  <c r="G5065" i="12" s="1"/>
  <c r="G5066" i="12" s="1"/>
  <c r="G5067" i="12" s="1"/>
  <c r="G5068" i="12" s="1"/>
  <c r="G5069" i="12" s="1"/>
  <c r="G5070" i="12" s="1"/>
  <c r="G5071" i="12" s="1"/>
  <c r="G5072" i="12" s="1"/>
  <c r="G5073" i="12" s="1"/>
  <c r="G5074" i="12" s="1"/>
  <c r="G5075" i="12" s="1"/>
  <c r="G5076" i="12" s="1"/>
  <c r="G5077" i="12" l="1"/>
  <c r="G5078" i="12" s="1"/>
  <c r="G5079" i="12" s="1"/>
  <c r="G5080" i="12" s="1"/>
  <c r="G5081" i="12" s="1"/>
  <c r="G5082" i="12" s="1"/>
  <c r="G5083" i="12" s="1"/>
  <c r="G5084" i="12" s="1"/>
  <c r="G5085" i="12" s="1"/>
  <c r="G5086" i="12" s="1"/>
  <c r="G5087" i="12" s="1"/>
  <c r="G5088" i="12" s="1"/>
  <c r="G5089" i="12" s="1"/>
  <c r="G5090" i="12" s="1"/>
  <c r="G5091" i="12" s="1"/>
  <c r="G5092" i="12" s="1"/>
  <c r="G5093" i="12" s="1"/>
  <c r="G5094" i="12" s="1"/>
  <c r="G5095" i="12" s="1"/>
  <c r="G5096" i="12" s="1"/>
  <c r="G5097" i="12" s="1"/>
  <c r="G5098" i="12" s="1"/>
  <c r="G5099" i="12" s="1"/>
  <c r="G5100" i="12" s="1"/>
  <c r="G5101" i="12" s="1"/>
  <c r="G5102" i="12" s="1"/>
  <c r="G5103" i="12" s="1"/>
  <c r="G5104" i="12" s="1"/>
  <c r="G5105" i="12" s="1"/>
  <c r="G5106" i="12" s="1"/>
  <c r="G5107" i="12" s="1"/>
  <c r="G5108" i="12" s="1"/>
  <c r="G5109" i="12" s="1"/>
  <c r="G5110" i="12" s="1"/>
  <c r="G5111" i="12" s="1"/>
  <c r="G5112" i="12" s="1"/>
  <c r="G5113" i="12" s="1"/>
  <c r="G5114" i="12" s="1"/>
  <c r="G5115" i="12" s="1"/>
  <c r="G5116" i="12" s="1"/>
  <c r="G5117" i="12" s="1"/>
  <c r="G5118" i="12" s="1"/>
  <c r="G5119" i="12" s="1"/>
  <c r="G5120" i="12" s="1"/>
  <c r="G5121" i="12" s="1"/>
  <c r="G5122" i="12" s="1"/>
  <c r="G5123" i="12" s="1"/>
  <c r="G5124" i="12" s="1"/>
  <c r="G5125" i="12" s="1"/>
  <c r="G5126" i="12" s="1"/>
  <c r="G5127" i="12" s="1"/>
  <c r="G5128" i="12" s="1"/>
  <c r="G5129" i="12" s="1"/>
  <c r="G5130" i="12" s="1"/>
  <c r="G5131" i="12" s="1"/>
  <c r="G5132" i="12" s="1"/>
  <c r="G5133" i="12" s="1"/>
  <c r="G5134" i="12" s="1"/>
  <c r="G5135" i="12" s="1"/>
  <c r="G5136" i="12" s="1"/>
  <c r="G5137" i="12" s="1"/>
  <c r="G5138" i="12" s="1"/>
  <c r="G5139" i="12" l="1"/>
  <c r="G5140" i="12" s="1"/>
  <c r="G5141" i="12" s="1"/>
  <c r="G5142" i="12" s="1"/>
  <c r="G5143" i="12" s="1"/>
  <c r="G5144" i="12" s="1"/>
  <c r="G5145" i="12" s="1"/>
  <c r="G5146" i="12" s="1"/>
  <c r="G5147" i="12" s="1"/>
  <c r="G5148" i="12" s="1"/>
  <c r="G5149" i="12" s="1"/>
  <c r="G5150" i="12" s="1"/>
  <c r="G5151" i="12" s="1"/>
  <c r="G5152" i="12" s="1"/>
  <c r="G5153" i="12" s="1"/>
  <c r="G5154" i="12" s="1"/>
  <c r="G5155" i="12" s="1"/>
  <c r="G5156" i="12" s="1"/>
  <c r="G5157" i="12" s="1"/>
  <c r="G5158" i="12" s="1"/>
  <c r="G5159" i="12" s="1"/>
  <c r="G5160" i="12" s="1"/>
  <c r="G5161" i="12" s="1"/>
  <c r="G5162" i="12" s="1"/>
  <c r="G5163" i="12" s="1"/>
  <c r="G5164" i="12" s="1"/>
  <c r="G5165" i="12" s="1"/>
  <c r="G5166" i="12" s="1"/>
  <c r="G5167" i="12" s="1"/>
  <c r="G5168" i="12" s="1"/>
  <c r="G5169" i="12" s="1"/>
  <c r="G5170" i="12" s="1"/>
  <c r="G5171" i="12" s="1"/>
  <c r="G5172" i="12" s="1"/>
  <c r="G5173" i="12" s="1"/>
  <c r="G5174" i="12" s="1"/>
  <c r="G5175" i="12" s="1"/>
  <c r="G5176" i="12" s="1"/>
  <c r="G5177" i="12" s="1"/>
  <c r="G5178" i="12" s="1"/>
  <c r="G5179" i="12" s="1"/>
  <c r="G5180" i="12" s="1"/>
  <c r="G5181" i="12" s="1"/>
  <c r="G5182" i="12" s="1"/>
  <c r="G5183" i="12" s="1"/>
  <c r="G5184" i="12" s="1"/>
  <c r="G5185" i="12" s="1"/>
  <c r="G5186" i="12" s="1"/>
  <c r="G5187" i="12" s="1"/>
  <c r="G5188" i="12" s="1"/>
  <c r="G5189" i="12" s="1"/>
  <c r="G5190" i="12" s="1"/>
  <c r="G5191" i="12" s="1"/>
  <c r="G5192" i="12" s="1"/>
  <c r="G5193" i="12" s="1"/>
  <c r="G5194" i="12" s="1"/>
  <c r="G5195" i="12" s="1"/>
  <c r="G5196" i="12" s="1"/>
  <c r="G5197" i="12" s="1"/>
  <c r="G5198" i="12" s="1"/>
  <c r="G5199" i="12" s="1"/>
  <c r="G5200" i="12" s="1"/>
  <c r="G5201" i="12" s="1"/>
  <c r="G5202" i="12" s="1"/>
  <c r="G5203" i="12" s="1"/>
  <c r="G5204" i="12" s="1"/>
  <c r="G5205" i="12" s="1"/>
  <c r="G5206" i="12" s="1"/>
  <c r="G5207" i="12" s="1"/>
  <c r="G5208" i="12" s="1"/>
  <c r="G5209" i="12" s="1"/>
  <c r="G5210" i="12" s="1"/>
  <c r="G5211" i="12" s="1"/>
  <c r="G5212" i="12" s="1"/>
  <c r="G5213" i="12" s="1"/>
  <c r="G5214" i="12" s="1"/>
  <c r="G5215" i="12" s="1"/>
  <c r="G5216" i="12" s="1"/>
  <c r="G5217" i="12" s="1"/>
  <c r="G5218" i="12" s="1"/>
  <c r="G5219" i="12" s="1"/>
  <c r="G5220" i="12" s="1"/>
  <c r="G5221" i="12" s="1"/>
  <c r="G5222" i="12" s="1"/>
  <c r="G5223" i="12" s="1"/>
  <c r="G5224" i="12" s="1"/>
  <c r="G5225" i="12" s="1"/>
  <c r="G5226" i="12" s="1"/>
  <c r="G5227" i="12" s="1"/>
  <c r="G5228" i="12" s="1"/>
  <c r="G5229" i="12" s="1"/>
  <c r="G5230" i="12" s="1"/>
  <c r="G5231" i="12" s="1"/>
  <c r="G5232" i="12" s="1"/>
  <c r="G5233" i="12" s="1"/>
  <c r="G5234" i="12" s="1"/>
  <c r="G5235" i="12" s="1"/>
  <c r="G5236" i="12" s="1"/>
  <c r="G5237" i="12" s="1"/>
  <c r="G5238" i="12" l="1"/>
  <c r="G5239" i="12" s="1"/>
  <c r="G5240" i="12" s="1"/>
  <c r="G5241" i="12" s="1"/>
  <c r="G5242" i="12" s="1"/>
  <c r="G5243" i="12" s="1"/>
  <c r="G5244" i="12" s="1"/>
  <c r="G5245" i="12" s="1"/>
  <c r="G5246" i="12" s="1"/>
  <c r="G5247" i="12" s="1"/>
  <c r="G5248" i="12" s="1"/>
  <c r="G5249" i="12" s="1"/>
  <c r="G5250" i="12" s="1"/>
  <c r="G5251" i="12" s="1"/>
  <c r="G5252" i="12" s="1"/>
  <c r="G5253" i="12" s="1"/>
  <c r="G5254" i="12" s="1"/>
  <c r="G5255" i="12" s="1"/>
  <c r="G5256" i="12" s="1"/>
  <c r="G5257" i="12" s="1"/>
  <c r="G5258" i="12" s="1"/>
  <c r="G5259" i="12" s="1"/>
  <c r="G5260" i="12" s="1"/>
  <c r="G5261" i="12" s="1"/>
  <c r="G5262" i="12" s="1"/>
  <c r="G5263" i="12" s="1"/>
  <c r="G5264" i="12" s="1"/>
  <c r="G5265" i="12" s="1"/>
  <c r="G5266" i="12" s="1"/>
  <c r="G5267" i="12" s="1"/>
  <c r="G5268" i="12" s="1"/>
  <c r="G5269" i="12" s="1"/>
  <c r="G5270" i="12" s="1"/>
  <c r="G5271" i="12" s="1"/>
  <c r="G5272" i="12" s="1"/>
  <c r="G5273" i="12" s="1"/>
  <c r="G5274" i="12" s="1"/>
  <c r="G5275" i="12" s="1"/>
  <c r="G5276" i="12" s="1"/>
  <c r="G5277" i="12" s="1"/>
  <c r="G5278" i="12" s="1"/>
  <c r="G5279" i="12" s="1"/>
  <c r="G5280" i="12" s="1"/>
  <c r="G5281" i="12" s="1"/>
  <c r="G5282" i="12" s="1"/>
  <c r="G5283" i="12" s="1"/>
  <c r="G5284" i="12" s="1"/>
  <c r="G5285" i="12" s="1"/>
  <c r="G5286" i="12" s="1"/>
  <c r="G5287" i="12" s="1"/>
  <c r="G5288" i="12" s="1"/>
  <c r="G5289" i="12" s="1"/>
  <c r="G5290" i="12" s="1"/>
  <c r="G5291" i="12" s="1"/>
  <c r="G5292" i="12" s="1"/>
  <c r="G5293" i="12" s="1"/>
  <c r="G5294" i="12" s="1"/>
  <c r="G5295" i="12" s="1"/>
  <c r="G5296" i="12" s="1"/>
  <c r="G5297" i="12" s="1"/>
  <c r="G5298" i="12" s="1"/>
  <c r="G5299" i="12" s="1"/>
  <c r="G5300" i="12" s="1"/>
  <c r="G5301" i="12" s="1"/>
  <c r="G5302" i="12" s="1"/>
  <c r="G5303" i="12" s="1"/>
  <c r="G5304" i="12" s="1"/>
  <c r="G5305" i="12" s="1"/>
  <c r="G5306" i="12" s="1"/>
  <c r="G5307" i="12" s="1"/>
  <c r="G5308" i="12" s="1"/>
  <c r="G5309" i="12" s="1"/>
  <c r="G5310" i="12" s="1"/>
  <c r="G5311" i="12" s="1"/>
  <c r="G5312" i="12" s="1"/>
  <c r="G5313" i="12" s="1"/>
  <c r="G5314" i="12" s="1"/>
  <c r="G5315" i="12" s="1"/>
  <c r="G5316" i="12" s="1"/>
  <c r="G5317" i="12" s="1"/>
  <c r="G5318" i="12" s="1"/>
  <c r="G5319" i="12" s="1"/>
  <c r="G5320" i="12" s="1"/>
  <c r="G5321" i="12" s="1"/>
  <c r="G5322" i="12" s="1"/>
  <c r="G5323" i="12" s="1"/>
  <c r="G5324" i="12" s="1"/>
  <c r="G5325" i="12" s="1"/>
  <c r="G5326" i="12" s="1"/>
  <c r="G5327" i="12" s="1"/>
  <c r="G5328" i="12" s="1"/>
  <c r="G5329" i="12" s="1"/>
  <c r="G5330" i="12" s="1"/>
  <c r="G5331" i="12" s="1"/>
  <c r="G5332" i="12" s="1"/>
  <c r="G5333" i="12" s="1"/>
  <c r="G5334" i="12" s="1"/>
  <c r="G5335" i="12" s="1"/>
  <c r="G5336" i="12" s="1"/>
  <c r="G5337" i="12" s="1"/>
  <c r="G5338" i="12" s="1"/>
  <c r="G5339" i="12" s="1"/>
  <c r="G5340" i="12" s="1"/>
  <c r="G5341" i="12" s="1"/>
  <c r="G5342" i="12" s="1"/>
  <c r="G5343" i="12" s="1"/>
  <c r="G5344" i="12" s="1"/>
  <c r="G5345" i="12" s="1"/>
  <c r="G5346" i="12" s="1"/>
  <c r="G5347" i="12" s="1"/>
  <c r="G5348" i="12" s="1"/>
  <c r="G5349" i="12" s="1"/>
  <c r="G5350" i="12" s="1"/>
  <c r="G5351" i="12" s="1"/>
  <c r="G5352" i="12" s="1"/>
  <c r="G5353" i="12" s="1"/>
  <c r="G5354" i="12" s="1"/>
  <c r="G5355" i="12" s="1"/>
  <c r="G5356" i="12" s="1"/>
  <c r="G5357" i="12" s="1"/>
  <c r="G5358" i="12" s="1"/>
  <c r="G5359" i="12" s="1"/>
  <c r="G5360" i="12" s="1"/>
  <c r="G5361" i="12" s="1"/>
  <c r="G5362" i="12" s="1"/>
  <c r="G5363" i="12" s="1"/>
  <c r="G5364" i="12" s="1"/>
  <c r="G5365" i="12" s="1"/>
  <c r="G5366" i="12" s="1"/>
  <c r="G5367" i="12" s="1"/>
  <c r="G5368" i="12" s="1"/>
  <c r="G5369" i="12" s="1"/>
  <c r="G5370" i="12" s="1"/>
  <c r="G5371" i="12" s="1"/>
  <c r="G5372" i="12" s="1"/>
  <c r="G5373" i="12" s="1"/>
  <c r="G5374" i="12" s="1"/>
  <c r="G5375" i="12" s="1"/>
  <c r="G5376" i="12" s="1"/>
  <c r="G5377" i="12" l="1"/>
  <c r="G5378" i="12" s="1"/>
  <c r="G5379" i="12" s="1"/>
  <c r="G5380" i="12" s="1"/>
  <c r="G5381" i="12" s="1"/>
  <c r="G5382" i="12" s="1"/>
  <c r="G5383" i="12" s="1"/>
  <c r="G5384" i="12" s="1"/>
  <c r="G5385" i="12" s="1"/>
  <c r="G5386" i="12" s="1"/>
  <c r="G5387" i="12" s="1"/>
  <c r="G5388" i="12" s="1"/>
  <c r="G5389" i="12" s="1"/>
  <c r="G5390" i="12" s="1"/>
  <c r="G5391" i="12" s="1"/>
  <c r="G5392" i="12" s="1"/>
  <c r="G5393" i="12" s="1"/>
  <c r="G5394" i="12" s="1"/>
  <c r="G5395" i="12" s="1"/>
  <c r="G5396" i="12" s="1"/>
  <c r="G5397" i="12" s="1"/>
  <c r="G5398" i="12" s="1"/>
  <c r="G5399" i="12" s="1"/>
  <c r="G5400" i="12" s="1"/>
  <c r="G5401" i="12" s="1"/>
  <c r="G5402" i="12" s="1"/>
  <c r="G5403" i="12" s="1"/>
  <c r="G5404" i="12" s="1"/>
  <c r="G5405" i="12" s="1"/>
  <c r="G5406" i="12" s="1"/>
  <c r="G5407" i="12" s="1"/>
  <c r="G5408" i="12" s="1"/>
  <c r="G5409" i="12" s="1"/>
  <c r="G5410" i="12" s="1"/>
  <c r="G5411" i="12" s="1"/>
  <c r="G5412" i="12" s="1"/>
  <c r="G5413" i="12" s="1"/>
  <c r="G5414" i="12" s="1"/>
  <c r="G5415" i="12" s="1"/>
  <c r="G5416" i="12" s="1"/>
  <c r="G5417" i="12" s="1"/>
  <c r="G5418" i="12" s="1"/>
  <c r="G5419" i="12" s="1"/>
  <c r="G5420" i="12" s="1"/>
  <c r="G5421" i="12" s="1"/>
  <c r="G5422" i="12" s="1"/>
  <c r="G5423" i="12" s="1"/>
  <c r="G5424" i="12" s="1"/>
  <c r="G5425" i="12" s="1"/>
  <c r="G5426" i="12" s="1"/>
  <c r="G5427" i="12" s="1"/>
  <c r="G5428" i="12" s="1"/>
  <c r="G5429" i="12" s="1"/>
  <c r="G5430" i="12" s="1"/>
  <c r="G5431" i="12" s="1"/>
  <c r="G5432" i="12" s="1"/>
  <c r="G5433" i="12" s="1"/>
  <c r="G5434" i="12" s="1"/>
  <c r="G5435" i="12" s="1"/>
  <c r="G5436" i="12" s="1"/>
  <c r="G5437" i="12" s="1"/>
  <c r="G5438" i="12" s="1"/>
  <c r="G5439" i="12" s="1"/>
  <c r="G5440" i="12" s="1"/>
  <c r="G5441" i="12" s="1"/>
  <c r="G5442" i="12" s="1"/>
  <c r="G5443" i="12" s="1"/>
  <c r="G5444" i="12" s="1"/>
  <c r="G5445" i="12" s="1"/>
  <c r="G5446" i="12" s="1"/>
  <c r="G5447" i="12" s="1"/>
  <c r="G5448" i="12" s="1"/>
  <c r="G5449" i="12" s="1"/>
  <c r="G5450" i="12" s="1"/>
  <c r="G5451" i="12" s="1"/>
  <c r="G5452" i="12" l="1"/>
  <c r="G5453" i="12" s="1"/>
  <c r="G5454" i="12" s="1"/>
  <c r="G5455" i="12" s="1"/>
  <c r="G5456" i="12" s="1"/>
  <c r="G5457" i="12" s="1"/>
  <c r="G5458" i="12" s="1"/>
  <c r="G5459" i="12" s="1"/>
  <c r="G5460" i="12" s="1"/>
  <c r="G5461" i="12" s="1"/>
  <c r="G5462" i="12" s="1"/>
  <c r="G5463" i="12" s="1"/>
  <c r="G5464" i="12" s="1"/>
  <c r="G5465" i="12" l="1"/>
  <c r="G5466" i="12" s="1"/>
  <c r="G5467" i="12" s="1"/>
  <c r="G5468" i="12" s="1"/>
  <c r="G5469" i="12" s="1"/>
  <c r="G5470" i="12" s="1"/>
  <c r="G5471" i="12" s="1"/>
  <c r="G5472" i="12" s="1"/>
  <c r="G5473" i="12" s="1"/>
  <c r="G5474" i="12" s="1"/>
  <c r="G5475" i="12" s="1"/>
  <c r="G5476" i="12" s="1"/>
  <c r="G5477" i="12" s="1"/>
  <c r="G5478" i="12" s="1"/>
  <c r="G5479" i="12" s="1"/>
  <c r="G5480" i="12" s="1"/>
  <c r="G5481" i="12" s="1"/>
  <c r="G5482" i="12" s="1"/>
  <c r="G5483" i="12" s="1"/>
  <c r="G5484" i="12" s="1"/>
  <c r="G5485" i="12" s="1"/>
  <c r="G5486" i="12" s="1"/>
  <c r="G5487" i="12" s="1"/>
  <c r="G5488" i="12" s="1"/>
  <c r="G5489" i="12" s="1"/>
  <c r="G5490" i="12" s="1"/>
  <c r="G5491" i="12" s="1"/>
  <c r="G5492" i="12" s="1"/>
  <c r="G5493" i="12" s="1"/>
  <c r="G5494" i="12" s="1"/>
  <c r="G5495" i="12" s="1"/>
  <c r="G5496" i="12" s="1"/>
  <c r="G5497" i="12" s="1"/>
  <c r="G5498" i="12" s="1"/>
  <c r="G5499" i="12" s="1"/>
  <c r="G5500" i="12" s="1"/>
  <c r="G5501" i="12" s="1"/>
  <c r="G5502" i="12" s="1"/>
  <c r="G5503" i="12" s="1"/>
  <c r="G5504" i="12" s="1"/>
  <c r="G5505" i="12" s="1"/>
  <c r="G5506" i="12" s="1"/>
  <c r="G5507" i="12" s="1"/>
  <c r="G5508" i="12" s="1"/>
  <c r="G5509" i="12" s="1"/>
  <c r="G5510" i="12" s="1"/>
  <c r="G5511" i="12" s="1"/>
  <c r="G5512" i="12" s="1"/>
  <c r="G5513" i="12" s="1"/>
  <c r="G5514" i="12" s="1"/>
  <c r="G5515" i="12" l="1"/>
  <c r="G5516" i="12" s="1"/>
  <c r="G5517" i="12" s="1"/>
  <c r="G5518" i="12" s="1"/>
  <c r="G5519" i="12" s="1"/>
  <c r="G5520" i="12" s="1"/>
  <c r="G5521" i="12" s="1"/>
  <c r="G5522" i="12" s="1"/>
  <c r="G5523" i="12" s="1"/>
  <c r="G5524" i="12" s="1"/>
  <c r="G5525" i="12" s="1"/>
  <c r="G5526" i="12" s="1"/>
  <c r="G5527" i="12" s="1"/>
  <c r="G5528" i="12" s="1"/>
  <c r="G5529" i="12" s="1"/>
  <c r="G5530" i="12" s="1"/>
  <c r="G5531" i="12" s="1"/>
  <c r="G5532" i="12" s="1"/>
  <c r="G5533" i="12" s="1"/>
  <c r="G5534" i="12" s="1"/>
  <c r="G5535" i="12" s="1"/>
  <c r="G5536" i="12" s="1"/>
  <c r="G5537" i="12" s="1"/>
  <c r="G5538" i="12" s="1"/>
  <c r="G5539" i="12" s="1"/>
  <c r="G5540" i="12" s="1"/>
  <c r="G5541" i="12" s="1"/>
  <c r="G5542" i="12" s="1"/>
  <c r="G5543" i="12" s="1"/>
  <c r="G5544" i="12" s="1"/>
  <c r="G5545" i="12" s="1"/>
  <c r="G5546" i="12" s="1"/>
  <c r="G5547" i="12" s="1"/>
  <c r="G5548" i="12" s="1"/>
  <c r="G5549" i="12" s="1"/>
  <c r="G5550" i="12" s="1"/>
  <c r="G5551" i="12" s="1"/>
  <c r="G5552" i="12" s="1"/>
  <c r="G5553" i="12" s="1"/>
  <c r="G5554" i="12" s="1"/>
  <c r="G5555" i="12" s="1"/>
  <c r="G5556" i="12" s="1"/>
  <c r="G5557" i="12" s="1"/>
  <c r="G5558" i="12" s="1"/>
  <c r="G5559" i="12" s="1"/>
  <c r="G5560" i="12" s="1"/>
  <c r="G5561" i="12" s="1"/>
  <c r="G5562" i="12" s="1"/>
  <c r="G5563" i="12" s="1"/>
  <c r="G5564" i="12" s="1"/>
  <c r="G5565" i="12" s="1"/>
  <c r="G5566" i="12" s="1"/>
  <c r="G5567" i="12" s="1"/>
  <c r="G5568" i="12" s="1"/>
  <c r="G5569" i="12" s="1"/>
  <c r="G5570" i="12" s="1"/>
  <c r="G5571" i="12" s="1"/>
  <c r="G5572" i="12" s="1"/>
  <c r="G5573" i="12" s="1"/>
  <c r="G5574" i="12" s="1"/>
  <c r="G5575" i="12" s="1"/>
  <c r="G5576" i="12" s="1"/>
  <c r="G5577" i="12" s="1"/>
  <c r="G5578" i="12" s="1"/>
  <c r="G5579" i="12" s="1"/>
  <c r="G5580" i="12" s="1"/>
  <c r="G5581" i="12" s="1"/>
  <c r="G5582" i="12" s="1"/>
  <c r="G5583" i="12" s="1"/>
  <c r="G5584" i="12" s="1"/>
  <c r="G5585" i="12" s="1"/>
  <c r="G5586" i="12" s="1"/>
  <c r="G5587" i="12" s="1"/>
  <c r="G5588" i="12" s="1"/>
  <c r="G5589" i="12" s="1"/>
  <c r="G5590" i="12" s="1"/>
  <c r="G5591" i="12" s="1"/>
  <c r="G5592" i="12" s="1"/>
  <c r="G5593" i="12" s="1"/>
  <c r="G5594" i="12" s="1"/>
  <c r="G5595" i="12" s="1"/>
  <c r="G5596" i="12" s="1"/>
  <c r="G5597" i="12" s="1"/>
  <c r="G5598" i="12" s="1"/>
  <c r="G5599" i="12" s="1"/>
  <c r="G5600" i="12" s="1"/>
  <c r="G5601" i="12" s="1"/>
  <c r="G5602" i="12" s="1"/>
  <c r="G5603" i="12" s="1"/>
  <c r="G5604" i="12" s="1"/>
  <c r="G5605" i="12" s="1"/>
  <c r="G5606" i="12" s="1"/>
  <c r="G5607" i="12" s="1"/>
  <c r="G5608" i="12" s="1"/>
  <c r="G5609" i="12" s="1"/>
  <c r="G5610" i="12" s="1"/>
  <c r="G5611" i="12" s="1"/>
  <c r="G5612" i="12" s="1"/>
  <c r="G5613" i="12" s="1"/>
  <c r="G5614" i="12" s="1"/>
  <c r="G5615" i="12" s="1"/>
  <c r="G5616" i="12" s="1"/>
  <c r="G5617" i="12" s="1"/>
  <c r="G5618" i="12" s="1"/>
  <c r="G5619" i="12" s="1"/>
  <c r="G5620" i="12" s="1"/>
  <c r="G5621" i="12" s="1"/>
  <c r="G5622" i="12" s="1"/>
  <c r="G5623" i="12" s="1"/>
  <c r="G5624" i="12" s="1"/>
  <c r="G5625" i="12" s="1"/>
  <c r="G5626" i="12" s="1"/>
  <c r="G5627" i="12" s="1"/>
  <c r="G5628" i="12" s="1"/>
  <c r="G5629" i="12" s="1"/>
  <c r="G5630" i="12" s="1"/>
  <c r="G5631" i="12" s="1"/>
  <c r="G5632" i="12" s="1"/>
  <c r="G5633" i="12" s="1"/>
  <c r="G5634" i="12" s="1"/>
  <c r="G5635" i="12" s="1"/>
  <c r="G5636" i="12" s="1"/>
  <c r="G5637" i="12" s="1"/>
  <c r="G5638" i="12" s="1"/>
  <c r="G5639" i="12" s="1"/>
  <c r="G5640" i="12" s="1"/>
  <c r="G5641" i="12" s="1"/>
  <c r="G5642" i="12" s="1"/>
  <c r="G5643" i="12" s="1"/>
  <c r="G5644" i="12" s="1"/>
  <c r="G5645" i="12" s="1"/>
  <c r="G5646" i="12" s="1"/>
  <c r="G5647" i="12" s="1"/>
  <c r="G5648" i="12" s="1"/>
  <c r="G5649" i="12" s="1"/>
  <c r="G5650" i="12" s="1"/>
  <c r="G5651" i="12" s="1"/>
  <c r="G5652" i="12" s="1"/>
  <c r="G5653" i="12" s="1"/>
  <c r="G5654" i="12" s="1"/>
  <c r="G5655" i="12" s="1"/>
  <c r="G5656" i="12" s="1"/>
  <c r="G5657" i="12" s="1"/>
  <c r="G5658" i="12" s="1"/>
  <c r="G5659" i="12" s="1"/>
  <c r="G5660" i="12" s="1"/>
  <c r="G5661" i="12" s="1"/>
  <c r="G5662" i="12" s="1"/>
  <c r="G5663" i="12" s="1"/>
  <c r="G5664" i="12" s="1"/>
  <c r="G5665" i="12" s="1"/>
  <c r="G5666" i="12" s="1"/>
  <c r="G5667" i="12" s="1"/>
  <c r="G5668" i="12" s="1"/>
  <c r="G5669" i="12" s="1"/>
  <c r="G5670" i="12" s="1"/>
  <c r="G5671" i="12" s="1"/>
  <c r="G5672" i="12" s="1"/>
  <c r="G5673" i="12" s="1"/>
  <c r="G5674" i="12" s="1"/>
  <c r="G5675" i="12" s="1"/>
  <c r="G5676" i="12" s="1"/>
  <c r="G5677" i="12" s="1"/>
  <c r="G5678" i="12" s="1"/>
  <c r="G5679" i="12" s="1"/>
  <c r="G5680" i="12" s="1"/>
  <c r="G5681" i="12" s="1"/>
  <c r="G5682" i="12" s="1"/>
  <c r="G5683" i="12" s="1"/>
  <c r="G5684" i="12" s="1"/>
  <c r="G5685" i="12" s="1"/>
  <c r="G5686" i="12" s="1"/>
  <c r="G5687" i="12" s="1"/>
  <c r="G5688" i="12" s="1"/>
  <c r="G5689" i="12" s="1"/>
  <c r="G5690" i="12" s="1"/>
  <c r="G5691" i="12" s="1"/>
  <c r="G5692" i="12" s="1"/>
  <c r="G5693" i="12" s="1"/>
  <c r="G5694" i="12" s="1"/>
  <c r="G5695" i="12" s="1"/>
  <c r="G5696" i="12" s="1"/>
  <c r="G5697" i="12" s="1"/>
  <c r="G5698" i="12" s="1"/>
  <c r="G5699" i="12" s="1"/>
  <c r="G5700" i="12" s="1"/>
  <c r="G5701" i="12" s="1"/>
  <c r="G5702" i="12" l="1"/>
  <c r="G5703" i="12" s="1"/>
  <c r="G5704" i="12" s="1"/>
  <c r="G5705" i="12" s="1"/>
  <c r="XFD14" i="57"/>
  <c r="G5706" i="12" l="1"/>
  <c r="G5707" i="12" s="1"/>
  <c r="G5708" i="12" s="1"/>
  <c r="G5709" i="12" s="1"/>
  <c r="G5710" i="12" s="1"/>
  <c r="G5711" i="12" s="1"/>
  <c r="G5712" i="12" s="1"/>
  <c r="G5713" i="12" s="1"/>
  <c r="G5714" i="12" s="1"/>
  <c r="G5715" i="12" s="1"/>
  <c r="G5716" i="12" s="1"/>
  <c r="G5717" i="12" s="1"/>
  <c r="G5718" i="12" s="1"/>
  <c r="G5719" i="12" s="1"/>
  <c r="G5720" i="12" s="1"/>
  <c r="G5721" i="12" s="1"/>
  <c r="G5722" i="12" s="1"/>
  <c r="G5723" i="12" s="1"/>
  <c r="G5724" i="12" s="1"/>
  <c r="G5725" i="12" s="1"/>
  <c r="G5726" i="12" s="1"/>
  <c r="G5727" i="12" s="1"/>
  <c r="G5728" i="12" s="1"/>
  <c r="G5729" i="12" s="1"/>
  <c r="G5730" i="12" s="1"/>
  <c r="G5731" i="12" s="1"/>
  <c r="G5732" i="12" s="1"/>
  <c r="G5733" i="12" s="1"/>
  <c r="G5734" i="12" s="1"/>
  <c r="G5735" i="12" s="1"/>
  <c r="G5736" i="12" s="1"/>
  <c r="G5737" i="12" s="1"/>
  <c r="G5738" i="12" s="1"/>
  <c r="G5739" i="12" s="1"/>
  <c r="G5740" i="12" s="1"/>
  <c r="G5741" i="12" s="1"/>
  <c r="G5742" i="12" s="1"/>
  <c r="G5743" i="12" s="1"/>
  <c r="G5744" i="12" s="1"/>
  <c r="G5745" i="12" s="1"/>
  <c r="G5746" i="12" s="1"/>
  <c r="G5747" i="12" s="1"/>
  <c r="G5748" i="12" s="1"/>
  <c r="G5749" i="12" s="1"/>
  <c r="G5750" i="12" s="1"/>
  <c r="G5751" i="12" s="1"/>
  <c r="G5752" i="12" s="1"/>
  <c r="G5753" i="12" s="1"/>
  <c r="G5754" i="12" s="1"/>
  <c r="G5755" i="12" s="1"/>
  <c r="G5756" i="12" s="1"/>
  <c r="G5757" i="12" s="1"/>
  <c r="G5758" i="12" s="1"/>
  <c r="G5759" i="12" s="1"/>
  <c r="G5760" i="12" l="1"/>
  <c r="G5761" i="12" s="1"/>
  <c r="G5762" i="12" s="1"/>
  <c r="G5763" i="12" s="1"/>
  <c r="G5764" i="12" s="1"/>
  <c r="G5765" i="12" s="1"/>
  <c r="G5766" i="12" s="1"/>
  <c r="G5767" i="12" s="1"/>
  <c r="G5768" i="12" l="1"/>
  <c r="G5769" i="12" s="1"/>
  <c r="G5770" i="12" s="1"/>
  <c r="G5771" i="12" s="1"/>
  <c r="G5772" i="12" s="1"/>
  <c r="G5773" i="12" s="1"/>
  <c r="G5774" i="12" s="1"/>
  <c r="G5775" i="12" s="1"/>
  <c r="G5776" i="12" s="1"/>
  <c r="G5777" i="12" s="1"/>
  <c r="G5778" i="12" s="1"/>
  <c r="G5779" i="12" s="1"/>
  <c r="G5780" i="12" s="1"/>
  <c r="G5781" i="12" s="1"/>
  <c r="G5782" i="12" s="1"/>
  <c r="G5783" i="12" s="1"/>
  <c r="G5784" i="12" s="1"/>
  <c r="G5785" i="12" s="1"/>
  <c r="G5786" i="12" s="1"/>
  <c r="G5787" i="12" s="1"/>
  <c r="G5788" i="12" s="1"/>
  <c r="G5789" i="12" s="1"/>
  <c r="G5790" i="12" s="1"/>
  <c r="G5791" i="12" s="1"/>
  <c r="G5792" i="12" s="1"/>
  <c r="G5793" i="12" s="1"/>
  <c r="G5794" i="12" s="1"/>
  <c r="G5795" i="12" s="1"/>
  <c r="G5796" i="12" s="1"/>
  <c r="G5797" i="12" s="1"/>
  <c r="G5798" i="12" s="1"/>
  <c r="G5799" i="12" s="1"/>
  <c r="G5800" i="12" s="1"/>
  <c r="G5801" i="12" s="1"/>
  <c r="G5802" i="12" s="1"/>
  <c r="G5803" i="12" s="1"/>
  <c r="G5804" i="12" s="1"/>
  <c r="G5805" i="12" s="1"/>
  <c r="G5806" i="12" s="1"/>
  <c r="G5807" i="12" s="1"/>
  <c r="G5808" i="12" s="1"/>
  <c r="G5809" i="12" s="1"/>
  <c r="G5810" i="12" s="1"/>
  <c r="G5811" i="12" s="1"/>
  <c r="G5812" i="12" s="1"/>
  <c r="G5813" i="12" s="1"/>
  <c r="G5814" i="12" s="1"/>
  <c r="G5815" i="12" s="1"/>
  <c r="G5816" i="12" s="1"/>
  <c r="G5817" i="12" s="1"/>
  <c r="G5818" i="12" s="1"/>
  <c r="G5819" i="12" s="1"/>
  <c r="G5820" i="12" s="1"/>
  <c r="G5821" i="12" s="1"/>
  <c r="G5822" i="12" s="1"/>
  <c r="G5823" i="12" s="1"/>
  <c r="G5824" i="12" s="1"/>
  <c r="G5825" i="12" s="1"/>
  <c r="G5826" i="12" s="1"/>
  <c r="G5827" i="12" s="1"/>
  <c r="G5828" i="12" s="1"/>
  <c r="G5829" i="12" s="1"/>
  <c r="G5830" i="12" s="1"/>
  <c r="G5831" i="12" s="1"/>
  <c r="G5832" i="12" s="1"/>
  <c r="G5833" i="12" s="1"/>
  <c r="G5834" i="12" s="1"/>
  <c r="G5835" i="12" s="1"/>
  <c r="G5836" i="12" s="1"/>
  <c r="G5837" i="12" s="1"/>
  <c r="G5838" i="12" s="1"/>
  <c r="G5839" i="12" s="1"/>
  <c r="G5840" i="12" s="1"/>
  <c r="G5841" i="12" s="1"/>
  <c r="G5842" i="12" s="1"/>
  <c r="G5843" i="12" s="1"/>
  <c r="G5844" i="12" s="1"/>
  <c r="G5845" i="12" s="1"/>
  <c r="G5846" i="12" s="1"/>
  <c r="G5847" i="12" s="1"/>
  <c r="G5848" i="12" s="1"/>
  <c r="G5849" i="12" s="1"/>
  <c r="G5850" i="12" s="1"/>
  <c r="G5851" i="12" s="1"/>
  <c r="G5852" i="12" s="1"/>
  <c r="G5853" i="12" s="1"/>
  <c r="G5854" i="12" s="1"/>
  <c r="G5855" i="12" s="1"/>
  <c r="G5856" i="12" s="1"/>
  <c r="G5857" i="12" s="1"/>
  <c r="G5858" i="12" l="1"/>
  <c r="G5859" i="12" s="1"/>
  <c r="G5860" i="12" s="1"/>
  <c r="G5861" i="12" s="1"/>
  <c r="G5862" i="12" s="1"/>
  <c r="G5863" i="12" s="1"/>
  <c r="G5864" i="12" s="1"/>
  <c r="G5865" i="12" s="1"/>
  <c r="G5866" i="12" s="1"/>
  <c r="G5867" i="12" s="1"/>
  <c r="G5868" i="12" s="1"/>
  <c r="G5869" i="12" s="1"/>
  <c r="G5870" i="12" s="1"/>
  <c r="G5871" i="12" s="1"/>
  <c r="G5872" i="12" s="1"/>
  <c r="G5873" i="12" s="1"/>
  <c r="G5874" i="12" s="1"/>
  <c r="G5875" i="12" s="1"/>
  <c r="G5876" i="12" s="1"/>
  <c r="G5877" i="12" s="1"/>
  <c r="G5878" i="12" s="1"/>
  <c r="G5879" i="12" s="1"/>
  <c r="G5880" i="12" s="1"/>
  <c r="G5881" i="12" s="1"/>
  <c r="G5882" i="12" s="1"/>
  <c r="G5883" i="12" s="1"/>
  <c r="G5884" i="12" s="1"/>
  <c r="G5885" i="12" s="1"/>
  <c r="G5886" i="12" s="1"/>
  <c r="G5887" i="12" s="1"/>
  <c r="G5888" i="12" s="1"/>
  <c r="G5889" i="12" s="1"/>
  <c r="G5890" i="12" l="1"/>
  <c r="G5891" i="12" s="1"/>
  <c r="G5892" i="12" s="1"/>
  <c r="G5893" i="12" s="1"/>
  <c r="G5894" i="12" s="1"/>
  <c r="G5895" i="12" s="1"/>
  <c r="G5896" i="12" s="1"/>
  <c r="G5897" i="12" s="1"/>
  <c r="G5898" i="12" s="1"/>
  <c r="G5899" i="12" s="1"/>
  <c r="G5900" i="12" s="1"/>
  <c r="G5901" i="12" s="1"/>
  <c r="G5902" i="12" s="1"/>
  <c r="G5903" i="12" s="1"/>
  <c r="G5904" i="12" s="1"/>
  <c r="G5905" i="12" s="1"/>
  <c r="G5906" i="12" s="1"/>
  <c r="G5907" i="12" s="1"/>
  <c r="G5908" i="12" s="1"/>
  <c r="G5909" i="12" s="1"/>
  <c r="G5910" i="12" s="1"/>
  <c r="G5911" i="12" s="1"/>
  <c r="G5912" i="12" s="1"/>
  <c r="G5913" i="12" s="1"/>
  <c r="G5914" i="12" s="1"/>
  <c r="G5915" i="12" s="1"/>
  <c r="G5916" i="12" s="1"/>
  <c r="G5917" i="12" s="1"/>
  <c r="G5918" i="12" s="1"/>
  <c r="G5919" i="12" s="1"/>
  <c r="G5920" i="12" s="1"/>
  <c r="G5921" i="12" s="1"/>
  <c r="G5922" i="12" s="1"/>
  <c r="G5923" i="12" s="1"/>
  <c r="G5924" i="12" s="1"/>
  <c r="G5925" i="12" s="1"/>
  <c r="G5926" i="12" s="1"/>
  <c r="G5927" i="12" s="1"/>
  <c r="G5928" i="12" s="1"/>
  <c r="G5929" i="12" s="1"/>
  <c r="G5930" i="12" s="1"/>
  <c r="G5931" i="12" s="1"/>
  <c r="G5932" i="12" s="1"/>
  <c r="G5933" i="12" s="1"/>
  <c r="G5934" i="12" s="1"/>
  <c r="G5935" i="12" s="1"/>
  <c r="G5936" i="12" s="1"/>
  <c r="G5937" i="12" s="1"/>
  <c r="G5938" i="12" s="1"/>
  <c r="G5939" i="12" s="1"/>
  <c r="G5940" i="12" s="1"/>
  <c r="G5941" i="12" s="1"/>
  <c r="G5942" i="12" s="1"/>
  <c r="G5943" i="12" s="1"/>
  <c r="G5944" i="12" s="1"/>
  <c r="G5945" i="12" s="1"/>
  <c r="G5946" i="12" s="1"/>
  <c r="G5947" i="12" s="1"/>
  <c r="G5948" i="12" s="1"/>
  <c r="G5949" i="12" s="1"/>
  <c r="G5950" i="12" s="1"/>
  <c r="G5951" i="12" s="1"/>
  <c r="G5952" i="12" s="1"/>
  <c r="G5953" i="12" s="1"/>
  <c r="G5954" i="12" s="1"/>
  <c r="G5955" i="12" s="1"/>
  <c r="G5956" i="12" s="1"/>
  <c r="G5957" i="12" s="1"/>
  <c r="G5958" i="12" s="1"/>
  <c r="G5959" i="12" s="1"/>
  <c r="G5960" i="12" s="1"/>
  <c r="G5961" i="12" s="1"/>
  <c r="G5962" i="12" s="1"/>
  <c r="G5963" i="12" s="1"/>
  <c r="G5964" i="12" s="1"/>
  <c r="G5965" i="12" s="1"/>
  <c r="G5966" i="12" s="1"/>
  <c r="G5967" i="12" s="1"/>
  <c r="G5968" i="12" s="1"/>
  <c r="G5969" i="12" s="1"/>
  <c r="G5970" i="12" s="1"/>
  <c r="G5971" i="12" s="1"/>
  <c r="G5972" i="12" s="1"/>
  <c r="G5973" i="12" s="1"/>
  <c r="G5974" i="12" s="1"/>
  <c r="G5975" i="12" s="1"/>
  <c r="G5976" i="12" s="1"/>
  <c r="G5977" i="12" s="1"/>
  <c r="G5978" i="12" s="1"/>
  <c r="G5979" i="12" s="1"/>
  <c r="G5980" i="12" s="1"/>
  <c r="G5981" i="12" s="1"/>
  <c r="G5982" i="12" s="1"/>
  <c r="G5983" i="12" s="1"/>
  <c r="G5984" i="12" s="1"/>
  <c r="G5985" i="12" s="1"/>
  <c r="G5986" i="12" s="1"/>
  <c r="G5987" i="12" s="1"/>
  <c r="G5988" i="12" s="1"/>
  <c r="G5989" i="12" s="1"/>
  <c r="G5990" i="12" s="1"/>
  <c r="G5991" i="12" s="1"/>
  <c r="G5992" i="12" s="1"/>
  <c r="G5993" i="12" s="1"/>
  <c r="G5994" i="12" s="1"/>
  <c r="G5995" i="12" s="1"/>
  <c r="G5996" i="12" s="1"/>
  <c r="G5997" i="12" s="1"/>
  <c r="G5998" i="12" s="1"/>
  <c r="G5999" i="12" s="1"/>
  <c r="G6000" i="12" s="1"/>
  <c r="G6001" i="12" s="1"/>
  <c r="G6002" i="12" s="1"/>
  <c r="G6003" i="12" s="1"/>
  <c r="G6004" i="12" s="1"/>
  <c r="G6005" i="12" s="1"/>
  <c r="G6006" i="12" s="1"/>
  <c r="G6007" i="12" s="1"/>
  <c r="G6008" i="12" s="1"/>
  <c r="G6009" i="12" s="1"/>
  <c r="G6010" i="12" s="1"/>
  <c r="G6011" i="12" s="1"/>
  <c r="G6012" i="12" s="1"/>
  <c r="G6013" i="12" s="1"/>
  <c r="G6014" i="12" s="1"/>
  <c r="G6015" i="12" s="1"/>
  <c r="G6016" i="12" s="1"/>
  <c r="G6017" i="12" s="1"/>
  <c r="G6018" i="12" s="1"/>
  <c r="G6019" i="12" s="1"/>
  <c r="G6020" i="12" s="1"/>
  <c r="G6021" i="12" s="1"/>
  <c r="G6022" i="12" s="1"/>
  <c r="G6023" i="12" s="1"/>
  <c r="G6024" i="12" s="1"/>
  <c r="G6025" i="12" s="1"/>
  <c r="G6026" i="12" s="1"/>
  <c r="G6027" i="12" s="1"/>
  <c r="G6028" i="12" s="1"/>
  <c r="G6029" i="12" s="1"/>
  <c r="G6030" i="12" s="1"/>
  <c r="G6031" i="12" s="1"/>
  <c r="G6032" i="12" s="1"/>
  <c r="G6033" i="12" s="1"/>
  <c r="G6034" i="12" s="1"/>
  <c r="G6035" i="12" s="1"/>
  <c r="G6036" i="12" s="1"/>
  <c r="G6037" i="12" s="1"/>
  <c r="G6038" i="12" s="1"/>
  <c r="G6039" i="12" s="1"/>
  <c r="G6040" i="12" s="1"/>
  <c r="G6041" i="12" s="1"/>
  <c r="G6042" i="12" s="1"/>
  <c r="G6043" i="12" s="1"/>
  <c r="G6044" i="12" s="1"/>
  <c r="G6045" i="12" s="1"/>
  <c r="G6046" i="12" s="1"/>
  <c r="G6047" i="12" s="1"/>
  <c r="G6048" i="12" s="1"/>
  <c r="G6049" i="12" s="1"/>
  <c r="G6050" i="12" s="1"/>
  <c r="G6051" i="12" s="1"/>
  <c r="G6052" i="12" s="1"/>
  <c r="G6053" i="12" s="1"/>
  <c r="G6054" i="12" s="1"/>
  <c r="G6055" i="12" s="1"/>
  <c r="G6056" i="12" s="1"/>
  <c r="G6057" i="12" s="1"/>
  <c r="G6058" i="12" s="1"/>
  <c r="G6059" i="12" s="1"/>
  <c r="G6060" i="12" s="1"/>
  <c r="G6061" i="12" s="1"/>
  <c r="G6062" i="12" s="1"/>
  <c r="G6063" i="12" s="1"/>
  <c r="G6064" i="12" s="1"/>
  <c r="G6065" i="12" s="1"/>
  <c r="G6066" i="12" s="1"/>
  <c r="G6067" i="12" s="1"/>
  <c r="G6068" i="12" s="1"/>
  <c r="G6069" i="12" s="1"/>
  <c r="G6070" i="12" s="1"/>
  <c r="G6071" i="12" s="1"/>
  <c r="G6072" i="12" s="1"/>
  <c r="G6073" i="12" s="1"/>
  <c r="G6074" i="12" s="1"/>
  <c r="G6075" i="12" s="1"/>
  <c r="G6076" i="12" s="1"/>
  <c r="G6077" i="12" s="1"/>
  <c r="G6078" i="12" s="1"/>
  <c r="G6079" i="12" s="1"/>
  <c r="G6080" i="12" s="1"/>
  <c r="G6081" i="12" s="1"/>
  <c r="G6082" i="12" s="1"/>
  <c r="G6083" i="12" s="1"/>
  <c r="G6084" i="12" s="1"/>
  <c r="G6085" i="12" s="1"/>
  <c r="G6086" i="12" s="1"/>
  <c r="G6087" i="12" s="1"/>
  <c r="G6088" i="12" s="1"/>
  <c r="G6089" i="12" s="1"/>
  <c r="G6090" i="12" l="1"/>
  <c r="G6091" i="12" s="1"/>
  <c r="G6092" i="12" l="1"/>
  <c r="G6093" i="12" s="1"/>
  <c r="G6094" i="12" s="1"/>
  <c r="G6095" i="12" s="1"/>
  <c r="G6096" i="12" s="1"/>
  <c r="G6097" i="12" s="1"/>
  <c r="G6098" i="12" s="1"/>
  <c r="G6099" i="12" s="1"/>
  <c r="G6100" i="12" s="1"/>
  <c r="G6101" i="12" s="1"/>
  <c r="G6102" i="12" s="1"/>
  <c r="G6103" i="12" s="1"/>
  <c r="G6104" i="12" s="1"/>
  <c r="G6105" i="12" s="1"/>
  <c r="G6106" i="12" s="1"/>
  <c r="G6107" i="12" s="1"/>
  <c r="G6108" i="12" s="1"/>
  <c r="G6109" i="12" s="1"/>
  <c r="G6110" i="12" s="1"/>
  <c r="G6111" i="12" s="1"/>
  <c r="G6112" i="12" s="1"/>
  <c r="G6113" i="12" s="1"/>
  <c r="G6114" i="12" s="1"/>
  <c r="G6115" i="12" s="1"/>
  <c r="G6116" i="12" s="1"/>
  <c r="G6117" i="12" s="1"/>
  <c r="G6118" i="12" s="1"/>
  <c r="G6119" i="12" s="1"/>
  <c r="G6120" i="12" s="1"/>
  <c r="G6121" i="12" s="1"/>
  <c r="G6122" i="12" s="1"/>
  <c r="G6123" i="12" l="1"/>
  <c r="G6124" i="12" s="1"/>
  <c r="G6125" i="12" s="1"/>
  <c r="G6126" i="12" s="1"/>
  <c r="G6127" i="12" s="1"/>
  <c r="G6128" i="12" s="1"/>
  <c r="G6129" i="12" s="1"/>
  <c r="G6130" i="12" s="1"/>
  <c r="G6131" i="12" s="1"/>
  <c r="G6132" i="12" s="1"/>
  <c r="G6133" i="12" s="1"/>
  <c r="G6134" i="12" s="1"/>
  <c r="G6135" i="12" s="1"/>
  <c r="G6136" i="12" s="1"/>
  <c r="G6137" i="12" s="1"/>
  <c r="G6138" i="12" s="1"/>
  <c r="G6139" i="12" s="1"/>
  <c r="G6140" i="12" s="1"/>
  <c r="G6141" i="12" s="1"/>
  <c r="G6142" i="12" s="1"/>
  <c r="G6143" i="12" s="1"/>
  <c r="G6144" i="12" s="1"/>
  <c r="G6145" i="12" s="1"/>
  <c r="G6146" i="12" s="1"/>
  <c r="G6147" i="12" s="1"/>
  <c r="G6148" i="12" s="1"/>
  <c r="G6149" i="12" s="1"/>
  <c r="G6150" i="12" s="1"/>
  <c r="G6151" i="12" s="1"/>
  <c r="G6152" i="12" s="1"/>
  <c r="G6153" i="12" s="1"/>
  <c r="G6154" i="12" s="1"/>
  <c r="G6155" i="12" s="1"/>
  <c r="G6156" i="12" s="1"/>
  <c r="G6157" i="12" s="1"/>
  <c r="G6158" i="12" s="1"/>
  <c r="G6159" i="12" s="1"/>
  <c r="G6160" i="12" s="1"/>
  <c r="G6161" i="12" s="1"/>
  <c r="G6162" i="12" s="1"/>
  <c r="G6163" i="12" s="1"/>
  <c r="G6164" i="12" s="1"/>
  <c r="G6165" i="12" s="1"/>
  <c r="G6166" i="12" s="1"/>
  <c r="G6167" i="12" s="1"/>
  <c r="G6168" i="12" s="1"/>
  <c r="G6169" i="12" s="1"/>
  <c r="G6170" i="12" s="1"/>
  <c r="G6171" i="12" s="1"/>
  <c r="G6172" i="12" s="1"/>
  <c r="G6173" i="12" s="1"/>
  <c r="G6174" i="12" s="1"/>
  <c r="G6175" i="12" s="1"/>
  <c r="G6176" i="12" s="1"/>
  <c r="G6177" i="12" s="1"/>
  <c r="G6178" i="12" s="1"/>
  <c r="G6179" i="12" s="1"/>
  <c r="G6180" i="12" s="1"/>
  <c r="G6181" i="12" s="1"/>
  <c r="G6182" i="12" s="1"/>
  <c r="G6183" i="12" s="1"/>
  <c r="G6184" i="12" s="1"/>
  <c r="G6185" i="12" s="1"/>
  <c r="G6186" i="12" s="1"/>
  <c r="G6187" i="12" s="1"/>
  <c r="G6188" i="12" s="1"/>
  <c r="G6189" i="12" s="1"/>
  <c r="G6190" i="12" s="1"/>
  <c r="G6191" i="12" s="1"/>
  <c r="G6192" i="12" s="1"/>
  <c r="G6193" i="12" s="1"/>
  <c r="G6194" i="12" s="1"/>
  <c r="G6195" i="12" s="1"/>
  <c r="G6196" i="12" s="1"/>
  <c r="G6197" i="12" s="1"/>
  <c r="G6198" i="12" s="1"/>
  <c r="G6199" i="12" s="1"/>
  <c r="G6200" i="12" s="1"/>
  <c r="G6201" i="12" s="1"/>
  <c r="G6202" i="12" s="1"/>
  <c r="G6203" i="12" s="1"/>
  <c r="G6204" i="12" s="1"/>
  <c r="G6205" i="12" s="1"/>
  <c r="G6206" i="12" s="1"/>
  <c r="G6207" i="12" s="1"/>
  <c r="G6208" i="12" s="1"/>
  <c r="G6209" i="12" s="1"/>
  <c r="G6210" i="12" s="1"/>
  <c r="G6211" i="12" s="1"/>
  <c r="G6212" i="12" s="1"/>
  <c r="G6213" i="12" s="1"/>
  <c r="G6214" i="12" s="1"/>
  <c r="G6215" i="12" s="1"/>
  <c r="G6216" i="12" s="1"/>
  <c r="G6217" i="12" s="1"/>
  <c r="G6218" i="12" s="1"/>
  <c r="G6219" i="12" s="1"/>
  <c r="G6220" i="12" s="1"/>
  <c r="G6221" i="12" s="1"/>
  <c r="G6222" i="12" s="1"/>
  <c r="G6223" i="12" s="1"/>
  <c r="G6224" i="12" s="1"/>
  <c r="G6225" i="12" s="1"/>
  <c r="G6226" i="12" s="1"/>
  <c r="G6227" i="12" s="1"/>
  <c r="G6228" i="12" s="1"/>
  <c r="G6229" i="12" s="1"/>
  <c r="G6230" i="12" s="1"/>
  <c r="G6231" i="12" s="1"/>
  <c r="G6232" i="12" s="1"/>
  <c r="G6233" i="12" s="1"/>
  <c r="G6234" i="12" s="1"/>
  <c r="G6235" i="12" s="1"/>
  <c r="G6236" i="12" s="1"/>
  <c r="G6237" i="12" s="1"/>
  <c r="G6238" i="12" s="1"/>
  <c r="G6239" i="12" s="1"/>
  <c r="G6240" i="12" s="1"/>
  <c r="G6241" i="12" s="1"/>
  <c r="G6242" i="12" s="1"/>
  <c r="G6243" i="12" s="1"/>
  <c r="G6244" i="12" s="1"/>
  <c r="G6245" i="12" s="1"/>
  <c r="G6246" i="12" s="1"/>
  <c r="G6247" i="12" s="1"/>
  <c r="G6248" i="12" s="1"/>
  <c r="G6249" i="12" s="1"/>
  <c r="G6250" i="12" s="1"/>
  <c r="G6251" i="12" s="1"/>
  <c r="G6252" i="12" s="1"/>
  <c r="G6253" i="12" s="1"/>
  <c r="G6254" i="12" s="1"/>
  <c r="G6255" i="12" s="1"/>
  <c r="G6256" i="12" s="1"/>
  <c r="G6257" i="12" s="1"/>
  <c r="G6258" i="12" l="1"/>
  <c r="G6259" i="12" s="1"/>
  <c r="G6260" i="12" s="1"/>
  <c r="G6261" i="12" s="1"/>
  <c r="G6262" i="12" s="1"/>
  <c r="G6263" i="12" s="1"/>
  <c r="G6264" i="12" s="1"/>
  <c r="G6265" i="12" s="1"/>
  <c r="G6266" i="12" s="1"/>
  <c r="G6267" i="12" s="1"/>
  <c r="G6268" i="12" s="1"/>
  <c r="G6269" i="12" s="1"/>
  <c r="G6270" i="12" s="1"/>
  <c r="G6271" i="12" s="1"/>
  <c r="G6272" i="12" s="1"/>
  <c r="G6273" i="12" s="1"/>
  <c r="G6274" i="12" s="1"/>
  <c r="G6275" i="12" s="1"/>
  <c r="G6276" i="12" s="1"/>
  <c r="G6277" i="12" s="1"/>
  <c r="G6278" i="12" s="1"/>
  <c r="G6279" i="12" s="1"/>
  <c r="G6280" i="12" s="1"/>
  <c r="G6281" i="12" s="1"/>
  <c r="G6282" i="12" s="1"/>
  <c r="G6283" i="12" s="1"/>
  <c r="G6284" i="12" s="1"/>
  <c r="G6285" i="12" s="1"/>
  <c r="G6286" i="12" s="1"/>
  <c r="G6287" i="12" s="1"/>
  <c r="G6288" i="12" s="1"/>
  <c r="G6289" i="12" s="1"/>
  <c r="G6290" i="12" s="1"/>
  <c r="G6291" i="12" s="1"/>
  <c r="G6292" i="12" s="1"/>
  <c r="G6293" i="12" s="1"/>
  <c r="G6294" i="12" s="1"/>
  <c r="G6295" i="12" s="1"/>
  <c r="G6296" i="12" l="1"/>
  <c r="G6297" i="12" s="1"/>
  <c r="G6298" i="12" s="1"/>
  <c r="G6299" i="12" s="1"/>
  <c r="G6300" i="12" s="1"/>
  <c r="G6301" i="12" s="1"/>
  <c r="G6302" i="12" s="1"/>
  <c r="G6303" i="12" s="1"/>
  <c r="G6304" i="12" s="1"/>
  <c r="G6305" i="12" s="1"/>
  <c r="G6306" i="12" s="1"/>
  <c r="G6307" i="12" s="1"/>
  <c r="G6308" i="12" s="1"/>
  <c r="G6309" i="12" s="1"/>
  <c r="G6310" i="12" s="1"/>
  <c r="G6311" i="12" s="1"/>
  <c r="G6312" i="12" s="1"/>
  <c r="G6313" i="12" s="1"/>
  <c r="G6314" i="12" s="1"/>
  <c r="G6315" i="12" s="1"/>
  <c r="G6316" i="12" s="1"/>
  <c r="G6317" i="12" s="1"/>
  <c r="G6318" i="12" s="1"/>
  <c r="G6319" i="12" s="1"/>
  <c r="G6320" i="12" s="1"/>
  <c r="G6321" i="12" s="1"/>
  <c r="G6322" i="12" s="1"/>
  <c r="G6323" i="12" s="1"/>
  <c r="G6324" i="12" l="1"/>
  <c r="G6325" i="12" s="1"/>
  <c r="G6326" i="12" s="1"/>
  <c r="G6327" i="12" s="1"/>
  <c r="G6328" i="12" s="1"/>
  <c r="G6329" i="12" s="1"/>
  <c r="G6330" i="12" s="1"/>
  <c r="G6331" i="12" s="1"/>
  <c r="G6332" i="12" s="1"/>
  <c r="G6333" i="12" s="1"/>
  <c r="G6334" i="12" s="1"/>
  <c r="G6335" i="12" s="1"/>
  <c r="G6336" i="12" s="1"/>
  <c r="G6337" i="12" s="1"/>
  <c r="G6338" i="12" s="1"/>
  <c r="G6339" i="12" s="1"/>
  <c r="G6340" i="12" s="1"/>
  <c r="G6341" i="12" s="1"/>
  <c r="G6342" i="12" s="1"/>
  <c r="G6343" i="12" s="1"/>
  <c r="G6344" i="12" s="1"/>
  <c r="G6345" i="12" s="1"/>
  <c r="G6346" i="12" s="1"/>
  <c r="G6347" i="12" s="1"/>
  <c r="G6348" i="12" s="1"/>
  <c r="G6349" i="12" s="1"/>
  <c r="G6350" i="12" s="1"/>
  <c r="G6351" i="12" s="1"/>
  <c r="G6352" i="12" s="1"/>
  <c r="G6353" i="12" s="1"/>
  <c r="G6354" i="12" s="1"/>
  <c r="G6355" i="12" s="1"/>
  <c r="G6356" i="12" s="1"/>
  <c r="G6357" i="12" s="1"/>
  <c r="G6358" i="12" s="1"/>
  <c r="G6359" i="12" s="1"/>
  <c r="G6360" i="12" s="1"/>
  <c r="G6361" i="12" s="1"/>
  <c r="G6362" i="12" s="1"/>
  <c r="G6363" i="12" s="1"/>
  <c r="G6364" i="12" s="1"/>
  <c r="G6365" i="12" s="1"/>
  <c r="G6366" i="12" s="1"/>
  <c r="G6367" i="12" s="1"/>
  <c r="G6368" i="12" s="1"/>
  <c r="G6369" i="12" s="1"/>
  <c r="G6370" i="12" s="1"/>
  <c r="G6371" i="12" s="1"/>
  <c r="G6372" i="12" s="1"/>
  <c r="G6373" i="12" s="1"/>
  <c r="G6374" i="12" s="1"/>
  <c r="G6375" i="12" s="1"/>
  <c r="G6376" i="12" s="1"/>
  <c r="G6377" i="12" s="1"/>
  <c r="G6378" i="12" s="1"/>
  <c r="G6379" i="12" s="1"/>
  <c r="G6380" i="12" s="1"/>
  <c r="G6381" i="12" s="1"/>
  <c r="G6382" i="12" s="1"/>
  <c r="G6383" i="12" s="1"/>
  <c r="G6384" i="12" s="1"/>
  <c r="G6385" i="12" s="1"/>
  <c r="G6386" i="12" s="1"/>
  <c r="G6387" i="12" s="1"/>
  <c r="G6388" i="12" s="1"/>
  <c r="G6389" i="12" s="1"/>
  <c r="G6390" i="12" s="1"/>
  <c r="G6391" i="12" s="1"/>
  <c r="G6392" i="12" s="1"/>
  <c r="G6393" i="12" s="1"/>
  <c r="G6394" i="12" s="1"/>
  <c r="G6395" i="12" s="1"/>
  <c r="G6396" i="12" s="1"/>
  <c r="G6397" i="12" s="1"/>
  <c r="G6398" i="12" s="1"/>
  <c r="G6399" i="12" s="1"/>
  <c r="G6400" i="12" s="1"/>
  <c r="G6401" i="12" s="1"/>
  <c r="G6402" i="12" s="1"/>
  <c r="G6403" i="12" s="1"/>
  <c r="G6404" i="12" s="1"/>
  <c r="G6405" i="12" s="1"/>
  <c r="G6406" i="12" s="1"/>
  <c r="G6407" i="12" s="1"/>
  <c r="G6408" i="12" s="1"/>
  <c r="G6409" i="12" s="1"/>
  <c r="G6410" i="12" s="1"/>
  <c r="G6411" i="12" s="1"/>
  <c r="G6412" i="12" s="1"/>
  <c r="G6413" i="12" s="1"/>
  <c r="G6414" i="12" s="1"/>
  <c r="G6415" i="12" s="1"/>
  <c r="G6416" i="12" s="1"/>
  <c r="G6417" i="12" s="1"/>
  <c r="G6418" i="12" s="1"/>
  <c r="G6419" i="12" s="1"/>
  <c r="G6420" i="12" s="1"/>
  <c r="G6421" i="12" s="1"/>
  <c r="G6422" i="12" s="1"/>
  <c r="G6423" i="12" s="1"/>
  <c r="G6424" i="12" s="1"/>
  <c r="G6425" i="12" s="1"/>
  <c r="G6426" i="12" s="1"/>
  <c r="G6427" i="12" s="1"/>
  <c r="G6428" i="12" s="1"/>
  <c r="G6429" i="12" s="1"/>
  <c r="G6430" i="12" s="1"/>
  <c r="G6431" i="12" s="1"/>
  <c r="G6432" i="12" s="1"/>
  <c r="G6433" i="12" s="1"/>
  <c r="G6434" i="12" s="1"/>
  <c r="G6435" i="12" s="1"/>
  <c r="G6436" i="12" s="1"/>
  <c r="G6437" i="12" s="1"/>
  <c r="G6438" i="12" s="1"/>
  <c r="G6439" i="12" s="1"/>
  <c r="G6440" i="12" s="1"/>
  <c r="G6441" i="12" s="1"/>
  <c r="G6442" i="12" s="1"/>
  <c r="G6443" i="12" s="1"/>
  <c r="G6444" i="12" s="1"/>
  <c r="G6445" i="12" s="1"/>
  <c r="G6446" i="12" s="1"/>
  <c r="G6447" i="12" s="1"/>
  <c r="G6448" i="12" s="1"/>
  <c r="G6449" i="12" s="1"/>
  <c r="G6450" i="12" s="1"/>
  <c r="G6451" i="12" s="1"/>
  <c r="G6452" i="12" s="1"/>
  <c r="G6453" i="12" s="1"/>
  <c r="G6454" i="12" s="1"/>
  <c r="G6455" i="12" s="1"/>
  <c r="G6456" i="12" s="1"/>
  <c r="G6457" i="12" s="1"/>
  <c r="G6458" i="12" s="1"/>
  <c r="G6459" i="12" s="1"/>
  <c r="G6460" i="12" s="1"/>
  <c r="G6461" i="12" s="1"/>
  <c r="G6462" i="12" s="1"/>
  <c r="G6463" i="12" s="1"/>
  <c r="G6464" i="12" s="1"/>
  <c r="G6465" i="12" s="1"/>
  <c r="G6466" i="12" s="1"/>
  <c r="G6467" i="12" s="1"/>
  <c r="G6468" i="12" s="1"/>
  <c r="G6469" i="12" s="1"/>
  <c r="G6470" i="12" s="1"/>
  <c r="G6471" i="12" s="1"/>
  <c r="G6472" i="12" s="1"/>
  <c r="G6473" i="12" s="1"/>
  <c r="G6474" i="12" s="1"/>
  <c r="G6475" i="12" s="1"/>
  <c r="G6476" i="12" s="1"/>
  <c r="G6477" i="12" s="1"/>
  <c r="G6478" i="12" s="1"/>
  <c r="G6479" i="12" s="1"/>
  <c r="G6480" i="12" s="1"/>
  <c r="G6481" i="12" s="1"/>
  <c r="G6482" i="12" s="1"/>
  <c r="G6483" i="12" s="1"/>
  <c r="G6484" i="12" s="1"/>
  <c r="G6485" i="12" s="1"/>
  <c r="G6486" i="12" s="1"/>
  <c r="G6487" i="12" s="1"/>
  <c r="G6488" i="12" s="1"/>
  <c r="G6489" i="12" s="1"/>
  <c r="G6490" i="12" s="1"/>
  <c r="G6491" i="12" s="1"/>
  <c r="G6492" i="12" s="1"/>
  <c r="G6493" i="12" s="1"/>
  <c r="G6494" i="12" s="1"/>
  <c r="K380" i="60"/>
  <c r="M380" i="60" l="1"/>
  <c r="G6495" i="12"/>
  <c r="G6496" i="12" s="1"/>
  <c r="G6497" i="12" s="1"/>
  <c r="G6498" i="12" s="1"/>
  <c r="G6499" i="12" s="1"/>
  <c r="G6500" i="12" s="1"/>
  <c r="G6501" i="12" s="1"/>
  <c r="G6502" i="12" s="1"/>
  <c r="G6503" i="12" s="1"/>
  <c r="G6504" i="12" s="1"/>
  <c r="G6505" i="12" s="1"/>
  <c r="G6506" i="12" s="1"/>
  <c r="G6507" i="12" s="1"/>
  <c r="G6508" i="12" s="1"/>
  <c r="G6509" i="12" s="1"/>
  <c r="G6510" i="12" s="1"/>
  <c r="G6511" i="12" s="1"/>
  <c r="G6512" i="12" s="1"/>
  <c r="G6513" i="12" s="1"/>
  <c r="G6514" i="12" s="1"/>
  <c r="G6515" i="12" s="1"/>
  <c r="G6516" i="12" s="1"/>
  <c r="G6517" i="12" s="1"/>
  <c r="G6518" i="12" s="1"/>
  <c r="G6519" i="12" s="1"/>
  <c r="G6520" i="12" s="1"/>
  <c r="G6521" i="12" s="1"/>
  <c r="G6522" i="12" s="1"/>
  <c r="G6523" i="12" s="1"/>
  <c r="G6524" i="12" s="1"/>
  <c r="G6525" i="12" s="1"/>
  <c r="M391" i="60" l="1"/>
  <c r="D12" i="57" s="1"/>
  <c r="G6526" i="12"/>
  <c r="G6527" i="12" s="1"/>
  <c r="G6528" i="12" s="1"/>
  <c r="G6529" i="12" s="1"/>
  <c r="G6530" i="12" l="1"/>
  <c r="G6531" i="12" s="1"/>
  <c r="G6532" i="12" s="1"/>
  <c r="G6533" i="12" s="1"/>
  <c r="G6534" i="12" s="1"/>
  <c r="G6535" i="12" s="1"/>
  <c r="G6536" i="12" s="1"/>
  <c r="G6537" i="12" s="1"/>
  <c r="G6538" i="12" s="1"/>
  <c r="G6539" i="12" s="1"/>
  <c r="G6540" i="12" l="1"/>
  <c r="G6541" i="12" s="1"/>
  <c r="G6542" i="12" s="1"/>
  <c r="G6543" i="12" s="1"/>
  <c r="G6544" i="12" s="1"/>
  <c r="G6545" i="12" s="1"/>
  <c r="G6546" i="12" s="1"/>
  <c r="G6547" i="12" s="1"/>
  <c r="G6548" i="12" s="1"/>
  <c r="G6549" i="12" s="1"/>
  <c r="G6550" i="12" s="1"/>
  <c r="G6551" i="12" s="1"/>
  <c r="G6552" i="12" s="1"/>
  <c r="G6553" i="12" s="1"/>
  <c r="G6554" i="12" s="1"/>
  <c r="G6555" i="12" s="1"/>
  <c r="G6556" i="12" s="1"/>
  <c r="G6557" i="12" s="1"/>
  <c r="G6558" i="12" s="1"/>
  <c r="G6559" i="12" s="1"/>
  <c r="G6560" i="12" s="1"/>
  <c r="G6561" i="12" s="1"/>
  <c r="G6562" i="12" s="1"/>
  <c r="G6563" i="12" s="1"/>
  <c r="G6564" i="12" s="1"/>
  <c r="G6565" i="12" s="1"/>
  <c r="G6566" i="12" s="1"/>
  <c r="G6567" i="12" s="1"/>
  <c r="G6568" i="12" s="1"/>
  <c r="G6569" i="12" s="1"/>
  <c r="G6570" i="12" s="1"/>
  <c r="G6571" i="12" s="1"/>
  <c r="G6572" i="12" s="1"/>
  <c r="G6573" i="12" s="1"/>
  <c r="G6574" i="12" s="1"/>
  <c r="G6575" i="12" s="1"/>
  <c r="G6576" i="12" s="1"/>
  <c r="G6577" i="12" s="1"/>
  <c r="G6578" i="12" s="1"/>
  <c r="G6579" i="12" s="1"/>
  <c r="G6580" i="12" s="1"/>
  <c r="G6581" i="12" s="1"/>
  <c r="G6582" i="12" s="1"/>
  <c r="G6583" i="12" s="1"/>
  <c r="G6584" i="12" s="1"/>
  <c r="G6585" i="12" s="1"/>
  <c r="G6586" i="12" s="1"/>
  <c r="G6587" i="12" s="1"/>
  <c r="G6588" i="12" s="1"/>
  <c r="G6589" i="12" s="1"/>
  <c r="G6590" i="12" s="1"/>
  <c r="G6591" i="12" s="1"/>
  <c r="G6592" i="12" s="1"/>
  <c r="G6593" i="12" s="1"/>
  <c r="G6594" i="12" s="1"/>
  <c r="G6595" i="12" s="1"/>
  <c r="G6596" i="12" s="1"/>
  <c r="G6597" i="12" s="1"/>
  <c r="G6598" i="12" s="1"/>
  <c r="G6599" i="12" s="1"/>
  <c r="G6600" i="12" s="1"/>
  <c r="G6601" i="12" s="1"/>
  <c r="G6602" i="12" s="1"/>
  <c r="G6603" i="12" s="1"/>
  <c r="G6604" i="12" s="1"/>
  <c r="G6605" i="12" s="1"/>
  <c r="G6606" i="12" s="1"/>
  <c r="G6607" i="12" s="1"/>
  <c r="G6608" i="12" s="1"/>
  <c r="G6609" i="12" s="1"/>
  <c r="G6610" i="12" s="1"/>
  <c r="G6611" i="12" s="1"/>
  <c r="G6612" i="12" s="1"/>
  <c r="G6613" i="12" s="1"/>
  <c r="G6614" i="12" s="1"/>
  <c r="G6615" i="12" s="1"/>
  <c r="G6616" i="12" l="1"/>
  <c r="G6617" i="12" s="1"/>
  <c r="G6618" i="12" s="1"/>
  <c r="G6619" i="12" s="1"/>
  <c r="G6620" i="12" s="1"/>
  <c r="G6621" i="12" s="1"/>
  <c r="G6622" i="12" s="1"/>
  <c r="G6623" i="12" s="1"/>
  <c r="G6624" i="12" s="1"/>
  <c r="G6625" i="12" s="1"/>
  <c r="G6626" i="12" s="1"/>
  <c r="G6627" i="12" s="1"/>
  <c r="G6628" i="12" s="1"/>
  <c r="G6629" i="12" s="1"/>
  <c r="G6630" i="12" s="1"/>
  <c r="G6631" i="12" s="1"/>
  <c r="G6632" i="12" s="1"/>
  <c r="G6633" i="12" s="1"/>
  <c r="G6634" i="12" s="1"/>
  <c r="G6635" i="12" l="1"/>
  <c r="G6636" i="12" s="1"/>
  <c r="G6637" i="12" l="1"/>
  <c r="G6638" i="12" s="1"/>
  <c r="G6639" i="12" s="1"/>
  <c r="G6640" i="12" s="1"/>
  <c r="G6641" i="12" s="1"/>
  <c r="G6642" i="12" s="1"/>
  <c r="G6643" i="12" s="1"/>
  <c r="G6644" i="12" s="1"/>
  <c r="G6645" i="12" s="1"/>
  <c r="G6646" i="12" s="1"/>
  <c r="G6647" i="12" s="1"/>
  <c r="G6648" i="12" s="1"/>
  <c r="G6649" i="12" s="1"/>
  <c r="G6650" i="12" s="1"/>
  <c r="G6651" i="12" s="1"/>
  <c r="G6652" i="12" s="1"/>
  <c r="G6653" i="12" s="1"/>
  <c r="G6654" i="12" s="1"/>
  <c r="G6655" i="12" s="1"/>
  <c r="G6656" i="12" s="1"/>
  <c r="G6657" i="12" s="1"/>
  <c r="G6658" i="12" s="1"/>
  <c r="G6659" i="12" s="1"/>
  <c r="G6660" i="12" s="1"/>
  <c r="G6661" i="12" s="1"/>
  <c r="G6662" i="12" s="1"/>
  <c r="G6663" i="12" s="1"/>
  <c r="G6664" i="12" s="1"/>
  <c r="G6665" i="12" s="1"/>
  <c r="G6666" i="12" s="1"/>
  <c r="G6667" i="12" s="1"/>
  <c r="G6668" i="12" s="1"/>
  <c r="G6669" i="12" s="1"/>
  <c r="G6670" i="12" s="1"/>
  <c r="G6671" i="12" s="1"/>
  <c r="G6672" i="12" s="1"/>
  <c r="G6673" i="12" s="1"/>
  <c r="G6674" i="12" l="1"/>
  <c r="G6675" i="12" s="1"/>
  <c r="G6676" i="12" l="1"/>
  <c r="G6677" i="12" s="1"/>
  <c r="G6678" i="12" l="1"/>
  <c r="G6679" i="12" s="1"/>
  <c r="G6680" i="12" s="1"/>
  <c r="G6681" i="12" s="1"/>
  <c r="G6682" i="12" s="1"/>
  <c r="G6683" i="12" s="1"/>
  <c r="G6684" i="12" s="1"/>
  <c r="G6685" i="12" s="1"/>
  <c r="G6686" i="12" l="1"/>
  <c r="G6687" i="12" s="1"/>
  <c r="G6688" i="12" l="1"/>
  <c r="G6689" i="12" s="1"/>
  <c r="G6690" i="12" s="1"/>
  <c r="G6691" i="12" l="1"/>
  <c r="G6692" i="12" l="1"/>
  <c r="G6693" i="12" s="1"/>
  <c r="G6694" i="12" s="1"/>
  <c r="G6695" i="12" s="1"/>
  <c r="G6696" i="12" s="1"/>
  <c r="G6697" i="12" s="1"/>
  <c r="G6698" i="12" s="1"/>
  <c r="G6699" i="12" s="1"/>
  <c r="G6700" i="12" s="1"/>
  <c r="G6701" i="12" s="1"/>
  <c r="G6702" i="12" s="1"/>
  <c r="G6703" i="12" s="1"/>
  <c r="G6704" i="12" s="1"/>
  <c r="G6705" i="12" s="1"/>
  <c r="G6706" i="12" s="1"/>
  <c r="G6707" i="12" s="1"/>
  <c r="G6708" i="12" s="1"/>
  <c r="G6709" i="12" s="1"/>
  <c r="G6710" i="12" s="1"/>
  <c r="G6711" i="12" s="1"/>
  <c r="G6712" i="12" s="1"/>
  <c r="G6713" i="12" s="1"/>
  <c r="G6714" i="12" s="1"/>
  <c r="G6715" i="12" s="1"/>
  <c r="G6716" i="12" s="1"/>
  <c r="G6717" i="12" s="1"/>
  <c r="G6718" i="12" s="1"/>
  <c r="G6719" i="12" s="1"/>
  <c r="G6720" i="12" s="1"/>
  <c r="G6721" i="12" s="1"/>
  <c r="G6722" i="12" s="1"/>
  <c r="G6723" i="12" s="1"/>
  <c r="G6724" i="12" s="1"/>
  <c r="G6725" i="12" s="1"/>
  <c r="G6726" i="12" s="1"/>
  <c r="G6727" i="12" s="1"/>
  <c r="G6728" i="12" s="1"/>
  <c r="G6729" i="12" l="1"/>
  <c r="G6730" i="12" s="1"/>
  <c r="G6731" i="12" s="1"/>
  <c r="G6732" i="12" s="1"/>
  <c r="G6733" i="12" s="1"/>
  <c r="G6734" i="12" s="1"/>
  <c r="G6735" i="12" s="1"/>
  <c r="G6736" i="12" s="1"/>
  <c r="G6737" i="12" s="1"/>
  <c r="G6738" i="12" s="1"/>
  <c r="G6739" i="12" l="1"/>
  <c r="G6740" i="12" s="1"/>
  <c r="G6741" i="12" s="1"/>
  <c r="G6742" i="12" s="1"/>
  <c r="G6743" i="12" s="1"/>
  <c r="G6744" i="12" s="1"/>
  <c r="G6745" i="12" s="1"/>
  <c r="G6746" i="12" s="1"/>
  <c r="G6747" i="12" s="1"/>
  <c r="G6748" i="12" s="1"/>
  <c r="G6749" i="12" s="1"/>
  <c r="G6750" i="12" s="1"/>
  <c r="G6751" i="12" l="1"/>
  <c r="G6752" i="12" l="1"/>
  <c r="G6753" i="12" s="1"/>
  <c r="G6754" i="12" s="1"/>
  <c r="G6755" i="12" s="1"/>
  <c r="G6756" i="12" s="1"/>
  <c r="G6757" i="12" s="1"/>
  <c r="G6758" i="12" s="1"/>
  <c r="G6759" i="12" s="1"/>
  <c r="G6760" i="12" s="1"/>
  <c r="G6761" i="12" s="1"/>
  <c r="G6762" i="12" s="1"/>
  <c r="G6763" i="12" s="1"/>
  <c r="G6764" i="12" s="1"/>
  <c r="G6765" i="12" s="1"/>
  <c r="G6766" i="12" s="1"/>
  <c r="G6767" i="12" s="1"/>
  <c r="G6768" i="12" s="1"/>
  <c r="G6769" i="12" s="1"/>
  <c r="G6770" i="12" s="1"/>
  <c r="G6771" i="12" s="1"/>
  <c r="G6772" i="12" s="1"/>
  <c r="G6773" i="12" s="1"/>
  <c r="G6774" i="12" s="1"/>
  <c r="G6775" i="12" s="1"/>
  <c r="G6776" i="12" s="1"/>
  <c r="G6777" i="12" s="1"/>
  <c r="G6778" i="12" s="1"/>
  <c r="G6779" i="12" s="1"/>
  <c r="G6780" i="12" s="1"/>
  <c r="G6781" i="12" s="1"/>
  <c r="G6782" i="12" s="1"/>
  <c r="G6783" i="12" s="1"/>
  <c r="G6784" i="12" s="1"/>
  <c r="G6785" i="12" s="1"/>
  <c r="G6786" i="12" s="1"/>
  <c r="G6787" i="12" s="1"/>
  <c r="G6788" i="12" s="1"/>
  <c r="G6789" i="12" s="1"/>
  <c r="G6790" i="12" s="1"/>
  <c r="G6791" i="12" s="1"/>
  <c r="G6792" i="12" s="1"/>
  <c r="G6793" i="12" s="1"/>
  <c r="G6794" i="12" s="1"/>
  <c r="G6795" i="12" s="1"/>
  <c r="G6796" i="12" s="1"/>
  <c r="G6797" i="12" s="1"/>
  <c r="G6798" i="12" s="1"/>
  <c r="G6799" i="12" s="1"/>
  <c r="G6800" i="12" s="1"/>
  <c r="G6801" i="12" s="1"/>
  <c r="G6802" i="12" s="1"/>
  <c r="G6803" i="12" s="1"/>
  <c r="G6804" i="12" s="1"/>
  <c r="G6805" i="12" s="1"/>
  <c r="G6806" i="12" s="1"/>
  <c r="G6807" i="12" s="1"/>
  <c r="G6808" i="12" s="1"/>
  <c r="G6809" i="12" s="1"/>
  <c r="G6810" i="12" s="1"/>
  <c r="G6811" i="12" s="1"/>
  <c r="G6812" i="12" s="1"/>
  <c r="G6813" i="12" l="1"/>
  <c r="G6814" i="12" s="1"/>
  <c r="G6815" i="12" s="1"/>
  <c r="G6816" i="12" s="1"/>
  <c r="G6817" i="12" s="1"/>
  <c r="G6818" i="12" s="1"/>
  <c r="G6819" i="12" s="1"/>
  <c r="G6820" i="12" s="1"/>
  <c r="G6821" i="12" s="1"/>
  <c r="G6822" i="12" s="1"/>
  <c r="G6823" i="12" s="1"/>
  <c r="G6824" i="12" s="1"/>
  <c r="G6825" i="12" s="1"/>
  <c r="G6826" i="12" s="1"/>
  <c r="G6827" i="12" s="1"/>
  <c r="G6828" i="12" s="1"/>
  <c r="G6829" i="12" s="1"/>
  <c r="G6830" i="12" s="1"/>
  <c r="G6831" i="12" s="1"/>
  <c r="G6832" i="12" s="1"/>
  <c r="G6833" i="12" s="1"/>
  <c r="G6834" i="12" l="1"/>
  <c r="G6835" i="12" s="1"/>
  <c r="G6836" i="12" s="1"/>
  <c r="G6837" i="12" s="1"/>
  <c r="G6838" i="12" s="1"/>
  <c r="G6839" i="12" s="1"/>
  <c r="G6840" i="12" s="1"/>
  <c r="G6841" i="12" s="1"/>
  <c r="G6842" i="12" s="1"/>
  <c r="G6843" i="12" s="1"/>
  <c r="G6844" i="12" s="1"/>
  <c r="G6845" i="12" s="1"/>
  <c r="G6846" i="12" s="1"/>
  <c r="G6847" i="12" s="1"/>
  <c r="G6848" i="12" s="1"/>
  <c r="G6849" i="12" s="1"/>
  <c r="G6850" i="12" s="1"/>
  <c r="G6851" i="12" s="1"/>
  <c r="G6852" i="12" s="1"/>
  <c r="G6853" i="12" s="1"/>
  <c r="G6854" i="12" s="1"/>
  <c r="G6855" i="12" s="1"/>
  <c r="G6856" i="12" s="1"/>
  <c r="G6857" i="12" s="1"/>
  <c r="G6858" i="12" s="1"/>
  <c r="G6859" i="12" s="1"/>
  <c r="G6860" i="12" l="1"/>
  <c r="G6861" i="12" s="1"/>
  <c r="G6862" i="12" s="1"/>
  <c r="G6863" i="12" s="1"/>
  <c r="G6864" i="12" s="1"/>
  <c r="G6865" i="12" s="1"/>
  <c r="G6866" i="12" s="1"/>
  <c r="G6867" i="12" s="1"/>
  <c r="G6868" i="12" l="1"/>
  <c r="G6869" i="12" s="1"/>
  <c r="G6870" i="12" l="1"/>
  <c r="G6871" i="12" s="1"/>
  <c r="G6872" i="12" s="1"/>
  <c r="G6873" i="12" s="1"/>
  <c r="G6874" i="12" s="1"/>
  <c r="G6875" i="12" s="1"/>
  <c r="G6876" i="12" s="1"/>
  <c r="G6877" i="12" s="1"/>
  <c r="G6878" i="12" s="1"/>
  <c r="G6879" i="12" s="1"/>
  <c r="G6880" i="12" s="1"/>
  <c r="G6881" i="12" s="1"/>
  <c r="G6882" i="12" s="1"/>
  <c r="G6883" i="12" s="1"/>
  <c r="G6884" i="12" s="1"/>
  <c r="G6885" i="12" s="1"/>
  <c r="G6886" i="12" s="1"/>
  <c r="G6887" i="12" s="1"/>
  <c r="G6888" i="12" s="1"/>
  <c r="G6889" i="12" s="1"/>
  <c r="G6890" i="12" s="1"/>
  <c r="G6891" i="12" s="1"/>
  <c r="G6892" i="12" s="1"/>
  <c r="G6893" i="12" s="1"/>
  <c r="G6894" i="12" s="1"/>
  <c r="G6895" i="12" s="1"/>
  <c r="G6896" i="12" s="1"/>
  <c r="G6897" i="12" s="1"/>
  <c r="G6898" i="12" s="1"/>
  <c r="G6899" i="12" s="1"/>
  <c r="G6900" i="12" l="1"/>
  <c r="G6901" i="12" s="1"/>
  <c r="G6902" i="12" s="1"/>
  <c r="G6903" i="12" s="1"/>
  <c r="G6904" i="12" s="1"/>
  <c r="G6905" i="12" s="1"/>
  <c r="G6906" i="12" s="1"/>
  <c r="G6907" i="12" s="1"/>
  <c r="G6908" i="12" s="1"/>
  <c r="G6909" i="12" s="1"/>
  <c r="G6910" i="12" s="1"/>
  <c r="G6911" i="12" s="1"/>
  <c r="G6912" i="12" s="1"/>
  <c r="G6913" i="12" s="1"/>
  <c r="G6914" i="12" s="1"/>
  <c r="G6915" i="12" s="1"/>
  <c r="G6916" i="12" s="1"/>
  <c r="G6917" i="12" s="1"/>
  <c r="G6918" i="12" s="1"/>
  <c r="G6919" i="12" s="1"/>
  <c r="G6920" i="12" s="1"/>
  <c r="G6921" i="12" s="1"/>
  <c r="G6922" i="12" s="1"/>
  <c r="G6923" i="12" s="1"/>
  <c r="G6924" i="12" s="1"/>
  <c r="G6925" i="12" s="1"/>
  <c r="G6926" i="12" s="1"/>
  <c r="G6927" i="12" s="1"/>
  <c r="G6928" i="12" s="1"/>
  <c r="G6929" i="12" s="1"/>
  <c r="G6930" i="12" s="1"/>
  <c r="G6931" i="12" s="1"/>
  <c r="G6932" i="12" s="1"/>
  <c r="G6933" i="12" s="1"/>
  <c r="G6934" i="12" s="1"/>
  <c r="G6935" i="12" s="1"/>
  <c r="G6936" i="12" s="1"/>
  <c r="G6937" i="12" s="1"/>
  <c r="G6938" i="12" s="1"/>
  <c r="G6939" i="12" s="1"/>
  <c r="G6940" i="12" s="1"/>
  <c r="G6941" i="12" s="1"/>
  <c r="G6942" i="12" s="1"/>
  <c r="G6943" i="12" s="1"/>
  <c r="G6944" i="12" s="1"/>
  <c r="G6945" i="12" s="1"/>
  <c r="G6946" i="12" s="1"/>
  <c r="G6947" i="12" s="1"/>
  <c r="G6948" i="12" l="1"/>
  <c r="G6949" i="12" s="1"/>
  <c r="G6950" i="12" s="1"/>
  <c r="G6951" i="12" s="1"/>
  <c r="G6952" i="12" s="1"/>
  <c r="G6953" i="12" s="1"/>
  <c r="G6954" i="12" s="1"/>
  <c r="G6955" i="12" s="1"/>
  <c r="G6956" i="12" s="1"/>
  <c r="G6957" i="12" s="1"/>
  <c r="G6958" i="12" s="1"/>
  <c r="G6959" i="12" l="1"/>
  <c r="G6960" i="12" s="1"/>
  <c r="G6961" i="12" s="1"/>
  <c r="G6962" i="12" s="1"/>
  <c r="G6963" i="12" s="1"/>
  <c r="G6964" i="12" s="1"/>
  <c r="G6965" i="12" s="1"/>
  <c r="G6966" i="12" s="1"/>
  <c r="G6967" i="12" s="1"/>
  <c r="G6968" i="12" s="1"/>
  <c r="G6969" i="12" s="1"/>
  <c r="G6970" i="12" s="1"/>
  <c r="G6971" i="12" s="1"/>
  <c r="G6972" i="12" s="1"/>
  <c r="G6973" i="12" s="1"/>
  <c r="G6974" i="12" s="1"/>
  <c r="G6975" i="12" s="1"/>
  <c r="G6976" i="12" s="1"/>
  <c r="G6977" i="12" s="1"/>
  <c r="G6978" i="12" s="1"/>
  <c r="G6979" i="12" s="1"/>
  <c r="G6980" i="12" s="1"/>
  <c r="G6981" i="12" s="1"/>
  <c r="G6982" i="12" l="1"/>
  <c r="G6983" i="12" s="1"/>
  <c r="G6984" i="12" s="1"/>
  <c r="G6985" i="12" s="1"/>
  <c r="G6986" i="12" s="1"/>
  <c r="G6987" i="12" s="1"/>
  <c r="G6988" i="12" s="1"/>
  <c r="G6989" i="12" s="1"/>
  <c r="G6990" i="12" s="1"/>
  <c r="G6991" i="12" l="1"/>
  <c r="G6992" i="12" s="1"/>
  <c r="G6993" i="12" s="1"/>
  <c r="G6994" i="12" s="1"/>
  <c r="G6995" i="12" s="1"/>
  <c r="G6996" i="12" l="1"/>
  <c r="G6997" i="12" s="1"/>
  <c r="G6998" i="12" s="1"/>
  <c r="G6999" i="12" s="1"/>
  <c r="G7000" i="12" s="1"/>
  <c r="G7001" i="12" s="1"/>
  <c r="G7002" i="12" s="1"/>
  <c r="G7003" i="12" s="1"/>
  <c r="G7004" i="12" l="1"/>
  <c r="G7005" i="12" s="1"/>
  <c r="G7006" i="12" s="1"/>
  <c r="G7007" i="12" s="1"/>
  <c r="G7008" i="12" s="1"/>
  <c r="G7009" i="12" s="1"/>
  <c r="G7010" i="12" s="1"/>
  <c r="G7011" i="12" s="1"/>
  <c r="G7012" i="12" s="1"/>
  <c r="G7013" i="12" s="1"/>
  <c r="G7014" i="12" s="1"/>
  <c r="G7015" i="12" s="1"/>
  <c r="G7016" i="12" s="1"/>
  <c r="G7017" i="12" s="1"/>
  <c r="G7018" i="12" s="1"/>
  <c r="G7019" i="12" s="1"/>
  <c r="G7020" i="12" s="1"/>
  <c r="G7021" i="12" s="1"/>
  <c r="G7022" i="12" s="1"/>
  <c r="G7023" i="12" l="1"/>
  <c r="G7024" i="12" s="1"/>
  <c r="G7025" i="12" s="1"/>
  <c r="G7026" i="12" s="1"/>
  <c r="G7027" i="12" s="1"/>
  <c r="G7028" i="12" s="1"/>
  <c r="G7029" i="12" s="1"/>
  <c r="G7030" i="12" s="1"/>
  <c r="G7031" i="12" s="1"/>
  <c r="G7032" i="12" s="1"/>
  <c r="G7033" i="12" s="1"/>
  <c r="G7034" i="12" s="1"/>
  <c r="G7035" i="12" s="1"/>
  <c r="G7036" i="12" s="1"/>
  <c r="G7037" i="12" s="1"/>
  <c r="G7038" i="12" s="1"/>
  <c r="G7039" i="12" s="1"/>
  <c r="G7040" i="12" s="1"/>
  <c r="G7041" i="12" s="1"/>
  <c r="G7042" i="12" s="1"/>
  <c r="G7043" i="12" s="1"/>
  <c r="G7044" i="12" s="1"/>
  <c r="G7045" i="12" s="1"/>
  <c r="G7046" i="12" s="1"/>
  <c r="G7047" i="12" s="1"/>
  <c r="G7048" i="12" s="1"/>
  <c r="G7049" i="12" s="1"/>
  <c r="G7050" i="12" s="1"/>
  <c r="G7051" i="12" s="1"/>
  <c r="G7052" i="12" s="1"/>
  <c r="G7053" i="12" s="1"/>
  <c r="G7054" i="12" s="1"/>
  <c r="G7055" i="12" s="1"/>
  <c r="G7056" i="12" s="1"/>
  <c r="G7057" i="12" s="1"/>
  <c r="G7058" i="12" s="1"/>
  <c r="G7059" i="12" l="1"/>
  <c r="G7060" i="12" l="1"/>
  <c r="G7061" i="12" s="1"/>
  <c r="G7062" i="12" s="1"/>
  <c r="G7063" i="12" s="1"/>
  <c r="G7064" i="12" s="1"/>
  <c r="G7065" i="12" s="1"/>
  <c r="G7066" i="12" s="1"/>
  <c r="G7067" i="12" s="1"/>
  <c r="G7068" i="12" s="1"/>
  <c r="G7069" i="12" s="1"/>
  <c r="G7070" i="12" s="1"/>
  <c r="G7071" i="12" s="1"/>
  <c r="G7072" i="12" s="1"/>
  <c r="G7073" i="12" s="1"/>
  <c r="G7074" i="12" s="1"/>
  <c r="G7075" i="12" s="1"/>
  <c r="G7076" i="12" s="1"/>
  <c r="G7077" i="12" s="1"/>
  <c r="G7078" i="12" s="1"/>
  <c r="G7079" i="12" s="1"/>
  <c r="G7080" i="12" s="1"/>
  <c r="G7081" i="12" s="1"/>
  <c r="G7082" i="12" s="1"/>
  <c r="G7083" i="12" s="1"/>
  <c r="G7084" i="12" s="1"/>
  <c r="G7085" i="12" s="1"/>
  <c r="G7086" i="12" s="1"/>
  <c r="G7087" i="12" s="1"/>
  <c r="G7088" i="12" s="1"/>
  <c r="G7089" i="12" s="1"/>
  <c r="G7090" i="12" s="1"/>
  <c r="G7091" i="12" s="1"/>
  <c r="G7092" i="12" s="1"/>
  <c r="G7093" i="12" s="1"/>
  <c r="G7094" i="12" s="1"/>
  <c r="G7095" i="12" s="1"/>
  <c r="G7096" i="12" s="1"/>
  <c r="G7097" i="12" s="1"/>
  <c r="G7098" i="12" s="1"/>
  <c r="G7099" i="12" s="1"/>
  <c r="G7100" i="12" s="1"/>
  <c r="G7101" i="12" s="1"/>
  <c r="G7102" i="12" s="1"/>
  <c r="G7103" i="12" s="1"/>
  <c r="G7104" i="12" s="1"/>
  <c r="G7105" i="12" s="1"/>
  <c r="G7106" i="12" s="1"/>
  <c r="G7107" i="12" s="1"/>
  <c r="G7108" i="12" s="1"/>
  <c r="G7109" i="12" l="1"/>
  <c r="G7110" i="12" s="1"/>
  <c r="G7111" i="12" s="1"/>
  <c r="G7112" i="12" l="1"/>
  <c r="G7113" i="12" l="1"/>
  <c r="G7114" i="12" l="1"/>
  <c r="G7115" i="12" s="1"/>
  <c r="G7116" i="12" s="1"/>
  <c r="G7117" i="12" s="1"/>
  <c r="G7118" i="12" s="1"/>
  <c r="G7119" i="12" s="1"/>
  <c r="G7120" i="12" s="1"/>
  <c r="G7121" i="12" s="1"/>
  <c r="G7122" i="12" l="1"/>
  <c r="G7123" i="12" s="1"/>
  <c r="G7124" i="12" s="1"/>
  <c r="G7125" i="12" s="1"/>
  <c r="G7126" i="12" s="1"/>
  <c r="G7127" i="12" s="1"/>
  <c r="G7128" i="12" s="1"/>
  <c r="G7129" i="12" s="1"/>
  <c r="G7130" i="12" s="1"/>
  <c r="G7131" i="12" s="1"/>
  <c r="G7132" i="12" s="1"/>
  <c r="G7133" i="12" s="1"/>
  <c r="G7134" i="12" s="1"/>
  <c r="G7135" i="12" s="1"/>
  <c r="G7136" i="12" s="1"/>
  <c r="G7137" i="12" s="1"/>
  <c r="G7138" i="12" s="1"/>
  <c r="G7139" i="12" s="1"/>
  <c r="G7140" i="12" s="1"/>
  <c r="G7141" i="12" s="1"/>
  <c r="G7142" i="12" s="1"/>
  <c r="G7143" i="12" s="1"/>
  <c r="G7144" i="12" l="1"/>
  <c r="G7145" i="12" s="1"/>
  <c r="G7146" i="12" s="1"/>
  <c r="G7147" i="12" s="1"/>
  <c r="G7148" i="12" s="1"/>
  <c r="G7149" i="12" s="1"/>
  <c r="G7150" i="12" s="1"/>
  <c r="G7151" i="12" l="1"/>
  <c r="G7152" i="12" s="1"/>
  <c r="G7153" i="12" s="1"/>
  <c r="G7154" i="12" s="1"/>
  <c r="G7155" i="12" s="1"/>
  <c r="G7156" i="12" s="1"/>
  <c r="G7157" i="12" s="1"/>
  <c r="G7158" i="12" s="1"/>
  <c r="G7159" i="12" s="1"/>
  <c r="G7160" i="12" s="1"/>
  <c r="G7161" i="12" s="1"/>
  <c r="G7162" i="12" s="1"/>
  <c r="G7163" i="12" s="1"/>
  <c r="G7164" i="12" s="1"/>
  <c r="G7165" i="12" s="1"/>
  <c r="G7166" i="12" s="1"/>
  <c r="G7167" i="12" s="1"/>
  <c r="G7168" i="12" s="1"/>
  <c r="G7169" i="12" s="1"/>
  <c r="G7170" i="12" s="1"/>
  <c r="G7171" i="12" s="1"/>
  <c r="G7172" i="12" s="1"/>
  <c r="G7173" i="12" s="1"/>
  <c r="G7174" i="12" s="1"/>
  <c r="G7175" i="12" s="1"/>
  <c r="G7176" i="12" s="1"/>
  <c r="G7177" i="12" l="1"/>
  <c r="G7178" i="12" s="1"/>
  <c r="G7179" i="12" s="1"/>
  <c r="G7180" i="12" s="1"/>
  <c r="G7181" i="12" s="1"/>
  <c r="G7182" i="12" l="1"/>
  <c r="G7183" i="12" s="1"/>
  <c r="G7184" i="12" s="1"/>
  <c r="G7185" i="12" s="1"/>
  <c r="G7186" i="12" s="1"/>
  <c r="G7187" i="12" s="1"/>
  <c r="G7188" i="12" s="1"/>
  <c r="G7189" i="12" s="1"/>
  <c r="G7190" i="12" s="1"/>
  <c r="G7191" i="12" l="1"/>
  <c r="G7192" i="12" s="1"/>
  <c r="G7193" i="12" s="1"/>
  <c r="G7194" i="12" s="1"/>
  <c r="G7195" i="12" s="1"/>
  <c r="G7196" i="12" s="1"/>
  <c r="G7197" i="12" l="1"/>
  <c r="G7198" i="12" s="1"/>
  <c r="G7199" i="12" s="1"/>
  <c r="G7200" i="12" s="1"/>
  <c r="G7201" i="12" s="1"/>
  <c r="G7202" i="12" s="1"/>
  <c r="G7203" i="12" s="1"/>
  <c r="G7204" i="12" s="1"/>
  <c r="G7205" i="12" s="1"/>
  <c r="G7206" i="12" s="1"/>
  <c r="G7207" i="12" s="1"/>
  <c r="G7208" i="12" s="1"/>
  <c r="G7209" i="12" s="1"/>
  <c r="G7210" i="12" s="1"/>
  <c r="G7211" i="12" s="1"/>
  <c r="G7212" i="12" s="1"/>
  <c r="G7213" i="12" s="1"/>
  <c r="G7214" i="12" s="1"/>
  <c r="G7215" i="12" s="1"/>
  <c r="G7216" i="12" s="1"/>
  <c r="G7217" i="12" s="1"/>
  <c r="G7218" i="12" s="1"/>
  <c r="G7219" i="12" s="1"/>
  <c r="G7220" i="12" s="1"/>
  <c r="G7221" i="12" s="1"/>
  <c r="G7222" i="12" s="1"/>
  <c r="G7223" i="12" s="1"/>
  <c r="G7224" i="12" s="1"/>
  <c r="G7225" i="12" s="1"/>
  <c r="G7226" i="12" s="1"/>
  <c r="G7227" i="12" s="1"/>
  <c r="G7228" i="12" s="1"/>
  <c r="G7229" i="12" s="1"/>
  <c r="G7230" i="12" s="1"/>
  <c r="G7231" i="12" s="1"/>
  <c r="G7232" i="12" s="1"/>
  <c r="G7233" i="12" s="1"/>
  <c r="G7234" i="12" s="1"/>
  <c r="G7235" i="12" s="1"/>
  <c r="G7236" i="12" s="1"/>
  <c r="G7237" i="12" s="1"/>
  <c r="G7238" i="12" s="1"/>
  <c r="G7239" i="12" s="1"/>
  <c r="G7240" i="12" s="1"/>
  <c r="G7241" i="12" s="1"/>
  <c r="G7242" i="12" s="1"/>
  <c r="G7243" i="12" s="1"/>
  <c r="G7244" i="12" s="1"/>
  <c r="G7245" i="12" s="1"/>
  <c r="G7246" i="12" s="1"/>
  <c r="G7247" i="12" s="1"/>
  <c r="G7248" i="12" s="1"/>
  <c r="G7249" i="12" s="1"/>
  <c r="G7250" i="12" s="1"/>
  <c r="G7251" i="12" s="1"/>
  <c r="G7252" i="12" s="1"/>
  <c r="G7253" i="12" s="1"/>
  <c r="G7254" i="12" s="1"/>
  <c r="G7255" i="12" s="1"/>
  <c r="G7256" i="12" s="1"/>
  <c r="G7257" i="12" s="1"/>
  <c r="G7258" i="12" s="1"/>
  <c r="G7259" i="12" s="1"/>
  <c r="G7260" i="12" s="1"/>
  <c r="G7261" i="12" s="1"/>
  <c r="G7262" i="12" s="1"/>
  <c r="G7263" i="12" s="1"/>
  <c r="G7264" i="12" s="1"/>
  <c r="G7265" i="12" s="1"/>
  <c r="G7266" i="12" s="1"/>
  <c r="G7267" i="12" s="1"/>
  <c r="G7268" i="12" s="1"/>
  <c r="G7269" i="12" s="1"/>
  <c r="G7270" i="12" s="1"/>
  <c r="G7271" i="12" s="1"/>
  <c r="G7272" i="12" s="1"/>
  <c r="G7273" i="12" s="1"/>
  <c r="G7274" i="12" s="1"/>
  <c r="G7275" i="12" s="1"/>
  <c r="G7276" i="12" s="1"/>
  <c r="G7277" i="12" s="1"/>
  <c r="G7278" i="12" s="1"/>
  <c r="G7279" i="12" s="1"/>
  <c r="G7280" i="12" s="1"/>
  <c r="G7281" i="12" s="1"/>
  <c r="G7282" i="12" s="1"/>
  <c r="G7283" i="12" s="1"/>
  <c r="G7284" i="12" s="1"/>
  <c r="G7285" i="12" s="1"/>
  <c r="G7286" i="12" s="1"/>
  <c r="G7287" i="12" s="1"/>
  <c r="G7288" i="12" s="1"/>
  <c r="G7289" i="12" s="1"/>
  <c r="G7290" i="12" s="1"/>
  <c r="G7291" i="12" s="1"/>
  <c r="G7292" i="12" s="1"/>
  <c r="G7293" i="12" s="1"/>
  <c r="G7294" i="12" s="1"/>
  <c r="G7295" i="12" s="1"/>
  <c r="G7296" i="12" s="1"/>
  <c r="G7297" i="12" s="1"/>
  <c r="G7298" i="12" s="1"/>
  <c r="G7299" i="12" s="1"/>
  <c r="G7300" i="12" s="1"/>
  <c r="G7301" i="12" s="1"/>
  <c r="G7302" i="12" s="1"/>
  <c r="G7303" i="12" s="1"/>
  <c r="G7304" i="12" s="1"/>
  <c r="G7305" i="12" s="1"/>
  <c r="G7306" i="12" s="1"/>
  <c r="G7307" i="12" s="1"/>
  <c r="G7308" i="12" s="1"/>
  <c r="G7309" i="12" s="1"/>
  <c r="G7310" i="12" s="1"/>
  <c r="G7311" i="12" s="1"/>
  <c r="G7312" i="12" s="1"/>
  <c r="G7313" i="12" s="1"/>
  <c r="G7314" i="12" s="1"/>
  <c r="G7315" i="12" s="1"/>
  <c r="G7316" i="12" s="1"/>
  <c r="G7317" i="12" s="1"/>
  <c r="G7318" i="12" s="1"/>
  <c r="G7319" i="12" s="1"/>
  <c r="G7320" i="12" s="1"/>
  <c r="G7321" i="12" s="1"/>
  <c r="G7322" i="12" s="1"/>
  <c r="G7323" i="12" s="1"/>
  <c r="G7324" i="12" s="1"/>
  <c r="G7325" i="12" s="1"/>
  <c r="G7326" i="12" s="1"/>
  <c r="G7327" i="12" s="1"/>
  <c r="G7328" i="12" s="1"/>
  <c r="G7329" i="12" s="1"/>
  <c r="G7330" i="12" s="1"/>
  <c r="G7331" i="12" s="1"/>
  <c r="G7332" i="12" s="1"/>
  <c r="G7333" i="12" s="1"/>
  <c r="G7334" i="12" s="1"/>
  <c r="G7335" i="12" s="1"/>
  <c r="G7336" i="12" s="1"/>
  <c r="G7337" i="12" s="1"/>
  <c r="G7338" i="12" s="1"/>
  <c r="G7339" i="12" s="1"/>
  <c r="G7340" i="12" s="1"/>
  <c r="G7341" i="12" s="1"/>
  <c r="G7342" i="12" s="1"/>
  <c r="G7343" i="12" s="1"/>
  <c r="G7344" i="12" s="1"/>
  <c r="G7345" i="12" s="1"/>
  <c r="G7346" i="12" s="1"/>
  <c r="G7347" i="12" s="1"/>
  <c r="G7348" i="12" s="1"/>
  <c r="G7349" i="12" s="1"/>
  <c r="G7350" i="12" s="1"/>
  <c r="G7351" i="12" s="1"/>
  <c r="G7352" i="12" l="1"/>
  <c r="G7353" i="12" s="1"/>
  <c r="G7354" i="12" s="1"/>
  <c r="G7355" i="12" s="1"/>
  <c r="G7356" i="12" s="1"/>
  <c r="G7357" i="12" s="1"/>
  <c r="G7358" i="12" s="1"/>
  <c r="G7359" i="12" s="1"/>
  <c r="G7360" i="12" s="1"/>
  <c r="G7361" i="12" s="1"/>
  <c r="G7362" i="12" s="1"/>
  <c r="G7363" i="12" s="1"/>
  <c r="G7364" i="12" s="1"/>
  <c r="G7365" i="12" s="1"/>
  <c r="G7366" i="12" s="1"/>
  <c r="G7367" i="12" s="1"/>
  <c r="G7368" i="12" s="1"/>
  <c r="G7369" i="12" s="1"/>
  <c r="G7370" i="12" s="1"/>
  <c r="G7371" i="12" s="1"/>
  <c r="G7372" i="12" s="1"/>
  <c r="G7373" i="12" s="1"/>
  <c r="G7374" i="12" l="1"/>
  <c r="G7375" i="12" s="1"/>
  <c r="G7376" i="12" s="1"/>
  <c r="G7377" i="12" s="1"/>
  <c r="G7378" i="12" s="1"/>
  <c r="G7379" i="12" s="1"/>
  <c r="G7380" i="12" s="1"/>
  <c r="G7381" i="12" s="1"/>
  <c r="G7382" i="12" s="1"/>
  <c r="G7383" i="12" s="1"/>
  <c r="G7384" i="12" s="1"/>
  <c r="G7385" i="12" s="1"/>
  <c r="G7386" i="12" s="1"/>
  <c r="G7387" i="12" s="1"/>
  <c r="G7388" i="12" s="1"/>
  <c r="G7389" i="12" s="1"/>
  <c r="G7390" i="12" s="1"/>
  <c r="G7391" i="12" s="1"/>
  <c r="G7392" i="12" s="1"/>
  <c r="G7393" i="12" s="1"/>
  <c r="G7394" i="12" s="1"/>
  <c r="G7395" i="12" s="1"/>
  <c r="G7396" i="12" s="1"/>
  <c r="G7397" i="12" s="1"/>
  <c r="G7398" i="12" s="1"/>
  <c r="G7399" i="12" s="1"/>
  <c r="G7400" i="12" s="1"/>
  <c r="G7401" i="12" s="1"/>
  <c r="G7402" i="12" s="1"/>
  <c r="G7403" i="12" s="1"/>
  <c r="G7404" i="12" s="1"/>
  <c r="G7405" i="12" s="1"/>
  <c r="G7406" i="12" s="1"/>
  <c r="G7407" i="12" s="1"/>
  <c r="G7408" i="12" s="1"/>
  <c r="G7409" i="12" s="1"/>
  <c r="G7410" i="12" s="1"/>
  <c r="G7411" i="12" s="1"/>
  <c r="G7412" i="12" s="1"/>
  <c r="G7413" i="12" s="1"/>
  <c r="G7414" i="12" s="1"/>
  <c r="G7415" i="12" s="1"/>
  <c r="G7416" i="12" s="1"/>
  <c r="G7417" i="12" s="1"/>
  <c r="G7418" i="12" s="1"/>
  <c r="G7419" i="12" s="1"/>
  <c r="G7420" i="12" s="1"/>
  <c r="G7421" i="12" s="1"/>
  <c r="G7422" i="12" s="1"/>
  <c r="G7423" i="12" s="1"/>
  <c r="G7424" i="12" s="1"/>
  <c r="G7425" i="12" s="1"/>
  <c r="G7426" i="12" s="1"/>
  <c r="G7427" i="12" l="1"/>
  <c r="G7428" i="12" s="1"/>
  <c r="G7429" i="12" s="1"/>
  <c r="G7430" i="12" s="1"/>
  <c r="G7431" i="12" s="1"/>
  <c r="G7432" i="12" s="1"/>
  <c r="G7433" i="12" s="1"/>
  <c r="G7434" i="12" s="1"/>
  <c r="G7435" i="12" s="1"/>
  <c r="G7436" i="12" s="1"/>
  <c r="G7437" i="12" s="1"/>
  <c r="G7438" i="12" s="1"/>
  <c r="G7439" i="12" s="1"/>
  <c r="G7440" i="12" s="1"/>
  <c r="G7441" i="12" s="1"/>
  <c r="G7442" i="12" s="1"/>
  <c r="G7443" i="12" s="1"/>
  <c r="G7444" i="12" s="1"/>
  <c r="G7445" i="12" s="1"/>
  <c r="G7446" i="12" s="1"/>
  <c r="G7447" i="12" s="1"/>
  <c r="G7448" i="12" s="1"/>
  <c r="G7449" i="12" s="1"/>
  <c r="G7450" i="12" s="1"/>
  <c r="G7451" i="12" s="1"/>
  <c r="G7452" i="12" s="1"/>
  <c r="G7453" i="12" s="1"/>
  <c r="G7454" i="12" l="1"/>
  <c r="G7455" i="12" s="1"/>
  <c r="G7456" i="12" s="1"/>
  <c r="G7457" i="12" s="1"/>
  <c r="G7458" i="12" s="1"/>
  <c r="G7459" i="12" s="1"/>
  <c r="G7460" i="12" s="1"/>
  <c r="G7461" i="12" s="1"/>
  <c r="G7462" i="12" s="1"/>
  <c r="G7463" i="12" s="1"/>
  <c r="G7464" i="12" s="1"/>
  <c r="G7465" i="12" s="1"/>
  <c r="G7466" i="12" l="1"/>
  <c r="G7467" i="12" s="1"/>
  <c r="G7468" i="12" s="1"/>
  <c r="G7469" i="12" s="1"/>
  <c r="G7470" i="12" s="1"/>
  <c r="G7471" i="12" s="1"/>
  <c r="G7472" i="12" s="1"/>
  <c r="G7473" i="12" s="1"/>
  <c r="G7474" i="12" s="1"/>
  <c r="G7475" i="12" l="1"/>
  <c r="G7476" i="12" s="1"/>
  <c r="G7477" i="12" s="1"/>
  <c r="G7478" i="12" s="1"/>
  <c r="G7479" i="12" s="1"/>
  <c r="G7480" i="12" s="1"/>
  <c r="G7481" i="12" s="1"/>
  <c r="G7482" i="12" s="1"/>
  <c r="G7483" i="12" s="1"/>
  <c r="G7484" i="12" s="1"/>
  <c r="G7485" i="12" s="1"/>
  <c r="G7486" i="12" s="1"/>
  <c r="G7487" i="12" s="1"/>
  <c r="G7488" i="12" s="1"/>
  <c r="G7489" i="12" s="1"/>
  <c r="G7490" i="12" s="1"/>
  <c r="G7491" i="12" s="1"/>
  <c r="G7492" i="12" s="1"/>
  <c r="G7493" i="12" s="1"/>
  <c r="G7494" i="12" s="1"/>
  <c r="G7495" i="12" s="1"/>
  <c r="G7496" i="12" s="1"/>
  <c r="G7497" i="12" s="1"/>
  <c r="G7498" i="12" s="1"/>
  <c r="G7499" i="12" s="1"/>
  <c r="G7500" i="12" s="1"/>
  <c r="G7501" i="12" s="1"/>
  <c r="G7502" i="12" s="1"/>
  <c r="G7503" i="12" s="1"/>
  <c r="G7504" i="12" s="1"/>
  <c r="G7505" i="12" s="1"/>
  <c r="G7506" i="12" s="1"/>
  <c r="G7507" i="12" s="1"/>
  <c r="G7508" i="12" s="1"/>
  <c r="G7509" i="12" s="1"/>
  <c r="G7510" i="12" s="1"/>
  <c r="G7511" i="12" s="1"/>
  <c r="G7512" i="12" s="1"/>
  <c r="G7513" i="12" s="1"/>
  <c r="G7514" i="12" s="1"/>
  <c r="G7515" i="12" s="1"/>
  <c r="G7516" i="12" s="1"/>
  <c r="G7517" i="12" s="1"/>
  <c r="G7518" i="12" s="1"/>
  <c r="G7519" i="12" s="1"/>
  <c r="G7520" i="12" s="1"/>
  <c r="G7521" i="12" s="1"/>
  <c r="G7522" i="12" s="1"/>
  <c r="G7523" i="12" s="1"/>
  <c r="G7524" i="12" s="1"/>
  <c r="G7525" i="12" s="1"/>
  <c r="G7526" i="12" s="1"/>
  <c r="G7527" i="12" s="1"/>
  <c r="G7528" i="12" s="1"/>
  <c r="G7529" i="12" s="1"/>
  <c r="G7530" i="12" s="1"/>
  <c r="G7531" i="12" s="1"/>
  <c r="G7532" i="12" l="1"/>
  <c r="G7533" i="12" s="1"/>
  <c r="G7534" i="12" s="1"/>
  <c r="G7535" i="12" s="1"/>
  <c r="G7536" i="12" s="1"/>
  <c r="G7537" i="12" s="1"/>
  <c r="G7538" i="12" s="1"/>
  <c r="G7539" i="12" s="1"/>
  <c r="G7540" i="12" s="1"/>
  <c r="G7541" i="12" s="1"/>
  <c r="G7542" i="12" s="1"/>
  <c r="G7543" i="12" s="1"/>
  <c r="G7544" i="12" s="1"/>
  <c r="G7545" i="12" s="1"/>
  <c r="G7546" i="12" s="1"/>
  <c r="G7547" i="12" l="1"/>
  <c r="G7548" i="12" s="1"/>
  <c r="G7549" i="12" s="1"/>
  <c r="G7550" i="12" s="1"/>
  <c r="G7551" i="12" s="1"/>
  <c r="G7552" i="12" s="1"/>
  <c r="G7553" i="12" s="1"/>
  <c r="G7554" i="12" s="1"/>
  <c r="G7555" i="12" s="1"/>
  <c r="G7556" i="12" s="1"/>
  <c r="G7557" i="12" s="1"/>
  <c r="G7558" i="12" s="1"/>
  <c r="G7559" i="12" s="1"/>
  <c r="G7560" i="12" s="1"/>
  <c r="G7561" i="12" s="1"/>
  <c r="G7562" i="12" s="1"/>
  <c r="G7563" i="12" s="1"/>
  <c r="G7564" i="12" s="1"/>
  <c r="G7565" i="12" s="1"/>
  <c r="G7566" i="12" s="1"/>
  <c r="G7567" i="12" s="1"/>
  <c r="G7568" i="12" s="1"/>
  <c r="G7569" i="12" s="1"/>
  <c r="G7570" i="12" s="1"/>
  <c r="G7571" i="12" s="1"/>
  <c r="G7572" i="12" s="1"/>
  <c r="G7573" i="12" s="1"/>
  <c r="G7574" i="12" s="1"/>
  <c r="G7575" i="12" s="1"/>
  <c r="G7576" i="12" s="1"/>
  <c r="G7577" i="12" s="1"/>
  <c r="G7578" i="12" s="1"/>
  <c r="G7579" i="12" s="1"/>
  <c r="G7580" i="12" s="1"/>
  <c r="G7581" i="12" s="1"/>
  <c r="G7582" i="12" s="1"/>
  <c r="G7583" i="12" s="1"/>
  <c r="G7584" i="12" s="1"/>
  <c r="G7585" i="12" s="1"/>
  <c r="G7586" i="12" s="1"/>
  <c r="G7587" i="12" s="1"/>
  <c r="G7588" i="12" s="1"/>
  <c r="G7589" i="12" s="1"/>
  <c r="G7590" i="12" s="1"/>
  <c r="G7591" i="12" s="1"/>
  <c r="G7592" i="12" s="1"/>
  <c r="G7593" i="12" s="1"/>
  <c r="G7594" i="12" s="1"/>
  <c r="G7595" i="12" s="1"/>
  <c r="G7596" i="12" s="1"/>
  <c r="G7597" i="12" s="1"/>
  <c r="G7598" i="12" s="1"/>
  <c r="G7599" i="12" s="1"/>
  <c r="G7600" i="12" s="1"/>
  <c r="G7601" i="12" s="1"/>
  <c r="G7602" i="12" s="1"/>
  <c r="G7603" i="12" s="1"/>
  <c r="G7604" i="12" s="1"/>
  <c r="G7605" i="12" s="1"/>
  <c r="G7606" i="12" l="1"/>
  <c r="G7607" i="12" s="1"/>
  <c r="G7608" i="12" s="1"/>
  <c r="G7609" i="12" s="1"/>
  <c r="G7610" i="12" l="1"/>
  <c r="G7611" i="12" l="1"/>
  <c r="G7612" i="12" l="1"/>
  <c r="G7613" i="12" s="1"/>
  <c r="G7614" i="12" s="1"/>
  <c r="G7615" i="12" s="1"/>
  <c r="G7616" i="12" s="1"/>
  <c r="G7617" i="12" l="1"/>
  <c r="G7618" i="12" s="1"/>
  <c r="G7619" i="12" s="1"/>
  <c r="G7620" i="12" s="1"/>
  <c r="G7621" i="12" s="1"/>
  <c r="G7622" i="12" s="1"/>
  <c r="G7623" i="12" s="1"/>
  <c r="G7624" i="12" s="1"/>
  <c r="G7625" i="12" s="1"/>
  <c r="G7626" i="12" s="1"/>
  <c r="G7627" i="12" s="1"/>
  <c r="G7628" i="12" s="1"/>
  <c r="G7629" i="12" s="1"/>
  <c r="G7630" i="12" s="1"/>
  <c r="G7631" i="12" s="1"/>
  <c r="G7632" i="12" s="1"/>
  <c r="G7633" i="12" s="1"/>
  <c r="G7634" i="12" s="1"/>
  <c r="G7635" i="12" s="1"/>
  <c r="G7636" i="12" s="1"/>
  <c r="G7637" i="12" s="1"/>
  <c r="G7638" i="12" s="1"/>
  <c r="G7639" i="12" s="1"/>
  <c r="G7640" i="12" s="1"/>
  <c r="G7641" i="12" s="1"/>
  <c r="G7642" i="12" s="1"/>
  <c r="G7643" i="12" s="1"/>
  <c r="G7644" i="12" s="1"/>
  <c r="G7645" i="12" s="1"/>
  <c r="G7646" i="12" s="1"/>
  <c r="G7647" i="12" s="1"/>
  <c r="G7648" i="12" s="1"/>
  <c r="G7649" i="12" s="1"/>
  <c r="G7650" i="12" s="1"/>
  <c r="G7651" i="12" s="1"/>
  <c r="G7652" i="12" l="1"/>
  <c r="G7653" i="12" s="1"/>
  <c r="G7654" i="12" s="1"/>
  <c r="G7655" i="12" s="1"/>
  <c r="G7656" i="12" l="1"/>
  <c r="G7657" i="12" s="1"/>
  <c r="G7658" i="12" s="1"/>
  <c r="G7659" i="12" s="1"/>
  <c r="G7660" i="12" s="1"/>
  <c r="G7661" i="12" s="1"/>
  <c r="G7662" i="12" s="1"/>
  <c r="G7663" i="12" s="1"/>
  <c r="G7664" i="12" l="1"/>
  <c r="G7665" i="12" s="1"/>
  <c r="G7666" i="12" l="1"/>
  <c r="G7667" i="12" s="1"/>
  <c r="G7668" i="12" s="1"/>
  <c r="G7669" i="12" s="1"/>
  <c r="G7670" i="12" s="1"/>
  <c r="G7671" i="12" s="1"/>
  <c r="G7672" i="12" s="1"/>
  <c r="G7673" i="12" s="1"/>
  <c r="G7674" i="12" s="1"/>
  <c r="G7675" i="12" s="1"/>
  <c r="G7676" i="12" s="1"/>
  <c r="G7677" i="12" s="1"/>
  <c r="G7678" i="12" s="1"/>
  <c r="G7679" i="12" l="1"/>
  <c r="G7680" i="12" s="1"/>
  <c r="G7681" i="12" s="1"/>
  <c r="G7682" i="12" s="1"/>
  <c r="G7683" i="12" s="1"/>
  <c r="G7684" i="12" s="1"/>
  <c r="G7685" i="12" s="1"/>
  <c r="G7686" i="12" s="1"/>
  <c r="G7687" i="12" s="1"/>
  <c r="G7688" i="12" s="1"/>
  <c r="G7689" i="12" s="1"/>
  <c r="G7690" i="12" s="1"/>
  <c r="G7691" i="12" s="1"/>
  <c r="G7692" i="12" s="1"/>
  <c r="G7693" i="12" s="1"/>
  <c r="G7694" i="12" s="1"/>
  <c r="G7695" i="12" s="1"/>
  <c r="G7696" i="12" s="1"/>
  <c r="G7697" i="12" s="1"/>
  <c r="G7698" i="12" s="1"/>
  <c r="G7699" i="12" s="1"/>
  <c r="G7700" i="12" s="1"/>
  <c r="G7701" i="12" s="1"/>
  <c r="G7702" i="12" s="1"/>
  <c r="G7703" i="12" s="1"/>
  <c r="G7704" i="12" s="1"/>
  <c r="G7705" i="12" s="1"/>
  <c r="G7706" i="12" s="1"/>
  <c r="G7707" i="12" s="1"/>
  <c r="G7708" i="12" s="1"/>
  <c r="G7709" i="12" s="1"/>
  <c r="G7710" i="12" s="1"/>
  <c r="G7711" i="12" s="1"/>
  <c r="G7712" i="12" s="1"/>
  <c r="G7713" i="12" s="1"/>
  <c r="G7714" i="12" s="1"/>
  <c r="G7715" i="12" s="1"/>
  <c r="G7716" i="12" s="1"/>
  <c r="G7717" i="12" s="1"/>
  <c r="G7718" i="12" s="1"/>
  <c r="G7719" i="12" s="1"/>
  <c r="G7720" i="12" s="1"/>
  <c r="G7721" i="12" s="1"/>
  <c r="G7722" i="12" s="1"/>
  <c r="G7723" i="12" s="1"/>
  <c r="G7724" i="12" s="1"/>
  <c r="G7725" i="12" s="1"/>
  <c r="G7726" i="12" s="1"/>
  <c r="G7727" i="12" s="1"/>
  <c r="G7728" i="12" s="1"/>
  <c r="G7729" i="12" s="1"/>
  <c r="G7730" i="12" s="1"/>
  <c r="G7731" i="12" s="1"/>
  <c r="G7732" i="12" s="1"/>
  <c r="G7733" i="12" s="1"/>
  <c r="G7734" i="12" s="1"/>
  <c r="G7735" i="12" s="1"/>
  <c r="G7736" i="12" s="1"/>
  <c r="G7737" i="12" s="1"/>
  <c r="G7738" i="12" s="1"/>
  <c r="G7739" i="12" s="1"/>
  <c r="G7740" i="12" s="1"/>
  <c r="G7741" i="12" s="1"/>
  <c r="G7742" i="12" s="1"/>
  <c r="G7743" i="12" s="1"/>
  <c r="G7744" i="12" s="1"/>
  <c r="G7745" i="12" s="1"/>
  <c r="G7746" i="12" s="1"/>
  <c r="G7747" i="12" s="1"/>
  <c r="G7748" i="12" s="1"/>
  <c r="G7749" i="12" s="1"/>
  <c r="G7750" i="12" s="1"/>
  <c r="G7751" i="12" s="1"/>
  <c r="G7752" i="12" s="1"/>
  <c r="G7753" i="12" s="1"/>
  <c r="G7754" i="12" s="1"/>
  <c r="G7755" i="12" s="1"/>
  <c r="G7756" i="12" s="1"/>
  <c r="G7757" i="12" s="1"/>
  <c r="G7758" i="12" s="1"/>
  <c r="G7759" i="12" s="1"/>
  <c r="G7760" i="12" s="1"/>
  <c r="G7761" i="12" s="1"/>
  <c r="G7762" i="12" s="1"/>
  <c r="G7763" i="12" s="1"/>
  <c r="G7764" i="12" l="1"/>
  <c r="G7765" i="12" s="1"/>
  <c r="G7766" i="12" s="1"/>
  <c r="G7767" i="12" s="1"/>
  <c r="G7768" i="12" s="1"/>
  <c r="G7769" i="12" s="1"/>
  <c r="G7770" i="12" s="1"/>
  <c r="G7771" i="12" s="1"/>
  <c r="G7772" i="12" s="1"/>
  <c r="G7773" i="12" s="1"/>
  <c r="G7774" i="12" s="1"/>
  <c r="G7775" i="12" s="1"/>
  <c r="G7776" i="12" s="1"/>
  <c r="G7777" i="12" s="1"/>
  <c r="G7778" i="12" s="1"/>
  <c r="G7779" i="12" s="1"/>
  <c r="G7780" i="12" s="1"/>
  <c r="G7781" i="12" s="1"/>
  <c r="G7782" i="12" s="1"/>
  <c r="G7783" i="12" s="1"/>
  <c r="G7784" i="12" s="1"/>
  <c r="G7785" i="12" s="1"/>
  <c r="G7786" i="12" s="1"/>
  <c r="G7787" i="12" s="1"/>
  <c r="G7788" i="12" s="1"/>
  <c r="G7789" i="12" s="1"/>
  <c r="G7790" i="12" s="1"/>
  <c r="G7791" i="12" s="1"/>
  <c r="G7792" i="12" s="1"/>
  <c r="G7793" i="12" s="1"/>
  <c r="G7794" i="12" s="1"/>
  <c r="G7795" i="12" l="1"/>
  <c r="G7796" i="12" s="1"/>
  <c r="G7797" i="12" s="1"/>
  <c r="G7798" i="12" s="1"/>
  <c r="G7799" i="12" l="1"/>
  <c r="G7800" i="12" s="1"/>
  <c r="G7801" i="12" s="1"/>
  <c r="G7802" i="12" s="1"/>
  <c r="G7803" i="12" s="1"/>
  <c r="G7804" i="12" s="1"/>
  <c r="G7805" i="12" s="1"/>
  <c r="G7806" i="12" s="1"/>
  <c r="G7807" i="12" s="1"/>
  <c r="G7808" i="12" s="1"/>
  <c r="G7809" i="12" s="1"/>
  <c r="G7810" i="12" l="1"/>
  <c r="G7811" i="12" s="1"/>
  <c r="G7812" i="12" s="1"/>
  <c r="G7813" i="12" s="1"/>
  <c r="G7814" i="12" s="1"/>
  <c r="G7815" i="12" s="1"/>
  <c r="G7816" i="12" s="1"/>
  <c r="G7817" i="12" s="1"/>
  <c r="G7818" i="12" s="1"/>
  <c r="G7819" i="12" s="1"/>
  <c r="G7820" i="12" s="1"/>
  <c r="G7821" i="12" s="1"/>
  <c r="G7822" i="12" s="1"/>
  <c r="G7823" i="12" s="1"/>
  <c r="G7824" i="12" s="1"/>
  <c r="G7825" i="12" s="1"/>
  <c r="G7826" i="12" s="1"/>
  <c r="G7827" i="12" s="1"/>
  <c r="G7828" i="12" s="1"/>
  <c r="G7829" i="12" s="1"/>
  <c r="G7830" i="12" s="1"/>
  <c r="G7831" i="12" s="1"/>
  <c r="G7832" i="12" s="1"/>
  <c r="G7833" i="12" s="1"/>
  <c r="G7834" i="12" s="1"/>
  <c r="G7835" i="12" s="1"/>
  <c r="G7836" i="12" s="1"/>
  <c r="G7837" i="12" l="1"/>
  <c r="G7838" i="12" s="1"/>
  <c r="G7839" i="12" l="1"/>
  <c r="G7840" i="12" s="1"/>
  <c r="G7841" i="12" s="1"/>
  <c r="G7842" i="12" s="1"/>
  <c r="G7843" i="12" s="1"/>
  <c r="G7844" i="12" s="1"/>
  <c r="G7845" i="12" s="1"/>
  <c r="G7846" i="12" s="1"/>
  <c r="G7847" i="12" s="1"/>
  <c r="G7848" i="12" s="1"/>
  <c r="G7849" i="12" s="1"/>
  <c r="G7850" i="12" s="1"/>
  <c r="G7851" i="12" s="1"/>
  <c r="G7852" i="12" s="1"/>
  <c r="G7853" i="12" s="1"/>
  <c r="G7854" i="12" s="1"/>
  <c r="G7855" i="12" s="1"/>
  <c r="G7856" i="12" s="1"/>
  <c r="G7857" i="12" s="1"/>
  <c r="G7858" i="12" s="1"/>
  <c r="G7859" i="12" s="1"/>
  <c r="G7860" i="12" s="1"/>
  <c r="G7861" i="12" s="1"/>
  <c r="G7862" i="12" s="1"/>
  <c r="G7863" i="12" s="1"/>
  <c r="G7864" i="12" s="1"/>
  <c r="G7865" i="12" s="1"/>
  <c r="G7866" i="12" s="1"/>
  <c r="G7867" i="12" s="1"/>
  <c r="G7868" i="12" l="1"/>
  <c r="G7869" i="12" l="1"/>
  <c r="G7870" i="12" s="1"/>
  <c r="G7871" i="12" s="1"/>
  <c r="G7872" i="12" s="1"/>
  <c r="G7873" i="12" s="1"/>
  <c r="G7874" i="12" s="1"/>
  <c r="G7875" i="12" s="1"/>
  <c r="G7876" i="12" s="1"/>
  <c r="G7877" i="12" s="1"/>
  <c r="G7878" i="12" s="1"/>
  <c r="G7879" i="12" s="1"/>
  <c r="G7880" i="12" s="1"/>
  <c r="G7881" i="12" s="1"/>
  <c r="G7882" i="12" s="1"/>
  <c r="G7883" i="12" s="1"/>
  <c r="G7884" i="12" s="1"/>
  <c r="G7885" i="12" s="1"/>
  <c r="G7886" i="12" s="1"/>
  <c r="G7887" i="12" s="1"/>
  <c r="G7888" i="12" s="1"/>
  <c r="G7889" i="12" s="1"/>
  <c r="G7890" i="12" s="1"/>
  <c r="G7891" i="12" s="1"/>
  <c r="G7892" i="12" s="1"/>
  <c r="G7893" i="12" s="1"/>
  <c r="G7894" i="12" s="1"/>
  <c r="G7895" i="12" s="1"/>
  <c r="G7896" i="12" s="1"/>
  <c r="G7897" i="12" l="1"/>
  <c r="G7898" i="12" s="1"/>
  <c r="G7899" i="12" s="1"/>
  <c r="G7900" i="12" s="1"/>
  <c r="G7901" i="12" s="1"/>
  <c r="G7902" i="12" s="1"/>
  <c r="G7903" i="12" l="1"/>
  <c r="G7904" i="12" s="1"/>
  <c r="G7905" i="12" s="1"/>
  <c r="G7906" i="12" s="1"/>
  <c r="G7907" i="12" s="1"/>
  <c r="G7908" i="12" s="1"/>
  <c r="G7909" i="12" s="1"/>
  <c r="G7910" i="12" s="1"/>
  <c r="G7911" i="12" s="1"/>
  <c r="G7912" i="12" s="1"/>
  <c r="G7913" i="12" s="1"/>
  <c r="G7914" i="12" s="1"/>
  <c r="G7915" i="12" s="1"/>
  <c r="G7916" i="12" s="1"/>
  <c r="G7917" i="12" s="1"/>
  <c r="G7918" i="12" s="1"/>
  <c r="G7919" i="12" s="1"/>
  <c r="G7920" i="12" s="1"/>
  <c r="G7921" i="12" s="1"/>
  <c r="G7922" i="12" s="1"/>
  <c r="G7923" i="12" s="1"/>
  <c r="G7924" i="12" s="1"/>
  <c r="G7925" i="12" s="1"/>
  <c r="G7926" i="12" s="1"/>
  <c r="G7927" i="12" s="1"/>
  <c r="G7928" i="12" s="1"/>
  <c r="G7929" i="12" s="1"/>
  <c r="G7930" i="12" s="1"/>
  <c r="G7931" i="12" s="1"/>
  <c r="G7932" i="12" s="1"/>
  <c r="G7933" i="12" s="1"/>
  <c r="G7934" i="12" s="1"/>
  <c r="G7935" i="12" s="1"/>
  <c r="G7936" i="12" s="1"/>
  <c r="G7937" i="12" s="1"/>
  <c r="G7938" i="12" s="1"/>
  <c r="G7939" i="12" s="1"/>
  <c r="G7940" i="12" s="1"/>
  <c r="G7941" i="12" s="1"/>
  <c r="G7942" i="12" s="1"/>
  <c r="G7943" i="12" s="1"/>
  <c r="G7944" i="12" l="1"/>
  <c r="G7945" i="12" s="1"/>
  <c r="G7946" i="12" s="1"/>
  <c r="G7947" i="12" s="1"/>
  <c r="G7948" i="12" s="1"/>
  <c r="G7949" i="12" s="1"/>
  <c r="G7950" i="12" l="1"/>
  <c r="G7951" i="12" s="1"/>
  <c r="G7952" i="12" s="1"/>
  <c r="G7953" i="12" s="1"/>
  <c r="G7954" i="12" s="1"/>
  <c r="G7955" i="12" s="1"/>
  <c r="G7956" i="12" s="1"/>
  <c r="G7957" i="12" s="1"/>
  <c r="G7958" i="12" s="1"/>
  <c r="G7959" i="12" s="1"/>
  <c r="G7960" i="12" s="1"/>
  <c r="G7961" i="12" s="1"/>
  <c r="G7962" i="12" s="1"/>
  <c r="G7963" i="12" l="1"/>
  <c r="G7964" i="12" s="1"/>
  <c r="G7965" i="12" s="1"/>
  <c r="G7966" i="12" s="1"/>
  <c r="G7967" i="12" s="1"/>
  <c r="G7968" i="12" s="1"/>
  <c r="G7969" i="12" s="1"/>
  <c r="G7970" i="12" s="1"/>
  <c r="G7971" i="12" s="1"/>
  <c r="G7972" i="12" s="1"/>
  <c r="G7973" i="12" s="1"/>
  <c r="G7974" i="12" s="1"/>
  <c r="G7975" i="12" s="1"/>
  <c r="G7976" i="12" s="1"/>
  <c r="G7977" i="12" s="1"/>
  <c r="G7978" i="12" s="1"/>
  <c r="G7979" i="12" s="1"/>
  <c r="G7980" i="12" s="1"/>
  <c r="G7981" i="12" s="1"/>
  <c r="G7982" i="12" s="1"/>
  <c r="G7983" i="12" s="1"/>
  <c r="G7984" i="12" s="1"/>
  <c r="G7985" i="12" s="1"/>
  <c r="G7986" i="12" s="1"/>
  <c r="G7987" i="12" s="1"/>
  <c r="G7988" i="12" s="1"/>
  <c r="G7989" i="12" s="1"/>
  <c r="G7990" i="12" s="1"/>
  <c r="G7991" i="12" s="1"/>
  <c r="G7992" i="12" s="1"/>
  <c r="G7993" i="12" s="1"/>
  <c r="G7994" i="12" s="1"/>
  <c r="G7995" i="12" s="1"/>
  <c r="G7996" i="12" s="1"/>
  <c r="G7997" i="12" s="1"/>
  <c r="G7998" i="12" s="1"/>
  <c r="G7999" i="12" s="1"/>
  <c r="G8000" i="12" s="1"/>
  <c r="G8001" i="12" s="1"/>
  <c r="G8002" i="12" s="1"/>
  <c r="G8003" i="12" s="1"/>
  <c r="G8004" i="12" s="1"/>
  <c r="G8005" i="12" s="1"/>
  <c r="G8006" i="12" s="1"/>
  <c r="G8007" i="12" s="1"/>
  <c r="G8008" i="12" s="1"/>
  <c r="G8009" i="12" s="1"/>
  <c r="G8010" i="12" s="1"/>
  <c r="G8011" i="12" s="1"/>
  <c r="G8012" i="12" s="1"/>
  <c r="G8013" i="12" l="1"/>
  <c r="G8014" i="12" s="1"/>
  <c r="G8015" i="12" s="1"/>
  <c r="G8016" i="12" s="1"/>
  <c r="G8017" i="12" s="1"/>
  <c r="G8018" i="12" s="1"/>
  <c r="G8019" i="12" s="1"/>
  <c r="G8020" i="12" s="1"/>
  <c r="G8021" i="12" s="1"/>
  <c r="G8022" i="12" s="1"/>
  <c r="G8023" i="12" s="1"/>
  <c r="G8024" i="12" s="1"/>
  <c r="G8025" i="12" s="1"/>
  <c r="G8026" i="12" s="1"/>
  <c r="G8027" i="12" s="1"/>
  <c r="G8028" i="12" s="1"/>
  <c r="G8029" i="12" s="1"/>
  <c r="G8030" i="12" s="1"/>
  <c r="G8031" i="12" s="1"/>
  <c r="G8032" i="12" s="1"/>
  <c r="G8033" i="12" s="1"/>
  <c r="G8034" i="12" s="1"/>
  <c r="G8035" i="12" s="1"/>
  <c r="G8036" i="12" s="1"/>
  <c r="G8037" i="12" s="1"/>
  <c r="G8038" i="12" s="1"/>
  <c r="G8039" i="12" s="1"/>
  <c r="G8040" i="12" s="1"/>
  <c r="G8041" i="12" s="1"/>
  <c r="G8042" i="12" s="1"/>
  <c r="G8043" i="12" s="1"/>
  <c r="G8044" i="12" s="1"/>
  <c r="G8045" i="12" s="1"/>
  <c r="G8046" i="12" s="1"/>
  <c r="G8047" i="12" s="1"/>
  <c r="G8048" i="12" s="1"/>
  <c r="G8049" i="12" s="1"/>
  <c r="G8050" i="12" s="1"/>
  <c r="G8051" i="12" s="1"/>
  <c r="G8052" i="12" s="1"/>
  <c r="G8053" i="12" s="1"/>
  <c r="G8054" i="12" s="1"/>
  <c r="G8055" i="12" s="1"/>
  <c r="G8056" i="12" s="1"/>
  <c r="G8057" i="12" s="1"/>
  <c r="G8058" i="12" s="1"/>
  <c r="G8059" i="12" s="1"/>
  <c r="G8060" i="12" s="1"/>
  <c r="G8061" i="12" s="1"/>
  <c r="G8062" i="12" s="1"/>
  <c r="G8063" i="12" s="1"/>
  <c r="G8064" i="12" s="1"/>
  <c r="G8065" i="12" s="1"/>
  <c r="G8066" i="12" s="1"/>
  <c r="G8067" i="12" s="1"/>
  <c r="G8068" i="12" s="1"/>
  <c r="G8069" i="12" s="1"/>
  <c r="G8070" i="12" s="1"/>
  <c r="G8071" i="12" s="1"/>
  <c r="G8072" i="12" s="1"/>
  <c r="G8073" i="12" s="1"/>
  <c r="G8074" i="12" s="1"/>
  <c r="G8075" i="12" s="1"/>
  <c r="G8076" i="12" s="1"/>
  <c r="G8077" i="12" s="1"/>
  <c r="G8078" i="12" s="1"/>
  <c r="G8079" i="12" s="1"/>
  <c r="G8080" i="12" s="1"/>
  <c r="G8081" i="12" s="1"/>
  <c r="G8082" i="12" s="1"/>
  <c r="G8083" i="12" s="1"/>
  <c r="G8084" i="12" s="1"/>
  <c r="G8085" i="12" s="1"/>
  <c r="G8086" i="12" s="1"/>
  <c r="G8087" i="12" s="1"/>
  <c r="G8088" i="12" s="1"/>
  <c r="G8089" i="12" s="1"/>
  <c r="G8090" i="12" s="1"/>
  <c r="G8091" i="12" s="1"/>
  <c r="G8092" i="12" s="1"/>
  <c r="G8093" i="12" s="1"/>
  <c r="G8094" i="12" s="1"/>
  <c r="G8095" i="12" s="1"/>
  <c r="G8096" i="12" s="1"/>
  <c r="G8097" i="12" s="1"/>
  <c r="G8098" i="12" s="1"/>
  <c r="G8099" i="12" s="1"/>
  <c r="G8100" i="12" s="1"/>
  <c r="G8101" i="12" s="1"/>
  <c r="G8102" i="12" s="1"/>
  <c r="G8103" i="12" s="1"/>
  <c r="G8104" i="12" s="1"/>
  <c r="G8105" i="12" l="1"/>
  <c r="G8106" i="12" s="1"/>
  <c r="G8107" i="12" s="1"/>
  <c r="G8108" i="12" s="1"/>
  <c r="G8109" i="12" s="1"/>
  <c r="G8110" i="12" s="1"/>
  <c r="G8111" i="12" s="1"/>
  <c r="G8112" i="12" s="1"/>
  <c r="G8113" i="12" s="1"/>
  <c r="G8114" i="12" l="1"/>
  <c r="G8115" i="12" s="1"/>
  <c r="G8116" i="12" s="1"/>
  <c r="G8117" i="12" s="1"/>
  <c r="G8118" i="12" s="1"/>
  <c r="G8119" i="12" s="1"/>
  <c r="G8120" i="12" s="1"/>
  <c r="G8121" i="12" s="1"/>
  <c r="G8122" i="12" s="1"/>
  <c r="G8123" i="12" s="1"/>
  <c r="G8124" i="12" s="1"/>
  <c r="G8125" i="12" s="1"/>
  <c r="G8126" i="12" s="1"/>
  <c r="G8127" i="12" s="1"/>
  <c r="G8128" i="12" s="1"/>
  <c r="G8129" i="12" s="1"/>
  <c r="G8130" i="12" s="1"/>
  <c r="G8131" i="12" s="1"/>
  <c r="G8132" i="12" s="1"/>
  <c r="G8133" i="12" s="1"/>
  <c r="G8134" i="12" s="1"/>
  <c r="G8135" i="12" s="1"/>
  <c r="G8136" i="12" s="1"/>
  <c r="G8137" i="12" s="1"/>
  <c r="G8138" i="12" s="1"/>
  <c r="G8139" i="12" s="1"/>
  <c r="G8140" i="12" s="1"/>
  <c r="G8141" i="12" s="1"/>
  <c r="G8142" i="12" s="1"/>
  <c r="G8143" i="12" s="1"/>
  <c r="G8144" i="12" s="1"/>
  <c r="G8145" i="12" s="1"/>
  <c r="G8146" i="12" s="1"/>
  <c r="G8147" i="12" s="1"/>
  <c r="G8148" i="12" s="1"/>
  <c r="G8149" i="12" s="1"/>
  <c r="G8150" i="12" s="1"/>
  <c r="G8151" i="12" s="1"/>
  <c r="G8152" i="12" s="1"/>
  <c r="G8153" i="12" s="1"/>
  <c r="G8154" i="12" s="1"/>
  <c r="G8155" i="12" s="1"/>
  <c r="G8156" i="12" s="1"/>
  <c r="G8157" i="12" s="1"/>
  <c r="G8158" i="12" s="1"/>
  <c r="G8159" i="12" s="1"/>
  <c r="G8160" i="12" s="1"/>
  <c r="G8161" i="12" s="1"/>
  <c r="G8162" i="12" s="1"/>
  <c r="G8163" i="12" s="1"/>
  <c r="G8164" i="12" s="1"/>
  <c r="G8165" i="12" s="1"/>
  <c r="G8166" i="12" s="1"/>
  <c r="G8167" i="12" s="1"/>
  <c r="G8168" i="12" s="1"/>
  <c r="G8169" i="12" s="1"/>
  <c r="G8170" i="12" s="1"/>
  <c r="G8171" i="12" s="1"/>
  <c r="G8172" i="12" s="1"/>
  <c r="G8173" i="12" s="1"/>
  <c r="G8174" i="12" s="1"/>
  <c r="G8175" i="12" s="1"/>
  <c r="G8176" i="12" s="1"/>
  <c r="G8177" i="12" s="1"/>
  <c r="G8178" i="12" s="1"/>
  <c r="G8179" i="12" s="1"/>
  <c r="G8180" i="12" s="1"/>
  <c r="G8181" i="12" s="1"/>
  <c r="G8182" i="12" l="1"/>
  <c r="G8183" i="12" s="1"/>
  <c r="G8184" i="12" s="1"/>
  <c r="G8185" i="12" s="1"/>
  <c r="G8186" i="12" s="1"/>
  <c r="G8187" i="12" s="1"/>
  <c r="G8188" i="12" s="1"/>
  <c r="G8189" i="12" s="1"/>
  <c r="G8190" i="12" s="1"/>
  <c r="G8191" i="12" s="1"/>
  <c r="G8192" i="12" s="1"/>
  <c r="G8193" i="12" s="1"/>
  <c r="G8194" i="12" s="1"/>
  <c r="G8195" i="12" s="1"/>
  <c r="G8196" i="12" s="1"/>
  <c r="G8197" i="12" s="1"/>
  <c r="G8198" i="12" l="1"/>
  <c r="G8199" i="12" s="1"/>
  <c r="G8200" i="12" s="1"/>
  <c r="G8201" i="12" s="1"/>
  <c r="G8202" i="12" s="1"/>
  <c r="G8203" i="12" s="1"/>
  <c r="G8204" i="12" s="1"/>
  <c r="G8205" i="12" s="1"/>
  <c r="G8206" i="12" s="1"/>
  <c r="G8207" i="12" s="1"/>
  <c r="G8208" i="12" s="1"/>
  <c r="G8209" i="12" s="1"/>
  <c r="G8210" i="12" s="1"/>
  <c r="G8211" i="12" l="1"/>
  <c r="G8212" i="12" s="1"/>
  <c r="G8213" i="12" s="1"/>
  <c r="G8214" i="12" s="1"/>
  <c r="G8215" i="12" s="1"/>
  <c r="G8216" i="12" s="1"/>
  <c r="G8217" i="12" s="1"/>
  <c r="G8218" i="12" s="1"/>
  <c r="G8219" i="12" s="1"/>
  <c r="G8220" i="12" s="1"/>
  <c r="G8221" i="12" s="1"/>
  <c r="G8222" i="12" s="1"/>
  <c r="G8223" i="12" s="1"/>
  <c r="G8224" i="12" s="1"/>
  <c r="G8225" i="12" s="1"/>
  <c r="G8226" i="12" s="1"/>
  <c r="G8227" i="12" s="1"/>
  <c r="G8228" i="12" s="1"/>
  <c r="G8229" i="12" s="1"/>
  <c r="G8230" i="12" s="1"/>
  <c r="G8231" i="12" s="1"/>
  <c r="G8232" i="12" s="1"/>
  <c r="G8233" i="12" s="1"/>
  <c r="G8234" i="12" s="1"/>
  <c r="G8235" i="12" s="1"/>
  <c r="G8236" i="12" s="1"/>
  <c r="G8237" i="12" s="1"/>
  <c r="G8238" i="12" s="1"/>
  <c r="G8239" i="12" s="1"/>
  <c r="G8240" i="12" s="1"/>
  <c r="G8241" i="12" s="1"/>
  <c r="G8242" i="12" s="1"/>
  <c r="G8243" i="12" l="1"/>
  <c r="G8244" i="12" s="1"/>
  <c r="G8245" i="12" s="1"/>
  <c r="G8246" i="12" s="1"/>
  <c r="G8247" i="12" s="1"/>
  <c r="G8248" i="12" s="1"/>
  <c r="G8249" i="12" s="1"/>
  <c r="G8250" i="12" s="1"/>
  <c r="G8251" i="12" s="1"/>
  <c r="G8252" i="12" s="1"/>
  <c r="G8253" i="12" s="1"/>
  <c r="G8254" i="12" s="1"/>
  <c r="G8255" i="12" s="1"/>
  <c r="G8256" i="12" s="1"/>
  <c r="G8257" i="12" s="1"/>
  <c r="G8258" i="12" s="1"/>
  <c r="G8259" i="12" s="1"/>
  <c r="G8260" i="12" s="1"/>
  <c r="G8261" i="12" s="1"/>
  <c r="G8262" i="12" s="1"/>
  <c r="G8263" i="12" s="1"/>
  <c r="G8264" i="12" s="1"/>
  <c r="G8265" i="12" s="1"/>
  <c r="G8266" i="12" s="1"/>
  <c r="G8267" i="12" s="1"/>
  <c r="G8268" i="12" s="1"/>
  <c r="G8269" i="12" s="1"/>
  <c r="G8270" i="12" s="1"/>
  <c r="G8271" i="12" s="1"/>
  <c r="G8272" i="12" s="1"/>
  <c r="G8273" i="12" s="1"/>
  <c r="G8274" i="12" s="1"/>
  <c r="G8275" i="12" s="1"/>
  <c r="G8276" i="12" l="1"/>
  <c r="G8277" i="12" s="1"/>
  <c r="G8278" i="12" s="1"/>
  <c r="G8279" i="12" s="1"/>
  <c r="G8280" i="12" s="1"/>
  <c r="G8281" i="12" l="1"/>
  <c r="G8282" i="12" s="1"/>
  <c r="G8283" i="12" s="1"/>
  <c r="G8284" i="12" s="1"/>
  <c r="G8285" i="12" s="1"/>
  <c r="G8286" i="12" s="1"/>
  <c r="G8287" i="12" s="1"/>
  <c r="G8288" i="12" s="1"/>
  <c r="G8289" i="12" s="1"/>
  <c r="G8290" i="12" s="1"/>
  <c r="G8291" i="12" s="1"/>
  <c r="G8292" i="12" s="1"/>
  <c r="G8293" i="12" s="1"/>
  <c r="G8294" i="12" s="1"/>
  <c r="G8295" i="12" s="1"/>
  <c r="G8296" i="12" s="1"/>
  <c r="G8297" i="12" s="1"/>
  <c r="G8298" i="12" s="1"/>
  <c r="G8299" i="12" l="1"/>
  <c r="G8300" i="12" s="1"/>
  <c r="G8301" i="12" s="1"/>
  <c r="G8302" i="12" s="1"/>
  <c r="G8303" i="12" s="1"/>
  <c r="G8304" i="12" s="1"/>
  <c r="G8305" i="12" s="1"/>
  <c r="G8306" i="12" s="1"/>
  <c r="G8307" i="12" s="1"/>
  <c r="G8308" i="12" s="1"/>
  <c r="G8309" i="12" s="1"/>
  <c r="G8310" i="12" s="1"/>
  <c r="G8311" i="12" s="1"/>
  <c r="G8312" i="12" s="1"/>
  <c r="G8313" i="12" s="1"/>
  <c r="G8314" i="12" s="1"/>
  <c r="G8315" i="12" s="1"/>
  <c r="G8316" i="12" s="1"/>
  <c r="G8317" i="12" s="1"/>
  <c r="G8318" i="12" s="1"/>
  <c r="G8319" i="12" s="1"/>
  <c r="G8320" i="12" s="1"/>
  <c r="G8321" i="12" s="1"/>
  <c r="G8322" i="12" s="1"/>
  <c r="G8323" i="12" s="1"/>
  <c r="G8324" i="12" l="1"/>
  <c r="G8325" i="12" s="1"/>
  <c r="G8326" i="12" s="1"/>
  <c r="G8327" i="12" s="1"/>
  <c r="G8328" i="12" s="1"/>
  <c r="G8329" i="12" s="1"/>
  <c r="G8330" i="12" s="1"/>
  <c r="G8331" i="12" s="1"/>
  <c r="G8332" i="12" s="1"/>
  <c r="G8333" i="12" s="1"/>
  <c r="G8334" i="12" s="1"/>
  <c r="G8335" i="12" s="1"/>
  <c r="G8336" i="12" s="1"/>
  <c r="G8337" i="12" s="1"/>
  <c r="G8338" i="12" s="1"/>
  <c r="G8339" i="12" s="1"/>
  <c r="G8340" i="12" s="1"/>
  <c r="G8341" i="12" s="1"/>
  <c r="G8342" i="12" s="1"/>
  <c r="G8343" i="12" s="1"/>
  <c r="G8344" i="12" s="1"/>
  <c r="G8345" i="12" s="1"/>
  <c r="G8346" i="12" s="1"/>
  <c r="G8347" i="12" s="1"/>
  <c r="G8348" i="12" s="1"/>
  <c r="G8349" i="12" s="1"/>
  <c r="G8350" i="12" s="1"/>
  <c r="G8351" i="12" s="1"/>
  <c r="G8352" i="12" s="1"/>
  <c r="G8353" i="12" s="1"/>
  <c r="G8354" i="12" s="1"/>
  <c r="G8355" i="12" s="1"/>
  <c r="G8356" i="12" s="1"/>
  <c r="G8357" i="12" s="1"/>
  <c r="G8358" i="12" s="1"/>
  <c r="G8359" i="12" s="1"/>
  <c r="G8360" i="12" s="1"/>
  <c r="G8361" i="12" s="1"/>
  <c r="G8362" i="12" s="1"/>
  <c r="G8363" i="12" s="1"/>
  <c r="G8364" i="12" s="1"/>
  <c r="G8365" i="12" s="1"/>
  <c r="G8366" i="12" s="1"/>
  <c r="G8367" i="12" s="1"/>
  <c r="G8368" i="12" s="1"/>
  <c r="G8369" i="12" s="1"/>
  <c r="G8370" i="12" s="1"/>
  <c r="G8371" i="12" s="1"/>
  <c r="G8372" i="12" s="1"/>
  <c r="G8373" i="12" s="1"/>
  <c r="G8374" i="12" s="1"/>
  <c r="G8375" i="12" s="1"/>
  <c r="G8376" i="12" l="1"/>
  <c r="G8377" i="12" s="1"/>
  <c r="G8378" i="12" s="1"/>
  <c r="G8379" i="12" s="1"/>
  <c r="G8380" i="12" l="1"/>
  <c r="G8381" i="12" s="1"/>
  <c r="G8382" i="12" s="1"/>
  <c r="G8383" i="12" s="1"/>
  <c r="G8384" i="12" l="1"/>
  <c r="G8385" i="12" s="1"/>
  <c r="G8386" i="12" s="1"/>
  <c r="G8387" i="12" s="1"/>
  <c r="G8388" i="12" s="1"/>
  <c r="G8389" i="12" s="1"/>
  <c r="G8390" i="12" s="1"/>
  <c r="G8391" i="12" s="1"/>
  <c r="G8392" i="12" s="1"/>
  <c r="G8393" i="12" s="1"/>
  <c r="G8394" i="12" s="1"/>
  <c r="G8395" i="12" s="1"/>
  <c r="G8396" i="12" s="1"/>
  <c r="G8397" i="12" s="1"/>
  <c r="G8398" i="12" s="1"/>
  <c r="G8399" i="12" s="1"/>
  <c r="G8400" i="12" s="1"/>
  <c r="G8401" i="12" s="1"/>
  <c r="G8402" i="12" s="1"/>
  <c r="G8403" i="12" s="1"/>
  <c r="G8404" i="12" s="1"/>
  <c r="G8405" i="12" s="1"/>
  <c r="G8406" i="12" s="1"/>
  <c r="G8407" i="12" s="1"/>
  <c r="G8408" i="12" s="1"/>
  <c r="G8409" i="12" s="1"/>
  <c r="G8410" i="12" s="1"/>
  <c r="G8411" i="12" s="1"/>
  <c r="G8412" i="12" s="1"/>
  <c r="G8413" i="12" s="1"/>
  <c r="G8414" i="12" s="1"/>
  <c r="G8415" i="12" s="1"/>
  <c r="G8416" i="12" s="1"/>
  <c r="G8417" i="12" s="1"/>
  <c r="G8418" i="12" s="1"/>
  <c r="G8419" i="12" s="1"/>
  <c r="G8420" i="12" s="1"/>
  <c r="G8421" i="12" s="1"/>
  <c r="G8422" i="12" s="1"/>
  <c r="G8423" i="12" s="1"/>
  <c r="G8424" i="12" s="1"/>
  <c r="G8425" i="12" s="1"/>
  <c r="G8426" i="12" s="1"/>
  <c r="G8427" i="12" s="1"/>
  <c r="G8428" i="12" s="1"/>
  <c r="G8429" i="12" s="1"/>
  <c r="G8430" i="12" s="1"/>
  <c r="G8431" i="12" s="1"/>
  <c r="G8432" i="12" s="1"/>
  <c r="G8433" i="12" s="1"/>
  <c r="G8434" i="12" s="1"/>
  <c r="G8435" i="12" s="1"/>
  <c r="G8436" i="12" l="1"/>
  <c r="G8437" i="12" s="1"/>
  <c r="G8438" i="12" s="1"/>
  <c r="G8439" i="12" l="1"/>
  <c r="G8440" i="12" s="1"/>
  <c r="G8441" i="12" s="1"/>
  <c r="G8442" i="12" s="1"/>
  <c r="G8443" i="12" s="1"/>
  <c r="G8444" i="12" s="1"/>
  <c r="G8445" i="12" s="1"/>
  <c r="G8446" i="12" s="1"/>
  <c r="G8447" i="12" s="1"/>
  <c r="G8448" i="12" s="1"/>
  <c r="G8449" i="12" s="1"/>
  <c r="G8450" i="12" s="1"/>
  <c r="G8451" i="12" l="1"/>
  <c r="G8452" i="12" s="1"/>
  <c r="G8453" i="12" s="1"/>
  <c r="G8454" i="12" s="1"/>
  <c r="G8455" i="12" s="1"/>
  <c r="G8456" i="12" s="1"/>
  <c r="G8457" i="12" s="1"/>
  <c r="G8458" i="12" s="1"/>
  <c r="G8459" i="12" s="1"/>
  <c r="G8460" i="12" s="1"/>
  <c r="G8461" i="12" s="1"/>
  <c r="G8462" i="12" s="1"/>
  <c r="G8463" i="12" s="1"/>
  <c r="G8464" i="12" s="1"/>
  <c r="G8465" i="12" s="1"/>
  <c r="G8466" i="12" s="1"/>
  <c r="G8467" i="12" s="1"/>
  <c r="G8468" i="12" s="1"/>
  <c r="G8469" i="12" s="1"/>
  <c r="G8470" i="12" s="1"/>
  <c r="G8471" i="12" s="1"/>
  <c r="G8472" i="12" s="1"/>
  <c r="G8473" i="12" s="1"/>
  <c r="G8474" i="12" s="1"/>
  <c r="G8475" i="12" s="1"/>
  <c r="G8476" i="12" s="1"/>
  <c r="G8477" i="12" s="1"/>
  <c r="G8478" i="12" s="1"/>
  <c r="G8479" i="12" s="1"/>
  <c r="G8480" i="12" s="1"/>
  <c r="G8481" i="12" s="1"/>
  <c r="G8482" i="12" s="1"/>
  <c r="G8483" i="12" s="1"/>
  <c r="G8484" i="12" s="1"/>
  <c r="G8485" i="12" s="1"/>
  <c r="G8486" i="12" s="1"/>
  <c r="G8487" i="12" s="1"/>
  <c r="G8488" i="12" s="1"/>
  <c r="G8489" i="12" s="1"/>
  <c r="G8490" i="12" s="1"/>
  <c r="G8491" i="12" s="1"/>
  <c r="G8492" i="12" s="1"/>
  <c r="G8493" i="12" s="1"/>
  <c r="G8494" i="12" s="1"/>
  <c r="G8495" i="12" s="1"/>
  <c r="G8496" i="12" s="1"/>
  <c r="G8497" i="12" s="1"/>
  <c r="G8498" i="12" s="1"/>
  <c r="G8499" i="12" s="1"/>
  <c r="G8500" i="12" s="1"/>
  <c r="G8501" i="12" s="1"/>
  <c r="G8502" i="12" s="1"/>
  <c r="G8503" i="12" s="1"/>
  <c r="G8504" i="12" s="1"/>
  <c r="G8505" i="12" s="1"/>
  <c r="G8506" i="12" s="1"/>
  <c r="G8507" i="12" s="1"/>
  <c r="G8508" i="12" s="1"/>
  <c r="G8509" i="12" s="1"/>
  <c r="G8510" i="12" s="1"/>
  <c r="G8511" i="12" s="1"/>
  <c r="G8512" i="12" s="1"/>
  <c r="G8513" i="12" s="1"/>
  <c r="G8514" i="12" s="1"/>
  <c r="G8515" i="12" s="1"/>
  <c r="G8516" i="12" s="1"/>
  <c r="G8517" i="12" s="1"/>
  <c r="G8518" i="12" s="1"/>
  <c r="G8519" i="12" s="1"/>
  <c r="G8520" i="12" s="1"/>
  <c r="G8521" i="12" s="1"/>
  <c r="G8522" i="12" s="1"/>
  <c r="G8523" i="12" s="1"/>
  <c r="G8524" i="12" s="1"/>
  <c r="G8525" i="12" s="1"/>
  <c r="G8526" i="12" s="1"/>
  <c r="G8527" i="12" s="1"/>
  <c r="G8528" i="12" s="1"/>
  <c r="G8529" i="12" s="1"/>
  <c r="G8530" i="12" s="1"/>
  <c r="G8531" i="12" l="1"/>
  <c r="G8532" i="12" s="1"/>
  <c r="G8533" i="12" s="1"/>
  <c r="G8534" i="12" s="1"/>
  <c r="G8535" i="12" s="1"/>
  <c r="G8536" i="12" s="1"/>
  <c r="G8537" i="12" s="1"/>
  <c r="G8538" i="12" s="1"/>
  <c r="G8539" i="12" s="1"/>
  <c r="G8540" i="12" s="1"/>
  <c r="G8541" i="12" s="1"/>
  <c r="G8542" i="12" s="1"/>
  <c r="G8543" i="12" s="1"/>
  <c r="G8544" i="12" s="1"/>
  <c r="G8545" i="12" s="1"/>
  <c r="G8546" i="12" s="1"/>
  <c r="G8547" i="12" s="1"/>
  <c r="G8548" i="12" s="1"/>
  <c r="G8549" i="12" s="1"/>
  <c r="G8550" i="12" s="1"/>
  <c r="G8551" i="12" s="1"/>
  <c r="G8552" i="12" s="1"/>
  <c r="G8553" i="12" s="1"/>
  <c r="G8554" i="12" s="1"/>
  <c r="G8555" i="12" s="1"/>
  <c r="G8556" i="12" s="1"/>
  <c r="G8557" i="12" s="1"/>
  <c r="G8558" i="12" s="1"/>
  <c r="G8559" i="12" s="1"/>
  <c r="G8560" i="12" s="1"/>
  <c r="G8561" i="12" s="1"/>
  <c r="G8562" i="12" l="1"/>
  <c r="G8563" i="12" s="1"/>
  <c r="G8564" i="12" s="1"/>
  <c r="G8565" i="12" s="1"/>
  <c r="G8566" i="12" s="1"/>
  <c r="G8567" i="12" s="1"/>
  <c r="G8568" i="12" s="1"/>
  <c r="G8569" i="12" s="1"/>
  <c r="G8570" i="12" s="1"/>
  <c r="G8571" i="12" s="1"/>
  <c r="G8572" i="12" s="1"/>
  <c r="G8573" i="12" s="1"/>
  <c r="G8574" i="12" s="1"/>
  <c r="G8575" i="12" s="1"/>
  <c r="G8576" i="12" s="1"/>
  <c r="G8577" i="12" s="1"/>
  <c r="G8578" i="12" s="1"/>
  <c r="G8579" i="12" s="1"/>
  <c r="G8580" i="12" s="1"/>
  <c r="G8581" i="12" s="1"/>
  <c r="G8582" i="12" s="1"/>
  <c r="G8583" i="12" s="1"/>
  <c r="G8584" i="12" s="1"/>
  <c r="G8585" i="12" l="1"/>
  <c r="G8586" i="12" s="1"/>
  <c r="G8587" i="12" s="1"/>
  <c r="G8588" i="12" s="1"/>
  <c r="G8589" i="12" s="1"/>
  <c r="G8590" i="12" s="1"/>
  <c r="G8591" i="12" s="1"/>
  <c r="G8592" i="12" s="1"/>
  <c r="G8593" i="12" s="1"/>
  <c r="G8594" i="12" s="1"/>
  <c r="G8595" i="12" s="1"/>
  <c r="G8596" i="12" s="1"/>
  <c r="G8597" i="12" s="1"/>
  <c r="G8598" i="12" s="1"/>
  <c r="G8599" i="12" s="1"/>
  <c r="G8600" i="12" s="1"/>
  <c r="G8601" i="12" s="1"/>
  <c r="G8602" i="12" s="1"/>
  <c r="G8603" i="12" s="1"/>
  <c r="G8604" i="12" s="1"/>
  <c r="G8605" i="12" s="1"/>
  <c r="G8606" i="12" l="1"/>
  <c r="G8607" i="12" s="1"/>
  <c r="G8608" i="12" s="1"/>
  <c r="G8609" i="12" s="1"/>
  <c r="G8610" i="12" s="1"/>
  <c r="G8611" i="12" s="1"/>
  <c r="G8612" i="12" s="1"/>
  <c r="G8613" i="12" s="1"/>
  <c r="G8614" i="12" s="1"/>
  <c r="G8615" i="12" s="1"/>
  <c r="G8616" i="12" s="1"/>
  <c r="G8617" i="12" s="1"/>
  <c r="G8618" i="12" s="1"/>
  <c r="G8619" i="12" s="1"/>
  <c r="G8620" i="12" s="1"/>
  <c r="G8621" i="12" s="1"/>
  <c r="G8622" i="12" s="1"/>
  <c r="G8623" i="12" s="1"/>
  <c r="G8624" i="12" s="1"/>
  <c r="G8625" i="12" s="1"/>
  <c r="G8626" i="12" s="1"/>
  <c r="G8627" i="12" s="1"/>
  <c r="G8628" i="12" s="1"/>
  <c r="G8629" i="12" s="1"/>
  <c r="G8630" i="12" s="1"/>
  <c r="G8631" i="12" s="1"/>
  <c r="G8632" i="12" s="1"/>
  <c r="G8633" i="12" s="1"/>
  <c r="G8634" i="12" s="1"/>
  <c r="G8635" i="12" s="1"/>
  <c r="G8636" i="12" l="1"/>
  <c r="G8637" i="12" s="1"/>
  <c r="G8638" i="12" s="1"/>
  <c r="G8639" i="12" s="1"/>
  <c r="G8640" i="12" s="1"/>
  <c r="G8641" i="12" s="1"/>
  <c r="G8642" i="12" s="1"/>
  <c r="G8643" i="12" s="1"/>
  <c r="G8644" i="12" s="1"/>
  <c r="G8645" i="12" s="1"/>
  <c r="G8646" i="12" s="1"/>
  <c r="G8647" i="12" s="1"/>
  <c r="G8648" i="12" s="1"/>
  <c r="G8649" i="12" s="1"/>
  <c r="G8650" i="12" s="1"/>
  <c r="G8651" i="12" s="1"/>
  <c r="G8652" i="12" s="1"/>
  <c r="G8653" i="12" s="1"/>
  <c r="G8654" i="12" s="1"/>
  <c r="G8655" i="12" s="1"/>
  <c r="G8656" i="12" s="1"/>
  <c r="G8657" i="12" s="1"/>
  <c r="G8658" i="12" s="1"/>
  <c r="G8659" i="12" s="1"/>
  <c r="G8660" i="12" s="1"/>
  <c r="G8661" i="12" s="1"/>
  <c r="G8662" i="12" s="1"/>
  <c r="G8663" i="12" s="1"/>
  <c r="G8664" i="12" s="1"/>
  <c r="G8665" i="12" s="1"/>
  <c r="G8666" i="12" s="1"/>
  <c r="G8667" i="12" s="1"/>
  <c r="G8668" i="12" s="1"/>
  <c r="G8669" i="12" s="1"/>
  <c r="G8670" i="12" s="1"/>
  <c r="G8671" i="12" s="1"/>
  <c r="G8672" i="12" s="1"/>
  <c r="G8673" i="12" s="1"/>
  <c r="G8674" i="12" s="1"/>
  <c r="G8675" i="12" s="1"/>
  <c r="G8676" i="12" l="1"/>
  <c r="G8677" i="12" s="1"/>
  <c r="G8678" i="12" s="1"/>
  <c r="G8679" i="12" s="1"/>
  <c r="G8680" i="12" s="1"/>
  <c r="G8681" i="12" s="1"/>
  <c r="G8682" i="12" s="1"/>
  <c r="G8683" i="12" s="1"/>
  <c r="G8684" i="12" s="1"/>
  <c r="G8685" i="12" s="1"/>
  <c r="G8686" i="12" s="1"/>
  <c r="G8687" i="12" s="1"/>
  <c r="G8688" i="12" s="1"/>
  <c r="G8689" i="12" l="1"/>
  <c r="G8690" i="12" s="1"/>
  <c r="G8691" i="12" s="1"/>
  <c r="G8692" i="12" s="1"/>
  <c r="G8693" i="12" s="1"/>
  <c r="G8694" i="12" s="1"/>
  <c r="G8695" i="12" s="1"/>
  <c r="G8696" i="12" s="1"/>
  <c r="G8697" i="12" s="1"/>
  <c r="G8698" i="12" s="1"/>
  <c r="G8699" i="12" s="1"/>
  <c r="G8700" i="12" s="1"/>
  <c r="G8701" i="12" l="1"/>
  <c r="G8702" i="12" s="1"/>
  <c r="G8703" i="12" s="1"/>
  <c r="G8704" i="12" s="1"/>
  <c r="G8705" i="12" s="1"/>
  <c r="G8706" i="12" s="1"/>
  <c r="G8707" i="12" s="1"/>
  <c r="G8708" i="12" s="1"/>
  <c r="G8709" i="12" s="1"/>
  <c r="G8710" i="12" s="1"/>
  <c r="G8711" i="12" s="1"/>
  <c r="G8712" i="12" s="1"/>
  <c r="G8713" i="12" s="1"/>
  <c r="G8714" i="12" s="1"/>
  <c r="G8715" i="12" s="1"/>
  <c r="G8716" i="12" s="1"/>
  <c r="G8717" i="12" s="1"/>
  <c r="G8718" i="12" s="1"/>
  <c r="G8719" i="12" l="1"/>
  <c r="G8720" i="12" s="1"/>
  <c r="G8721" i="12" s="1"/>
  <c r="G8722" i="12" s="1"/>
  <c r="G8723" i="12" s="1"/>
  <c r="G8724" i="12" s="1"/>
  <c r="G8725" i="12" s="1"/>
  <c r="G8726" i="12" s="1"/>
  <c r="G8727" i="12" s="1"/>
  <c r="G8728" i="12" s="1"/>
  <c r="G8729" i="12" s="1"/>
  <c r="G8730" i="12" s="1"/>
  <c r="G8731" i="12" s="1"/>
  <c r="G8732" i="12" s="1"/>
  <c r="G8733" i="12" s="1"/>
  <c r="G8734" i="12" s="1"/>
  <c r="G8735" i="12" s="1"/>
  <c r="G8736" i="12" s="1"/>
  <c r="G8737" i="12" s="1"/>
  <c r="G8738" i="12" s="1"/>
  <c r="G8739" i="12" s="1"/>
  <c r="G8740" i="12" s="1"/>
  <c r="G8741" i="12" s="1"/>
  <c r="G8742" i="12" s="1"/>
  <c r="G8743" i="12" s="1"/>
  <c r="G8744" i="12" s="1"/>
  <c r="G8745" i="12" s="1"/>
  <c r="G8746" i="12" s="1"/>
  <c r="G8747" i="12" s="1"/>
  <c r="G8748" i="12" s="1"/>
  <c r="G8749" i="12" s="1"/>
  <c r="G8750" i="12" s="1"/>
  <c r="G8751" i="12" s="1"/>
  <c r="G8752" i="12" s="1"/>
  <c r="G8753" i="12" s="1"/>
  <c r="G8754" i="12" s="1"/>
  <c r="G8755" i="12" s="1"/>
  <c r="G8756" i="12" s="1"/>
  <c r="G8757" i="12" s="1"/>
  <c r="G8758" i="12" s="1"/>
  <c r="G8759" i="12" s="1"/>
  <c r="G8760" i="12" s="1"/>
  <c r="G8761" i="12" s="1"/>
  <c r="G8762" i="12" s="1"/>
  <c r="G8763" i="12" s="1"/>
  <c r="G8764" i="12" s="1"/>
  <c r="G8765" i="12" s="1"/>
  <c r="G8766" i="12" s="1"/>
  <c r="G8767" i="12" s="1"/>
  <c r="G8768" i="12" s="1"/>
  <c r="G8769" i="12" s="1"/>
  <c r="G8770" i="12" s="1"/>
  <c r="G8771" i="12" s="1"/>
  <c r="G8772" i="12" l="1"/>
  <c r="G8773" i="12" s="1"/>
  <c r="G8774" i="12" s="1"/>
  <c r="G8775" i="12" s="1"/>
  <c r="G8776" i="12" s="1"/>
  <c r="G8777" i="12" s="1"/>
  <c r="G8778" i="12" s="1"/>
  <c r="G8779" i="12" s="1"/>
  <c r="G8780" i="12" s="1"/>
  <c r="G8781" i="12" s="1"/>
  <c r="G8782" i="12" s="1"/>
  <c r="G8783" i="12" s="1"/>
  <c r="G8784" i="12" s="1"/>
  <c r="G8785" i="12" s="1"/>
  <c r="G8786" i="12" s="1"/>
  <c r="G8787" i="12" s="1"/>
  <c r="G8788" i="12" s="1"/>
  <c r="G8789" i="12" s="1"/>
  <c r="G8790" i="12" s="1"/>
  <c r="G8791" i="12" s="1"/>
  <c r="G8792" i="12" s="1"/>
  <c r="G8793" i="12" s="1"/>
  <c r="G8794" i="12" s="1"/>
  <c r="G8795" i="12" s="1"/>
  <c r="G8796" i="12" s="1"/>
  <c r="G8797" i="12" s="1"/>
  <c r="G8798" i="12" s="1"/>
  <c r="G8799" i="12" s="1"/>
  <c r="G8800" i="12" s="1"/>
  <c r="G8801" i="12" s="1"/>
  <c r="G8802" i="12" s="1"/>
  <c r="G8803" i="12" s="1"/>
  <c r="G8804" i="12" s="1"/>
  <c r="G8805" i="12" s="1"/>
  <c r="G8806" i="12" s="1"/>
  <c r="G8807" i="12" s="1"/>
  <c r="G8808" i="12" s="1"/>
  <c r="G8809" i="12" s="1"/>
  <c r="G8810" i="12" s="1"/>
  <c r="G8811" i="12" s="1"/>
  <c r="G8812" i="12" l="1"/>
  <c r="G8813" i="12" s="1"/>
  <c r="G8814" i="12" s="1"/>
  <c r="G8815" i="12" s="1"/>
  <c r="G8816" i="12" s="1"/>
  <c r="G8817" i="12" s="1"/>
  <c r="G8818" i="12" s="1"/>
  <c r="G8819" i="12" s="1"/>
  <c r="G8820" i="12" s="1"/>
  <c r="G8821" i="12" s="1"/>
  <c r="G8822" i="12" s="1"/>
  <c r="G8823" i="12" s="1"/>
  <c r="G8824" i="12" s="1"/>
  <c r="G8825" i="12" s="1"/>
  <c r="G8826" i="12" s="1"/>
  <c r="G8827" i="12" s="1"/>
  <c r="G8828" i="12" s="1"/>
  <c r="G8829" i="12" s="1"/>
  <c r="G8830" i="12" s="1"/>
  <c r="G8831" i="12" s="1"/>
  <c r="G8832" i="12" s="1"/>
  <c r="G8833" i="12" s="1"/>
  <c r="G8834" i="12" s="1"/>
  <c r="G8835" i="12" s="1"/>
  <c r="G8836" i="12" s="1"/>
  <c r="G8837" i="12" s="1"/>
  <c r="G8838" i="12" s="1"/>
  <c r="G8839" i="12" s="1"/>
  <c r="G8840" i="12" s="1"/>
  <c r="G8841" i="12" s="1"/>
  <c r="G8842" i="12" s="1"/>
  <c r="G8843" i="12" s="1"/>
  <c r="G8844" i="12" s="1"/>
  <c r="G8845" i="12" s="1"/>
  <c r="G8846" i="12" s="1"/>
  <c r="G8847" i="12" s="1"/>
  <c r="G8848" i="12" s="1"/>
  <c r="G8849" i="12" s="1"/>
  <c r="G8850" i="12" s="1"/>
  <c r="G8851" i="12" s="1"/>
  <c r="G8852" i="12" s="1"/>
  <c r="G8853" i="12" s="1"/>
  <c r="G8854" i="12" s="1"/>
  <c r="G8855" i="12" s="1"/>
  <c r="G8856" i="12" s="1"/>
  <c r="G8857" i="12" s="1"/>
  <c r="G8858" i="12" s="1"/>
  <c r="G8859" i="12" s="1"/>
  <c r="G8860" i="12" s="1"/>
  <c r="G8861" i="12" s="1"/>
  <c r="G8862" i="12" s="1"/>
  <c r="G8863" i="12" s="1"/>
  <c r="G8864" i="12" s="1"/>
  <c r="G8865" i="12" s="1"/>
  <c r="G8866" i="12" s="1"/>
  <c r="G8867" i="12" s="1"/>
  <c r="G8868" i="12" s="1"/>
  <c r="G8869" i="12" s="1"/>
  <c r="G8870" i="12" s="1"/>
  <c r="G8871" i="12" s="1"/>
  <c r="G8872" i="12" s="1"/>
  <c r="G8873" i="12" s="1"/>
  <c r="G8874" i="12" s="1"/>
  <c r="G8875" i="12" s="1"/>
  <c r="G8876" i="12" s="1"/>
  <c r="G8877" i="12" s="1"/>
  <c r="G8878" i="12" s="1"/>
  <c r="G8879" i="12" s="1"/>
  <c r="G8880" i="12" s="1"/>
  <c r="G8881" i="12" s="1"/>
  <c r="G8882" i="12" s="1"/>
  <c r="G8883" i="12" s="1"/>
  <c r="G8884" i="12" s="1"/>
  <c r="G8885" i="12" s="1"/>
  <c r="G8886" i="12" s="1"/>
  <c r="G8887" i="12" s="1"/>
  <c r="G8888" i="12" s="1"/>
  <c r="G8889" i="12" s="1"/>
  <c r="G8890" i="12" s="1"/>
  <c r="G8891" i="12" s="1"/>
  <c r="G8892" i="12" s="1"/>
  <c r="G8893" i="12" s="1"/>
  <c r="G8894" i="12" s="1"/>
  <c r="G8895" i="12" s="1"/>
  <c r="G8896" i="12" s="1"/>
  <c r="G8897" i="12" s="1"/>
  <c r="G8898" i="12" s="1"/>
  <c r="G8899" i="12" s="1"/>
  <c r="G8900" i="12" s="1"/>
  <c r="G8901" i="12" s="1"/>
  <c r="G8902" i="12" s="1"/>
  <c r="G8903" i="12" s="1"/>
  <c r="G8904" i="12" s="1"/>
  <c r="G8905" i="12" s="1"/>
  <c r="G8906" i="12" s="1"/>
  <c r="G8907" i="12" s="1"/>
  <c r="G8908" i="12" s="1"/>
  <c r="G8909" i="12" s="1"/>
  <c r="G8910" i="12" s="1"/>
  <c r="G8911" i="12" s="1"/>
  <c r="G8912" i="12" s="1"/>
  <c r="G8913" i="12" s="1"/>
  <c r="G8914" i="12" s="1"/>
  <c r="G8915" i="12" s="1"/>
  <c r="G8916" i="12" s="1"/>
  <c r="G8917" i="12" s="1"/>
  <c r="G8918" i="12" s="1"/>
  <c r="G8919" i="12" s="1"/>
  <c r="G8920" i="12" s="1"/>
  <c r="G8921" i="12" s="1"/>
  <c r="G8922" i="12" s="1"/>
  <c r="G8923" i="12" s="1"/>
  <c r="G8924" i="12" s="1"/>
  <c r="G8925" i="12" s="1"/>
  <c r="G8926" i="12" s="1"/>
  <c r="G8927" i="12" s="1"/>
  <c r="G8928" i="12" s="1"/>
  <c r="G8929" i="12" s="1"/>
  <c r="G8930" i="12" s="1"/>
  <c r="G8931" i="12" s="1"/>
  <c r="G8932" i="12" s="1"/>
  <c r="G8933" i="12" s="1"/>
  <c r="G8934" i="12" s="1"/>
  <c r="G8935" i="12" s="1"/>
  <c r="G8936" i="12" s="1"/>
  <c r="G8937" i="12" s="1"/>
  <c r="G8938" i="12" s="1"/>
  <c r="G8939" i="12" s="1"/>
  <c r="G8940" i="12" s="1"/>
  <c r="G8941" i="12" s="1"/>
  <c r="G8942" i="12" s="1"/>
  <c r="G8943" i="12" s="1"/>
  <c r="G8944" i="12" s="1"/>
  <c r="G8945" i="12" s="1"/>
  <c r="G8946" i="12" s="1"/>
  <c r="G8947" i="12" s="1"/>
  <c r="G8948" i="12" s="1"/>
  <c r="G8949" i="12" s="1"/>
  <c r="G8950" i="12" s="1"/>
  <c r="G8951" i="12" s="1"/>
  <c r="G8952" i="12" s="1"/>
  <c r="G8953" i="12" s="1"/>
  <c r="G8954" i="12" s="1"/>
  <c r="G8955" i="12" s="1"/>
  <c r="G8956" i="12" s="1"/>
  <c r="G8957" i="12" s="1"/>
  <c r="G8958" i="12" s="1"/>
  <c r="G8959" i="12" s="1"/>
  <c r="G8960" i="12" s="1"/>
  <c r="G8961" i="12" s="1"/>
  <c r="G8962" i="12" s="1"/>
  <c r="G8963" i="12" s="1"/>
  <c r="G8964" i="12" s="1"/>
  <c r="G8965" i="12" s="1"/>
  <c r="G8966" i="12" s="1"/>
  <c r="G8967" i="12" s="1"/>
  <c r="G8968" i="12" s="1"/>
  <c r="G8969" i="12" s="1"/>
  <c r="G8970" i="12" s="1"/>
  <c r="G8971" i="12" s="1"/>
  <c r="G8972" i="12" s="1"/>
  <c r="G8973" i="12" s="1"/>
  <c r="G8974" i="12" s="1"/>
  <c r="G8975" i="12" s="1"/>
  <c r="G8976" i="12" s="1"/>
  <c r="G8977" i="12" s="1"/>
  <c r="G8978" i="12" s="1"/>
  <c r="G8979" i="12" s="1"/>
  <c r="G8980" i="12" s="1"/>
  <c r="G8981" i="12" s="1"/>
  <c r="G8982" i="12" s="1"/>
  <c r="G8983" i="12" s="1"/>
  <c r="G8984" i="12" s="1"/>
  <c r="G8985" i="12" s="1"/>
  <c r="G8986" i="12" s="1"/>
  <c r="G8987" i="12" s="1"/>
  <c r="G8988" i="12" s="1"/>
  <c r="G8989" i="12" l="1"/>
  <c r="G8990" i="12" s="1"/>
  <c r="G8993" i="12" s="1"/>
  <c r="G8994" i="12" s="1"/>
  <c r="G8995" i="12" s="1"/>
  <c r="G8996" i="12" s="1"/>
  <c r="G8997" i="12" s="1"/>
  <c r="G8998" i="12" s="1"/>
  <c r="G8999" i="12" s="1"/>
  <c r="G9000" i="12" s="1"/>
  <c r="G9001" i="12" s="1"/>
  <c r="G9002" i="12" s="1"/>
  <c r="G9003" i="12" s="1"/>
  <c r="G9004" i="12" s="1"/>
  <c r="G9005" i="12" s="1"/>
  <c r="G9006" i="12" s="1"/>
  <c r="G9007" i="12" s="1"/>
  <c r="G9008" i="12" s="1"/>
  <c r="G9009" i="12" s="1"/>
  <c r="G9010" i="12" s="1"/>
  <c r="G9011" i="12" s="1"/>
  <c r="G9012" i="12" s="1"/>
  <c r="G9013" i="12" s="1"/>
  <c r="G9014" i="12" s="1"/>
  <c r="G9015" i="12" s="1"/>
  <c r="G9016" i="12" s="1"/>
  <c r="G9017" i="12" s="1"/>
  <c r="G9018" i="12" s="1"/>
  <c r="G9019" i="12" s="1"/>
  <c r="G9020" i="12" s="1"/>
  <c r="G9021" i="12" s="1"/>
  <c r="G9022" i="12" s="1"/>
  <c r="G9023" i="12" s="1"/>
  <c r="G9024" i="12" s="1"/>
  <c r="G9025" i="12" s="1"/>
  <c r="G9026" i="12" s="1"/>
  <c r="G9027" i="12" s="1"/>
  <c r="G9028" i="12" s="1"/>
  <c r="G9029" i="12" s="1"/>
  <c r="G9030" i="12" s="1"/>
  <c r="G9031" i="12" s="1"/>
  <c r="G9032" i="12" s="1"/>
  <c r="G9033" i="12" s="1"/>
  <c r="G9034" i="12" s="1"/>
  <c r="G9035" i="12" s="1"/>
  <c r="G9036" i="12" s="1"/>
  <c r="G9037" i="12" s="1"/>
  <c r="G9038" i="12" s="1"/>
  <c r="G9039" i="12" s="1"/>
  <c r="G9040" i="12" s="1"/>
  <c r="G9041" i="12" s="1"/>
  <c r="G9042" i="12" s="1"/>
  <c r="G9043" i="12" s="1"/>
  <c r="G9044" i="12" s="1"/>
  <c r="G9045" i="12" s="1"/>
  <c r="J7858" i="12"/>
  <c r="J7860" i="12" s="1"/>
  <c r="J8805" i="12"/>
  <c r="J8807" i="12" s="1"/>
  <c r="J8353" i="12"/>
  <c r="J8355" i="12" s="1"/>
  <c r="J8116" i="12"/>
  <c r="J8118" i="12" s="1"/>
  <c r="I7528" i="12"/>
  <c r="I7530" i="12" s="1"/>
  <c r="J8574" i="12"/>
  <c r="J8576" i="12" s="1"/>
  <c r="D26" i="57" l="1"/>
  <c r="G9046" i="12" l="1"/>
  <c r="G9047" i="12" s="1"/>
  <c r="G9048" i="12" s="1"/>
  <c r="G9049" i="12" s="1"/>
  <c r="G9050" i="12" s="1"/>
  <c r="G9051" i="12" s="1"/>
  <c r="G9052" i="12" s="1"/>
  <c r="G9053" i="12" s="1"/>
  <c r="G9054" i="12" s="1"/>
  <c r="G9055" i="12" s="1"/>
  <c r="G9056" i="12" s="1"/>
  <c r="G9057" i="12" s="1"/>
  <c r="G9058" i="12" s="1"/>
  <c r="G9059" i="12" s="1"/>
  <c r="G9060" i="12" s="1"/>
  <c r="G9061" i="12" s="1"/>
  <c r="G9062" i="12" s="1"/>
  <c r="G9063" i="12" s="1"/>
  <c r="G9064" i="12" s="1"/>
  <c r="G9065" i="12" s="1"/>
  <c r="G9066" i="12" s="1"/>
  <c r="G9067" i="12" s="1"/>
  <c r="G9068" i="12" s="1"/>
  <c r="G9069" i="12" s="1"/>
  <c r="G9070" i="12" s="1"/>
  <c r="G9071" i="12" s="1"/>
  <c r="G9072" i="12" s="1"/>
  <c r="G9073" i="12" s="1"/>
  <c r="G9074" i="12" s="1"/>
  <c r="G9075" i="12" s="1"/>
  <c r="G9076" i="12" s="1"/>
  <c r="G9077" i="12" s="1"/>
  <c r="G9078" i="12" s="1"/>
  <c r="G9079" i="12" s="1"/>
  <c r="G9080" i="12" s="1"/>
  <c r="G9081" i="12" s="1"/>
  <c r="G9082" i="12" s="1"/>
  <c r="G9083" i="12" s="1"/>
  <c r="G9084" i="12" s="1"/>
  <c r="G9085" i="12" s="1"/>
  <c r="G9086" i="12" s="1"/>
  <c r="G9087" i="12" s="1"/>
  <c r="G9088" i="12" s="1"/>
  <c r="G9089" i="12" s="1"/>
  <c r="G9090" i="12" s="1"/>
  <c r="G9091" i="12" s="1"/>
  <c r="G9092" i="12" s="1"/>
  <c r="G9093" i="12" s="1"/>
  <c r="G9094" i="12" s="1"/>
  <c r="G9095" i="12" s="1"/>
  <c r="G9096" i="12" s="1"/>
  <c r="G9097" i="12" s="1"/>
  <c r="G9098" i="12" s="1"/>
  <c r="G9099" i="12" s="1"/>
  <c r="G9100" i="12" s="1"/>
  <c r="G9101" i="12" s="1"/>
  <c r="G9102" i="12" s="1"/>
  <c r="G9103" i="12" s="1"/>
  <c r="G9104" i="12" s="1"/>
  <c r="G9105" i="12" s="1"/>
  <c r="G9106" i="12" s="1"/>
  <c r="G9107" i="12" s="1"/>
  <c r="G9108" i="12" s="1"/>
  <c r="G9109" i="12" s="1"/>
  <c r="G9110" i="12" s="1"/>
  <c r="G9111" i="12" s="1"/>
  <c r="G9112" i="12" s="1"/>
  <c r="G9113" i="12" s="1"/>
  <c r="G9114" i="12" s="1"/>
  <c r="G9115" i="12" s="1"/>
  <c r="G9116" i="12" s="1"/>
  <c r="G9117" i="12" s="1"/>
  <c r="G9118" i="12" s="1"/>
  <c r="G9119" i="12" s="1"/>
  <c r="G9120" i="12" s="1"/>
  <c r="G9121" i="12" s="1"/>
  <c r="G9122" i="12" s="1"/>
  <c r="G9123" i="12" s="1"/>
  <c r="G9124" i="12" s="1"/>
  <c r="G9125" i="12" s="1"/>
  <c r="G9126" i="12" s="1"/>
  <c r="G9127" i="12" s="1"/>
  <c r="G9128" i="12" s="1"/>
  <c r="G9129" i="12" s="1"/>
  <c r="G9130" i="12" s="1"/>
  <c r="G9131" i="12" s="1"/>
  <c r="G9132" i="12" s="1"/>
  <c r="G9133" i="12" s="1"/>
  <c r="G9134" i="12" s="1"/>
  <c r="G9135" i="12" s="1"/>
  <c r="G9136" i="12" s="1"/>
  <c r="G9137" i="12" s="1"/>
  <c r="G9138" i="12" s="1"/>
  <c r="G9139" i="12" s="1"/>
  <c r="G9140" i="12" s="1"/>
  <c r="G9141" i="12" s="1"/>
  <c r="G9142" i="12" s="1"/>
  <c r="G9143" i="12" s="1"/>
  <c r="G9144" i="12" s="1"/>
  <c r="G9145" i="12" s="1"/>
  <c r="G9146" i="12" s="1"/>
  <c r="G9147" i="12" s="1"/>
  <c r="G9148" i="12" s="1"/>
  <c r="G9149" i="12" s="1"/>
  <c r="G9150" i="12" s="1"/>
  <c r="G9151" i="12" s="1"/>
  <c r="G9152" i="12" s="1"/>
  <c r="G9153" i="12" s="1"/>
  <c r="G9154" i="12" s="1"/>
  <c r="G9155" i="12" s="1"/>
  <c r="G9156" i="12" s="1"/>
  <c r="G9157" i="12" s="1"/>
  <c r="G9158" i="12" s="1"/>
  <c r="G9159" i="12" s="1"/>
  <c r="G9160" i="12" s="1"/>
  <c r="G9161" i="12" s="1"/>
  <c r="G9162" i="12" s="1"/>
  <c r="G9163" i="12" s="1"/>
  <c r="G9164" i="12" s="1"/>
  <c r="G9165" i="12" s="1"/>
  <c r="G9166" i="12" s="1"/>
  <c r="G9167" i="12" s="1"/>
  <c r="G9168" i="12" s="1"/>
  <c r="G9169" i="12" s="1"/>
  <c r="G9170" i="12" s="1"/>
  <c r="G9171" i="12" s="1"/>
  <c r="G9172" i="12" s="1"/>
  <c r="G9173" i="12" s="1"/>
  <c r="G9174" i="12" s="1"/>
  <c r="G9175" i="12" s="1"/>
  <c r="G9176" i="12" s="1"/>
  <c r="G9177" i="12" s="1"/>
  <c r="G9178" i="12" s="1"/>
  <c r="G9179" i="12" s="1"/>
  <c r="G9180" i="12" s="1"/>
  <c r="G9181" i="12" s="1"/>
  <c r="G9182" i="12" s="1"/>
  <c r="G9183" i="12" s="1"/>
  <c r="G9184" i="12" s="1"/>
  <c r="G9185" i="12" s="1"/>
  <c r="G9186" i="12" s="1"/>
  <c r="G9187" i="12" s="1"/>
  <c r="G9188" i="12" s="1"/>
  <c r="G9189" i="12" s="1"/>
  <c r="G9190" i="12" s="1"/>
  <c r="G9191" i="12" s="1"/>
  <c r="G9192" i="12" s="1"/>
  <c r="G9193" i="12" s="1"/>
  <c r="G9194" i="12" s="1"/>
  <c r="G9195" i="12" s="1"/>
  <c r="G9196" i="12" s="1"/>
  <c r="G9197" i="12" s="1"/>
  <c r="G9198" i="12" s="1"/>
  <c r="G9199" i="12" s="1"/>
  <c r="G9200" i="12" s="1"/>
  <c r="G9201" i="12" s="1"/>
  <c r="G9202" i="12" s="1"/>
  <c r="G9203" i="12" s="1"/>
  <c r="G9204" i="12" s="1"/>
  <c r="G9205" i="12" s="1"/>
  <c r="G9206" i="12" s="1"/>
  <c r="G9207" i="12" s="1"/>
  <c r="G9208" i="12" s="1"/>
  <c r="G9209" i="12" s="1"/>
  <c r="G9210" i="12" s="1"/>
  <c r="G9211" i="12" s="1"/>
  <c r="G9212" i="12" s="1"/>
  <c r="G9213" i="12" s="1"/>
  <c r="G9214" i="12" s="1"/>
  <c r="G9215" i="12" s="1"/>
  <c r="G9216" i="12" s="1"/>
  <c r="G9217" i="12" s="1"/>
  <c r="G9218" i="12" s="1"/>
  <c r="G9219" i="12" s="1"/>
  <c r="G9220" i="12" s="1"/>
  <c r="G9221" i="12" s="1"/>
  <c r="G9222" i="12" s="1"/>
  <c r="G9223" i="12" s="1"/>
  <c r="G9224" i="12" s="1"/>
  <c r="G9225" i="12" s="1"/>
  <c r="G9226" i="12" s="1"/>
  <c r="G9227" i="12" s="1"/>
  <c r="G9228" i="12" s="1"/>
  <c r="G9229" i="12" s="1"/>
  <c r="G9230" i="12" s="1"/>
  <c r="G9231" i="12" s="1"/>
  <c r="G9232" i="12" s="1"/>
  <c r="G9233" i="12" s="1"/>
  <c r="G9234" i="12" s="1"/>
  <c r="G9235" i="12" s="1"/>
  <c r="G9236" i="12" s="1"/>
  <c r="G9237" i="12" s="1"/>
  <c r="G9238" i="12" s="1"/>
  <c r="G9239" i="12" s="1"/>
  <c r="G9240" i="12" s="1"/>
  <c r="G9241" i="12" s="1"/>
  <c r="G9242" i="12" s="1"/>
  <c r="G9243" i="12" s="1"/>
  <c r="G9244" i="12" s="1"/>
  <c r="G9245" i="12" s="1"/>
  <c r="G9246" i="12" s="1"/>
  <c r="G9247" i="12" s="1"/>
  <c r="G9248" i="12" s="1"/>
  <c r="G9249" i="12" s="1"/>
  <c r="G9250" i="12" s="1"/>
  <c r="G9251" i="12" s="1"/>
  <c r="G9252" i="12" s="1"/>
  <c r="G9253" i="12" s="1"/>
  <c r="G9254" i="12" s="1"/>
  <c r="G9255" i="12" s="1"/>
  <c r="G9256" i="12" s="1"/>
  <c r="G9257" i="12" s="1"/>
  <c r="G9258" i="12" s="1"/>
  <c r="G9259" i="12" s="1"/>
  <c r="G9260" i="12" s="1"/>
  <c r="G9261" i="12" s="1"/>
  <c r="G9262" i="12" s="1"/>
  <c r="G9263" i="12" s="1"/>
  <c r="G9264" i="12" s="1"/>
  <c r="G9265" i="12" s="1"/>
  <c r="G9266" i="12" s="1"/>
  <c r="G9267" i="12" s="1"/>
  <c r="G9268" i="12" s="1"/>
  <c r="G9269" i="12" s="1"/>
  <c r="G9270" i="12" s="1"/>
  <c r="G9271" i="12" s="1"/>
  <c r="G9272" i="12" s="1"/>
  <c r="G9273" i="12" s="1"/>
  <c r="G9274" i="12" s="1"/>
  <c r="G9275" i="12" s="1"/>
  <c r="G9276" i="12" s="1"/>
  <c r="G9277" i="12" s="1"/>
  <c r="G9278" i="12" s="1"/>
  <c r="G9279" i="12" s="1"/>
  <c r="G9280" i="12" s="1"/>
  <c r="G9281" i="12" s="1"/>
  <c r="G9282" i="12" s="1"/>
  <c r="G9283" i="12" s="1"/>
  <c r="G9284" i="12" s="1"/>
  <c r="G9285" i="12" s="1"/>
  <c r="G9286" i="12" s="1"/>
  <c r="G9287" i="12" s="1"/>
  <c r="G9288" i="12" s="1"/>
  <c r="G9289" i="12" s="1"/>
  <c r="G9290" i="12" s="1"/>
  <c r="G9291" i="12" s="1"/>
  <c r="G9292" i="12" s="1"/>
  <c r="G9293" i="12" s="1"/>
  <c r="G9294" i="12" s="1"/>
  <c r="G9295" i="12" s="1"/>
  <c r="G9296" i="12" s="1"/>
  <c r="G9297" i="12" s="1"/>
  <c r="G9298" i="12" s="1"/>
  <c r="G9299" i="12" s="1"/>
  <c r="G9300" i="12" s="1"/>
  <c r="G9301" i="12" s="1"/>
  <c r="G9302" i="12" s="1"/>
  <c r="G9303" i="12" s="1"/>
  <c r="G9304" i="12" s="1"/>
  <c r="G9305" i="12" s="1"/>
  <c r="G9306" i="12" s="1"/>
  <c r="G9307" i="12" s="1"/>
  <c r="G9308" i="12" s="1"/>
  <c r="G9309" i="12" s="1"/>
  <c r="G9310" i="12" s="1"/>
  <c r="G9311" i="12" s="1"/>
  <c r="G9312" i="12" s="1"/>
  <c r="G9313" i="12" s="1"/>
  <c r="G9314" i="12" s="1"/>
  <c r="G9315" i="12" s="1"/>
  <c r="G9316" i="12" s="1"/>
  <c r="G9317" i="12" s="1"/>
  <c r="G9318" i="12" s="1"/>
  <c r="G9319" i="12" s="1"/>
  <c r="G9320" i="12" s="1"/>
  <c r="G9321" i="12" s="1"/>
  <c r="G9322" i="12" s="1"/>
  <c r="G9323" i="12" s="1"/>
  <c r="G9324" i="12" s="1"/>
  <c r="G9325" i="12" s="1"/>
  <c r="G9326" i="12" s="1"/>
  <c r="G9327" i="12" s="1"/>
  <c r="G9328" i="12" s="1"/>
  <c r="G9329" i="12" s="1"/>
  <c r="G9330" i="12" s="1"/>
  <c r="G9331" i="12" s="1"/>
  <c r="G9332" i="12" s="1"/>
  <c r="G9333" i="12" s="1"/>
  <c r="G9334" i="12" s="1"/>
  <c r="G9335" i="12" s="1"/>
  <c r="G9336" i="12" s="1"/>
  <c r="G9337" i="12" s="1"/>
  <c r="G9338" i="12" s="1"/>
  <c r="G9339" i="12" s="1"/>
  <c r="G9340" i="12" s="1"/>
  <c r="G9341" i="12" s="1"/>
  <c r="G9342" i="12" s="1"/>
  <c r="G9343" i="12" s="1"/>
  <c r="G9344" i="12" s="1"/>
  <c r="G9345" i="12" s="1"/>
  <c r="G9346" i="12" s="1"/>
  <c r="G9347" i="12" s="1"/>
  <c r="G9348" i="12" s="1"/>
  <c r="G9349" i="12" s="1"/>
  <c r="G9350" i="12" s="1"/>
  <c r="G9351" i="12" s="1"/>
  <c r="G9352" i="12" s="1"/>
  <c r="G9353" i="12" s="1"/>
  <c r="G9354" i="12" s="1"/>
  <c r="G9355" i="12" s="1"/>
  <c r="G9356" i="12" s="1"/>
  <c r="G9357" i="12" s="1"/>
  <c r="G9358" i="12" s="1"/>
  <c r="G9359" i="12" s="1"/>
  <c r="G9360" i="12" s="1"/>
  <c r="G9361" i="12" s="1"/>
  <c r="G9362" i="12" s="1"/>
  <c r="G9363" i="12" s="1"/>
  <c r="G9364" i="12" s="1"/>
  <c r="G9365" i="12" s="1"/>
  <c r="G9366" i="12" s="1"/>
  <c r="G9367" i="12" s="1"/>
  <c r="G9368" i="12" s="1"/>
  <c r="G9369" i="12" s="1"/>
  <c r="G9370" i="12" s="1"/>
  <c r="G9371" i="12" s="1"/>
  <c r="G9372" i="12" s="1"/>
  <c r="G9373" i="12" s="1"/>
  <c r="G9374" i="12" s="1"/>
  <c r="G9375" i="12" s="1"/>
  <c r="G9376" i="12" s="1"/>
  <c r="G9377" i="12" s="1"/>
  <c r="G9378" i="12" s="1"/>
  <c r="G9379" i="12" s="1"/>
  <c r="G9380" i="12" s="1"/>
  <c r="G9381" i="12" s="1"/>
  <c r="G9382" i="12" s="1"/>
  <c r="G9383" i="12" s="1"/>
  <c r="G9384" i="12" s="1"/>
  <c r="G9385" i="12" s="1"/>
  <c r="G9386" i="12" s="1"/>
  <c r="G9387" i="12" s="1"/>
  <c r="G9388" i="12" s="1"/>
  <c r="G9389" i="12" s="1"/>
  <c r="G9390" i="12" s="1"/>
  <c r="G9391" i="12" s="1"/>
  <c r="G9392" i="12" s="1"/>
  <c r="G9393" i="12" s="1"/>
  <c r="G9394" i="12" s="1"/>
  <c r="G9395" i="12" s="1"/>
  <c r="G9396" i="12" s="1"/>
  <c r="G9397" i="12" s="1"/>
  <c r="G9398" i="12" s="1"/>
  <c r="G9399" i="12" s="1"/>
  <c r="G9400" i="12" s="1"/>
  <c r="G9401" i="12" s="1"/>
  <c r="G9402" i="12" s="1"/>
  <c r="G9403" i="12" s="1"/>
  <c r="G9404" i="12" s="1"/>
  <c r="G9405" i="12" s="1"/>
  <c r="G9406" i="12" s="1"/>
  <c r="G9407" i="12" s="1"/>
  <c r="G9408" i="12" s="1"/>
  <c r="G9409" i="12" s="1"/>
  <c r="G9410" i="12" s="1"/>
  <c r="G9411" i="12" s="1"/>
  <c r="G9412" i="12" s="1"/>
  <c r="G9413" i="12" s="1"/>
  <c r="G9414" i="12" s="1"/>
  <c r="G9415" i="12" s="1"/>
  <c r="G9416" i="12" s="1"/>
  <c r="G9417" i="12" s="1"/>
  <c r="G9418" i="12" s="1"/>
  <c r="G9419" i="12" s="1"/>
  <c r="G9420" i="12" s="1"/>
  <c r="G9421" i="12" s="1"/>
  <c r="G9422" i="12" s="1"/>
  <c r="G9423" i="12" s="1"/>
  <c r="G9424" i="12" s="1"/>
  <c r="G9425" i="12" s="1"/>
  <c r="G9426" i="12" s="1"/>
  <c r="G9427" i="12" s="1"/>
  <c r="G9428" i="12" s="1"/>
  <c r="G9429" i="12" s="1"/>
  <c r="G9430" i="12" s="1"/>
  <c r="G9431" i="12" s="1"/>
  <c r="G9432" i="12" s="1"/>
  <c r="G9433" i="12" s="1"/>
  <c r="G9434" i="12" s="1"/>
  <c r="G9435" i="12" s="1"/>
  <c r="G9436" i="12" s="1"/>
  <c r="G9437" i="12" s="1"/>
  <c r="G9438" i="12" s="1"/>
  <c r="G9439" i="12" s="1"/>
  <c r="G9440" i="12" s="1"/>
  <c r="G9441" i="12" s="1"/>
  <c r="G9442" i="12" s="1"/>
  <c r="G9443" i="12" s="1"/>
  <c r="G9444" i="12" s="1"/>
  <c r="G9445" i="12" s="1"/>
  <c r="G9446" i="12" s="1"/>
  <c r="G9447" i="12" s="1"/>
  <c r="G9448" i="12" s="1"/>
  <c r="G9449" i="12" s="1"/>
  <c r="G9450" i="12" s="1"/>
  <c r="G9451" i="12" s="1"/>
  <c r="G9452" i="12" s="1"/>
  <c r="G9453" i="12" s="1"/>
  <c r="G9454" i="12" s="1"/>
  <c r="G9455" i="12" s="1"/>
  <c r="G9456" i="12" s="1"/>
  <c r="G9457" i="12" s="1"/>
  <c r="G9458" i="12" s="1"/>
  <c r="G9459" i="12" s="1"/>
  <c r="G9460" i="12" s="1"/>
  <c r="G9461" i="12" s="1"/>
  <c r="G9462" i="12" s="1"/>
  <c r="G9463" i="12" s="1"/>
  <c r="G9464" i="12" s="1"/>
  <c r="G9465" i="12" s="1"/>
  <c r="G9466" i="12" s="1"/>
  <c r="G9467" i="12" s="1"/>
  <c r="G9468" i="12" s="1"/>
  <c r="G9469" i="12" s="1"/>
  <c r="G9470" i="12" s="1"/>
  <c r="G9471" i="12" s="1"/>
  <c r="G9472" i="12" s="1"/>
  <c r="G9473" i="12" s="1"/>
  <c r="G9474" i="12" s="1"/>
  <c r="G9475" i="12" s="1"/>
  <c r="G9476" i="12" s="1"/>
  <c r="G9477" i="12" s="1"/>
  <c r="G9478" i="12" s="1"/>
  <c r="G9479" i="12" s="1"/>
  <c r="G9480" i="12" s="1"/>
  <c r="G9481" i="12" s="1"/>
  <c r="G9482" i="12" s="1"/>
  <c r="G9483" i="12" s="1"/>
  <c r="G9484" i="12" s="1"/>
  <c r="G9485" i="12" s="1"/>
  <c r="G9486" i="12" s="1"/>
  <c r="G9487" i="12" s="1"/>
  <c r="G9488" i="12" s="1"/>
  <c r="G9489" i="12" s="1"/>
  <c r="G9490" i="12" s="1"/>
  <c r="G9491" i="12" s="1"/>
  <c r="G9492" i="12" s="1"/>
  <c r="G9493" i="12" s="1"/>
  <c r="G9494" i="12" s="1"/>
  <c r="G9495" i="12" s="1"/>
  <c r="G9496" i="12" s="1"/>
  <c r="G9497" i="12" s="1"/>
  <c r="G9498" i="12" s="1"/>
  <c r="G9499" i="12" s="1"/>
  <c r="G9500" i="12" s="1"/>
  <c r="G9501" i="12" s="1"/>
  <c r="G9502" i="12" s="1"/>
  <c r="G9503" i="12" s="1"/>
  <c r="G9504" i="12" s="1"/>
  <c r="G9505" i="12" s="1"/>
  <c r="G9506" i="12" s="1"/>
  <c r="G9507" i="12" s="1"/>
  <c r="G9508" i="12" s="1"/>
  <c r="G9509" i="12" s="1"/>
  <c r="G9510" i="12" s="1"/>
  <c r="G9511" i="12" s="1"/>
  <c r="G9512" i="12" s="1"/>
  <c r="G9513" i="12" s="1"/>
  <c r="G9514" i="12" s="1"/>
  <c r="G9515" i="12" s="1"/>
  <c r="G9516" i="12" s="1"/>
  <c r="G9517" i="12" s="1"/>
  <c r="G9518" i="12" s="1"/>
  <c r="G9519" i="12" s="1"/>
  <c r="G9520" i="12" s="1"/>
  <c r="G9521" i="12" s="1"/>
  <c r="G9522" i="12" s="1"/>
  <c r="G9523" i="12" s="1"/>
  <c r="G9524" i="12" s="1"/>
  <c r="G9525" i="12" s="1"/>
  <c r="G9526" i="12" s="1"/>
  <c r="G9527" i="12" s="1"/>
  <c r="G9528" i="12" s="1"/>
  <c r="G9529" i="12" s="1"/>
  <c r="G9530" i="12" s="1"/>
  <c r="G9531" i="12" s="1"/>
  <c r="G9532" i="12" s="1"/>
  <c r="G9533" i="12" s="1"/>
  <c r="G9534" i="12" s="1"/>
  <c r="G9535" i="12" s="1"/>
  <c r="G9536" i="12" s="1"/>
  <c r="G9537" i="12" s="1"/>
  <c r="G9538" i="12" s="1"/>
  <c r="G9539" i="12" s="1"/>
  <c r="D11" i="57" s="1"/>
  <c r="D16" i="57" s="1"/>
  <c r="D27" i="57" l="1"/>
  <c r="D28" i="57" s="1"/>
  <c r="J8970" i="12" l="1"/>
  <c r="J8972" i="12" s="1"/>
  <c r="J8977" i="12" l="1"/>
  <c r="L8972" i="12"/>
  <c r="S144" i="57" l="1"/>
  <c r="N9" i="57" s="1"/>
  <c r="N3" i="57" s="1"/>
  <c r="M5" i="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uthor>
  </authors>
  <commentList>
    <comment ref="E38" authorId="0" shapeId="0" xr:uid="{00000000-0006-0000-0000-000001000000}">
      <text>
        <r>
          <rPr>
            <b/>
            <sz val="9"/>
            <color indexed="81"/>
            <rFont val="Tahoma"/>
            <family val="2"/>
          </rPr>
          <t>cc:</t>
        </r>
        <r>
          <rPr>
            <sz val="9"/>
            <color indexed="81"/>
            <rFont val="Tahoma"/>
            <family val="2"/>
          </rPr>
          <t xml:space="preserve">
10500
 6000
16500
8422
8078 remaining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uthor>
  </authors>
  <commentList>
    <comment ref="D7328" authorId="0" shapeId="0" xr:uid="{00000000-0006-0000-0A00-000001000000}">
      <text>
        <r>
          <rPr>
            <b/>
            <sz val="9"/>
            <color indexed="81"/>
            <rFont val="Tahoma"/>
            <family val="2"/>
          </rPr>
          <t>cc:</t>
        </r>
        <r>
          <rPr>
            <sz val="9"/>
            <color indexed="81"/>
            <rFont val="Tahoma"/>
            <family val="2"/>
          </rPr>
          <t xml:space="preserve">
10500
 6000
16500
8422
8078 remaining</t>
        </r>
      </text>
    </comment>
  </commentList>
</comments>
</file>

<file path=xl/sharedStrings.xml><?xml version="1.0" encoding="utf-8"?>
<sst xmlns="http://schemas.openxmlformats.org/spreadsheetml/2006/main" count="71828" uniqueCount="13702">
  <si>
    <t>azeem</t>
  </si>
  <si>
    <t>Date</t>
  </si>
  <si>
    <t>Balance</t>
  </si>
  <si>
    <t>Description</t>
  </si>
  <si>
    <t>Kamran jamia</t>
  </si>
  <si>
    <t>Ebad</t>
  </si>
  <si>
    <t xml:space="preserve"> </t>
  </si>
  <si>
    <t>cash to jahangeer</t>
  </si>
  <si>
    <t>salary adv to iftikhar</t>
  </si>
  <si>
    <t>cash to huzaifa</t>
  </si>
  <si>
    <t>zulfiquar</t>
  </si>
  <si>
    <t>feroz</t>
  </si>
  <si>
    <t>sajjad</t>
  </si>
  <si>
    <t>cash for efu</t>
  </si>
  <si>
    <t>nadeem bhai</t>
  </si>
  <si>
    <t>cash to huzaifa for fuel at efu</t>
  </si>
  <si>
    <t>huzaifa</t>
  </si>
  <si>
    <t>Cash remained after salaries</t>
  </si>
  <si>
    <t>jahangeer</t>
  </si>
  <si>
    <t>Imran</t>
  </si>
  <si>
    <t>abdullah</t>
  </si>
  <si>
    <t>cash to nadeem bhai</t>
  </si>
  <si>
    <t>Wilson</t>
  </si>
  <si>
    <t>cash to sajid</t>
  </si>
  <si>
    <t>ibrahim</t>
  </si>
  <si>
    <t>office</t>
  </si>
  <si>
    <t>misc</t>
  </si>
  <si>
    <t>ebad</t>
  </si>
  <si>
    <t>kamran jamia</t>
  </si>
  <si>
    <t>sajid</t>
  </si>
  <si>
    <t>fuel</t>
  </si>
  <si>
    <t>cash</t>
  </si>
  <si>
    <t>nadeem</t>
  </si>
  <si>
    <t>cash for fuel</t>
  </si>
  <si>
    <t>irfan</t>
  </si>
  <si>
    <t>sami</t>
  </si>
  <si>
    <t>imran</t>
  </si>
  <si>
    <t>Shahid Painter</t>
  </si>
  <si>
    <t>Mode</t>
  </si>
  <si>
    <t>Azeem</t>
  </si>
  <si>
    <t>paid</t>
  </si>
  <si>
    <t>kamran off</t>
  </si>
  <si>
    <t>Hassan Abbas</t>
  </si>
  <si>
    <t>cash sent by tariq</t>
  </si>
  <si>
    <t>cash for cloth</t>
  </si>
  <si>
    <t>kamran</t>
  </si>
  <si>
    <t>salaries</t>
  </si>
  <si>
    <t>ali khalid</t>
  </si>
  <si>
    <t>imran office</t>
  </si>
  <si>
    <t>PAID</t>
  </si>
  <si>
    <t>for mineral water</t>
  </si>
  <si>
    <t>photocopy</t>
  </si>
  <si>
    <t>efu</t>
  </si>
  <si>
    <t>Irfan</t>
  </si>
  <si>
    <t>salary</t>
  </si>
  <si>
    <t>Paid</t>
  </si>
  <si>
    <t>owais</t>
  </si>
  <si>
    <t>shahid painter</t>
  </si>
  <si>
    <t>imran off</t>
  </si>
  <si>
    <t xml:space="preserve">imran </t>
  </si>
  <si>
    <t>khalid</t>
  </si>
  <si>
    <t>tariq</t>
  </si>
  <si>
    <t>lunch for sir rehman</t>
  </si>
  <si>
    <t>mhr</t>
  </si>
  <si>
    <t>mineral water</t>
  </si>
  <si>
    <t>stamp paper</t>
  </si>
  <si>
    <t>Mhr</t>
  </si>
  <si>
    <t>lunch for office</t>
  </si>
  <si>
    <t>abbas plumber</t>
  </si>
  <si>
    <t>mossi</t>
  </si>
  <si>
    <t>amir raza</t>
  </si>
  <si>
    <t>Khalid</t>
  </si>
  <si>
    <t>advance</t>
  </si>
  <si>
    <t>mehmood</t>
  </si>
  <si>
    <t>Mossi</t>
  </si>
  <si>
    <t xml:space="preserve">cash to iftikhar at lahore &amp; </t>
  </si>
  <si>
    <t>salauddin</t>
  </si>
  <si>
    <t xml:space="preserve">cash </t>
  </si>
  <si>
    <t>for fuel</t>
  </si>
  <si>
    <t>for photocopy</t>
  </si>
  <si>
    <t>cash for chase up multan</t>
  </si>
  <si>
    <t>tissue</t>
  </si>
  <si>
    <t>pocha</t>
  </si>
  <si>
    <t>cigratte for bilal bhai</t>
  </si>
  <si>
    <t>salary adv</t>
  </si>
  <si>
    <t>cash for jazz bill paid</t>
  </si>
  <si>
    <t>faizan</t>
  </si>
  <si>
    <t>lunch</t>
  </si>
  <si>
    <t>kamran elec</t>
  </si>
  <si>
    <t xml:space="preserve">huzaifa </t>
  </si>
  <si>
    <t>shahyar</t>
  </si>
  <si>
    <t>newspaper</t>
  </si>
  <si>
    <t>cash for misc expenses</t>
  </si>
  <si>
    <t>waris</t>
  </si>
  <si>
    <t>cash remained after salaries</t>
  </si>
  <si>
    <t>Shahzad</t>
  </si>
  <si>
    <t>cash sent by huzaifa</t>
  </si>
  <si>
    <t>mhr personal</t>
  </si>
  <si>
    <t>Bilal bhai</t>
  </si>
  <si>
    <t>Ibrahim</t>
  </si>
  <si>
    <t>abbas ishaq</t>
  </si>
  <si>
    <t>Abdullah</t>
  </si>
  <si>
    <t>Riaz</t>
  </si>
  <si>
    <t>riaz</t>
  </si>
  <si>
    <t>ali</t>
  </si>
  <si>
    <t>iftikhar</t>
  </si>
  <si>
    <t>Huzaifa</t>
  </si>
  <si>
    <t>abid</t>
  </si>
  <si>
    <t>salahuddin</t>
  </si>
  <si>
    <t>cash for soup</t>
  </si>
  <si>
    <t>sir rehman</t>
  </si>
  <si>
    <t>cash for haji store</t>
  </si>
  <si>
    <t xml:space="preserve">cash for </t>
  </si>
  <si>
    <t>asif chiller</t>
  </si>
  <si>
    <t>irfan clothes</t>
  </si>
  <si>
    <t>cash for haji store &amp; fuel</t>
  </si>
  <si>
    <t>wilson</t>
  </si>
  <si>
    <t>Tariq</t>
  </si>
  <si>
    <t>Office</t>
  </si>
  <si>
    <t>Sajid</t>
  </si>
  <si>
    <t>Nadeem Bhai</t>
  </si>
  <si>
    <t>Cash</t>
  </si>
  <si>
    <t>Iftikhar</t>
  </si>
  <si>
    <t>Ali</t>
  </si>
  <si>
    <t>Rashid</t>
  </si>
  <si>
    <t>Extreme</t>
  </si>
  <si>
    <t>cash for suziki fair from home to office</t>
  </si>
  <si>
    <t>Sir Rehman</t>
  </si>
  <si>
    <t>cash for home balance</t>
  </si>
  <si>
    <t>cash for car wash for 2 cars</t>
  </si>
  <si>
    <t>cash for eidi at kumail</t>
  </si>
  <si>
    <t>cash remained from salaries for june 2016</t>
  </si>
  <si>
    <t>Bonus Paid</t>
  </si>
  <si>
    <t>paid to imran engg</t>
  </si>
  <si>
    <t>Arshad AC</t>
  </si>
  <si>
    <t>paid for AC at farhan mehboob home</t>
  </si>
  <si>
    <t>Salary adv for july 16</t>
  </si>
  <si>
    <t>Bilal Bhai</t>
  </si>
  <si>
    <t>Eidi to Shahzad</t>
  </si>
  <si>
    <t>cash for photocopy</t>
  </si>
  <si>
    <t>Waris</t>
  </si>
  <si>
    <t>Salary for june 16</t>
  </si>
  <si>
    <t>cash for water for drinking for office</t>
  </si>
  <si>
    <t>cash for soap</t>
  </si>
  <si>
    <t>cash for rikshaw fare from office to SMR</t>
  </si>
  <si>
    <t>cash for tea &amp; sugar</t>
  </si>
  <si>
    <t>cash for spilt AC at home</t>
  </si>
  <si>
    <t>cash for misx expenses</t>
  </si>
  <si>
    <t>Cash received from chase up SMR from nadeem bhai</t>
  </si>
  <si>
    <t>Bits &amp; bytes</t>
  </si>
  <si>
    <t>Cash for rodius rod</t>
  </si>
  <si>
    <t>aerflex</t>
  </si>
  <si>
    <t>Lunch</t>
  </si>
  <si>
    <t>cable fee for july</t>
  </si>
  <si>
    <t>Feroz</t>
  </si>
  <si>
    <t xml:space="preserve">tea bags &amp; meral water </t>
  </si>
  <si>
    <t>Jahangeer</t>
  </si>
  <si>
    <t>Cash for fuel</t>
  </si>
  <si>
    <t>Electric plug for office</t>
  </si>
  <si>
    <t>cash for fuel &amp; disc</t>
  </si>
  <si>
    <t>Salary Advance</t>
  </si>
  <si>
    <t>cash for vellani seal</t>
  </si>
  <si>
    <t>Kamran elec</t>
  </si>
  <si>
    <t>cash for fuel drill bil &amp; screw 10 nos</t>
  </si>
  <si>
    <t>Imran Engg</t>
  </si>
  <si>
    <t>cash for cultus repairing</t>
  </si>
  <si>
    <t>cash for mineral water</t>
  </si>
  <si>
    <t>purchased brakers</t>
  </si>
  <si>
    <t>purchased red oxide piants % brushes</t>
  </si>
  <si>
    <t>purchase splits unit 1.5 ton</t>
  </si>
  <si>
    <t>HVAC fee for huzaifa &amp; ebad</t>
  </si>
  <si>
    <t>new prius repair work</t>
  </si>
  <si>
    <t>Cash for shaheen air ticket</t>
  </si>
  <si>
    <t>Abbas Plumber</t>
  </si>
  <si>
    <t>cash for plumbing items</t>
  </si>
  <si>
    <t>khalid salary adv for july 2016</t>
  </si>
  <si>
    <t>Mubarak</t>
  </si>
  <si>
    <t>cash for islamddin insulation</t>
  </si>
  <si>
    <t>cash to remaining balance paid &amp; tickets</t>
  </si>
  <si>
    <t>silicon 150 water 100 everydy suagr 420</t>
  </si>
  <si>
    <t>biskuit for nadeem bhai guest</t>
  </si>
  <si>
    <t>Abdullah insulation</t>
  </si>
  <si>
    <t>cash for riksha fare from efu to chase up</t>
  </si>
  <si>
    <t xml:space="preserve">cash for fuel </t>
  </si>
  <si>
    <t>cash to Asif for sal adv for july 16 sent by kamran</t>
  </si>
  <si>
    <t>cash for pipe cloth from vohra</t>
  </si>
  <si>
    <t>cash for bank alfalah</t>
  </si>
  <si>
    <t>cash for medicine</t>
  </si>
  <si>
    <t>welding plant repair</t>
  </si>
  <si>
    <t>for haji super store</t>
  </si>
  <si>
    <t>cash for shaheen air line</t>
  </si>
  <si>
    <t>cash for water tanker</t>
  </si>
  <si>
    <t>cash for salary adv to riaz for july 16</t>
  </si>
  <si>
    <t>cash for lunch &amp; fuel</t>
  </si>
  <si>
    <t>cash for tp circuit &amp; over load relay at velani &amp; malik naveed</t>
  </si>
  <si>
    <t>conveyance charges for ebad</t>
  </si>
  <si>
    <t>Fateh Steel</t>
  </si>
  <si>
    <t>cash payment</t>
  </si>
  <si>
    <t>tea bag sugar &amp; mineral water</t>
  </si>
  <si>
    <t>cash office soft board</t>
  </si>
  <si>
    <t>cash for drawings copy of ebm &amp; khaadi</t>
  </si>
  <si>
    <t>cash for allied</t>
  </si>
  <si>
    <t>for allied engg</t>
  </si>
  <si>
    <t>salary adv to shahryar</t>
  </si>
  <si>
    <t>cash for sal adv for july 16 to shahid painter</t>
  </si>
  <si>
    <t>cash for photocopy  to umar for Khaadi project</t>
  </si>
  <si>
    <t>to mossi for purchased phenyle &amp; spunch Rs. 100 loan</t>
  </si>
  <si>
    <t>salary adv to zulfiquarfor july 16</t>
  </si>
  <si>
    <t>rikshaw fare for masroor sahab efu</t>
  </si>
  <si>
    <t>cash for TA / DA for khadi hyderabad fare from kar to hyd &amp; lunch</t>
  </si>
  <si>
    <t>cash for insulation tape</t>
  </si>
  <si>
    <t>Purchased everyday drymilk powder</t>
  </si>
  <si>
    <t>Glue for Allied &amp; efu</t>
  </si>
  <si>
    <t>cash for photocopy for jpmc</t>
  </si>
  <si>
    <t xml:space="preserve">cash to kamran for copy </t>
  </si>
  <si>
    <t>cash to ebad for lunch at office</t>
  </si>
  <si>
    <t>Abdur Rehman</t>
  </si>
  <si>
    <t xml:space="preserve">photocopy for khaadi hyd </t>
  </si>
  <si>
    <t>office lunch by nadeem bhai</t>
  </si>
  <si>
    <t>paid to sajid for Allied Engg</t>
  </si>
  <si>
    <t>Cash for suzuki fare VCD for Aliied engg</t>
  </si>
  <si>
    <t>rikshaw fare from</t>
  </si>
  <si>
    <t>for cutting disc 5" water rawal bolt &amp; fuel</t>
  </si>
  <si>
    <t>Sunday lunch for workers at philips morris by huzaifa</t>
  </si>
  <si>
    <t>sabzi for office</t>
  </si>
  <si>
    <t>cash to kamran for photovcopy for khaadi</t>
  </si>
  <si>
    <t>cash for khaadi project</t>
  </si>
  <si>
    <t>cash against invoices</t>
  </si>
  <si>
    <t>cash to umar for photocopy</t>
  </si>
  <si>
    <t>cash to huzaifa for salary adv for july 2016</t>
  </si>
  <si>
    <t>Imran off</t>
  </si>
  <si>
    <t>cash for balance</t>
  </si>
  <si>
    <t>cash to mehmood for salary adv for july 2016</t>
  </si>
  <si>
    <t>cash against iinvoices</t>
  </si>
  <si>
    <t>cash to Ebad for salary adv for july 2016</t>
  </si>
  <si>
    <t>cash for tea at ftc</t>
  </si>
  <si>
    <t>cash for fuel &amp; lunch</t>
  </si>
  <si>
    <t xml:space="preserve">Cash withdrw from DIB # </t>
  </si>
  <si>
    <t>Utilities bills</t>
  </si>
  <si>
    <t>cash for utilities bills for office &amp; MHR</t>
  </si>
  <si>
    <t>cash for car oil change &amp; repairing  labour</t>
  </si>
  <si>
    <t>2 days salary which was mistakenly absent now approved</t>
  </si>
  <si>
    <t>lunch at office by ordered nadeem for guest Ali extreme</t>
  </si>
  <si>
    <t>cash for flaring tool purchase for philip morris</t>
  </si>
  <si>
    <t>cash for evryday, sugar, teabags soap</t>
  </si>
  <si>
    <t>cash for biscuits for Aunty Rehmana aunty</t>
  </si>
  <si>
    <t>cash for donkey cart for ibrahim fittings</t>
  </si>
  <si>
    <t>kamran auto</t>
  </si>
  <si>
    <t>cash for mineral water for 20 bottle per Rs 70/bottle</t>
  </si>
  <si>
    <t>cash for philps morris</t>
  </si>
  <si>
    <t>cash for nadeem bhai home sent by huzaifa to shahid painter</t>
  </si>
  <si>
    <t>cash to haris for salary adv for july 16</t>
  </si>
  <si>
    <t>cash he will return invoices</t>
  </si>
  <si>
    <t xml:space="preserve">cash for Riger &amp; lifter for fire engine pump </t>
  </si>
  <si>
    <t>cash forhilti machi repair fuel, lifter labour for fire pump, water</t>
  </si>
  <si>
    <t>cash to shahryar for salary adv for july 16</t>
  </si>
  <si>
    <t>cash for mobile balance</t>
  </si>
  <si>
    <t>cash fuel from off to mashrish centre &amp; off to mcknsy for meeting</t>
  </si>
  <si>
    <t>cash for allied Engineering</t>
  </si>
  <si>
    <t>cash against 4 invoices</t>
  </si>
  <si>
    <t>cash to marib for salary adv for july 16</t>
  </si>
  <si>
    <t>Amir Raza</t>
  </si>
  <si>
    <t>cash for cable tie</t>
  </si>
  <si>
    <t>cash for fuel for khaadi</t>
  </si>
  <si>
    <t>cash for sabzi</t>
  </si>
  <si>
    <t>cash for dusting cloths</t>
  </si>
  <si>
    <t>cash for drwing copy for Js bank</t>
  </si>
  <si>
    <t>cash for rikshaw fare from nasir to CP n office to efu</t>
  </si>
  <si>
    <t>cash for cable, transformer choor fare parking n misc</t>
  </si>
  <si>
    <t>cash to Ali khaild for sa adv for july 2016</t>
  </si>
  <si>
    <t>cash for fuel mckinsey</t>
  </si>
  <si>
    <t>Cash Received from chase up SMR</t>
  </si>
  <si>
    <t>cash for travel, lunch misc fuel &amp; cng</t>
  </si>
  <si>
    <t>cash for guest Lassi</t>
  </si>
  <si>
    <t>cash for ali</t>
  </si>
  <si>
    <t>cash for A4 paper</t>
  </si>
  <si>
    <t>Arshad bhatti</t>
  </si>
  <si>
    <t>funf trnafer to multan + charges+ fuel</t>
  </si>
  <si>
    <t>easy paisa to iftokhar + charges 350</t>
  </si>
  <si>
    <t>cash to tariq for sal adv for july 16</t>
  </si>
  <si>
    <t xml:space="preserve">easy paisa to iftokhar </t>
  </si>
  <si>
    <t>cash to sajid for allied</t>
  </si>
  <si>
    <t>Salman cladding</t>
  </si>
  <si>
    <t>cash to tariq for fuel for mckinsey meeting</t>
  </si>
  <si>
    <t>Imran tabba</t>
  </si>
  <si>
    <t>cash for electric kattle</t>
  </si>
  <si>
    <t>cash sent by zohaib</t>
  </si>
  <si>
    <t>he will return invoices</t>
  </si>
  <si>
    <t>Deccan treavel</t>
  </si>
  <si>
    <t>cash for return ticket for imran enng from chase multan</t>
  </si>
  <si>
    <t>cash for MHR for for misc expense</t>
  </si>
  <si>
    <t>cash for suzuki fare from islamuddin to CP</t>
  </si>
  <si>
    <t>cash for zahabia duct sealant</t>
  </si>
  <si>
    <t xml:space="preserve">Rashid </t>
  </si>
  <si>
    <t>cash paid</t>
  </si>
  <si>
    <t>cash for saddle &amp; fisher</t>
  </si>
  <si>
    <t>cash for fuel &amp; photocopy for miqdad &amp; zainab</t>
  </si>
  <si>
    <t>green tea oreder by ebad</t>
  </si>
  <si>
    <t>cash for fuel for MHR</t>
  </si>
  <si>
    <t>cash for MHR fuel</t>
  </si>
  <si>
    <t>cash for toyota pruius car air filter</t>
  </si>
  <si>
    <t>cash to ebad for fruit chaat</t>
  </si>
  <si>
    <t>Efu</t>
  </si>
  <si>
    <t>cash for glue purchsed for efu 100 kg</t>
  </si>
  <si>
    <t>ftc 8th floor</t>
  </si>
  <si>
    <t>cash for duct dealant</t>
  </si>
  <si>
    <t>easy load + charges + fuel</t>
  </si>
  <si>
    <t>cash for SSGC bill for july16</t>
  </si>
  <si>
    <t>cash return which remained from ftc tea bill</t>
  </si>
  <si>
    <t>salary for july 16</t>
  </si>
  <si>
    <t>cash for bank alfalah ftc</t>
  </si>
  <si>
    <t>cash for draiwngs for khaadi hyd</t>
  </si>
  <si>
    <t>slary for july</t>
  </si>
  <si>
    <t>riksha fare from off to shershah to office for vellani fare</t>
  </si>
  <si>
    <t>cash returned by ebad</t>
  </si>
  <si>
    <t>cash for hyderabad</t>
  </si>
  <si>
    <t>cash for brome (jhaarho &amp; harpic)</t>
  </si>
  <si>
    <t>cash for sugar &amp; toilet soup + sabzi</t>
  </si>
  <si>
    <t>cash for pipe cloth for ftc 8th floor</t>
  </si>
  <si>
    <t>cash for nadeem bhaic cars washmen</t>
  </si>
  <si>
    <t>cash for mckinsey</t>
  </si>
  <si>
    <t>cash for fuel to tariq for PSO tender collection</t>
  </si>
  <si>
    <t>Salary</t>
  </si>
  <si>
    <t>cash for umar salary for july 16</t>
  </si>
  <si>
    <t>vellani AC motor 3 phase 10 HP 1950 RPM</t>
  </si>
  <si>
    <t>cash returned</t>
  </si>
  <si>
    <t>cash for contector purchasing for vellani</t>
  </si>
  <si>
    <t xml:space="preserve">cash for vellani </t>
  </si>
  <si>
    <t>cash for rikshae fare frm off to CP &amp; dreesing for his foor</t>
  </si>
  <si>
    <t>cash to mehmood for salary adv for august 2016</t>
  </si>
  <si>
    <t>cash for teabags &amp; milk powder &amp; sugar Rs 70</t>
  </si>
  <si>
    <t>cash for motor pump winding</t>
  </si>
  <si>
    <t>cash for multan for taranformer box 16 pcs</t>
  </si>
  <si>
    <t>cash for milk  powder &amp; clock cell &amp; tissue papers 2 nos</t>
  </si>
  <si>
    <t>Fix pana for CP</t>
  </si>
  <si>
    <t>cash remained after salaries paid salaries</t>
  </si>
  <si>
    <t>Expense</t>
  </si>
  <si>
    <t>Person</t>
  </si>
  <si>
    <t>cash received fro Naveed Malik</t>
  </si>
  <si>
    <t>Cash withdrw from DIB # 01287331</t>
  </si>
  <si>
    <t>Sasa</t>
  </si>
  <si>
    <t>paid to sasa for EFU</t>
  </si>
  <si>
    <t>cash paid for allied engg</t>
  </si>
  <si>
    <t>Tv cable charges</t>
  </si>
  <si>
    <t>cash for misc bank charges</t>
  </si>
  <si>
    <t>cash return</t>
  </si>
  <si>
    <t>purchased from faucet &amp; porta for Mckinsey</t>
  </si>
  <si>
    <t>easypaisa by huzaifa for chase multan</t>
  </si>
  <si>
    <t>drawings copy BAF FTC &amp; philip morris</t>
  </si>
  <si>
    <t>cash for fuel at NIPA</t>
  </si>
  <si>
    <t>chase up multan tranfer with charges</t>
  </si>
  <si>
    <t xml:space="preserve">waris salary for july 16 at kumail </t>
  </si>
  <si>
    <t>printer refill</t>
  </si>
  <si>
    <t>One day salary compensated by nadeem bhai</t>
  </si>
  <si>
    <t>Kamran</t>
  </si>
  <si>
    <t>fuel at CP two times</t>
  </si>
  <si>
    <t>Cash In hand</t>
  </si>
  <si>
    <t>Rec cash</t>
  </si>
  <si>
    <t>Cash for rikshaw fare frm shershaw to off ibrahim fittings</t>
  </si>
  <si>
    <t>water shiled zahabia for SMR</t>
  </si>
  <si>
    <t>cash paid at Allied Engg</t>
  </si>
  <si>
    <t>cash to moosi loan</t>
  </si>
  <si>
    <t>cash for vellani</t>
  </si>
  <si>
    <t>cash for vellani &amp; EFU</t>
  </si>
  <si>
    <t>paid 115000, 100000 + 15000</t>
  </si>
  <si>
    <t>paid to Ali for steam generator card repair at vellani</t>
  </si>
  <si>
    <t>cash for water &amp; duplicate key</t>
  </si>
  <si>
    <t>Asif</t>
  </si>
  <si>
    <t>for card repair at bank alfalah H/o</t>
  </si>
  <si>
    <t>cash to Jahangeer for salary adv for august -16</t>
  </si>
  <si>
    <t>cash for pipe nipple at mckinsey</t>
  </si>
  <si>
    <t>cash for CP for elfy &amp; spray</t>
  </si>
  <si>
    <t>Rec from Nadeem Bhai</t>
  </si>
  <si>
    <t>cash for temp meter at nipa</t>
  </si>
  <si>
    <t>paid for color , welding rod, cutting disc, brushes, carpen oil at Mckinsey</t>
  </si>
  <si>
    <t>sabzi, tea bag milk, sugar</t>
  </si>
  <si>
    <t>cash for drawings at JPMC</t>
  </si>
  <si>
    <t>for misc charges</t>
  </si>
  <si>
    <t>Naveed Malik</t>
  </si>
  <si>
    <t>cash for M fold guage</t>
  </si>
  <si>
    <t>7" rhodius rod 5 Nos for allied</t>
  </si>
  <si>
    <t>biskuit for season master</t>
  </si>
  <si>
    <t>for bilty</t>
  </si>
  <si>
    <t>cash for lunch for Danish Keytees</t>
  </si>
  <si>
    <t>cash for travel, lunch misc fuel at BAF H/O</t>
  </si>
  <si>
    <t>Islamuddin insulation to efu Fare</t>
  </si>
  <si>
    <t>rikshaw fare to tariq from off to efu for glue</t>
  </si>
  <si>
    <t>cash for EFU</t>
  </si>
  <si>
    <t>purchase glue at FTC 8th floor</t>
  </si>
  <si>
    <t>photocopy for khaadi islamabad</t>
  </si>
  <si>
    <t>cash for FTC 8th floor</t>
  </si>
  <si>
    <t>Haris</t>
  </si>
  <si>
    <t>rikshaw fare for material of allied &amp; chase  up multan</t>
  </si>
  <si>
    <t>cash to salahuddin for salary adv for august 16</t>
  </si>
  <si>
    <t>max bar soup &amp; photocopy</t>
  </si>
  <si>
    <t>TAriq</t>
  </si>
  <si>
    <t>purchased inchi tape at efu</t>
  </si>
  <si>
    <t>cash for injection for sir rehman</t>
  </si>
  <si>
    <t>mobilink bills for sir rehman</t>
  </si>
  <si>
    <t>cash easypaisa to iftikhar at chase up multan</t>
  </si>
  <si>
    <t>cash for misc exp at allied Engg</t>
  </si>
  <si>
    <t xml:space="preserve">photocopy </t>
  </si>
  <si>
    <t>Shakeel</t>
  </si>
  <si>
    <t>AHUs repairing at allied engineering</t>
  </si>
  <si>
    <t>photocopies &amp; burger</t>
  </si>
  <si>
    <t>two days pending salary approved by nadeem bhai</t>
  </si>
  <si>
    <t>salary adv to kamran ele for aug 2016</t>
  </si>
  <si>
    <t>cash for air freshner</t>
  </si>
  <si>
    <t>rikshaw fare from shershah to office 2 times</t>
  </si>
  <si>
    <t>cash for lunch for sir rehman &amp; his damaad</t>
  </si>
  <si>
    <t>salary adv to ishaq for august 2016</t>
  </si>
  <si>
    <t>cash to sir rehman for Haji store</t>
  </si>
  <si>
    <t>cash for Sunday lunch &amp; misc</t>
  </si>
  <si>
    <t>Cash withdrw from DIB #  1287350</t>
  </si>
  <si>
    <t>cash for ladder, light,  &amp; misc material</t>
  </si>
  <si>
    <t>cash for riksha fare n/malik to off</t>
  </si>
  <si>
    <t>paid ufone bill of nadeem bhai</t>
  </si>
  <si>
    <t>cash for milk powder , sugre tea</t>
  </si>
  <si>
    <t>Jamia</t>
  </si>
  <si>
    <t>rikshaw fare from off to jamia</t>
  </si>
  <si>
    <t xml:space="preserve">pay for AHUs repairing at allied </t>
  </si>
  <si>
    <t>cash for cables from fast</t>
  </si>
  <si>
    <t>adv to riaz driver for august 16</t>
  </si>
  <si>
    <t>adv to sajjad at ftc driver for august 16</t>
  </si>
  <si>
    <t>cash retuned by huzaifa</t>
  </si>
  <si>
    <t>cash to mehmood for sal adv for august 16</t>
  </si>
  <si>
    <t>mobi cash to iftikhar + charges</t>
  </si>
  <si>
    <t>Ramzan</t>
  </si>
  <si>
    <t xml:space="preserve">fund tranfer to ramzan 50000 + bank charges 800 + fuel and mobile balance 250 to imran office </t>
  </si>
  <si>
    <t>mobicash to mubarak + charges</t>
  </si>
  <si>
    <t>pay for haji store</t>
  </si>
  <si>
    <t>cash for network cable for office CCTV</t>
  </si>
  <si>
    <t>newspaper for home</t>
  </si>
  <si>
    <t>cash for office genator fuel</t>
  </si>
  <si>
    <t>cash for LT fare for office work</t>
  </si>
  <si>
    <t>tea at ftc</t>
  </si>
  <si>
    <t>cash by khalid</t>
  </si>
  <si>
    <t>cash for elbow purchase at ftc</t>
  </si>
  <si>
    <t xml:space="preserve">cash paid </t>
  </si>
  <si>
    <t>Bilal</t>
  </si>
  <si>
    <t>sal adv to huzaifa for august 16</t>
  </si>
  <si>
    <t>pay for engine oil &amp; filter</t>
  </si>
  <si>
    <t>purchase pipe 1 1/4 citting dics &amp; welding rod at efu</t>
  </si>
  <si>
    <t>rikshaw fare from kaytess to offce areflex sheet for ebm</t>
  </si>
  <si>
    <t>CASH</t>
  </si>
  <si>
    <t>Shahid painter</t>
  </si>
  <si>
    <t>cash for drawings for EFU</t>
  </si>
  <si>
    <t>mortein for office</t>
  </si>
  <si>
    <t>Cash withdrw from DIB #  1287356</t>
  </si>
  <si>
    <t>cash for earyday powder milk</t>
  </si>
  <si>
    <t>Rags for allied</t>
  </si>
  <si>
    <t>purchased 3 writable cds for Indus tener</t>
  </si>
  <si>
    <t>fuel for Rehan bike</t>
  </si>
  <si>
    <t>photocopy for indus hospital tender</t>
  </si>
  <si>
    <t>lassi &amp; soup</t>
  </si>
  <si>
    <t>Wicky</t>
  </si>
  <si>
    <t>repaired insulation works at chaseup multan</t>
  </si>
  <si>
    <t>Cash withdrw from DIB #  '01287370</t>
  </si>
  <si>
    <t>cash to imran engg for sal adv for august 16</t>
  </si>
  <si>
    <t>easypaisa by imran off</t>
  </si>
  <si>
    <t>Taxi fare from metrovill to Mckinsey</t>
  </si>
  <si>
    <t>cash for photocopy for miqdaad</t>
  </si>
  <si>
    <t>cash  for wire</t>
  </si>
  <si>
    <t>cash from Rehman sahab</t>
  </si>
  <si>
    <t>Cash withdrw from DIB #  '01287375</t>
  </si>
  <si>
    <t>cash for huzaifa petty cash</t>
  </si>
  <si>
    <t>photocopy for philip morris</t>
  </si>
  <si>
    <t>cash by bilal bhai</t>
  </si>
  <si>
    <t xml:space="preserve">labour paid at philip morris for pipe &amp; duct shifting </t>
  </si>
  <si>
    <t>mineral water for sir rehman</t>
  </si>
  <si>
    <t>cash for sugar, tea bags &amp; milk powder</t>
  </si>
  <si>
    <t>cash for toyotta prius side mirror, bumper repair labour &amp; back door repair</t>
  </si>
  <si>
    <t>cash for full n final payment</t>
  </si>
  <si>
    <t>photocopy 15 + 19</t>
  </si>
  <si>
    <t>cash sent by ali khalid</t>
  </si>
  <si>
    <t>spiral binding for khaadi islamabad</t>
  </si>
  <si>
    <t xml:space="preserve">cash for laptop purchased 2 Nos (HP &amp; Dell) </t>
  </si>
  <si>
    <t>cash to riaz for salary advance for august 16</t>
  </si>
  <si>
    <t>cash for cooling tower fan guard</t>
  </si>
  <si>
    <t>Y.H Consultant</t>
  </si>
  <si>
    <t>paid to Y.H Mr. Aleem for BAF FTC work</t>
  </si>
  <si>
    <t>cash for efu sent by azeem</t>
  </si>
  <si>
    <t xml:space="preserve">cash for home mobile balance </t>
  </si>
  <si>
    <t>cash for cultus car repair, maintenance &amp; services</t>
  </si>
  <si>
    <t xml:space="preserve">rikshaw fare from off </t>
  </si>
  <si>
    <t>purchase cutting disc for allied</t>
  </si>
  <si>
    <t>photocpy for khaadi isb &amp; fuel for arts council</t>
  </si>
  <si>
    <t>paid for masonery works at allied engg</t>
  </si>
  <si>
    <t>paid for cultus car plug &amp; fuel</t>
  </si>
  <si>
    <t>cash for petty</t>
  </si>
  <si>
    <t>purchased shoppr</t>
  </si>
  <si>
    <t>easypaisa</t>
  </si>
  <si>
    <t>Rs 400 suzuki fare from off to saddar for bilty to multanRs 500 for rikshaw fare from off to saddar as it was raining Rs 300 lunch for food to Imran &amp; jahangeer Rs 100 for jahangeer Fuel Rs 100 for mobile balance.</t>
  </si>
  <si>
    <t>rikshaw fare from off to efu for insultaion &amp; glue</t>
  </si>
  <si>
    <t>cash for photocopy &amp; pepsi for Major Jalal</t>
  </si>
  <si>
    <t>cash for corrier cheque for zohaib raza income tax</t>
  </si>
  <si>
    <t>cash for ftc 8th floor for tea sugar &amp; milk</t>
  </si>
  <si>
    <t>cash for misc expense at efu allied &amp; ftc</t>
  </si>
  <si>
    <t>Cash withdrw from DIB #  '01287376</t>
  </si>
  <si>
    <t>Ali khalid</t>
  </si>
  <si>
    <t>cash for welding rod 12mm</t>
  </si>
  <si>
    <t>cash sent by zulfiquar</t>
  </si>
  <si>
    <t>paid for material purchased for AHUs repairing at Allied</t>
  </si>
  <si>
    <t>Cash withdrw from DIB #  '01287389</t>
  </si>
  <si>
    <t>cash for rawal bolts</t>
  </si>
  <si>
    <t>cash to khalid for salary adv for august 16</t>
  </si>
  <si>
    <t>cash for phoptocopy for national food</t>
  </si>
  <si>
    <t>everyday milk powder</t>
  </si>
  <si>
    <t>Shabbir brothers</t>
  </si>
  <si>
    <t>piad to shabbir bros tariq road for efu</t>
  </si>
  <si>
    <t>fuel to ikram mughal off for khadi isb</t>
  </si>
  <si>
    <t>rikshaw fare from off to SMR 2 times</t>
  </si>
  <si>
    <t>mobicash by imran off</t>
  </si>
  <si>
    <t>purchased USB</t>
  </si>
  <si>
    <t>suzuki fare from ocean mall to office</t>
  </si>
  <si>
    <t>lunch KFC</t>
  </si>
  <si>
    <t>haji store, fuel, &amp; medicines</t>
  </si>
  <si>
    <t>cheque send through corries islamuddin &amp; fateh steel</t>
  </si>
  <si>
    <t>bilty from multan to karachi</t>
  </si>
  <si>
    <t>cash for misc expenses incurred by imran off</t>
  </si>
  <si>
    <t>Bilal habib</t>
  </si>
  <si>
    <t>cash for jazz balance</t>
  </si>
  <si>
    <t>Cash retunrd by ebad bhai</t>
  </si>
  <si>
    <t>paid for fan guard repair at BAF H/O</t>
  </si>
  <si>
    <t>purchased mineral water</t>
  </si>
  <si>
    <t>purchasd enrgy saver for washroom</t>
  </si>
  <si>
    <t>cash by shahayra in absence of hassan abbas</t>
  </si>
  <si>
    <t>cash for CP nipples</t>
  </si>
  <si>
    <t>cash for Ashare Pak for habib ur rehman rehman ebad &amp; huzaifa</t>
  </si>
  <si>
    <t>cash for philip morris</t>
  </si>
  <si>
    <t>CASH for wire</t>
  </si>
  <si>
    <t>paid to kamran for bike maintenance order by imran</t>
  </si>
  <si>
    <t>cash for milk poweder teabags sugar</t>
  </si>
  <si>
    <t>salary adv to ali for september</t>
  </si>
  <si>
    <t>cash paid at Allied Engg by azeem</t>
  </si>
  <si>
    <t>Cash withdrw from DIB #  '01287399</t>
  </si>
  <si>
    <t>tea &amp; lunch for bilal bhai guest</t>
  </si>
  <si>
    <t>riksha fare from office to allied (fishar, rod, nut bolts disc)</t>
  </si>
  <si>
    <t>cash fror utilities bills</t>
  </si>
  <si>
    <t>cash for wire</t>
  </si>
  <si>
    <t>cash for naveed malik</t>
  </si>
  <si>
    <t>bilal bhai</t>
  </si>
  <si>
    <t>purchase tissue for office</t>
  </si>
  <si>
    <t>paid to bilal bhai</t>
  </si>
  <si>
    <t>paid for fan guard for bank al-falah head office</t>
  </si>
  <si>
    <t>Cash withdrw from DIB #  '01287405</t>
  </si>
  <si>
    <t xml:space="preserve">lassi for ali extreme + food for sir rehman </t>
  </si>
  <si>
    <t>Imran D/W</t>
  </si>
  <si>
    <t>cash tranfer to mr ramzan + bank charges</t>
  </si>
  <si>
    <t xml:space="preserve">cash for efu tip top </t>
  </si>
  <si>
    <t>zeeshan</t>
  </si>
  <si>
    <t>cash for increase in salary fir august 16</t>
  </si>
  <si>
    <t>paid to imran salary for august 16 at efu</t>
  </si>
  <si>
    <t>ramzan</t>
  </si>
  <si>
    <t>paid fare for roca basin shift at mckinsey site</t>
  </si>
  <si>
    <t>paid for increase in Asif &amp; imran salary at tabba heart</t>
  </si>
  <si>
    <t>paid chase up multan salaries Mr. Asif Rao 26650 &amp; Mr. Shoukat Rs. 45100 + easypaisa service charges + fuel to  imran office</t>
  </si>
  <si>
    <t>fund transfer to ramzan by imran off + service charges + fuel and balance of imran office</t>
  </si>
  <si>
    <t>mobicash to iftikhar by imran off + sevice charges</t>
  </si>
  <si>
    <t>Cash withdrw from DIB #  '01287410</t>
  </si>
  <si>
    <t>omnicash transfer by riaz driver</t>
  </si>
  <si>
    <t>cash for chiller repair at Chase up nipa</t>
  </si>
  <si>
    <t>purchased everyday milk powder</t>
  </si>
  <si>
    <t>cash for zodium rod and benson cirgatee for bilal</t>
  </si>
  <si>
    <t>sal adv to asif for sept 16 sent by kamran jamia</t>
  </si>
  <si>
    <t>purchased welding rod at allied engg</t>
  </si>
  <si>
    <t xml:space="preserve">cash paid to sajid </t>
  </si>
  <si>
    <t>Amjad</t>
  </si>
  <si>
    <t>Kamran off</t>
  </si>
  <si>
    <t>for mobile balance at home sent by huzaifa</t>
  </si>
  <si>
    <t>Cash withdrw from DIB #  '01287425</t>
  </si>
  <si>
    <t>cash  for centre point</t>
  </si>
  <si>
    <t>cash for material sent by zohaib</t>
  </si>
  <si>
    <t>for fuel / haji store &amp; misc</t>
  </si>
  <si>
    <t>salary adv to mehmood for septmeber 16</t>
  </si>
  <si>
    <t>making Choori at mckinsey</t>
  </si>
  <si>
    <t>duct dealant for indus hospital</t>
  </si>
  <si>
    <t>lunch by ebad bhai</t>
  </si>
  <si>
    <t>misc expenses inurred by imran off</t>
  </si>
  <si>
    <t>salary adv to abbas plumber for septmeber 16</t>
  </si>
  <si>
    <t>Faizan</t>
  </si>
  <si>
    <t>cash paid TPL 25th floor</t>
  </si>
  <si>
    <t>Cash paid</t>
  </si>
  <si>
    <t>CASH PAID</t>
  </si>
  <si>
    <t>CASH For haji store</t>
  </si>
  <si>
    <t>salary adv to ghaffar for september 16</t>
  </si>
  <si>
    <t>cash paid for suzuki fare to kaytees for insulation at efu</t>
  </si>
  <si>
    <t>ghaffar</t>
  </si>
  <si>
    <t>cash for moile balance</t>
  </si>
  <si>
    <t>Owaid</t>
  </si>
  <si>
    <t>cash for nut bolts &amp; gaskets</t>
  </si>
  <si>
    <t>cash for abbaa jee</t>
  </si>
  <si>
    <t>Owais from EBM returned cash</t>
  </si>
  <si>
    <t>Salary for september 16</t>
  </si>
  <si>
    <t>cash paid sent by azeem</t>
  </si>
  <si>
    <t>purchased fernayl. Soup,</t>
  </si>
  <si>
    <t>suzuki fare from islamuddin to efu</t>
  </si>
  <si>
    <t>Cash received from nadeem bhai Chase up SMR</t>
  </si>
  <si>
    <t>paid cash + bank charges</t>
  </si>
  <si>
    <t>Salaries adv huzaifa &amp; ebad</t>
  </si>
  <si>
    <t>paid zahid &amp; amir for split ac installed at philips morris</t>
  </si>
  <si>
    <t>paid for ladder at efu</t>
  </si>
  <si>
    <t>chicken paties &amp; biscuits</t>
  </si>
  <si>
    <t>fund transfer by nadeem bhai</t>
  </si>
  <si>
    <t>cash for red oxide</t>
  </si>
  <si>
    <t>loan to mossi</t>
  </si>
  <si>
    <t>purchsed milk, suger tea bags</t>
  </si>
  <si>
    <t>cash for cp</t>
  </si>
  <si>
    <t>salary adv to haris for september 16</t>
  </si>
  <si>
    <t>cash for eye doxtor consultant</t>
  </si>
  <si>
    <t>rikshaw fare from off to allied light house to ftc</t>
  </si>
  <si>
    <t>cash for holdtite</t>
  </si>
  <si>
    <t>fuel for jpmc submittal</t>
  </si>
  <si>
    <t>Utilieis bills</t>
  </si>
  <si>
    <t>cash for brome jhaaroo</t>
  </si>
  <si>
    <t>mobile balance to Rehmana rehman</t>
  </si>
  <si>
    <t>fuel for off to indus to islanuddin to NBCL</t>
  </si>
  <si>
    <t>cash for wheel for folding at indus</t>
  </si>
  <si>
    <t>cash for fuel at jpmc</t>
  </si>
  <si>
    <t>easy paisa to iftikhar by imran off</t>
  </si>
  <si>
    <t>cash for ms socket at indus &amp; elbow</t>
  </si>
  <si>
    <t>cash grease WT 40</t>
  </si>
  <si>
    <t>cash easy paisa by imran off</t>
  </si>
  <si>
    <t>cash for bank alfalah H/o</t>
  </si>
  <si>
    <t>cash paid at efu</t>
  </si>
  <si>
    <t>cash for plotting paper &amp; drawings copy for khaadi &amp; indus</t>
  </si>
  <si>
    <t>cash for milk * sugar</t>
  </si>
  <si>
    <t>insulation built to multan</t>
  </si>
  <si>
    <t>cash to shahyar for salry adv for septr 16</t>
  </si>
  <si>
    <t>Abid</t>
  </si>
  <si>
    <t>Zeeshan from Efu returned cash</t>
  </si>
  <si>
    <t>cash for truck fare &amp; suzuki fare from  nasir colony to ftc 13th floor fuel 150, challan 170, children charity at  nasir colony 170</t>
  </si>
  <si>
    <t>fare at nasir colony to allied</t>
  </si>
  <si>
    <t>cash for haji store, eye consultant fee &amp; car repaitring</t>
  </si>
  <si>
    <t>cash paid against invoice</t>
  </si>
  <si>
    <t>cash paid for nadeem bhai salary</t>
  </si>
  <si>
    <t>cash for labour paid at bank alfalah</t>
  </si>
  <si>
    <t>cash for fuel for jpmc</t>
  </si>
  <si>
    <t>cash for A4 paper bundle purchased by imran for office</t>
  </si>
  <si>
    <t>cash paid by easy paisa by imran</t>
  </si>
  <si>
    <t>mobile balance</t>
  </si>
  <si>
    <t>cash for pipe nipple, color redoxide &amp; karosine oil at mckinsey</t>
  </si>
  <si>
    <t>purchased ms R/ree ms elbow &amp; fuel</t>
  </si>
  <si>
    <t>cash sent by sami</t>
  </si>
  <si>
    <t>fuel at tabba heart</t>
  </si>
  <si>
    <t>cash for tea</t>
  </si>
  <si>
    <t xml:space="preserve">cash sent by ali </t>
  </si>
  <si>
    <t>cash for aluminium delux paint &amp; lunch at islamabad</t>
  </si>
  <si>
    <t>cash for photocopy indus &amp; khaadi isl</t>
  </si>
  <si>
    <t>sherkhan car washman</t>
  </si>
  <si>
    <t>paid for car wash</t>
  </si>
  <si>
    <t>for biscuits for guest</t>
  </si>
  <si>
    <t>cash for misc expenses at khaadi isl</t>
  </si>
  <si>
    <t>for angle iron indus</t>
  </si>
  <si>
    <t>ssgc bill paid for september 16</t>
  </si>
  <si>
    <t>cash for fuel to azeem for insulation for islamuddin</t>
  </si>
  <si>
    <t>paid for builty for khaadi isb for fittings from ibrahim</t>
  </si>
  <si>
    <t>Cash withdrw from DIB #  '01358829</t>
  </si>
  <si>
    <t>salaries tranfer charges Rs 1100 on 33,300 + 100 fuel given to imran for Y.h office for bilal saab</t>
  </si>
  <si>
    <t>cash for LCD</t>
  </si>
  <si>
    <t>cash for nut bolt at indus hospital</t>
  </si>
  <si>
    <t>cash for milk powder , sugre tea bag</t>
  </si>
  <si>
    <t>for welding rod grinder &amp; cutting disc</t>
  </si>
  <si>
    <t>cash received from Bilal Bhai</t>
  </si>
  <si>
    <t>Rehan Mobile balance for package of zong</t>
  </si>
  <si>
    <t>easy paisa 30,000 + 2000 charges, +150 fuel + 100 mobile card</t>
  </si>
  <si>
    <t>drwings indus khaadi phipip morris</t>
  </si>
  <si>
    <t>green tea</t>
  </si>
  <si>
    <t>paid ebad for conveyance home to offce</t>
  </si>
  <si>
    <t>paid at mckinsey</t>
  </si>
  <si>
    <t>cash paid for fuel at jpmc</t>
  </si>
  <si>
    <t>cash for indus</t>
  </si>
  <si>
    <t>cold drink for office</t>
  </si>
  <si>
    <t>paid to ramzan at multan</t>
  </si>
  <si>
    <t>????</t>
  </si>
  <si>
    <t>cash for spiral binding to ebad</t>
  </si>
  <si>
    <t>cash for malik naveed</t>
  </si>
  <si>
    <t>cable tie</t>
  </si>
  <si>
    <t>riksaw fare from off to efu</t>
  </si>
  <si>
    <t>lunch for office &amp; sir rehman</t>
  </si>
  <si>
    <t>paid for welding at indus hospital</t>
  </si>
  <si>
    <t>paid for material</t>
  </si>
  <si>
    <t>cash for fuel parking travelling &amp; misc expense</t>
  </si>
  <si>
    <t>khaadi islamabd</t>
  </si>
  <si>
    <t>built to khaaadi isl</t>
  </si>
  <si>
    <t>cash for PABX system repair</t>
  </si>
  <si>
    <t>zeeshan tabba</t>
  </si>
  <si>
    <t>Cash withdrw from DIB #  '01358849</t>
  </si>
  <si>
    <t>Cash withdrw from DIB #  '01358852</t>
  </si>
  <si>
    <t>zeeshan tabba deduct 3000</t>
  </si>
  <si>
    <t>cash paid 52000 chq amount 50000 cash = 2000</t>
  </si>
  <si>
    <t>indus hospital</t>
  </si>
  <si>
    <t>paid for wooden saddle for indus</t>
  </si>
  <si>
    <t>jpmc</t>
  </si>
  <si>
    <t>photocopy for jpmc</t>
  </si>
  <si>
    <t>Y.H</t>
  </si>
  <si>
    <t>paid for tender collect from yh National foods</t>
  </si>
  <si>
    <t>paif for nadeem bha car servies oil change fuel &amp; filter change</t>
  </si>
  <si>
    <t>paid zsuzuki fare from sasa to efu for fans</t>
  </si>
  <si>
    <t>chase up multan</t>
  </si>
  <si>
    <t>cash for suzuki fare from off to cannt saddar</t>
  </si>
  <si>
    <t>paid for wye consultant</t>
  </si>
  <si>
    <t>paid by imran Iftikhar 6000</t>
  </si>
  <si>
    <t>paid suzuki fare from office to jpmc for table shifting</t>
  </si>
  <si>
    <t>cash for photocopy for jpmc by huzaifa</t>
  </si>
  <si>
    <t>cash for warid card for tariq at jpmc</t>
  </si>
  <si>
    <t>cash for shopper purchased</t>
  </si>
  <si>
    <t>tissue papers + mineral water + shopper</t>
  </si>
  <si>
    <t>photocopy of submittals</t>
  </si>
  <si>
    <t>cash for easha nadeem fee bill sent by huzaifa</t>
  </si>
  <si>
    <t>fuel for jpmc</t>
  </si>
  <si>
    <t>fruits fro bilal bhai</t>
  </si>
  <si>
    <t>milk powder &amp; tea bags</t>
  </si>
  <si>
    <t>cash for photocopy indus</t>
  </si>
  <si>
    <t>cash for rikshaw fare off to CP, oil for threading machine</t>
  </si>
  <si>
    <t>PURCHASED EMPTY burni for khaadi isb</t>
  </si>
  <si>
    <t>marib for oct 16</t>
  </si>
  <si>
    <t>cash for fruit for bilal bhai</t>
  </si>
  <si>
    <t>cash paid chase up multan</t>
  </si>
  <si>
    <t>mohsin</t>
  </si>
  <si>
    <t>cash foe elbow</t>
  </si>
  <si>
    <t>cash for nipple at CP</t>
  </si>
  <si>
    <t>prucahse file forlder for offie</t>
  </si>
  <si>
    <t>Cash withdrw from DIB #  '01358856</t>
  </si>
  <si>
    <t>Cash withdrw from DIB #  '01358854</t>
  </si>
  <si>
    <t>cash for BMS wiring for his personal</t>
  </si>
  <si>
    <t>cash for BMS wiring at efu 50,000 chq &amp; 4,000 cash</t>
  </si>
  <si>
    <t>fruit for office</t>
  </si>
  <si>
    <t>mobile balance paid indus hospital</t>
  </si>
  <si>
    <t>mobile balance paid tpl 25th floor</t>
  </si>
  <si>
    <t>cash for fuel &amp; car parts</t>
  </si>
  <si>
    <t>cash for fuel to tariq</t>
  </si>
  <si>
    <t>towels cleaned for office</t>
  </si>
  <si>
    <t>cash sent by kamran ele</t>
  </si>
  <si>
    <t>fruit for bilal bhai</t>
  </si>
  <si>
    <t>salahuddin for oct 16</t>
  </si>
  <si>
    <t>Zulfiquar for oct 16</t>
  </si>
  <si>
    <t>cash for abid tickets Rs 4174 500 for extra paid Rs 25 Balance Rs 100 for fuel</t>
  </si>
  <si>
    <t>cash for Ramzan balance</t>
  </si>
  <si>
    <t>cash for purchased files Rs 175/file * 4 = 700   &amp; fuel to imran off for Y.h for documents colect</t>
  </si>
  <si>
    <t>for builty to isl imran + fuel + Food + Easy paisa charges to iftikhar</t>
  </si>
  <si>
    <t>amir raza medical treatment</t>
  </si>
  <si>
    <t>Ali khalid for oct 16</t>
  </si>
  <si>
    <t>cash for dinner &amp; tea at CP</t>
  </si>
  <si>
    <t>cash for everyday + fruit</t>
  </si>
  <si>
    <t>suzuki fare from off to nasir</t>
  </si>
  <si>
    <t>bilal bhai fruit</t>
  </si>
  <si>
    <t>cash from ebad bhai</t>
  </si>
  <si>
    <t>cash by kamran ele</t>
  </si>
  <si>
    <t>cash by azeem</t>
  </si>
  <si>
    <t>cash for angal for indus hosiptal</t>
  </si>
  <si>
    <t>Cash withdrw from DIB #  '01358868</t>
  </si>
  <si>
    <t>Cash withdrw from DIB #  '01358863</t>
  </si>
  <si>
    <t>cash to bilal bhai for charity</t>
  </si>
  <si>
    <t>cash for hilti &amp; other item pershased at khhadi isb</t>
  </si>
  <si>
    <t>Cash Returned By Azeem (remaining cash from angle at indus</t>
  </si>
  <si>
    <t>cash fro efy</t>
  </si>
  <si>
    <t>cash for rikshaw fare from office to tpl 25th</t>
  </si>
  <si>
    <t>cash for worker paid</t>
  </si>
  <si>
    <t>cash for buity &amp; material</t>
  </si>
  <si>
    <t>cash to mossi for her medicine</t>
  </si>
  <si>
    <t>purchased spray for mckinsey</t>
  </si>
  <si>
    <t>cash sent by salahuddin</t>
  </si>
  <si>
    <t>cash for wall primer picaso mixing oil</t>
  </si>
  <si>
    <t>paid for photocopy for indus hosiptal</t>
  </si>
  <si>
    <t>photocopy for indus hospital</t>
  </si>
  <si>
    <t>cash for photocoy</t>
  </si>
  <si>
    <t>cash sent by amir raza</t>
  </si>
  <si>
    <t xml:space="preserve">cash for glue ftc 8th floor </t>
  </si>
  <si>
    <t>suzuki fare from ftc for scrap shifting 9th &amp; 10th floor</t>
  </si>
  <si>
    <t>cash for phoyocopy &amp; cd</t>
  </si>
  <si>
    <t>cash for photocopy for indus</t>
  </si>
  <si>
    <t>for fruit for bilal bhai</t>
  </si>
  <si>
    <t>cash  for allied</t>
  </si>
  <si>
    <t>taxi fare for y.h consultant + cold drink</t>
  </si>
  <si>
    <t>purchased power cable for printer Rs 250 &amp; repair printer Rs 100</t>
  </si>
  <si>
    <t>tea bag every day sugar soup</t>
  </si>
  <si>
    <t>mujahid cylinder</t>
  </si>
  <si>
    <t>Cash withdrw from DIB #  '01358873</t>
  </si>
  <si>
    <t>Cash withdrw from DIB #  '01358879</t>
  </si>
  <si>
    <t>cash for mughal iron</t>
  </si>
  <si>
    <t>kamran auto for oct 16</t>
  </si>
  <si>
    <t>nadeem bhai ufone balance paid</t>
  </si>
  <si>
    <t>fruit for bilal bhai &amp; lasssi for imran saeed aaa</t>
  </si>
  <si>
    <t>cash for photcopy</t>
  </si>
  <si>
    <t>cash for green tea + soup</t>
  </si>
  <si>
    <t>photocopy Rs 40 + Cigratte Rs 150</t>
  </si>
  <si>
    <t xml:space="preserve">cash for bilal bhai susraal for purchasing </t>
  </si>
  <si>
    <t>Cash withdrw from DIB #  '01358891</t>
  </si>
  <si>
    <t>cash sent by easy paisa by imran</t>
  </si>
  <si>
    <t>cash paid at indus hospital for oxygen cylinder</t>
  </si>
  <si>
    <t>Hyper star</t>
  </si>
  <si>
    <t>photocoy by kamran  auto</t>
  </si>
  <si>
    <t>cash for fruit for bilal bhai + cigrette</t>
  </si>
  <si>
    <t>cash for material for allied</t>
  </si>
  <si>
    <t>cash for A3 paper</t>
  </si>
  <si>
    <t>cash for lassi + fruit for bilal bhai</t>
  </si>
  <si>
    <t>cash for milk powder &amp; tea bags</t>
  </si>
  <si>
    <t>cash for material</t>
  </si>
  <si>
    <t>cash for mahana magazine charges</t>
  </si>
  <si>
    <t>casble fees for oct 16</t>
  </si>
  <si>
    <t>paid office mossi salary for oct 16</t>
  </si>
  <si>
    <t xml:space="preserve">FTc </t>
  </si>
  <si>
    <t>paid Ishaq salary</t>
  </si>
  <si>
    <t>paid by mobicash by omar</t>
  </si>
  <si>
    <t>harpic + jhaaroo for office</t>
  </si>
  <si>
    <t>cash for zong mob bal</t>
  </si>
  <si>
    <t>cash for tape at ftc</t>
  </si>
  <si>
    <t>cash given by imran office</t>
  </si>
  <si>
    <t>cash for fynile</t>
  </si>
  <si>
    <t>cash for every day and suger tea bags</t>
  </si>
  <si>
    <t>cash for fruit 60 + photocopy</t>
  </si>
  <si>
    <t>cash for fuit</t>
  </si>
  <si>
    <t>for photocoy by irfan autocad</t>
  </si>
  <si>
    <t>cash for color photo copy of bilal bhai passport</t>
  </si>
  <si>
    <t>cash paid by imran</t>
  </si>
  <si>
    <t>Rashid Ac contractor</t>
  </si>
  <si>
    <t>paid at indus hospital</t>
  </si>
  <si>
    <t>Cash withdrw from DIB #  '013588907</t>
  </si>
  <si>
    <t>photocopy indus &amp; khhadi</t>
  </si>
  <si>
    <t>Cash withdrw from DIB #  '013588905</t>
  </si>
  <si>
    <t>cash for choori for sprinkler</t>
  </si>
  <si>
    <t>suzuki fare from islamuddin to allied eng and labour paid</t>
  </si>
  <si>
    <t>paid shahryar salary</t>
  </si>
  <si>
    <t>biscuits for hyper star guest</t>
  </si>
  <si>
    <t xml:space="preserve">newspaper at home mhr </t>
  </si>
  <si>
    <t>paid for Income tax for Rehmana rehman personal</t>
  </si>
  <si>
    <t>Rehana Rehman</t>
  </si>
  <si>
    <t>cash for builty to islamabad labour for pipe cutting fuel tea</t>
  </si>
  <si>
    <t>cash for tea for outside driver paid by huzaifa</t>
  </si>
  <si>
    <t>Cash withdrw from DIB #  '013588909</t>
  </si>
  <si>
    <t>laboratory test for pipe &amp; sheet and fuel</t>
  </si>
  <si>
    <t>cash for card</t>
  </si>
  <si>
    <t>rikshaw fare form bohra pir to indus to offie</t>
  </si>
  <si>
    <t>cash for iftikhar salary tranfer</t>
  </si>
  <si>
    <t>photocopy for indus and jpmc</t>
  </si>
  <si>
    <t xml:space="preserve">duplicate key, ebad lunch </t>
  </si>
  <si>
    <t>cash for photocoy jpmc main project</t>
  </si>
  <si>
    <t>Cash withdrw from MCB #  '1610479901</t>
  </si>
  <si>
    <t>babu cloth</t>
  </si>
  <si>
    <t>paid to babu cloth for cloth ftc 13 th floor</t>
  </si>
  <si>
    <t>Cash taken from Huzaifa</t>
  </si>
  <si>
    <t>cash for nasir colony</t>
  </si>
  <si>
    <t>cash paid to wilson for UTE for matarial</t>
  </si>
  <si>
    <t>kamran auto for nov 16</t>
  </si>
  <si>
    <t>cash for photocopy jpmc</t>
  </si>
  <si>
    <t>chicken roll for bilal bhai by umar</t>
  </si>
  <si>
    <t>every day &amp; tea bag</t>
  </si>
  <si>
    <t>cash for corrier for cheque of hypermarket</t>
  </si>
  <si>
    <t>fuel for naveed malik</t>
  </si>
  <si>
    <t>cash to bilal bahi for fuel</t>
  </si>
  <si>
    <t xml:space="preserve">fuel for tariq </t>
  </si>
  <si>
    <t>paid for glue 3 drums at indus hospital</t>
  </si>
  <si>
    <t>coopex powder</t>
  </si>
  <si>
    <t>rikshaw fare from kohri garden to ftc then office</t>
  </si>
  <si>
    <t>imran tabba</t>
  </si>
  <si>
    <t>mobile card &amp; fuel</t>
  </si>
  <si>
    <t>aunty rehana rehman mobile ufone super card</t>
  </si>
  <si>
    <t>umar purchased cigratte for bilal bhai</t>
  </si>
  <si>
    <t>cash for picnic expense</t>
  </si>
  <si>
    <t>cash for misc expense buity conduit &amp; others</t>
  </si>
  <si>
    <t>MCB</t>
  </si>
  <si>
    <t>Pioneer Engineering Services</t>
  </si>
  <si>
    <t>cash to imran off</t>
  </si>
  <si>
    <t>give to nadeem bhai for labourer</t>
  </si>
  <si>
    <t>cash for umar</t>
  </si>
  <si>
    <t>cash for purchase mineral water</t>
  </si>
  <si>
    <t>cash for photocopy drawings Mckinsey</t>
  </si>
  <si>
    <t>roti &amp; kabab</t>
  </si>
  <si>
    <t>sent corrier to pindi to Riaz driver NIC</t>
  </si>
  <si>
    <t>shopper &amp; cell for clock</t>
  </si>
  <si>
    <t>purchase blower 400 watt</t>
  </si>
  <si>
    <t>allied for welding rod</t>
  </si>
  <si>
    <t>cash sent by irfan</t>
  </si>
  <si>
    <t>to kamran nov 16</t>
  </si>
  <si>
    <t>balance for bilal bhai ufone mobile for Dubai</t>
  </si>
  <si>
    <t>archi cream purchase for jpmc</t>
  </si>
  <si>
    <t>plumbing item</t>
  </si>
  <si>
    <t xml:space="preserve">rikshaw fare </t>
  </si>
  <si>
    <t>tea for labourere</t>
  </si>
  <si>
    <t>lunch at efu on Sunday on 20-11-16</t>
  </si>
  <si>
    <t>purchase tissue paper</t>
  </si>
  <si>
    <t>Returned by ebad</t>
  </si>
  <si>
    <t>cash for mckinsey for bush</t>
  </si>
  <si>
    <t>cash sent by ali</t>
  </si>
  <si>
    <t>jpmc photocopy</t>
  </si>
  <si>
    <t>cash for ftc 8th floor</t>
  </si>
  <si>
    <t>cash petty</t>
  </si>
  <si>
    <t>cyliner at indus</t>
  </si>
  <si>
    <t>cash for rikshaw fare form office to indus</t>
  </si>
  <si>
    <t>cash for pipe cutting remaining balance fuel 300 for huzaifa jpmc fuel to imran 100</t>
  </si>
  <si>
    <t>iftkhar salary adv for nov 16</t>
  </si>
  <si>
    <t xml:space="preserve">roti &amp; photo copy by umar </t>
  </si>
  <si>
    <t>purchased glue drum for indus</t>
  </si>
  <si>
    <t>PAID FOR BILAL BHAI mobile balance</t>
  </si>
  <si>
    <t>Cash withdrw from MCB #  '1610479929</t>
  </si>
  <si>
    <t>Malfa steel</t>
  </si>
  <si>
    <t>paid by mcb 2 chqs of 50000 &amp; cash Rs 4500</t>
  </si>
  <si>
    <t>split unit shifting from saddar to indus suzuki fare</t>
  </si>
  <si>
    <t>Riaz sahab</t>
  </si>
  <si>
    <t>paid to riaz sahb for material</t>
  </si>
  <si>
    <t>mehmood for nov 16</t>
  </si>
  <si>
    <t>Jpmc</t>
  </si>
  <si>
    <t>cash at EFU</t>
  </si>
  <si>
    <t>sugar tea bags milk powder</t>
  </si>
  <si>
    <t>photocoy for JPMC main project</t>
  </si>
  <si>
    <t>tea rs 25 by umar</t>
  </si>
  <si>
    <t>burger Rs 140</t>
  </si>
  <si>
    <t>rikhasa fare for shifting glue to indus</t>
  </si>
  <si>
    <t>cd + print of schedule for efu</t>
  </si>
  <si>
    <t>fuel + Card</t>
  </si>
  <si>
    <t>Rana afzal</t>
  </si>
  <si>
    <t>Adam</t>
  </si>
  <si>
    <t>paid mobilink bill at Jazz Rehman sahb</t>
  </si>
  <si>
    <t>purchased at indus hospital</t>
  </si>
  <si>
    <t>Facet Emporium</t>
  </si>
  <si>
    <t>paid for b/mixes gr muslim and other items purchased by imran engg chq Rs 100,000 cash</t>
  </si>
  <si>
    <t>burger for bilal bhai &amp; Ebad</t>
  </si>
  <si>
    <t>Cash withdrw from DIB #  ' 01403681</t>
  </si>
  <si>
    <t>Cash withdrw from DIB #  ' 01403677</t>
  </si>
  <si>
    <t>Cash withdrw from DIB #  ' 01403678</t>
  </si>
  <si>
    <t>cash to umar for roti &amp; pencil sharpner</t>
  </si>
  <si>
    <t>jazz mobile balance paid at khaadi &amp; indus</t>
  </si>
  <si>
    <t>Paid at hyper star for cement and other items</t>
  </si>
  <si>
    <t>Paid at nasir colony for cement</t>
  </si>
  <si>
    <t>biscuits for bilal bhai guest</t>
  </si>
  <si>
    <t xml:space="preserve">fuel Gree purchased </t>
  </si>
  <si>
    <t>purchase pocha for safai &amp; chmical for cockroch at office</t>
  </si>
  <si>
    <t>paid fare for cloth at babu cloth</t>
  </si>
  <si>
    <t>pencil cell purchased by nadeem bhai</t>
  </si>
  <si>
    <t>ebad lunch</t>
  </si>
  <si>
    <t>burger for bilal bhai by umar</t>
  </si>
  <si>
    <t>fruit for bilal bhai + cigraate</t>
  </si>
  <si>
    <t xml:space="preserve">rikshaw fare form off to allied </t>
  </si>
  <si>
    <t>kamran auto printer repair , refilling, drum &amp; plate change fuel + puncture + parking</t>
  </si>
  <si>
    <t>Cash withdrw from DIB #  ' 01403695</t>
  </si>
  <si>
    <t>Cash remainded from salary</t>
  </si>
  <si>
    <t>umar salary increased</t>
  </si>
  <si>
    <t>sugar &amp; every day</t>
  </si>
  <si>
    <t>tea bags</t>
  </si>
  <si>
    <t>paid deliver on 03-12-16</t>
  </si>
  <si>
    <t>paid for tanki fare for efu cash 250  chq # 01403698</t>
  </si>
  <si>
    <t>paid for blower &amp; thermos at ebm required by owais ordered by imran engg</t>
  </si>
  <si>
    <t>spray for tanki at efu</t>
  </si>
  <si>
    <t>tanki fare from office to efu</t>
  </si>
  <si>
    <t>abbas</t>
  </si>
  <si>
    <t xml:space="preserve">paid for glue </t>
  </si>
  <si>
    <t>delivery charges of leopard for fateh chq</t>
  </si>
  <si>
    <t>riksahew fare from off to indus for anti fungas paint</t>
  </si>
  <si>
    <t>cash sent by abdullah</t>
  </si>
  <si>
    <t>Cash withdrw from DIB #  ' 01403701</t>
  </si>
  <si>
    <t>mobile warid balance</t>
  </si>
  <si>
    <t>corrier fateh cheque</t>
  </si>
  <si>
    <t>lunch at office by umar</t>
  </si>
  <si>
    <t>fare of rikshaw fare threding rod from saim bhai</t>
  </si>
  <si>
    <t>tea for bilal bhai</t>
  </si>
  <si>
    <t>for buity for islamabad suzuki fare fuel and loader</t>
  </si>
  <si>
    <t>burger for bilal bhai</t>
  </si>
  <si>
    <t>office files &amp; correction pen</t>
  </si>
  <si>
    <t>core cutting at jpmc</t>
  </si>
  <si>
    <t>M. Ali</t>
  </si>
  <si>
    <t>Ashraf civil contractor</t>
  </si>
  <si>
    <t>cash 5000, 6000 &amp; 5000</t>
  </si>
  <si>
    <t>cash for comode shower</t>
  </si>
  <si>
    <t>fuel at jpmc</t>
  </si>
  <si>
    <t>bilal bhai burger +</t>
  </si>
  <si>
    <t>bilal bhai burger 70 + cirgrett 150+ soup for office 140</t>
  </si>
  <si>
    <t>Cash withdrw from DIB #  ' 01403721</t>
  </si>
  <si>
    <t>Cash withdrw from DIB #  ' 01403707</t>
  </si>
  <si>
    <t>fuel for tender submit (jamia tender)</t>
  </si>
  <si>
    <t>to abid sent by khalid</t>
  </si>
  <si>
    <t>cash for jpmc fuel &amp; mobile card</t>
  </si>
  <si>
    <t>cash for faqeer charity</t>
  </si>
  <si>
    <t>cash for buity at isb 7070 + fuel 100</t>
  </si>
  <si>
    <t xml:space="preserve">buity isb </t>
  </si>
  <si>
    <t>mobile card for month</t>
  </si>
  <si>
    <t>rikshaw fare from kaytees to indus</t>
  </si>
  <si>
    <t>fuel for sst submit and bank 4 times</t>
  </si>
  <si>
    <t>fuel for buity at isb</t>
  </si>
  <si>
    <t>fare expense</t>
  </si>
  <si>
    <t>fare expense from off to allied flang &amp; cloth</t>
  </si>
  <si>
    <t>roti for office</t>
  </si>
  <si>
    <t>suger tea bag milk powder</t>
  </si>
  <si>
    <t>paid at allied</t>
  </si>
  <si>
    <t>corrier SST file to zohaib raza tax wala</t>
  </si>
  <si>
    <t>paid by bilal bhai</t>
  </si>
  <si>
    <t xml:space="preserve">cash for fuel at jpmc </t>
  </si>
  <si>
    <t>cash for cutting disc</t>
  </si>
  <si>
    <t>cash for nov tea</t>
  </si>
  <si>
    <t>rikshae fare form off to allied  8 tapes and 1 roll insulation</t>
  </si>
  <si>
    <t>gas cylinder indus</t>
  </si>
  <si>
    <t>salary ad for ghaffar sahb</t>
  </si>
  <si>
    <t>basit</t>
  </si>
  <si>
    <t>shaharyar</t>
  </si>
  <si>
    <t>photocopy + file for chase up warranty</t>
  </si>
  <si>
    <t>company profile</t>
  </si>
  <si>
    <t>cash for hyper</t>
  </si>
  <si>
    <t>Cash taken from Imran office imran took this cash from bilal bhai</t>
  </si>
  <si>
    <t>Cash withdrw from DIB #  ' 01403731</t>
  </si>
  <si>
    <t>fare fro kaytees to indus for insulation</t>
  </si>
  <si>
    <t>fuel for bike</t>
  </si>
  <si>
    <t>rikshar fare from kaytees to office (insulation) and fuel for imran</t>
  </si>
  <si>
    <t>misc expense</t>
  </si>
  <si>
    <t>Mhr personal</t>
  </si>
  <si>
    <t>ufone super card to rehana aunty</t>
  </si>
  <si>
    <t xml:space="preserve">cash for lassi for bilal bhai guest </t>
  </si>
  <si>
    <t>khaadi isl photcopy</t>
  </si>
  <si>
    <t>paid at hyper</t>
  </si>
  <si>
    <t>mobile balance mobilink</t>
  </si>
  <si>
    <t>Owais</t>
  </si>
  <si>
    <t>fuel at ebm</t>
  </si>
  <si>
    <t>Tariq Insulatin</t>
  </si>
  <si>
    <t>khalid bhai</t>
  </si>
  <si>
    <t>cash returned by shahid painter</t>
  </si>
  <si>
    <t>milk powder &amp; tissue papers 2 nos</t>
  </si>
  <si>
    <t>cash given to ebad for bilal bhai home</t>
  </si>
  <si>
    <t>corrier 1st R/bill to hypar star lahore</t>
  </si>
  <si>
    <t>purchsd cement&amp; lock at hyper star invoice amount 6330 rec from nadeem bhai 4000</t>
  </si>
  <si>
    <t xml:space="preserve">bilal bhai give this cash to imran office no record </t>
  </si>
  <si>
    <t>haris</t>
  </si>
  <si>
    <t>fuel  from allied to office then banglow to office then to FTC</t>
  </si>
  <si>
    <t>Cash withdrw from DIB #  ' 01403737</t>
  </si>
  <si>
    <t>sabiztian salary adv</t>
  </si>
  <si>
    <t>rashid indus</t>
  </si>
  <si>
    <t>photocopy submittal indus hospital + 2 roti by umar</t>
  </si>
  <si>
    <t>cash taken from Nasir Bhai</t>
  </si>
  <si>
    <t>paid final payment at efu wilson labour</t>
  </si>
  <si>
    <t>paid a4 bundle for office</t>
  </si>
  <si>
    <t>I give Rs 3500 to nadeem bhai from shop rent when there is no cash in office</t>
  </si>
  <si>
    <t>I give Rs 13000 to nadeem bhai from shop rent when there is no cash in office</t>
  </si>
  <si>
    <t>Shop rent</t>
  </si>
  <si>
    <t>tea bags sugar &amp; bisciuts + empty DVD</t>
  </si>
  <si>
    <t xml:space="preserve">marib </t>
  </si>
  <si>
    <t>suzuki fare from off to hyper insulation roll</t>
  </si>
  <si>
    <t>cash for copy ebm &amp; indus</t>
  </si>
  <si>
    <t>cash for fuel  at hyperstar</t>
  </si>
  <si>
    <t>cash for copy at jpmc</t>
  </si>
  <si>
    <t>paid utilities bill (office Rs/ 17574    MHR Rs. 9441)</t>
  </si>
  <si>
    <t>for wire at faizan</t>
  </si>
  <si>
    <t>roti by umar</t>
  </si>
  <si>
    <t>paid suzuki fare from off to CP grills</t>
  </si>
  <si>
    <t>Rehan's computer ram , cell &amp; mouse</t>
  </si>
  <si>
    <t xml:space="preserve">Asif </t>
  </si>
  <si>
    <t>paid at c32 swimming pool</t>
  </si>
  <si>
    <t>cash transfer</t>
  </si>
  <si>
    <t>purchased cloth for cleaning purpose for office</t>
  </si>
  <si>
    <t>purchased 50 kg glue for khaadi isb from tip top</t>
  </si>
  <si>
    <t>marib by imran engg</t>
  </si>
  <si>
    <t>cash for buity 4600 fuel 100, 300 for rikshw fare form off to saddar</t>
  </si>
  <si>
    <t>petty cash</t>
  </si>
  <si>
    <t>cash for duct ribets</t>
  </si>
  <si>
    <t>paid for electric work at hyper</t>
  </si>
  <si>
    <t>purchased wire fixer for office</t>
  </si>
  <si>
    <t>cash taken from shop rent, this cash paid to nadeem bhai</t>
  </si>
  <si>
    <t>cash paid for cement at nasir colony</t>
  </si>
  <si>
    <t>cash paid at hyper star chq amount 100,000 + 20,000 cash (This chq is of Nasir bhai -Efu Payment)</t>
  </si>
  <si>
    <t>lunch for Ali extreme and nadeem bhai</t>
  </si>
  <si>
    <t>Amjad bhai</t>
  </si>
  <si>
    <t>paid electric work at hyper star</t>
  </si>
  <si>
    <t xml:space="preserve">Allied </t>
  </si>
  <si>
    <t>suzuki fare from fateh to allied (allied sheet)</t>
  </si>
  <si>
    <t>Jahanzaib</t>
  </si>
  <si>
    <t>Purhcased driver for chiller at bank al-falah Head Office</t>
  </si>
  <si>
    <t>Riaz electric service</t>
  </si>
  <si>
    <t>paid for swimming pool motor water seal  service</t>
  </si>
  <si>
    <t>car repair</t>
  </si>
  <si>
    <t>Areeb</t>
  </si>
  <si>
    <t>for website domain</t>
  </si>
  <si>
    <t>Ali duct</t>
  </si>
  <si>
    <t>wooden sadle</t>
  </si>
  <si>
    <t>purchased wooden saddle for indus</t>
  </si>
  <si>
    <t>tea n biscuits for nadeem bhai guest Umar was absent on that day</t>
  </si>
  <si>
    <t>huzaifa riksahw fare from home to offie</t>
  </si>
  <si>
    <t>Fuel</t>
  </si>
  <si>
    <t>utilities bills</t>
  </si>
  <si>
    <t>shopper, jhaaroo, fynyle</t>
  </si>
  <si>
    <t>purchased items at hyperstar</t>
  </si>
  <si>
    <t xml:space="preserve">cash for mixer, tee cock , bowl sink, waste pipe, </t>
  </si>
  <si>
    <t>Rehan's printer refill</t>
  </si>
  <si>
    <t>go for drawings at abdullah shah ghazi (ebad car's cng, and fuel for imran for different places at ptcl exchange)</t>
  </si>
  <si>
    <t>buiscuit for bilal bhai guest season master</t>
  </si>
  <si>
    <t>buity at isl 2000, fuel 100, bilal bhai home fuel 50 rikshaw fare 250 bank charges for tranfer cash Rs 50,000 to majid at khaadi isb site</t>
  </si>
  <si>
    <t>everyday. Sugar, tea bags, soup, and sir rehman mineral water</t>
  </si>
  <si>
    <t>Asif C-32</t>
  </si>
  <si>
    <t xml:space="preserve">jahangeer </t>
  </si>
  <si>
    <t>dec 8 days salary</t>
  </si>
  <si>
    <t>Noman</t>
  </si>
  <si>
    <t>dec salary remaining</t>
  </si>
  <si>
    <t>remaining salary mossi off for dec 16</t>
  </si>
  <si>
    <t>cash for drawings copy efu</t>
  </si>
  <si>
    <t>drawings copy indus</t>
  </si>
  <si>
    <t>fuel 3 times bank , and tender collect from AH construction</t>
  </si>
  <si>
    <t>bilal bhai medicine ourchsed by imnra</t>
  </si>
  <si>
    <t>cash Rs 5000 hold with imran for split AC purchased at indus</t>
  </si>
  <si>
    <t>Paid adv for window at hyper</t>
  </si>
  <si>
    <t xml:space="preserve">Ali </t>
  </si>
  <si>
    <t>purchased chemical at hyper n fuel for different sites</t>
  </si>
  <si>
    <t>Cash withdrw from DIB #  ' 01403754</t>
  </si>
  <si>
    <t>Cash withdrw from DIB #  ' 01403749</t>
  </si>
  <si>
    <t>paid 50,000 chq and 2000 cash</t>
  </si>
  <si>
    <t>motor pool water seal at kumail</t>
  </si>
  <si>
    <t>paid for car washman 3 cars</t>
  </si>
  <si>
    <t>paid for window</t>
  </si>
  <si>
    <t>cash paid to air guide</t>
  </si>
  <si>
    <t>cigratte 140 fruit 70 photo copy 15</t>
  </si>
  <si>
    <t>lunch for sir rehman 50, joshanda 20</t>
  </si>
  <si>
    <t>atm transfer charges claim by imran for majid isb salary of dec 16 tranfered in his account in islamabad</t>
  </si>
  <si>
    <t>cash for stationery</t>
  </si>
  <si>
    <t>purhcased stamp paper for shop aggrement renewal</t>
  </si>
  <si>
    <t>fuel claim by imran for three times went to DIB bank on 9/1/16 and 1 time went to bank and to purchase stamp paper for 3rd floor agreement renewal on 10-01-17</t>
  </si>
  <si>
    <t>claim fuel for drop ghaffar shb salary to imran at indus</t>
  </si>
  <si>
    <t>purchased glue 1 kg allied</t>
  </si>
  <si>
    <t>rikshae fare form off to jpmc</t>
  </si>
  <si>
    <t>purhcased milk powder</t>
  </si>
  <si>
    <t xml:space="preserve">cigrate for bilal bhai </t>
  </si>
  <si>
    <t>green tea packet + cooler toti</t>
  </si>
  <si>
    <t>mobile balance jpmc</t>
  </si>
  <si>
    <t xml:space="preserve">paid for mineral water </t>
  </si>
  <si>
    <t>imran for change the note from state bank</t>
  </si>
  <si>
    <t>Cash withdrw from DIB #  ' 01403766</t>
  </si>
  <si>
    <t>sir rehman mobile balance 1500, rehana aunty mobile balance 1500</t>
  </si>
  <si>
    <t>driver weekly lunch expense</t>
  </si>
  <si>
    <t>driver</t>
  </si>
  <si>
    <t>cash 2nd time by ebad</t>
  </si>
  <si>
    <t>tea bags, tissue, and suger</t>
  </si>
  <si>
    <t>burger for bilal bhai + dahi for sir rehman by umar</t>
  </si>
  <si>
    <t>mobile balance ufone super card rehana aunty</t>
  </si>
  <si>
    <t>Cash withdrw from DIB #  ' 014037</t>
  </si>
  <si>
    <t>Ghaffar sahab</t>
  </si>
  <si>
    <t>paid in majid account</t>
  </si>
  <si>
    <t>cash for misc exp</t>
  </si>
  <si>
    <t>sir rehman car work</t>
  </si>
  <si>
    <t>cash for misc exp at different sites buity islamabad drawing copy jb saeed rehan computer Ram bilal bhai friend lunch and misc</t>
  </si>
  <si>
    <t xml:space="preserve">bank charges claim by imran for Rs 25,000/- transfer to majid acc </t>
  </si>
  <si>
    <t>for tender of HBL emarald tower from YH associates</t>
  </si>
  <si>
    <t>fuel &amp; water tanker at home</t>
  </si>
  <si>
    <t>kamran sprinkler</t>
  </si>
  <si>
    <t>for sprinkler plates khaadi DMC chq amount 10,000</t>
  </si>
  <si>
    <t>paid uptodate 6,29000/-</t>
  </si>
  <si>
    <t>Cash withdrw from DIB #  ' 01403768</t>
  </si>
  <si>
    <t>cirgrate for bilal bhai 140 tul malanga 60 photo copy 35  chapati 15</t>
  </si>
  <si>
    <t>zeeshan efu</t>
  </si>
  <si>
    <t>photocopy 720 elfy 20 and fuel rs 30</t>
  </si>
  <si>
    <t>Cash withdrw from MCB #  '1626390918</t>
  </si>
  <si>
    <t>Ateeq salary</t>
  </si>
  <si>
    <t>9 days Ateeq salary transfer to peshawar he worked in hyper star, by order nadeem + 250 mobicash charges</t>
  </si>
  <si>
    <t>iftikhar salary adv january17</t>
  </si>
  <si>
    <t>cash given on 16-01-17</t>
  </si>
  <si>
    <t>fuel efu 2500 and kamal bakers 1630</t>
  </si>
  <si>
    <t>paid suzuki fare from off to UTE korangi (threaded rod)</t>
  </si>
  <si>
    <t>Cash withdrw from MCB #  '16263909</t>
  </si>
  <si>
    <t>cash gave to bilal bhai at the time of death of imran engg father</t>
  </si>
  <si>
    <t>cash for stool</t>
  </si>
  <si>
    <t>marib salary adv jan 17</t>
  </si>
  <si>
    <t xml:space="preserve">nito taoe 25, 2 pencil cells 30, </t>
  </si>
  <si>
    <t>cigrate for bilal bhai 140, photocpy 45, photocopy 10</t>
  </si>
  <si>
    <t>paid to saeed lala for weekily lunch</t>
  </si>
  <si>
    <t>cash for red oxide and glue</t>
  </si>
  <si>
    <t>cash for utilities bill, given to mr farhan</t>
  </si>
  <si>
    <t>paid for labourer at hyper site order by bilal bhai</t>
  </si>
  <si>
    <t>cash for ftc</t>
  </si>
  <si>
    <t>cash for mobile balance at jpmc</t>
  </si>
  <si>
    <t>cash water milk powder 350, mineral water 100, coffe 100, ispaghol 50, duplicate key making rs 70, biskuit for mjor jalal 45</t>
  </si>
  <si>
    <t xml:space="preserve">milk powder, 350, coffee </t>
  </si>
  <si>
    <t>shahid painter salary adv of month jan 17</t>
  </si>
  <si>
    <t>cash 3000 given by nadeem bhai</t>
  </si>
  <si>
    <t>paid  uptodate 653,000</t>
  </si>
  <si>
    <t>fuel for different site by order ebad</t>
  </si>
  <si>
    <t>cash for blocks ast hyper</t>
  </si>
  <si>
    <t xml:space="preserve"> lunch 764 &amp; cold drink for bilal bhai guest 90, and tea 75 towel wash 100</t>
  </si>
  <si>
    <t>printer cable for imran computer</t>
  </si>
  <si>
    <t>umar for off exp</t>
  </si>
  <si>
    <t>purchased brushes for the site efu</t>
  </si>
  <si>
    <t>buity  6000, adda charges 300, labour 400 suzuki fare  900 fuel 100 nashta 50</t>
  </si>
  <si>
    <t>mobile monthly card 500, fuel three times bank 1 time cheq rec from baloch coloy freom zaherr shb and 1 time tender submit HBL emerald tower</t>
  </si>
  <si>
    <t>this cash paid by bilal bhai for misc work done by imran at indus</t>
  </si>
  <si>
    <t>car work repair 5000, leveler laser purchased at jpmc and mithai 1000 for ftc</t>
  </si>
  <si>
    <t>cash for sika</t>
  </si>
  <si>
    <t>haris salary advance</t>
  </si>
  <si>
    <t>Cash withdrw from MCB #  "01450480</t>
  </si>
  <si>
    <t>Cash withdrw from DIB #  ' 014050485</t>
  </si>
  <si>
    <t>Adil Duct</t>
  </si>
  <si>
    <t>paid to adil duct 25000 + charges 418</t>
  </si>
  <si>
    <t>cash for fisher n other material</t>
  </si>
  <si>
    <t>owais for pen n register &amp; cotton</t>
  </si>
  <si>
    <t>yasrab engg</t>
  </si>
  <si>
    <t>kamran jamia slary adv</t>
  </si>
  <si>
    <t>shehryar slary adv</t>
  </si>
  <si>
    <t>Cash withdrw from DIB #  ' 01405</t>
  </si>
  <si>
    <t>asif</t>
  </si>
  <si>
    <t>paid for fiber glass at c32</t>
  </si>
  <si>
    <t>umar c/o nadeem</t>
  </si>
  <si>
    <t>paid (shahid)</t>
  </si>
  <si>
    <t>Saeed Lala</t>
  </si>
  <si>
    <t>Cash withdrw from DIB #  ' 014050489 this chq amount is 38400/- (Rs 35000 in huzaifa acc and 3400 in office pett</t>
  </si>
  <si>
    <t>paid for weekly lunch expenses</t>
  </si>
  <si>
    <t>cash khalid bhai</t>
  </si>
  <si>
    <t>cash for imtiaz and other</t>
  </si>
  <si>
    <t>drwings for  jb saeed 850 tpl 255 jpmc 85 + 10</t>
  </si>
  <si>
    <t>stapler and pins, red oxide paint and brush and hassan abbas mobile card rs 600</t>
  </si>
  <si>
    <t>suzuki fare from iqbal sons to office for flexible duct at khaadu dmc</t>
  </si>
  <si>
    <t>fuel at efu</t>
  </si>
  <si>
    <t xml:space="preserve">fateh ali chq corrier 90, samosay for bilal bhai mamu 140, tea 50, photocopy 45, atco boq copy 20, nec artistic photocopy 10, lunch for umar 40,  </t>
  </si>
  <si>
    <t>shahbaz jpmc salary adv</t>
  </si>
  <si>
    <t>fuel at indus</t>
  </si>
  <si>
    <t>cash adv</t>
  </si>
  <si>
    <t>ahu maintenane sheet copy 500 nos</t>
  </si>
  <si>
    <t>mobile balance by imran office when bilal bhai in USA</t>
  </si>
  <si>
    <t>milk poweder 420, cell 20, kabab and roti 70,  photocopy 66</t>
  </si>
  <si>
    <t>purchased gate valve and other matrial from from shabbir brothers</t>
  </si>
  <si>
    <t>Asif fiber</t>
  </si>
  <si>
    <t>paid at c-32</t>
  </si>
  <si>
    <t>zahabia</t>
  </si>
  <si>
    <t>purchased xahabia paint at hyper purhcased by kamran autocad</t>
  </si>
  <si>
    <t>gas bill paid for mhr</t>
  </si>
  <si>
    <t>cash returned by kamran jamia against mot valve from shabbir brothers</t>
  </si>
  <si>
    <t>fuel 1 time for cock sheet purhcase and 1 time for retuned motorized valve</t>
  </si>
  <si>
    <t>cash for bit at efu</t>
  </si>
  <si>
    <t>purchased milk powder</t>
  </si>
  <si>
    <t>omar salary for the month january 17</t>
  </si>
  <si>
    <t>car wash 2 cars january 16</t>
  </si>
  <si>
    <t>kabab and roti</t>
  </si>
  <si>
    <t>Rs 140 hold with omar at the time of leave from the job</t>
  </si>
  <si>
    <t>electricity bill paid (Abrar salehan Zia colony) by order nadeem bhai</t>
  </si>
  <si>
    <t>haji store pharmacy</t>
  </si>
  <si>
    <t>purhcased cock sheet at indus ordered by imran engg</t>
  </si>
  <si>
    <t>ali khalid salary adv fopr jan 17</t>
  </si>
  <si>
    <t>utiliteis bills paid (nadeem bhai home)</t>
  </si>
  <si>
    <t>purhcased welding rod &amp; cutting disc 4" from hussain abad rikshaw fare Rs 500</t>
  </si>
  <si>
    <t>tissue paper &amp; soup</t>
  </si>
  <si>
    <t>mortien</t>
  </si>
  <si>
    <t>cash for disc ute towel</t>
  </si>
  <si>
    <t>monthly lunch expense</t>
  </si>
  <si>
    <t>greentea</t>
  </si>
  <si>
    <t>cash for plastic sheet</t>
  </si>
  <si>
    <t>cash for colour paint and other items</t>
  </si>
  <si>
    <t>fuel to kamran auto ar indus</t>
  </si>
  <si>
    <t>cash for roti</t>
  </si>
  <si>
    <t>cash att efu by order nadeem bhai</t>
  </si>
  <si>
    <t>cash for fuel at movenpick</t>
  </si>
  <si>
    <t>cash for jamia c-32 for pipe</t>
  </si>
  <si>
    <t>ebad salary jan17</t>
  </si>
  <si>
    <t>nadeem bhai salary jan 17</t>
  </si>
  <si>
    <t>cash for materail purhcased at bank al falah</t>
  </si>
  <si>
    <t>ahu sheets photocopy 50 Nos by hassan abbas</t>
  </si>
  <si>
    <t>cash for traffice challan</t>
  </si>
  <si>
    <t>tea bags and suger roti</t>
  </si>
  <si>
    <t>cash for pipe at hbl</t>
  </si>
  <si>
    <t>bus fare</t>
  </si>
  <si>
    <t>mobile balance at jpmc</t>
  </si>
  <si>
    <t>cash to wilson for reduser</t>
  </si>
  <si>
    <t>photocopy + cophy</t>
  </si>
  <si>
    <t>mobile card</t>
  </si>
  <si>
    <t>hbl emeral tower photocopy</t>
  </si>
  <si>
    <t xml:space="preserve">Ebad </t>
  </si>
  <si>
    <t>brome (jhaaroo) for office</t>
  </si>
  <si>
    <t>paid at efu</t>
  </si>
  <si>
    <t>Imran office</t>
  </si>
  <si>
    <t>cultus car service by ebad</t>
  </si>
  <si>
    <t>materail rawal bolt, nut bolt, skurt for indus and hbl</t>
  </si>
  <si>
    <t>cash material glue buity nut washer paper roll tape cloth rikhsha rent food parking fuel</t>
  </si>
  <si>
    <t>grinder brush for bank al-falah</t>
  </si>
  <si>
    <t>cash for emergency when he was heart attack</t>
  </si>
  <si>
    <t>cash for hbl emerald tower</t>
  </si>
  <si>
    <t>bhakhtiar</t>
  </si>
  <si>
    <t>purhcased elbow plung 3" at ATCO</t>
  </si>
  <si>
    <t>cash for efu schedule print from saddar print + fuel 100</t>
  </si>
  <si>
    <t>photocopy print khhadi isb</t>
  </si>
  <si>
    <t>Saaed lala driver</t>
  </si>
  <si>
    <t>salary for the month jan 17 for 22 days/ 16000/month</t>
  </si>
  <si>
    <t>photocopy khhadi isl</t>
  </si>
  <si>
    <t>for roti for lunch</t>
  </si>
  <si>
    <t>to bakhti for bilal bhai friend umar refreshment</t>
  </si>
  <si>
    <t>riksha fare from efu to office</t>
  </si>
  <si>
    <t>suzuki fare from off to hyper</t>
  </si>
  <si>
    <t>fuel for office to ute korangi for fiitings shifting</t>
  </si>
  <si>
    <t>suzuki fare from office to nasir col then JB saeed fro shifting for thresded rod, insulation and fittings</t>
  </si>
  <si>
    <t>cash sent by amjad ustaad</t>
  </si>
  <si>
    <t>2 lassi for zara engg fattukh 120 , tea 50, office tea and sugar, imran comp mouse photocopy 80 and 32 nad biskuits</t>
  </si>
  <si>
    <t>cash for SST</t>
  </si>
  <si>
    <t>sir rehman mobile balance paid</t>
  </si>
  <si>
    <t>Bakhtiar</t>
  </si>
  <si>
    <t>card doori + card print</t>
  </si>
  <si>
    <t>purhcased spring for ducting for khaadi isb</t>
  </si>
  <si>
    <t>paid abid oct and nov 16 salary</t>
  </si>
  <si>
    <t>Cash taken from naveed malik payment</t>
  </si>
  <si>
    <t>paid final payment at hyper</t>
  </si>
  <si>
    <t>rikshar fare for welding plant shifting from bank alfalah to jpmc</t>
  </si>
  <si>
    <t>ticket for islamabad 4 nos chq # 01450527 amount 15000 and cash 1000</t>
  </si>
  <si>
    <t>Cash withdrw from DIB #  ' 014050528</t>
  </si>
  <si>
    <t>cash for material for MHR</t>
  </si>
  <si>
    <t>mobile balances Mrs bilal 500,  Aunty Rehana 500</t>
  </si>
  <si>
    <t>cash for manual lift at hbl emerald tower</t>
  </si>
  <si>
    <t>suzuki carriage plate form lift crane, haji stoe and fuel</t>
  </si>
  <si>
    <t>cash for material sent by irfan</t>
  </si>
  <si>
    <t>Cash withdrw from DIB #  ' 0140505</t>
  </si>
  <si>
    <t>cash for elbow sent by gulfam</t>
  </si>
  <si>
    <t>pay kamran at hbl for token</t>
  </si>
  <si>
    <t>photocopy indus taaj mcc submital</t>
  </si>
  <si>
    <t>for material tape and cloth at banlk al-falah h/o</t>
  </si>
  <si>
    <t>cash for fiber tank waste cleaning</t>
  </si>
  <si>
    <t>purhcased shopper and fernayal bottle</t>
  </si>
  <si>
    <t>paid for EV driver at bank al-falah H/O</t>
  </si>
  <si>
    <t>purhcased raiti bajri at hyper</t>
  </si>
  <si>
    <t>paid by sir rehman</t>
  </si>
  <si>
    <t>truck fare paid for 40 Nos AC</t>
  </si>
  <si>
    <t>iftikhar salary</t>
  </si>
  <si>
    <t xml:space="preserve">salary for the month jan 17 </t>
  </si>
  <si>
    <t xml:space="preserve">28 kg  steel sheet purhcased by abid at hyperstar  by order nadeem </t>
  </si>
  <si>
    <t>sal adv amjad</t>
  </si>
  <si>
    <t>Remained cash from the DIB #  ' 0140539</t>
  </si>
  <si>
    <t>paid for duct cutting labour</t>
  </si>
  <si>
    <t>cash at the time of going to islamabad</t>
  </si>
  <si>
    <t>mehmood for feb 17</t>
  </si>
  <si>
    <t>purchased brushes, dhaaga and labour for pipe choori cutting at hyper</t>
  </si>
  <si>
    <t>kamran off feb 17</t>
  </si>
  <si>
    <t>adam riger</t>
  </si>
  <si>
    <t>paid for un-loading of AHUs at insua hospital</t>
  </si>
  <si>
    <t>sir rehman paid for lunch at indus hospital</t>
  </si>
  <si>
    <t>paid for newspaper at mhr home</t>
  </si>
  <si>
    <t xml:space="preserve">photocopy, tea Rs 100, biskuits, lunch for office, towel wash 150, tea by bilal bhai </t>
  </si>
  <si>
    <t>cash for material indus hospital</t>
  </si>
  <si>
    <t>elbow at hyper star</t>
  </si>
  <si>
    <t>purhcased armaflex at hyperstar</t>
  </si>
  <si>
    <t>cash for ahu unloading at indus</t>
  </si>
  <si>
    <t>feroz sahab feb 17 salary adv</t>
  </si>
  <si>
    <t>cash for panaflex printing</t>
  </si>
  <si>
    <t>mobile balance bilal bhai 600, rehana rehman aunty mobile bal 1500</t>
  </si>
  <si>
    <t xml:space="preserve">ebad </t>
  </si>
  <si>
    <t>paid for core cutting at TRg</t>
  </si>
  <si>
    <t>cash for cutting disc at jb saeed</t>
  </si>
  <si>
    <t>Amjad elec</t>
  </si>
  <si>
    <t>cash by amjad by sir rehman</t>
  </si>
  <si>
    <t>mossi loan</t>
  </si>
  <si>
    <t>cash for print</t>
  </si>
  <si>
    <t>paid KCCI membership renewal fee 2017</t>
  </si>
  <si>
    <t>paid at UTE korangi site</t>
  </si>
  <si>
    <t>cash for copper wire 4 core at TRG mg tower</t>
  </si>
  <si>
    <t>jahangeer for feb 17</t>
  </si>
  <si>
    <t>haris for feb 17</t>
  </si>
  <si>
    <t>purhcased nut bolt for indus, fittingss for jpmc and JB saaed, craft paper for indus</t>
  </si>
  <si>
    <t>adnan Tile fixture</t>
  </si>
  <si>
    <t>sharyar for the month feb 17</t>
  </si>
  <si>
    <t>rashid</t>
  </si>
  <si>
    <t>paid for gas</t>
  </si>
  <si>
    <t>fuel for bank working and go for submitting KCCI fee</t>
  </si>
  <si>
    <t>drwings copy for hbl emerald tower</t>
  </si>
  <si>
    <t xml:space="preserve">purchased lock for roof 200, coffee 70, tea bag380 tissue paper 100, mineral water for sir rehman 100, </t>
  </si>
  <si>
    <t>fuel at indus for material shifting</t>
  </si>
  <si>
    <t>cash tranfer 15000 service charges 600</t>
  </si>
  <si>
    <t>cash for bike maintenance</t>
  </si>
  <si>
    <t>tea and lunch exp at jb saeed claim by ebad</t>
  </si>
  <si>
    <t>purchased stamp paper for 1st and 2nd floor</t>
  </si>
  <si>
    <t>purchased tape, ms nipple, fuel rikshaw rent parking 50 food 50</t>
  </si>
  <si>
    <t>Farrukh Orient</t>
  </si>
  <si>
    <t>cash given for JB saeed FCU</t>
  </si>
  <si>
    <t>corrier submit hyper lahore boq</t>
  </si>
  <si>
    <t>drwsing copy</t>
  </si>
  <si>
    <t>paid to CHOORI wala (jpmc)</t>
  </si>
  <si>
    <t>hashim distributer</t>
  </si>
  <si>
    <t>paid thro MCB chq # 1626390927   cash Rs 1000 for cable 3 core purchased</t>
  </si>
  <si>
    <t>paid for angle 1 1/4" @ 75  20 kg with cutting and rikshaw fare</t>
  </si>
  <si>
    <t>drwaing copy</t>
  </si>
  <si>
    <t>suzuki fare hyperstar and hbl emrelad tower for rods</t>
  </si>
  <si>
    <t>cash by bilal</t>
  </si>
  <si>
    <t>materail purhcased at indus</t>
  </si>
  <si>
    <t>two times bank working</t>
  </si>
  <si>
    <t>fuel claim for bilal bhai work and 60parking</t>
  </si>
  <si>
    <t>cash for indus material indus and JB saeed</t>
  </si>
  <si>
    <t>feroz shb</t>
  </si>
  <si>
    <t>rikhsh fare for indus</t>
  </si>
  <si>
    <t>Khalil chawkidar</t>
  </si>
  <si>
    <t xml:space="preserve">salary feb 2017 at MHR </t>
  </si>
  <si>
    <t>Khalid Core</t>
  </si>
  <si>
    <t>misc expenses incurred at khaadi islamabd chq # chq # 01450542 chq amount 200,000/-  cash 6000</t>
  </si>
  <si>
    <t>corrier fateh chq</t>
  </si>
  <si>
    <t>photocopy 20, biskuit 70, milk powerd 350, hyper lahore BOQ corrier 190,  green tea 105, photo copy 54, , photo copy zara engg hbl emerald submittal, 84, mineral water 50, lunch for sir rehman 70, biskuit for bilal bhai 30, biskut 20  phot copy jpmc daikin split submittal 54</t>
  </si>
  <si>
    <t>cigratte for bilal bhai by kamran auto</t>
  </si>
  <si>
    <t>Mossi salary</t>
  </si>
  <si>
    <t>salary for feb 17</t>
  </si>
  <si>
    <t>purhcase tee, ruduserm bend, fuel, 100, rikshaw 300 , parking and food 50 at JB saeed and fitting at indus material</t>
  </si>
  <si>
    <t>fuel claimed for two times SMC office and for parking</t>
  </si>
  <si>
    <t>suzuki rent efu</t>
  </si>
  <si>
    <t>suzuki rent disc, blade,  stool. Rikshaw etc</t>
  </si>
  <si>
    <t>adv paid for SS pc</t>
  </si>
  <si>
    <t>final payment paid for SS 1 pc</t>
  </si>
  <si>
    <t>cash for paints at banl a;falah h/o</t>
  </si>
  <si>
    <t>fuel at indus for zahabia paint shifting</t>
  </si>
  <si>
    <t>shahbaz jpmc salary adv march 17</t>
  </si>
  <si>
    <t>material purhcased at hyper</t>
  </si>
  <si>
    <t>monthly lunch expenses to saeed lala</t>
  </si>
  <si>
    <t>for kitchen stuff and pan purchasd for home</t>
  </si>
  <si>
    <t>paid shahzor fare and labour for 16 outers and 6 inners at TRG MG Tower</t>
  </si>
  <si>
    <t>chowkidar salary 3000 his salary is 15000</t>
  </si>
  <si>
    <t>mineral water for sir rehman 50, tea for bilal bhai 80, lunch for sir rehman 40, roti 8, sabzi for sir rehman 165,  spiral binding 20</t>
  </si>
  <si>
    <t>company profile print</t>
  </si>
  <si>
    <t>company profile spiral binding</t>
  </si>
  <si>
    <t>paid to bakhtiar for 3 cars wash</t>
  </si>
  <si>
    <t>paid to SMC for zeelaf munir tender purchase + fuel 50</t>
  </si>
  <si>
    <t>purchased materail for JB saeed</t>
  </si>
  <si>
    <t>purchased materail for indus</t>
  </si>
  <si>
    <t>cash for tea exp for feb 17</t>
  </si>
  <si>
    <t>PAID FOR PIPE and tape at trg mg tower</t>
  </si>
  <si>
    <t>fuel claimed for ebm to office many times</t>
  </si>
  <si>
    <t>jamc drawing copy</t>
  </si>
  <si>
    <t>jomc drawing copy</t>
  </si>
  <si>
    <t>drawings copy jpmc</t>
  </si>
  <si>
    <t>cash for material jpmc and jb saeed</t>
  </si>
  <si>
    <t>materail purcahsed for jmpc</t>
  </si>
  <si>
    <t>materail purcahsed for hml emerald</t>
  </si>
  <si>
    <t>mujahid gas</t>
  </si>
  <si>
    <t>gas cylinder at bank -al falah h/o</t>
  </si>
  <si>
    <t>gas cyliner at indus</t>
  </si>
  <si>
    <t>khalid shb</t>
  </si>
  <si>
    <t>paid for lunch and tea expenses at JB saeed</t>
  </si>
  <si>
    <t>Khaadi louver</t>
  </si>
  <si>
    <t>paid for khaadi louver</t>
  </si>
  <si>
    <t>Danish tiles</t>
  </si>
  <si>
    <t>paid for 2 paks of tiles at hyper star</t>
  </si>
  <si>
    <t>biskuits for nadeem bhai</t>
  </si>
  <si>
    <t>shareed glass</t>
  </si>
  <si>
    <t>purchased 78 glass clips</t>
  </si>
  <si>
    <t xml:space="preserve">cash taken from JPMC Advance payment </t>
  </si>
  <si>
    <t>for elbow and connector 60 V</t>
  </si>
  <si>
    <t>purcahse 3 DVDs windows 7, Office 2013, and antivirus</t>
  </si>
  <si>
    <t>paid thru chq MCB # 1626390932 and cash 4360</t>
  </si>
  <si>
    <t>paid colour for bank al-falah head office</t>
  </si>
  <si>
    <t>rat killer</t>
  </si>
  <si>
    <t>load</t>
  </si>
  <si>
    <t>purchased by mossi</t>
  </si>
  <si>
    <t>for bahria golf course tender purhcase</t>
  </si>
  <si>
    <t>surf 130,  zeelaf munir BOQ photocopy 70,  choclate for bilal bhai 60, dahi phulki for sir rehman 60, lunch for bilal bhai 170, biskuit for bilal bhai 20, roti for office 40</t>
  </si>
  <si>
    <t>jahangeer for mar 17</t>
  </si>
  <si>
    <t>purchased jhaaro, phocha</t>
  </si>
  <si>
    <t>rehana rehman aunty mobile super card</t>
  </si>
  <si>
    <t xml:space="preserve">abbas </t>
  </si>
  <si>
    <t>sahbaz</t>
  </si>
  <si>
    <t>cash to rashid for trg electric wire</t>
  </si>
  <si>
    <t>cash for materail at indus JB saeed, JPMC</t>
  </si>
  <si>
    <t>for tickets at islamabad with charges with fuel Rs 50</t>
  </si>
  <si>
    <t>materail purchased at indus</t>
  </si>
  <si>
    <t>Cash remained from MCB PS chq # 1626390934 (paid to reshid)</t>
  </si>
  <si>
    <t>paid to suzuki fare, labour and loader at TRG</t>
  </si>
  <si>
    <t>paid by imran off</t>
  </si>
  <si>
    <t>fuel claim for sarria shifting fro office to HBL</t>
  </si>
  <si>
    <t>ALI</t>
  </si>
  <si>
    <t>Cash withdrw from MCB PES #  ' 016</t>
  </si>
  <si>
    <t>1/2" copper socket purchasd fuel claim 150, juince, 30, parking  40</t>
  </si>
  <si>
    <t>cutting disc for JPMC</t>
  </si>
  <si>
    <t>Salary adv</t>
  </si>
  <si>
    <t>amjad bhai sal adv for mar 17</t>
  </si>
  <si>
    <t>marib for mar 17</t>
  </si>
  <si>
    <t>rikshaw fare for insulation roll</t>
  </si>
  <si>
    <t>kamran auto for mar 17</t>
  </si>
  <si>
    <t>purchased material at indus</t>
  </si>
  <si>
    <t>purchased material at JB saeed</t>
  </si>
  <si>
    <t>shahbaz salary adv for march 17</t>
  </si>
  <si>
    <t>purchased solution box,elbow, socket, pipe for gul ahmed for smell in tea bar drain pipe issue</t>
  </si>
  <si>
    <t>bakhti</t>
  </si>
  <si>
    <t>bahria golf course tender copy</t>
  </si>
  <si>
    <t>green tea for office</t>
  </si>
  <si>
    <t>sir rehman lunch</t>
  </si>
  <si>
    <t>Salaries adv</t>
  </si>
  <si>
    <t>haris for march 17</t>
  </si>
  <si>
    <t>tea bags and I kg sugar and photo copy hbl tender copy for 1st running bill</t>
  </si>
  <si>
    <t>cash for fuel at the time of going to meeting for Khaadi lahore gulberg with nadeem bhai</t>
  </si>
  <si>
    <t>Rehana rehman aunty mobile balance</t>
  </si>
  <si>
    <t>nic and photograph of abdullah and wilson staff sent to lahore for hyperstar</t>
  </si>
  <si>
    <t>cash for office exp</t>
  </si>
  <si>
    <t>purchased material for indus, trg mg, efu</t>
  </si>
  <si>
    <t>imran claim fuel 100 and parking 25 for SMC tender submit (zeelaf munir)</t>
  </si>
  <si>
    <t>misc expenses incurred at indus hospital</t>
  </si>
  <si>
    <t>Purchased angle 3 kg for trg mg tower</t>
  </si>
  <si>
    <t>holsa drill bit and misc item purchased at indus by rashid  RS 200 remaining</t>
  </si>
  <si>
    <t>medicine purchasd at indus hospital</t>
  </si>
  <si>
    <t>drwings copy for jpmc</t>
  </si>
  <si>
    <t>abid 62 hours remaining overtime</t>
  </si>
  <si>
    <t>abbas for mar 17</t>
  </si>
  <si>
    <t xml:space="preserve">office toilet soup 100,  photocopy and rubber band packet 35, cigratte for bilal bhai 140, </t>
  </si>
  <si>
    <t>dahi phuli for sir rehman 120, biskuit for nadeem bhai 35, lunch for sir rehman 170</t>
  </si>
  <si>
    <t>club sandwich for bilal bhai friends 440, and ciggrate for bilal bhai 140 switch board for office AC 350, tea 100, tea bag 100</t>
  </si>
  <si>
    <t>Cheq # 01450575 (chq 1/11)</t>
  </si>
  <si>
    <t>Cheq # 01450575 (chq 2/11)</t>
  </si>
  <si>
    <t>Cheq # 01450575 (chq 3/11)</t>
  </si>
  <si>
    <t>Cheq # 01450575 (chq 4/11)</t>
  </si>
  <si>
    <t>cash paid 2000 for tickets and 3000 for adv</t>
  </si>
  <si>
    <t>final ppayment at bank al-falah</t>
  </si>
  <si>
    <t>Zahid electrician cash</t>
  </si>
  <si>
    <t>paid at indus</t>
  </si>
  <si>
    <t>nadeem bhai ufone bill paid</t>
  </si>
  <si>
    <t>paid for khaadi lahore</t>
  </si>
  <si>
    <t>cash for jb saaed site exp</t>
  </si>
  <si>
    <t>khalid bhai for mar 17</t>
  </si>
  <si>
    <t>mini ball valce at naveed mali</t>
  </si>
  <si>
    <t>welding rod and fittings at dhanak shop</t>
  </si>
  <si>
    <t>drawings copy hbl</t>
  </si>
  <si>
    <t>drawings copy khaadi packages</t>
  </si>
  <si>
    <t>hbl materail</t>
  </si>
  <si>
    <t>materail purchased from eastern at indus CHQ amount 58000 chq # 1626390943  Cash 19,000</t>
  </si>
  <si>
    <t>purchaed halsaw, claim fuel and paid to police bhatta</t>
  </si>
  <si>
    <t>cash taken from MCB PS CHQ # 1626390944</t>
  </si>
  <si>
    <t>sebastiant</t>
  </si>
  <si>
    <t>rikshaw fare from off to efu for dissuser</t>
  </si>
  <si>
    <t>Lateef wooden saddle</t>
  </si>
  <si>
    <t>cash paid at indus site for sooden saddle</t>
  </si>
  <si>
    <t>SSGC bill paid 5 months pending bill</t>
  </si>
  <si>
    <t>petrol for paint at hbl site</t>
  </si>
  <si>
    <t>indus extra AC work purchased wire, channel patti, elbow, socket</t>
  </si>
  <si>
    <t>adv at hbl</t>
  </si>
  <si>
    <t>efu two new staff id card colour copy print</t>
  </si>
  <si>
    <t>nadeem bhai utilies bills paid memom group</t>
  </si>
  <si>
    <t xml:space="preserve">cash taken from MCB PS CHQ # </t>
  </si>
  <si>
    <t xml:space="preserve">salary </t>
  </si>
  <si>
    <t>mossi salary for march 17</t>
  </si>
  <si>
    <t>generator lock and chain 300, tea 100, lunch for office 160</t>
  </si>
  <si>
    <t>office lunch</t>
  </si>
  <si>
    <t>naveed malik bill receiving</t>
  </si>
  <si>
    <t>cash paid sent thru kamran elec</t>
  </si>
  <si>
    <t>paid to imran ducting</t>
  </si>
  <si>
    <t>paid for khaadi lohore house rent</t>
  </si>
  <si>
    <t>for hilti for hbl emerald tower</t>
  </si>
  <si>
    <t>cash taken from nadeem nhai</t>
  </si>
  <si>
    <t>cigratee</t>
  </si>
  <si>
    <t>riksahw fare from office to ute korangi</t>
  </si>
  <si>
    <t>purchased material at hbl site</t>
  </si>
  <si>
    <t>for testing at jpmc</t>
  </si>
  <si>
    <t>ebad bhai for biscuit</t>
  </si>
  <si>
    <t>cash for chowkidar salary at mhr home 14000 and Rs 2000 for remaining salary of saeed lala driver</t>
  </si>
  <si>
    <t>gulfam</t>
  </si>
  <si>
    <t>cash taken for hbl site tea and misc exp</t>
  </si>
  <si>
    <t>cash taken</t>
  </si>
  <si>
    <t xml:space="preserve">cash taken </t>
  </si>
  <si>
    <t>salary increased Rs 1000 from march 17</t>
  </si>
  <si>
    <t>amjad ustad salary adv for april 2017</t>
  </si>
  <si>
    <t>cash remained after salaries paid ( march 17 )</t>
  </si>
  <si>
    <t>drawing copy khaadi pacakes and indus</t>
  </si>
  <si>
    <t>Cheq # 01450575 (chq 5/11)</t>
  </si>
  <si>
    <t>mhr personal water tanker</t>
  </si>
  <si>
    <t>burger for ebad 100, cigeratte for bilal bhai 150</t>
  </si>
  <si>
    <t>cash taken for 3 car wash</t>
  </si>
  <si>
    <t>cash taken for mhr personal chicken purchased</t>
  </si>
  <si>
    <t>shaheryar</t>
  </si>
  <si>
    <t>welding rod, disc, tester, welding holder, carbon</t>
  </si>
  <si>
    <t>haneef at jpmc remaining salary of amrch 17</t>
  </si>
  <si>
    <t>majid 5 days salary</t>
  </si>
  <si>
    <t>repaired n maintain office generotor oil changed with chowk chang</t>
  </si>
  <si>
    <t>photocopy KIDCL tender for total construction</t>
  </si>
  <si>
    <t>purchaaed materail for indus, butterfly valve, tap valve, nut bolts</t>
  </si>
  <si>
    <t>buity islamabd, rikshaw rent, suzuki fare for exhaust fan from adda to office, arif shah for submittal item drop</t>
  </si>
  <si>
    <t>fuel claimed for two times bank work, gul ahmed bill submit, and azal office two times</t>
  </si>
  <si>
    <t>fuel clamimed for fittings purchawd from abbas for dhanak shop</t>
  </si>
  <si>
    <t>fuel claimed for  arif shah collect submittal, shafqat office for bill submit, fnd and two times bank</t>
  </si>
  <si>
    <t>fittings purchaed for dhanak</t>
  </si>
  <si>
    <t>black tape, and cutting disc for dhanak</t>
  </si>
  <si>
    <t>nut bolt for trg</t>
  </si>
  <si>
    <t>bilal bhai cash taken for office sadka</t>
  </si>
  <si>
    <t>cash paid for close his account</t>
  </si>
  <si>
    <t>cigrate for bilal bhai</t>
  </si>
  <si>
    <t>shopper purchased 240, photocoy 20 cigrate for bilal bhai</t>
  </si>
  <si>
    <t>mineral water for huzaifa 50, biskuit ebad bhai 35</t>
  </si>
  <si>
    <t>tea bags 380 green tea and suger 160 photo copy 10</t>
  </si>
  <si>
    <t>paid to driver for gyser transfer at naveed malik villa</t>
  </si>
  <si>
    <t xml:space="preserve">cash for efu </t>
  </si>
  <si>
    <t>rikshaw fare forwelding rod, threaded rod 2 packet fittings</t>
  </si>
  <si>
    <t>cash for fuel for collect of cheque from dhank shop</t>
  </si>
  <si>
    <t>Cheq # 014</t>
  </si>
  <si>
    <t>cash for water dispenser</t>
  </si>
  <si>
    <t>fuel for generator</t>
  </si>
  <si>
    <t>lunch for ali extreme bilal bha and nadeem bhai</t>
  </si>
  <si>
    <t>leemo paani and water</t>
  </si>
  <si>
    <t>photocopy n biskuits for nadeem bhai</t>
  </si>
  <si>
    <t>cash sent thru kamran CAD</t>
  </si>
  <si>
    <t>stapler pins and cable tie</t>
  </si>
  <si>
    <t>cash for test</t>
  </si>
  <si>
    <t>cash for hbl emerald paint</t>
  </si>
  <si>
    <t>cash for khalid core cuttings</t>
  </si>
  <si>
    <t>cash for paint and pertol hbl site</t>
  </si>
  <si>
    <t>Received from khaadi Dhanak Shop 2nd advance payment</t>
  </si>
  <si>
    <t>irfan jpmc</t>
  </si>
  <si>
    <t>for looking glass at indus</t>
  </si>
  <si>
    <t>drwings copy at jpmc</t>
  </si>
  <si>
    <t xml:space="preserve">cash for material </t>
  </si>
  <si>
    <t>cash for ticket to lahore</t>
  </si>
  <si>
    <t>bukhari travel</t>
  </si>
  <si>
    <t>bilal.</t>
  </si>
  <si>
    <t>paid for digging at jpmc by order huzaifa</t>
  </si>
  <si>
    <t>suger 70, scotch bright 35 dishwash soup 10,  lassi for season master mustafa, lunch for ebad 100, biskuit for bilal bhai 30, lighter for bilal bhai 20, fateh corrier chq 90</t>
  </si>
  <si>
    <t>teab bag, cigrate for bilal bhai 140, tea for bilal bhai 25</t>
  </si>
  <si>
    <t>cash taken from shop rent</t>
  </si>
  <si>
    <t>suzuki fare indus hospital</t>
  </si>
  <si>
    <t>cash for drwings copy khaadi packages</t>
  </si>
  <si>
    <t>purchasd welding rod, gloves, cutting disc holder at jb saeed</t>
  </si>
  <si>
    <t>cash for april 17 tea exp</t>
  </si>
  <si>
    <t>purcahsed lectric items at indus</t>
  </si>
  <si>
    <t>cash for hbl exp</t>
  </si>
  <si>
    <t>salary for amir jpmc for mar 17</t>
  </si>
  <si>
    <t>salary adv for amir jpmc for april 17</t>
  </si>
  <si>
    <t>Cheq # 01476018</t>
  </si>
  <si>
    <t>cash for salary march 17</t>
  </si>
  <si>
    <t>cash for remaining salary march17</t>
  </si>
  <si>
    <t>cash at jb saeed</t>
  </si>
  <si>
    <t>Taken cash from Chase up multan receiving</t>
  </si>
  <si>
    <t>adv</t>
  </si>
  <si>
    <t>for material at radiology</t>
  </si>
  <si>
    <t>cash paid for cylinder at bhl</t>
  </si>
  <si>
    <t>return cash from above chq # 01476013</t>
  </si>
  <si>
    <t>imran threading</t>
  </si>
  <si>
    <t>cash for rubber hose pipe for efu</t>
  </si>
  <si>
    <t>grinder and karchar pump purchased at indus</t>
  </si>
  <si>
    <t>zulfiqaur</t>
  </si>
  <si>
    <t>purchased buraf for office</t>
  </si>
  <si>
    <t>claimed fuel at hbl site</t>
  </si>
  <si>
    <t>cash for petrol and brush at hbl</t>
  </si>
  <si>
    <t>fuel claim for indus to matrix matriz to  miqdad, to office then matriz</t>
  </si>
  <si>
    <t>glass bracket purhcased for mhr home</t>
  </si>
  <si>
    <t>mobile balance at khaadi packased</t>
  </si>
  <si>
    <t>rehana aunty</t>
  </si>
  <si>
    <t>paid for rikshaw fare from off to hbl emerald</t>
  </si>
  <si>
    <t>cash adv at trg installtion</t>
  </si>
  <si>
    <t>Mrs bilal</t>
  </si>
  <si>
    <t>fuel at home during rehman shb on UMRA</t>
  </si>
  <si>
    <t xml:space="preserve">iftikhar </t>
  </si>
  <si>
    <t>for ticket for multan</t>
  </si>
  <si>
    <t>Cheq # 01476024</t>
  </si>
  <si>
    <t>fuel claimed</t>
  </si>
  <si>
    <t>cash sent thru bakhti</t>
  </si>
  <si>
    <t>tissue for sir rehman 95, photocopy and id card cover for employee 410</t>
  </si>
  <si>
    <t>dahi and roti for sir rehman</t>
  </si>
  <si>
    <t>biscuits for bilal bhai</t>
  </si>
  <si>
    <t>pertol for generator</t>
  </si>
  <si>
    <t xml:space="preserve">roti for office </t>
  </si>
  <si>
    <t>haneef at hbl</t>
  </si>
  <si>
    <t>photocopy equipment for efu</t>
  </si>
  <si>
    <t xml:space="preserve">office </t>
  </si>
  <si>
    <t>custurd for office</t>
  </si>
  <si>
    <t>cash for office stationery</t>
  </si>
  <si>
    <t>drwaing copy efu as built</t>
  </si>
  <si>
    <t xml:space="preserve">cash for indus material </t>
  </si>
  <si>
    <t>cash for welding rod  and other items for hbl invoice amount is 5185</t>
  </si>
  <si>
    <t xml:space="preserve">cash paid wilson </t>
  </si>
  <si>
    <t>Cheq # 01476029</t>
  </si>
  <si>
    <t xml:space="preserve">purchased water glaas for office </t>
  </si>
  <si>
    <t>4 glass lassi order by sir rehman</t>
  </si>
  <si>
    <t>burger for ebad 50, mineral water for sir rehman 10</t>
  </si>
  <si>
    <t>lunch for rehman sabhh kabab and roti biscuit for nadeem shb</t>
  </si>
  <si>
    <t>purhcased holdtie, colour and karosine oil at hbl site</t>
  </si>
  <si>
    <t>cash taken for hbl site</t>
  </si>
  <si>
    <t>cash taken for mineral water for 20 bottle Rs 70/each</t>
  </si>
  <si>
    <t>cash for drawings khaadi packagees</t>
  </si>
  <si>
    <t>kamran auto sakary adv for april 17</t>
  </si>
  <si>
    <t>paid for newspaper bill april</t>
  </si>
  <si>
    <t>Cheq # 01476031</t>
  </si>
  <si>
    <t>amir raza for april 17</t>
  </si>
  <si>
    <t xml:space="preserve">Iftikhar </t>
  </si>
  <si>
    <t>cash paid at chase up multan</t>
  </si>
  <si>
    <t>marib for april 17</t>
  </si>
  <si>
    <t>cash sent thru kamran elec</t>
  </si>
  <si>
    <t>tea bag, 390, suger 70, green tea 100, everyday powder 350, lunch for sir rehman 110, lassi for sir rehman 180</t>
  </si>
  <si>
    <t>mobile balance jazz</t>
  </si>
  <si>
    <t>purcahsed head phone for computer</t>
  </si>
  <si>
    <t>cash taken for hbl emerald tower</t>
  </si>
  <si>
    <t>G.I Socket, 1 1/2  at hbl</t>
  </si>
  <si>
    <t>cash taken for hbl</t>
  </si>
  <si>
    <t>cash for photocpy</t>
  </si>
  <si>
    <t>cash taken from jahangerr</t>
  </si>
  <si>
    <t>AC repairing charges</t>
  </si>
  <si>
    <t>cash for drawings at jpmc</t>
  </si>
  <si>
    <t>cigrate for bilal bha 140, chola chart for bilal bhai n nadeem 160, biskuits 50</t>
  </si>
  <si>
    <t xml:space="preserve">dhadi phulki for sir rehman 70, offcei sabzi 90, </t>
  </si>
  <si>
    <t>lunch for nadeem bhai, ali extreme and office</t>
  </si>
  <si>
    <t>cash received from naveed malik</t>
  </si>
  <si>
    <t>cash paid at hyperstar ac</t>
  </si>
  <si>
    <t>shakeel</t>
  </si>
  <si>
    <t>zulfiquar salary adv for april 17</t>
  </si>
  <si>
    <t>suzuki fare from islamuddin to office</t>
  </si>
  <si>
    <t>cash for indus radiology drw</t>
  </si>
  <si>
    <t>photocopy + biskuits for nadeem bhai</t>
  </si>
  <si>
    <t>cigrate for bilal bhai 140 + mineral water for sir rehamn 50</t>
  </si>
  <si>
    <t>MCB Cheq # 1633650689</t>
  </si>
  <si>
    <t>shahbaz</t>
  </si>
  <si>
    <t>radiology draings</t>
  </si>
  <si>
    <t xml:space="preserve">cash for utilities bills </t>
  </si>
  <si>
    <t>cash for material at hbl site</t>
  </si>
  <si>
    <t>cash for multan buity fuel and rikhshaw fare</t>
  </si>
  <si>
    <t>mortein spray, soup,  tissue packs</t>
  </si>
  <si>
    <t>lassi for zia ghani fakhri and bilal bha and ebad</t>
  </si>
  <si>
    <t>khaadi packages</t>
  </si>
  <si>
    <t>cash tranfer to mudassir ac + bank charges 418</t>
  </si>
  <si>
    <t>cash tranfer to shahid pipe a/c + bank charges 113</t>
  </si>
  <si>
    <t>drawings copy indus radiology</t>
  </si>
  <si>
    <t xml:space="preserve">drwaing copy </t>
  </si>
  <si>
    <t>aprroved bill  copy hbl</t>
  </si>
  <si>
    <t>cash for fuel, medicine</t>
  </si>
  <si>
    <t>rafiq blocck works</t>
  </si>
  <si>
    <t>chq # 01476045 amount 50,000 and cash 6000</t>
  </si>
  <si>
    <t>jhaaroo 100, furnayel 200</t>
  </si>
  <si>
    <t>Cheq # 0147</t>
  </si>
  <si>
    <t>fuel claim from indus to jpmc to miqdad to office to indus</t>
  </si>
  <si>
    <t>mossi salary for april 17</t>
  </si>
  <si>
    <t>cash for trg material</t>
  </si>
  <si>
    <t>cash for material nozel and copper rod</t>
  </si>
  <si>
    <t>cash for hbl material at hbl site wire 1.5 core</t>
  </si>
  <si>
    <t>sir rehman plot document file copy 2 sets</t>
  </si>
  <si>
    <t>mineral water, green tea, buiskits photocopy scotch tape, and staplet pins</t>
  </si>
  <si>
    <t>petrol for generator</t>
  </si>
  <si>
    <t xml:space="preserve">chola chaat for ali, bilal n nadeem </t>
  </si>
  <si>
    <t>cash remained from from salaries for the month april 17</t>
  </si>
  <si>
    <t>saeed lala monthly lunch exp</t>
  </si>
  <si>
    <t>purchased paint at hyper star site</t>
  </si>
  <si>
    <t>showcase trolly repaired by saeed lala</t>
  </si>
  <si>
    <t>welding rod at ute korangi site</t>
  </si>
  <si>
    <t>suyfan</t>
  </si>
  <si>
    <t>jpmc drawings copy by amir jpmc</t>
  </si>
  <si>
    <t>cash for wire, elfy SS rod and other items at efu</t>
  </si>
  <si>
    <t>ahsan cable</t>
  </si>
  <si>
    <t>paid for jb saeed and dhanak cable</t>
  </si>
  <si>
    <t>paid for site exp at TRG</t>
  </si>
  <si>
    <t>paid for sprinkler plate at site khaadi DMC</t>
  </si>
  <si>
    <t>Shahjee</t>
  </si>
  <si>
    <t>bank chrges for tranferinf Rs 150,000 to shahjee for electric work at HBL site</t>
  </si>
  <si>
    <t>cash claimed for jpmc fuel</t>
  </si>
  <si>
    <t>hussain salary adv for may 17</t>
  </si>
  <si>
    <t xml:space="preserve">zeeshan </t>
  </si>
  <si>
    <t>2 days zeeshan salary</t>
  </si>
  <si>
    <t>cash returned for shop rent which I took for office expense by order bilal bhai</t>
  </si>
  <si>
    <t>misc expenses at mhr home for fan and other items cash sent thru saeed lala</t>
  </si>
  <si>
    <t>karman auto for may 17</t>
  </si>
  <si>
    <t>cash at hyperstar</t>
  </si>
  <si>
    <t>shahid painter salary increased 2000</t>
  </si>
  <si>
    <t>doulat</t>
  </si>
  <si>
    <t>towel wash</t>
  </si>
  <si>
    <t>suger and biskuits office + cigratte for bilal bhai</t>
  </si>
  <si>
    <t>chola chaat for nadeem bhai + mineral water for sir rehman</t>
  </si>
  <si>
    <t>cash for car wash 3 cars</t>
  </si>
  <si>
    <t>salary for april 17 (Rs 20,000 paid thru chq this chq given to mr farhan)</t>
  </si>
  <si>
    <t>Tahir zubair</t>
  </si>
  <si>
    <t>transfer cash to tahir zubiar lahore acc for khaadi packages</t>
  </si>
  <si>
    <t>misc expenses vouchers</t>
  </si>
  <si>
    <t>indus zulfiquar salary</t>
  </si>
  <si>
    <t>nadeem bhai car oil and filter</t>
  </si>
  <si>
    <t>cash for units at trg</t>
  </si>
  <si>
    <t>kamran auto for may 17</t>
  </si>
  <si>
    <t>cash for drawings</t>
  </si>
  <si>
    <t>jpmc printer drum and printer refill</t>
  </si>
  <si>
    <t>mobile balance ufone super card</t>
  </si>
  <si>
    <t>cash for colour powder at lucky one mall</t>
  </si>
  <si>
    <t>cash for fittings at jpmc</t>
  </si>
  <si>
    <t>miqdad and zainab shabbir verified bill copy 10 sets, bike lifter, parkng , fuel, juice, rikshaw fare</t>
  </si>
  <si>
    <t>fuel claimed for rafaqat chq received bufferzone</t>
  </si>
  <si>
    <t>fuel claimed for cash tranfre rs 10,000 to tahir zubair and 3 times DIB bank work</t>
  </si>
  <si>
    <t>jb saeed purchasing 17" cable, silver tape, glue, fuel, rikshaw fare,</t>
  </si>
  <si>
    <t>ebad mobile balance</t>
  </si>
  <si>
    <t>generato pertrol + mineral water 50</t>
  </si>
  <si>
    <t>gulab chaman for sir rehman</t>
  </si>
  <si>
    <t>jai namaz wash 2 nos</t>
  </si>
  <si>
    <t>tabba verified bill copy</t>
  </si>
  <si>
    <t xml:space="preserve">suzuki fare for generator from indus to office + mehmood bus fare   </t>
  </si>
  <si>
    <t>suzuki fare for conduit pipe, crane, ladder, pvc pipe from TRG to jpmc then jpmc to TRG,</t>
  </si>
  <si>
    <t>daccan travel</t>
  </si>
  <si>
    <t>abid ticket from kar to isl</t>
  </si>
  <si>
    <t>pump repair for naveed malik</t>
  </si>
  <si>
    <t>cash sent thru abdulla</t>
  </si>
  <si>
    <t>register purchased for office 280 + shopper for office 220</t>
  </si>
  <si>
    <t>lunch for ebad, nadeem</t>
  </si>
  <si>
    <t>lunch for ebad</t>
  </si>
  <si>
    <t>2 Nos I at office 1) at nadeem bhai home generator carbrator service and gas kit installed 4000 generator oil 450</t>
  </si>
  <si>
    <t>jahangeer for may 17</t>
  </si>
  <si>
    <t>Zahid cash received</t>
  </si>
  <si>
    <t>rhodius dic 4" 12 pcs at jpmc site</t>
  </si>
  <si>
    <t>purchased panas for khaadi isl</t>
  </si>
  <si>
    <t>nadeem chiiler opt adv for may 17</t>
  </si>
  <si>
    <t>drw for jpmc</t>
  </si>
  <si>
    <t>drw copy jpmc</t>
  </si>
  <si>
    <t>drw copy khaadi isb</t>
  </si>
  <si>
    <t>drw copy indus radiology</t>
  </si>
  <si>
    <t>cash sent thru azaad</t>
  </si>
  <si>
    <t>claimed fuel at ebm site</t>
  </si>
  <si>
    <t>cash paid at insu and hbl</t>
  </si>
  <si>
    <t>efu photocpy</t>
  </si>
  <si>
    <t>photocopy for nadeem bhai cars file vits + ebad mobile balance</t>
  </si>
  <si>
    <t>lassi for nadeem bhai + gulab jaman for rehman sahb 180 + lunch for sir rehman and ebad 80</t>
  </si>
  <si>
    <t>roti for office 40  + shpper 20 + mineral water for sir rehman 50</t>
  </si>
  <si>
    <t>lunch for sir rehman and ebad</t>
  </si>
  <si>
    <t>tea bags, every day, soup, scotch bright, gree tea + clok cell</t>
  </si>
  <si>
    <t>purchased desk diary for sir rehman by imran office</t>
  </si>
  <si>
    <t>cash at trg</t>
  </si>
  <si>
    <t>cash for c-32 site</t>
  </si>
  <si>
    <t>suzuki fare</t>
  </si>
  <si>
    <t>suzuki fare from jpmc for debrages shifting and pipe shiftings 4 trips</t>
  </si>
  <si>
    <t>kamran auto claim fuel for bilal bhai's children fee submitt</t>
  </si>
  <si>
    <t>purchased pipe and nipple at UTE korangi</t>
  </si>
  <si>
    <t>cash  sent by kamran auto</t>
  </si>
  <si>
    <t xml:space="preserve">purchased water shiled  zahabiya 20 kg for indus by imran off order by ebad </t>
  </si>
  <si>
    <t>may salary in advance</t>
  </si>
  <si>
    <t>haneef at jpmc for may 17</t>
  </si>
  <si>
    <t>Ali for may 2017</t>
  </si>
  <si>
    <t>mineral water and kitchen stuff</t>
  </si>
  <si>
    <t>lunch for nadeem bhai, and all off staff</t>
  </si>
  <si>
    <t>corrier hyper bill to shahyar lahore</t>
  </si>
  <si>
    <t>biskuit + tea for zara engg and mehran engg guest</t>
  </si>
  <si>
    <t>Cheq # MCB PS CHQ # 1633650708</t>
  </si>
  <si>
    <t>purchaed ms conduit saddle 3/4" fuel and parking claimed</t>
  </si>
  <si>
    <t>Rs 1000 hold with Azeem or Imran</t>
  </si>
  <si>
    <t>lassi for bilal bhai friend umar + biskuit</t>
  </si>
  <si>
    <t>lunch for zarak engg at hbl</t>
  </si>
  <si>
    <t>Charity</t>
  </si>
  <si>
    <t>paid for charity sadka at hbl emerald tower</t>
  </si>
  <si>
    <t>paid to plumber for office roof pipe work</t>
  </si>
  <si>
    <t>purchased mouse for office CCTV by imran off</t>
  </si>
  <si>
    <t>mosssi for extra work cleaning work</t>
  </si>
  <si>
    <t>cash for hbl site for unit installatio npaid to siraj bhai</t>
  </si>
  <si>
    <t>cash at hbl site deal done 32000</t>
  </si>
  <si>
    <t>cash sent by faheem</t>
  </si>
  <si>
    <t>cash sent by wilson</t>
  </si>
  <si>
    <t>cash sent to mudassir acc for duct material</t>
  </si>
  <si>
    <t>faheem salary adv for may 17</t>
  </si>
  <si>
    <t>marib salary adv may 17</t>
  </si>
  <si>
    <t>Cheq # 01476060</t>
  </si>
  <si>
    <t>Cheq # 01476056</t>
  </si>
  <si>
    <t>kamran CAD for may 17</t>
  </si>
  <si>
    <t>imran office for may 17</t>
  </si>
  <si>
    <t xml:space="preserve">salary adv </t>
  </si>
  <si>
    <t>sajjad for may 17</t>
  </si>
  <si>
    <t>faheem for may 17`</t>
  </si>
  <si>
    <t>caas sent thru kamran auto</t>
  </si>
  <si>
    <t>laasi 2 ns for major jalal</t>
  </si>
  <si>
    <t>roti</t>
  </si>
  <si>
    <t>tea for office + roti</t>
  </si>
  <si>
    <t xml:space="preserve"> tea bag</t>
  </si>
  <si>
    <t>suger</t>
  </si>
  <si>
    <t>photocopy for miqdad and zainab verified bill copy and PES employee id card copy</t>
  </si>
  <si>
    <t>PES employee id card copy</t>
  </si>
  <si>
    <t>material purchased for JB and dhanak site</t>
  </si>
  <si>
    <t>wooden pieces and cutting charges and fuel Rs 50</t>
  </si>
  <si>
    <t>misc expenses at hbl</t>
  </si>
  <si>
    <t>claimed fel 100 for chq receivg for UTE korangi</t>
  </si>
  <si>
    <t>cash return by nadeem bhai</t>
  </si>
  <si>
    <t>haneef</t>
  </si>
  <si>
    <t>cash to haris for may 17</t>
  </si>
  <si>
    <t>cash for water tanker and chairs repair</t>
  </si>
  <si>
    <t>cash for bike maintenance for last 3 months total paid 3000/= now pay Rs 1400</t>
  </si>
  <si>
    <t>cash for baf ftc 10th floor in against of additional duffuser installlation</t>
  </si>
  <si>
    <t>cash for A rehman s/o nadeem bhai for ball &amp; tape for playing</t>
  </si>
  <si>
    <t>purchasd wire coil for indus radiology</t>
  </si>
  <si>
    <t>drawings copy al-karam</t>
  </si>
  <si>
    <t>cash for material for naveed malik banglow</t>
  </si>
  <si>
    <t>3 lassi, 1 cigrate, gulab jaman, mineral water, roti</t>
  </si>
  <si>
    <t>fuel for sir rehman</t>
  </si>
  <si>
    <t>roti for office 12 nos + potato kabab and dahai</t>
  </si>
  <si>
    <t>mehmood for may 17</t>
  </si>
  <si>
    <t>cash for chain for muslim shower from KTM at ebm  site</t>
  </si>
  <si>
    <t>MCB Cheq # 0147</t>
  </si>
  <si>
    <t>photocpy smc file</t>
  </si>
  <si>
    <t>ufone super mini card</t>
  </si>
  <si>
    <t>ebad for may 17</t>
  </si>
  <si>
    <t>material for indus</t>
  </si>
  <si>
    <t xml:space="preserve">mehmood for may 17 </t>
  </si>
  <si>
    <t>material for total cons (guage) and for naveed malik</t>
  </si>
  <si>
    <t>cash taken (off=7,000/-  Rehan=3,000/-  Nadeem=10,000</t>
  </si>
  <si>
    <t>DIB Cheq # 0147</t>
  </si>
  <si>
    <t>purchased  jiska patti at hyper</t>
  </si>
  <si>
    <t>purchased gas at trg</t>
  </si>
  <si>
    <t>Mudassir</t>
  </si>
  <si>
    <t>cash transfer Rs 116500 to mudassir acc Rs 418 service charges</t>
  </si>
  <si>
    <t>cash for material black oxile 40 gram</t>
  </si>
  <si>
    <t>cash rashid advance c/o nadeem iqbal</t>
  </si>
  <si>
    <t>cash by sir rehman</t>
  </si>
  <si>
    <t>cash for materaul cable at indus</t>
  </si>
  <si>
    <t>cash for imran mob</t>
  </si>
  <si>
    <t>cash for mhr generator, office shurter and misc</t>
  </si>
  <si>
    <t>paid ssgc bill for mhr home</t>
  </si>
  <si>
    <t>cash for site UTE korangi purchased tape</t>
  </si>
  <si>
    <t>paid for office lunch for 20 tiffen</t>
  </si>
  <si>
    <t xml:space="preserve">abid </t>
  </si>
  <si>
    <t>cash tranfer to abid at islamabad</t>
  </si>
  <si>
    <t>shakir</t>
  </si>
  <si>
    <t>claim fuel</t>
  </si>
  <si>
    <t>salary advance retuned by jahangeer</t>
  </si>
  <si>
    <t>rikshaw fare for fire system from office to hbl and return hbl to office</t>
  </si>
  <si>
    <t>materail purcjasd for farhan sah home</t>
  </si>
  <si>
    <t>waris salary for may 17</t>
  </si>
  <si>
    <t>materail purchased for farhan sah home</t>
  </si>
  <si>
    <t>mango paiti for zaid house</t>
  </si>
  <si>
    <t>photo copy and office shopper</t>
  </si>
  <si>
    <t>bakhtair car wash men</t>
  </si>
  <si>
    <t>material &amp; cable purchased at indus hospital + fuel abnd rikshaw fare</t>
  </si>
  <si>
    <t>glue purchased at indus hospital</t>
  </si>
  <si>
    <t>builty to  khaadi pacakges</t>
  </si>
  <si>
    <t>cash sent thru wilson</t>
  </si>
  <si>
    <t>tissue paper spaler pins sqaush tape soap safe guard, and CP as built drw cd</t>
  </si>
  <si>
    <t>hussain salaey adv for the month june</t>
  </si>
  <si>
    <t>kamran elec sal adv for june</t>
  </si>
  <si>
    <t>fuel claimed for jpmc, trg, CP. Miqdad, jpmc for various work</t>
  </si>
  <si>
    <t>abid salary adv for june</t>
  </si>
  <si>
    <t>mineral watre for kamran and 50 balance</t>
  </si>
  <si>
    <t>claimed fuel for material purchased</t>
  </si>
  <si>
    <t>misc expenses at mhr home</t>
  </si>
  <si>
    <t>purchased tender from NBCL</t>
  </si>
  <si>
    <t>mehmood salary adv for june</t>
  </si>
  <si>
    <t>cash retuned by nadeem iqbal</t>
  </si>
  <si>
    <t>cash remained after salaries paid (may 2017)</t>
  </si>
  <si>
    <t>paid adv</t>
  </si>
  <si>
    <t>claimed fuel for mhr home</t>
  </si>
  <si>
    <t>bank chrges for tranferinf Rs 50,000 to shahjee for electric work at HBL site</t>
  </si>
  <si>
    <t>nadeem chiller oprt 3 days salary</t>
  </si>
  <si>
    <t>cash sent rhru kamran auto</t>
  </si>
  <si>
    <t>purchased muslim showe for EBM</t>
  </si>
  <si>
    <t>materail purchased for farhan sahb home</t>
  </si>
  <si>
    <t>his salary increased from 15000 to 17000</t>
  </si>
  <si>
    <t>purchased misc items at tpl 25th floor</t>
  </si>
  <si>
    <t>to bakhti for ebad car wash</t>
  </si>
  <si>
    <t>cash sent thru kamran auto</t>
  </si>
  <si>
    <t>antibacterial paint submittal copy</t>
  </si>
  <si>
    <t xml:space="preserve">purchased tape for efu ordered by kamran </t>
  </si>
  <si>
    <t>zarak</t>
  </si>
  <si>
    <t>mobile balance at hbl site</t>
  </si>
  <si>
    <t>flang, bend tape, nut bolt rikshaw fare, and fuel for site indus hospital</t>
  </si>
  <si>
    <t>bend, nipple,  and hold tite</t>
  </si>
  <si>
    <t>mobile card for monthly calling</t>
  </si>
  <si>
    <t>fuel claimed by imran for various sites</t>
  </si>
  <si>
    <t>lap top chrger purchased ny imran by order ebad</t>
  </si>
  <si>
    <t>imran paid for nadeem bhai glasses</t>
  </si>
  <si>
    <t>cables purchased for hbl site</t>
  </si>
  <si>
    <t>fuel claimed at jpmc site</t>
  </si>
  <si>
    <t>cash clained for fuel</t>
  </si>
  <si>
    <t>cash sent by umar</t>
  </si>
  <si>
    <t>DIB Cheq # 01521364</t>
  </si>
  <si>
    <t>for computer rapair</t>
  </si>
  <si>
    <t>cash 1st time</t>
  </si>
  <si>
    <t>cash 2nd time</t>
  </si>
  <si>
    <t>fuel claimed at indus hospital</t>
  </si>
  <si>
    <t>cash claim fuel</t>
  </si>
  <si>
    <t>corrier zohaib cheq</t>
  </si>
  <si>
    <t>boq summit bank copy colored</t>
  </si>
  <si>
    <t>cash for hold tile and elbow</t>
  </si>
  <si>
    <t>cash for lift operator paid to zarak</t>
  </si>
  <si>
    <t>cash for lift operator paid to jahangeer</t>
  </si>
  <si>
    <t>cash for misc items</t>
  </si>
  <si>
    <t>tender purchased for spar super mart</t>
  </si>
  <si>
    <t>cash rs 50,000 tranfer to mudassir charges 418</t>
  </si>
  <si>
    <t>cash hold</t>
  </si>
  <si>
    <t>cash paid at TRG 2000</t>
  </si>
  <si>
    <t>cash paid at naveed malik</t>
  </si>
  <si>
    <t>materail purchased indus hospital</t>
  </si>
  <si>
    <t>fuel claimed for hbl and trg sitwe</t>
  </si>
  <si>
    <t>mobile card at jpmc</t>
  </si>
  <si>
    <t xml:space="preserve">Azad </t>
  </si>
  <si>
    <t>paid for duct work advance</t>
  </si>
  <si>
    <t>hussain for june 2017</t>
  </si>
  <si>
    <t>suzuki fare for hbl</t>
  </si>
  <si>
    <t>cash for tape for jb saeed and ute korangi</t>
  </si>
  <si>
    <t>tender purchased for darul sehat</t>
  </si>
  <si>
    <t>bonus to all pioneer staff</t>
  </si>
  <si>
    <t>Bonus paid</t>
  </si>
  <si>
    <t>misc items</t>
  </si>
  <si>
    <t>umar for july 17</t>
  </si>
  <si>
    <t>khalid shb for july 17</t>
  </si>
  <si>
    <t>abbas plumber for july 17</t>
  </si>
  <si>
    <t>tender copy</t>
  </si>
  <si>
    <t>spar twin tower photocopy</t>
  </si>
  <si>
    <t>cash for KESE bill</t>
  </si>
  <si>
    <t>cash taken frm chase multan receiving Rs 1000,000 Rs 300,000 hold with sir rehman and 100,000 hold with nadeem bhai</t>
  </si>
  <si>
    <t>cash taken for chllan at air port, puncture for car, and hook at mhr home</t>
  </si>
  <si>
    <t>super shell oil for corolla BFH-339</t>
  </si>
  <si>
    <t>zubair for july 17</t>
  </si>
  <si>
    <t>shahbaz sunny for july 17</t>
  </si>
  <si>
    <t>DIB Cheq # 01521366</t>
  </si>
  <si>
    <t>sufyan</t>
  </si>
  <si>
    <t>karman elec salary adv for july 17</t>
  </si>
  <si>
    <t>sufyan loan</t>
  </si>
  <si>
    <t>tariq insulation</t>
  </si>
  <si>
    <t>feroz salary adv for july 17</t>
  </si>
  <si>
    <t>core cutting</t>
  </si>
  <si>
    <t>kashif salary adv for july 17</t>
  </si>
  <si>
    <t>iftikhar salary adv for july 17</t>
  </si>
  <si>
    <t>amjad for july 17</t>
  </si>
  <si>
    <t>mehmood salary adv for july</t>
  </si>
  <si>
    <t>sebestian for july 17</t>
  </si>
  <si>
    <t>naeem salary at al-karam packages mall sent to abid num</t>
  </si>
  <si>
    <t>zarak engineer return his cash salary for may, his salary paid thru dib chq # 01521372</t>
  </si>
  <si>
    <t>paid for welder eidi at hbl</t>
  </si>
  <si>
    <t>cash taken from bilal bhai</t>
  </si>
  <si>
    <t>rasheed</t>
  </si>
  <si>
    <t>cash paid for bilal bhai car repairing</t>
  </si>
  <si>
    <t>drw copy for jpmc</t>
  </si>
  <si>
    <t>umar salary for june 17</t>
  </si>
  <si>
    <t>cash claimed for services charges rs 418 transfer to mudassir acc Rs 200,000</t>
  </si>
  <si>
    <t>nadeem chiller oprt salary adv for july 17</t>
  </si>
  <si>
    <t>gas, anglem filter, rod copper rod etc purchased at hbl site</t>
  </si>
  <si>
    <t>paid for news papers bill april 17</t>
  </si>
  <si>
    <t>shahid painter for july 17</t>
  </si>
  <si>
    <t>salahuddin for july 17</t>
  </si>
  <si>
    <t>ali extreme</t>
  </si>
  <si>
    <t>paid for FCU delivered at efu</t>
  </si>
  <si>
    <t>paid utilities bill for mhr = 33,625 and office 12773</t>
  </si>
  <si>
    <t>nadeem bhai salary for june 17 adv took</t>
  </si>
  <si>
    <t>khurram salary adv for july 17</t>
  </si>
  <si>
    <t>paid 3 emplyee eidi</t>
  </si>
  <si>
    <t>cash received naveed malik bill</t>
  </si>
  <si>
    <t>ali khalid for july 17</t>
  </si>
  <si>
    <t>shaheryar for july 17</t>
  </si>
  <si>
    <t>cash given to two policemen by bilal bhai</t>
  </si>
  <si>
    <t>masood autotech</t>
  </si>
  <si>
    <t>bakhtiar salary adv for july 17</t>
  </si>
  <si>
    <t>surf purchased for office</t>
  </si>
  <si>
    <t>cash taken bilal bhai and rehan aslam for sadqa</t>
  </si>
  <si>
    <t>mineral water for sir rehman 50</t>
  </si>
  <si>
    <t>office mineral water</t>
  </si>
  <si>
    <t>cell for AC remote and 1 office stationery file</t>
  </si>
  <si>
    <t>purchased ink bottle for stamp</t>
  </si>
  <si>
    <t>claimend fuel</t>
  </si>
  <si>
    <t>cash for torch emergency light sent thru waqas</t>
  </si>
  <si>
    <t>zulfiquar chller</t>
  </si>
  <si>
    <t>claimed fuel</t>
  </si>
  <si>
    <t>photo copy 24 biskuit 50</t>
  </si>
  <si>
    <t>cash taken from Khaadi DMC receiving</t>
  </si>
  <si>
    <t>DIB Cheq # 01521375</t>
  </si>
  <si>
    <t>paid for lift operator at hbl site</t>
  </si>
  <si>
    <t>salary for the month for may 17</t>
  </si>
  <si>
    <t>cash sent thru umar</t>
  </si>
  <si>
    <t xml:space="preserve">cash given by nadeem bhai on site </t>
  </si>
  <si>
    <t>salary for june 17</t>
  </si>
  <si>
    <t>paid for 3 car wash</t>
  </si>
  <si>
    <t>cash by order nadeem bhai</t>
  </si>
  <si>
    <t>purchased whito and white tape</t>
  </si>
  <si>
    <t>kamran auto claimed fuel</t>
  </si>
  <si>
    <t>cash for hbl fm 200 batteries installation and stuff</t>
  </si>
  <si>
    <t>cash for samosa 165 and lassi 240</t>
  </si>
  <si>
    <t>mossi june salary</t>
  </si>
  <si>
    <t>cash sent thru ali khalid</t>
  </si>
  <si>
    <t>photo copy + every day + biskuits + juice and cholclate for bilal bhai geust son + bilal bhai cigratte + ebad choclate 20</t>
  </si>
  <si>
    <t>cash 100 hold with photo copier</t>
  </si>
  <si>
    <t>ptcl bills submitted</t>
  </si>
  <si>
    <t>paid deposit for office mineral water bottle Rs 1000 and paid for mineral wate 1600</t>
  </si>
  <si>
    <t>khalid shb for june 17</t>
  </si>
  <si>
    <t>marib for june 17</t>
  </si>
  <si>
    <t>copy tbm reports for efu, purchased elfy for hbl site and cell for meter</t>
  </si>
  <si>
    <t>cash for purchased for chemical at mhr garden invoice 1180 paid 1200</t>
  </si>
  <si>
    <t>car services and washing oiling for al-karam</t>
  </si>
  <si>
    <t>saqib for june 17</t>
  </si>
  <si>
    <t>ayyan engg</t>
  </si>
  <si>
    <t>paid cash for bah h/o</t>
  </si>
  <si>
    <t>cash paid he will return cash</t>
  </si>
  <si>
    <t>claimed bank charges by imran office for cash tranfer to bilal bhai relative Rs 50,000</t>
  </si>
  <si>
    <t>office lunch 312 and mineral water purchased 270</t>
  </si>
  <si>
    <t>purchased harpic, bleach and dettol mob and jhaaro for office</t>
  </si>
  <si>
    <t>purchased ms nipple and bend for UTE korangi</t>
  </si>
  <si>
    <t>cash closed his register</t>
  </si>
  <si>
    <t>purchased Wt 40 at UTE site</t>
  </si>
  <si>
    <t>claimed car puncture for UTE site</t>
  </si>
  <si>
    <t>claimed fuel for ebm to office to zamzama then office then ebm ebm to gizri and then ebm</t>
  </si>
  <si>
    <t>vicky</t>
  </si>
  <si>
    <t>claimed fuel for dead, elbow purchased for hbl site</t>
  </si>
  <si>
    <t>SST</t>
  </si>
  <si>
    <t>ssgc bill</t>
  </si>
  <si>
    <t>paid mhr home ssgc bill</t>
  </si>
  <si>
    <t>CNG  claimed for khaadi dmc</t>
  </si>
  <si>
    <t>paid SSt tax ftc maintenance from feb to april 17 Rs  38880 and trg mg tower 1st r bill Rs 50700</t>
  </si>
  <si>
    <t>8" socket purchasd for jpmc site</t>
  </si>
  <si>
    <t>fakhri brothers</t>
  </si>
  <si>
    <t>paid cheque and cash Rs 9140 to fakhri brothers</t>
  </si>
  <si>
    <t>claimed monthly mobile card</t>
  </si>
  <si>
    <t>monthly fuel claimed</t>
  </si>
  <si>
    <t>claimed rikshaw fare for khaadi packagse mall pump  (Agrico) shifting from II chundriger road to office</t>
  </si>
  <si>
    <t>claimed fuel and puncture charges for collection of drawings for the alkaram packagse mall</t>
  </si>
  <si>
    <t>claimed fuel for ikram mughal office and hbl wasiq office and 2 times bank work</t>
  </si>
  <si>
    <t>purchased conduit for indus hospital cch</t>
  </si>
  <si>
    <t>kamran auto for july 17</t>
  </si>
  <si>
    <t>cash for buity from islamabad labour rs 40 and Rs 20/day charges 20 days hold in cargo area = rs 240 and feul Rs 200 and parking 20 claimed by imran off</t>
  </si>
  <si>
    <t>2 bar BQ sandwich for noman furniture wala, bilal bhai and nadeem bhai</t>
  </si>
  <si>
    <t>office lunch 500, ebad mobile bal 100, kamran lassi 60, sabzi 50, suger 65, tape 50, office files 7, tea, tissue, and nadeem bhai nus 140, indus electric boq photocopy 36</t>
  </si>
  <si>
    <t>claimed fuel at ftc site</t>
  </si>
  <si>
    <t>cash paid by order nadeem bhai</t>
  </si>
  <si>
    <t>lunch for office lai extreme , soap</t>
  </si>
  <si>
    <t>perwwaz salary adv for july 17</t>
  </si>
  <si>
    <t>for purchased of office cleaning cloth</t>
  </si>
  <si>
    <t>office mossi july salary adv</t>
  </si>
  <si>
    <t>employee cards cover and rop</t>
  </si>
  <si>
    <t>rehana aunty mobile super card</t>
  </si>
  <si>
    <t>bilal bhai cigratte + lighter</t>
  </si>
  <si>
    <t>fuel claimed by order nadeem bhai</t>
  </si>
  <si>
    <t>marfani steel</t>
  </si>
  <si>
    <t>payment remaining balance</t>
  </si>
  <si>
    <t>green tea + buskuits</t>
  </si>
  <si>
    <t>office A4 rim paper</t>
  </si>
  <si>
    <t>DIB Cheq #</t>
  </si>
  <si>
    <t>kamran ele</t>
  </si>
  <si>
    <t xml:space="preserve">ashraf suzuki </t>
  </si>
  <si>
    <t>suzuki fare from hbl to office</t>
  </si>
  <si>
    <t>shaheryar for july 2017</t>
  </si>
  <si>
    <t>material hbl, chase up fuel , khaadi dmc</t>
  </si>
  <si>
    <t>socket 1/2" 12 Nos</t>
  </si>
  <si>
    <t>cash for efu by order nadeem iqbal</t>
  </si>
  <si>
    <t>ufine super card at jpmc site</t>
  </si>
  <si>
    <t>cash for materal at indus hospital CCH + rediology</t>
  </si>
  <si>
    <t>cash for indus material from gizri</t>
  </si>
  <si>
    <t>imran engg</t>
  </si>
  <si>
    <t>roti, dahi, evrday milk and tea bags</t>
  </si>
  <si>
    <t>cigrate and lighter for bilal bhai</t>
  </si>
  <si>
    <t>writable cd</t>
  </si>
  <si>
    <t>cash sent thru haneef</t>
  </si>
  <si>
    <t>cash received from huzaifa for container cash remaining</t>
  </si>
  <si>
    <t>purchased huawei mobile set for abid invoice 7800</t>
  </si>
  <si>
    <t>omar</t>
  </si>
  <si>
    <t>claimed fuel for purchased screw at efu</t>
  </si>
  <si>
    <t>suzuki fare for insulation from islamuddin to office at UTE korangi</t>
  </si>
  <si>
    <t>cash for tanker unload</t>
  </si>
  <si>
    <t>claimed fuel for pipe nipple drop to UTE korangi</t>
  </si>
  <si>
    <t>tissue, biskuits, lunch, sugar, bilal bhai cigratte</t>
  </si>
  <si>
    <t>nadeem bhai purchased sabzi for office</t>
  </si>
  <si>
    <t>claimed fuel for thermostat at Jb saeed</t>
  </si>
  <si>
    <t>roti, 30, biskuits 30</t>
  </si>
  <si>
    <t>ebad salary for july 17</t>
  </si>
  <si>
    <t xml:space="preserve">claimed fuel </t>
  </si>
  <si>
    <t>cash for ute material</t>
  </si>
  <si>
    <t>material purcahsed indus radiology and hbl</t>
  </si>
  <si>
    <t>cash for efu channel supports</t>
  </si>
  <si>
    <t>purchased welding rod and cutting disc for efu site invoice 490</t>
  </si>
  <si>
    <t>cash returned by nadeem bhai</t>
  </si>
  <si>
    <t>sanaullah fuel tank</t>
  </si>
  <si>
    <t>paid for fuel tank 400 ltr at efu site with suzuki fare contact # 0321-2499143   03003502367</t>
  </si>
  <si>
    <t>lassi roti, tissue</t>
  </si>
  <si>
    <t>huzaifa easy load</t>
  </si>
  <si>
    <t>MCB Cheq #</t>
  </si>
  <si>
    <t>paid by bilal bhai of extra working</t>
  </si>
  <si>
    <t>indus radiology</t>
  </si>
  <si>
    <t>indus radiology adv</t>
  </si>
  <si>
    <t>home fridge repairing</t>
  </si>
  <si>
    <t>misc expenses</t>
  </si>
  <si>
    <t>lunch + biskuits, + cigratte</t>
  </si>
  <si>
    <t>claimed fuel for gizri and sem office</t>
  </si>
  <si>
    <t>drw copy at efu</t>
  </si>
  <si>
    <t xml:space="preserve">tea for office , shahid painter, khalid, abbas plumber </t>
  </si>
  <si>
    <t>purchased gray tape abro 1300 fuel claimed 50</t>
  </si>
  <si>
    <t>cash for fuel tank thinner and plug</t>
  </si>
  <si>
    <t>cash fro bank al-falah</t>
  </si>
  <si>
    <t>office 14502 mhr home 36389</t>
  </si>
  <si>
    <t>mudassir</t>
  </si>
  <si>
    <t>cash (sent thru kamran elec)</t>
  </si>
  <si>
    <t>cash for 2.5 core yellow wire for indus invoice 3250    1750 wil be back soon</t>
  </si>
  <si>
    <t>cash sent to mudassir account + bank charges thru huzaifa</t>
  </si>
  <si>
    <t>claimed fuel for misc working</t>
  </si>
  <si>
    <t>claimed fuel for purchased wt 40 from gizri</t>
  </si>
  <si>
    <t>carpenter</t>
  </si>
  <si>
    <t>paid to carpenter for making for paiti for dissufer buity to lahore for the site khadai pack mall</t>
  </si>
  <si>
    <t>salary adv shahid painter for july 17</t>
  </si>
  <si>
    <t>mehmood july 17</t>
  </si>
  <si>
    <t>abbas plumber july 17</t>
  </si>
  <si>
    <t>purcahsed bubbler for ebm</t>
  </si>
  <si>
    <t>hussain july 17</t>
  </si>
  <si>
    <t>khaadi packages buity</t>
  </si>
  <si>
    <t>paid for buity diffuser and grillss</t>
  </si>
  <si>
    <t>purchased grinding brush 3" 3 pcs for fuel tank at efu site and brush 5" 2 pc</t>
  </si>
  <si>
    <t>lunch cigratee lighter coffee ebad suit lassi</t>
  </si>
  <si>
    <t>lunch , lassi for late night working for indus hospital</t>
  </si>
  <si>
    <t>amir jpmc</t>
  </si>
  <si>
    <t>cash for fare for khaadi pack</t>
  </si>
  <si>
    <t>cash for ute korangi material</t>
  </si>
  <si>
    <t>gul sher for july 17</t>
  </si>
  <si>
    <t>amjad elec</t>
  </si>
  <si>
    <t>silicon purchased</t>
  </si>
  <si>
    <t>shopper purhcased for dust bin + mhr home news paper bill</t>
  </si>
  <si>
    <t>cash received from bilal bhai</t>
  </si>
  <si>
    <t>claimed fuel for departure of ebad</t>
  </si>
  <si>
    <t>cash given at the time of depart</t>
  </si>
  <si>
    <t>cash for diesel tank barel nipple for efu</t>
  </si>
  <si>
    <t>ticket from karachi to lahre for al-karam pack</t>
  </si>
  <si>
    <t>purcahsed mithai for nadeem bhai</t>
  </si>
  <si>
    <t>ufone bill paid</t>
  </si>
  <si>
    <t>khaadi maripur</t>
  </si>
  <si>
    <t>sheeraz</t>
  </si>
  <si>
    <t>paid for maripur site</t>
  </si>
  <si>
    <t>anees salary for july 2017 at C-32 site</t>
  </si>
  <si>
    <t>Rikshaw fare</t>
  </si>
  <si>
    <t>paid rikshaw fare from c32 to office</t>
  </si>
  <si>
    <t>anees</t>
  </si>
  <si>
    <t>bike maintenance for Spar twin tower</t>
  </si>
  <si>
    <t>purchased cheque plate and angle for efu</t>
  </si>
  <si>
    <t>cash returned by jahangeer</t>
  </si>
  <si>
    <t>every day,  soup, mortien spray, cigrate, kheeray lunch</t>
  </si>
  <si>
    <t>bun for nadeem bhai, lunch, fruit, biskuit</t>
  </si>
  <si>
    <t>sugar, lunch, + chalk</t>
  </si>
  <si>
    <t>claimed rikshaw fare for office to indus for shifting craft paper tape , fittings and glue</t>
  </si>
  <si>
    <t>dick</t>
  </si>
  <si>
    <t>cash sent thru zulfiquar</t>
  </si>
  <si>
    <t>draiwngs for al-karam and spar twin tower</t>
  </si>
  <si>
    <t>purchased material for indus radiology and</t>
  </si>
  <si>
    <t>claimed for bilal bhai car punture</t>
  </si>
  <si>
    <t>claimed fule for going misc sites</t>
  </si>
  <si>
    <t>mughal steel</t>
  </si>
  <si>
    <t xml:space="preserve">purchased pipe rod for office </t>
  </si>
  <si>
    <t>purchased gray tape, pipe nipple, elbow socket, union. Welding rod, inchi tape</t>
  </si>
  <si>
    <t>cash received from asfand</t>
  </si>
  <si>
    <t>return ticket from lahore</t>
  </si>
  <si>
    <t>saqib salary adv for july 17</t>
  </si>
  <si>
    <t>glue 2 burni, rikshaw fare , lunch bottle fuel for indus radiology department</t>
  </si>
  <si>
    <t xml:space="preserve">lunch for two days, tea bags, cigratte </t>
  </si>
  <si>
    <t>lunch for Ali, sufyan, jahangeer, khalid, omar, and office worker</t>
  </si>
  <si>
    <t>fuel claimed for spar draw submission</t>
  </si>
  <si>
    <t>make as buit cd for efu</t>
  </si>
  <si>
    <t>rapaired office PABX system</t>
  </si>
  <si>
    <t>tabba final verified bill copy</t>
  </si>
  <si>
    <t>milk powder</t>
  </si>
  <si>
    <t>disc for office</t>
  </si>
  <si>
    <t>office renovation</t>
  </si>
  <si>
    <t>paid for labouring</t>
  </si>
  <si>
    <t>cash fro fuel for spar site</t>
  </si>
  <si>
    <t>cash to ali</t>
  </si>
  <si>
    <t>advacen for august 17</t>
  </si>
  <si>
    <t>mossi salary for july 17</t>
  </si>
  <si>
    <t>cash for indus radiology material</t>
  </si>
  <si>
    <t>tea for zulfiqaur associates, shakeel fakhri</t>
  </si>
  <si>
    <t>paid for tanki 800 gallon at nasir colony</t>
  </si>
  <si>
    <t>paid main severage line at nasir colony</t>
  </si>
  <si>
    <t>claimed fuel at MHR</t>
  </si>
  <si>
    <t>bakhtiar 2 car wash</t>
  </si>
  <si>
    <t>returned cash from kamran elec</t>
  </si>
  <si>
    <t>salary increased from 20,000 to 22,000</t>
  </si>
  <si>
    <t>cash tranfer in his bank</t>
  </si>
  <si>
    <t>SST tax</t>
  </si>
  <si>
    <t>paid sst tax for FTC 13 th bill, ftc mainternance may and june 17 bill and jamia annualy bill</t>
  </si>
  <si>
    <t>cash for isolator sent thru haneed</t>
  </si>
  <si>
    <t>purchsaed paper rim a4</t>
  </si>
  <si>
    <t>iftikhar for august 17</t>
  </si>
  <si>
    <t>shahbaz duct</t>
  </si>
  <si>
    <t>salary adv for azeem at hbl</t>
  </si>
  <si>
    <t>lumch at office, jahangeer, ali, abid and all office staff</t>
  </si>
  <si>
    <t>cash for abro gray tape at indus</t>
  </si>
  <si>
    <t>paid for his labour for various sites</t>
  </si>
  <si>
    <t>tea, roti 50, 120, fruit</t>
  </si>
  <si>
    <t>green tea, 100, bisjuit 50</t>
  </si>
  <si>
    <t>photo copy</t>
  </si>
  <si>
    <t>furuit 120, biskuit, 30, sugar 70 biskuit 20 tissue 200</t>
  </si>
  <si>
    <t>cable tray purchased for office</t>
  </si>
  <si>
    <t>sajjad for augustt 17</t>
  </si>
  <si>
    <t>nadeem painter salary incresese</t>
  </si>
  <si>
    <t>purchased cementax solution for office</t>
  </si>
  <si>
    <t>mobile card ufoce</t>
  </si>
  <si>
    <t>every days 370, roti, 80, kabab biskuit, daal</t>
  </si>
  <si>
    <t>thermostat for dhanak shop</t>
  </si>
  <si>
    <t>for indus radiology department</t>
  </si>
  <si>
    <t>claimed fuel for dhaak shop</t>
  </si>
  <si>
    <t>rawal bolt</t>
  </si>
  <si>
    <t>paid for generator repairing (gas start) and fuel cock changed</t>
  </si>
  <si>
    <t xml:space="preserve">purchased material for indus radiology </t>
  </si>
  <si>
    <t>purcahsed blade for 1st floor by sufyan</t>
  </si>
  <si>
    <t xml:space="preserve">cash paid for drawings edu, spar, indus CCH, indus radiology, JPMC, </t>
  </si>
  <si>
    <t xml:space="preserve">MHr </t>
  </si>
  <si>
    <t>paid for fuel</t>
  </si>
  <si>
    <t>Azeeem at HBL emerald salary remained</t>
  </si>
  <si>
    <t>COLD DRINK, daal chawal roti, fruit, biskuit, joshanda</t>
  </si>
  <si>
    <t>rikshaw fare from landhi to office VFD and motor damper</t>
  </si>
  <si>
    <t>dori and red oxide and bus conveyance charges for 3 days</t>
  </si>
  <si>
    <t>bilal bhai cinyenace tickets khaadi packages mall</t>
  </si>
  <si>
    <t>bakhti salary for august 1 in advance</t>
  </si>
  <si>
    <t>drawing copy spar</t>
  </si>
  <si>
    <t>drawing copy HBL</t>
  </si>
  <si>
    <t>drawing copy al-kakram</t>
  </si>
  <si>
    <t>rikshaw fare from jpmc to office welding plant and grinder</t>
  </si>
  <si>
    <t>sufyan for august 17</t>
  </si>
  <si>
    <t>paid for indus radiology LED lights, 200,000 chq and cash 4550</t>
  </si>
  <si>
    <t>tea bags, mineral water and photocopy fruit for bilal bhai</t>
  </si>
  <si>
    <t>ebm</t>
  </si>
  <si>
    <t>rikshaw fare</t>
  </si>
  <si>
    <t>shahid painter for august 17</t>
  </si>
  <si>
    <t>mobile balance mhr</t>
  </si>
  <si>
    <t>mobile balance khaadi packasgea</t>
  </si>
  <si>
    <t>cash received from amjad bhai</t>
  </si>
  <si>
    <t>cash paid to javaid shb for pump repairing at bank al-falah head officed</t>
  </si>
  <si>
    <t>jahangeer for august 17</t>
  </si>
  <si>
    <t>mineral water 2 bottle security paid</t>
  </si>
  <si>
    <t>reshid boy claimed fuel for going kaytees for purchased insulation for indus</t>
  </si>
  <si>
    <t>cash sent thru zeeshan rashid boy</t>
  </si>
  <si>
    <t xml:space="preserve">khaadi packages </t>
  </si>
  <si>
    <t>return ticket for bilal bhai</t>
  </si>
  <si>
    <t>news paper bill for july 17</t>
  </si>
  <si>
    <t>mehmood for august 17</t>
  </si>
  <si>
    <t>purchased material for EBM 4th flooor</t>
  </si>
  <si>
    <t>rikshaw fare form offce to jpmc</t>
  </si>
  <si>
    <t>purchased difference vouchers</t>
  </si>
  <si>
    <t>fuel claimed at mhr p ersonal</t>
  </si>
  <si>
    <t>purcahsed  raig maal</t>
  </si>
  <si>
    <t>paid charity</t>
  </si>
  <si>
    <t>jhaaroo for office</t>
  </si>
  <si>
    <t>mineral water book purchased</t>
  </si>
  <si>
    <t>salman cladding</t>
  </si>
  <si>
    <t>cash paid at indus radiology</t>
  </si>
  <si>
    <t>paid for suzuki fare from office to jpmc</t>
  </si>
  <si>
    <t>office expenses for 3 days lunch. Biskuits, bilal bhai fruit, sink pipe, every day, green tea, mineral water for office.</t>
  </si>
  <si>
    <t>shopper and cleaning brush purchased</t>
  </si>
  <si>
    <t>khalid for august 2017</t>
  </si>
  <si>
    <t>cement and other items</t>
  </si>
  <si>
    <t>khan brothers</t>
  </si>
  <si>
    <t>paid to khan brothers by order bilal habib</t>
  </si>
  <si>
    <t>paid for pakistan engg council</t>
  </si>
  <si>
    <t>energy saver and holder for office kitchen</t>
  </si>
  <si>
    <t>cash for motor at malik sahb</t>
  </si>
  <si>
    <t>fitting, sanitary items , soloution, taflon tape for kumail younus</t>
  </si>
  <si>
    <t>office expenses for 2 days lunch. Biskuits, bilal bhai fruit,tea bags, sabzi tea, room spray medicine</t>
  </si>
  <si>
    <t>purcahed cloth for indus radiology, fuel parking and labour for cloth</t>
  </si>
  <si>
    <t>misc expenses/purchases for MHR home</t>
  </si>
  <si>
    <t>kamran auto for august ssalary adv</t>
  </si>
  <si>
    <t>two tender purchased from Y.H associates one for 15,000 and another 10,000</t>
  </si>
  <si>
    <t>main gate lock, mineral water, cell, lunch for sir rehman, office staff and 1st floor electric workers</t>
  </si>
  <si>
    <t>bilal bhai child Shaaf fees paid for august 17</t>
  </si>
  <si>
    <t>cement</t>
  </si>
  <si>
    <t>mark sheet plastic cooting (abdur rehman)</t>
  </si>
  <si>
    <t>tender photocopy falcon mall and johar buikding BOQ</t>
  </si>
  <si>
    <t>claimed fuel at EBM</t>
  </si>
  <si>
    <t>duplicate 60 key, chart for nadeem bhai 100, lassi 240, cigratte 150, sabzi for rehman sh 70</t>
  </si>
  <si>
    <t>karosine oil, brush, cotto, etc</t>
  </si>
  <si>
    <t>paid for misc expenses</t>
  </si>
  <si>
    <t>claimed misx expesnes at MHR home</t>
  </si>
  <si>
    <t>rehman sb and office lunch, soup</t>
  </si>
  <si>
    <t>rehman shb</t>
  </si>
  <si>
    <t>cash paid for misc expenses</t>
  </si>
  <si>
    <t>imran office for september 17</t>
  </si>
  <si>
    <t>cash for spar</t>
  </si>
  <si>
    <t>Gulfam</t>
  </si>
  <si>
    <t>for tahiri masjid</t>
  </si>
  <si>
    <t>every day, tea and mineral water</t>
  </si>
  <si>
    <t>easy paisa sent by sher lala</t>
  </si>
  <si>
    <t>for september 17</t>
  </si>
  <si>
    <t>lunch for two days for sir rehman and office boys,  fruit for bilal bhai</t>
  </si>
  <si>
    <t>cable tie and tax challans tcs</t>
  </si>
  <si>
    <t>photocopy tax challan and spar submittal and a4 rim</t>
  </si>
  <si>
    <t>cigratte for bilal bhai 150</t>
  </si>
  <si>
    <t>cash received from bilal</t>
  </si>
  <si>
    <t>surf, tea, biskuits</t>
  </si>
  <si>
    <t>misc office expenses by bakhti when I was in out of city</t>
  </si>
  <si>
    <t>Sir rehman</t>
  </si>
  <si>
    <t>mobile balance paid</t>
  </si>
  <si>
    <t>paid for khurpi</t>
  </si>
  <si>
    <t>purchased khurpi by omar</t>
  </si>
  <si>
    <t>claimed fuel for Y.H, SEM, Ak shamim, tube traders</t>
  </si>
  <si>
    <t>kamran for sept 17</t>
  </si>
  <si>
    <t>claimed fuel at burhani mehal</t>
  </si>
  <si>
    <t xml:space="preserve">lunch for two days 220, tissue papers, every day tea bags photocopy office files </t>
  </si>
  <si>
    <t>for khadi packages mall misc ep</t>
  </si>
  <si>
    <t>misc expenses at tahiri masjid</t>
  </si>
  <si>
    <t>for zilver items purchasing</t>
  </si>
  <si>
    <t>paid for tahri masjid</t>
  </si>
  <si>
    <t>cash to nadeem for salary adv</t>
  </si>
  <si>
    <t>rehan printer refills and drum change</t>
  </si>
  <si>
    <t xml:space="preserve">purcahsed material for efu </t>
  </si>
  <si>
    <t>sir rehman's driver 17 days salary paid</t>
  </si>
  <si>
    <t>ashraf suzuki</t>
  </si>
  <si>
    <t>paid for nasir colony trip</t>
  </si>
  <si>
    <t>azaad</t>
  </si>
  <si>
    <t>paid for misc expenses at jpmc</t>
  </si>
  <si>
    <t>Amir Pes</t>
  </si>
  <si>
    <t>cash paid for drawings copy and 50 fuel claimed JPMC</t>
  </si>
  <si>
    <t>lunch for three days, mineral water, biskuits, etc</t>
  </si>
  <si>
    <t>paid at gul ahmed 23d</t>
  </si>
  <si>
    <t>salary taken (Efu boy naeem)</t>
  </si>
  <si>
    <t>salary taken (JPMC boy shahbaz)</t>
  </si>
  <si>
    <t>for pipe and bend for electric work</t>
  </si>
  <si>
    <t>paid mhr 30161 and office bills 19181</t>
  </si>
  <si>
    <t>claimed fuel for invoice dropping invoice for al-karam</t>
  </si>
  <si>
    <t>purchased thermostat for tahiri mosque</t>
  </si>
  <si>
    <t>paid for rikshaw fare from islamuddin to center point for insulation</t>
  </si>
  <si>
    <t>misc exp</t>
  </si>
  <si>
    <t>cash paid for nasir colony</t>
  </si>
  <si>
    <t>Gulfam for september 17</t>
  </si>
  <si>
    <t>paid to ahmed for sabzi at mhr home by ordered rehana aunty</t>
  </si>
  <si>
    <t>cash for paint (red oxide + karosine oil)</t>
  </si>
  <si>
    <t>salaman cladding</t>
  </si>
  <si>
    <t>paid for silver tape at gul ahmad 23rd floor.</t>
  </si>
  <si>
    <t>purchased misc items at spar i.e: solution</t>
  </si>
  <si>
    <t>paid to close his account</t>
  </si>
  <si>
    <t>loan to office</t>
  </si>
  <si>
    <t>nadeem bhai salary advance</t>
  </si>
  <si>
    <t>nadeem painter salary advance</t>
  </si>
  <si>
    <t>purchased material from gizri for efu site</t>
  </si>
  <si>
    <t>abbas plumber salary adv</t>
  </si>
  <si>
    <t>kashif</t>
  </si>
  <si>
    <t>green tea, soup, lunch, tea, biskuit for two days</t>
  </si>
  <si>
    <t>mehmood for oct 17</t>
  </si>
  <si>
    <t>for september 17 tea exp</t>
  </si>
  <si>
    <t>paid for misc expenses at tahiri masjid</t>
  </si>
  <si>
    <t>received from huzaifa</t>
  </si>
  <si>
    <t>photocopy jpmc submittal</t>
  </si>
  <si>
    <t>purchased disc and tapes at efu</t>
  </si>
  <si>
    <t xml:space="preserve">mobile balance </t>
  </si>
  <si>
    <t>claimed mic vouchers</t>
  </si>
  <si>
    <t>paid ssgc biil for sept 17</t>
  </si>
  <si>
    <t>paid rashid by order nadeem bhai</t>
  </si>
  <si>
    <t>paid for misc purhcaeing at efu</t>
  </si>
  <si>
    <t>clamp purchased at efu</t>
  </si>
  <si>
    <t>material purcahsed at hyperstar</t>
  </si>
  <si>
    <t>sufyan for sept 17</t>
  </si>
  <si>
    <t>jahangeer for sept 17</t>
  </si>
  <si>
    <t>ticket for bilal bhai</t>
  </si>
  <si>
    <t>kashif for sept 17</t>
  </si>
  <si>
    <t>lunch, every day, biskuit, chaat, towel cleaning, mortein spray, for two days</t>
  </si>
  <si>
    <t>kamran auto salary adv for sept 17</t>
  </si>
  <si>
    <t>abbas for sept 17 paid by imran engg</t>
  </si>
  <si>
    <t>cash paid at tibbet sent cash sent thru omar</t>
  </si>
  <si>
    <t>memom group utilities bills paid</t>
  </si>
  <si>
    <t>paid mossi salary for sept 17</t>
  </si>
  <si>
    <t>for fire alarm remaining balance and wire at indua radiology</t>
  </si>
  <si>
    <t>for cement purchaed at 1st floor office renovaion</t>
  </si>
  <si>
    <t>biskuit and cigrate for major jalal</t>
  </si>
  <si>
    <t>bakhtiar salary for sept 17</t>
  </si>
  <si>
    <t>bakhriar 3 car wash for two months, huzaifa car, nadeem bhai car, rehman shb car, bilal bhai car</t>
  </si>
  <si>
    <t>rawal bolt for 1st floor</t>
  </si>
  <si>
    <t>disc</t>
  </si>
  <si>
    <t>office usb purchased by imran off</t>
  </si>
  <si>
    <t>photocopy indus radiology</t>
  </si>
  <si>
    <t>cash sent thru nadeem painter</t>
  </si>
  <si>
    <t>usb for huzaifa</t>
  </si>
  <si>
    <t>cash for uncle shamim</t>
  </si>
  <si>
    <t>cash rikshaw fare</t>
  </si>
  <si>
    <t>two days office exp including lunch, biskuit, tezab, every day and tea bags</t>
  </si>
  <si>
    <t>club sandwich nasir bhai</t>
  </si>
  <si>
    <t>umer claimed conveyance for nasir colony</t>
  </si>
  <si>
    <t>zinger burger and cold drink for farukh zara</t>
  </si>
  <si>
    <t>cash remained from salarles</t>
  </si>
  <si>
    <t>cash received from huzaifa huzaifa didn’t took his salary salary will review</t>
  </si>
  <si>
    <t>purcahsed tape for EFU</t>
  </si>
  <si>
    <t>Tahiri masjid</t>
  </si>
  <si>
    <t>paid charity to haneef's Boy which was died in road accident</t>
  </si>
  <si>
    <t>paid to salary adv to haneef boy 5000</t>
  </si>
  <si>
    <t>cash for profile print, spriral binding, chips, fuel puncture</t>
  </si>
  <si>
    <t>purchased pipe for 1st floor</t>
  </si>
  <si>
    <t>jpmc submital copy</t>
  </si>
  <si>
    <t>for electric item</t>
  </si>
  <si>
    <t>two days office exp including lunch, wash room sandle, soup, shopper</t>
  </si>
  <si>
    <t>misc purchasing at efu</t>
  </si>
  <si>
    <t>shaheryar for october 17</t>
  </si>
  <si>
    <t>cash for spar purchaseing</t>
  </si>
  <si>
    <t>cash for purchaseing</t>
  </si>
  <si>
    <t>DIB  #</t>
  </si>
  <si>
    <t>MCB chq #</t>
  </si>
  <si>
    <t>huzaifa ourchased dry bond and other items from gizri</t>
  </si>
  <si>
    <t>ufone super card</t>
  </si>
  <si>
    <t>cash for zaid factory</t>
  </si>
  <si>
    <t>kunna for bilal bhai</t>
  </si>
  <si>
    <t>WTC</t>
  </si>
  <si>
    <t>paid 2000 for maintenance</t>
  </si>
  <si>
    <t>for charity</t>
  </si>
  <si>
    <t>hussain for oct 17</t>
  </si>
  <si>
    <t>cash paid to his for settlement of his leaves</t>
  </si>
  <si>
    <t xml:space="preserve">used sop rent </t>
  </si>
  <si>
    <t>paid for mhr</t>
  </si>
  <si>
    <t>used waris salary</t>
  </si>
  <si>
    <t>cash for drawings print, khaadi, al-karam, indus, jpmc</t>
  </si>
  <si>
    <t>office 2 days expenses, lunch, tea, tissue, biskuit, A4 rim easy paisa, cell , shampoo, sandal</t>
  </si>
  <si>
    <t>Tiles boy</t>
  </si>
  <si>
    <t>dry bond 15 boxes + riksahw fare for 1st floor</t>
  </si>
  <si>
    <t>material for 1st floor</t>
  </si>
  <si>
    <t>purchased tiles</t>
  </si>
  <si>
    <t>to zulfiquar ftc oct 17</t>
  </si>
  <si>
    <t>misc expenses at spar</t>
  </si>
  <si>
    <t>office file, sugar, mineral water, green tea, lunch, and lunch for milton shampoo</t>
  </si>
  <si>
    <t>paid for suzuki fare for material shifting from office</t>
  </si>
  <si>
    <t>imran office computer windows 7 and other softwares intalled from hitech communication dha ph 2</t>
  </si>
  <si>
    <t>paid to suzuki fare for sifting of material from office to nasir colony</t>
  </si>
  <si>
    <t>paid to gulfam for october 2017 salary</t>
  </si>
  <si>
    <t>cash for conveyance from spar to us trader then office</t>
  </si>
  <si>
    <t>sufyan for october 17</t>
  </si>
  <si>
    <t>paid for material shifting from ZMV to office</t>
  </si>
  <si>
    <t>paid for 1st floor cleaning</t>
  </si>
  <si>
    <t xml:space="preserve">rikshaw fare and fuel claimed for allied engg, ikram mughal and bank </t>
  </si>
  <si>
    <t>3 days office expenses, lunch, every day, photocopy, lunch for habib shb guest, paid to mossi for 1sy floor cleaning etc ect</t>
  </si>
  <si>
    <t>paid for rikshaw fare for ladder shifting from indus to gizri.</t>
  </si>
  <si>
    <t>purchased light for indus radiology</t>
  </si>
  <si>
    <t>for channel patti</t>
  </si>
  <si>
    <t>iftikhar for salary adv for october 17</t>
  </si>
  <si>
    <t>for drawings copy</t>
  </si>
  <si>
    <t>given to rehana rehman for shop rent</t>
  </si>
  <si>
    <t>received from chase receiving</t>
  </si>
  <si>
    <t>paid for misc item haji store and others</t>
  </si>
  <si>
    <t>lunch for madam ghazala rehman, shb, bilal nadeem mustafa advance</t>
  </si>
  <si>
    <t>paid for zaid bashir villa</t>
  </si>
  <si>
    <t>mehmood salary adv for october 17</t>
  </si>
  <si>
    <t>kamran auto for oct</t>
  </si>
  <si>
    <t>lunch for noman engg</t>
  </si>
  <si>
    <t xml:space="preserve">suzuki fare from spar to office </t>
  </si>
  <si>
    <t>submiital shifting from YH to office, rikshaw fare 220, parking 40 fuel 140</t>
  </si>
  <si>
    <t>paid to tile boy at 1st floor</t>
  </si>
  <si>
    <t>cash for 1st floor fans and other materials</t>
  </si>
  <si>
    <t>umer office</t>
  </si>
  <si>
    <t>for office petty exp</t>
  </si>
  <si>
    <t>loan to moosi</t>
  </si>
  <si>
    <t>misc office expenses by bakhti in office e.g lunch, kitchen expenses, soap tea, photcopy etc etc</t>
  </si>
  <si>
    <t>rikshaw fare for submittal yh</t>
  </si>
  <si>
    <t>paid mhr 24303 &amp; office 16458</t>
  </si>
  <si>
    <t>children fees</t>
  </si>
  <si>
    <t>Two DIB  chq cash chq # 1   01548610    chq # 01548609</t>
  </si>
  <si>
    <t>file spacer and lunch</t>
  </si>
  <si>
    <t>purcahsed hilti bid for jpmc and claimed fuel for indus and jpmc</t>
  </si>
  <si>
    <t>paid at ebm 1000   nueplex 1500</t>
  </si>
  <si>
    <t>for office exp</t>
  </si>
  <si>
    <t>DIB  chq#   01548613</t>
  </si>
  <si>
    <t>cash paid to bilal for charity purpose</t>
  </si>
  <si>
    <t>paid for DSRA membership card</t>
  </si>
  <si>
    <t>cash for oil</t>
  </si>
  <si>
    <t xml:space="preserve">cash for indus radiology </t>
  </si>
  <si>
    <t>cash for material purchased</t>
  </si>
  <si>
    <t>purchased material for kumail shb site electric geyser</t>
  </si>
  <si>
    <t>misc office exp from 23 oct to 26 oct</t>
  </si>
  <si>
    <t>Noman Engg</t>
  </si>
  <si>
    <t>cash paid for generator oil and labour</t>
  </si>
  <si>
    <t>claimed conveyance charges for meeting attend several times and one super mobile ufone card worth 600/-</t>
  </si>
  <si>
    <t>for zahabia duct sealent</t>
  </si>
  <si>
    <t>petty cash for indus site (gasket and nut bolt)</t>
  </si>
  <si>
    <t>claimed fuel for bolten market (gasket)</t>
  </si>
  <si>
    <t>claimed fuel for Y.H for submittal, JPMC for material, Allied for recovery &amp; SMC for drawing</t>
  </si>
  <si>
    <t>Javaid pump</t>
  </si>
  <si>
    <t>cash to khalid for purchase for taflon tape, disc, rubber tube, rikshaw fare, cup and tea, and claimed fuel for misc site rs. 500</t>
  </si>
  <si>
    <t>rikshaw fare from indus to office</t>
  </si>
  <si>
    <t>Zaid bashir villa receiving</t>
  </si>
  <si>
    <t>petty cash for nasir colony by order nadeem bhai</t>
  </si>
  <si>
    <t>given to omar office for misc expenses will give invoices</t>
  </si>
  <si>
    <t>claimend fuel at FTC site</t>
  </si>
  <si>
    <t>tickets for lahore  (Abbas &amp; iftikhar)</t>
  </si>
  <si>
    <t>material for nue plex cinema</t>
  </si>
  <si>
    <t>childred foundation at abbasi shaheed tender</t>
  </si>
  <si>
    <t>cash for JPMC towel, rod, coat hook and other accessories will give invoices</t>
  </si>
  <si>
    <t>kashif for oct 17  by order imran engg</t>
  </si>
  <si>
    <t>shaheryar for oct 17 by order imran engg</t>
  </si>
  <si>
    <t>paid for bank al-falah pump repairing &amp; service balance remaining Rs 10,000</t>
  </si>
  <si>
    <t>paid for computers will give invoices</t>
  </si>
  <si>
    <t>cash sent thru ali khalid for cinema material purchasing will give on invoices</t>
  </si>
  <si>
    <t>petty cash for naveed villa by order nadeem bhai will give invoices</t>
  </si>
  <si>
    <t xml:space="preserve">paid for generator new battery and labour </t>
  </si>
  <si>
    <t>kamran autocad for oct-17</t>
  </si>
  <si>
    <t>petty cash for indus site set thru kamran</t>
  </si>
  <si>
    <t>cash for material at jpmc</t>
  </si>
  <si>
    <t>DIB chq # 01596105</t>
  </si>
  <si>
    <t>cash paid for material</t>
  </si>
  <si>
    <t>new emplopyee asad puchased internet wifii dongle usb</t>
  </si>
  <si>
    <t>rashid claimed suzuki fare from nadeem bhao home to office for AC shifting</t>
  </si>
  <si>
    <t>paid for petty cash at indus</t>
  </si>
  <si>
    <t>purchased jhaaro for office</t>
  </si>
  <si>
    <t>cash paid for drawing copy</t>
  </si>
  <si>
    <t>cash paid for purchaseing</t>
  </si>
  <si>
    <t>cash haneef for office wash room comode repair</t>
  </si>
  <si>
    <t>paid at nue plex multi</t>
  </si>
  <si>
    <t>for sadqa and donation to eidhi &amp; sailani</t>
  </si>
  <si>
    <t>misc office expenses from 28 oct to 31 oct lunch, photocopy every day teabag and other misc items</t>
  </si>
  <si>
    <t>cash to rashid boy</t>
  </si>
  <si>
    <t>cash paid  will give invoices</t>
  </si>
  <si>
    <t>cash for purchasing</t>
  </si>
  <si>
    <t>rawal bolt purchased  at spar</t>
  </si>
  <si>
    <t>DIB chq # 01596108</t>
  </si>
  <si>
    <t>paid for sailani and eidhi remaining balance</t>
  </si>
  <si>
    <t>paid for mineral water for 20 bottles</t>
  </si>
  <si>
    <t>purchased shopper for office</t>
  </si>
  <si>
    <t>minahil</t>
  </si>
  <si>
    <t>paid for nut bolt purchased 1650</t>
  </si>
  <si>
    <t>cash for burhani mehal purchasing will return invoices</t>
  </si>
  <si>
    <t>cash for drawings print for new multiplex (tender drawing 1260 &amp; shop drawing 3800)</t>
  </si>
  <si>
    <t>purcashed hilti</t>
  </si>
  <si>
    <t>suzuki fare from saddar to office</t>
  </si>
  <si>
    <t>claimed fuel 100 for AC 1st floor</t>
  </si>
  <si>
    <t>Received from bilal bhai as chaseup advance</t>
  </si>
  <si>
    <t>cash for kumail home</t>
  </si>
  <si>
    <t>extra cash hold with kamran auto for drawings</t>
  </si>
  <si>
    <t>cash paid for material and fittings purcahsed at burhani mehal</t>
  </si>
  <si>
    <t>paid to khalid for nov 17</t>
  </si>
  <si>
    <t>paid for spray</t>
  </si>
  <si>
    <t>Khurram</t>
  </si>
  <si>
    <t>paid mossi salary for oct 17</t>
  </si>
  <si>
    <t>paid for tarjuma ul quran magazine charges</t>
  </si>
  <si>
    <t>ufone super plus card</t>
  </si>
  <si>
    <t xml:space="preserve">purcahsed grinding machine for nue multi </t>
  </si>
  <si>
    <t>paid khurram as zakar by order nadeem bhai, this zakat will charged on next year</t>
  </si>
  <si>
    <t>clock cell, bora and chola chaat for riaz uncle</t>
  </si>
  <si>
    <t>SSGC bill</t>
  </si>
  <si>
    <t xml:space="preserve">misc office expenses from 2-nov 17 to 4 nov 17 e.g lunch, tea bags, every day milk, photocopies, </t>
  </si>
  <si>
    <t>charity biryani at nue multi plex</t>
  </si>
  <si>
    <t>paid to saqib ismail for oct 17</t>
  </si>
  <si>
    <t>paid  by order nadeem bhai</t>
  </si>
  <si>
    <t>paid charity to mehmood  by order bilal</t>
  </si>
  <si>
    <t>paid suzuki fare to ashraf by order nadeem</t>
  </si>
  <si>
    <t>paid MHR ssgc bill</t>
  </si>
  <si>
    <t>purcchsed a4 rim paper for printer</t>
  </si>
  <si>
    <t>purchasing at kumail younus</t>
  </si>
  <si>
    <t>for nue plex purchasing</t>
  </si>
  <si>
    <t>claimed fuel at jomc</t>
  </si>
  <si>
    <t>cash for nasir colony he will return invoices</t>
  </si>
  <si>
    <t>DIB chq # 01596115</t>
  </si>
  <si>
    <t>paid for octiber 2017 tea expenses</t>
  </si>
  <si>
    <t>Khaadi L Block</t>
  </si>
  <si>
    <t>Quyyum salary</t>
  </si>
  <si>
    <t>cash remained after salary</t>
  </si>
  <si>
    <t>paid for lunch he will return</t>
  </si>
  <si>
    <t>paid to umer office for office petty cash</t>
  </si>
  <si>
    <t>paid to bilal bhaii for material</t>
  </si>
  <si>
    <t>16 days and 26 hours overtime @ Rs 28000/months</t>
  </si>
  <si>
    <t>for material at 1st flooor channel patti</t>
  </si>
  <si>
    <t>paid for monthly tea &amp; Sunday lunch exp</t>
  </si>
  <si>
    <t>minhaal</t>
  </si>
  <si>
    <t>services charges for cash transfer to  khaadi L block for material</t>
  </si>
  <si>
    <t>claimed fuel for iqbal sons and Y.H</t>
  </si>
  <si>
    <t>for lunch for his staff</t>
  </si>
  <si>
    <t>copy zeelaf drwing</t>
  </si>
  <si>
    <t>squash tape for office</t>
  </si>
  <si>
    <t>Y.H sample collect &amp; parking</t>
  </si>
  <si>
    <t>ikram mughal &amp; SMC &amp; parking</t>
  </si>
  <si>
    <t xml:space="preserve">bike 02 puncture  </t>
  </si>
  <si>
    <t>office to arif shah, arif shah to office, office to FND, FND to ikram mughal, ikram mughal to bank (for huzaifa salary submit) and efu for bill subitt  &amp; parking</t>
  </si>
  <si>
    <t>waris salary for Oct 17 at burhani mehal</t>
  </si>
  <si>
    <t>waris salary for Oct 17 at Kumail bhai</t>
  </si>
  <si>
    <t>purchased electric channel and other fittings</t>
  </si>
  <si>
    <t>owais salary increased Rs 2000</t>
  </si>
  <si>
    <t>cash hold with awais for material at ebm</t>
  </si>
  <si>
    <t>cash to awais for material at ebm and fuel claimed</t>
  </si>
  <si>
    <t>Omar office</t>
  </si>
  <si>
    <t>bilal bhai car wash 1000, nadeem bhai 700, sir rehman 500</t>
  </si>
  <si>
    <t>jpmc submittal and copy</t>
  </si>
  <si>
    <t>everyday milk powder &amp; sugar</t>
  </si>
  <si>
    <t>lunch for 2 days 6- nov and 7 november</t>
  </si>
  <si>
    <t>biskuit for bilal guest</t>
  </si>
  <si>
    <t>give to bilal bhai Rs 10 ki gaddi for charity at nue plex</t>
  </si>
  <si>
    <t>DIB chq # 01596124</t>
  </si>
  <si>
    <t>cash paid for purchasing for testing of pump 60 bar and disc  5" &amp; 14"</t>
  </si>
  <si>
    <t xml:space="preserve">cash taken from shop rent </t>
  </si>
  <si>
    <t>for petty cash at indus</t>
  </si>
  <si>
    <t>misc purchasing at nue plex</t>
  </si>
  <si>
    <t xml:space="preserve">lunch for 8-11 16  </t>
  </si>
  <si>
    <t xml:space="preserve">buskuits                  </t>
  </si>
  <si>
    <t>every day milk</t>
  </si>
  <si>
    <t>lunch for 9-11-17</t>
  </si>
  <si>
    <t>gurr+box file + suger</t>
  </si>
  <si>
    <t>Tissue  3 boxes</t>
  </si>
  <si>
    <t>lunch for 10-11-17</t>
  </si>
  <si>
    <t>cash for drawings multi nue plex and jpmc</t>
  </si>
  <si>
    <t xml:space="preserve">rikshaw fare from mungo to office </t>
  </si>
  <si>
    <t>fuel claimed for nue plex sitre visit</t>
  </si>
  <si>
    <t>fuel claimed for TRG for blll, and Korangi</t>
  </si>
  <si>
    <t>photocopy &amp; color copy and binding PEC</t>
  </si>
  <si>
    <t>huzaifa mother mobile balance</t>
  </si>
  <si>
    <t>5 days talha salary at EBM @ Rs 18000</t>
  </si>
  <si>
    <t>7 days haroon salary at ebm @ Rs 12000</t>
  </si>
  <si>
    <t>nadeem bhai mobile balance</t>
  </si>
  <si>
    <t>shabbir bros</t>
  </si>
  <si>
    <t>purchased fittings at naveed malik villa</t>
  </si>
  <si>
    <t>petty cash for EBM by order nadeem bhai</t>
  </si>
  <si>
    <t>DIB chq # 01596131</t>
  </si>
  <si>
    <t>purchased net usb router for shamim haider computer</t>
  </si>
  <si>
    <t>purchasd samosay and tea for major jalal</t>
  </si>
  <si>
    <t>claimed suzuki fare for ladder purchased at Nuemultiplex</t>
  </si>
  <si>
    <t>mossi kousar</t>
  </si>
  <si>
    <t>paid for 1st floor cleaning purpose</t>
  </si>
  <si>
    <t>electric item channel patti</t>
  </si>
  <si>
    <t>petty cash for jpmc, he will return invoices</t>
  </si>
  <si>
    <t>petty cash for spar, he will return invoices</t>
  </si>
  <si>
    <t>Sheroz engg</t>
  </si>
  <si>
    <t>paid cash at zaid factory</t>
  </si>
  <si>
    <t>paid to yaseen shabbir brothers for cycrometer for indus and 2 way motorized valve for kumail villa</t>
  </si>
  <si>
    <t>safran helper salary paid at jpmc</t>
  </si>
  <si>
    <t>cash paid for car oil change</t>
  </si>
  <si>
    <t>lunch for 11-11017</t>
  </si>
  <si>
    <t>paid conveyance</t>
  </si>
  <si>
    <t>soup</t>
  </si>
  <si>
    <t>biskuits</t>
  </si>
  <si>
    <t>every day</t>
  </si>
  <si>
    <t>jhaaro for 1st floor</t>
  </si>
  <si>
    <t>lunch for 13-11-17</t>
  </si>
  <si>
    <t>cell and steel keeel</t>
  </si>
  <si>
    <t>lunch for 14-11-17</t>
  </si>
  <si>
    <t>a 4 paper rim purchaed</t>
  </si>
  <si>
    <t>DIB chq # 01596</t>
  </si>
  <si>
    <t>petty cash to huzaifa for jpmc</t>
  </si>
  <si>
    <t>sajjad ftc salary increased rs 1000</t>
  </si>
  <si>
    <t>purchased floor waste jaali sample for spar for sample for approval.</t>
  </si>
  <si>
    <t>claimed conveyance and fuel charges from november 1st to 15th november  for various times for meeting attende</t>
  </si>
  <si>
    <t>claimed fuel Rs 200 for naveed malik villa t o market several times</t>
  </si>
  <si>
    <t>paid for cable tie and flexible connector for chiller safety valve at efu he will return invoices</t>
  </si>
  <si>
    <t>jazz mobile balance</t>
  </si>
  <si>
    <t>aunty relative ufone super card</t>
  </si>
  <si>
    <t>talha</t>
  </si>
  <si>
    <t>purchased electric items</t>
  </si>
  <si>
    <t>indus radiology drawings</t>
  </si>
  <si>
    <t>indus CCH drawings</t>
  </si>
  <si>
    <t>paid for witribe bill</t>
  </si>
  <si>
    <t>paid for suzuki fare from iqbal to nueplex</t>
  </si>
  <si>
    <t>kamran computer rapair charges</t>
  </si>
  <si>
    <t>for stapler and punch machine</t>
  </si>
  <si>
    <t>suger rs 70,</t>
  </si>
  <si>
    <t>lunch for 15-11-17</t>
  </si>
  <si>
    <t>lunch for 16-11-17</t>
  </si>
  <si>
    <t>biskuit</t>
  </si>
  <si>
    <t>claimed rikshaw fare from office to zaid factory (mungo material)</t>
  </si>
  <si>
    <t>plug purchased for PABX system</t>
  </si>
  <si>
    <t>lunch for 17-11-17</t>
  </si>
  <si>
    <t>miqdad and zainab shabbir photocopy</t>
  </si>
  <si>
    <t>ahmed for october 17</t>
  </si>
  <si>
    <t>Rs 50 hold with imran</t>
  </si>
  <si>
    <t>purchased harpic for 1st floor</t>
  </si>
  <si>
    <t>lunch 20-11-17</t>
  </si>
  <si>
    <t>bilal cigratee</t>
  </si>
  <si>
    <t>claimed fuel for Wi tribe bill submitt, 1 time bank, 1 time matrix and ASA</t>
  </si>
  <si>
    <t>lunch for 21-11-17</t>
  </si>
  <si>
    <t>cash paid by ordered nadeem bhai</t>
  </si>
  <si>
    <t>for check valave for spar, MS fittings, pipe nipples socket barrrel nipple  CI flang, suzuki fare from golimar to spar,</t>
  </si>
  <si>
    <t>suzuki fare from golimar to spar for material shifting</t>
  </si>
  <si>
    <t>claimed fuel, 2 times gizri, 3 times bank, office to SEM, sem to golimar to office</t>
  </si>
  <si>
    <t>UHU purchased  for office</t>
  </si>
  <si>
    <t>lunch for bilal bhai guest</t>
  </si>
  <si>
    <t>cash for rikshaw fare and other items he will returned invoices</t>
  </si>
  <si>
    <t>bank charges Rs 125 for ibrahim shershah tranfer cash</t>
  </si>
  <si>
    <t>hussain mamu for November 17 by order huzzaifa</t>
  </si>
  <si>
    <t>data cable for bilal bhai</t>
  </si>
  <si>
    <t>chaat for nadeem bhai</t>
  </si>
  <si>
    <t xml:space="preserve">sugar </t>
  </si>
  <si>
    <t>kamran ali akber for november 17</t>
  </si>
  <si>
    <t>cash for naveed malik by order   imran enmgg</t>
  </si>
  <si>
    <t>cash paid for efu cable tie</t>
  </si>
  <si>
    <t>for box files and a4 rim carton</t>
  </si>
  <si>
    <t>DIB chq # 01596153</t>
  </si>
  <si>
    <t>cash for fisher and clips</t>
  </si>
  <si>
    <t>claimed fuel from office to gizri to spar to golimar to spar</t>
  </si>
  <si>
    <t>claimed fuel from office to golimar to shershah to spar</t>
  </si>
  <si>
    <t xml:space="preserve">claimed fuel from office to bolten to shershah to spar </t>
  </si>
  <si>
    <t>cash for misc expenses he will return invoices</t>
  </si>
  <si>
    <t>DIB chq # 01596160</t>
  </si>
  <si>
    <t>for spar fittings</t>
  </si>
  <si>
    <t>for rikshaw fare from iqbal to islamuddin</t>
  </si>
  <si>
    <t>glue purchased at nue plex</t>
  </si>
  <si>
    <t xml:space="preserve">old cash claimed for rikshaw fare from fakhri brother to jpmc for tape shiftings </t>
  </si>
  <si>
    <t>office mineral water 20 bottles book token purchased</t>
  </si>
  <si>
    <t>paid for home newpaper bill for october 17</t>
  </si>
  <si>
    <t>paid for copper pipe</t>
  </si>
  <si>
    <t>Ahmed ali</t>
  </si>
  <si>
    <t>zeelaf munir villa drawings for basement plan</t>
  </si>
  <si>
    <t>paid for drawings copy FHC pipe</t>
  </si>
  <si>
    <t>jpmc 6th floor drawings copy</t>
  </si>
  <si>
    <t>nue plex technical broucher copy</t>
  </si>
  <si>
    <t>cash received from utilities bill remaining amount</t>
  </si>
  <si>
    <t>DIB chq # 01596162</t>
  </si>
  <si>
    <t>paid utilities bill</t>
  </si>
  <si>
    <t>paid to Mr. Farhan Sahab</t>
  </si>
  <si>
    <t>claimed fuel for various times go to misc sites</t>
  </si>
  <si>
    <t xml:space="preserve">every day + cigreatte </t>
  </si>
  <si>
    <t xml:space="preserve">biskuit for bilal </t>
  </si>
  <si>
    <t>Tissue  2 boxes</t>
  </si>
  <si>
    <t>cold drink for bilal bhai guest on 22-11-17</t>
  </si>
  <si>
    <t>fruit + cigratte</t>
  </si>
  <si>
    <t>for sir rehmna photoc opy kitchen equipemt</t>
  </si>
  <si>
    <t>tabba 6th r bill copy</t>
  </si>
  <si>
    <t>for jpmc purchaseing by order nadeem bhai</t>
  </si>
  <si>
    <t>cash taken by order nadeem</t>
  </si>
  <si>
    <t>cloth for nuemulti pelx 18000 cloth, rikshaw fare 350, 100 labor Rs 100 fuel</t>
  </si>
  <si>
    <t>for 1st floor purchaseing he will return onvoices</t>
  </si>
  <si>
    <t>paid by order naddeem bhai</t>
  </si>
  <si>
    <t>cash  he has given invoices</t>
  </si>
  <si>
    <t>11/23/2017+A3484:F3A3484:F3509</t>
  </si>
  <si>
    <t>DIB chq # 01596133</t>
  </si>
  <si>
    <t xml:space="preserve">purcahsed fittings at nue plex </t>
  </si>
  <si>
    <t>file folder</t>
  </si>
  <si>
    <t>cash for file and stationery</t>
  </si>
  <si>
    <t xml:space="preserve">cash for welding rod 12" </t>
  </si>
  <si>
    <t>cash petty for jpmc</t>
  </si>
  <si>
    <t>claimed fuel from office to YH, office to FND to bolten market with parking</t>
  </si>
  <si>
    <t>paid for zeelaf drawing copy in A2 size</t>
  </si>
  <si>
    <t>talha for november 2017</t>
  </si>
  <si>
    <t>received from minhaal after nueplex and spar purchasing</t>
  </si>
  <si>
    <t>cash tranfers to huzaifa account</t>
  </si>
  <si>
    <t>cash for drawing copy indus CCH</t>
  </si>
  <si>
    <t>claimed zeelaf munir site charges</t>
  </si>
  <si>
    <t>claimed mobile charges from 16 Nov 2017 to 29 Novemver 2017</t>
  </si>
  <si>
    <t>paid for suzuki fare for furniture</t>
  </si>
  <si>
    <t>paid for suzuki fare for chairs</t>
  </si>
  <si>
    <t>mehmood for november 2017</t>
  </si>
  <si>
    <t>remaining cash received after DIB chq # 01596166</t>
  </si>
  <si>
    <t xml:space="preserve">cigratte for bilal bhai </t>
  </si>
  <si>
    <t>1 office file purchased low quality black</t>
  </si>
  <si>
    <t>for 1st floor purchasing</t>
  </si>
  <si>
    <t>for fans</t>
  </si>
  <si>
    <t>paid for therir worker lunch</t>
  </si>
  <si>
    <t>claimed fuel for misc site</t>
  </si>
  <si>
    <t>Shaheryar tabba</t>
  </si>
  <si>
    <t>claimed fuel for 2 times tabba to office then office to tabba</t>
  </si>
  <si>
    <t>cash taken for his personal, he will return this cash on Saturday</t>
  </si>
  <si>
    <t>cash for 1st floor purchaseing</t>
  </si>
  <si>
    <t>DIB chq # 01596169</t>
  </si>
  <si>
    <t>ali khalid for november 17</t>
  </si>
  <si>
    <t>for electric wire at bank -alfalah head office</t>
  </si>
  <si>
    <t>purcahsed A4 rim paper</t>
  </si>
  <si>
    <t>harpic, pocha and taizab</t>
  </si>
  <si>
    <t>brome jhaaro, and cleaning cloth</t>
  </si>
  <si>
    <t>cash taken he will return invoices</t>
  </si>
  <si>
    <t>pay omar for samosay</t>
  </si>
  <si>
    <t>cash for indus petty cash</t>
  </si>
  <si>
    <t>ufone mobile super card</t>
  </si>
  <si>
    <t>for bank alfalah head office cable purchased</t>
  </si>
  <si>
    <t>for office 1st floor electric items</t>
  </si>
  <si>
    <t>umer for biskuit</t>
  </si>
  <si>
    <t>photo copy bilal cnic</t>
  </si>
  <si>
    <t>paid for frust film a65 feet</t>
  </si>
  <si>
    <t>for phone sets pins</t>
  </si>
  <si>
    <t>phnyle surf</t>
  </si>
  <si>
    <t>harpic + soap</t>
  </si>
  <si>
    <t>umar 70 rupay ka kuch laya tha per usay yaad nahi kia laya tha</t>
  </si>
  <si>
    <t>gave bilal bhai for charity purpose</t>
  </si>
  <si>
    <t>mehmood for cutting of wood for exhaust fan</t>
  </si>
  <si>
    <t>rashid for welding at office</t>
  </si>
  <si>
    <t>pruchased channel patti, screw, and rawal plug</t>
  </si>
  <si>
    <t>for bank alfalah for isoltor by order nadeem bhai</t>
  </si>
  <si>
    <t>cash for kumail villa</t>
  </si>
  <si>
    <t>khalid for november 17</t>
  </si>
  <si>
    <t>for spar petty cash</t>
  </si>
  <si>
    <t>for spar purchasing</t>
  </si>
  <si>
    <t>cash for photocopy for khaadi packages mall</t>
  </si>
  <si>
    <t>2 cigratte pack</t>
  </si>
  <si>
    <t>paan for azeem</t>
  </si>
  <si>
    <t xml:space="preserve">green tea </t>
  </si>
  <si>
    <t>drawing for zeelaf</t>
  </si>
  <si>
    <t>kamran elec for office dinner rolls</t>
  </si>
  <si>
    <t>stapler pins and stapler pin remover clip</t>
  </si>
  <si>
    <t>office duplicate key make</t>
  </si>
  <si>
    <t>for bank alfalah by order nadeem</t>
  </si>
  <si>
    <t>lunch for sir rehman 4-dec</t>
  </si>
  <si>
    <t>lunch for sir rehman guest azeem buksh  3-dec</t>
  </si>
  <si>
    <t>labour paid for electric welding at rods at jpmc</t>
  </si>
  <si>
    <t>paid for AC outer angles purchased for 1st floor office</t>
  </si>
  <si>
    <t>pan for kamran, azeem and kamran doctor shb</t>
  </si>
  <si>
    <t>kamran elec for channel patti</t>
  </si>
  <si>
    <t>kamran ele purchased bit</t>
  </si>
  <si>
    <t>paid to minhal for fischer for nueplex</t>
  </si>
  <si>
    <t>faizan cctv</t>
  </si>
  <si>
    <t>paid for wire converter for LED</t>
  </si>
  <si>
    <t>petty cash for Zeelaf  by order nadeem bhai</t>
  </si>
  <si>
    <t>Daraz</t>
  </si>
  <si>
    <t>paid for duct bin</t>
  </si>
  <si>
    <t>cash taken for petty at jpmc</t>
  </si>
  <si>
    <t>cash for drawings for nue plex</t>
  </si>
  <si>
    <t>for fire extinguishers and safety belt</t>
  </si>
  <si>
    <t>cash for draings jpmc</t>
  </si>
  <si>
    <t>kamran auto for november 17</t>
  </si>
  <si>
    <t>shamim haider for november 17</t>
  </si>
  <si>
    <t>brush, spunch and dust scaper and 1 brome (jhaaroo)</t>
  </si>
  <si>
    <t>salary paid for november 17</t>
  </si>
  <si>
    <t>cash for nueplex for hilti bit &amp; u clamp</t>
  </si>
  <si>
    <t>for computers</t>
  </si>
  <si>
    <t>grean tea</t>
  </si>
  <si>
    <t>every days milk</t>
  </si>
  <si>
    <t>A4 printer pages</t>
  </si>
  <si>
    <t>Zeelaf</t>
  </si>
  <si>
    <t>tissues 2 boxes</t>
  </si>
  <si>
    <t>lassi for ali</t>
  </si>
  <si>
    <t xml:space="preserve">shopper </t>
  </si>
  <si>
    <t>lunch for sir rehman and his gueat mr azeem</t>
  </si>
  <si>
    <t>ahmed for drawing for zeelaf 1 set</t>
  </si>
  <si>
    <t>ahmed for drawing for zeelaf 3 set</t>
  </si>
  <si>
    <t>til waali mithai</t>
  </si>
  <si>
    <t>burger for kamran</t>
  </si>
  <si>
    <t>umar for car wash bilal bhai and nadeem bhai</t>
  </si>
  <si>
    <t>cash taken for stationery</t>
  </si>
  <si>
    <t xml:space="preserve">umar </t>
  </si>
  <si>
    <t>for rikshaw fare from spar to office</t>
  </si>
  <si>
    <t>rikshaw fare from office to zeelaf munir</t>
  </si>
  <si>
    <t>claimed fuel charges office to ZMV, office to spar, spar to office, then ZMV</t>
  </si>
  <si>
    <t>cash taken from Minhaal C/o bilal</t>
  </si>
  <si>
    <t>for drawing zeelaf munir</t>
  </si>
  <si>
    <t>for drawing nueplex</t>
  </si>
  <si>
    <t>ahmed for december 17</t>
  </si>
  <si>
    <t>zulfiquar salary adv for december</t>
  </si>
  <si>
    <t>cash for tea expenses at FTC site</t>
  </si>
  <si>
    <t>cash taken for SS purchaseing</t>
  </si>
  <si>
    <t>for bottle trap</t>
  </si>
  <si>
    <t>paid for mats</t>
  </si>
  <si>
    <t>DIB chq # 01596193</t>
  </si>
  <si>
    <t>two dongle usb internet router purchased 01 for talha and 1 for shamim haider</t>
  </si>
  <si>
    <t>faizan for december 17</t>
  </si>
  <si>
    <t>cash paid for nadeem bhai car battery and cut out</t>
  </si>
  <si>
    <t>cash for SS purchasing nut bolt cutting disc and welding rods</t>
  </si>
  <si>
    <t>paid for morten spray and paints</t>
  </si>
  <si>
    <t>for  dust bin</t>
  </si>
  <si>
    <t xml:space="preserve">rikshaw fare for fitting from miqdad to office </t>
  </si>
  <si>
    <t>for doctor and medicine</t>
  </si>
  <si>
    <t>cigratte</t>
  </si>
  <si>
    <t>mouse for computer</t>
  </si>
  <si>
    <t>glint spar for glass</t>
  </si>
  <si>
    <t>3 pin plug</t>
  </si>
  <si>
    <t xml:space="preserve">photo copy </t>
  </si>
  <si>
    <t>greean tea</t>
  </si>
  <si>
    <t>paid for welding rod at nuemultiplex and fuel for Y.h nueplex and bolten market</t>
  </si>
  <si>
    <t>fuel claimed for miqdad banglow and market</t>
  </si>
  <si>
    <t>cd purchased for antivirus</t>
  </si>
  <si>
    <t>furit for sir rehman</t>
  </si>
  <si>
    <t>rikshaw fare from office to nue multiplec for threading machine</t>
  </si>
  <si>
    <t>paid to bilal bhai for charity</t>
  </si>
  <si>
    <t>paid kamran elec for khaadi lahore 15 L</t>
  </si>
  <si>
    <t>witribe bill paid at site jpmc</t>
  </si>
  <si>
    <t>paid for cctv camera installation boy remaining balance</t>
  </si>
  <si>
    <t>office dinner for Nadeem bhai, rehan, noman, talha, faizan, nawaz, amir, minhaal &amp; omer for the night stay for indus tender filling</t>
  </si>
  <si>
    <t>cash taken from minhaal</t>
  </si>
  <si>
    <t>perwaz for december 17</t>
  </si>
  <si>
    <t>cd purchased for indus tender</t>
  </si>
  <si>
    <t xml:space="preserve">cash hold with minhaal </t>
  </si>
  <si>
    <t>paid for fire extingushers 2 DCP and 1 CO2</t>
  </si>
  <si>
    <t>envelop for indus hospital</t>
  </si>
  <si>
    <t>power cable for imran computer</t>
  </si>
  <si>
    <t>drawing  for jpmc</t>
  </si>
  <si>
    <t xml:space="preserve">coffee + soup + cigertaa + buskuit </t>
  </si>
  <si>
    <t>photo copy A3 size indus hpsipta; tender</t>
  </si>
  <si>
    <t>medicine for bilal bhai</t>
  </si>
  <si>
    <t>suger + drawing copy imran engg</t>
  </si>
  <si>
    <t>for fire extinguisers</t>
  </si>
  <si>
    <t>cash from imran off</t>
  </si>
  <si>
    <t>cash at jpmc</t>
  </si>
  <si>
    <t>cash by order bilal bhai</t>
  </si>
  <si>
    <t>cash for jpmc angle and rawal bilt</t>
  </si>
  <si>
    <t>riskaw fare from tube traders to spar</t>
  </si>
  <si>
    <t>paid at nuemulti</t>
  </si>
  <si>
    <t>cash taken from nadeem bhai</t>
  </si>
  <si>
    <t>cash paid, C/O bilal bhai</t>
  </si>
  <si>
    <t>nadeem bhai took salary dec 17 in advance</t>
  </si>
  <si>
    <t>Minhaal returned cash after purchasing of spar, jpmc &amp; nueplex</t>
  </si>
  <si>
    <t>cloth , glue fuel dinner &amp; breakfast</t>
  </si>
  <si>
    <t>claimed breakfast for night stay at efu site on 18 dec</t>
  </si>
  <si>
    <t>for kumail purchasing</t>
  </si>
  <si>
    <t>finalization payment</t>
  </si>
  <si>
    <t xml:space="preserve">paid for rehana rehman medical treatment </t>
  </si>
  <si>
    <t>everday and sugar</t>
  </si>
  <si>
    <t>tea bags370</t>
  </si>
  <si>
    <t>samosay for mr azeeem buksh</t>
  </si>
  <si>
    <t xml:space="preserve">3 box biskuits </t>
  </si>
  <si>
    <t>falcon, nueplex drawings copy</t>
  </si>
  <si>
    <t>5 pc disc 14" at nuemulti plex</t>
  </si>
  <si>
    <t xml:space="preserve">claimed fuel rs 1250 for misc site visit </t>
  </si>
  <si>
    <t xml:space="preserve">minhaal </t>
  </si>
  <si>
    <t xml:space="preserve">paid PABX system </t>
  </si>
  <si>
    <t>for Nespak consultant</t>
  </si>
  <si>
    <t xml:space="preserve">cash hold with imran </t>
  </si>
  <si>
    <t xml:space="preserve">fuel expenses for last month pending </t>
  </si>
  <si>
    <t>cash for builty for spar</t>
  </si>
  <si>
    <t>cash for drawing</t>
  </si>
  <si>
    <t>for stormfiber fees</t>
  </si>
  <si>
    <t>for nuemultiplex disc 50 nos</t>
  </si>
  <si>
    <t>cash taken for dormant account C/O bilal bhai</t>
  </si>
  <si>
    <t>for nut bolt for kumail</t>
  </si>
  <si>
    <t>paid for ??????????</t>
  </si>
  <si>
    <t>perwaz</t>
  </si>
  <si>
    <t>for belt for efu</t>
  </si>
  <si>
    <t>umer claimed fuel for going prem office</t>
  </si>
  <si>
    <t>for zahabiya paint for nuemultiplex</t>
  </si>
  <si>
    <t>tea</t>
  </si>
  <si>
    <t>juic for bilal</t>
  </si>
  <si>
    <t>for cleacing for towel</t>
  </si>
  <si>
    <t>drawing  for jpmc kamran auto</t>
  </si>
  <si>
    <t>imran taken for shoppers</t>
  </si>
  <si>
    <t>for cutting disc</t>
  </si>
  <si>
    <t>falcon</t>
  </si>
  <si>
    <t>submittal copy</t>
  </si>
  <si>
    <t>lunch for nadeem bhai guest ali and zia</t>
  </si>
  <si>
    <t>for drawing print</t>
  </si>
  <si>
    <t>milk poweder</t>
  </si>
  <si>
    <t>roti for bilal bhai</t>
  </si>
  <si>
    <t>fuel and haji pharmacy</t>
  </si>
  <si>
    <t>Farhan bhai</t>
  </si>
  <si>
    <t>paid at nadeem bhai acc</t>
  </si>
  <si>
    <t>paid for haji pharmacy</t>
  </si>
  <si>
    <t>cash for suzuki fare for insulation</t>
  </si>
  <si>
    <t>paid for Nueplex gloves welding holder and welding glass 4 dozems</t>
  </si>
  <si>
    <t>received from bilal bhai</t>
  </si>
  <si>
    <t>Qayyum salary</t>
  </si>
  <si>
    <t>for 17 days and 15 OT</t>
  </si>
  <si>
    <t>for purchasing nueplex for welding rod carton hold tite and other stuff</t>
  </si>
  <si>
    <t>paid for farooq shb sister site</t>
  </si>
  <si>
    <t>color spray</t>
  </si>
  <si>
    <t>cigraee</t>
  </si>
  <si>
    <t>green tea &amp; cofee</t>
  </si>
  <si>
    <t>jpmc drawing</t>
  </si>
  <si>
    <t>zeelaf darawing</t>
  </si>
  <si>
    <t>salary adv paid for December 17</t>
  </si>
  <si>
    <t>cash for material shifting nasir colony</t>
  </si>
  <si>
    <t>photo copy miqdad and zainab verified bill fuel and parking claimed</t>
  </si>
  <si>
    <t>for mhr home newspaper bill</t>
  </si>
  <si>
    <t>for purchasing for nuemulti nut botl, rods, bitt hilti blind riet russian salad and cigratte</t>
  </si>
  <si>
    <t>cash sent to azeem for nasir colony site</t>
  </si>
  <si>
    <t>mobile mouse purchased</t>
  </si>
  <si>
    <t>pocha for office for cleaning purpose</t>
  </si>
  <si>
    <t>for  angle rod for nuw plex</t>
  </si>
  <si>
    <t>flug and pipes at jpmc</t>
  </si>
  <si>
    <t>marib for december 17</t>
  </si>
  <si>
    <t>photocopy drawing for falcon</t>
  </si>
  <si>
    <t>cash taken for office stuff</t>
  </si>
  <si>
    <t>paid to farhan shb</t>
  </si>
  <si>
    <t>sadqa</t>
  </si>
  <si>
    <t>paid to bilal for charity sadqa purpose</t>
  </si>
  <si>
    <t>paetty cash falcon</t>
  </si>
  <si>
    <t>soup for sir rehman fro eton</t>
  </si>
  <si>
    <t>Eton , TRG and center point</t>
  </si>
  <si>
    <t>for falcon drawings</t>
  </si>
  <si>
    <t>nue plex draiwngs</t>
  </si>
  <si>
    <t>Minhaal returned cash after nuemultiplex purchasing</t>
  </si>
  <si>
    <t>2 printer refill and 2 printer balde change</t>
  </si>
  <si>
    <t>nueplex</t>
  </si>
  <si>
    <t>paid for riksahw fare for grills</t>
  </si>
  <si>
    <t>chemicon</t>
  </si>
  <si>
    <t>for zahabiya for jpmc</t>
  </si>
  <si>
    <t>for petrol and cigratte</t>
  </si>
  <si>
    <t>lassi and samosay</t>
  </si>
  <si>
    <t>fruit for bilal on 28 dec</t>
  </si>
  <si>
    <t>tissue 2 box</t>
  </si>
  <si>
    <t>rehman shb lunch on 28 dec</t>
  </si>
  <si>
    <t>rehman shb lunch on 29 dec</t>
  </si>
  <si>
    <t>fruit for bilal on 27 dec</t>
  </si>
  <si>
    <t>fruit for bilal bhai on 29 dec</t>
  </si>
  <si>
    <t>ehsan traders</t>
  </si>
  <si>
    <t>paid for jpmc fans remaining balance</t>
  </si>
  <si>
    <t>paid for spar gyser remaining balance</t>
  </si>
  <si>
    <t>mobile super card</t>
  </si>
  <si>
    <t>purchased a3 envelop for office</t>
  </si>
  <si>
    <t>cash received from minhaal c/o bilal</t>
  </si>
  <si>
    <t>paid from office to nueplex</t>
  </si>
  <si>
    <t>cash hold with imran engg</t>
  </si>
  <si>
    <t>paid for MHR home</t>
  </si>
  <si>
    <t>claimed fuel for mhr home visit 2 times</t>
  </si>
  <si>
    <t>his old cash remaining</t>
  </si>
  <si>
    <t>cash taken for monthly tea expenses November 17</t>
  </si>
  <si>
    <t>hold with huzaifa</t>
  </si>
  <si>
    <t>paid for haji pharmacy medinces</t>
  </si>
  <si>
    <t>cash paid he will return invoices of zainab shabbir</t>
  </si>
  <si>
    <t>cash paid against his invoices</t>
  </si>
  <si>
    <t>mehmood for december by order imran engg</t>
  </si>
  <si>
    <t>nueplex drwing</t>
  </si>
  <si>
    <t>zeelaf munir drawing</t>
  </si>
  <si>
    <t>zeelaf munir drawing 2nd time</t>
  </si>
  <si>
    <t>cash taken for multi nueplex</t>
  </si>
  <si>
    <t>for misc expenses</t>
  </si>
  <si>
    <t>cash for glue at nueplex</t>
  </si>
  <si>
    <t>to talha office for dec 17</t>
  </si>
  <si>
    <t>soup (sabon)</t>
  </si>
  <si>
    <t>drinking plastic bottle</t>
  </si>
  <si>
    <t>bilal fruit and lassi for ali and zia</t>
  </si>
  <si>
    <t>ufone super card 2nd time,  mistakely card sent to another num</t>
  </si>
  <si>
    <t>suger and surf</t>
  </si>
  <si>
    <t>furit and cigrate for bilal</t>
  </si>
  <si>
    <t>fruit for bilal</t>
  </si>
  <si>
    <t>suger &amp; tea</t>
  </si>
  <si>
    <t>furnyle for cleaning purpose</t>
  </si>
  <si>
    <t>wiper for cleaning purpose</t>
  </si>
  <si>
    <t>claimed fuel for bolten sohra peer and smc</t>
  </si>
  <si>
    <t>monthly mobile card for january 18 claimed</t>
  </si>
  <si>
    <t>claimed fuel for december 17</t>
  </si>
  <si>
    <t>for cloth at nureplex, rikshaw 400 labour 200 and fuel 100</t>
  </si>
  <si>
    <t>glass work at office, bilal bhai room door and glass holes</t>
  </si>
  <si>
    <t>paid to umer for 3 car wash</t>
  </si>
  <si>
    <t>cash taken from haneef for nueplex purchasinf</t>
  </si>
  <si>
    <t>cash taken from salary</t>
  </si>
  <si>
    <t>returned cash to haneef</t>
  </si>
  <si>
    <t>paid for LED projector purchasing from daraz online by order nadeem bhai</t>
  </si>
  <si>
    <t>paid for voucher printing remaining balance at falcon mall</t>
  </si>
  <si>
    <t>for purchasing canvas cloth weldiong cable, grinder work</t>
  </si>
  <si>
    <t>claimed fuel at jpmc</t>
  </si>
  <si>
    <t>cash teken</t>
  </si>
  <si>
    <t>1st floor gas bill</t>
  </si>
  <si>
    <t>for file printing</t>
  </si>
  <si>
    <t>tissue 2 boxes</t>
  </si>
  <si>
    <t>garbage shoppers</t>
  </si>
  <si>
    <t xml:space="preserve">claimed fuel at indus </t>
  </si>
  <si>
    <t>cash teken for wooden sleaves</t>
  </si>
  <si>
    <t>cash taken for Naarial cutting from trees at MHR home</t>
  </si>
  <si>
    <t>for stamp paper</t>
  </si>
  <si>
    <t>paid for computer repair</t>
  </si>
  <si>
    <t>purchased tender rehman packaginf from SMC</t>
  </si>
  <si>
    <t>purchased tender IMTIAZ super market at defence from Y.H</t>
  </si>
  <si>
    <t>waris salary</t>
  </si>
  <si>
    <t>corrier for BOQ sent to multan pace and pace mall</t>
  </si>
  <si>
    <t>rikshaw fare for kumail younus site</t>
  </si>
  <si>
    <t>for zahabiya antifungus</t>
  </si>
  <si>
    <t>paid for insulation work at neplex</t>
  </si>
  <si>
    <t>paid for EFU material</t>
  </si>
  <si>
    <t>cloth, glue, red paint nut bolt, welding glass and gloves measurung tapes</t>
  </si>
  <si>
    <t>paid for nuweplex drawings</t>
  </si>
  <si>
    <t>claimed fuel for airport going</t>
  </si>
  <si>
    <t>kamran auto for january 18</t>
  </si>
  <si>
    <t>khalid for january 18</t>
  </si>
  <si>
    <t>for nuemulti purchasing</t>
  </si>
  <si>
    <t>cash taken from shop rent received</t>
  </si>
  <si>
    <t>Farid</t>
  </si>
  <si>
    <t>paid for fire fighting pipe work at nuemultiplex</t>
  </si>
  <si>
    <t>photocopy for imtiaz tender</t>
  </si>
  <si>
    <t>zeelaf munir drawings</t>
  </si>
  <si>
    <t>claimed fuel for drop imtiaz tender to yH</t>
  </si>
  <si>
    <t>cash paid at zainab shabbir he will return invoices</t>
  </si>
  <si>
    <t>cash for kumail villa by order nadeem bhai</t>
  </si>
  <si>
    <t>mubashira nadeem cheq</t>
  </si>
  <si>
    <t>cash taken for fees for ahmed and easha</t>
  </si>
  <si>
    <t>cash taken for jpmc</t>
  </si>
  <si>
    <t>bakhti for jan 18</t>
  </si>
  <si>
    <t>imtiaz filled boq photocopy</t>
  </si>
  <si>
    <t>re-writeable cd for efu as built drawings</t>
  </si>
  <si>
    <t>biskuit for nadeem bhai</t>
  </si>
  <si>
    <t>purchased zahabiya</t>
  </si>
  <si>
    <t>given to kamran elec for office small pending works</t>
  </si>
  <si>
    <t>for nut bolt to office</t>
  </si>
  <si>
    <t>claimed monthly lunch expenses</t>
  </si>
  <si>
    <t>for zahabiya paints</t>
  </si>
  <si>
    <t>for jpmc looking mirror 14 nos</t>
  </si>
  <si>
    <t>lassi for sir rehman guest</t>
  </si>
  <si>
    <t>lemon maz baar</t>
  </si>
  <si>
    <t>for telefone data cable pins</t>
  </si>
  <si>
    <t>chaat for nadeem iqbal and ali exteem</t>
  </si>
  <si>
    <t>cash taken from kamran elec</t>
  </si>
  <si>
    <t>paid to faizan for bilal bhai tickets to islamabad total 22000</t>
  </si>
  <si>
    <t>cash taken from imran office after purchaing nut bolt</t>
  </si>
  <si>
    <t>imran office for jan 18</t>
  </si>
  <si>
    <t>iqrar salary for the month dec 17 for 7 days and 13 hrs OT</t>
  </si>
  <si>
    <t>paid remaining salary</t>
  </si>
  <si>
    <t>remaining cash taken</t>
  </si>
  <si>
    <t>claimed suzuki fare for burnt geyser shifted fro kumail to Ehsan trd then ehsan to kumail</t>
  </si>
  <si>
    <t>paid for cylinder at jpmc</t>
  </si>
  <si>
    <t>claimed fuel for jpmc</t>
  </si>
  <si>
    <t>nabeel auto cad for jan 18</t>
  </si>
  <si>
    <t>for cement for office toilet</t>
  </si>
  <si>
    <t>for ladder kiraya</t>
  </si>
  <si>
    <t>paid ata naveed malok site</t>
  </si>
  <si>
    <t>paid for medicine</t>
  </si>
  <si>
    <t>millk powder</t>
  </si>
  <si>
    <t>fruit</t>
  </si>
  <si>
    <t>sprirl binding of chiller catelog falcon mall and copy</t>
  </si>
  <si>
    <t>adeel FTC salary</t>
  </si>
  <si>
    <t>remaining cash paid after nueplex purchaising</t>
  </si>
  <si>
    <t>for air filter and oil filter  pump at EFU</t>
  </si>
  <si>
    <t xml:space="preserve">biskuit, photocopy, hand soup, </t>
  </si>
  <si>
    <t>tea bags &amp; cofee</t>
  </si>
  <si>
    <t>drawings for zeelaf munir</t>
  </si>
  <si>
    <t>to arsalan for jan 18 given by minhaal</t>
  </si>
  <si>
    <t>for nueplex purchasing</t>
  </si>
  <si>
    <t>cash taken for naveed malik site by order nadeem iqbal</t>
  </si>
  <si>
    <t>haji pharmacy and fuel</t>
  </si>
  <si>
    <t>claimed fuel for given to shafqat bilal</t>
  </si>
  <si>
    <t>falcon drawings copy</t>
  </si>
  <si>
    <t>nueplex measurment copy</t>
  </si>
  <si>
    <t>steel craft and haseen habeeb submittal copy</t>
  </si>
  <si>
    <t>paid cash for spar old invoices of ali khalid</t>
  </si>
  <si>
    <t>cash for fuel claimed last month</t>
  </si>
  <si>
    <t>purchased stamp papers 1 for seasonmaster and 2nd for shop agrement renewal</t>
  </si>
  <si>
    <t>paid for nueplex purchasing</t>
  </si>
  <si>
    <t>for material</t>
  </si>
  <si>
    <t>utilities bill</t>
  </si>
  <si>
    <t>MHR home  9450   and office     12044</t>
  </si>
  <si>
    <t>take petty cash</t>
  </si>
  <si>
    <t>for guard</t>
  </si>
  <si>
    <t>paid K electric bill c/o nadeem iqbal</t>
  </si>
  <si>
    <t>for purchasing</t>
  </si>
  <si>
    <t>falcon mall drawings</t>
  </si>
  <si>
    <t xml:space="preserve">cash taken for office washroom </t>
  </si>
  <si>
    <t>paid W-tribe bill at jpmc</t>
  </si>
  <si>
    <t>claimed for wash bilal bhai car</t>
  </si>
  <si>
    <t>talha for jan 18</t>
  </si>
  <si>
    <t>lassi and smosay for rashid miqdad wala</t>
  </si>
  <si>
    <t>fruit fro bilal</t>
  </si>
  <si>
    <t>for raiti and bajri for office washroom</t>
  </si>
  <si>
    <t>claimed fuel + parking , office to Tower to Nueplex to office, and then office to bank</t>
  </si>
  <si>
    <t>ahmed ali for jan 18</t>
  </si>
  <si>
    <t>nueplex drawings</t>
  </si>
  <si>
    <t>cash for nueplex purchasing</t>
  </si>
  <si>
    <t>bulb purchased at jpmc site 4 Nos</t>
  </si>
  <si>
    <t>paid for mhr home newspaper</t>
  </si>
  <si>
    <t>abdur rehman</t>
  </si>
  <si>
    <t>Cash taken from sir rehman by order nadeem iqbal</t>
  </si>
  <si>
    <t>take petty cash by order nadeem iqbal</t>
  </si>
  <si>
    <t>amir for jan 18</t>
  </si>
  <si>
    <t>allied drawings</t>
  </si>
  <si>
    <t>claimed fuel for allied engg</t>
  </si>
  <si>
    <t>paid for jan 18</t>
  </si>
  <si>
    <t>bilal bhai tickets</t>
  </si>
  <si>
    <t>paid advance at naveed malik</t>
  </si>
  <si>
    <t>cash taken for lunch for abdur rehman and ahmed</t>
  </si>
  <si>
    <t>jpmc drawing 2nd time</t>
  </si>
  <si>
    <t>amjad bhai for jan 18</t>
  </si>
  <si>
    <t>purchased duct sealent</t>
  </si>
  <si>
    <t>cash taken by hand amjad ustaad</t>
  </si>
  <si>
    <t>paid for misc invoices</t>
  </si>
  <si>
    <t>for nueplex for nuts and hold tite</t>
  </si>
  <si>
    <t>claimed fuel for two times from jpmc to office</t>
  </si>
  <si>
    <t>cash paid for efu purchasing by order nadeem bhai</t>
  </si>
  <si>
    <t>paid for material purchased for scar folding from mughal iron for falcon mall</t>
  </si>
  <si>
    <t>for meter for falcon mall site</t>
  </si>
  <si>
    <t>for purchasing of fire pump filter at efu</t>
  </si>
  <si>
    <t>perwaz for jan 18</t>
  </si>
  <si>
    <t>for testing and calibration of meter</t>
  </si>
  <si>
    <t>jhaaroo</t>
  </si>
  <si>
    <t>bulb and holder for office washroom</t>
  </si>
  <si>
    <t>cash paid for purchasing</t>
  </si>
  <si>
    <t>cash return to sir rehman</t>
  </si>
  <si>
    <t>Imran return cash after calibration of KESC bill</t>
  </si>
  <si>
    <t>cash for prv month tea and other stuff element heater pin</t>
  </si>
  <si>
    <t>for flush tank and wash basin</t>
  </si>
  <si>
    <t>milkpowder</t>
  </si>
  <si>
    <t>dettol</t>
  </si>
  <si>
    <t>furnayle</t>
  </si>
  <si>
    <t>corrier sheheryar hpyer BOQ and retention letter</t>
  </si>
  <si>
    <t>paid for rishwat to KESC for calibration</t>
  </si>
  <si>
    <t>cash taken from bilal habib</t>
  </si>
  <si>
    <t>paid at jpmc</t>
  </si>
  <si>
    <t>sir rehman mobile balance</t>
  </si>
  <si>
    <t>suzuki fare from ftc to office</t>
  </si>
  <si>
    <t>paid nadeem bhai home utilities bills</t>
  </si>
  <si>
    <t>cash for pump repairing</t>
  </si>
  <si>
    <t xml:space="preserve">claimed fuel for sir rehman banglow </t>
  </si>
  <si>
    <t>paid for electric items for falcon meter</t>
  </si>
  <si>
    <t>kamran auto for printing drawing nueplex</t>
  </si>
  <si>
    <t>paid for sir rehman lcd remaining balance</t>
  </si>
  <si>
    <t>refershment at FTC</t>
  </si>
  <si>
    <t>shopper purchased for garbage purpose</t>
  </si>
  <si>
    <t>umer</t>
  </si>
  <si>
    <t>MCB chq # 01596</t>
  </si>
  <si>
    <t>tasleem</t>
  </si>
  <si>
    <t>paid for masonery works</t>
  </si>
  <si>
    <t>for falcon purchasing</t>
  </si>
  <si>
    <t>water tanker, cable fees, spray and fuel claimed by sir rehman at mhr home</t>
  </si>
  <si>
    <t>jug, glass and knife for office</t>
  </si>
  <si>
    <t>drawing for nueplex</t>
  </si>
  <si>
    <t xml:space="preserve">chaat for nadeem iqbal </t>
  </si>
  <si>
    <t>shopper bags + stapler pins</t>
  </si>
  <si>
    <t>claimed for two car wash</t>
  </si>
  <si>
    <t>paid for hyperstar cash counter</t>
  </si>
  <si>
    <t>falcon drawings</t>
  </si>
  <si>
    <t>for plastic coating</t>
  </si>
  <si>
    <t>paid advance at hyper star cash counter work</t>
  </si>
  <si>
    <t>shakeel duct</t>
  </si>
  <si>
    <t>paid to mazdoor at office</t>
  </si>
  <si>
    <t>amir salary increased from 18,000 to 23,000</t>
  </si>
  <si>
    <t>paid for ladder rent</t>
  </si>
  <si>
    <t>paid for samosay</t>
  </si>
  <si>
    <t>paid at naveed malik site</t>
  </si>
  <si>
    <t>Rs 500 hold with omer efu</t>
  </si>
  <si>
    <t>claimed mobile balance at jpmc approved by nadeem</t>
  </si>
  <si>
    <t>salary cash remained after all salaries paid</t>
  </si>
  <si>
    <t>nail cutter, lux soap, surf</t>
  </si>
  <si>
    <t>cofee</t>
  </si>
  <si>
    <t xml:space="preserve">fruit </t>
  </si>
  <si>
    <t>lunch for nadeem bhai channa and kabab</t>
  </si>
  <si>
    <t>paid for monthly lunch expenses at mhr personal</t>
  </si>
  <si>
    <t xml:space="preserve">paid to khalid bhai </t>
  </si>
  <si>
    <t>cash taken from imran office after red oxide paint for falcon</t>
  </si>
  <si>
    <t xml:space="preserve">cash paid to khalid </t>
  </si>
  <si>
    <t>nut bolt for isolator at falcon advance</t>
  </si>
  <si>
    <t>PRV cash carry frowart</t>
  </si>
  <si>
    <t>PRV cash carry froward</t>
  </si>
  <si>
    <t>Talha</t>
  </si>
  <si>
    <t>paid labour at falcon for K electric meter</t>
  </si>
  <si>
    <t>bakhti for feb 18</t>
  </si>
  <si>
    <t>paid for kumail villa purchasing lugs silicon and other items</t>
  </si>
  <si>
    <t>for shafia and rehana aunty doctor consultancy</t>
  </si>
  <si>
    <t>paid for haji pharmacy and fuel claimed</t>
  </si>
  <si>
    <t>reshid boy</t>
  </si>
  <si>
    <t>paid shaf fess</t>
  </si>
  <si>
    <t>for nue plexx drwaings</t>
  </si>
  <si>
    <t>laser marking machine for falcon</t>
  </si>
  <si>
    <t>angle pipe from mughal iron suzuki fare 600 labour 100</t>
  </si>
  <si>
    <t>nabeel for jan 18</t>
  </si>
  <si>
    <t>umer efu</t>
  </si>
  <si>
    <t>paid for EBM purchasing Tools and other items</t>
  </si>
  <si>
    <t>cash paid for burhani mehal by ordered imran engg</t>
  </si>
  <si>
    <t>paid for AC installation work at office channel patti tape,drain pipe rawal bolt and ladder fare</t>
  </si>
  <si>
    <t>csah hold with imran</t>
  </si>
  <si>
    <t>tender tabros pharma</t>
  </si>
  <si>
    <t>cash paid invoice given</t>
  </si>
  <si>
    <t>paid advance in hyper cash counter job</t>
  </si>
  <si>
    <t>paid for labouring at office tiles and other</t>
  </si>
  <si>
    <t>rehana aunty mobile jazz card</t>
  </si>
  <si>
    <t>corries pso staff data</t>
  </si>
  <si>
    <t>chola chaat</t>
  </si>
  <si>
    <t>nabeel</t>
  </si>
  <si>
    <t>cash returned by minhaal after purchasing</t>
  </si>
  <si>
    <t>purchased office washroom fittings</t>
  </si>
  <si>
    <t>fruit on 15th feb</t>
  </si>
  <si>
    <t>kitchen Led power and data cable</t>
  </si>
  <si>
    <t>A4 paper rims</t>
  </si>
  <si>
    <t>take petty cash car repair</t>
  </si>
  <si>
    <t>huzaifa paid to azaad for material</t>
  </si>
  <si>
    <t>dinner on Friday Rehan azeem kamran and umer off</t>
  </si>
  <si>
    <t>for miqdad mo extra work bill photo copy</t>
  </si>
  <si>
    <t>shopper</t>
  </si>
  <si>
    <t>tabros tender photo copy</t>
  </si>
  <si>
    <t>SST paid and photo copy</t>
  </si>
  <si>
    <t>storm fiber static id fees paid</t>
  </si>
  <si>
    <t>to asif efu by order nadeem bhai</t>
  </si>
  <si>
    <t>for sultan rubber ramaining balance</t>
  </si>
  <si>
    <t>hold with imran</t>
  </si>
  <si>
    <t>drawings copy nueplex</t>
  </si>
  <si>
    <t>chitkhni</t>
  </si>
  <si>
    <t>dettol for cleaning purpose</t>
  </si>
  <si>
    <t>paid for civil work at hyper star cash counter job</t>
  </si>
  <si>
    <t>paid salary rs 700 to stair cleaner</t>
  </si>
  <si>
    <t>paid for fuel expenses</t>
  </si>
  <si>
    <t>paid advance now uptodate cash 30,000</t>
  </si>
  <si>
    <t>cash taken for misc purchasing</t>
  </si>
  <si>
    <t>paid to saeed lala for khaad (fertilizer) for home garden</t>
  </si>
  <si>
    <t>paid advance now uptodate cash 35000</t>
  </si>
  <si>
    <t>majic, gas cock and nut bolt at naved malik</t>
  </si>
  <si>
    <t>for office washroon fittings</t>
  </si>
  <si>
    <t>paid zakat to khurram</t>
  </si>
  <si>
    <t>paid for chiller descaling at Bank alfalah</t>
  </si>
  <si>
    <t>paid to farhan c/o nadeem iqbal for utilities bills</t>
  </si>
  <si>
    <t>paid for bank alfalah chiller descaling</t>
  </si>
  <si>
    <t>super card load</t>
  </si>
  <si>
    <t>for witribe payment at JPMC</t>
  </si>
  <si>
    <t>to khalid by order nadeem iqbal</t>
  </si>
  <si>
    <t>petty cash for naveed malik</t>
  </si>
  <si>
    <t>bun, bread and makhan &amp; biskuit for sir rehman</t>
  </si>
  <si>
    <t>tea bag and suger</t>
  </si>
  <si>
    <t>cash for burhani mehal by order imran engg</t>
  </si>
  <si>
    <t>cash for falcon minhaal</t>
  </si>
  <si>
    <t>mossi kauser</t>
  </si>
  <si>
    <t>paid for conveyance by order nadeem</t>
  </si>
  <si>
    <t>WASHROOM KUNDI</t>
  </si>
  <si>
    <t>soup and surf</t>
  </si>
  <si>
    <t>falcon controls drawings copy</t>
  </si>
  <si>
    <t>nueplex drawings photocopies</t>
  </si>
  <si>
    <t>office 17448   MHR home 10477</t>
  </si>
  <si>
    <t>paid at nuemultiplex</t>
  </si>
  <si>
    <t>paid now uptodate 46000</t>
  </si>
  <si>
    <t>for purchasing of nueplex site anti fungus checker plate and cut screw</t>
  </si>
  <si>
    <t>claimed fuel, mobile card, and bike oil for 1 month</t>
  </si>
  <si>
    <t>cutting disc for nueplex</t>
  </si>
  <si>
    <t>Umer office</t>
  </si>
  <si>
    <t>paid salary in advance due to his mother operation by ordered sir rehman</t>
  </si>
  <si>
    <t>cash at naveed malik</t>
  </si>
  <si>
    <t>petty cash nueplex</t>
  </si>
  <si>
    <t>cash return minhaal</t>
  </si>
  <si>
    <t>paid for nitrogen gas at jpmc</t>
  </si>
  <si>
    <t>lassi</t>
  </si>
  <si>
    <t>drawing copyn nueplex</t>
  </si>
  <si>
    <t>drawing nueplex</t>
  </si>
  <si>
    <t>paid for office misc electrical items + bit</t>
  </si>
  <si>
    <t>office tape</t>
  </si>
  <si>
    <t>paid at naveed malik site (naya khaata chiller servise)</t>
  </si>
  <si>
    <t>paid by order nadeem iqbal</t>
  </si>
  <si>
    <t>cash paid for drwings copy</t>
  </si>
  <si>
    <t>cable pin for bilal bhai TV</t>
  </si>
  <si>
    <t xml:space="preserve">paid </t>
  </si>
  <si>
    <t>cash paid by ordered imran engg</t>
  </si>
  <si>
    <t>paid to bakhti for feb salary by order sir rehman</t>
  </si>
  <si>
    <t>shaaf</t>
  </si>
  <si>
    <t>haaji pharmacy and car shade bill claimed</t>
  </si>
  <si>
    <t>bilal bhai guests lunch + bilal bhai car punture</t>
  </si>
  <si>
    <t>rikshaw fare from office to nueplex and fuel claimed for bilal bhai work and nueplex and tender rec from clifton</t>
  </si>
  <si>
    <t>suger, electric fittingss fruit, bun, max soup, drawings</t>
  </si>
  <si>
    <t xml:space="preserve">mineral water </t>
  </si>
  <si>
    <t>file sepator</t>
  </si>
  <si>
    <t>ladder rent</t>
  </si>
  <si>
    <t>paid for nueplex insulation roll office to nuplex</t>
  </si>
  <si>
    <t>will give invoices office fittings</t>
  </si>
  <si>
    <t>Mhr home and office SSGc bill paid</t>
  </si>
  <si>
    <t>glue 22,200, cloth 19000, rikshaw 900, labour 200, fuel and parking 220</t>
  </si>
  <si>
    <t>for misc purchasing by order nadeem iqbal.</t>
  </si>
  <si>
    <t>cash paid for nueplex purchasing</t>
  </si>
  <si>
    <t>paid advance in hyper star cash counter job upto date is 83500+6000   = 89500+8000=97500</t>
  </si>
  <si>
    <t>cash paid actual paid  8380</t>
  </si>
  <si>
    <t>for fuel for sher shaw with nadeem iqbal</t>
  </si>
  <si>
    <t>paid at EFY by order nadeem iqbal</t>
  </si>
  <si>
    <t>zulfiqaur indus</t>
  </si>
  <si>
    <t>claimed fuel for indus hospital</t>
  </si>
  <si>
    <t>drwings bilala cad oprtr</t>
  </si>
  <si>
    <t>mob   pocha</t>
  </si>
  <si>
    <t>cleaning cloth</t>
  </si>
  <si>
    <t>Supply &amp; installation of M.S SCH 40 seamless pipe with related fittings such as tee, bend, elbow, reduser, valves, thermopore insulation flexible pipe connector, electric connections etc complete in all respect for installation of rental chiller.</t>
  </si>
  <si>
    <t xml:space="preserve">imran off </t>
  </si>
  <si>
    <t>claimed fuel for nueplex salaries drop</t>
  </si>
  <si>
    <t>saeed  lala fuel and medical fee claimed for aunty</t>
  </si>
  <si>
    <t>amjad ustaad for salary adv march 18 by order imran engg</t>
  </si>
  <si>
    <t>paid to  mujahid at jpmc</t>
  </si>
  <si>
    <t>paid for sizuki fare by order nadeem bhai</t>
  </si>
  <si>
    <t>claimed photocopes for temp log sheet at efu</t>
  </si>
  <si>
    <t>claimed fuel for misc site EBM and efu</t>
  </si>
  <si>
    <t>paid to ali khalid for spray at JB saeed</t>
  </si>
  <si>
    <t>Noman bhai salary envelop opened and used as petty cash</t>
  </si>
  <si>
    <t>cash returned by imran off after purchasing</t>
  </si>
  <si>
    <t>for ebm gas pipe purchasing</t>
  </si>
  <si>
    <t>nabeel for feb 2018</t>
  </si>
  <si>
    <t>car wash</t>
  </si>
  <si>
    <t>cash for bank alfalah chiller   uptodate 20,000</t>
  </si>
  <si>
    <t>everday and suger biskuit for nadeem</t>
  </si>
  <si>
    <t xml:space="preserve">tissue and soup </t>
  </si>
  <si>
    <t>fruit anfd cigraee</t>
  </si>
  <si>
    <t>duplicate key for nadeem bhai</t>
  </si>
  <si>
    <t>photocopy indus cch verified bills</t>
  </si>
  <si>
    <t>cash return by huzaifa for finalization his account</t>
  </si>
  <si>
    <t>paid to abid for adjustment of extra absent deduct</t>
  </si>
  <si>
    <t>gas cylinder</t>
  </si>
  <si>
    <t>to karmra auto for march 18</t>
  </si>
  <si>
    <t>claimed for riksahw fare</t>
  </si>
  <si>
    <t>nizaqat</t>
  </si>
  <si>
    <t>paid petty cash for jpmc site by order huzaifa</t>
  </si>
  <si>
    <t xml:space="preserve"> paid for prv remaining salary</t>
  </si>
  <si>
    <t>paid for A3 printer rapair and servicing</t>
  </si>
  <si>
    <t>paid to imran off for Karachi chamber of commerce fees</t>
  </si>
  <si>
    <t>paid final remaining balance</t>
  </si>
  <si>
    <t xml:space="preserve">rikshar fare for filter bag shifted to indus </t>
  </si>
  <si>
    <t>claimed fuel by aunty rehana rehman</t>
  </si>
  <si>
    <t>noman engg</t>
  </si>
  <si>
    <t>paid remaining balance of refreshment</t>
  </si>
  <si>
    <t>kamran burger</t>
  </si>
  <si>
    <t>zaheer sultan advocate corrier charges</t>
  </si>
  <si>
    <t>cholay chat nadeem and riaz uncle</t>
  </si>
  <si>
    <t xml:space="preserve">samosay </t>
  </si>
  <si>
    <t>claimed tea and refereshment at FTC floor by order nadeem iqbal</t>
  </si>
  <si>
    <t>furnyle and soup</t>
  </si>
  <si>
    <t xml:space="preserve">kingtox lal baig spray </t>
  </si>
  <si>
    <t xml:space="preserve">paid to kashif for march 18 by order huzaifa </t>
  </si>
  <si>
    <t>paid to khalid for march 18 by order nadeem bhai</t>
  </si>
  <si>
    <t xml:space="preserve">paid to shaeryar for march 18 by order huzaifa </t>
  </si>
  <si>
    <t>cash remained after nadeem bhai son fees paid</t>
  </si>
  <si>
    <t>this cash paid to bilal bhai when I went</t>
  </si>
  <si>
    <t>paid to rashid for AC for petty cash by order nadeem bhai</t>
  </si>
  <si>
    <t>petty cash for wheel &amp; fittings</t>
  </si>
  <si>
    <t>umer ebm</t>
  </si>
  <si>
    <t>claimed old gas pipe purchased remaining balance and fuel claimed</t>
  </si>
  <si>
    <t>ufone super card 520</t>
  </si>
  <si>
    <t>cash for tanki</t>
  </si>
  <si>
    <t>claimed fuel for EFU, Indus Bank &amp; JPMC</t>
  </si>
  <si>
    <t>paid newspaper bill at MHR personal home</t>
  </si>
  <si>
    <t>for farhan mehboob home pump repair</t>
  </si>
  <si>
    <t>claimed fuel for nueplex drawing which was printed 15 days ago</t>
  </si>
  <si>
    <t>salary cash</t>
  </si>
  <si>
    <t>bike oil changed and mobile card</t>
  </si>
  <si>
    <t>rikshaw fare for water tanki to nueplex and fuel</t>
  </si>
  <si>
    <t>glue , cutting disc, silver tape hold tite rikshaw fare and fuel claimed</t>
  </si>
  <si>
    <t>claimed fuel for nueplex YH and iqbal and bank</t>
  </si>
  <si>
    <t>cash take from salary cash</t>
  </si>
  <si>
    <t>claimed fuel by order nadeem iqbal</t>
  </si>
  <si>
    <t>cash paid for purchasing by order nadeem bhai</t>
  </si>
  <si>
    <t xml:space="preserve">3 car wash </t>
  </si>
  <si>
    <t>ibraheem fitings</t>
  </si>
  <si>
    <t>paid remaining bal of fitting at extra cinema work</t>
  </si>
  <si>
    <t>paid advance in account of naveed malik</t>
  </si>
  <si>
    <t>FBR letter corrier to zaohaib  two times</t>
  </si>
  <si>
    <t>office beauty soap</t>
  </si>
  <si>
    <t>cigrate</t>
  </si>
  <si>
    <t>stamp paper for 2nd and 3rd floor rent agreement renewal</t>
  </si>
  <si>
    <t>paid for misc expenses at MHR</t>
  </si>
  <si>
    <t>purcahsed nueplex</t>
  </si>
  <si>
    <t>claimed fuel  for allied 4 time bank and stamp paper and other sites</t>
  </si>
  <si>
    <t>ali nueplx</t>
  </si>
  <si>
    <t>paid to ali at nueplex for extra leave deduct</t>
  </si>
  <si>
    <t>paid to shakeel for cable tie at EFU</t>
  </si>
  <si>
    <t xml:space="preserve">surf, taizab, biskuit, cell </t>
  </si>
  <si>
    <t>drawing copy falcon</t>
  </si>
  <si>
    <t>tea for sher lala</t>
  </si>
  <si>
    <t>paid khalid bhai hyper purchasing</t>
  </si>
  <si>
    <t>newspaper bill at mhr</t>
  </si>
  <si>
    <t>shahzad helper</t>
  </si>
  <si>
    <t>DIB chq</t>
  </si>
  <si>
    <t xml:space="preserve">paid to bilal 10 rupees note </t>
  </si>
  <si>
    <t>Sweeper</t>
  </si>
  <si>
    <t>sweeper salary paid</t>
  </si>
  <si>
    <t>waris pool salary paid</t>
  </si>
  <si>
    <t>petty cash paid</t>
  </si>
  <si>
    <t>cash return by minhaal after purchasing</t>
  </si>
  <si>
    <t xml:space="preserve">office internet storm fiber bill paid </t>
  </si>
  <si>
    <t>paid by generator shifting from nasir to office</t>
  </si>
  <si>
    <t>cash paid for final his account</t>
  </si>
  <si>
    <t>cash paid will return invoices</t>
  </si>
  <si>
    <t>paid for extra leave deduction in last month of salary</t>
  </si>
  <si>
    <t>muslim shower pipe changed in office small washroom</t>
  </si>
  <si>
    <t>paid for office mineral water</t>
  </si>
  <si>
    <t>paid for generator service , oil changer, tuning service and fuel</t>
  </si>
  <si>
    <t xml:space="preserve">Riaz uncle </t>
  </si>
  <si>
    <t>paid for master shield at Hyper</t>
  </si>
  <si>
    <t>paid for tapes at nueplex</t>
  </si>
  <si>
    <t>umer office give hisab green tea, fruit tea bags, biskuit, tea, chaat for nadeem iqbal</t>
  </si>
  <si>
    <t>mcdonald drawings</t>
  </si>
  <si>
    <t>card, sheet, and platic tape for Indus log sheet arrangment</t>
  </si>
  <si>
    <t>Huzaifa salary used</t>
  </si>
  <si>
    <t xml:space="preserve">purchased tender imtiaz islamabad from YH </t>
  </si>
  <si>
    <t>claimed fuel for tender pic YH</t>
  </si>
  <si>
    <t>claimed fuel for SEM submittal and draswings</t>
  </si>
  <si>
    <t>give to minhaal for purchasing</t>
  </si>
  <si>
    <t>to sajjad salary advance april 18</t>
  </si>
  <si>
    <t>cash paid for purchsing</t>
  </si>
  <si>
    <t>sadqa charity</t>
  </si>
  <si>
    <t>umer give office hisab suger, stotch bright, petro for genertor 400, nic copy</t>
  </si>
  <si>
    <t>imtiaz islamabad BOQ photocopy</t>
  </si>
  <si>
    <t>drawing copy by talha</t>
  </si>
  <si>
    <t>cash for purchasing gave invoice</t>
  </si>
  <si>
    <t>give to minhaal for prv hisaab</t>
  </si>
  <si>
    <t>paid mazdoor to pathan at farhan banglow for 1 day</t>
  </si>
  <si>
    <t>claimed fuel for misc sites visit by order nadeem iqbal</t>
  </si>
  <si>
    <t>paid rs 5000 chq amount rs 25000</t>
  </si>
  <si>
    <t>falcon purchasing, mixing oil, nut bolt, red oxide, duct sealent and jpmc,  glue drum and cloth riksaw fare 900 fuel 100 labour 50</t>
  </si>
  <si>
    <t>nueplex purhasing, red oxide, burger paint anchor bolt, disc and zhodium rod rikshaw 500 fuel 100</t>
  </si>
  <si>
    <t>paid petty cash at farhan sahab banglow</t>
  </si>
  <si>
    <t>paid rs 1000 for his prvious hisab by ordered nadeem bhai</t>
  </si>
  <si>
    <t>cash paid for sst tax paid</t>
  </si>
  <si>
    <t>purchased CAD mouse</t>
  </si>
  <si>
    <t>shahid piping</t>
  </si>
  <si>
    <t>paid final amount</t>
  </si>
  <si>
    <t>asif for april 18</t>
  </si>
  <si>
    <t>fuel claimed two times bank 1 time national bank for SST tax and 1 time for YH for tender pick</t>
  </si>
  <si>
    <t>paid for jpmc purchasing</t>
  </si>
  <si>
    <t>take cash rs 200 he forgot to pick his wallet from home</t>
  </si>
  <si>
    <t>paid petty cash at hyper by order nadeem iqbal</t>
  </si>
  <si>
    <t>paid to khalid for petty cash</t>
  </si>
  <si>
    <t>paid for tender purchase mariot hotel</t>
  </si>
  <si>
    <t>cash paid by order nadeem bhai naveed malik</t>
  </si>
  <si>
    <t>nueplex drawings print and copy and claimed fuel</t>
  </si>
  <si>
    <t>nueplex drawings copy</t>
  </si>
  <si>
    <t>paid rs 28000 for office grass carpet</t>
  </si>
  <si>
    <t>DIB chq this chq made in favour of huzaifa but I took it as petty cash purpose</t>
  </si>
  <si>
    <t>umer office give hisab fruit, tea bags, cigratte pocha, furnule,  cleaning cloth, tea bags, dahi kela for nadeem bhai, buskuit</t>
  </si>
  <si>
    <t>bilal bhai personal chq given to imran off</t>
  </si>
  <si>
    <t>tape, mobile balance and fuel</t>
  </si>
  <si>
    <t>paid at naveed malik</t>
  </si>
  <si>
    <t>cash paid for petty purpose</t>
  </si>
  <si>
    <t>Kenwood AC</t>
  </si>
  <si>
    <t>paid for visit charges to kenwood representative mr Kashif</t>
  </si>
  <si>
    <t>cash for changeover at office</t>
  </si>
  <si>
    <t>sweeper salary adv</t>
  </si>
  <si>
    <t>ali extreem</t>
  </si>
  <si>
    <t>paid transportation charges rs 1500 for 2 units</t>
  </si>
  <si>
    <t>to kamran auto for april 18</t>
  </si>
  <si>
    <t>claimed misc purchasing at ftc site</t>
  </si>
  <si>
    <t>cash piad for petty purpose by order nadeem iqbal</t>
  </si>
  <si>
    <t>purchasing for nueplex and jpmc cloth, duct sealent, nut bolt, gasket rikshaw fare fuel parking labour</t>
  </si>
  <si>
    <t>cash taken from nadeem iqbal</t>
  </si>
  <si>
    <t>purchased A3 paper rim for drawings by imran off</t>
  </si>
  <si>
    <t xml:space="preserve">disc, pipe nipple, ms elbow, silver tape, dhaaga, </t>
  </si>
  <si>
    <t>sir rehman ticket frim islamabad to karachi</t>
  </si>
  <si>
    <t>Farhan c.o nadeem</t>
  </si>
  <si>
    <t>paid for utilities bill</t>
  </si>
  <si>
    <t>falcon and nueplex purchasing, silver tape, ms union pipe nipple, red oxide, mixing oil, nut bolt, rikhaw farm fuel, parking</t>
  </si>
  <si>
    <t>cash taken from bilal by imran</t>
  </si>
  <si>
    <t>cash taken from huzaifa by imran</t>
  </si>
  <si>
    <t>paid to mazdoor for farhan shb banglow</t>
  </si>
  <si>
    <t>for office washroon pipe and tissue holder</t>
  </si>
  <si>
    <t>lunch for nadeem iqbal</t>
  </si>
  <si>
    <t>lunch for nadeem bhai and riaz uncle</t>
  </si>
  <si>
    <t>falcon highlited drawings</t>
  </si>
  <si>
    <t>cash paid by order nadeem iqbal</t>
  </si>
  <si>
    <t>paid to zain communication for repairingg thumb machice and phone lines</t>
  </si>
  <si>
    <t>paid to imran after purcahsing of holdtite,cloth, glue, zhodium rod cash given 46000 and invoices given 53550</t>
  </si>
  <si>
    <t>cash received from Asfand khan</t>
  </si>
  <si>
    <t>paid petty cash</t>
  </si>
  <si>
    <t>paid for newspaper bill</t>
  </si>
  <si>
    <t>umer give office hisab suger, cigratte, gree tea , biskuit, shopper, fruit, photocpy, tissue, surf, tea bags, ladder fare for ac dismantle</t>
  </si>
  <si>
    <t>for nueplex and jpmc purchaseing tape holsaw, bit and other items</t>
  </si>
  <si>
    <t>paid office bills 12925              mhr 12858</t>
  </si>
  <si>
    <t>paid for fuel in car</t>
  </si>
  <si>
    <t>claimed fuel efu to office, office to YH and iqbal sons Efu to office</t>
  </si>
  <si>
    <t>cash taken for brush</t>
  </si>
  <si>
    <t>paid petty cash for tape at hyper star</t>
  </si>
  <si>
    <t>cash paid for office AC outer</t>
  </si>
  <si>
    <t xml:space="preserve">zulfiqaur ftc </t>
  </si>
  <si>
    <t>paid for jobilee clip for multiplex</t>
  </si>
  <si>
    <t>mughal iron</t>
  </si>
  <si>
    <t>to omer office by order sir rehman</t>
  </si>
  <si>
    <t>cash paid for angle at nuemultiplex</t>
  </si>
  <si>
    <t>paid cash to minhaal for light at falcon mall</t>
  </si>
  <si>
    <t>salary adv to khalid for april  18</t>
  </si>
  <si>
    <t>cash paid for prv balance fuel, water tank and misc expenses</t>
  </si>
  <si>
    <t>claimed for generator oil</t>
  </si>
  <si>
    <t>imran claimed  for rikshaw fare from ftc to office 100, 50 for bilal car air, and 50 for fuel</t>
  </si>
  <si>
    <t>Rafay</t>
  </si>
  <si>
    <t xml:space="preserve">paid for connector and other items at indus CCH by order nadeem bhai </t>
  </si>
  <si>
    <t>claimed fuel for imtiaz tender drop and YH for submittal</t>
  </si>
  <si>
    <t>paid for purchasing</t>
  </si>
  <si>
    <t>charging cable</t>
  </si>
  <si>
    <t>mhr home</t>
  </si>
  <si>
    <t>kenwood 2nd AC visit charges</t>
  </si>
  <si>
    <t>A4 paper rim</t>
  </si>
  <si>
    <t>log sheet copy</t>
  </si>
  <si>
    <t>imtiaz</t>
  </si>
  <si>
    <t>imtiaz tender copy</t>
  </si>
  <si>
    <t>umer give hisaab, every daym suger cigratte, and other items</t>
  </si>
  <si>
    <t>gas bill paid</t>
  </si>
  <si>
    <t>office gas bill</t>
  </si>
  <si>
    <t>paid ssgc bill</t>
  </si>
  <si>
    <t>cash received from Asfand khan now complete 1,000,000/==</t>
  </si>
  <si>
    <t>SASA</t>
  </si>
  <si>
    <t>paid for transportation charges</t>
  </si>
  <si>
    <t>paid for tools and cahrging light at Tabba  will give invoices</t>
  </si>
  <si>
    <t>silver tape 5 carton</t>
  </si>
  <si>
    <t xml:space="preserve">glue  and pop ribbet </t>
  </si>
  <si>
    <t>nueplex and jpmc dics, holtite and damur tape, glue drum, screw pana cutting disc and oth er items  riksahw fare,600 fuel 130 parking 20</t>
  </si>
  <si>
    <t>corrier mcdonald bill at lahore</t>
  </si>
  <si>
    <t>photocopy falcon verified bill</t>
  </si>
  <si>
    <t>hold cash with minhaal</t>
  </si>
  <si>
    <t>prv balance remaining by order nadeem bhai</t>
  </si>
  <si>
    <t>paid cash for FTC angle and fisher</t>
  </si>
  <si>
    <t>paid to kamran jamia by nadeem iqbal for his duty for chiller descaling at bank alfalah</t>
  </si>
  <si>
    <t>to amir jpmc for april 18</t>
  </si>
  <si>
    <t>cigratte and broast</t>
  </si>
  <si>
    <t>TCS cash counter bill to shyeryar at lahore</t>
  </si>
  <si>
    <t>marriot</t>
  </si>
  <si>
    <t>photo copy revised tender</t>
  </si>
  <si>
    <t>bakhti give hisaab. Misc kitchen exp soup, suger etc</t>
  </si>
  <si>
    <t xml:space="preserve">cash received </t>
  </si>
  <si>
    <t xml:space="preserve">misc </t>
  </si>
  <si>
    <t>DIB chq signed by sir rehman</t>
  </si>
  <si>
    <t>for home water tanker</t>
  </si>
  <si>
    <t>for home enery saver bulb</t>
  </si>
  <si>
    <t>claimed monthly lunch expenses for last 2 months</t>
  </si>
  <si>
    <t xml:space="preserve">for zeelaf banglow for misc expenses </t>
  </si>
  <si>
    <t>Faheem</t>
  </si>
  <si>
    <t>paid for 100 mm 3 core cable from hashim</t>
  </si>
  <si>
    <t>paid to faheem for misc electric item at nueplex</t>
  </si>
  <si>
    <t>cash returned by faheem</t>
  </si>
  <si>
    <t>petty cash paid sent thru nizaqat</t>
  </si>
  <si>
    <t xml:space="preserve">paid faisal masih salary  </t>
  </si>
  <si>
    <t>hotel tea and biskuit for saleem rigeer by order nadeem</t>
  </si>
  <si>
    <t>bakhti give hisaab, biskuit and other kitchen expe</t>
  </si>
  <si>
    <t>cash paid for CBC water tanker letter to azeez soharwardi</t>
  </si>
  <si>
    <t>cash paid for petty purpose by order nadeem iqbal</t>
  </si>
  <si>
    <t>omer ebm</t>
  </si>
  <si>
    <t>purchased blower for jpmc</t>
  </si>
  <si>
    <t>claimed fuel for ebm to office to jpmc to ebm</t>
  </si>
  <si>
    <t>omer office</t>
  </si>
  <si>
    <t>for 3 car wash</t>
  </si>
  <si>
    <t>nueplex and falcon purchasing bitumen tape, ms elbow, hold tite, , rikshaw fare, fuel and parking</t>
  </si>
  <si>
    <t>paid advance</t>
  </si>
  <si>
    <t>paid for petty cash</t>
  </si>
  <si>
    <t>bakhri give hisaab, suger, green tea, tea bags, and other stuff</t>
  </si>
  <si>
    <t>CASH REMAINED AFTER SALARIES</t>
  </si>
  <si>
    <t>purchasd rubber bush</t>
  </si>
  <si>
    <t>fuel claimed for many time office visit</t>
  </si>
  <si>
    <t>to bakhti by order sir rehman</t>
  </si>
  <si>
    <t>Amjad ustad</t>
  </si>
  <si>
    <t>remaining salary paid which is less put in his salary envelop</t>
  </si>
  <si>
    <t>faizan salary paid</t>
  </si>
  <si>
    <t>glue payment paid at nueplex</t>
  </si>
  <si>
    <t>cash paid for FTC</t>
  </si>
  <si>
    <t>claimed fuel for SEM engineer and nuplex and Y.H Associates</t>
  </si>
  <si>
    <t>bilal off</t>
  </si>
  <si>
    <t>claimed misc expenses verified by sir rehman</t>
  </si>
  <si>
    <t>falcon mall nut bolt threded rod rikshaw fare and fuel</t>
  </si>
  <si>
    <t>paid for mineral water bottles</t>
  </si>
  <si>
    <t>Used Noman Engg Salary</t>
  </si>
  <si>
    <t>World wide publishers</t>
  </si>
  <si>
    <t>paid because his chq was bounse due to sign differ</t>
  </si>
  <si>
    <t>claimed fuel for home order by sir rehman</t>
  </si>
  <si>
    <t>evry day</t>
  </si>
  <si>
    <t>tissue box 2 boxes</t>
  </si>
  <si>
    <t>mineral water nestle for water testing</t>
  </si>
  <si>
    <t xml:space="preserve">lock taaala for shop </t>
  </si>
  <si>
    <t xml:space="preserve">fruit for bilal bhai </t>
  </si>
  <si>
    <t>fuse for water testing machine</t>
  </si>
  <si>
    <t>paid for measuring tape at spar</t>
  </si>
  <si>
    <t xml:space="preserve"> nueplex purchasingelbow, socket, nut bolts, hold tite, tapes, riksahw fare fuel and parking claimed</t>
  </si>
  <si>
    <t xml:space="preserve">claimed rikshaw fare 280 for flexible shifting from iqbal to nueplex, and fuel 100 claimed </t>
  </si>
  <si>
    <t>cash taken for office a4 paper carton and pens</t>
  </si>
  <si>
    <t>SST Tax cheque used</t>
  </si>
  <si>
    <t>cash for air filters</t>
  </si>
  <si>
    <t>paid for storm fiber fees + fuel</t>
  </si>
  <si>
    <t>cash paid for zeelaf munir site</t>
  </si>
  <si>
    <t>purchased tape, glue drum claimed rikshaw fare, fuel and parking</t>
  </si>
  <si>
    <t>cash taken for petty purpose</t>
  </si>
  <si>
    <t>cash paid for log sheet printing</t>
  </si>
  <si>
    <t>paid for FCU installation at FTC</t>
  </si>
  <si>
    <t>remaining cash paid after purchasing</t>
  </si>
  <si>
    <t>storm fiber fees paid give to minhaal but he didn’t paid yet</t>
  </si>
  <si>
    <t>paid for purhcasing by order nadeem bhai</t>
  </si>
  <si>
    <t>claimed bike oil and mobile card</t>
  </si>
  <si>
    <t>purchased, ball valve 12600, flang and cutting disc 2490,  pipe nipple 1800 fuel 250 and parking 20</t>
  </si>
  <si>
    <t>bilal</t>
  </si>
  <si>
    <t>zeelaf drawing</t>
  </si>
  <si>
    <t>bakhti give hisaab, biskuit for nadeem, and lunhc for sir rehman</t>
  </si>
  <si>
    <t>to faheem baari at abm to april 18</t>
  </si>
  <si>
    <t>to mehmood for may 18</t>
  </si>
  <si>
    <t>nueplex purchaisng, brass valve, cutting disc, tape, and other items fuel 130 and parking 20</t>
  </si>
  <si>
    <t>jpmc wi ttibe bill paid</t>
  </si>
  <si>
    <t>nueplex purchasing, nut bolt, washerm fisherm, tape and holdtie fuel claimed and parking</t>
  </si>
  <si>
    <t>paid petty cash for islamuddin insulltion pic</t>
  </si>
  <si>
    <t>purchasinf fittings, valves and glue</t>
  </si>
  <si>
    <t>paid at emerald tower</t>
  </si>
  <si>
    <t>for car bumper repaired</t>
  </si>
  <si>
    <t>claimed bike maintenance</t>
  </si>
  <si>
    <t>for fuel claimed</t>
  </si>
  <si>
    <t>claimed fuel and water tanker by order sir rehman</t>
  </si>
  <si>
    <t>kitchen stuff purchased by faisal masih sweeper, jhaaro mop, pioson, finayle, surf, harpic.</t>
  </si>
  <si>
    <t>purchased whito</t>
  </si>
  <si>
    <t>claimed fule for YH and nueplex</t>
  </si>
  <si>
    <t>Used indus hospital filter chq</t>
  </si>
  <si>
    <t>purchased cloth, fisher, red oxide and burger paint riksahw fare and fuel and oarking</t>
  </si>
  <si>
    <t>salary adv to asif efu  by order nadeem</t>
  </si>
  <si>
    <t>for haaji pharmacy and medicines</t>
  </si>
  <si>
    <t>paid for nadeem bhai relative AC installation charges by order nadeem</t>
  </si>
  <si>
    <t>paid for purchasing at efu</t>
  </si>
  <si>
    <t>salary adv to bilal office</t>
  </si>
  <si>
    <t>claimed fuel for SEM office</t>
  </si>
  <si>
    <t>paid zakat to saeed lala</t>
  </si>
  <si>
    <t>paid zuzuki fare for air filter for indus hospital</t>
  </si>
  <si>
    <t>claimed fuel for air filter shifting</t>
  </si>
  <si>
    <t>purchased nueplex, drill bit, socket, cutting disc, karosine oil, fuel 130, parking 20</t>
  </si>
  <si>
    <t>Cash given to imran by bilal</t>
  </si>
  <si>
    <t>bakhti give hisab, soup, bilal bhai AC cell, photocopy</t>
  </si>
  <si>
    <t>bilal office</t>
  </si>
  <si>
    <t>multi plex drawings print</t>
  </si>
  <si>
    <t>claimed fuel for bill copy submitted to SEM</t>
  </si>
  <si>
    <t xml:space="preserve">salary adv to kamran auto </t>
  </si>
  <si>
    <t>claimed fuel for jpmc to office, office to Gizri for fan replace and then JPMC</t>
  </si>
  <si>
    <t>arsalan</t>
  </si>
  <si>
    <t>office ssgc bill paid</t>
  </si>
  <si>
    <t>mhr home ssgc bill paid</t>
  </si>
  <si>
    <t>solution tape, aari blade, pipe pana 700, hammer 120, screw driver 150, ladder fare 150</t>
  </si>
  <si>
    <t>paid to iftikhar for may 18</t>
  </si>
  <si>
    <t>to talha office for may 18</t>
  </si>
  <si>
    <t>Huzaifa cash used</t>
  </si>
  <si>
    <t>mangoes</t>
  </si>
  <si>
    <t>paid for mangoes patties at jpmc</t>
  </si>
  <si>
    <t>paid for tender purchased Kia lucky motor</t>
  </si>
  <si>
    <t>paid at ftc</t>
  </si>
  <si>
    <t>mobilink balance</t>
  </si>
  <si>
    <t>imran offf</t>
  </si>
  <si>
    <t>bakhti give hisaab, soup, cleaning cloth, lock open,</t>
  </si>
  <si>
    <t xml:space="preserve">CLAIMED for shaqfat office and iqram mughal </t>
  </si>
  <si>
    <t>claimed fuel for shafaqat and emarld tower 3rd time</t>
  </si>
  <si>
    <t>claimed fuel for shafaqat and emarld tower 2nd time</t>
  </si>
  <si>
    <t>claimed fuel by omer ebm for various sites and pick heater from zeelaf munir villa</t>
  </si>
  <si>
    <t>DIB chq sineg by sir rehman</t>
  </si>
  <si>
    <t>claimed fuel and medicine</t>
  </si>
  <si>
    <t xml:space="preserve">Claimed fuel </t>
  </si>
  <si>
    <t>paid salary to waris pool</t>
  </si>
  <si>
    <t>paid at zeelaf munir villa</t>
  </si>
  <si>
    <t>paid for burhani mehal</t>
  </si>
  <si>
    <t>paid for car wash 3 cars</t>
  </si>
  <si>
    <t xml:space="preserve">DIB chq </t>
  </si>
  <si>
    <t>fan purchased at nueplex</t>
  </si>
  <si>
    <t>loading / unloading at nueplex</t>
  </si>
  <si>
    <t>drawings print</t>
  </si>
  <si>
    <t>office sleeper purchased</t>
  </si>
  <si>
    <t>paid for falcon mall water supply</t>
  </si>
  <si>
    <t>atlantic blue</t>
  </si>
  <si>
    <t>storm fiber</t>
  </si>
  <si>
    <t>paid bill for the month of may</t>
  </si>
  <si>
    <t>paid for car service + oil change</t>
  </si>
  <si>
    <t>drawings print  zeelaf munir</t>
  </si>
  <si>
    <t>cash paid for utility bill</t>
  </si>
  <si>
    <t>cash  paid</t>
  </si>
  <si>
    <t>salary increased from 11000 to 13000</t>
  </si>
  <si>
    <t>cash paid for unilver ladder and welding material purchased</t>
  </si>
  <si>
    <t>s abdullah</t>
  </si>
  <si>
    <t>claimed fuel for bolten for disc and 3 times at bank</t>
  </si>
  <si>
    <t>faisal sweeper</t>
  </si>
  <si>
    <t>purcchased furnyle, tezab and other cleaning items</t>
  </si>
  <si>
    <t>paid fare from nasir to nueplex for material shifting</t>
  </si>
  <si>
    <t>paid fare from nasir to nueplex for material shifting 2nd time</t>
  </si>
  <si>
    <t>paid for suzuki fare for fan from SASA</t>
  </si>
  <si>
    <t>mobile balance to mibilink</t>
  </si>
  <si>
    <t>abid bonus used</t>
  </si>
  <si>
    <t>zohaib bonus used</t>
  </si>
  <si>
    <t>Engr noman bonus used</t>
  </si>
  <si>
    <t>huzaifa bonus used</t>
  </si>
  <si>
    <t>paid for unit installation at nueplex, by order bilal on phone</t>
  </si>
  <si>
    <t>paid to imran after verification of bilal bhai</t>
  </si>
  <si>
    <t>cash paid  nueplex for copper piping 2nd time</t>
  </si>
  <si>
    <t>cash paid for ftc by order nadeem</t>
  </si>
  <si>
    <t>paid suzuki fare fro utilities stores to office for rashan bags</t>
  </si>
  <si>
    <t xml:space="preserve">paid to rashid by order bilal nueplex </t>
  </si>
  <si>
    <t>cash he has given invoices</t>
  </si>
  <si>
    <t>cash for phoyocopies two times 1 time 1000 and 1 time 2000 sent thru owais</t>
  </si>
  <si>
    <t>paid for angle iron he will give  invoices</t>
  </si>
  <si>
    <t>to rafay (but its salary still contain error coz he didn’t submitted his salary card</t>
  </si>
  <si>
    <t>cash paid for photocopies</t>
  </si>
  <si>
    <t>fuel claimed for unilever</t>
  </si>
  <si>
    <t>cash hold with imran he will return invoices</t>
  </si>
  <si>
    <t>purchased  fittings by nadeem iqbal for naveed malik</t>
  </si>
  <si>
    <t>paid by order nadeem iqbal on chand raat</t>
  </si>
  <si>
    <t>salary adv to imran off june 18 by order bilal</t>
  </si>
  <si>
    <t>salary adv paid to talha june 18</t>
  </si>
  <si>
    <t>paid for nueplex purchasing cleared</t>
  </si>
  <si>
    <t>paid for nueplex cleared</t>
  </si>
  <si>
    <t>cash paid at naveed malik by order nadeem cleared</t>
  </si>
  <si>
    <t>for duct sealent at nueplex</t>
  </si>
  <si>
    <t xml:space="preserve">shehryar </t>
  </si>
  <si>
    <t>SST Tax</t>
  </si>
  <si>
    <t>paid SST tax</t>
  </si>
  <si>
    <t>bakhti give hisab, soup, , photocopy, buskuit and other items</t>
  </si>
  <si>
    <t>silver marker</t>
  </si>
  <si>
    <t>lassi for nadeem bhai guest</t>
  </si>
  <si>
    <t>GI sheet cutting</t>
  </si>
  <si>
    <t>claimed fuel for allied engg 2 times, bank, and for market</t>
  </si>
  <si>
    <t>ladder,holdtite, rikshaw fare 300, fuel 130 , parking 20</t>
  </si>
  <si>
    <t>for hold tile he will return invoices</t>
  </si>
  <si>
    <t xml:space="preserve">unilever drawings prints drawing print </t>
  </si>
  <si>
    <t>lunch and dairy milk chocolate</t>
  </si>
  <si>
    <t>paid for naveed malik by order nadeem bhai he will give invoices</t>
  </si>
  <si>
    <t>purchased silver tape, union, nipple, stariner, for nueplex fuel and parking 180</t>
  </si>
  <si>
    <t>lunch dairy milk, black pepper, dhai salad for ebad</t>
  </si>
  <si>
    <t>photo copy unilever submittal</t>
  </si>
  <si>
    <t>paid eidi to faisal sweeper</t>
  </si>
  <si>
    <t xml:space="preserve">purchased duct sealent for nueplex </t>
  </si>
  <si>
    <t>zahabiya paint</t>
  </si>
  <si>
    <t>paid for office AC</t>
  </si>
  <si>
    <t>claimed super card for bilal bhai and fuel claimed</t>
  </si>
  <si>
    <t xml:space="preserve">paid for nueplex purchasing valve, nut bolt washer, disc, glue, strainer </t>
  </si>
  <si>
    <t>sprial binding photocopy and cd for KIA lucky motors tender</t>
  </si>
  <si>
    <t>imran  off</t>
  </si>
  <si>
    <t>claimed fuel for falcon mall cooling tower document drop</t>
  </si>
  <si>
    <t>bakhti give hisaab, every day, green tea, 02 times</t>
  </si>
  <si>
    <t>lunch and lassi</t>
  </si>
  <si>
    <t>burger</t>
  </si>
  <si>
    <t xml:space="preserve">claimed fuel for chq collect for hardees chq, </t>
  </si>
  <si>
    <t>claimed fuel for SMC to Lucky office</t>
  </si>
  <si>
    <t>claimed fuel for shafqat to hbl emerald and parking</t>
  </si>
  <si>
    <t>paid to sir rehman for misc expenses</t>
  </si>
  <si>
    <t>level pipe, disc, labourer paid tea at zeelaf</t>
  </si>
  <si>
    <t>CASH PAID FOR PETTY PURPOSE</t>
  </si>
  <si>
    <t xml:space="preserve">drawing print and nueplex log sheet </t>
  </si>
  <si>
    <t>claimed fuel for sapphire</t>
  </si>
  <si>
    <t>paid for shehzor and suzuki fare</t>
  </si>
  <si>
    <t>to faheem bari</t>
  </si>
  <si>
    <t>taken from bilal bhai</t>
  </si>
  <si>
    <t xml:space="preserve">mhr home k elec bill </t>
  </si>
  <si>
    <t>mhr ptcl 1 bill</t>
  </si>
  <si>
    <t>office K elec bill ground floor</t>
  </si>
  <si>
    <t>office K elec bill 1st floor</t>
  </si>
  <si>
    <t>fuel claimed office to tariq road ac market to nueplex to antifungus market to nueplex</t>
  </si>
  <si>
    <t>claimed fuel office to yh to saddat to falcon</t>
  </si>
  <si>
    <t>for purchasing for falcon, nueplex and kaybees</t>
  </si>
  <si>
    <t>hold with imran off</t>
  </si>
  <si>
    <t>paid to  umer for plastic sheet</t>
  </si>
  <si>
    <t>padi to asif efu</t>
  </si>
  <si>
    <t>Kamran auto</t>
  </si>
  <si>
    <t xml:space="preserve">claimed fuel for rangoonwala </t>
  </si>
  <si>
    <t>For Selector for Efu</t>
  </si>
  <si>
    <t>chair repair</t>
  </si>
  <si>
    <t>riksahw fare from home to office</t>
  </si>
  <si>
    <t>bakhti give hisaab, tea bags suger, tissue soup print</t>
  </si>
  <si>
    <t>burger for ebad</t>
  </si>
  <si>
    <t>paid for purchasing glue, welding rod, bush riskaw fare 1300</t>
  </si>
  <si>
    <t xml:space="preserve">FOR NITO TAPE for office </t>
  </si>
  <si>
    <t>paid advance for chair repairing</t>
  </si>
  <si>
    <t>claimed fuel for bank and plastic sheet purchashe</t>
  </si>
  <si>
    <t>Rafeeq</t>
  </si>
  <si>
    <t>for zeelaf munir purchasing by order nadeem</t>
  </si>
  <si>
    <t>ptcl office bill</t>
  </si>
  <si>
    <t>claimed fuel for bolten and nueplex purchasing</t>
  </si>
  <si>
    <t>paid for chairs repair remaining balance</t>
  </si>
  <si>
    <t>claimed fuel for  2 times smc, shafqat office HBL and saddaat ofice</t>
  </si>
  <si>
    <t>zeelaf drawings print</t>
  </si>
  <si>
    <t>berger for bilal, ebad nadeem</t>
  </si>
  <si>
    <t>chocolate</t>
  </si>
  <si>
    <t>draing print</t>
  </si>
  <si>
    <t>nut bolt</t>
  </si>
  <si>
    <t>fuel and parking  claimed for bolten to jpmc to jubilee then home</t>
  </si>
  <si>
    <t>fuel claimed for wasiq office and parking</t>
  </si>
  <si>
    <t>cash paid for tank cover and salary advances</t>
  </si>
  <si>
    <t>claimed bus fare to FTC</t>
  </si>
  <si>
    <t>purchasd safety shoes</t>
  </si>
  <si>
    <t>purchased office electric work fittings from gizri</t>
  </si>
  <si>
    <t>paid for tesaab, tifon and cleaning bleach</t>
  </si>
  <si>
    <t>to bilal for june 18</t>
  </si>
  <si>
    <t>abdul rehman</t>
  </si>
  <si>
    <t>for lunch</t>
  </si>
  <si>
    <t>glue purchased glue 7200 and riksahw fare 300</t>
  </si>
  <si>
    <t>bike oil</t>
  </si>
  <si>
    <t>claimed fuel from office to falcon to II chudriger toad to bohra peer to saddar to falcon to home</t>
  </si>
  <si>
    <t>claimed fuel from office to sasa to DIB</t>
  </si>
  <si>
    <t>claimed fuel from office to zeelaf, to smc to office to jpmc to korangi to jpmc to office</t>
  </si>
  <si>
    <t>claimed fuel from office to giari to office to smc to bolten to zeelaf</t>
  </si>
  <si>
    <t>claimed rikshaw fare frrm jpmc to zeelaf for moving fittings</t>
  </si>
  <si>
    <t>claimed bilal bhai mini ufoce super card</t>
  </si>
  <si>
    <t>2 rupess revenue stamo</t>
  </si>
  <si>
    <t>paid to ebad</t>
  </si>
  <si>
    <t>paid to azeem for site expenses</t>
  </si>
  <si>
    <t>for sir rehman car wash</t>
  </si>
  <si>
    <t>for drawings print</t>
  </si>
  <si>
    <t>paid for  nut bolt at sapphire dolmen</t>
  </si>
  <si>
    <t>witribe</t>
  </si>
  <si>
    <t>billl paid at jpmc</t>
  </si>
  <si>
    <t>mhr ssgc bill paid</t>
  </si>
  <si>
    <t>unit purchased for nueplex</t>
  </si>
  <si>
    <t>paid for misc expenses at Zeelaf munir</t>
  </si>
  <si>
    <t>paid for utilities bill for farhan</t>
  </si>
  <si>
    <t>paid for utilities bill for nadeem bhai home</t>
  </si>
  <si>
    <t>naqash salary increased</t>
  </si>
  <si>
    <t>siddiq salary increased</t>
  </si>
  <si>
    <t>claimed fuel from office to ftc to bahadurbad al khidmat to office to qayyumabad</t>
  </si>
  <si>
    <t>paid riksahw fare for zeelaf material from ibraheem fittings</t>
  </si>
  <si>
    <t>drawing for sapphire</t>
  </si>
  <si>
    <t>drawing for unilever</t>
  </si>
  <si>
    <t>bakhti give hisab, grill lock, bilal burger, biskuit for nadeem and other items</t>
  </si>
  <si>
    <t>lunch for eabd</t>
  </si>
  <si>
    <t>for misc purchasing</t>
  </si>
  <si>
    <t>bus fare claimed</t>
  </si>
  <si>
    <t>give to bilal bhai</t>
  </si>
  <si>
    <t>kinggtox spray mortein spray  surf, harpic</t>
  </si>
  <si>
    <t>nueplex nut bolt</t>
  </si>
  <si>
    <t>bit 24mm</t>
  </si>
  <si>
    <t>labour for SC bolt work</t>
  </si>
  <si>
    <t>fuel and parking claimed for above purcashing</t>
  </si>
  <si>
    <t xml:space="preserve">mc scoket ms nipple union nut china bolt </t>
  </si>
  <si>
    <t>for mobile balance to his friend</t>
  </si>
  <si>
    <t>salahuddin salary paid</t>
  </si>
  <si>
    <t>shahid salary paid</t>
  </si>
  <si>
    <t>ahmed salary paid</t>
  </si>
  <si>
    <t>zulfiqaur 8 days salary paid in advance he is going for leave</t>
  </si>
  <si>
    <t>claimed misc and refereshment expenses at FTC floor</t>
  </si>
  <si>
    <t>claimed fuel for various sites</t>
  </si>
  <si>
    <t xml:space="preserve">paid for jpmc to indus </t>
  </si>
  <si>
    <t>paid to salahuddin for misc expenses at naveed malik</t>
  </si>
  <si>
    <t>bakhti give hisab, room spray, bilal bhai mobile mini super card, biskuit and misc kitchen expenses</t>
  </si>
  <si>
    <t>zeelaf draw</t>
  </si>
  <si>
    <t>sapphire drawing</t>
  </si>
  <si>
    <t>for bilal bhai, nadeem bhai  car wash</t>
  </si>
  <si>
    <t>padi for binding the file</t>
  </si>
  <si>
    <t>burger for nasir bhai, mustafa and bilal bhai and minhaal</t>
  </si>
  <si>
    <t>ufone mobile balance</t>
  </si>
  <si>
    <t>haris salary paid 12 days by confirmation thru jahangeer</t>
  </si>
  <si>
    <t>remaining balance paid</t>
  </si>
  <si>
    <t>waris salary paid</t>
  </si>
  <si>
    <t>qayyum remaining salary of may paid</t>
  </si>
  <si>
    <t>mobile balance ufone</t>
  </si>
  <si>
    <t xml:space="preserve">paid by order nadeem bhai </t>
  </si>
  <si>
    <t>paid shahid welder 6 days salary @ 20,000/month</t>
  </si>
  <si>
    <t>nueplex print</t>
  </si>
  <si>
    <t>bakhti, give hisab, suger, cigratte, green tea tea bags every day milk</t>
  </si>
  <si>
    <t>nueplex cash</t>
  </si>
  <si>
    <t>cash paid for site expenses</t>
  </si>
  <si>
    <t>july bill paid</t>
  </si>
  <si>
    <t>paid sst tax against 2 month FTC monthly bill, ftc FCU installation and spar final bill SST</t>
  </si>
  <si>
    <t>Azaad</t>
  </si>
  <si>
    <t>paid cash for jpmc by irder nadeem iqbal</t>
  </si>
  <si>
    <t>bakhti give hisab, misc expenses</t>
  </si>
  <si>
    <t>drawing print sapphire</t>
  </si>
  <si>
    <t>drawing print zeelaf</t>
  </si>
  <si>
    <t>nueplex log sheet print</t>
  </si>
  <si>
    <t>drawing print jpmc</t>
  </si>
  <si>
    <t>invoices</t>
  </si>
  <si>
    <t>riksahw fare  from shershaw to office fithing and other items</t>
  </si>
  <si>
    <t>fuel claimed for sadder to office office to shersha for fittings for nueplex from ibraheem</t>
  </si>
  <si>
    <t>(JPMC &amp; nueplex) ms union, motorized valve, flang,e lbow, pvc tape, zodium rod , nut bolt, rubber sheet rikshaw fare</t>
  </si>
  <si>
    <t>fuel claimed for above purchasing</t>
  </si>
  <si>
    <t>claimed uber fare from nasir bahi to office</t>
  </si>
  <si>
    <t>claimed fuel  off to shabbir to nueplx &amp; allied engg</t>
  </si>
  <si>
    <t>purchased aeroflex 1 1/4" for nueplex from shabbir</t>
  </si>
  <si>
    <t>(JPMC, &amp; nueplex) pipe wraping tape, zodium rod, ms fittings from abbas, ms bend  stariner and gate valve,  rikshaw fare</t>
  </si>
  <si>
    <t>saeed khan</t>
  </si>
  <si>
    <t>excavation work at jpmc ground floor</t>
  </si>
  <si>
    <t>to minhaal at july 18 by order bilal</t>
  </si>
  <si>
    <t>claimed rikshaw fare from iqbal to nueplex</t>
  </si>
  <si>
    <t>personal paid he will return</t>
  </si>
  <si>
    <t>JES</t>
  </si>
  <si>
    <t>paid for buitly Khujoor</t>
  </si>
  <si>
    <t>paid for zahabiya paint</t>
  </si>
  <si>
    <t>to arif dilawar and shahid fro july 18 at zeelaf munir</t>
  </si>
  <si>
    <t>cash paid ftc site</t>
  </si>
  <si>
    <t>to asif efu</t>
  </si>
  <si>
    <t>cash paid (10,000 + 8000)</t>
  </si>
  <si>
    <t>for ticket PIA sir rehman from multan to kar</t>
  </si>
  <si>
    <t>motor winding with asmature type, tapes and other items riksahe fare and fuel</t>
  </si>
  <si>
    <t>gasket, bolt and washer , ape, flang,  and cloth</t>
  </si>
  <si>
    <t>draing print  uniler and  jomc</t>
  </si>
  <si>
    <t>give office misc hisab</t>
  </si>
  <si>
    <t>jpmc drawin</t>
  </si>
  <si>
    <t xml:space="preserve">to kamran at july 18 </t>
  </si>
  <si>
    <t>Huzaifa 1st chq record</t>
  </si>
  <si>
    <t>for mhr home fridge</t>
  </si>
  <si>
    <t>Usman cool</t>
  </si>
  <si>
    <t>paid for copper pipe at jpmc</t>
  </si>
  <si>
    <t>1 time bank, 2 time nueplex, 1 time falcon, 2 time zeelaf, 1 time golimar, and iqbal sons and kaytess</t>
  </si>
  <si>
    <t>(JPMC, nuepelx and falcon)measurung tape, 20 thaan cloth for falcon, welding rod, pvc tape, black glass,  rikshaw fare and fuel</t>
  </si>
  <si>
    <t>misc purchases at jpmc</t>
  </si>
  <si>
    <t>zulfiqaur core</t>
  </si>
  <si>
    <t>paid at zeelaf munir for 7 cores</t>
  </si>
  <si>
    <t>welding gloves cutting disc rod  and bit for zeelaf</t>
  </si>
  <si>
    <t>ufine mobile balnce</t>
  </si>
  <si>
    <t>to bilal office july 18</t>
  </si>
  <si>
    <t>2nd chq</t>
  </si>
  <si>
    <t>Sikla</t>
  </si>
  <si>
    <t>paid for hangers and supports by order huzaifa</t>
  </si>
  <si>
    <t>Khan brothers</t>
  </si>
  <si>
    <t>Ashraf ducting</t>
  </si>
  <si>
    <t>paid  by huzaifa</t>
  </si>
  <si>
    <t>paid in agaisnt exhast fans</t>
  </si>
  <si>
    <t>in huzaifa account</t>
  </si>
  <si>
    <t>for purchasing karachi brosht</t>
  </si>
  <si>
    <t>burhani mehal cash</t>
  </si>
  <si>
    <t>asif piping</t>
  </si>
  <si>
    <t>paid cash at sapphire</t>
  </si>
  <si>
    <t>paid for hilti repairing</t>
  </si>
  <si>
    <t>to faisal sweeper for july 18</t>
  </si>
  <si>
    <t>shezore</t>
  </si>
  <si>
    <t>for fare from nasir to falcon for 6" pipe shifting</t>
  </si>
  <si>
    <t>cashpaid</t>
  </si>
  <si>
    <t>drawing print</t>
  </si>
  <si>
    <t>electric equipment for office</t>
  </si>
  <si>
    <t>epoxy paint with thiner amd hardner with brush</t>
  </si>
  <si>
    <t>cream taxi and fuel</t>
  </si>
  <si>
    <t>to bakhati for july 18</t>
  </si>
  <si>
    <t>omer</t>
  </si>
  <si>
    <t>claimed for bilal bhai cream car</t>
  </si>
  <si>
    <t>paid mhr and office ptcl bills</t>
  </si>
  <si>
    <t>faizan duct</t>
  </si>
  <si>
    <t>paid for unilever fire purchasing</t>
  </si>
  <si>
    <t>for efu kitchen expenses glass, spoon, cup and plates cleared</t>
  </si>
  <si>
    <t>for efu photocopies and paint brushes</t>
  </si>
  <si>
    <t>purchased sioft sealent for unilever</t>
  </si>
  <si>
    <t>Payable Amount</t>
  </si>
  <si>
    <t>to dilawar jjuly 18</t>
  </si>
  <si>
    <t>to arif july 18</t>
  </si>
  <si>
    <t>to shahid july 18</t>
  </si>
  <si>
    <t>inchi tape purcahsed</t>
  </si>
  <si>
    <t>bakhri give hisaab tea bags, every days, suer soaps.</t>
  </si>
  <si>
    <t>lunch and dahi phulki</t>
  </si>
  <si>
    <t xml:space="preserve">lunch </t>
  </si>
  <si>
    <t>light connecter by kamran elec</t>
  </si>
  <si>
    <t>sapphire draw</t>
  </si>
  <si>
    <t>office extention wire and board and electric item for kamran elec for office work</t>
  </si>
  <si>
    <t>nasir, bilal bhai , huzaifa and biskuit</t>
  </si>
  <si>
    <t>kamran elec burger</t>
  </si>
  <si>
    <t>calcee for bilal</t>
  </si>
  <si>
    <t>spiral binding nueplex balance sheet</t>
  </si>
  <si>
    <t>angle purchad for falcon site</t>
  </si>
  <si>
    <t>purchased epoxy paints for falcon mall</t>
  </si>
  <si>
    <t>purchawd nut bolt for jpmc</t>
  </si>
  <si>
    <t>for purchasing water tanker from ehsan traders</t>
  </si>
  <si>
    <t>rikshaw fare from inraheem fittings</t>
  </si>
  <si>
    <t>fuel cliamed  for july 18</t>
  </si>
  <si>
    <t>ahmed</t>
  </si>
  <si>
    <t>purchased mouse for computer</t>
  </si>
  <si>
    <t>claimed fuel for SMC and burhani mehal cash collection</t>
  </si>
  <si>
    <t>lunch for major imtiaz</t>
  </si>
  <si>
    <t>paid for purchasing cleared</t>
  </si>
  <si>
    <t>for VGA cable and camera connector</t>
  </si>
  <si>
    <t>remaining utilities bill paid</t>
  </si>
  <si>
    <t>paid to shahid for fotgee</t>
  </si>
  <si>
    <t>duct sealent 4 kg</t>
  </si>
  <si>
    <t>claimed fuel 2 times from jpmc</t>
  </si>
  <si>
    <t>electric rods</t>
  </si>
  <si>
    <t>nueplex as built drraings</t>
  </si>
  <si>
    <t>for rikshaw fare wrinch pana, and his remaining balance by order nadeem bhai</t>
  </si>
  <si>
    <t>to arif for july 18</t>
  </si>
  <si>
    <t>for purchasing by order nadeem bhai</t>
  </si>
  <si>
    <t>to zulfiqar for july 18</t>
  </si>
  <si>
    <t>site miecs expenses</t>
  </si>
  <si>
    <t>paid office bill</t>
  </si>
  <si>
    <t>mobile balacnce</t>
  </si>
  <si>
    <t>mobile balacnce ufone super card</t>
  </si>
  <si>
    <t>paid for pvc fittings for J jamshed shop</t>
  </si>
  <si>
    <t>to sheryar for july 18</t>
  </si>
  <si>
    <t>faheem ftc</t>
  </si>
  <si>
    <t>purchasd connecter and nuts</t>
  </si>
  <si>
    <t>claimed fuel from 26 july to 31 july</t>
  </si>
  <si>
    <t>ashraf</t>
  </si>
  <si>
    <t>lunch for sir rehman and bilal bhai and his gueest</t>
  </si>
  <si>
    <t>bakhti give hisab, tissue biskuit, green tea and other</t>
  </si>
  <si>
    <t xml:space="preserve">bilal bhai </t>
  </si>
  <si>
    <t>burger for nadeem bhai guest</t>
  </si>
  <si>
    <t>burger for bilal bhai and mustafa</t>
  </si>
  <si>
    <t>nut bolt and fuel claimed</t>
  </si>
  <si>
    <t>for C channel advance at zeelaf and 2000 suzuki fare</t>
  </si>
  <si>
    <t>paid for misc expenses at site order by bilal bhai</t>
  </si>
  <si>
    <t>to talha for july 18</t>
  </si>
  <si>
    <t xml:space="preserve">paid for farhan shb KESC  bill </t>
  </si>
  <si>
    <t>paid for FCU installation at nuelex</t>
  </si>
  <si>
    <t>cloth and glue for jpmc</t>
  </si>
  <si>
    <t>for medicine and injections</t>
  </si>
  <si>
    <t>for efu misc purchasing</t>
  </si>
  <si>
    <t>waris salry paid</t>
  </si>
  <si>
    <t>uniler wheel and light nueplex, fittingsd cloth and glue</t>
  </si>
  <si>
    <t>paid this cash given by imran off</t>
  </si>
  <si>
    <t>fuel claimed allied, nadeem bhai home, banks, anwar saddat, nueplex kaytess falcon</t>
  </si>
  <si>
    <t>rafay</t>
  </si>
  <si>
    <t>to amjad for august 18</t>
  </si>
  <si>
    <t>Core cutting</t>
  </si>
  <si>
    <t>Rajab</t>
  </si>
  <si>
    <t>for shifting for chiller</t>
  </si>
  <si>
    <t>claimed fuel for anwar sadaat , nueplex ph 8, anwar saddat shersah avaari falcon</t>
  </si>
  <si>
    <t>angle purchased</t>
  </si>
  <si>
    <t>at sapphire</t>
  </si>
  <si>
    <t>Huzaifa chq</t>
  </si>
  <si>
    <t>Taken from office salaries</t>
  </si>
  <si>
    <t>paid for site expenses by order nadeem bhai</t>
  </si>
  <si>
    <t>to kamran jamia for august 18</t>
  </si>
  <si>
    <t>for purchasing for cloth glue duct sealent for Sapphire</t>
  </si>
  <si>
    <t>cards printing and dori for unuilevere staff</t>
  </si>
  <si>
    <t>chicken mali boti and sandieich</t>
  </si>
  <si>
    <t>bakhti give 10 days hisan, lunch for sir rehman, suger, tea bags, biskuits,  soup  green tea and misc photocopies</t>
  </si>
  <si>
    <t>zeelaf drawing prints</t>
  </si>
  <si>
    <t>paid for shehzor and suzuki fare at site by rafay</t>
  </si>
  <si>
    <t>for efu logs printing</t>
  </si>
  <si>
    <t>paid for core cuttings by order imran engr</t>
  </si>
  <si>
    <t>purchasing, welding rod,  glloves, and other items</t>
  </si>
  <si>
    <t>for zeeelaf purchasing paint</t>
  </si>
  <si>
    <t>for purchasing for color and karosine oil for falcon</t>
  </si>
  <si>
    <t>for chicken biryani and rikshaw fare 300 and extra lunch 1000</t>
  </si>
  <si>
    <t>to abbas ishaq given by jahangeer</t>
  </si>
  <si>
    <t>to sheryar given by jahangeer</t>
  </si>
  <si>
    <t>paid for ibaraheem fitting shifting from office to zeelaf</t>
  </si>
  <si>
    <t>monthly lunch expenses by order sir rehman</t>
  </si>
  <si>
    <t>Majid AHU</t>
  </si>
  <si>
    <t>for AHUs repaiirng at the place</t>
  </si>
  <si>
    <t>excavation</t>
  </si>
  <si>
    <t>paid tho saeed mama for excavation work at jpmc</t>
  </si>
  <si>
    <t>material shifting from office to sapphire</t>
  </si>
  <si>
    <t>to talha for august 18</t>
  </si>
  <si>
    <t>paid july bill</t>
  </si>
  <si>
    <t>shifting of rods from office to the place phase 8</t>
  </si>
  <si>
    <t xml:space="preserve">claimed fuel  zeelaf, bohra peer, falcon nueplex anwar sadaat </t>
  </si>
  <si>
    <t>sir rehman claimed medicine and fuel</t>
  </si>
  <si>
    <t>Tender purchased</t>
  </si>
  <si>
    <t>J S center from najmi bilgraumi</t>
  </si>
  <si>
    <t>imran claimed mobile card and bike oil changed</t>
  </si>
  <si>
    <t>Minahl</t>
  </si>
  <si>
    <t>minhal claimed fuel from office to sadder to allied to office to tariq road</t>
  </si>
  <si>
    <t>minhal claimed fuel from office to abm to national bank to office to tariq road</t>
  </si>
  <si>
    <t xml:space="preserve">for light saver for MHR home </t>
  </si>
  <si>
    <t>for naveel malik site lmisc purcajsing</t>
  </si>
  <si>
    <t>bilal bhai tea</t>
  </si>
  <si>
    <t>claimed misc purchasing at sapphire</t>
  </si>
  <si>
    <t>paid for ac gas charges at farhan mehboob banglow</t>
  </si>
  <si>
    <t>mineral water at falcon mall</t>
  </si>
  <si>
    <t>paid for ftc tea blower repairer misc expenses</t>
  </si>
  <si>
    <t>MCB chq</t>
  </si>
  <si>
    <t>2 car wash</t>
  </si>
  <si>
    <t>to feroz sahab for august 18</t>
  </si>
  <si>
    <t>bakhti salary</t>
  </si>
  <si>
    <t>imran salary 29 days</t>
  </si>
  <si>
    <t>arif salary paid</t>
  </si>
  <si>
    <t>bilal autocad</t>
  </si>
  <si>
    <t>calcium tablets, cigratte and lunch</t>
  </si>
  <si>
    <t>drawing falcon</t>
  </si>
  <si>
    <t>bakhti give hisab, rehman shb lunch, tea bags, buskuits, suger, every day colour papers, and stamp pad ink</t>
  </si>
  <si>
    <t>paid for severage pipe line repair</t>
  </si>
  <si>
    <t>nut bolt ss for malik shb and glue fro jpmc</t>
  </si>
  <si>
    <t>claimed fuel and riksahw fare for glue drop to jpmc</t>
  </si>
  <si>
    <t>fisher and rawal bolt for nueplex johar site</t>
  </si>
  <si>
    <t>for mithai at unilever site by order nadeem bhai</t>
  </si>
  <si>
    <t>cash for personal</t>
  </si>
  <si>
    <t>noman engr</t>
  </si>
  <si>
    <t>paid to noman for office site expenses by order nadeem bhai</t>
  </si>
  <si>
    <t>fuel for sasa and prem submittal</t>
  </si>
  <si>
    <t>maxon chemical</t>
  </si>
  <si>
    <t>purchased tank bladder for naveed malik site</t>
  </si>
  <si>
    <t>to minhaal for nut bolt</t>
  </si>
  <si>
    <t>claimed fuel and disc purchased</t>
  </si>
  <si>
    <t>claimed his balance falcon and indus</t>
  </si>
  <si>
    <t>claimed  suzuki fare from falcon to office then zeelaf minur villa</t>
  </si>
  <si>
    <t>cash paid for falcon site sent thru azeem by order nadeem</t>
  </si>
  <si>
    <t>Ahmed salary</t>
  </si>
  <si>
    <t>paid in advance</t>
  </si>
  <si>
    <t>paid for chemical supply in phase VIII</t>
  </si>
  <si>
    <t>glue for the place</t>
  </si>
  <si>
    <t>to faisal sweeper for august 18</t>
  </si>
  <si>
    <t>to talha cad for august 18</t>
  </si>
  <si>
    <t>to asif efu for august 18</t>
  </si>
  <si>
    <t>to ARIF for august 18</t>
  </si>
  <si>
    <t>to khalid for august 18</t>
  </si>
  <si>
    <t>to haneef for august 18</t>
  </si>
  <si>
    <t>paid nadeem 500 rehan 500 total 1000</t>
  </si>
  <si>
    <t>claimed fuel for sem office and total</t>
  </si>
  <si>
    <t xml:space="preserve">for karosine oil </t>
  </si>
  <si>
    <t>to shahrukh new emplyeeer august 18 sent thru nadeem</t>
  </si>
  <si>
    <t>to shahid painter for august 18 sent thru nadeem</t>
  </si>
  <si>
    <t>to ahmed for august 18 sent thru nadeem</t>
  </si>
  <si>
    <t>cash foe personal</t>
  </si>
  <si>
    <t>paid at burhani mehal pool service</t>
  </si>
  <si>
    <t>receiveed from naveed malik by nedeem iqbal</t>
  </si>
  <si>
    <t>paid at the place</t>
  </si>
  <si>
    <t xml:space="preserve">to haneef for august 18 </t>
  </si>
  <si>
    <t xml:space="preserve">to arif for august 18 </t>
  </si>
  <si>
    <t>to kamran ali akber efu for august 18 by  order nadeem iqbal</t>
  </si>
  <si>
    <t>paid for site expeses and man hole made</t>
  </si>
  <si>
    <t>zubair duct</t>
  </si>
  <si>
    <t>paid at falcon</t>
  </si>
  <si>
    <t>phenoil, cleaner, harpic, shopper, mop, chemical</t>
  </si>
  <si>
    <t>for angle for nueplex</t>
  </si>
  <si>
    <t>claimed prv fuel for 3 days</t>
  </si>
  <si>
    <t>paid for newspaper bill at MHR</t>
  </si>
  <si>
    <t>paid for medicene, petrol</t>
  </si>
  <si>
    <t>receiveed from bilal bhai</t>
  </si>
  <si>
    <t>bills paid mhr 33459 and office 24393</t>
  </si>
  <si>
    <t>fuel claimed anwar sadaat and saim bhai and u bolt purchased</t>
  </si>
  <si>
    <t>magnigying glass</t>
  </si>
  <si>
    <t>paid for fittigns at sapphire</t>
  </si>
  <si>
    <t>nueplex prints</t>
  </si>
  <si>
    <t>claimed fuel from bohra peer to jpmc to office then azam basti then bank then</t>
  </si>
  <si>
    <t>claimed fuel 3 time bank, chemcon, unilever drop antifungus</t>
  </si>
  <si>
    <t>welding plant repair from azam basti</t>
  </si>
  <si>
    <t>bakhti give hisaab, tea bags, every day, soup, suger, tissue papers,  kitchen expenses sir rehman lunch and misc items</t>
  </si>
  <si>
    <t xml:space="preserve">falcon drawings and print </t>
  </si>
  <si>
    <t xml:space="preserve">to shahid for his remaining balance by order nadeem bhai for falcon and zeelaf purchasing </t>
  </si>
  <si>
    <t>paid for rikshaw fare for glue from bohra peer to jpmc</t>
  </si>
  <si>
    <t>claimed risksahw fare from new karachi to unilever  for glue drop and fuel claimed</t>
  </si>
  <si>
    <t>for hilti repair, purcjasd cutting discs and grinder 5" for zeelaf</t>
  </si>
  <si>
    <t>mineral water for office 20 bottles</t>
  </si>
  <si>
    <t>mobile balance ufune super card</t>
  </si>
  <si>
    <t>bilal bhai ufone super card on chand raat</t>
  </si>
  <si>
    <t>claimed fuel from 22/8/18 to 29/8/18</t>
  </si>
  <si>
    <t>for making of thresdeind in ms pipe</t>
  </si>
  <si>
    <t>dammer tape for the place</t>
  </si>
  <si>
    <t xml:space="preserve">to imran for fans motor repairing from rehan shahjee </t>
  </si>
  <si>
    <t>paid for exhaust fan installation at zaid factory by order nedeem iqbal</t>
  </si>
  <si>
    <t>to arif for august 18 by order nadeem iqbal</t>
  </si>
  <si>
    <t>paid for site expenses</t>
  </si>
  <si>
    <t>to imran for tapes 3 carton to jpmc and 2 to falcon</t>
  </si>
  <si>
    <t>to rafeeeq for site expenses</t>
  </si>
  <si>
    <t>azeem or shahid</t>
  </si>
  <si>
    <t xml:space="preserve">paid to welder at zeelaf </t>
  </si>
  <si>
    <t>paid to minhaal</t>
  </si>
  <si>
    <t>to faisal sweeper fro august 18</t>
  </si>
  <si>
    <t>claimed riksahw fare from office to unilever then jpmc then office for duct selent tea and elbow and inuslation roll shifting</t>
  </si>
  <si>
    <t xml:space="preserve">ashraf </t>
  </si>
  <si>
    <t>paid to ahsraf by huzaifa 1000 + 4000 = 5000</t>
  </si>
  <si>
    <t>chagha and calcee</t>
  </si>
  <si>
    <t>lunch for 2 days</t>
  </si>
  <si>
    <t>bakhti give hisaab green tea, bukuit corrier rubber and other items</t>
  </si>
  <si>
    <t>usb purchased for huzaifa</t>
  </si>
  <si>
    <t>paid for hilti and other item purchased zeelaf</t>
  </si>
  <si>
    <t>indus radioly for fire alarm panel</t>
  </si>
  <si>
    <t xml:space="preserve">cash paid for jpmc site </t>
  </si>
  <si>
    <t>salary advance to talha auto cad for september 2018</t>
  </si>
  <si>
    <t>salary advance to aamir at jpmc for september</t>
  </si>
  <si>
    <t>sir rehman homessgc bill paid</t>
  </si>
  <si>
    <t>cash paid for jpmc site expenses</t>
  </si>
  <si>
    <t>paid for labour at zeelaf for wall cutting</t>
  </si>
  <si>
    <t>paid august bill</t>
  </si>
  <si>
    <t>2 car wash charges</t>
  </si>
  <si>
    <t>to iftikhar for the month of september  18</t>
  </si>
  <si>
    <t>chargha, honey, biskuit &amp; cigratte</t>
  </si>
  <si>
    <t>photo copy draiwng</t>
  </si>
  <si>
    <t>agreement 3rd floor print</t>
  </si>
  <si>
    <t>received from imran off after purchasing</t>
  </si>
  <si>
    <t>adjust in salaries</t>
  </si>
  <si>
    <t>claimed feul for welding plant repair and CP for challan and bank for CBC bills</t>
  </si>
  <si>
    <t>claimed fuel from office to indus, then office then uniler for tape drop tapes then bolten for material and then jpmc and unilver</t>
  </si>
  <si>
    <t>for unilever material and jpmc material</t>
  </si>
  <si>
    <t>claimed fuel for burger shake</t>
  </si>
  <si>
    <t>claimed fuel for YH and I other site</t>
  </si>
  <si>
    <t>claimed fuel for FTC bilal bhai personal work</t>
  </si>
  <si>
    <t>Umed remaining salaries</t>
  </si>
  <si>
    <t>paid to bilal bhai (his SAAS)</t>
  </si>
  <si>
    <t>paid for nut bolt at burger shake at sindhi muslim</t>
  </si>
  <si>
    <t>paid in advance by order nadeem</t>
  </si>
  <si>
    <t>paid to feroz for ftc maintenance expenses</t>
  </si>
  <si>
    <t>paid for anchor bolt</t>
  </si>
  <si>
    <t>paid to amir at zeelaf munir</t>
  </si>
  <si>
    <t>printer service and refill</t>
  </si>
  <si>
    <t xml:space="preserve">bakhti give hisab, tea bagsm suger , every day, coopex powder, jaali, soup, </t>
  </si>
  <si>
    <t>lunch for 3 days</t>
  </si>
  <si>
    <t>2 times fruit and juice for guset child</t>
  </si>
  <si>
    <t>drawing zeelaf</t>
  </si>
  <si>
    <t>cholay chaat</t>
  </si>
  <si>
    <t>paid for valve for naveed malik cleared</t>
  </si>
  <si>
    <t>paid for rishaw fare from ibarheem fitting to office</t>
  </si>
  <si>
    <t>cash paid for 10 tape carton and riksahw fare</t>
  </si>
  <si>
    <t>paid salary</t>
  </si>
  <si>
    <t>ahmed auto</t>
  </si>
  <si>
    <t>for policeman for pipe unloading</t>
  </si>
  <si>
    <t>cash paid for purcchasing</t>
  </si>
  <si>
    <t>paid september saalry in advance</t>
  </si>
  <si>
    <t>paid to arif for salary adv for the month of september</t>
  </si>
  <si>
    <t>cash paid for material after finalization with mr bilal</t>
  </si>
  <si>
    <t>rafeeq</t>
  </si>
  <si>
    <t>muneer</t>
  </si>
  <si>
    <t>corrier</t>
  </si>
  <si>
    <t>for hyper star bill corrier to sheheyar lahore</t>
  </si>
  <si>
    <t>bakhti give hisab, suop, scotch bright, green tea and misc</t>
  </si>
  <si>
    <t>fruit and cogratee</t>
  </si>
  <si>
    <t>uniler and zeelaf drawing</t>
  </si>
  <si>
    <t>cashk paid for efu log shet printing Rs 810 cleared</t>
  </si>
  <si>
    <t>paid for pump repairing at bank allfalah head office</t>
  </si>
  <si>
    <t>to ahmed zeelag</t>
  </si>
  <si>
    <t xml:space="preserve">to talha office </t>
  </si>
  <si>
    <t>Umer salary</t>
  </si>
  <si>
    <t>paid umer ftc salary</t>
  </si>
  <si>
    <t>police</t>
  </si>
  <si>
    <t>paid to policman by sir rehman</t>
  </si>
  <si>
    <t>to dilawar for september</t>
  </si>
  <si>
    <t>to azaad</t>
  </si>
  <si>
    <t xml:space="preserve">bakhti give hisab, </t>
  </si>
  <si>
    <t>chaat</t>
  </si>
  <si>
    <t>honey, chargha, fruit</t>
  </si>
  <si>
    <t>draings zeelaf</t>
  </si>
  <si>
    <t>Rec from bilal bhai</t>
  </si>
  <si>
    <t>to rafeeq zeelaf</t>
  </si>
  <si>
    <t>paid for claining item purchased</t>
  </si>
  <si>
    <t>Chemicon</t>
  </si>
  <si>
    <t>corrier bill to sheryar</t>
  </si>
  <si>
    <t>corri doc to zohaib tax wala</t>
  </si>
  <si>
    <t>drawing jpmc</t>
  </si>
  <si>
    <t>drawing zeelag</t>
  </si>
  <si>
    <t>lunch 2 times</t>
  </si>
  <si>
    <t>bakhti give hisaab</t>
  </si>
  <si>
    <t>prem submiital copy</t>
  </si>
  <si>
    <t>A4 rim carton</t>
  </si>
  <si>
    <t>for suzuki fare dor rod shifting</t>
  </si>
  <si>
    <t>to faisal sweeeper</t>
  </si>
  <si>
    <t>the place</t>
  </si>
  <si>
    <t>paid for attendence card printing</t>
  </si>
  <si>
    <t>claimed fuel,  and other expenses</t>
  </si>
  <si>
    <t xml:space="preserve">paid for material shifting from office </t>
  </si>
  <si>
    <t>to amir plumber for zeelaf munir</t>
  </si>
  <si>
    <t>Received from nadeem bhai</t>
  </si>
  <si>
    <t>paid for wooden pcs, attendence card, and flexible connector 6" for the place</t>
  </si>
  <si>
    <t>to zulfiqaur</t>
  </si>
  <si>
    <t>mithai for jpmc</t>
  </si>
  <si>
    <t>to arif for september</t>
  </si>
  <si>
    <t>for fittings</t>
  </si>
  <si>
    <t>cash taken cleared</t>
  </si>
  <si>
    <t>cash paid cleared</t>
  </si>
  <si>
    <t>cash return by imran after purcahsing</t>
  </si>
  <si>
    <t>bakhti give hisaab, tissue papers, lunch, fruit, samosay, corrier,  green tea, suger , office grill lock. Sir rehman lunch</t>
  </si>
  <si>
    <t>drawing seelaf date 25-9</t>
  </si>
  <si>
    <t xml:space="preserve">drawing seelaf date </t>
  </si>
  <si>
    <t>ming court soup, haji pharmacy and fuel</t>
  </si>
  <si>
    <t>Received from bilal bhai as the place two bills</t>
  </si>
  <si>
    <t>Received from nadeem bhai as  naveed malik cash</t>
  </si>
  <si>
    <t>paid for tapes cartor and other purcahseing</t>
  </si>
  <si>
    <t>paid for purchsing tea, soclet.  Welding rod, cutting disc</t>
  </si>
  <si>
    <t xml:space="preserve">paid for fuel at mhr home </t>
  </si>
  <si>
    <t>paid for cutting disc and suzuki fare for fitting for neelum colony</t>
  </si>
  <si>
    <t>cash paid sent thru minhaal</t>
  </si>
  <si>
    <t>for purchasing welding, cutting disc weding glass, welding glass black, corben power cutter.</t>
  </si>
  <si>
    <t>paid for kumail pump repaire and valve by order bilal bhai</t>
  </si>
  <si>
    <t>basheer pipe</t>
  </si>
  <si>
    <t>paid for welding plant at zeelaf</t>
  </si>
  <si>
    <t>cash paid to farhan bhai</t>
  </si>
  <si>
    <t>paid for misc purchasing</t>
  </si>
  <si>
    <t>arif</t>
  </si>
  <si>
    <t>claimed foe fuel sent thru abdullaj</t>
  </si>
  <si>
    <t>to talha for october</t>
  </si>
  <si>
    <t>paid to faisal sweeper for cleaning chemical material</t>
  </si>
  <si>
    <t>paid for efu log printing</t>
  </si>
  <si>
    <t>bakhti give hisaab, lassi, fruit, green tea, sir rehman lunch, I set glass, every day, tea bags, marker, tikka, angoor, cigratte,suger, biskuit  spray</t>
  </si>
  <si>
    <t>zeelaf draings print for rafeeq for bill verification</t>
  </si>
  <si>
    <t>for site expenses</t>
  </si>
  <si>
    <t>bakhti give hisaab, pen, uhu stick, sir rehman lunch fruit, every day, soup, tea bags and green tea, biskuits</t>
  </si>
  <si>
    <t>falcon drawing print</t>
  </si>
  <si>
    <t>cash taken from remaining cash in imran engg cheque</t>
  </si>
  <si>
    <t>paid for mobile card</t>
  </si>
  <si>
    <t xml:space="preserve">bakhti </t>
  </si>
  <si>
    <t>to abbas for fitting from jpmc to the place</t>
  </si>
  <si>
    <t>paid for conveyance</t>
  </si>
  <si>
    <t>news paper bil paid</t>
  </si>
  <si>
    <t>misc office expenses by nakhti (tissue box, suger, everyday . Tea bags, sir rehman lunch, cigratee, etc</t>
  </si>
  <si>
    <t>DIB</t>
  </si>
  <si>
    <t>cash paid sent thru shahid painter</t>
  </si>
  <si>
    <t>to ahmed at zmv</t>
  </si>
  <si>
    <t>to shashrukh at zmv</t>
  </si>
  <si>
    <t>paid for jubille clamp, brushes and riksahaw fare for unilever return material</t>
  </si>
  <si>
    <t>paid for monthly tea and refreshment expense</t>
  </si>
  <si>
    <t>paid for suzuki fare for off to indus</t>
  </si>
  <si>
    <t>to lateef amv</t>
  </si>
  <si>
    <t>to aamir amv</t>
  </si>
  <si>
    <t>office washroom light and msulim shower handly and claimed fuel</t>
  </si>
  <si>
    <t>bakhti give hisaan, green tea suger, biskuit, dahi, sir rehman lunch, cigrattee</t>
  </si>
  <si>
    <t>mhr home and office bills</t>
  </si>
  <si>
    <t>umer paid</t>
  </si>
  <si>
    <t>purchased fittings</t>
  </si>
  <si>
    <t>paid at zmv</t>
  </si>
  <si>
    <t>to talha office</t>
  </si>
  <si>
    <t>paid from jpmc to falcon</t>
  </si>
  <si>
    <t>bakhti give hisab, green tea, sabzi, sleeper. Sir rehman lunch soup, suger etc</t>
  </si>
  <si>
    <t>falcon drawing</t>
  </si>
  <si>
    <t>pioneer profile print</t>
  </si>
  <si>
    <t>drawing avaari</t>
  </si>
  <si>
    <t>for purcahsing</t>
  </si>
  <si>
    <t>paid for invoies</t>
  </si>
  <si>
    <t>javed pump</t>
  </si>
  <si>
    <t>received from nadeem bhai</t>
  </si>
  <si>
    <t xml:space="preserve">bakhti give hisab,  tea bags,  sir rehman lunch, biskuit ,fruit, every daym soup,, </t>
  </si>
  <si>
    <t>paid c/o rehana aunty</t>
  </si>
  <si>
    <t>nisar salary paid</t>
  </si>
  <si>
    <t>fasih ur rehman</t>
  </si>
  <si>
    <t>mineral water bottles</t>
  </si>
  <si>
    <t>purchased office fan</t>
  </si>
  <si>
    <t>Cash taken</t>
  </si>
  <si>
    <t>Invoices submit</t>
  </si>
  <si>
    <t>from nadeem bhai</t>
  </si>
  <si>
    <t>falcon invoices</t>
  </si>
  <si>
    <t>from bilal bhai</t>
  </si>
  <si>
    <t>invoices falcon</t>
  </si>
  <si>
    <t>paid for material shifting from office to unilever</t>
  </si>
  <si>
    <t>bakhti give hisaab, sopu, every day tea basgs tissue, sire rehman lunch , cighratte photoopy</t>
  </si>
  <si>
    <t>to iftikhar for the month of Nov  18</t>
  </si>
  <si>
    <t xml:space="preserve">cash paid for tee, elbow, </t>
  </si>
  <si>
    <t>cash paid for tee, bareel nipple for sapphire</t>
  </si>
  <si>
    <t>to asif efu for november 18</t>
  </si>
  <si>
    <t>paid for islamuddin to office sapphire inuslation</t>
  </si>
  <si>
    <t>paid in his account</t>
  </si>
  <si>
    <t>shafeeq</t>
  </si>
  <si>
    <t>paid suzuki fare to shafeeq</t>
  </si>
  <si>
    <t>super card</t>
  </si>
  <si>
    <t>riksah fare for office fan</t>
  </si>
  <si>
    <t>bakhti give hisab misc items</t>
  </si>
  <si>
    <t>paid for unilver material sjhfiting</t>
  </si>
  <si>
    <t>tip top glue for unile ver</t>
  </si>
  <si>
    <t>paid for newspaper</t>
  </si>
  <si>
    <t>to umair for november 18 tabba heart</t>
  </si>
  <si>
    <t>paid for heater purchasing</t>
  </si>
  <si>
    <t>paid for suzuki fare for unilever shifitng</t>
  </si>
  <si>
    <t>invocies</t>
  </si>
  <si>
    <t>paid for minthly refreshment and tea at ftc</t>
  </si>
  <si>
    <t>to shaheryar jpmc</t>
  </si>
  <si>
    <t xml:space="preserve">for purchasing of matrerial </t>
  </si>
  <si>
    <t>paid the place 4 empplyee</t>
  </si>
  <si>
    <t>paid to sir rehman</t>
  </si>
  <si>
    <t>paid for duct sealent</t>
  </si>
  <si>
    <t>to minhaal for purchasing</t>
  </si>
  <si>
    <t>to minhaal for abbas fittings and wooden gutkay</t>
  </si>
  <si>
    <t>for 12num welding rods</t>
  </si>
  <si>
    <t>paid for ofice to nasir colony to falcon</t>
  </si>
  <si>
    <t>to faisal sweeper</t>
  </si>
  <si>
    <t>paid cash for azeem falcon purchasing</t>
  </si>
  <si>
    <t xml:space="preserve">bakhti give hisaab, every day, cofe, tiuuse, sugerfruit  fruit biskuit samosay </t>
  </si>
  <si>
    <t>paid for suzuki fare</t>
  </si>
  <si>
    <t>water tanker</t>
  </si>
  <si>
    <t>tranfer cash</t>
  </si>
  <si>
    <t xml:space="preserve">cash paid for purchasing </t>
  </si>
  <si>
    <t>paid for the place gas</t>
  </si>
  <si>
    <t>cash paid for muzaimmil</t>
  </si>
  <si>
    <t>to minhaal</t>
  </si>
  <si>
    <t>DIB Chq</t>
  </si>
  <si>
    <t>draings print</t>
  </si>
  <si>
    <t>bakhti give hisaab, biskuitm fruit, tisue cigratte tea bags</t>
  </si>
  <si>
    <t>to bakhti</t>
  </si>
  <si>
    <t>to ali khalid</t>
  </si>
  <si>
    <t>to kamran ali akber sent thru ali khalid</t>
  </si>
  <si>
    <t>to minhaal for falcon and zeelaf purchasing</t>
  </si>
  <si>
    <t>bll paid</t>
  </si>
  <si>
    <t>paid for mineral water at falcon</t>
  </si>
  <si>
    <t>Received from Bilal bhai</t>
  </si>
  <si>
    <t>to zulfiquar ftc</t>
  </si>
  <si>
    <t>paid for purchasing zeelaf</t>
  </si>
  <si>
    <t>paid for abbas fittings and lunch at jpmc and cold drink</t>
  </si>
  <si>
    <t>paid for AC shifting cahrged to labourer zulfiquar</t>
  </si>
  <si>
    <t>cah paid for purchasing</t>
  </si>
  <si>
    <t>to a lateef zmv</t>
  </si>
  <si>
    <t>to abdullah zmv</t>
  </si>
  <si>
    <t>to jalal zmv</t>
  </si>
  <si>
    <t>k electric bill paid c/o farhan bhai</t>
  </si>
  <si>
    <t>mobile  balance</t>
  </si>
  <si>
    <t>invoices zeelaf</t>
  </si>
  <si>
    <t>paid for sheyrar purcashing</t>
  </si>
  <si>
    <t>to talha for novemnber 18</t>
  </si>
  <si>
    <t>cash paid for pump material purchased</t>
  </si>
  <si>
    <t>repaired corner table</t>
  </si>
  <si>
    <t>bakhti given hisab, photocopy, cigrattte, spray, furit biskiot , every day</t>
  </si>
  <si>
    <t>cash paid for falcon uniler and nueplex order jahangeer</t>
  </si>
  <si>
    <t>cash paid for purchasing sent thru amir engr</t>
  </si>
  <si>
    <t>for car denting dentinf painting</t>
  </si>
  <si>
    <t>paid cash for zeelaf site expenses sent thru shahid painter cleared</t>
  </si>
  <si>
    <t>cash paid for angle purchased for falcon mall</t>
  </si>
  <si>
    <t>cash paid for fare</t>
  </si>
  <si>
    <t>cash paid to minhaal for unilever and falcon</t>
  </si>
  <si>
    <t>misc cleaning material</t>
  </si>
  <si>
    <t>drawing prict</t>
  </si>
  <si>
    <t>photopcoy</t>
  </si>
  <si>
    <t>bakhti give hisab, suger, fruit, cofee every daybiskuit and other items</t>
  </si>
  <si>
    <t>drawing prict jpmc</t>
  </si>
  <si>
    <t>to talha nov 18</t>
  </si>
  <si>
    <t xml:space="preserve">paid to waris </t>
  </si>
  <si>
    <t>invoices jpmc</t>
  </si>
  <si>
    <t>Dib chq</t>
  </si>
  <si>
    <t>2 mouse purchased</t>
  </si>
  <si>
    <t>tea expenses</t>
  </si>
  <si>
    <t>bakhti give hisaab, tea bags, tissue, club sandwich, chaat. soup, suger photocpy biskit , cigratee and etc etc</t>
  </si>
  <si>
    <t>to shehryar khalid  sent thru bilal bhai</t>
  </si>
  <si>
    <t>to kamran elec</t>
  </si>
  <si>
    <t>unilever and zeelaf purchasing</t>
  </si>
  <si>
    <t>falcon purchasing cloth and glue</t>
  </si>
  <si>
    <t>salary cash remained</t>
  </si>
  <si>
    <t>saeed lala salary</t>
  </si>
  <si>
    <t>given to mustafa advance</t>
  </si>
  <si>
    <t>to ahmed falcon</t>
  </si>
  <si>
    <t>to azeem for site expenses</t>
  </si>
  <si>
    <t>to kamran auto</t>
  </si>
  <si>
    <t>amir jpmc salary advance</t>
  </si>
  <si>
    <t>paid suzuki fare to ashraf from unilever to jpmc</t>
  </si>
  <si>
    <t>paid for purchaisng</t>
  </si>
  <si>
    <t>to talha salary adv</t>
  </si>
  <si>
    <t>to faheem for prv 5 days</t>
  </si>
  <si>
    <t>paid order thru nadeem bhai</t>
  </si>
  <si>
    <t>paid for purchsing falcon and unilever fittings and discs</t>
  </si>
  <si>
    <t>falcon and zeelaf purchasing</t>
  </si>
  <si>
    <t>paid for tube purchased ar naveed malik ok cleared</t>
  </si>
  <si>
    <t>bank charges</t>
  </si>
  <si>
    <t>paid thru nadeem bhai</t>
  </si>
  <si>
    <t>received from unilever cash payment</t>
  </si>
  <si>
    <t>ashraf ducting</t>
  </si>
  <si>
    <t>paid in zmc advance sent thru a boy rashif when asraf was in hospital</t>
  </si>
  <si>
    <t>paid in jpmc advance</t>
  </si>
  <si>
    <t>paid he given invoices checked by bilal bhai</t>
  </si>
  <si>
    <t>paid for purchasing of coil</t>
  </si>
  <si>
    <t>nazim piping</t>
  </si>
  <si>
    <t xml:space="preserve">cash paid for jpmc </t>
  </si>
  <si>
    <t>for purcahsing hold title, weldind rod, granding disk, tape for falcon</t>
  </si>
  <si>
    <t>paid for his share (2018 to 2019)</t>
  </si>
  <si>
    <t>for putchasing</t>
  </si>
  <si>
    <t>paid for channel patti for nueplex johar RMR</t>
  </si>
  <si>
    <t>paid for cleaning purpose</t>
  </si>
  <si>
    <t>paid in falcon account</t>
  </si>
  <si>
    <t>paid for barrel nipple</t>
  </si>
  <si>
    <t>to khalid mansoor the place sent thru jahangeer for dec 18</t>
  </si>
  <si>
    <t>for bank charges</t>
  </si>
  <si>
    <t>usman bhai</t>
  </si>
  <si>
    <t>to shahid painter</t>
  </si>
  <si>
    <t>kamran auto for dec</t>
  </si>
  <si>
    <t>kamran jamia for dec</t>
  </si>
  <si>
    <t>asif efu for dec</t>
  </si>
  <si>
    <t>light purchasd from al madina electric</t>
  </si>
  <si>
    <t>cash paid for falcon purchasig</t>
  </si>
  <si>
    <t>photocopy bill paid checked by kamran and bilal</t>
  </si>
  <si>
    <t>to kamran auto for dec 18</t>
  </si>
  <si>
    <t>paid at zeelaf</t>
  </si>
  <si>
    <t>for bus fare</t>
  </si>
  <si>
    <t>bakhti give misc office hisaab, tea bags, suger, every day soup and other items</t>
  </si>
  <si>
    <t>bakhti give hisaab, milk, suger, soup surf, tea bags, pateeli, tea strainer fruit</t>
  </si>
  <si>
    <t>for purchsing</t>
  </si>
  <si>
    <t>for repairing of 2nd pump at bank al-falh</t>
  </si>
  <si>
    <t>Tender</t>
  </si>
  <si>
    <t>for tender purchased</t>
  </si>
  <si>
    <t>site expenses</t>
  </si>
  <si>
    <t>for indus drawing print</t>
  </si>
  <si>
    <t xml:space="preserve">plumber </t>
  </si>
  <si>
    <t>for office roof pipe work</t>
  </si>
  <si>
    <t>paid 3 car wash</t>
  </si>
  <si>
    <t>paid for kumail villa site expenses by order nadeem bhai</t>
  </si>
  <si>
    <t>cash paid against invoices</t>
  </si>
  <si>
    <t xml:space="preserve">flow master </t>
  </si>
  <si>
    <t>paid for the place ac work</t>
  </si>
  <si>
    <t>to kamran auto for jan 19</t>
  </si>
  <si>
    <t>bakhti give hisaab, green tea, room spray, cigtaee tea bags milk fruit</t>
  </si>
  <si>
    <t xml:space="preserve">cash paid for 24 nos flang for falcon </t>
  </si>
  <si>
    <t>cash paid for and 3 carton  tape for jpmc</t>
  </si>
  <si>
    <t>for purchaing  pvc tape and suzuki fare</t>
  </si>
  <si>
    <t>for purchasing aluminuium tape fuel and suzuki fare</t>
  </si>
  <si>
    <t>child fee paid</t>
  </si>
  <si>
    <t>Yaqoob pool</t>
  </si>
  <si>
    <t>paid cash for pool heater</t>
  </si>
  <si>
    <t>for purchaing channel patti, cutting disc abd fisher</t>
  </si>
  <si>
    <t>paid for screw at falcon</t>
  </si>
  <si>
    <t>paid for the place purchasing</t>
  </si>
  <si>
    <t>to faisal for jan 19</t>
  </si>
  <si>
    <t>to kamran auti for jan 19</t>
  </si>
  <si>
    <t>paid for fuel claimed</t>
  </si>
  <si>
    <t>for unilever misc purchased</t>
  </si>
  <si>
    <t>to jahageer for dec 18</t>
  </si>
  <si>
    <t>office and mhr bills paid</t>
  </si>
  <si>
    <t>for falcon site expenses by order nadeem bhai</t>
  </si>
  <si>
    <t>Munna</t>
  </si>
  <si>
    <t>internet bill paid</t>
  </si>
  <si>
    <t>to owais at the place for jan 2019</t>
  </si>
  <si>
    <t>monna duct</t>
  </si>
  <si>
    <t>paid for tool</t>
  </si>
  <si>
    <t>paid for lunch at site for all pioneer staff</t>
  </si>
  <si>
    <t>for invoices</t>
  </si>
  <si>
    <t>nadeem baloch</t>
  </si>
  <si>
    <t>paid cash by order nadeem bhai</t>
  </si>
  <si>
    <t>paid for kumail villa old invoices</t>
  </si>
  <si>
    <t>cash paid glue, red oxide and karosine oil</t>
  </si>
  <si>
    <t>Tariq chiller</t>
  </si>
  <si>
    <t>paid for the place site</t>
  </si>
  <si>
    <t>to shaheryar at falcon for jan 19</t>
  </si>
  <si>
    <t>to shahid at falcon for jan 19</t>
  </si>
  <si>
    <t>cash paid for mazda fare from islamuddin</t>
  </si>
  <si>
    <t>imran engr</t>
  </si>
  <si>
    <t>paid at jpmc site</t>
  </si>
  <si>
    <t>abdullah insulator</t>
  </si>
  <si>
    <t>bakhti give hisaab, limk suger, tea bags burger biskuit etv</t>
  </si>
  <si>
    <t>for through bolt, tapes, and nut bolts and zahabiya</t>
  </si>
  <si>
    <t>paid at the place balance payment</t>
  </si>
  <si>
    <t>advane for purchasing</t>
  </si>
  <si>
    <t>paid for C-channel purchasing from mughal iron</t>
  </si>
  <si>
    <t>paid balance payment for C channel to mughal iiron</t>
  </si>
  <si>
    <t xml:space="preserve">cash return </t>
  </si>
  <si>
    <t>claimed for the place site by shaheryar</t>
  </si>
  <si>
    <t>claimed for the FTC site by shaheryar</t>
  </si>
  <si>
    <t>claimed for the place site by shahid painter</t>
  </si>
  <si>
    <t>office washroom drain pipe cap changed</t>
  </si>
  <si>
    <t>paid for site expenses sent thru kamran auto</t>
  </si>
  <si>
    <t>to faisal sweeper for jan 19 salary in advance</t>
  </si>
  <si>
    <t>for spar elbow changed</t>
  </si>
  <si>
    <t>paid to ashraf for unilever material</t>
  </si>
  <si>
    <t xml:space="preserve">padi for glue and cloth at jpmc, </t>
  </si>
  <si>
    <t xml:space="preserve">falcon approved  set drawing print for azeem </t>
  </si>
  <si>
    <t>bakhti give hisaab,  fruit, suger every day milk cigratte soup and other items</t>
  </si>
  <si>
    <t xml:space="preserve">FTZ </t>
  </si>
  <si>
    <t>paid bill</t>
  </si>
  <si>
    <t>paid for clamp and digital meter</t>
  </si>
  <si>
    <t>mosque amount</t>
  </si>
  <si>
    <t>for AC installation cahrges at the place</t>
  </si>
  <si>
    <t>cash paid for purchasing invoices given (victualic coupling)</t>
  </si>
  <si>
    <t>paid for purchasing invoices given</t>
  </si>
  <si>
    <t>paid for the month of jan 19 for office and mhr home</t>
  </si>
  <si>
    <t>anwar fitting</t>
  </si>
  <si>
    <t>paid for elbow at falcon</t>
  </si>
  <si>
    <t>paid for chiller de-scaling at bank al-falah</t>
  </si>
  <si>
    <t>paid for sit expenses</t>
  </si>
  <si>
    <t>paid for misc items</t>
  </si>
  <si>
    <t>paid suzuki fare</t>
  </si>
  <si>
    <t>to shahid painter for jan 19</t>
  </si>
  <si>
    <t>paid ok</t>
  </si>
  <si>
    <t>paid for brushes for paint at the place ok</t>
  </si>
  <si>
    <t>for purchasing invoices given</t>
  </si>
  <si>
    <t xml:space="preserve">bakhti give hisaab, tea bags, sir rehman lunch cigratee tissue fruit, </t>
  </si>
  <si>
    <t>purchasing falcon tape and jpmc cloth and gasket</t>
  </si>
  <si>
    <t>cash for site expenses</t>
  </si>
  <si>
    <t>paid for suzuki fare and misc expenses</t>
  </si>
  <si>
    <t xml:space="preserve">paid for cleaning material </t>
  </si>
  <si>
    <t>cash paid in advance</t>
  </si>
  <si>
    <t xml:space="preserve">Abotabad </t>
  </si>
  <si>
    <t>corrier and cartages charges</t>
  </si>
  <si>
    <t>bakhti give hisaab  lock, fruitt, lunch soup suger milk and othr itms</t>
  </si>
  <si>
    <t>purchased flang, nut bolt, red paint , glass for falcon</t>
  </si>
  <si>
    <t>purchased blower for office computer cleaning by order Rehan, nadeem bhai order to return bank the blower.</t>
  </si>
  <si>
    <t>mobile balce in his mobilink</t>
  </si>
  <si>
    <t>ssgc bill paid</t>
  </si>
  <si>
    <t>jpmc photocopy bill paid checked by kamran and bilal</t>
  </si>
  <si>
    <t>to khaldi for jan 19</t>
  </si>
  <si>
    <t>Chargh din steel</t>
  </si>
  <si>
    <t>paid for flanges</t>
  </si>
  <si>
    <t>photoocopy</t>
  </si>
  <si>
    <t>cash paid for bank al-falah sent thru In hand ali khalid</t>
  </si>
  <si>
    <t>salary paid for the month of january 19 in advance</t>
  </si>
  <si>
    <t>to bilal auto fro jan 19</t>
  </si>
  <si>
    <t>paid to nadeem bhai for utilities bills</t>
  </si>
  <si>
    <t>shabbir brother</t>
  </si>
  <si>
    <t>paid for old bill</t>
  </si>
  <si>
    <t>minhaal for purchasing paint and fittings for falcon and zeelaf</t>
  </si>
  <si>
    <t>for purchasing fisher flexible duct and misc item for zeelaf</t>
  </si>
  <si>
    <t>for purcashing</t>
  </si>
  <si>
    <t>paid office 1sy floor k elec bill which was delayed by KE for technical reason</t>
  </si>
  <si>
    <t>to aqeel for feb 2019 sent thru huzaifa</t>
  </si>
  <si>
    <t>for riksahw fare from ebm</t>
  </si>
  <si>
    <t>for fuel and lunch</t>
  </si>
  <si>
    <t>paid for th efees</t>
  </si>
  <si>
    <t>labourer</t>
  </si>
  <si>
    <t>paid at zel</t>
  </si>
  <si>
    <t>paid for c channel 2 x 4 and angle 1. 1/4 x 1. 1/4 at falcon</t>
  </si>
  <si>
    <t>nadeem bhai given to bilal bhai</t>
  </si>
  <si>
    <t>for naveed malik sit expenses</t>
  </si>
  <si>
    <t>bakhti give hisaab, fruit, cigratee milk soup, suger, photocopy, green tea, and other items</t>
  </si>
  <si>
    <t>rece from tariq insulation for mosque donation</t>
  </si>
  <si>
    <t>to azeem for falcon bill material copies</t>
  </si>
  <si>
    <t>to haneef for 2 hilti repairing</t>
  </si>
  <si>
    <t>to minhaal for paint at falcon</t>
  </si>
  <si>
    <t>remained from salaries</t>
  </si>
  <si>
    <t>from rafaqat star sam in sapphire account</t>
  </si>
  <si>
    <t xml:space="preserve">paid for sanitry fisxtures sent thru amjad </t>
  </si>
  <si>
    <t>paid in falcon account now deal complete</t>
  </si>
  <si>
    <t xml:space="preserve">paid for site expenses </t>
  </si>
  <si>
    <t>for zeelaf purchasing welding rods, cutting disc,  rivot cementex</t>
  </si>
  <si>
    <t>minhaal salary paid</t>
  </si>
  <si>
    <t>Nazim Pump</t>
  </si>
  <si>
    <t>paid for falcon plant  room work</t>
  </si>
  <si>
    <t>office ground floor lock change, machine lock</t>
  </si>
  <si>
    <t>munna</t>
  </si>
  <si>
    <t>paid in zeelaf account</t>
  </si>
  <si>
    <t>paid advance in jpmc deduct in his bill</t>
  </si>
  <si>
    <t>for purchasing falcon ,cloth, tapes duct sealent, and pvc tape for zeelaf</t>
  </si>
  <si>
    <t>paid for biryani</t>
  </si>
  <si>
    <t>to painter salary at falcon</t>
  </si>
  <si>
    <t>pool light</t>
  </si>
  <si>
    <t>paid to jahanzaib for zeelaf pool light</t>
  </si>
  <si>
    <t>mazher ali driver salary paid</t>
  </si>
  <si>
    <t>to waseem for feb 19</t>
  </si>
  <si>
    <t>to raheel for feb 19</t>
  </si>
  <si>
    <t>to kashif fo feb 19</t>
  </si>
  <si>
    <t>to sufyan for feb 19</t>
  </si>
  <si>
    <t>to mehmood for feb 19</t>
  </si>
  <si>
    <t>to shahbaz for feb 19</t>
  </si>
  <si>
    <t>paid for naveed malik cleared</t>
  </si>
  <si>
    <t>for rikshaw fare</t>
  </si>
  <si>
    <t>bakhti give hisaab, fruit biskuot, lunch, cigratee burger, tax challan copies, green tea,</t>
  </si>
  <si>
    <t>bakhti medication</t>
  </si>
  <si>
    <t>asif taha supplier</t>
  </si>
  <si>
    <t>paid for geyser at jpmc</t>
  </si>
  <si>
    <t>paid for material at the place</t>
  </si>
  <si>
    <t>full and final payment for 11 unit installation at the place</t>
  </si>
  <si>
    <t>paid nbakhti salary by bilal bhai</t>
  </si>
  <si>
    <t>fareed fire</t>
  </si>
  <si>
    <t xml:space="preserve">paid for installation of supervisory panel at uniliver </t>
  </si>
  <si>
    <t>hammad flange</t>
  </si>
  <si>
    <t>paid for the deal of flange at falcon 26 nos flangs</t>
  </si>
  <si>
    <t>riaz uncle</t>
  </si>
  <si>
    <t>to asif EFU for feb 19</t>
  </si>
  <si>
    <t>to mukhtar b/o nadeem bhai</t>
  </si>
  <si>
    <t>hdpe drawing print</t>
  </si>
  <si>
    <t>rizwan core letter head print</t>
  </si>
  <si>
    <t>for drill machine cap</t>
  </si>
  <si>
    <t>Dib chq # 01873521</t>
  </si>
  <si>
    <t>this cash paid for zeelaf pool lights now uptodate 632,000</t>
  </si>
  <si>
    <t>yaseen insulation</t>
  </si>
  <si>
    <t>Paid for 10 roll insulation for zeelaf</t>
  </si>
  <si>
    <t>for office expenses suger, tea, and milk</t>
  </si>
  <si>
    <t>paid for diffuser suzuki fare</t>
  </si>
  <si>
    <t>to  kamran auto for feb 2019</t>
  </si>
  <si>
    <t>paid for flanges at falcon this cash sent thru jahangeer</t>
  </si>
  <si>
    <t>after tender remaining</t>
  </si>
  <si>
    <t>for milk and office expenses</t>
  </si>
  <si>
    <t>jinnah were house tender photocopies</t>
  </si>
  <si>
    <t>paid final payment for 18" flange with end cap and transportation</t>
  </si>
  <si>
    <t>paid for core cutting at falcon mall</t>
  </si>
  <si>
    <t>amjad ele</t>
  </si>
  <si>
    <t>paid to anwar fittings</t>
  </si>
  <si>
    <t>paid for finalization his account at hyper star</t>
  </si>
  <si>
    <t>paid for tapes, weldong disc and welding rods</t>
  </si>
  <si>
    <t>Sadqa</t>
  </si>
  <si>
    <t>donate for sadqa bakra for falcon and jpmc</t>
  </si>
  <si>
    <t>Masjid account</t>
  </si>
  <si>
    <t>paid for invoives</t>
  </si>
  <si>
    <t>mobile ufine super card</t>
  </si>
  <si>
    <t xml:space="preserve">cash paid for pump </t>
  </si>
  <si>
    <t>mazher</t>
  </si>
  <si>
    <t>key make, lunch sir rehman lunch, milk and misc kitchen expenses</t>
  </si>
  <si>
    <t>paid  now up todate 1650,000</t>
  </si>
  <si>
    <t>paid for 2 pair connector for bilal bhai room led cctv camera</t>
  </si>
  <si>
    <t>for cementex and grinding disc glue, nut bolt for falcon</t>
  </si>
  <si>
    <t>paid for purcashing</t>
  </si>
  <si>
    <t>paid for material purchased for pump art falcon</t>
  </si>
  <si>
    <t>to aamir for feb 19</t>
  </si>
  <si>
    <t>to danish for feb 19</t>
  </si>
  <si>
    <t>paid for core cuttings and other material</t>
  </si>
  <si>
    <t>to shahrukh falcon for feb 19</t>
  </si>
  <si>
    <t>umar office give hisaab, fruit, tea bags, every day, soup and ither items</t>
  </si>
  <si>
    <t>paid for site expenses sent thru aamir</t>
  </si>
  <si>
    <t>to nizaqat for feb 19</t>
  </si>
  <si>
    <t>to ahmed falcon for feb 19</t>
  </si>
  <si>
    <t>paid for jpmc site expenses against invoices</t>
  </si>
  <si>
    <t>paid for site expeses</t>
  </si>
  <si>
    <t>paid  for utilities bills</t>
  </si>
  <si>
    <t>paid for eye ball diffuser from office to falcon and falcon to nasir colony to bolten market to zeelaf and office.</t>
  </si>
  <si>
    <t>paid to bilal bhai for he gave misc invoices</t>
  </si>
  <si>
    <t>paid for salaries to munna ducting for zeelaf site</t>
  </si>
  <si>
    <t>minhaal salary paid in advance for feb 19</t>
  </si>
  <si>
    <t>for tapes and bits at zeelaf</t>
  </si>
  <si>
    <t>for clothes and fittings</t>
  </si>
  <si>
    <t>imran eng</t>
  </si>
  <si>
    <t>paid for naveed malik</t>
  </si>
  <si>
    <t>for flanges and nut bolt gas ket</t>
  </si>
  <si>
    <t>to abbas ishaq for feb 19</t>
  </si>
  <si>
    <t>sajid painter</t>
  </si>
  <si>
    <t>to adeel ftc sen tro zulfiqaur</t>
  </si>
  <si>
    <t>to faisal sweeper his father died</t>
  </si>
  <si>
    <t>paid for purchasing flanges 8" 8 nos</t>
  </si>
  <si>
    <t>paid for imran marriage cards</t>
  </si>
  <si>
    <t>paid for water tanker</t>
  </si>
  <si>
    <t>mutton pulao and cold drink for farrukh guest</t>
  </si>
  <si>
    <t>medicine</t>
  </si>
  <si>
    <t>paid to imran eng for mhr home expenses</t>
  </si>
  <si>
    <t>billal bhai</t>
  </si>
  <si>
    <t>for less amount received from bank in salaries cash</t>
  </si>
  <si>
    <t>faheem</t>
  </si>
  <si>
    <t>for falcon electric material purchasing</t>
  </si>
  <si>
    <t>paid for tender purhcasind</t>
  </si>
  <si>
    <t>TS Company</t>
  </si>
  <si>
    <t>paid for ksb pump spare parts at the place</t>
  </si>
  <si>
    <t xml:space="preserve">umer </t>
  </si>
  <si>
    <t>for  nadeem bhai car wash and bilal bhai</t>
  </si>
  <si>
    <t>paid for chemical at the place phase 8  2 nos</t>
  </si>
  <si>
    <t>mubarak 4 days salary</t>
  </si>
  <si>
    <t>paid for nadeem bhai utility bill</t>
  </si>
  <si>
    <t>for purchasing  for color</t>
  </si>
  <si>
    <t>chakki ata at mhr home</t>
  </si>
  <si>
    <t>for welding rod petties at falcon and v-belt for naveed malik</t>
  </si>
  <si>
    <t>cash for site expenses sent thru kamran auto</t>
  </si>
  <si>
    <t>jpmc drwing print</t>
  </si>
  <si>
    <t>paid for fare from office to falcon then nasir colony</t>
  </si>
  <si>
    <t>bilal bhai child fee</t>
  </si>
  <si>
    <t>tariq bhai</t>
  </si>
  <si>
    <t>paid loan to tariq bhai</t>
  </si>
  <si>
    <t>invoices naveed malik</t>
  </si>
  <si>
    <t>for purchaing</t>
  </si>
  <si>
    <t>imran marriage cards corrier to out of city</t>
  </si>
  <si>
    <t>from office to zeelaf 3 naali pipe</t>
  </si>
  <si>
    <t>paid for mineral water bill at site</t>
  </si>
  <si>
    <t>for milk and site expenses ftc</t>
  </si>
  <si>
    <t>to asif efu for march 19</t>
  </si>
  <si>
    <t>purchased compressore at zeelaf from c/o haneef bhai</t>
  </si>
  <si>
    <t>paid for site expesnes</t>
  </si>
  <si>
    <t>paid for U channel at zeelaf</t>
  </si>
  <si>
    <t>paid cash sent thru mahmood</t>
  </si>
  <si>
    <t>umer give office kitchen hisaab, fruit, cigratte, suger, soup tea bags milk and other misc office expenses</t>
  </si>
  <si>
    <t>claimed fuel and parking for sst tax deposit and pakistan post imran marrige carsd</t>
  </si>
  <si>
    <t>zeelaf and unilever print</t>
  </si>
  <si>
    <t>paid for screw and difffuser fittings sent thru kamran auto</t>
  </si>
  <si>
    <t>to mubarak for mar 19</t>
  </si>
  <si>
    <t>for site expenses sent thru huzaifa</t>
  </si>
  <si>
    <t xml:space="preserve">Asgher Shershah </t>
  </si>
  <si>
    <t>channel patti invoice</t>
  </si>
  <si>
    <t>paid cash for ducting advance salaries at zeelaf</t>
  </si>
  <si>
    <t>umer give office kitchen hisaab, milk, tea bags, biskuit, door lock and other misc office expenses</t>
  </si>
  <si>
    <t>cash paid for site expenses sent thru jahangeer</t>
  </si>
  <si>
    <t>KCCI</t>
  </si>
  <si>
    <t>paid karachi chamber of commerce bill</t>
  </si>
  <si>
    <t>paid for bearing for motor and AHU`</t>
  </si>
  <si>
    <t>imran marriage cards corrier to within city</t>
  </si>
  <si>
    <t>paid cash for falcon plant room</t>
  </si>
  <si>
    <t>to iftikhar for march 19</t>
  </si>
  <si>
    <t>paid for nut washer and isolator bit sent thru aamir</t>
  </si>
  <si>
    <t>to fasial sweeper for march 19</t>
  </si>
  <si>
    <t>paid for gas cylinder at jpmc</t>
  </si>
  <si>
    <t>paid for misc invocies</t>
  </si>
  <si>
    <t xml:space="preserve">paid for cutting disc, at jpmc </t>
  </si>
  <si>
    <t>paid for nadeem malik site</t>
  </si>
  <si>
    <t xml:space="preserve">claimed fuel  bank KCCI Pakistan post sir rehman home 2 times </t>
  </si>
  <si>
    <t>to raheel for march 19</t>
  </si>
  <si>
    <t>paid against invoices</t>
  </si>
  <si>
    <t>fuel to falcon labour</t>
  </si>
  <si>
    <t>to bilal auto fro march  19</t>
  </si>
  <si>
    <t>paid final amount in Rs 70,000 deal</t>
  </si>
  <si>
    <t>to mubarak ali for march 19</t>
  </si>
  <si>
    <t>to sufyan for march 19</t>
  </si>
  <si>
    <t>for marriage card post and fuel</t>
  </si>
  <si>
    <t>for misc invoices</t>
  </si>
  <si>
    <t>cash paid sent thru aamir</t>
  </si>
  <si>
    <t>advance for purchasing (by himself)</t>
  </si>
  <si>
    <t>paid (by himself)</t>
  </si>
  <si>
    <t>paid to shahid for misc purchsing</t>
  </si>
  <si>
    <t>to shahrukh for march 19</t>
  </si>
  <si>
    <t>paid for jpmc insulation from iqbal sons</t>
  </si>
  <si>
    <t>umer give hisaab, (from 16-3-19  to 28-03-19)</t>
  </si>
  <si>
    <t>paid for office shop shutter repairing</t>
  </si>
  <si>
    <t>Unilever cheque received on 16-03-19    300,000 out of 800,000</t>
  </si>
  <si>
    <t>JPMC adhoc rameez payment out of 1,000,000 received on 08-3-19</t>
  </si>
  <si>
    <t>JPMC adhoc rameez payment out of 1000,000 received on 08-3-19</t>
  </si>
  <si>
    <t>JPMC adhoc rameez payment out of 1000,000   received on 08-3-19</t>
  </si>
  <si>
    <t>paid for ste expenses</t>
  </si>
  <si>
    <t>paid for purchased of cleaning material</t>
  </si>
  <si>
    <t>3 stage filter from so safe</t>
  </si>
  <si>
    <t>to shahid for march 19</t>
  </si>
  <si>
    <t>paid sent thru mehmood</t>
  </si>
  <si>
    <t>cash paid for unilever drawing print</t>
  </si>
  <si>
    <t>mobile balacne</t>
  </si>
  <si>
    <t>cd purchased for unilever as built drawings</t>
  </si>
  <si>
    <t>CD purchased</t>
  </si>
  <si>
    <t>to jahangeer for site expenses sent thru kamran auto</t>
  </si>
  <si>
    <t>to kamran auto for march 19</t>
  </si>
  <si>
    <t>for unilever drawings</t>
  </si>
  <si>
    <t>drwaing print</t>
  </si>
  <si>
    <t>paid for shopper for unit covering at zeelaf</t>
  </si>
  <si>
    <t>drawing print falcon</t>
  </si>
  <si>
    <t>claimed fuel for home car fuel and water tanker</t>
  </si>
  <si>
    <t>rohit</t>
  </si>
  <si>
    <t>paid for purcashing zeelaf</t>
  </si>
  <si>
    <t>to shahid painter for mar 19</t>
  </si>
  <si>
    <t>to abbas ishaq for march 19</t>
  </si>
  <si>
    <t>paid for bolts 8mm</t>
  </si>
  <si>
    <t>umer given hisaab misc office and kitchen expenses</t>
  </si>
  <si>
    <t>for car wash</t>
  </si>
  <si>
    <t>waris salary paid march 19</t>
  </si>
  <si>
    <t>paid to suzuki ashraf</t>
  </si>
  <si>
    <t>paid for utilities bill nasir colony</t>
  </si>
  <si>
    <t>paid for purchasing (this cash actually given by kamran auto)</t>
  </si>
  <si>
    <t>purcashed cutting discs</t>
  </si>
  <si>
    <t>paid for ftc tea expenses</t>
  </si>
  <si>
    <t>to kamran ele for purchasing</t>
  </si>
  <si>
    <t>to asif efu for april 19</t>
  </si>
  <si>
    <t xml:space="preserve">fuel </t>
  </si>
  <si>
    <t>to ali islam at nueplex</t>
  </si>
  <si>
    <t>sir rehman for mis expenses</t>
  </si>
  <si>
    <t>Saeed Lala feb 19 salary used</t>
  </si>
  <si>
    <t>aaqib 3 days salary used</t>
  </si>
  <si>
    <t>imran engg 5152 salary used</t>
  </si>
  <si>
    <t>mineral water bottles at site</t>
  </si>
  <si>
    <t>to umer office for march 19 salary took in advance</t>
  </si>
  <si>
    <t>inco</t>
  </si>
  <si>
    <t>to abdul lateeef for march 19</t>
  </si>
  <si>
    <t xml:space="preserve">cash paid  for naveed malik </t>
  </si>
  <si>
    <t>paid for final payment at naveed malik all invoices cleared</t>
  </si>
  <si>
    <t>to zuffiquar ftc for april 19</t>
  </si>
  <si>
    <t>umer give misc hisaab from 7-4-19   to  18-4-19</t>
  </si>
  <si>
    <t>paid cash for site expenses</t>
  </si>
  <si>
    <t>paid in advance at falcon</t>
  </si>
  <si>
    <t>stamp paper for 2nd floor rent agreement renewal</t>
  </si>
  <si>
    <t>paid for final deal in falcon</t>
  </si>
  <si>
    <t>advance paid in karachi gymkhana deal Rs 55000</t>
  </si>
  <si>
    <t>cash take from bilal bhai</t>
  </si>
  <si>
    <t>to faisal sweeper for april 19</t>
  </si>
  <si>
    <t>paid salaries in advance in zeelaf</t>
  </si>
  <si>
    <t>to sir rehman for misc expenses haji pharmacy and fuel claimed</t>
  </si>
  <si>
    <t>claimed fuel for misc sites</t>
  </si>
  <si>
    <t>to adil ftc for april 19</t>
  </si>
  <si>
    <t>to kamran auto for april 19</t>
  </si>
  <si>
    <t>stormfiber</t>
  </si>
  <si>
    <t>paid april 19 bill</t>
  </si>
  <si>
    <t>to shahid painter for karachi gymkhana</t>
  </si>
  <si>
    <t>to haneef for naveed malik</t>
  </si>
  <si>
    <t>unilever cheque</t>
  </si>
  <si>
    <t>to shahrukh salary advance for april 19</t>
  </si>
  <si>
    <t>purchased I beam for karachi gymkhana</t>
  </si>
  <si>
    <t>paid for cleaning material</t>
  </si>
  <si>
    <t>to rehan for office petty cash</t>
  </si>
  <si>
    <t>from munna sami purcahsing cash</t>
  </si>
  <si>
    <t>paid for sadqa bakra sylani welfare</t>
  </si>
  <si>
    <t>received from shahid painter after purcahsing</t>
  </si>
  <si>
    <t>zakat to bilal wife</t>
  </si>
  <si>
    <t>purchased 10 carton tapes form hussain puri bolten</t>
  </si>
  <si>
    <t>ftc invoices</t>
  </si>
  <si>
    <t>zeelaf invoices</t>
  </si>
  <si>
    <t>gymkhan invoices</t>
  </si>
  <si>
    <t>for car work at shah jee</t>
  </si>
  <si>
    <t>shaaf fees</t>
  </si>
  <si>
    <t>shafia fees</t>
  </si>
  <si>
    <t>umer give misc hisaab from 19-4-19   to  23-4-19</t>
  </si>
  <si>
    <t>paid sent thru nadeem bhai</t>
  </si>
  <si>
    <t>paid to jahangeer for CAMO feeder</t>
  </si>
  <si>
    <t>paid to shahid painter for colour coolong tower</t>
  </si>
  <si>
    <t>fittings from abbas traders for falcon mall</t>
  </si>
  <si>
    <t>salary adv to mubarak for april 19</t>
  </si>
  <si>
    <t>to imran engr for site expenses</t>
  </si>
  <si>
    <t>for mobile load</t>
  </si>
  <si>
    <t>to jahangeer for spirng</t>
  </si>
  <si>
    <t>for purcahsing remaining</t>
  </si>
  <si>
    <t xml:space="preserve">Unilever cheque received on 16-03-19  </t>
  </si>
  <si>
    <t>paid for purchasing for saify irons</t>
  </si>
  <si>
    <t>kamran elec for gasket for falcon cleard</t>
  </si>
  <si>
    <t>cash paid sent thru huzaifa</t>
  </si>
  <si>
    <t>paid for cutting disc from inco for falcon</t>
  </si>
  <si>
    <t>paid for site expenses given invoices</t>
  </si>
  <si>
    <t>paid for site expenses, black tape, bit and other items</t>
  </si>
  <si>
    <t>for home newspaper bill</t>
  </si>
  <si>
    <t>cash paid by himself</t>
  </si>
  <si>
    <t>paid for pipe shifting from jpmc to gymkhana</t>
  </si>
  <si>
    <t>to abdul lateef for april 19</t>
  </si>
  <si>
    <t>world wide magazine</t>
  </si>
  <si>
    <t>paid to naveed for magazine</t>
  </si>
  <si>
    <t>umer give misc hisaab from 24-4-19   to  29-4-19</t>
  </si>
  <si>
    <t>paid for april 19 salary</t>
  </si>
  <si>
    <t>to haneef for april 19</t>
  </si>
  <si>
    <t>shahid rigger</t>
  </si>
  <si>
    <t>paid for riggrt at falcon mall</t>
  </si>
  <si>
    <t>paid for purcahaing</t>
  </si>
  <si>
    <t>to ahmed</t>
  </si>
  <si>
    <t>to amir jpmc for salary advance april 19</t>
  </si>
  <si>
    <t>to nadeem painter for salary advance april 19</t>
  </si>
  <si>
    <t>to kamran elec for tools</t>
  </si>
  <si>
    <t>purchased sink for food court jpmc from KTM</t>
  </si>
  <si>
    <t xml:space="preserve">invocies naveed malik lowara pump </t>
  </si>
  <si>
    <t>invoices vellani including tickets</t>
  </si>
  <si>
    <t>farhan c/o nadeem</t>
  </si>
  <si>
    <t xml:space="preserve">to shahid rigger </t>
  </si>
  <si>
    <t>for petty cash 15000 office bilal bhai 5000 total 20,000</t>
  </si>
  <si>
    <t>paid advance in salaries</t>
  </si>
  <si>
    <t>shahjee</t>
  </si>
  <si>
    <t>paid to shahjee</t>
  </si>
  <si>
    <t>tissure papers 2 nos</t>
  </si>
  <si>
    <t>cash paid gymkhana</t>
  </si>
  <si>
    <t xml:space="preserve">salary envelop purcahed </t>
  </si>
  <si>
    <t>saeed lala salary used</t>
  </si>
  <si>
    <t>JPMC</t>
  </si>
  <si>
    <t>to karman elec for purcashing</t>
  </si>
  <si>
    <t>welding rod, cuttings discs and parmanent</t>
  </si>
  <si>
    <t>khujoor dates hadia for staff</t>
  </si>
  <si>
    <t>paid for suzuki from jpmc to office</t>
  </si>
  <si>
    <t>salary increase</t>
  </si>
  <si>
    <t>to abbas for purchasing</t>
  </si>
  <si>
    <t>invoices shahid painter gymkhaan</t>
  </si>
  <si>
    <t>khujoor packets 15 nos</t>
  </si>
  <si>
    <t>paid for purcashing the place</t>
  </si>
  <si>
    <t>bakhti give misc hisaab from 30-4-19   to  08-4-19</t>
  </si>
  <si>
    <t>nasir colony</t>
  </si>
  <si>
    <t>paid k elec nasir colony</t>
  </si>
  <si>
    <t>claimed fuel for iqbal sons cheque drop</t>
  </si>
  <si>
    <t>paid for c channel 2 x 4 80 rft and angle 1. 1/4 x 1. 1/4 60 rft at falcon</t>
  </si>
  <si>
    <t>to rizwan core</t>
  </si>
  <si>
    <t>to saeed lala</t>
  </si>
  <si>
    <t>suzuki fare for material pipe and insulation from falcon to nasir colony</t>
  </si>
  <si>
    <t>to rafeeq for invoices</t>
  </si>
  <si>
    <t>paid final payment against invoices</t>
  </si>
  <si>
    <t>shujaat salary</t>
  </si>
  <si>
    <t>owais salary</t>
  </si>
  <si>
    <t>khizer salary</t>
  </si>
  <si>
    <t>FOR site expenses</t>
  </si>
  <si>
    <t>to jahangeer for may 19</t>
  </si>
  <si>
    <t>paid for generator flang</t>
  </si>
  <si>
    <t>to talha for may 19</t>
  </si>
  <si>
    <t>for cuttings disc 4" and 5" at zeelaf</t>
  </si>
  <si>
    <t>for zeelaf purchasing cleared</t>
  </si>
  <si>
    <t>saeed lala</t>
  </si>
  <si>
    <t>paid for rehana aunty fuel</t>
  </si>
  <si>
    <t>to shahbaz for may 19</t>
  </si>
  <si>
    <t>to aqeel for may 19</t>
  </si>
  <si>
    <t>paid to rikshaw for rashan</t>
  </si>
  <si>
    <t>mineral water bottle paid including prv rs 500</t>
  </si>
  <si>
    <t>to haneef for may 19</t>
  </si>
  <si>
    <t>Karachi gymkhana</t>
  </si>
  <si>
    <t>suzuki fare for insulation from islamuddin to gymkhana</t>
  </si>
  <si>
    <t>for ssite expenses</t>
  </si>
  <si>
    <t>received against naveed malik bill # 65 &amp; 66</t>
  </si>
  <si>
    <t>paid cash for exhaust fans and brackets for jpmc</t>
  </si>
  <si>
    <t>stamp paper purchased</t>
  </si>
  <si>
    <t>paid for thermostat technician</t>
  </si>
  <si>
    <t>to asif efu for may 19</t>
  </si>
  <si>
    <t>to shaheryar for may 19</t>
  </si>
  <si>
    <t>for rashan packets</t>
  </si>
  <si>
    <t>Madarsa Zakat</t>
  </si>
  <si>
    <t>paid for madarsa hizb ul abrar</t>
  </si>
  <si>
    <t>paid to madarsa islamia shams ul huda</t>
  </si>
  <si>
    <t>paid for rashan packets</t>
  </si>
  <si>
    <t>permanent welding rod 8 nos petti for jpmc purchased by bilal office</t>
  </si>
  <si>
    <t xml:space="preserve">cash paid for Bilal bhai MCB credit card recharge </t>
  </si>
  <si>
    <t>cash paid for shafia rehman June 19 bill</t>
  </si>
  <si>
    <t>paid to madarsa ayesha siddiqua rz</t>
  </si>
  <si>
    <t>Zakat</t>
  </si>
  <si>
    <t>paid zakat to sylani</t>
  </si>
  <si>
    <t>to mubarak for may 19</t>
  </si>
  <si>
    <t>to adjre for may 19</t>
  </si>
  <si>
    <t>Koohi goth hospital</t>
  </si>
  <si>
    <t>paid for site expenses sent thru aamir for hold tites</t>
  </si>
  <si>
    <t>paid for site expenses sent thru rohit for tea and kitchen expenses</t>
  </si>
  <si>
    <t>to shahid rigger in account of FTC</t>
  </si>
  <si>
    <t>bakhti give misc hisaab from 08-4-19 to 20-5-19</t>
  </si>
  <si>
    <t>paid in account of ftc building</t>
  </si>
  <si>
    <t>to raheel for may 19</t>
  </si>
  <si>
    <t xml:space="preserve">to shahid painter </t>
  </si>
  <si>
    <t>to sajjad for may 19</t>
  </si>
  <si>
    <t>riksahw fare for rashan 10 packets</t>
  </si>
  <si>
    <t>paid for sit expenses in front of iftikhar</t>
  </si>
  <si>
    <t>to iftikhar for may 19</t>
  </si>
  <si>
    <t>to A. Lateef for may 19</t>
  </si>
  <si>
    <t>paid may salary in advance</t>
  </si>
  <si>
    <t>to aamir plumber for may 19</t>
  </si>
  <si>
    <t>invoices karachi gymnkhna</t>
  </si>
  <si>
    <t>paid for panel shifting at falcon mall</t>
  </si>
  <si>
    <t>paid for suzuki fare from office to jpmc to office to jpmc to ftc</t>
  </si>
  <si>
    <t>give for fuel</t>
  </si>
  <si>
    <t>paid zakat to bilal wife</t>
  </si>
  <si>
    <t>for zahabiya duct sealent for falcon mall</t>
  </si>
  <si>
    <t>faizan ali</t>
  </si>
  <si>
    <t>claimed nueplex fuel</t>
  </si>
  <si>
    <t>to shahid for purchasing</t>
  </si>
  <si>
    <t>to billal auto for may 19</t>
  </si>
  <si>
    <t>u fone super card to his friend</t>
  </si>
  <si>
    <t>claimed fuel for falcon bond collection from II chundiger road and ftc for chq collection</t>
  </si>
  <si>
    <t>cash paid in front of bilal bhai</t>
  </si>
  <si>
    <t>paid for invoices given</t>
  </si>
  <si>
    <t>to kamran auto for may 19</t>
  </si>
  <si>
    <t>to bakhti for may 19</t>
  </si>
  <si>
    <t>for site expenses sent thru bakhti</t>
  </si>
  <si>
    <t>paid for zahabiya duct sealent</t>
  </si>
  <si>
    <t>paid for newpaper</t>
  </si>
  <si>
    <t>to abbas for may 19</t>
  </si>
  <si>
    <t>to shahid painter for may 19</t>
  </si>
  <si>
    <t>to amir jpmc for may 19</t>
  </si>
  <si>
    <t>to imran engr for invoices</t>
  </si>
  <si>
    <t>cash paid for jpmc bill</t>
  </si>
  <si>
    <t xml:space="preserve">paid for suzuki fare for rashan </t>
  </si>
  <si>
    <t>ftc aftari</t>
  </si>
  <si>
    <t>invoices ftc</t>
  </si>
  <si>
    <t>kg invoices</t>
  </si>
  <si>
    <t>efu invoices</t>
  </si>
  <si>
    <t>zmv invoices</t>
  </si>
  <si>
    <t>to sir rehman for water tanker and fuel</t>
  </si>
  <si>
    <t>office room spray</t>
  </si>
  <si>
    <t>02 envelop packets for salaries</t>
  </si>
  <si>
    <t>karman auto</t>
  </si>
  <si>
    <t>mona ducting</t>
  </si>
  <si>
    <t>paid for mona ducting staff salaries</t>
  </si>
  <si>
    <t>paid for car battery</t>
  </si>
  <si>
    <t>to aqeel jpmc for june 19</t>
  </si>
  <si>
    <t>to shahbaz jpmc for june 19</t>
  </si>
  <si>
    <t>used in salaries</t>
  </si>
  <si>
    <t>Irfan salary used</t>
  </si>
  <si>
    <t>bakhti give misc hisaab from 21-5-19  to 10-6-19</t>
  </si>
  <si>
    <t>This cash paid in charity</t>
  </si>
  <si>
    <t>to kamran elec for his medication</t>
  </si>
  <si>
    <t xml:space="preserve">jpmc </t>
  </si>
  <si>
    <t>purcashing from incco cuttings disc and other items</t>
  </si>
  <si>
    <t xml:space="preserve">claimed fuel for sem, NBP SMCH, </t>
  </si>
  <si>
    <t>paid rikshaw fare for nut bolts from HQ</t>
  </si>
  <si>
    <t>This payment received from total as jpmc PAF payment receiving date 11-05-19</t>
  </si>
  <si>
    <t>Receiving</t>
  </si>
  <si>
    <t>for cash tranfer to karor to sir rehman</t>
  </si>
  <si>
    <t>for nasir colony utility bill</t>
  </si>
  <si>
    <t>paid for home invoices</t>
  </si>
  <si>
    <t>bakhti give misc hisaab from 10-6-19  to 14-6-19</t>
  </si>
  <si>
    <t>to talha for June 19</t>
  </si>
  <si>
    <t>bonus paid to nadeem bhai</t>
  </si>
  <si>
    <t>for waris salary</t>
  </si>
  <si>
    <t>paid for photo copies for log sheet cleared</t>
  </si>
  <si>
    <t>paid for purchasing  invoices given 23610 remaining 6390</t>
  </si>
  <si>
    <t xml:space="preserve">claimed fuel for SEM, siza food, spar office </t>
  </si>
  <si>
    <t>cash sent thru sheheryar for disc purcashing</t>
  </si>
  <si>
    <t>to raheel for June 19</t>
  </si>
  <si>
    <t>to aqeel for June 19</t>
  </si>
  <si>
    <t>paid for site expenses cleared</t>
  </si>
  <si>
    <t>to abbas plumber for june 19</t>
  </si>
  <si>
    <t>paid sent thru his son shabbir</t>
  </si>
  <si>
    <t>The place</t>
  </si>
  <si>
    <t>paid for 04 nos air curtain 4 ft long caravell</t>
  </si>
  <si>
    <t>This payment received from total as jpmc IPC 40 receiving date 11-06-19,  This 01 million cheque given to Taheriya Sanitry, he adjust 500,000 in his ledger and return 500,000 in the followong form:
1) Chq 1   200,000  this cheque cashed thru allied bank on 19-6-19
2) chq 2   100,000
3) chq 3   100,000
4) chq 4   100,000</t>
  </si>
  <si>
    <t>received from khalid the place</t>
  </si>
  <si>
    <t>paid for 02 nos air curtain</t>
  </si>
  <si>
    <t>bakhti give misc hisaab from 15-6-19  to 22-6-19</t>
  </si>
  <si>
    <t>paid forzeelaf purchaisng</t>
  </si>
  <si>
    <t>drawings print zeelaf and jpmc</t>
  </si>
  <si>
    <t>paid for zeelaf purchasing</t>
  </si>
  <si>
    <t>paid for fiber work at naveed malik villa</t>
  </si>
  <si>
    <t>JPMC PAF Payment chq 100,000 out of 459812) receiving date 11-6-19</t>
  </si>
  <si>
    <t>cash paid for site expenses will give invoices</t>
  </si>
  <si>
    <t>to bakhti for june 19</t>
  </si>
  <si>
    <t>for site expenses emerald nishat</t>
  </si>
  <si>
    <t>paid for site expenses   cleared 2260  pending 800</t>
  </si>
  <si>
    <t>to imran engr</t>
  </si>
  <si>
    <t>to bilal auto fro june 19  19</t>
  </si>
  <si>
    <t>bakhti give misc hisaab from 23-6-19  to 27-6-19</t>
  </si>
  <si>
    <t>DIB un-signed cheque</t>
  </si>
  <si>
    <t>akber sasa</t>
  </si>
  <si>
    <t>paid for his mother death charity thru easypesa with transaction fees</t>
  </si>
  <si>
    <t>paid by order bilal bhai thru easypesa with transaction fees</t>
  </si>
  <si>
    <t>Received in his share 2019</t>
  </si>
  <si>
    <t>paid sent thru huzaifa</t>
  </si>
  <si>
    <t>hundai</t>
  </si>
  <si>
    <t>for bank charges against sir rehman fbr amenesty scheme paid</t>
  </si>
  <si>
    <t xml:space="preserve">claimed fuel  sst and sem office </t>
  </si>
  <si>
    <t>to Iftikhar for june 19  19</t>
  </si>
  <si>
    <t>nadeem bhai medicine</t>
  </si>
  <si>
    <t>paid for electric cable puchased untill this all his hisaab cleared</t>
  </si>
  <si>
    <t>to mubarak for june 19</t>
  </si>
  <si>
    <t>to sufyan for june 19</t>
  </si>
  <si>
    <t xml:space="preserve">Rizwan the place </t>
  </si>
  <si>
    <t>paid for insulation</t>
  </si>
  <si>
    <t>bakhti for car wash</t>
  </si>
  <si>
    <t>paid for hundai purchasing</t>
  </si>
  <si>
    <t>cash paid for sit expenses</t>
  </si>
  <si>
    <t>invocies zeelaf</t>
  </si>
  <si>
    <t>invocies falcon</t>
  </si>
  <si>
    <t>invocies ftc</t>
  </si>
  <si>
    <t>invocies jpmc</t>
  </si>
  <si>
    <t>paid office 1st floor and 2nd floor bill</t>
  </si>
  <si>
    <t>for fuel taken by ahmed</t>
  </si>
  <si>
    <t>claimed fuel 4 times SEM SSt YH nad other misc</t>
  </si>
  <si>
    <t>hyundai drawing print</t>
  </si>
  <si>
    <t>cash for purchasing falcon and hyndai</t>
  </si>
  <si>
    <t xml:space="preserve">cash for purchasing </t>
  </si>
  <si>
    <t>for salary envelop</t>
  </si>
  <si>
    <t>for purchasing zeelaf</t>
  </si>
  <si>
    <t>bakhti give misc hisaab from 28-6-19  to 05-7-19</t>
  </si>
  <si>
    <t>hyundai</t>
  </si>
  <si>
    <t>print</t>
  </si>
  <si>
    <t xml:space="preserve">room door and catcher </t>
  </si>
  <si>
    <t>for purchasing hyundai</t>
  </si>
  <si>
    <t>for purchasing insulation</t>
  </si>
  <si>
    <t>paid for fan c/o bilal bhai</t>
  </si>
  <si>
    <t>for photo copy of efy log sheets</t>
  </si>
  <si>
    <t>cash paid for fittings for hynudai</t>
  </si>
  <si>
    <t>salaries cheque</t>
  </si>
  <si>
    <t>for air curtain</t>
  </si>
  <si>
    <t>khan brother</t>
  </si>
  <si>
    <t>paid for regerigerat gas cylinder in account of naveed malik</t>
  </si>
  <si>
    <t>paid for gas cylinder at jpmc and zeelaf</t>
  </si>
  <si>
    <t>for hundai purchasing</t>
  </si>
  <si>
    <t>for zaalaf purchisng</t>
  </si>
  <si>
    <t>hold with minhaal</t>
  </si>
  <si>
    <t>purchased imtiaz lahore tender purchased from YH</t>
  </si>
  <si>
    <t>This payment received from total as jpmc IPC 40 receiving date 11-06-19,  This 01 million cheque given to Taheriya Sanitry, he adjust 500,000 in his ledger and return 500,000 in the followong form:
1) Chq 1   200,000  this cheque cashed thru allied bank on 19-6-19
2) chq 2   100,000 this cheque cashed by mona ducting
3) chq 3   100,000 this chq given to hammad flang
4) chq 4   100,000 this checque cash by mina ducting charge in office cash on 9-7-19</t>
  </si>
  <si>
    <t>deduct online cash charges</t>
  </si>
  <si>
    <t>paid for salaries final amount for the month of june 19</t>
  </si>
  <si>
    <t>for coil</t>
  </si>
  <si>
    <t>received cash from bilal bhao c/o zeeshan frnd at north kar</t>
  </si>
  <si>
    <t>paid for the month of june 19</t>
  </si>
  <si>
    <t>for hundai falcon and zeelaf purchasing</t>
  </si>
  <si>
    <t>sameer</t>
  </si>
  <si>
    <t>salaries paid for 5 days abeer and sameer salary</t>
  </si>
  <si>
    <t>to asif efu for the month july 19</t>
  </si>
  <si>
    <t>ftc floor</t>
  </si>
  <si>
    <t>paid for tea expesnes</t>
  </si>
  <si>
    <t>zahid AC</t>
  </si>
  <si>
    <t>paid in jpmc for cassete typ units</t>
  </si>
  <si>
    <t>tape and fittings for hyundai</t>
  </si>
  <si>
    <t>drawing</t>
  </si>
  <si>
    <t>cash paid for huyndai purchasing</t>
  </si>
  <si>
    <t>ufone super card doubling</t>
  </si>
  <si>
    <t>office usb purchased</t>
  </si>
  <si>
    <t xml:space="preserve">drawings print </t>
  </si>
  <si>
    <t>Rs 50,000 received from nadeem bhai for his VITz car from mr raheel</t>
  </si>
  <si>
    <t>amir engr</t>
  </si>
  <si>
    <t>paid for site expenses sent thru aamir engr</t>
  </si>
  <si>
    <t>for for hyundai pucahsing ok cleared</t>
  </si>
  <si>
    <t>cash for smc</t>
  </si>
  <si>
    <t>for hyundai jpmc channed for the place ok cleared</t>
  </si>
  <si>
    <t>zeelaf</t>
  </si>
  <si>
    <t>paid for misx invoices</t>
  </si>
  <si>
    <t>to shaheryar for july 19</t>
  </si>
  <si>
    <t>purcahsed 2 ton ac</t>
  </si>
  <si>
    <t>mobile cards ufone</t>
  </si>
  <si>
    <t>chque cash</t>
  </si>
  <si>
    <t>to ahmed falcon for july 19</t>
  </si>
  <si>
    <t>Adjer</t>
  </si>
  <si>
    <t>paid adjer salary</t>
  </si>
  <si>
    <t>for purchasing from qasim traders</t>
  </si>
  <si>
    <t>bakhti give misc hisaab from 06-7-19  to 19-7-19</t>
  </si>
  <si>
    <t>to shahbaz jpmc for july 19</t>
  </si>
  <si>
    <t>saqub</t>
  </si>
  <si>
    <t>paid saqib salary</t>
  </si>
  <si>
    <t>to amir jpmc for july 19</t>
  </si>
  <si>
    <t>Bina plastic</t>
  </si>
  <si>
    <t>to faisal for july</t>
  </si>
  <si>
    <t>for purchasing cleared</t>
  </si>
  <si>
    <t>cash for purcashing cleared =15000-13085+7000 =8915-4850=4065</t>
  </si>
  <si>
    <t xml:space="preserve">car typres passo </t>
  </si>
  <si>
    <t>Drill tech services</t>
  </si>
  <si>
    <t>paid advance in zeelaf</t>
  </si>
  <si>
    <t>cash paid hundai advance</t>
  </si>
  <si>
    <t>for flexible duct at office</t>
  </si>
  <si>
    <t>hyundai dawings</t>
  </si>
  <si>
    <t>to kamran auto for july 19</t>
  </si>
  <si>
    <t>chque cash 2 chq cashed</t>
  </si>
  <si>
    <t>to iftikhar for july 19</t>
  </si>
  <si>
    <t>to a lateef for july 19</t>
  </si>
  <si>
    <t>cash for fire work item purchasing</t>
  </si>
  <si>
    <t>for utilities bills paid nasir colony</t>
  </si>
  <si>
    <t>cash for insulation at zeelaf</t>
  </si>
  <si>
    <t>EFU</t>
  </si>
  <si>
    <t>to haneef</t>
  </si>
  <si>
    <t>given to laywer waqeel by waqas</t>
  </si>
  <si>
    <t>return to rehan office</t>
  </si>
  <si>
    <t>cash paid ok cleared</t>
  </si>
  <si>
    <t>cash paid sent thru abdullah</t>
  </si>
  <si>
    <t>to talha for july 19</t>
  </si>
  <si>
    <t>cash for site expense</t>
  </si>
  <si>
    <t>bakhti give misc hisaab from 19-7-19  to 27-7-19</t>
  </si>
  <si>
    <t>purchased 06 nos coil form fast cool from hyundai</t>
  </si>
  <si>
    <t>for pullies washal cleared 1500-1220=280</t>
  </si>
  <si>
    <t>for riksahw fare for sire at mhr</t>
  </si>
  <si>
    <t>Zeeshan AC</t>
  </si>
  <si>
    <t>paid advance in the place</t>
  </si>
  <si>
    <t>to bilal auto for july 19</t>
  </si>
  <si>
    <t>to noman for july 19 he resigned</t>
  </si>
  <si>
    <t>paid to noman for jpmc refereshemt</t>
  </si>
  <si>
    <t>to mubarak for july 19</t>
  </si>
  <si>
    <t>to faisal for july salary</t>
  </si>
  <si>
    <t>paid for site expenses sent thru minhaal</t>
  </si>
  <si>
    <t>for purchiang 5000  + 280 cleared</t>
  </si>
  <si>
    <t>for printer refiller and repair</t>
  </si>
  <si>
    <t>taken form bilal</t>
  </si>
  <si>
    <t>suzki fate for grills</t>
  </si>
  <si>
    <t>taken form bilal autocad</t>
  </si>
  <si>
    <t>to khalid bhai for july salary</t>
  </si>
  <si>
    <t>to zulfiquar ftc for july salary</t>
  </si>
  <si>
    <t>for elbow, 45 and cable tie for hyundai cleared</t>
  </si>
  <si>
    <t>to minhaal for purchasign  6900-2663=4237</t>
  </si>
  <si>
    <t>to minhaal for purchasign  reduser bill pending</t>
  </si>
  <si>
    <t>DIB chq for salaries</t>
  </si>
  <si>
    <t>return to nadeem bhai which is taken by bilal auto fron his home</t>
  </si>
  <si>
    <t>paid against bill</t>
  </si>
  <si>
    <t>paid salary to painter for Rs 800/day 07 days and deduct rs 1000</t>
  </si>
  <si>
    <t>paid by nadeem bhai for his salary increase</t>
  </si>
  <si>
    <t>paid (this cash given to haneef bhai)</t>
  </si>
  <si>
    <t>paid by nadeem bhai</t>
  </si>
  <si>
    <t>to sufyan for july 19</t>
  </si>
  <si>
    <t>nasir colony bill</t>
  </si>
  <si>
    <t>for cable tie packets at hyundai</t>
  </si>
  <si>
    <t>bakhti give misc hisaab from 28-7-19  to 07-8-19</t>
  </si>
  <si>
    <t>2nd DIB chq for salaries for th emonth of july 19</t>
  </si>
  <si>
    <t>for drwwing print</t>
  </si>
  <si>
    <t>Khaadi</t>
  </si>
  <si>
    <t>Raees brothers</t>
  </si>
  <si>
    <t>paid cash in falcon deal</t>
  </si>
  <si>
    <t>mobile balance ufone and mobilink</t>
  </si>
  <si>
    <t>to shahbaz and his staff salaries</t>
  </si>
  <si>
    <t>paid for site expense given by office salaries cash cleated</t>
  </si>
  <si>
    <t>Irfan autocad</t>
  </si>
  <si>
    <t>paid his remaining bonus</t>
  </si>
  <si>
    <t>paid for ufone super card</t>
  </si>
  <si>
    <t>paid by bilal bhai for gift</t>
  </si>
  <si>
    <t>for purchasing misc purchases</t>
  </si>
  <si>
    <t>3rd DIB chq for salaries for th emonth of july 19</t>
  </si>
  <si>
    <t>to mubarak for august 19</t>
  </si>
  <si>
    <t>to aqeel for august 19</t>
  </si>
  <si>
    <t>salaries paid</t>
  </si>
  <si>
    <t>cash  office cash all cleared but due rs 1230</t>
  </si>
  <si>
    <t>used shop rent</t>
  </si>
  <si>
    <t>paid trander in easy paisa account</t>
  </si>
  <si>
    <t>paid for suzku fair</t>
  </si>
  <si>
    <t>to asif efu for august 19</t>
  </si>
  <si>
    <t>bakhti give misc hisaab from 08-8-19  to 20-8-19</t>
  </si>
  <si>
    <t>purched insulation for zeelaf from forte flex</t>
  </si>
  <si>
    <t>paid for his given invocies</t>
  </si>
  <si>
    <t>for jpmc purchsing ok cleared</t>
  </si>
  <si>
    <t>for purchasing zeelaf fittigns ok cleared</t>
  </si>
  <si>
    <t>for purcashing ok cleared</t>
  </si>
  <si>
    <t>tapes silicon bush and ms fittings for hyndai</t>
  </si>
  <si>
    <t>riksahw fare form fast cool to hyundai</t>
  </si>
  <si>
    <t>for zeelaf purcashing pvc tapes</t>
  </si>
  <si>
    <t>for barrel nippe hyndai</t>
  </si>
  <si>
    <t>for tapes 2 carton</t>
  </si>
  <si>
    <t>paid for rental chiller shifitng at zeelaf</t>
  </si>
  <si>
    <t>used shop rent return</t>
  </si>
  <si>
    <t>paid advance in jpmc</t>
  </si>
  <si>
    <t>khaadi dmtr drawings</t>
  </si>
  <si>
    <t>to SALAHUDDIN for august 19</t>
  </si>
  <si>
    <t>to sheryar khalid for august 19</t>
  </si>
  <si>
    <t>paid for motor repairing ashger mechancal</t>
  </si>
  <si>
    <t>running verified bill copies</t>
  </si>
  <si>
    <t>paid at office</t>
  </si>
  <si>
    <t>cash paid sent thru nadeem bhai hand</t>
  </si>
  <si>
    <t>paid for suzuki fare for nasir colony to jpmc</t>
  </si>
  <si>
    <t>clamed fuel250</t>
  </si>
  <si>
    <t>paid for naved malik</t>
  </si>
  <si>
    <t>paid for c channel 3"</t>
  </si>
  <si>
    <t>for bilal bhai home light</t>
  </si>
  <si>
    <t>faheem elec</t>
  </si>
  <si>
    <t>for hyndai and falcon material inviouces</t>
  </si>
  <si>
    <t>for jpmc purchasing</t>
  </si>
  <si>
    <t>paid for fiber tank at zeelaf</t>
  </si>
  <si>
    <t>to bilal auto for august 19</t>
  </si>
  <si>
    <t>hold with minhaal cleared</t>
  </si>
  <si>
    <t>for paint material cleared</t>
  </si>
  <si>
    <t>paid sent thru bakhti</t>
  </si>
  <si>
    <t>suzuki fare from iqbal sons to jpmc for flexbile 6"</t>
  </si>
  <si>
    <t>cash taken for falcon</t>
  </si>
  <si>
    <t>cash paid from hndai to jpmc</t>
  </si>
  <si>
    <t>cash taken for purcahsing, falcon, zeelaf and jpmc nut bolts</t>
  </si>
  <si>
    <t>huzaifa super card for jpmc</t>
  </si>
  <si>
    <t>insulation purcahsed 2 roll for zeelaf</t>
  </si>
  <si>
    <t>from cloth from office to jpmc</t>
  </si>
  <si>
    <t>bakhti give misc hisaab from 21-8-19  to 28-8-19</t>
  </si>
  <si>
    <t>invoices zmv</t>
  </si>
  <si>
    <t>paid for purchasing for falcon and jpmc  =55000-8000-27600</t>
  </si>
  <si>
    <t>to a lateef for august 19</t>
  </si>
  <si>
    <t>for co nipple kable brand for falcon cleared</t>
  </si>
  <si>
    <t>cash paid given by minhaal till now rs 15000 hold haneef</t>
  </si>
  <si>
    <t>cash paid by bkahti</t>
  </si>
  <si>
    <t>cash paid given to abdur rehman</t>
  </si>
  <si>
    <t>cash paid till now rs 16000</t>
  </si>
  <si>
    <t>bakhti give misc hisaab from 38-8-19  to 31-8-19</t>
  </si>
  <si>
    <t>masood auto tech</t>
  </si>
  <si>
    <t>paid, this cash actually paid to jahanzaib c/o nadeem bhai</t>
  </si>
  <si>
    <t>paid nadeem bhai salary</t>
  </si>
  <si>
    <t>paid waris salaries for two months</t>
  </si>
  <si>
    <t>hold cleared</t>
  </si>
  <si>
    <t>to talha august 19</t>
  </si>
  <si>
    <t>tea and refreshment for ftc site for 2 months</t>
  </si>
  <si>
    <t>ufone balance</t>
  </si>
  <si>
    <t>zulfiquar ftc</t>
  </si>
  <si>
    <t>for computer servicing and repairing</t>
  </si>
  <si>
    <t>abdullah boy waqas rs 4250</t>
  </si>
  <si>
    <t>abdullah boy shamroz rs 2600</t>
  </si>
  <si>
    <t>paid wire suzki fare to faheem elec</t>
  </si>
  <si>
    <t>paid to mossi old</t>
  </si>
  <si>
    <t>faisal salary paid after advanc e deduct</t>
  </si>
  <si>
    <t>office cash</t>
  </si>
  <si>
    <t>talha auto</t>
  </si>
  <si>
    <t>claimed conveyance</t>
  </si>
  <si>
    <t>paid for paint and other material</t>
  </si>
  <si>
    <t>paid for khaadi DMTR</t>
  </si>
  <si>
    <t>mhr home bill paid</t>
  </si>
  <si>
    <t>bakhti give misc hisaab from 01-9-19  to 05-9-19</t>
  </si>
  <si>
    <t>received against zeelaf adhoc agaisnt core VO and rental chiller vo</t>
  </si>
  <si>
    <t>to shahid for august 19</t>
  </si>
  <si>
    <t>to ahmed for august 19</t>
  </si>
  <si>
    <t>to chutta; for august 19</t>
  </si>
  <si>
    <t>to jahangeer for august 19</t>
  </si>
  <si>
    <t>to waseem for august 19</t>
  </si>
  <si>
    <t>to saeed lala for august 19</t>
  </si>
  <si>
    <t>jpmc and khaadi</t>
  </si>
  <si>
    <t xml:space="preserve">tender </t>
  </si>
  <si>
    <t>jamia tender purchased</t>
  </si>
  <si>
    <t>fare for forteflex to zeelaf</t>
  </si>
  <si>
    <t>from office to khaadi dmtr for insuaktuin rolls</t>
  </si>
  <si>
    <t>welding rods and heat gun</t>
  </si>
  <si>
    <t>to khalid bhai zeelaf for august 19 sent thru ali son</t>
  </si>
  <si>
    <t>zeelaf pump repair</t>
  </si>
  <si>
    <t>paid for pump and other items for zeelaf till now rs 19000</t>
  </si>
  <si>
    <t>cash taken now up to date 19,300</t>
  </si>
  <si>
    <t>bakhti give misc hisaab from 06-9-19  to 11-9-19</t>
  </si>
  <si>
    <t>hold  with minhaal cleared</t>
  </si>
  <si>
    <t>cash for purchasign for tape duct sealt and screw box</t>
  </si>
  <si>
    <t>to waseem for falcon</t>
  </si>
  <si>
    <t xml:space="preserve">to bilal aut0  for august 19 </t>
  </si>
  <si>
    <t>KE bill</t>
  </si>
  <si>
    <t>office bill</t>
  </si>
  <si>
    <t>for insulation roll of kaytess from office to khaadi dmtr</t>
  </si>
  <si>
    <t>for vfds from prem to falcon to office to prem</t>
  </si>
  <si>
    <t>paid for wire purchased for hyundai</t>
  </si>
  <si>
    <t xml:space="preserve">to feroz sahab  for august 19 </t>
  </si>
  <si>
    <t>cash for purcaisng</t>
  </si>
  <si>
    <t>for purcasjing cleared</t>
  </si>
  <si>
    <t>cash for purchasing cleared</t>
  </si>
  <si>
    <t>shafqat</t>
  </si>
  <si>
    <t>3rd salary chq MCB chq</t>
  </si>
  <si>
    <t>2nd salarydib  chq</t>
  </si>
  <si>
    <t>All salaries paid except EFU staff which is 93,756</t>
  </si>
  <si>
    <t>paid his staff advance salaries</t>
  </si>
  <si>
    <t>MCB chq for SST tax</t>
  </si>
  <si>
    <t>paid to bilal bhai wife for home misc invoices</t>
  </si>
  <si>
    <t>cash for purcashing cleared</t>
  </si>
  <si>
    <t>paid cash for adjust his petty account</t>
  </si>
  <si>
    <t>for purcchasing cleared</t>
  </si>
  <si>
    <t>bakhti give misc hisaab from 12-9-19  to 16-9-19</t>
  </si>
  <si>
    <t>ufone card</t>
  </si>
  <si>
    <t>purchasing fittings from malik traders at khy jaami</t>
  </si>
  <si>
    <t xml:space="preserve">MCB chq </t>
  </si>
  <si>
    <t>cash paid for azeem purchasing cleared</t>
  </si>
  <si>
    <t>cash paid for site purcashing</t>
  </si>
  <si>
    <t xml:space="preserve">cash paid cleared   </t>
  </si>
  <si>
    <t>advance given now uptodate total rs 6000</t>
  </si>
  <si>
    <t>EFU staff salaries paid</t>
  </si>
  <si>
    <t>Bilal bhai child fee cash used</t>
  </si>
  <si>
    <t>cash paid advance in jamc now uptodate 50,000</t>
  </si>
  <si>
    <t>for cuttings disc khaadi dmtr</t>
  </si>
  <si>
    <t>hold</t>
  </si>
  <si>
    <t>cash oaid for usb</t>
  </si>
  <si>
    <t>cash for 02 roll insulation and other purchasing</t>
  </si>
  <si>
    <t>mobile balance super card</t>
  </si>
  <si>
    <t>cash for gasket and flanges</t>
  </si>
  <si>
    <t>khaadi dmtr</t>
  </si>
  <si>
    <t>bakhti give misc hisaab from 17-9-19  to 18-9-19</t>
  </si>
  <si>
    <t>purcahsing</t>
  </si>
  <si>
    <t>pump purchased for zeelaf</t>
  </si>
  <si>
    <t>paid by minhaal</t>
  </si>
  <si>
    <t xml:space="preserve">paid cash </t>
  </si>
  <si>
    <t xml:space="preserve">MCB </t>
  </si>
  <si>
    <t xml:space="preserve">purchasing fittings </t>
  </si>
  <si>
    <t>advance to card printing</t>
  </si>
  <si>
    <t>from office to khaadi dmtr for insulation rolls</t>
  </si>
  <si>
    <t>for purcahing cleared</t>
  </si>
  <si>
    <t>to imran s/o feroz shb</t>
  </si>
  <si>
    <t>bakhti give misc hisaab from 19-9-19  to 23-9-19</t>
  </si>
  <si>
    <t>for bilal bhai room phone issue resolved</t>
  </si>
  <si>
    <t>to asif efu for september 19</t>
  </si>
  <si>
    <t>PAID self</t>
  </si>
  <si>
    <t xml:space="preserve">cash paid for utilities bill </t>
  </si>
  <si>
    <t>paid for site expenses kumail bhai</t>
  </si>
  <si>
    <t>for fan rikshaw fare</t>
  </si>
  <si>
    <t>FTZ traders</t>
  </si>
  <si>
    <t>paid for foot valve charged in gulshan project</t>
  </si>
  <si>
    <t>paid by order nadeem bhai</t>
  </si>
  <si>
    <t>for somosas and tea for jahangeer and sheryar</t>
  </si>
  <si>
    <t>purcahased 4 roll insualtion for zeelaf + riksahw fare</t>
  </si>
  <si>
    <t>to talha for september 19</t>
  </si>
  <si>
    <t>bakhti give misc hisaab from 24-9-19  to 27-9-19</t>
  </si>
  <si>
    <t>pump motor repair for office</t>
  </si>
  <si>
    <t>tranfer pump zeelaf purchased</t>
  </si>
  <si>
    <t>pump purchased from ayyan engr</t>
  </si>
  <si>
    <t>bakhti give misc hisaab from 28-9-19  to 30-9-19</t>
  </si>
  <si>
    <t>cash apid</t>
  </si>
  <si>
    <t>for newspaper</t>
  </si>
  <si>
    <t>utilities bills paid</t>
  </si>
  <si>
    <t>falcon and zeelaf to dawwod suzuki and hyundai</t>
  </si>
  <si>
    <t>office phone wiring work</t>
  </si>
  <si>
    <t xml:space="preserve">feroz </t>
  </si>
  <si>
    <t>paid for photocopies</t>
  </si>
  <si>
    <t>paid to amir for drawings</t>
  </si>
  <si>
    <t>From Bilal bhai</t>
  </si>
  <si>
    <t>incco</t>
  </si>
  <si>
    <t>transfr pump for hundai</t>
  </si>
  <si>
    <t xml:space="preserve">paid for site </t>
  </si>
  <si>
    <t>to khalid bhai for september 19</t>
  </si>
  <si>
    <t>for naveed malik , given by minhaal uptodate  20,300 - 6000 (for pump bill) now balance rem = 13700</t>
  </si>
  <si>
    <t>to haneef for september 19 by order nadeem bhai</t>
  </si>
  <si>
    <t>cash for falcon up to date rs 10,000 then rs 1000 given by azeem now 11,000 cleared</t>
  </si>
  <si>
    <t>paid  cleared</t>
  </si>
  <si>
    <t>for bike</t>
  </si>
  <si>
    <t>envelop</t>
  </si>
  <si>
    <t>ufine card</t>
  </si>
  <si>
    <t>for purchasing of jpmc paint abd then rs 2000 given by nadeem bhai</t>
  </si>
  <si>
    <t>Receivedd from faheem elec after purchasing</t>
  </si>
  <si>
    <t xml:space="preserve">mouse </t>
  </si>
  <si>
    <t>for ftc tea expenses</t>
  </si>
  <si>
    <t>for tender corrier paper sancks hub</t>
  </si>
  <si>
    <t>Salary chq</t>
  </si>
  <si>
    <t>Total Salaries paid yet for September 19</t>
  </si>
  <si>
    <t>bakhti give misc hisaab from 01-10-19  to 05-10-19</t>
  </si>
  <si>
    <t>for purchasing falcon</t>
  </si>
  <si>
    <t>cash for site expenses for hyundai falcon and zeelaf</t>
  </si>
  <si>
    <t>jpmc invocies float switch double valve</t>
  </si>
  <si>
    <t>paid for wire at jpmc</t>
  </si>
  <si>
    <t>MCC panel transportation at jpmc</t>
  </si>
  <si>
    <t xml:space="preserve">for purcahsing   </t>
  </si>
  <si>
    <t xml:space="preserve">to talha for september 19 </t>
  </si>
  <si>
    <t>invocies office</t>
  </si>
  <si>
    <t>paid for extra leave deducted from his salary two months ago</t>
  </si>
  <si>
    <t xml:space="preserve">karman refill &amp; drum and taflon + fuser repair </t>
  </si>
  <si>
    <t>advance paid  till nov 19</t>
  </si>
  <si>
    <t>Owais salary for the month August 2019 used in office cash</t>
  </si>
  <si>
    <t>cash paid for site expenses sent thru amjad bhai</t>
  </si>
  <si>
    <t>faisal slary paid</t>
  </si>
  <si>
    <t>cash paid (imran salary)</t>
  </si>
  <si>
    <t>purcahses flanges, niples,  tape fittings and joinder (cash taken Rs 32500 + 15000+5000)</t>
  </si>
  <si>
    <t>bakhti give misc hisaab from 06-10-19  to 09-10-19</t>
  </si>
  <si>
    <t>cash paid for final his account all cleared</t>
  </si>
  <si>
    <t>sadqa for bakra</t>
  </si>
  <si>
    <t>paid for unit installation</t>
  </si>
  <si>
    <t>bakhti give misc hisaab from 09-10-19  to 10-10-19</t>
  </si>
  <si>
    <t>master trap</t>
  </si>
  <si>
    <t>imran c/o feroz salary paid</t>
  </si>
  <si>
    <t>for purcashing cleared</t>
  </si>
  <si>
    <t xml:space="preserve">cash paid for site expenses sent thru kamran </t>
  </si>
  <si>
    <t xml:space="preserve">for purchasing </t>
  </si>
  <si>
    <t>cash paid nadeem bhai bhanja he wil return</t>
  </si>
  <si>
    <t>bakhti give misc hisaab from 11-10-19  to 14-10-19</t>
  </si>
  <si>
    <t>paid for unit basement gas</t>
  </si>
  <si>
    <t>to asif efu for oct 19</t>
  </si>
  <si>
    <t>paid sent thru zeeshan ac paid for supply chain room</t>
  </si>
  <si>
    <t>zakat</t>
  </si>
  <si>
    <t>paid to khurram c/o bilal wife</t>
  </si>
  <si>
    <t>to abbas pkumber for oct 19</t>
  </si>
  <si>
    <t>cash paid for zeelaf</t>
  </si>
  <si>
    <t>for cup and glass tapes cleared remaining 500 remaining 220</t>
  </si>
  <si>
    <t>invoics naveed malik</t>
  </si>
  <si>
    <t xml:space="preserve">invoice the cinema </t>
  </si>
  <si>
    <t>for puurfahsing zeelaf flanges</t>
  </si>
  <si>
    <t>to riaz driver for oct 19</t>
  </si>
  <si>
    <t>cash paid for puchasing cleared</t>
  </si>
  <si>
    <t>hold for rubber bill</t>
  </si>
  <si>
    <t>for color copy</t>
  </si>
  <si>
    <t>for zeelaf draing</t>
  </si>
  <si>
    <t>paid for bilal bhai work</t>
  </si>
  <si>
    <t>to aamir for jpmc drawings</t>
  </si>
  <si>
    <t>purchasing cleared</t>
  </si>
  <si>
    <t>bakhti give misc hisaab from 15-10-19  to 21-10-19</t>
  </si>
  <si>
    <t>received from khaadi 2nd payment shakeel my interior</t>
  </si>
  <si>
    <t>raza engineering</t>
  </si>
  <si>
    <t>paid for ss sheet purchsing at zeelaf</t>
  </si>
  <si>
    <t>paid for 02 nos circular duct fans for khaadi dmtr</t>
  </si>
  <si>
    <t>paid for utilities bills for sept 29</t>
  </si>
  <si>
    <t>paid for site expenses sent thru bilal</t>
  </si>
  <si>
    <t>for isolator falcon and cuttings disc for zeelaf</t>
  </si>
  <si>
    <t>cash paid now upto date 17700 (for naveed malik pipe fittings</t>
  </si>
  <si>
    <t>paid for ss grease trap</t>
  </si>
  <si>
    <t>paid cash</t>
  </si>
  <si>
    <t>paid in falcon atrium area</t>
  </si>
  <si>
    <t>invoices ahmed villa</t>
  </si>
  <si>
    <t>received from naveed malik cash received from nadeem bhai</t>
  </si>
  <si>
    <t>cash paid for settlement his account</t>
  </si>
  <si>
    <t>suler card</t>
  </si>
  <si>
    <t>paid which was pending</t>
  </si>
  <si>
    <t>owais salary for the month of august 19</t>
  </si>
  <si>
    <t>to raheel for oct 19</t>
  </si>
  <si>
    <t>for mis expenses</t>
  </si>
  <si>
    <t>azaad duct</t>
  </si>
  <si>
    <t>cash paid advance in jpmc</t>
  </si>
  <si>
    <t>for news paper</t>
  </si>
  <si>
    <t>child fees</t>
  </si>
  <si>
    <t>for carbon</t>
  </si>
  <si>
    <t>paid to azeem for bilal bhai work</t>
  </si>
  <si>
    <t>paid to azeem for core cuttings</t>
  </si>
  <si>
    <t>to azeem</t>
  </si>
  <si>
    <t>imtiaz lahore haripur</t>
  </si>
  <si>
    <t>return back by minhaal</t>
  </si>
  <si>
    <t>rafay engr</t>
  </si>
  <si>
    <t>paid to rafay for khaadi dmtr thermostat</t>
  </si>
  <si>
    <t>Akber Zaheer</t>
  </si>
  <si>
    <t>farhan bhai billl paid</t>
  </si>
  <si>
    <t>farhan bhai bill paid</t>
  </si>
  <si>
    <t>bakhti give misc hisaab from 22-10-19  to 26-10-19</t>
  </si>
  <si>
    <t>for l key set purchased</t>
  </si>
  <si>
    <t>to ali khalid  for oct 19</t>
  </si>
  <si>
    <t>cash sent thru minhaal</t>
  </si>
  <si>
    <t>to Talha for  oct 19</t>
  </si>
  <si>
    <t>to Bilal auto for  oct 19</t>
  </si>
  <si>
    <t>Rubber isolater</t>
  </si>
  <si>
    <t>paid for rubber isolator for falcon</t>
  </si>
  <si>
    <t>paid salary for mr Chuttal for oct 19</t>
  </si>
  <si>
    <t>cash paid uptodaete 20,700 - 7,840 = 12,860</t>
  </si>
  <si>
    <t>cash paid sent thru azaad</t>
  </si>
  <si>
    <t>cash paid for bilal bhai work</t>
  </si>
  <si>
    <t>for tabba heart tools shiftings</t>
  </si>
  <si>
    <t>paid for ufone balance</t>
  </si>
  <si>
    <t>nizakat</t>
  </si>
  <si>
    <t>to zeeshan ac for  oct 19</t>
  </si>
  <si>
    <t>cash paid for falcon purchasing</t>
  </si>
  <si>
    <t>to rafeeq</t>
  </si>
  <si>
    <t>drawin</t>
  </si>
  <si>
    <t>cash paid for insualtion</t>
  </si>
  <si>
    <t>bakhti give misc hisaab from 27-10-19  to 31-10-19</t>
  </si>
  <si>
    <t>to kamran for  oct 19 given by bakhti</t>
  </si>
  <si>
    <t>cash given to imran</t>
  </si>
  <si>
    <t xml:space="preserve">drill core </t>
  </si>
  <si>
    <t>paid to iqbal drill at zeelaf</t>
  </si>
  <si>
    <t>paid cash to settlise his account</t>
  </si>
  <si>
    <t>khaadi DMTR 3rd payment</t>
  </si>
  <si>
    <t>for tender submiited photocopy</t>
  </si>
  <si>
    <t>fuel for various days</t>
  </si>
  <si>
    <t>for purcashiing</t>
  </si>
  <si>
    <t>paid for misc fuel</t>
  </si>
  <si>
    <t>paid thru jazz cash</t>
  </si>
  <si>
    <t>noman shareff at falcon saalry paid as his residgned</t>
  </si>
  <si>
    <t>cash paid for 06 nos gas cylinder</t>
  </si>
  <si>
    <t xml:space="preserve">to kamran electrician for  oct 19 </t>
  </si>
  <si>
    <t>paid internet paid</t>
  </si>
  <si>
    <t>Bukhari Travel</t>
  </si>
  <si>
    <t>paid for tickets sir rehman</t>
  </si>
  <si>
    <t>sweeper zafar half salary paid</t>
  </si>
  <si>
    <t>cash paid for purcasing</t>
  </si>
  <si>
    <t>enveopl</t>
  </si>
  <si>
    <t>bakhti give hisaab misc expenses</t>
  </si>
  <si>
    <t xml:space="preserve">to talha for  oct 19 </t>
  </si>
  <si>
    <t>fuel claimed by nizaqat</t>
  </si>
  <si>
    <t xml:space="preserve">to zeeshan ac for  oct 19 </t>
  </si>
  <si>
    <t>bakhti give misc hisaab from 01-11-19  to 06-11-19</t>
  </si>
  <si>
    <t>Received from GG</t>
  </si>
  <si>
    <t>sana salary paid</t>
  </si>
  <si>
    <t>bakhtio for car wash</t>
  </si>
  <si>
    <t xml:space="preserve">to adil for  nov 19 </t>
  </si>
  <si>
    <t>for sir rehman jazz balances</t>
  </si>
  <si>
    <t>cash paid for jpmc advance</t>
  </si>
  <si>
    <t xml:space="preserve">to shaeryar khalid  for  nov 19 </t>
  </si>
  <si>
    <t>bilal bhai ufone card</t>
  </si>
  <si>
    <t>bakhti give misc hisaab from 07-11-19  to 09-11-19</t>
  </si>
  <si>
    <t>cash paid rs 55,000 hisaab will give minhaal</t>
  </si>
  <si>
    <t>cash paid for site expenses 2" gate valve</t>
  </si>
  <si>
    <t>cash paid for 02 nos cylinder</t>
  </si>
  <si>
    <t>cash paid for mhr home thermostat changed</t>
  </si>
  <si>
    <t>received against Eye ward jpmc bill (This chq cashed for office oct month salarires</t>
  </si>
  <si>
    <t>amir ufone card</t>
  </si>
  <si>
    <t>cash paid for yasir</t>
  </si>
  <si>
    <t>cash paid for tools</t>
  </si>
  <si>
    <t>suzuki fare in zeelaf</t>
  </si>
  <si>
    <t>bilal bhai car tracker service</t>
  </si>
  <si>
    <t>paid this cash given to nadeem bhai he forward ahead Child for cancer treatment</t>
  </si>
  <si>
    <t>bakhti give misc hisaab from 08-11-19  to 13-11-19</t>
  </si>
  <si>
    <t>cash paid for grease and screw pana</t>
  </si>
  <si>
    <t>paid to jahangeer for gas pump</t>
  </si>
  <si>
    <t>received against IPC 43 cash payment 10 Million</t>
  </si>
  <si>
    <t>nadeem bhai salary paid</t>
  </si>
  <si>
    <t>imran chori wala</t>
  </si>
  <si>
    <t>paid for advance as his brother died (instructed by nadeem)</t>
  </si>
  <si>
    <t>to zafar sweper</t>
  </si>
  <si>
    <t>to zeehsan AC</t>
  </si>
  <si>
    <t>Huzaifa salary paid</t>
  </si>
  <si>
    <t>paid for utilities bills for nov 19</t>
  </si>
  <si>
    <t>rehana aunty mobile balnce</t>
  </si>
  <si>
    <t>paid to rehana aunty for misc invoices</t>
  </si>
  <si>
    <t>paid for falcon and jpmc</t>
  </si>
  <si>
    <t>for welding rods</t>
  </si>
  <si>
    <t>Sindh club</t>
  </si>
  <si>
    <t>to Iftikhar for nov</t>
  </si>
  <si>
    <t>paid for dawing</t>
  </si>
  <si>
    <t>paid for jpmc and falcon</t>
  </si>
  <si>
    <t>shahid regger</t>
  </si>
  <si>
    <t>paid sami salary</t>
  </si>
  <si>
    <t>bakhti give misc hisaab from 14-11-19  to 19-11-19</t>
  </si>
  <si>
    <t>for mhr newspaper</t>
  </si>
  <si>
    <t>cash paid to khalid bhai salary advance</t>
  </si>
  <si>
    <t>cash paid to jahangeer for salary advance</t>
  </si>
  <si>
    <t>envelop and tissue paper</t>
  </si>
  <si>
    <t>suzuki fare to ashraf</t>
  </si>
  <si>
    <t>bakhri for car wash</t>
  </si>
  <si>
    <t>paid sst</t>
  </si>
  <si>
    <t>a3 pages</t>
  </si>
  <si>
    <t>cash paid for purcashing</t>
  </si>
  <si>
    <t xml:space="preserve">paid in jpmc </t>
  </si>
  <si>
    <t>paid in zeelaf</t>
  </si>
  <si>
    <t>Hissab nilled when I going  out of city</t>
  </si>
  <si>
    <t>Salary cash received from bilal bhai</t>
  </si>
  <si>
    <t>DIB chq for salary</t>
  </si>
  <si>
    <t>salary paid</t>
  </si>
  <si>
    <t>received from billa bhai (for air curtain)</t>
  </si>
  <si>
    <t>cash paid by bilal bhai</t>
  </si>
  <si>
    <t>farhan salary increased</t>
  </si>
  <si>
    <t>bakhti give misc hisaab from 20-11-19  to 11-12-19</t>
  </si>
  <si>
    <t>UHU glue purcashed</t>
  </si>
  <si>
    <t>bilal bhai super card</t>
  </si>
  <si>
    <t>office lunch by huzaifa</t>
  </si>
  <si>
    <t>mhr gas bill</t>
  </si>
  <si>
    <t>sir rehman washrrom mariatnence</t>
  </si>
  <si>
    <t>drinking water at zmv</t>
  </si>
  <si>
    <t>bilal auto</t>
  </si>
  <si>
    <t>for purcashed c channel</t>
  </si>
  <si>
    <t>Areeb asad</t>
  </si>
  <si>
    <t>paid for bilal bhai system innovation</t>
  </si>
  <si>
    <t>paid for salary</t>
  </si>
  <si>
    <t>paid to ashraf for suzuki</t>
  </si>
  <si>
    <t>paid for office and falcon water</t>
  </si>
  <si>
    <t>Received from bilal bhai</t>
  </si>
  <si>
    <t>padi for jpmc fitting to supplioer</t>
  </si>
  <si>
    <t>noman efu salary increased</t>
  </si>
  <si>
    <t>asif efu salary incred</t>
  </si>
  <si>
    <t>angle purchased for zeelaf</t>
  </si>
  <si>
    <t>purchased fisher for zmv</t>
  </si>
  <si>
    <t>for mobile purcashed at gulshan project</t>
  </si>
  <si>
    <t>insulation purchased</t>
  </si>
  <si>
    <t>rehana rehmna balnce</t>
  </si>
  <si>
    <t>nazim</t>
  </si>
  <si>
    <t>cash paid sent thru abbas</t>
  </si>
  <si>
    <t>purcashing</t>
  </si>
  <si>
    <t xml:space="preserve">Zakat </t>
  </si>
  <si>
    <t>paid zakat to khurram c./o bilal wife</t>
  </si>
  <si>
    <t>purchsing</t>
  </si>
  <si>
    <t>irfan bhai salary paid</t>
  </si>
  <si>
    <t>to amjad ustad for dec 19</t>
  </si>
  <si>
    <t>to abbas for dec 19</t>
  </si>
  <si>
    <t>to zafar sweeper for dec 19</t>
  </si>
  <si>
    <t>receive from bilal bhai</t>
  </si>
  <si>
    <t>paid for invoices</t>
  </si>
  <si>
    <t>inhci tape</t>
  </si>
  <si>
    <t>jahangeer claimed fuel</t>
  </si>
  <si>
    <t>karman claimed fuel</t>
  </si>
  <si>
    <t>for purcsahing</t>
  </si>
  <si>
    <t>cash paid for cloth and other material purcashing</t>
  </si>
  <si>
    <t>to suleman efu for dec 19</t>
  </si>
  <si>
    <t>bakhti give misc hisaab from 12-12-19  to 26-12-19</t>
  </si>
  <si>
    <t>to minhaal for dec 19</t>
  </si>
  <si>
    <t>to bilal for dec 19</t>
  </si>
  <si>
    <t>arsalan duct</t>
  </si>
  <si>
    <t>paid for ss material purzcasjing</t>
  </si>
  <si>
    <t>paid to bilal wife</t>
  </si>
  <si>
    <t>paid for fans shifting at 3rd floor</t>
  </si>
  <si>
    <t>riskshaw fare form office to atrium mall Insulation and cloth</t>
  </si>
  <si>
    <t>paid for mibilink balance</t>
  </si>
  <si>
    <t>to khalid the place for dec 19</t>
  </si>
  <si>
    <t>cash paid for glue and brushes</t>
  </si>
  <si>
    <t>office k elec bill paid</t>
  </si>
  <si>
    <t>a3 pages bundle</t>
  </si>
  <si>
    <t>to lateed zmv for dec 19</t>
  </si>
  <si>
    <t>paid to amir for ufone cards for two months</t>
  </si>
  <si>
    <t>cash paid for naveed malik site fuel for two monthts</t>
  </si>
  <si>
    <t>to talha zmv for dec 19</t>
  </si>
  <si>
    <t>to kamran elec for dec 19</t>
  </si>
  <si>
    <t>to kamran auto for dec 19</t>
  </si>
  <si>
    <t>to zulfiquar for material</t>
  </si>
  <si>
    <t>to azeem d/w for jomc salary adv</t>
  </si>
  <si>
    <t>to shahid painter for salary adv</t>
  </si>
  <si>
    <t>paid for ftc2 month tea</t>
  </si>
  <si>
    <t>to zulfiquar for dec 19</t>
  </si>
  <si>
    <t>profile print</t>
  </si>
  <si>
    <t>letter head print</t>
  </si>
  <si>
    <t>to haneef for washroom work</t>
  </si>
  <si>
    <t>for pucahsing</t>
  </si>
  <si>
    <t>less paid last time</t>
  </si>
  <si>
    <t>zeeshan ac</t>
  </si>
  <si>
    <t>paid for falcon purcashing coil and aeroflex</t>
  </si>
  <si>
    <t>cash paid by nadeem bhai</t>
  </si>
  <si>
    <t>total salary paid</t>
  </si>
  <si>
    <t>nasir colony k elec bill paid</t>
  </si>
  <si>
    <t>bakhti give misc hisaab from 27-12-19  to 13-01-20</t>
  </si>
  <si>
    <t>cash paid for lucky one</t>
  </si>
  <si>
    <t>cash paid for falcon azeem</t>
  </si>
  <si>
    <t>receive from bilal bhai riaz sahab cash</t>
  </si>
  <si>
    <t>anwar piping</t>
  </si>
  <si>
    <t>waris nov 19 and dec 19 salary</t>
  </si>
  <si>
    <t>invocies naveed malik</t>
  </si>
  <si>
    <t>to shahid painter for site expenses</t>
  </si>
  <si>
    <t>cash paid sent by shahid painter</t>
  </si>
  <si>
    <t>bakhti give misc hisaab from 14-01-20  to 21-01-20</t>
  </si>
  <si>
    <t>for purasjing</t>
  </si>
  <si>
    <t>paid mhr and office</t>
  </si>
  <si>
    <t>to bilal auto for jan 20</t>
  </si>
  <si>
    <t>cash paid his account settled</t>
  </si>
  <si>
    <t>paid for ciema work</t>
  </si>
  <si>
    <t>paid KCCI fee</t>
  </si>
  <si>
    <t>paid farhan bhai co nadeem bhai k elec bill</t>
  </si>
  <si>
    <t>for farhan bhai k elec bill</t>
  </si>
  <si>
    <t>for stickter for stacnling advance for falcon</t>
  </si>
  <si>
    <t>for 7 than clothes</t>
  </si>
  <si>
    <t>return to bilal bhai</t>
  </si>
  <si>
    <t>for pucashing</t>
  </si>
  <si>
    <t>bilal bhai child fees charges</t>
  </si>
  <si>
    <t>paid for cash tranfer charges to karor sir rehman acc</t>
  </si>
  <si>
    <t>paid for cash tranfer charges to karoor ibad account</t>
  </si>
  <si>
    <t>for purchasing atrium material</t>
  </si>
  <si>
    <t>to shahid</t>
  </si>
  <si>
    <t>vohra cloth</t>
  </si>
  <si>
    <t>paid for 10 thans</t>
  </si>
  <si>
    <t>to suleman dilawar c/o jahangeeer for jan 20</t>
  </si>
  <si>
    <t>for office motor repair</t>
  </si>
  <si>
    <t>received from bilal auto</t>
  </si>
  <si>
    <t>to khalid the place for jan 20</t>
  </si>
  <si>
    <t>paid for falcon and office</t>
  </si>
  <si>
    <t xml:space="preserve">for zeelaf insulation </t>
  </si>
  <si>
    <t>epoxy</t>
  </si>
  <si>
    <t>paid for epoxy</t>
  </si>
  <si>
    <t>for site expenses insulation</t>
  </si>
  <si>
    <t>given for utilities bills</t>
  </si>
  <si>
    <t>nadeem bhai and uncle riaz lunch</t>
  </si>
  <si>
    <t>bilal bhai cigratee</t>
  </si>
  <si>
    <t>received from Total Hashmani cash</t>
  </si>
  <si>
    <t>to Asif EFU the place for jan 20</t>
  </si>
  <si>
    <t>paid to dawood suzuki</t>
  </si>
  <si>
    <t>for nadeem bhai bill</t>
  </si>
  <si>
    <t>bakhti give misc hisaab from 22-01-20  to 31-01-20</t>
  </si>
  <si>
    <t>paid now uptodate 25000</t>
  </si>
  <si>
    <t>for site expenses  fuel</t>
  </si>
  <si>
    <t>cash paid for site expenses for falcon zeeshan</t>
  </si>
  <si>
    <t>to Khalid bhai zmv for jan 20</t>
  </si>
  <si>
    <t>shahid panter</t>
  </si>
  <si>
    <t>paid for site expenses naveed malik given by nadeem bhai</t>
  </si>
  <si>
    <t>to zafar sweeper for jan 20</t>
  </si>
  <si>
    <t>for puchasing</t>
  </si>
  <si>
    <t xml:space="preserve">muzzamil </t>
  </si>
  <si>
    <t>paid in hashmani deal</t>
  </si>
  <si>
    <t>paid for hashmani purchaing will retuen invoices</t>
  </si>
  <si>
    <t>paid for tea refreshment</t>
  </si>
  <si>
    <t>to shahbaz emplyee zmv for jan 20</t>
  </si>
  <si>
    <t>paid  he wil return cash</t>
  </si>
  <si>
    <t>receoved from Imran Orient paid chq Rs 395,000 but his inoices was Rs 350,000 then he return Rs 45,000</t>
  </si>
  <si>
    <t>imran c/o feroz salary adv</t>
  </si>
  <si>
    <t>bakhti give misc hisaab from 01-02-20  to 06-01-20</t>
  </si>
  <si>
    <t>charity by bilal bhai</t>
  </si>
  <si>
    <t>paid cash thruogh nadeem bhai hands</t>
  </si>
  <si>
    <t>to iftikhar for jan 20 by jahangeer</t>
  </si>
  <si>
    <t>to ahmed for jan 20 by jahan geer</t>
  </si>
  <si>
    <t>to iftikhar  for jan 20</t>
  </si>
  <si>
    <t>to kamran auto for jan 20</t>
  </si>
  <si>
    <t>nadeem bhai balance</t>
  </si>
  <si>
    <t>waris jan 20 salary</t>
  </si>
  <si>
    <t>tissue boz</t>
  </si>
  <si>
    <t>received from bilal bhai Hashmani cash</t>
  </si>
  <si>
    <t>for purcashing of insulation and pipes</t>
  </si>
  <si>
    <t>cash for site hashmani purchasing</t>
  </si>
  <si>
    <t>to talha for jan 20</t>
  </si>
  <si>
    <t>cash paid for zeelaf receiving on register</t>
  </si>
  <si>
    <t>waris salary paid for burhani mehal pool maintenance</t>
  </si>
  <si>
    <t>Rafay engr</t>
  </si>
  <si>
    <t>fare</t>
  </si>
  <si>
    <t>rikshaw from jpmc to zmv duct piece</t>
  </si>
  <si>
    <t xml:space="preserve">cash paid for site expenses atrium and hashmani </t>
  </si>
  <si>
    <t>invoices for flue duct jpmc</t>
  </si>
  <si>
    <t>to Rafay for jan 20</t>
  </si>
  <si>
    <t>bilal bhai car wash</t>
  </si>
  <si>
    <t>inchi tape</t>
  </si>
  <si>
    <t>cash paid for naddem bhai child fee charges</t>
  </si>
  <si>
    <t>for printer</t>
  </si>
  <si>
    <t>to haneef for jan 20</t>
  </si>
  <si>
    <t>bakhti give misc hisaab from 07-02-20  to 12-01-20</t>
  </si>
  <si>
    <t>from islamuddin to office insulation</t>
  </si>
  <si>
    <t>for purcahsing for 2 roll from forte for zmv</t>
  </si>
  <si>
    <t>zmv</t>
  </si>
  <si>
    <t>damer tapes for zmv by minhaal</t>
  </si>
  <si>
    <t>sadqa for pioneer office</t>
  </si>
  <si>
    <t>received from Zeelaf 9th adhoc payment total received chq amount rs 1500,000 rec on 13-2-20</t>
  </si>
  <si>
    <t xml:space="preserve">for purcashing  </t>
  </si>
  <si>
    <t>for purcahsing carton tapes</t>
  </si>
  <si>
    <t>paid advance in ideas atrium deal</t>
  </si>
  <si>
    <t>cash paid for site</t>
  </si>
  <si>
    <t>paid in jpmc chq pipe cladding advance</t>
  </si>
  <si>
    <t>paid for flare nut and dammer tapes for sindh club</t>
  </si>
  <si>
    <t>Rs 15,000 paid to bilal bhai he then paid this for office zakat</t>
  </si>
  <si>
    <t>cash paid at hashmani bill</t>
  </si>
  <si>
    <t>recceived from sindh club 1st payment after mobilziation</t>
  </si>
  <si>
    <t>for hashmani purchasing</t>
  </si>
  <si>
    <t>paid 21,000 at hashmani and rs 14,000 at ideas atrium</t>
  </si>
  <si>
    <t>to abbas feb 20</t>
  </si>
  <si>
    <t>paid to imran engr Rs 20,000 for old invoices and rs 10,000 for advance</t>
  </si>
  <si>
    <t>paid for mhr and office</t>
  </si>
  <si>
    <t>paid zeelaf salary advance total sal 55,000 paid 40,000 for the month jan 20</t>
  </si>
  <si>
    <t>jpmc raheel fuel claimed</t>
  </si>
  <si>
    <t>bakhti give misc hisaab from 13-02-20  to 18-02-20</t>
  </si>
  <si>
    <t>for site at atrium</t>
  </si>
  <si>
    <t>atrium</t>
  </si>
  <si>
    <t>to shahid painter for naveed malik</t>
  </si>
  <si>
    <t>welding plant jpmc plant</t>
  </si>
  <si>
    <t>welding plant hashmani</t>
  </si>
  <si>
    <t>Moiz zahabiya</t>
  </si>
  <si>
    <t>for jpmc purchasing ftc and atrium</t>
  </si>
  <si>
    <t>paid for insulation roll</t>
  </si>
  <si>
    <t>to Adil ftc feb 20</t>
  </si>
  <si>
    <t>rec from total chq rs 150,000 kia ni chq</t>
  </si>
  <si>
    <t>paid final salary amount for feb 20</t>
  </si>
  <si>
    <t>cash paid for atrium valves</t>
  </si>
  <si>
    <t>tapes 2 carton atrium 1 zeelaf</t>
  </si>
  <si>
    <t>paid for site expnsse sent thru amir jpmc</t>
  </si>
  <si>
    <t>paid for ufone card + feul</t>
  </si>
  <si>
    <t>claimed for bike maintenance</t>
  </si>
  <si>
    <t>paid to masjid aacount (given by riaz uncle)</t>
  </si>
  <si>
    <t>to kamran auto feb 20</t>
  </si>
  <si>
    <t>cash taken for sara baji lunch</t>
  </si>
  <si>
    <t>rikshaw</t>
  </si>
  <si>
    <t>for duct selen</t>
  </si>
  <si>
    <t>nizaka r fuel</t>
  </si>
  <si>
    <t>cash for site excpen</t>
  </si>
  <si>
    <t xml:space="preserve">cash paid for atruim </t>
  </si>
  <si>
    <t>cash paid for site expenses uptodate 4000 cleared</t>
  </si>
  <si>
    <t>paid for zeelaf stationery</t>
  </si>
  <si>
    <t>paid to imran c/o feroz for salary</t>
  </si>
  <si>
    <t>for jpmc vcd rikshaw</t>
  </si>
  <si>
    <t>rehnan aunty jazz balance</t>
  </si>
  <si>
    <t>shahid painter for navved malik</t>
  </si>
  <si>
    <t>paid for site expenses for glue 2 barni</t>
  </si>
  <si>
    <t>to sheryar feb 20</t>
  </si>
  <si>
    <t>purcashed grindr for zmv</t>
  </si>
  <si>
    <t>cash paid (prv 400 rem) uptodate 1400</t>
  </si>
  <si>
    <t xml:space="preserve">cash paid rs 5000 </t>
  </si>
  <si>
    <t>newpaper</t>
  </si>
  <si>
    <t>paid for site expnse</t>
  </si>
  <si>
    <t>to amir engr jpmc feb 20</t>
  </si>
  <si>
    <t>master tank</t>
  </si>
  <si>
    <t>paid for 03 nos water tank</t>
  </si>
  <si>
    <t>minhaal claimed 2 super card for bilal bhai</t>
  </si>
  <si>
    <t>hold with bilal bhai</t>
  </si>
  <si>
    <t>for printer purcahsed</t>
  </si>
  <si>
    <t>for welding rod for jpmc</t>
  </si>
  <si>
    <t>from office to bah ftc</t>
  </si>
  <si>
    <t>to shahid oainter in naveed malik</t>
  </si>
  <si>
    <t>paid for sqaure pipe</t>
  </si>
  <si>
    <t>paid for sqaure pipe from mughal</t>
  </si>
  <si>
    <t>paid for gul ahmed purchs</t>
  </si>
  <si>
    <t>paid for year 2019 remaining zakat cash (May Allah Accept)</t>
  </si>
  <si>
    <t>bakhti salary paid</t>
  </si>
  <si>
    <t>madni cloth</t>
  </si>
  <si>
    <t>paid for 10 than clothes</t>
  </si>
  <si>
    <t>SALARY ADV KHALID BHAI</t>
  </si>
  <si>
    <t>cash paid for jameel baig villa</t>
  </si>
  <si>
    <t>paid for 03 nos water tank shifitng</t>
  </si>
  <si>
    <t>to mughal for sqaure pipe</t>
  </si>
  <si>
    <t xml:space="preserve">weldon </t>
  </si>
  <si>
    <t xml:space="preserve">avari lahore tender purcahsed from YH </t>
  </si>
  <si>
    <t>tosuleman feb 20</t>
  </si>
  <si>
    <t>bakhti give misc hisaab from 19-02-20  to 29-02-20</t>
  </si>
  <si>
    <t>given to kamran for kitchen stuff purcahsed from IMTIAZ MARKET</t>
  </si>
  <si>
    <t>paid to riaz driver for home fuel</t>
  </si>
  <si>
    <t>claimed fiel</t>
  </si>
  <si>
    <t>paid for red oxide and brush for ideas</t>
  </si>
  <si>
    <t>paid for pipe purchased from waseem</t>
  </si>
  <si>
    <t>paid for sucuki fare</t>
  </si>
  <si>
    <t>paid for site sindh club</t>
  </si>
  <si>
    <t>for jpmc surgical ward purcahsing</t>
  </si>
  <si>
    <t xml:space="preserve">mujahid cylinder </t>
  </si>
  <si>
    <t>paid for 06 nos oxygen cylinder</t>
  </si>
  <si>
    <t>to zafar for salary for the month feb 20</t>
  </si>
  <si>
    <t>ssgc bill paid with charges</t>
  </si>
  <si>
    <t>cash paid for purchasing for jpmc surgical</t>
  </si>
  <si>
    <t>to talha feb 20</t>
  </si>
  <si>
    <t xml:space="preserve">sindh club </t>
  </si>
  <si>
    <t>for misc efu invoices</t>
  </si>
  <si>
    <t>fuel jpmc</t>
  </si>
  <si>
    <t>nasir colony bill paid</t>
  </si>
  <si>
    <t>received against IPC 44 rceived on 111-2-20</t>
  </si>
  <si>
    <t>paid rs 4600 for 2 than</t>
  </si>
  <si>
    <t>kamran autoclaied fuel</t>
  </si>
  <si>
    <t>to ahmed feb 20</t>
  </si>
  <si>
    <t>given by minhaal</t>
  </si>
  <si>
    <t>EFU salary paid</t>
  </si>
  <si>
    <t>FTC staff salary</t>
  </si>
  <si>
    <t>envelop purcashed</t>
  </si>
  <si>
    <t>ftc</t>
  </si>
  <si>
    <t>tea and refreshment</t>
  </si>
  <si>
    <t>cash paid for baf 06th floor bond</t>
  </si>
  <si>
    <t>cash paid for site expenses uptoday  7400 + 5000 = 12400 - 5150 = 7250</t>
  </si>
  <si>
    <t>to jahangeer feb 20</t>
  </si>
  <si>
    <t>screw purchased for ftc 6 th floor</t>
  </si>
  <si>
    <t>cash paid for site expenses up to date 200 + 2000 = 2200</t>
  </si>
  <si>
    <t>received from nadeem 3rd floor</t>
  </si>
  <si>
    <t>ali raza insulation</t>
  </si>
  <si>
    <t>Talha insulator</t>
  </si>
  <si>
    <t>paid in ideas atrium mall</t>
  </si>
  <si>
    <t>UZAIR salary paid</t>
  </si>
  <si>
    <t>zeelaf 10th adhoc payment received</t>
  </si>
  <si>
    <t>paid for jameel baig redsidn</t>
  </si>
  <si>
    <t>paid to shoaib by bilal habib</t>
  </si>
  <si>
    <t>to lateef mar 20</t>
  </si>
  <si>
    <t>SST tax paid</t>
  </si>
  <si>
    <t>RMR</t>
  </si>
  <si>
    <t>The Place</t>
  </si>
  <si>
    <t>FTC</t>
  </si>
  <si>
    <t>paid for hashmani purcashing</t>
  </si>
  <si>
    <t>kamran claimed fuel and sst paid cahrges</t>
  </si>
  <si>
    <t>ideas gul</t>
  </si>
  <si>
    <t>from sami workshop to ftc o6th floor</t>
  </si>
  <si>
    <t>Faseeh ur rehman</t>
  </si>
  <si>
    <t>fees paid to faseeh ur rehman account</t>
  </si>
  <si>
    <t>thermosata for gul ahmed by azeem</t>
  </si>
  <si>
    <t>painter</t>
  </si>
  <si>
    <t xml:space="preserve"> paid to painter at naveed malik by order nadeem bhai</t>
  </si>
  <si>
    <t>charity by bilal bhai to saylani</t>
  </si>
  <si>
    <t>bakhti given hisaab kitchen expenses</t>
  </si>
  <si>
    <t>claimed fuel by farhan ftc</t>
  </si>
  <si>
    <t>paid for cable purcahsed from ideas (will give invoices)</t>
  </si>
  <si>
    <t>charity paid meat (ghost) to bakhti</t>
  </si>
  <si>
    <t>cash paidnter for site expenses naveed malik</t>
  </si>
  <si>
    <t>cash paid to bilal auto</t>
  </si>
  <si>
    <t>paid for tapes for ideas dammer tapes</t>
  </si>
  <si>
    <t>cash paid for truck fare in falcon pipe to nadeem baloch</t>
  </si>
  <si>
    <t>received cash from Naveed Malik</t>
  </si>
  <si>
    <t>sindh club</t>
  </si>
  <si>
    <t>nadeem bhai mobile balance paid</t>
  </si>
  <si>
    <t>paid for site expenses by order bilal bhi</t>
  </si>
  <si>
    <t xml:space="preserve">washroom farnyl and photo copy for office ---- </t>
  </si>
  <si>
    <t>fruit, club sanwich cigrt for bilal bhi</t>
  </si>
  <si>
    <t>naveed malik</t>
  </si>
  <si>
    <t>epoxy purchd near rahat milk corner</t>
  </si>
  <si>
    <t>rafeeq engr</t>
  </si>
  <si>
    <t>paid for hilti repair, ms bend, g I screww, elbow, glasses, and fuel</t>
  </si>
  <si>
    <t>paid for site exp (order by nadem bhi)</t>
  </si>
  <si>
    <t>cash paid for sindh club PPRC pipes from US traders</t>
  </si>
  <si>
    <t>claimed fuel and purchd c.p. nipple</t>
  </si>
  <si>
    <t>cash return ny shahid painter after purcashing</t>
  </si>
  <si>
    <t>made greating piece by nadeem bhi + shahid fuel claimd</t>
  </si>
  <si>
    <t xml:space="preserve">paid for site expenses naveed malik </t>
  </si>
  <si>
    <t>cash paid for hashmani purhcasing</t>
  </si>
  <si>
    <t>hashmani</t>
  </si>
  <si>
    <t>cash paid for site expenses sent thru lateef chacha</t>
  </si>
  <si>
    <t>invoices paid to haneef</t>
  </si>
  <si>
    <t>invoices efu</t>
  </si>
  <si>
    <t>cash paid for naveed malik</t>
  </si>
  <si>
    <t>shahbaz zeelaf staff salary paid feb 20</t>
  </si>
  <si>
    <t>paid to azaad</t>
  </si>
  <si>
    <t>paid to saeed sons</t>
  </si>
  <si>
    <t>paid to rizwan core</t>
  </si>
  <si>
    <t>saeed sons</t>
  </si>
  <si>
    <t>rizwan core</t>
  </si>
  <si>
    <t>received from hashmani lucky one</t>
  </si>
  <si>
    <t>purchased dadex tee</t>
  </si>
  <si>
    <t>paid for site expenses  uptodaye  14,200</t>
  </si>
  <si>
    <t>paid for jpmc cloth</t>
  </si>
  <si>
    <t>paid mhr and office (all paid except K ele bill)</t>
  </si>
  <si>
    <t>office enterance door lock cylinder changed</t>
  </si>
  <si>
    <t>cash return by azeem</t>
  </si>
  <si>
    <t>bilal bhai lunch, water cigtt</t>
  </si>
  <si>
    <t>nadeem bhai lunch and biskuots</t>
  </si>
  <si>
    <t>bakhti give hisab photocopy and kitchen expenses</t>
  </si>
  <si>
    <t>cash paid for farhan c/o nadeem bhai</t>
  </si>
  <si>
    <t>paid for union for zeelaf</t>
  </si>
  <si>
    <t>paid for atrium material</t>
  </si>
  <si>
    <t>cash paid for naveed malik purcahsing cleared</t>
  </si>
  <si>
    <t>cash paid in jpmc uo todate   ea 23,000</t>
  </si>
  <si>
    <t>cash used in salary</t>
  </si>
  <si>
    <t xml:space="preserve">bakhti give hisab misc expenses </t>
  </si>
  <si>
    <t>given to bhakhti advance</t>
  </si>
  <si>
    <t>paid in hasmani and gul ahmed</t>
  </si>
  <si>
    <t>Tariqcorporation</t>
  </si>
  <si>
    <t>received from Nadeem bhai</t>
  </si>
  <si>
    <t>for bilal bhai home medicine</t>
  </si>
  <si>
    <t>paid for pipes at jpmc</t>
  </si>
  <si>
    <t>paid fuel</t>
  </si>
  <si>
    <t>paid advance to zafar sweeper</t>
  </si>
  <si>
    <t>lunch for bilal bhai and other items</t>
  </si>
  <si>
    <t>PTCL BILLS PAID OFFICE</t>
  </si>
  <si>
    <t>PTCL BILLS PAID MHR HOME</t>
  </si>
  <si>
    <t>paid for suzuki paid</t>
  </si>
  <si>
    <t>imran ducting</t>
  </si>
  <si>
    <t>paid to dawwod</t>
  </si>
  <si>
    <t>40% remaining salary</t>
  </si>
  <si>
    <t>MHR KESC bills paid</t>
  </si>
  <si>
    <t>Office KESC bills paid</t>
  </si>
  <si>
    <t>jpmc invoices</t>
  </si>
  <si>
    <t>rehana aunty jazz balance</t>
  </si>
  <si>
    <t>paid in falcon</t>
  </si>
  <si>
    <t>to jahangeer</t>
  </si>
  <si>
    <t>to imran engr for gas kit</t>
  </si>
  <si>
    <t>r mbile load</t>
  </si>
  <si>
    <t>paid cash for mughal iron for choras pipe + 5000 given by nadeem bhai for gaskets</t>
  </si>
  <si>
    <t>mineral water for previous month</t>
  </si>
  <si>
    <t>paid to farhan bhai for k electic bill</t>
  </si>
  <si>
    <t>office bill paid</t>
  </si>
  <si>
    <t>paid internet</t>
  </si>
  <si>
    <t>cash paid (purchsed ball valve, nipple bush cuttinmg disc hold tite from burhani tradres</t>
  </si>
  <si>
    <t>paid for 10 cator tapes</t>
  </si>
  <si>
    <t>paid to zafar sweeper</t>
  </si>
  <si>
    <t>shabbir brothers</t>
  </si>
  <si>
    <t>paid  in jameel baig residence</t>
  </si>
  <si>
    <t>paid for zeelaf insulation</t>
  </si>
  <si>
    <t>paid to haneef for pipe cutter at zeelaf</t>
  </si>
  <si>
    <t>to raheel jpmc for april 20</t>
  </si>
  <si>
    <t xml:space="preserve">from lucky one to office </t>
  </si>
  <si>
    <t>paid from iqbal sons to jpmc</t>
  </si>
  <si>
    <t>jahangeer advance salary</t>
  </si>
  <si>
    <t>paid for rashan packets +rikshaw (zakat)</t>
  </si>
  <si>
    <t>waris salary for the month of feb 20</t>
  </si>
  <si>
    <t>paid for mobile balance</t>
  </si>
  <si>
    <t>received from bilal bhai for Office salaries</t>
  </si>
  <si>
    <t>office April salaries paid</t>
  </si>
  <si>
    <t>fareeh ur rehman</t>
  </si>
  <si>
    <t>Bilal Wife</t>
  </si>
  <si>
    <t>paid to Zakat Khurram</t>
  </si>
  <si>
    <t>SMC tender</t>
  </si>
  <si>
    <t>salahuddin prv month salary remaining due to shahrukh issue</t>
  </si>
  <si>
    <t>paid for naveed malik pump repairing</t>
  </si>
  <si>
    <t>rehana aunty ufone balance</t>
  </si>
  <si>
    <t>paid Proposed office NIP Karachi</t>
  </si>
  <si>
    <t>kamran claimed fuel</t>
  </si>
  <si>
    <t>salaryies envelop purchased</t>
  </si>
  <si>
    <t>paid for nasir colony k elec bill</t>
  </si>
  <si>
    <t>paid for mhr home invoices given to shaaf</t>
  </si>
  <si>
    <t>paid may 20 fees</t>
  </si>
  <si>
    <t>Arif Panel</t>
  </si>
  <si>
    <t>received from Bilal bhai</t>
  </si>
  <si>
    <t>purcahsed exhast fans voldam for jpmc</t>
  </si>
  <si>
    <t>return cash to nadeem bhai</t>
  </si>
  <si>
    <t>paid for suzuki ashraf from jpmc</t>
  </si>
  <si>
    <t>khalid bhai salary advanc return</t>
  </si>
  <si>
    <t>Haneef salary advance return</t>
  </si>
  <si>
    <t>Amir jpmc salary advance return</t>
  </si>
  <si>
    <t xml:space="preserve">Khalid mansoor salary revised </t>
  </si>
  <si>
    <t>Ahsan Salary revised</t>
  </si>
  <si>
    <t>PTCL Bills  Office Paid</t>
  </si>
  <si>
    <t>PTCL Bills MHR Paid</t>
  </si>
  <si>
    <t>unsulation and other items for zeelaf</t>
  </si>
  <si>
    <t>cash paid in jpmc</t>
  </si>
  <si>
    <t>raees brothers</t>
  </si>
  <si>
    <t>MCB Chq</t>
  </si>
  <si>
    <t>To Shahbaz jpmc for salary advance</t>
  </si>
  <si>
    <t>to khalid the place salary advance</t>
  </si>
  <si>
    <t>Azeem for purchasing</t>
  </si>
  <si>
    <t>Rehan for petty cash</t>
  </si>
  <si>
    <t>SEM tebder</t>
  </si>
  <si>
    <t>SEM intiaz ponam warehouse tender puchased</t>
  </si>
  <si>
    <t>cash paid for nadeem bhai home pump repair</t>
  </si>
  <si>
    <t>paid in naveed malik site by order nadeem bhai</t>
  </si>
  <si>
    <t>paid in jpmc kitchen</t>
  </si>
  <si>
    <t>JPMC FOOD COURT RECEIVEING  TOTAL CHEQUE</t>
  </si>
  <si>
    <t>paid to jahangeer for 10 packet rashans zakat + suzuki</t>
  </si>
  <si>
    <t>paid to kamran auto for fateh cheque corrier</t>
  </si>
  <si>
    <t>to haneef bhai for nadeem bhai home pump</t>
  </si>
  <si>
    <t>salary envelop</t>
  </si>
  <si>
    <t>50 % salary</t>
  </si>
  <si>
    <t>Bharmal</t>
  </si>
  <si>
    <t>All staff 50% salaries released except following:
Nadeem bhai
RMR Cinema
The Place Cinema
Rafay
Jahangeer</t>
  </si>
  <si>
    <t>paid for butterfly vavles 3" + 500 suzuki JPMC</t>
  </si>
  <si>
    <t>MCB cash depositted charges (in mandi bahauddin)</t>
  </si>
  <si>
    <t>paid to sunny</t>
  </si>
  <si>
    <t>Zeeshan ac salary used</t>
  </si>
  <si>
    <t>zeehan ac</t>
  </si>
  <si>
    <t>paid for material purcahsed for Iqbal sahab jpmc</t>
  </si>
  <si>
    <t>paid for site expenses sent thru amir plumber</t>
  </si>
  <si>
    <t>amir plumber claimed fuel</t>
  </si>
  <si>
    <t>Mossi home and riaz drver slary used</t>
  </si>
  <si>
    <t>office and mhr home k elec bills paid</t>
  </si>
  <si>
    <t>office mineral water tea and bilal bhai lunch</t>
  </si>
  <si>
    <t>Naveed malik receiving against bill num 069- 921</t>
  </si>
  <si>
    <t>Ehsan Trader</t>
  </si>
  <si>
    <t>Imran choori</t>
  </si>
  <si>
    <t>cash paid for fuel and mobile cards</t>
  </si>
  <si>
    <t>paid in naveed malik</t>
  </si>
  <si>
    <t>paid to rafeeq rikshaw fare from jpmc to zeelaf ducting material</t>
  </si>
  <si>
    <t>purchased office printer</t>
  </si>
  <si>
    <t>Forte pak</t>
  </si>
  <si>
    <t>paid for insulation purchased for zeelaf</t>
  </si>
  <si>
    <t>paid for naveed world wide publishers</t>
  </si>
  <si>
    <t>paid for naveed malik site</t>
  </si>
  <si>
    <t>paid for fuel and mobile card</t>
  </si>
  <si>
    <t>paid in jpmc and baf 06th deal</t>
  </si>
  <si>
    <t>bakhti give office hisab</t>
  </si>
  <si>
    <t>nadeem bhai home utilities bill paid</t>
  </si>
  <si>
    <t>khalid bhai naveed</t>
  </si>
  <si>
    <t>rafeeq for zela</t>
  </si>
  <si>
    <t>to nadeem bhai</t>
  </si>
  <si>
    <t>paid for freir tools at jameel baig residence</t>
  </si>
  <si>
    <t>to zafar for june 20</t>
  </si>
  <si>
    <t>farhan c/o farhan</t>
  </si>
  <si>
    <t>paid c/o nadeem bhai</t>
  </si>
  <si>
    <t>to farhan</t>
  </si>
  <si>
    <t>paid for bike maintenance at naveed malik site</t>
  </si>
  <si>
    <t>paid for 100 nos grills springs for zeelaf</t>
  </si>
  <si>
    <t>Ahmed fees paid</t>
  </si>
  <si>
    <t>A rehman fees paid</t>
  </si>
  <si>
    <t>may bill paid</t>
  </si>
  <si>
    <t>paid t0 nadeem bhai</t>
  </si>
  <si>
    <t>ahmed fees paid</t>
  </si>
  <si>
    <t>a rehman fees paid</t>
  </si>
  <si>
    <t>paid for jpmc</t>
  </si>
  <si>
    <t>rehan aunty</t>
  </si>
  <si>
    <t>cash oaid for site exp sent thru jahangeer</t>
  </si>
  <si>
    <t>paid for miror glass</t>
  </si>
  <si>
    <t>paid for tapes 02 nos carton for jpmc</t>
  </si>
  <si>
    <t>Tube traders</t>
  </si>
  <si>
    <t>offic expenses by bakhti</t>
  </si>
  <si>
    <t>paid advance by order nadeem bhai</t>
  </si>
  <si>
    <t>Karman elec salary used</t>
  </si>
  <si>
    <t>for mhr home expenses</t>
  </si>
  <si>
    <t>gizri se nasir colony</t>
  </si>
  <si>
    <t>paid in jpmc</t>
  </si>
  <si>
    <t>naddeem bhai mobile</t>
  </si>
  <si>
    <t>paid to azaad for switch for machine</t>
  </si>
  <si>
    <t>atrium mall</t>
  </si>
  <si>
    <t>paid shaaf school fees</t>
  </si>
  <si>
    <t>zafar grill</t>
  </si>
  <si>
    <t>for jpmc purcahseng invoices given</t>
  </si>
  <si>
    <t>paid to azeem for jameel biag site expenses</t>
  </si>
  <si>
    <t>paid to azeem against invoices</t>
  </si>
  <si>
    <t>paid for magoes petties + rikshaw fare fromamir jpmc</t>
  </si>
  <si>
    <t>cash paid for purcjaseng</t>
  </si>
  <si>
    <t xml:space="preserve">Haneef salary adv </t>
  </si>
  <si>
    <t>jahangeer salary ad</t>
  </si>
  <si>
    <t>April + May tea and kitchen expense at ftc site</t>
  </si>
  <si>
    <t>amir plumber</t>
  </si>
  <si>
    <t>paid for pipe nozzle adapter and other item for jpmc</t>
  </si>
  <si>
    <t>paid for insulation from fortepak purcahsed by kamran auto</t>
  </si>
  <si>
    <t xml:space="preserve">received from ZMv against purchasing of chemo feeder and expantion tank </t>
  </si>
  <si>
    <t xml:space="preserve">office expenses by bakhti </t>
  </si>
  <si>
    <t>Epoxy</t>
  </si>
  <si>
    <t>epoxy purcahsed for naveed malik villa</t>
  </si>
  <si>
    <t>All staff salaries released except following:
Nadeem bhai, Rafay, Khalid Bhai, Ali Khalid, Kamran elec, Rafeeq and  The Place Cinema staff</t>
  </si>
  <si>
    <t>Farhan FTC Salary used</t>
  </si>
  <si>
    <t>paid for EFU april to june billing</t>
  </si>
  <si>
    <t>Rehan pump</t>
  </si>
  <si>
    <t>paid for 100 ltr expantion tank</t>
  </si>
  <si>
    <t>received from Bilal bhai (yasir)</t>
  </si>
  <si>
    <t>umer zahid</t>
  </si>
  <si>
    <t>paid for donation in the name Pioneer</t>
  </si>
  <si>
    <t>rehana aunty mobile balance</t>
  </si>
  <si>
    <t>jinnah to rizri</t>
  </si>
  <si>
    <t>saleem cloth</t>
  </si>
  <si>
    <t>cash paid for zmv purcahsing cemente, dhaaga and other items</t>
  </si>
  <si>
    <t>azeem mobile card for site</t>
  </si>
  <si>
    <t>khalid the place salary</t>
  </si>
  <si>
    <t>ahsan  the place salary</t>
  </si>
  <si>
    <t>Khizer the place salary</t>
  </si>
  <si>
    <t>hamza the place salary</t>
  </si>
  <si>
    <t>purcashed office printer data cable and cash memo books for rent record</t>
  </si>
  <si>
    <t>to shafqat jatoi easy paisa + chargesc/o bilal bhai</t>
  </si>
  <si>
    <t>for purchasing tapes zeelaf and flexible cables and coil jameel baig</t>
  </si>
  <si>
    <t>cash paid now uptodate 38000</t>
  </si>
  <si>
    <t>paid to shahid in zeelaf</t>
  </si>
  <si>
    <t>paid for duct clothes jpmc</t>
  </si>
  <si>
    <t>cash paid to saeed nhai saim bros</t>
  </si>
  <si>
    <t>cash paid to rehan pump</t>
  </si>
  <si>
    <t>cash paid for site expense</t>
  </si>
  <si>
    <t>received from Bilal bhai (azeem bring this cash Near ayaz mehmood mosque)</t>
  </si>
  <si>
    <t>cash paid sent thru salahuddin by order nadeem bhai</t>
  </si>
  <si>
    <t>office printer service and repaieing</t>
  </si>
  <si>
    <t>rafay salary paid</t>
  </si>
  <si>
    <t>paid to shaaf ur rehman for trnsfer to moiz ubl account</t>
  </si>
  <si>
    <t>to adil plumber</t>
  </si>
  <si>
    <t>for site expense</t>
  </si>
  <si>
    <t>for hilti repairing</t>
  </si>
  <si>
    <t>cash paid for farhan c/o nadeem bhai utilitoes bill</t>
  </si>
  <si>
    <t>DIB CHq</t>
  </si>
  <si>
    <t>mhr K ele and ptcl bills paid</t>
  </si>
  <si>
    <t>Office K ele and ptcl bills paid</t>
  </si>
  <si>
    <t>rafeeq salary</t>
  </si>
  <si>
    <t>to shahid rigger in jpmc</t>
  </si>
  <si>
    <t>to adil plumber in naveed malik</t>
  </si>
  <si>
    <t>to bharmal for gas regulator 1-1/2</t>
  </si>
  <si>
    <t>paid for purcahsing thru tube trader in jpmc upvc fittings</t>
  </si>
  <si>
    <t>Used Riaz uncle nasir colony chq</t>
  </si>
  <si>
    <t>Iqbal core</t>
  </si>
  <si>
    <t>PADI FOR diesl level control swithc 01 nos</t>
  </si>
  <si>
    <t xml:space="preserve">received from Bilal bhai (azeem bring this cash </t>
  </si>
  <si>
    <t>for newspaper for two months</t>
  </si>
  <si>
    <t>kamran office claimed fuel</t>
  </si>
  <si>
    <t>received from Bilal bhai from himself</t>
  </si>
  <si>
    <t>to zulfiquar ftc for june 20 sent thru hamid</t>
  </si>
  <si>
    <t>paid for unit repair at naveed malik</t>
  </si>
  <si>
    <t>gland</t>
  </si>
  <si>
    <t>split ac</t>
  </si>
  <si>
    <t>paid to mazdoor for kataai at zeelaf</t>
  </si>
  <si>
    <t>paid for labour lunch at zeelaf</t>
  </si>
  <si>
    <t>paid for kitchen stuff from imtiaz</t>
  </si>
  <si>
    <t>paid to Feroz shb for june 20</t>
  </si>
  <si>
    <t>for mineral water for office</t>
  </si>
  <si>
    <t>paid for 02 balti duct sealent</t>
  </si>
  <si>
    <t>Voldam fans NEC</t>
  </si>
  <si>
    <t>paid for 02 no inline exhaust fan</t>
  </si>
  <si>
    <t>paid for water tanker for falcon</t>
  </si>
  <si>
    <t>cash paid as a zakat to mr waqas cousin of bilal bhai</t>
  </si>
  <si>
    <t>mobie balance</t>
  </si>
  <si>
    <t>to jahangeer for june 20`</t>
  </si>
  <si>
    <t>to kamran auto june 20`</t>
  </si>
  <si>
    <t>paid to haneef for june 20</t>
  </si>
  <si>
    <t>for mulmal cloth</t>
  </si>
  <si>
    <t>jpmc lunch</t>
  </si>
  <si>
    <t>atrium draings</t>
  </si>
  <si>
    <t>FTC site salary paid</t>
  </si>
  <si>
    <t>EFU staff salary paid except Ali khalid</t>
  </si>
  <si>
    <t>SSGC bill paid</t>
  </si>
  <si>
    <t>K elec bill paid</t>
  </si>
  <si>
    <t>The place staff salaries</t>
  </si>
  <si>
    <t>JPMC staff salaries</t>
  </si>
  <si>
    <t>Azeem salary</t>
  </si>
  <si>
    <t>Zeeshan AC salary</t>
  </si>
  <si>
    <t xml:space="preserve">Ali khalid salary </t>
  </si>
  <si>
    <t xml:space="preserve">MCBchq </t>
  </si>
  <si>
    <t>paid to akber zaheer for his employee</t>
  </si>
  <si>
    <t>chacha lateef salary</t>
  </si>
  <si>
    <t>Lateef salary</t>
  </si>
  <si>
    <t>Jahangeer salary</t>
  </si>
  <si>
    <t>bakhti give hisaab for office</t>
  </si>
  <si>
    <t>adil ftc</t>
  </si>
  <si>
    <t>paid for cementex at site</t>
  </si>
  <si>
    <t>cash from bilal bhai</t>
  </si>
  <si>
    <t>a4 pages rim purchased</t>
  </si>
  <si>
    <t>paid for PABX telephone and cameras sevicing and repairing</t>
  </si>
  <si>
    <t>purchased a3 paper 30 nos for zeelaf log sheet</t>
  </si>
  <si>
    <t>RMR staff salaries</t>
  </si>
  <si>
    <t>salaries leaves allowed</t>
  </si>
  <si>
    <t>paid for pin valve and copper rod</t>
  </si>
  <si>
    <t>for cutting disc zeelaf</t>
  </si>
  <si>
    <t>cash from bilal bhai (yasir siddique)</t>
  </si>
  <si>
    <t>paid to ali khalid</t>
  </si>
  <si>
    <t xml:space="preserve">paid to shahid painter </t>
  </si>
  <si>
    <t>cash from nadeem bhai</t>
  </si>
  <si>
    <t>for bank alfakah invoices given</t>
  </si>
  <si>
    <t>for efu printing</t>
  </si>
  <si>
    <t>paid for wire and screw for diffuer and grill at hasmani</t>
  </si>
  <si>
    <t>paid for hashmani</t>
  </si>
  <si>
    <t>Arham</t>
  </si>
  <si>
    <t>Haneef</t>
  </si>
  <si>
    <t xml:space="preserve">Rehan </t>
  </si>
  <si>
    <t>fuel invoice</t>
  </si>
  <si>
    <t>advance to amir plumber for july</t>
  </si>
  <si>
    <t>paid to labourer at jpmc</t>
  </si>
  <si>
    <t>cash paid for wiring for jpmc</t>
  </si>
  <si>
    <t>suleman dilawer</t>
  </si>
  <si>
    <t>cash padi given by nadeem bhai and 2000 fro mnadeem bhai total 17000</t>
  </si>
  <si>
    <t>cash paid sent thru abbas upto date 23000</t>
  </si>
  <si>
    <t>atrium drawings</t>
  </si>
  <si>
    <t xml:space="preserve">cash from bilal bhai </t>
  </si>
  <si>
    <t>1 roll insulation for ZMV 
Rs  21,500 + suzuki fare 1500</t>
  </si>
  <si>
    <t>tapes 3 carton for zeelaf + fuel</t>
  </si>
  <si>
    <t xml:space="preserve">Bilal bhai &amp; his guests' lunch </t>
  </si>
  <si>
    <t>ptcl bills paid</t>
  </si>
  <si>
    <t>paid for cast iron manhole colver</t>
  </si>
  <si>
    <t>imtiaz tender ponam store</t>
  </si>
  <si>
    <t>to azaad duct</t>
  </si>
  <si>
    <t>to abbas salary advance</t>
  </si>
  <si>
    <t>to faheem elec he will give invoices</t>
  </si>
  <si>
    <t>paid for refreshment and tea expenses</t>
  </si>
  <si>
    <t>naveed malik connector purcahed</t>
  </si>
  <si>
    <t>bilal bhai guset super card</t>
  </si>
  <si>
    <t xml:space="preserve">paid advance in jpmc and ftc </t>
  </si>
  <si>
    <t>paid for bank al-falah purchasing invoices given</t>
  </si>
  <si>
    <t>The place 02 months</t>
  </si>
  <si>
    <t>RMR 03 months</t>
  </si>
  <si>
    <t>FTC 02 months</t>
  </si>
  <si>
    <t xml:space="preserve">Bilal bhai salary June 2020 </t>
  </si>
  <si>
    <t>to lateef duct for july 20</t>
  </si>
  <si>
    <t>cash paid for site hashmani</t>
  </si>
  <si>
    <t>paid for fans fidao for hashmani
1000 mobile balance 
500 fuel and 
500 meeting and 
150 fuel</t>
  </si>
  <si>
    <t>from zmv to nasir to jpmc</t>
  </si>
  <si>
    <t>paid salary april may and june 20</t>
  </si>
  <si>
    <t>cash paid for site expemses by order nadeem bhai</t>
  </si>
  <si>
    <t>paid cash advance in jpmc</t>
  </si>
  <si>
    <t>Maskin SHO</t>
  </si>
  <si>
    <t>paid for ??</t>
  </si>
  <si>
    <t>to zeeshan for july 20</t>
  </si>
  <si>
    <t>paid for zmv insulation roll</t>
  </si>
  <si>
    <t>Din brother</t>
  </si>
  <si>
    <t>paid for epoxy for sindh club</t>
  </si>
  <si>
    <t>paid for qurbani for sir rehman to Al khidmat welfare</t>
  </si>
  <si>
    <t>Alpha engr</t>
  </si>
  <si>
    <t>paid for 02 nos chemical</t>
  </si>
  <si>
    <t>Zeeshan AC salary paid</t>
  </si>
  <si>
    <t>claimed</t>
  </si>
  <si>
    <t>to jahanger for july 20</t>
  </si>
  <si>
    <t>cash paid to bilal bahi c/o jahangeeer</t>
  </si>
  <si>
    <t>riksahw fare form jpmc to zmv</t>
  </si>
  <si>
    <t>bkahti give hisaab</t>
  </si>
  <si>
    <t>cash paid in zeelaf</t>
  </si>
  <si>
    <t>cheqye corrier to hassan abbas</t>
  </si>
  <si>
    <t>to amir engr tranfer easy paisa by kamran auto</t>
  </si>
  <si>
    <t>to Ali khalid EFU</t>
  </si>
  <si>
    <t>to Noman hussain EFU</t>
  </si>
  <si>
    <t>to ASIF EFU</t>
  </si>
  <si>
    <t>to shahid painter salary advance</t>
  </si>
  <si>
    <t>Us traders</t>
  </si>
  <si>
    <t xml:space="preserve">to Lateef duct </t>
  </si>
  <si>
    <t xml:space="preserve">to lateef chacha </t>
  </si>
  <si>
    <t>cash paid asif</t>
  </si>
  <si>
    <t>labourer salaries at jpmc</t>
  </si>
  <si>
    <t>to JPMC staff cash given to imran engr</t>
  </si>
  <si>
    <t>rehan aunty ufine super card</t>
  </si>
  <si>
    <t>paid for falcon mall material</t>
  </si>
  <si>
    <t>bill paid</t>
  </si>
  <si>
    <t>mearment scale purchased by kamran auto</t>
  </si>
  <si>
    <t>bakhti car wash</t>
  </si>
  <si>
    <t>paid for office mineral</t>
  </si>
  <si>
    <t>paid in jpmc by order nadeem</t>
  </si>
  <si>
    <t>cash paid to fakhrul islam c/o nadeem bhai in his share in against dib chq #02086954 which was cancelled  + bank cahrges</t>
  </si>
  <si>
    <t>cash paid for site zeelaf</t>
  </si>
  <si>
    <t>receoved from bilal bhai</t>
  </si>
  <si>
    <t>HJPMC IPC 46</t>
  </si>
  <si>
    <t>faheem ele</t>
  </si>
  <si>
    <t>rehan aunty jazz</t>
  </si>
  <si>
    <t>cash paid for falcon material</t>
  </si>
  <si>
    <t>office sweeper mossi salary</t>
  </si>
  <si>
    <t>cash paid sent trhu shahid for tapes and glues</t>
  </si>
  <si>
    <t>zeelaf except (Rafeeq, haneef and Arham)</t>
  </si>
  <si>
    <t>cash paid for jpmc site</t>
  </si>
  <si>
    <t>paid for july tea expenses</t>
  </si>
  <si>
    <t>paid for banck cahrges for faseeh transfer</t>
  </si>
  <si>
    <t xml:space="preserve">paid for bank al-falah purchasing </t>
  </si>
  <si>
    <t>PABX power supply changed</t>
  </si>
  <si>
    <t>jameel baig</t>
  </si>
  <si>
    <t>paid to labourer sent thru zeeshan ac</t>
  </si>
  <si>
    <t>cash paid sent thru amir engr</t>
  </si>
  <si>
    <t>lateef duct</t>
  </si>
  <si>
    <t>ptcl bills office</t>
  </si>
  <si>
    <t>Received from bilal bhai against jpmc Food Court IPC 08</t>
  </si>
  <si>
    <t>against misc invoices</t>
  </si>
  <si>
    <t>purcahsed a4 paper rim 01 nos carton</t>
  </si>
  <si>
    <t>rikshaw fare &amp; fuel for grills and other material</t>
  </si>
  <si>
    <t>umer give hissab</t>
  </si>
  <si>
    <t>charity with salylani rs 5000</t>
  </si>
  <si>
    <t>jpmc drawings</t>
  </si>
  <si>
    <t>zeelaf drawings</t>
  </si>
  <si>
    <t>hold with print wala</t>
  </si>
  <si>
    <t>suleman dilawer salary leaves 01 nos</t>
  </si>
  <si>
    <t>claimed 02 months fuel adjusted in JPMC, zeelaf, RMR and the place site visits</t>
  </si>
  <si>
    <t>to abbas plumber for august 20</t>
  </si>
  <si>
    <t>purcashed kitchen stuff from imtiaz super store</t>
  </si>
  <si>
    <t>cementax and fuel 150</t>
  </si>
  <si>
    <t>paid for the place black tapes</t>
  </si>
  <si>
    <t>paid for machine</t>
  </si>
  <si>
    <t>to amir engr sent thru nadeem bhai</t>
  </si>
  <si>
    <t>mhr home K elec bills paid</t>
  </si>
  <si>
    <t xml:space="preserve">paid for compressor oil </t>
  </si>
  <si>
    <t>cash paid for falcon  material</t>
  </si>
  <si>
    <t>paid to M. Akram Jazz cash account c/o bilal bhai</t>
  </si>
  <si>
    <t>to bilal bhai</t>
  </si>
  <si>
    <t>cash paid against his share profit account this cash paid for fees for zainab latif d/o m asif</t>
  </si>
  <si>
    <t>claimed fuel and bilal bhai medicine</t>
  </si>
  <si>
    <t>paid to khalid bhai post in neplex site</t>
  </si>
  <si>
    <t>cash paid for bike maintenance</t>
  </si>
  <si>
    <t>moshin air flow</t>
  </si>
  <si>
    <t>cash paid for zeelaf site received by Mr. khurram</t>
  </si>
  <si>
    <t>paid for 2 nos insulation  + suzuki fare</t>
  </si>
  <si>
    <t>RMR salary</t>
  </si>
  <si>
    <t>FTC Staff salary</t>
  </si>
  <si>
    <t>EFU staff</t>
  </si>
  <si>
    <t>jpmc copmuter repair</t>
  </si>
  <si>
    <t>cash paid sent thru Irfan bhai</t>
  </si>
  <si>
    <t>Office staff salary</t>
  </si>
  <si>
    <t>Nadeem bhai</t>
  </si>
  <si>
    <t>August 20 refreshment and tea</t>
  </si>
  <si>
    <t>bank alfalah misc</t>
  </si>
  <si>
    <t>rashid at bank alfalah</t>
  </si>
  <si>
    <t>azaad at bank alfalah</t>
  </si>
  <si>
    <t>salary advance to shahid painter</t>
  </si>
  <si>
    <t>ms pipe threading 6" and 8"</t>
  </si>
  <si>
    <t>rubber plug in falcon</t>
  </si>
  <si>
    <t>jpmc misc</t>
  </si>
  <si>
    <t>suzuki fare jpmc</t>
  </si>
  <si>
    <t>computer repair jpmc</t>
  </si>
  <si>
    <t>amir plumber for marterial</t>
  </si>
  <si>
    <t>salary advance to amir</t>
  </si>
  <si>
    <t>paid to mukhtiaz</t>
  </si>
  <si>
    <t>naveed malik invocies</t>
  </si>
  <si>
    <t>JPMC MOSQUE receiving</t>
  </si>
  <si>
    <t xml:space="preserve"> jpmc Food Court IPC 08</t>
  </si>
  <si>
    <t>Jpmc Food Court IPC 08</t>
  </si>
  <si>
    <t>Zeeshan at jameel baig</t>
  </si>
  <si>
    <t>Shahid painter at naveed malik</t>
  </si>
  <si>
    <t>The place salary</t>
  </si>
  <si>
    <t>sir rehman mobile balance charged in mhr</t>
  </si>
  <si>
    <t>paid for pipe and elbow for jameel baig</t>
  </si>
  <si>
    <t>ibraheem fittings</t>
  </si>
  <si>
    <t>paid for zeelaf and jpmc</t>
  </si>
  <si>
    <t>PAID to faheem elec for office stairs LED light</t>
  </si>
  <si>
    <t>to raheel jpmc for august 20</t>
  </si>
  <si>
    <t>azeem and ahmed at falcon</t>
  </si>
  <si>
    <t>cash paid sent thro umer office</t>
  </si>
  <si>
    <t>cash paid for zeelaf site, drop anchor, valves ms fittings, 
and tapes for jpmc</t>
  </si>
  <si>
    <t>cash paid for zmv purcahsing</t>
  </si>
  <si>
    <t>cash return by azeem after purcashing</t>
  </si>
  <si>
    <t>Talha salary 26 days</t>
  </si>
  <si>
    <t>paid 6 cheques returned from Fateh amounting rs 50,000 each and  Rs 50,000 cash total paid to bharmal Rs 350,000</t>
  </si>
  <si>
    <t>Beach avenue phase VI memship payment charged in bilal bhai personal account</t>
  </si>
  <si>
    <t>paid RMR and the place</t>
  </si>
  <si>
    <t>bilal bhai guest lunch</t>
  </si>
  <si>
    <t>cash paid for rikhaw fare</t>
  </si>
  <si>
    <t>mukhtiar</t>
  </si>
  <si>
    <t>cash paid for labourer at jpmc</t>
  </si>
  <si>
    <t>salary adv to shahid painter</t>
  </si>
  <si>
    <t>given to shahid in his salary</t>
  </si>
  <si>
    <t>cash paid to azaad advance</t>
  </si>
  <si>
    <t>PAID FOR the place material</t>
  </si>
  <si>
    <t>paid for riksahw fare and fuel</t>
  </si>
  <si>
    <t>cash paid in falcon labour</t>
  </si>
  <si>
    <t>Returned this cheque from Fateh steel</t>
  </si>
  <si>
    <t>lateef zeelaf salary</t>
  </si>
  <si>
    <t>chcha lateef zeelaf salary</t>
  </si>
  <si>
    <t>haneef zeelaf salary</t>
  </si>
  <si>
    <t>Suleman dilawer zeelaf salary</t>
  </si>
  <si>
    <t>invoives</t>
  </si>
  <si>
    <t>paid for ac at RMR units leakeges</t>
  </si>
  <si>
    <t>cash paid for misc mhr expenses</t>
  </si>
  <si>
    <t>stamp papers for bank Alfalah</t>
  </si>
  <si>
    <t>from falcon to nasir colony</t>
  </si>
  <si>
    <t>invoives jpmc</t>
  </si>
  <si>
    <t>to mukhtiar advance</t>
  </si>
  <si>
    <t>riksahw fare from office to zeelaf insualtion roll and rods</t>
  </si>
  <si>
    <t>mehmood pipes</t>
  </si>
  <si>
    <t>paid for jpmc and falcon material</t>
  </si>
  <si>
    <t>paid for zeelaf unit intallation</t>
  </si>
  <si>
    <t>paid for fittings from tube trader cash deal</t>
  </si>
  <si>
    <t>to ASIF EFU for sept 20</t>
  </si>
  <si>
    <t>paid for the place mfan repairing</t>
  </si>
  <si>
    <t>paid in jpmac</t>
  </si>
  <si>
    <t>to imran engr sent thru shahid painter</t>
  </si>
  <si>
    <t>paid for drawing jpmc</t>
  </si>
  <si>
    <t xml:space="preserve">Arham adhoc salary paid  zeelaf </t>
  </si>
  <si>
    <t>paid to zeeshan ac for office fridge compressor</t>
  </si>
  <si>
    <t>paid for ban al -falah stamp paper notary public verification</t>
  </si>
  <si>
    <t>to amir engr for imran engr</t>
  </si>
  <si>
    <t>to imran engr for purcashing</t>
  </si>
  <si>
    <t>ufone super card rehana aunty</t>
  </si>
  <si>
    <t>paid to hammad flang wala</t>
  </si>
  <si>
    <t>invoices 3 nos ac installation</t>
  </si>
  <si>
    <t>mhr ptcl paid</t>
  </si>
  <si>
    <t>office ptcl bills</t>
  </si>
  <si>
    <t>cash paid for machine</t>
  </si>
  <si>
    <t>office telephone line direct because pabx system out of order</t>
  </si>
  <si>
    <t>hamid</t>
  </si>
  <si>
    <t>claimed fuel at ftc</t>
  </si>
  <si>
    <t>cash paid sent thru kamran auto</t>
  </si>
  <si>
    <t>to talha for sept 20</t>
  </si>
  <si>
    <t xml:space="preserve">Hasham stopped salary relaesed </t>
  </si>
  <si>
    <t>to nadeem bhia</t>
  </si>
  <si>
    <t>World wide publisher</t>
  </si>
  <si>
    <t xml:space="preserve">Rafeeq salary relaesed </t>
  </si>
  <si>
    <t xml:space="preserve">Arham remaining salary relaesed </t>
  </si>
  <si>
    <t>bank al-falah</t>
  </si>
  <si>
    <t>paid for labourer to kamran ali, ali khalid and owais</t>
  </si>
  <si>
    <t>cash paid for falcon site</t>
  </si>
  <si>
    <t>cash paid for zeelaf site for die</t>
  </si>
  <si>
    <t>cash paid for jameel baig villa control wire</t>
  </si>
  <si>
    <t>mobile balance nadeem bhai</t>
  </si>
  <si>
    <t>office dirver lunch as instructed by bilal bhai</t>
  </si>
  <si>
    <t>bakhti medicices</t>
  </si>
  <si>
    <t>bilal bhai guest lunch + cold drink</t>
  </si>
  <si>
    <t>Returned by zeeshan ac</t>
  </si>
  <si>
    <t>paid for 3/4 pipe purchased from bukhari</t>
  </si>
  <si>
    <t>for transportation from bharmal to jpmc and then jpmc to bharmal</t>
  </si>
  <si>
    <t>to sir rehman for misc invoices</t>
  </si>
  <si>
    <t>cash paid for Farhan bhai k ele bill</t>
  </si>
  <si>
    <t>cash paid for farhan bhai k elec bill</t>
  </si>
  <si>
    <t xml:space="preserve">paid for smc office labourer </t>
  </si>
  <si>
    <t>paid to ahmed he will return</t>
  </si>
  <si>
    <t>kamran fuel and talha mask</t>
  </si>
  <si>
    <t>Office 15 months bill paid</t>
  </si>
  <si>
    <t>paid for suzuki fare from tube traders to jameel baig</t>
  </si>
  <si>
    <t>CBC bills</t>
  </si>
  <si>
    <t>calimed fuel</t>
  </si>
  <si>
    <t>Returned by faheem</t>
  </si>
  <si>
    <t>cash paid (cash giveb by faheem)</t>
  </si>
  <si>
    <t>cash paid to faheen in falcon labourer</t>
  </si>
  <si>
    <t>cash paid to bilal bhai</t>
  </si>
  <si>
    <t>cash paid for the place site</t>
  </si>
  <si>
    <t>to shahid painter for jpmc purchasing</t>
  </si>
  <si>
    <t>rehana aunty ufone super card</t>
  </si>
  <si>
    <t>shadab</t>
  </si>
  <si>
    <t>paid for karchar and red oxide cementx neplex</t>
  </si>
  <si>
    <t>bilal bhai credit card fees paid</t>
  </si>
  <si>
    <t>paid for corrier charges for zohaib tax</t>
  </si>
  <si>
    <t>Al-ansar enginnering</t>
  </si>
  <si>
    <t>paid against diesel tank deal advance</t>
  </si>
  <si>
    <t>paid final payment</t>
  </si>
  <si>
    <t>paid for suzuki fare from jpmc to zmv</t>
  </si>
  <si>
    <t>paid in jpmc to nasir colony materila shifting</t>
  </si>
  <si>
    <t>to feroz sahab for septmber 20</t>
  </si>
  <si>
    <t>Muzzafar</t>
  </si>
  <si>
    <t>paid for the place chiller inspection</t>
  </si>
  <si>
    <t>SSGC bill paid Home MHR and office</t>
  </si>
  <si>
    <t>K elec bill paid Mhr</t>
  </si>
  <si>
    <t>cash paid for suzuki fare</t>
  </si>
  <si>
    <t>cash paid as advance for jpmc labourer</t>
  </si>
  <si>
    <t>paid for DA beach view club</t>
  </si>
  <si>
    <t>cash paid for chiller transformer</t>
  </si>
  <si>
    <t>cash paid for JS bank purcahsig</t>
  </si>
  <si>
    <t>cash paid in jpmc labourer</t>
  </si>
  <si>
    <t>cash paid against nadeem bhai home utilities bills</t>
  </si>
  <si>
    <t>zeeshan ac salary</t>
  </si>
  <si>
    <t>to gul sher for sept 20 (easy paisa to his brother khalid)</t>
  </si>
  <si>
    <t>paid for easy paisa charges in gul salary</t>
  </si>
  <si>
    <t>material shifting from kaytes to zmv</t>
  </si>
  <si>
    <t xml:space="preserve">paid to his brother shahid at the time of jpmc accident </t>
  </si>
  <si>
    <t>paid for 06 thans</t>
  </si>
  <si>
    <t>rafay salary for the month of August 20</t>
  </si>
  <si>
    <t>office kitchen stuff from imtiaz</t>
  </si>
  <si>
    <t>mobile load</t>
  </si>
  <si>
    <t>zahabiya</t>
  </si>
  <si>
    <t>duct sealent for js bank</t>
  </si>
  <si>
    <t>to jahangeer for sept 20</t>
  </si>
  <si>
    <t>umer for car wash</t>
  </si>
  <si>
    <t>mobile load super card</t>
  </si>
  <si>
    <t>fuel claimed in falcon mall</t>
  </si>
  <si>
    <t>EFU Staff salaries</t>
  </si>
  <si>
    <t>september 20 refreshment and tea</t>
  </si>
  <si>
    <t>paid for stationery and colour material he will give invoices</t>
  </si>
  <si>
    <t>to kamran auto for sept 20</t>
  </si>
  <si>
    <t>nadeem bhai salary for the month of september 20</t>
  </si>
  <si>
    <t>cash paid for zmv paint labourer</t>
  </si>
  <si>
    <t>for mobile balance</t>
  </si>
  <si>
    <t>salary adv to amir engr</t>
  </si>
  <si>
    <t>cash paid for pump</t>
  </si>
  <si>
    <t>cash paid for purcahsing</t>
  </si>
  <si>
    <t>Falcon mall Staff salary</t>
  </si>
  <si>
    <t>The place Cinema Staff salary</t>
  </si>
  <si>
    <t>RMR Cinema Staff salary</t>
  </si>
  <si>
    <t>Office Staff salary</t>
  </si>
  <si>
    <t>JPMC  Staff salary</t>
  </si>
  <si>
    <t>Mujeed rehman jameel baig salary</t>
  </si>
  <si>
    <t>cash paid against misc invoices</t>
  </si>
  <si>
    <t>to gul sher for oct 20 (easy paisa to his brother khalid)</t>
  </si>
  <si>
    <t>Talha salary release</t>
  </si>
  <si>
    <t>cash paid for jpmc purchasing</t>
  </si>
  <si>
    <t>Returned by Shadab after purchaing</t>
  </si>
  <si>
    <t>claimed mobile card sept</t>
  </si>
  <si>
    <t>paid for mobile card oct  20</t>
  </si>
  <si>
    <t>cash paid for ftc site (balance 1700)</t>
  </si>
  <si>
    <t>khan brother services</t>
  </si>
  <si>
    <t>paid to rizwan for vrf servicing</t>
  </si>
  <si>
    <t>Eastern Sanitry</t>
  </si>
  <si>
    <t>paid now balance NIL</t>
  </si>
  <si>
    <t>Eesha fees paid in bank al habib</t>
  </si>
  <si>
    <t>JS bank receiveing</t>
  </si>
  <si>
    <t>hammad flang</t>
  </si>
  <si>
    <t>cash paid for 16 nos exhaust fans</t>
  </si>
  <si>
    <t>cash paid for efu lunch</t>
  </si>
  <si>
    <t>mobile balace jpmc and js bank</t>
  </si>
  <si>
    <t>from zmv to office store bt haneef</t>
  </si>
  <si>
    <t>to lateef chacha for setp 20</t>
  </si>
  <si>
    <t>Received from JPMC FOOD COURT IPC 09</t>
  </si>
  <si>
    <t>cash paid for purcashing jameel baig (invoie given 250</t>
  </si>
  <si>
    <t>cash paid (balance 3550)</t>
  </si>
  <si>
    <t>Lateef salary release</t>
  </si>
  <si>
    <t>purcahsed duct sealent from chemicon</t>
  </si>
  <si>
    <t>to mukhtiar advance (0ct 20</t>
  </si>
  <si>
    <t>paid advance (oct 20)</t>
  </si>
  <si>
    <t>paid for zeelaf purcashing</t>
  </si>
  <si>
    <t>to haneef for sept 20</t>
  </si>
  <si>
    <t>to adil ftc for oct 20</t>
  </si>
  <si>
    <t>to zulfiquar for oct 20</t>
  </si>
  <si>
    <t>suleman salary release</t>
  </si>
  <si>
    <t>haneef salary release</t>
  </si>
  <si>
    <t>rafeeq salary release</t>
  </si>
  <si>
    <t>bilal bhai room door repaired</t>
  </si>
  <si>
    <t>ptcl bills paid
Office         2300
MHr home 7350</t>
  </si>
  <si>
    <t>to kamran auto for falcon</t>
  </si>
  <si>
    <t>for computer</t>
  </si>
  <si>
    <t>saeed mama</t>
  </si>
  <si>
    <t>cash paid to saeed mama for excavation work sent thru shahid painter</t>
  </si>
  <si>
    <t>cash paid for damer tape and copper rod</t>
  </si>
  <si>
    <t>mubeen season master</t>
  </si>
  <si>
    <t>paid for extra electric board for 2nd floor</t>
  </si>
  <si>
    <t>to sajjad ftc for oct 20</t>
  </si>
  <si>
    <t>Mungo</t>
  </si>
  <si>
    <t>cash paid against jpmc clamp bills</t>
  </si>
  <si>
    <t>cash paid against prv balance</t>
  </si>
  <si>
    <t>to talha for oct 20</t>
  </si>
  <si>
    <t>cash paid for tape glue and duct sealent</t>
  </si>
  <si>
    <t>paid for zmv as built drawings</t>
  </si>
  <si>
    <t>forte pak</t>
  </si>
  <si>
    <t>purcashed 1 insulation roll from forte pak + riksahw fare</t>
  </si>
  <si>
    <t>duct selent</t>
  </si>
  <si>
    <t>purchased for zeelaf</t>
  </si>
  <si>
    <t>for falcon</t>
  </si>
  <si>
    <t>to Umer for oct 20</t>
  </si>
  <si>
    <t>cash paid (sent thru kamran)</t>
  </si>
  <si>
    <t>chacha lateef release</t>
  </si>
  <si>
    <t>Arham salary release</t>
  </si>
  <si>
    <t>cash paid from jpmc food cour cash</t>
  </si>
  <si>
    <t>salary adv to shahid painter for oct 20</t>
  </si>
  <si>
    <t>paid for purcahsing (will give hisab of 800 and 7000)</t>
  </si>
  <si>
    <t>Naveed Akhtar Salary release</t>
  </si>
  <si>
    <t>cash paid for falcon</t>
  </si>
  <si>
    <t>invoice jpmc nut and washers</t>
  </si>
  <si>
    <t>cash paid sent thri nadeem bhai</t>
  </si>
  <si>
    <t xml:space="preserve">paid for fuel valve regger transporation of tank </t>
  </si>
  <si>
    <t>office computer changed</t>
  </si>
  <si>
    <t>to kamran auto for oct 20</t>
  </si>
  <si>
    <t>cash paid advance in jpmc now rs 14000</t>
  </si>
  <si>
    <t>Kumain Younis Villa advance received</t>
  </si>
  <si>
    <t>purchased 1 length pipe pak arab</t>
  </si>
  <si>
    <t>cash paid for farhan sahab utililtes bill</t>
  </si>
  <si>
    <t>for office water tanker</t>
  </si>
  <si>
    <t>talha for bykia conveyance for zeelaf drw verification to jhangeer</t>
  </si>
  <si>
    <t>to  khalid bhai but not post in his salary</t>
  </si>
  <si>
    <t>rehana aunty jazz balance for 2 months</t>
  </si>
  <si>
    <t>rehana aunty ufone car</t>
  </si>
  <si>
    <t>misc exp (to police man) given by bilal bhai</t>
  </si>
  <si>
    <t>cash paid for farhan bhai utililtes bill</t>
  </si>
  <si>
    <t>office falcon schduel prnting</t>
  </si>
  <si>
    <t>from zeelaf to nasir colony for insualtion and cladding</t>
  </si>
  <si>
    <t>paid for zeelaf purcahsing from taheriya + fuel</t>
  </si>
  <si>
    <t xml:space="preserve">Arham </t>
  </si>
  <si>
    <t>paid for zeelaf purcashuing</t>
  </si>
  <si>
    <t>k elec and SSGC office 1st floor and 2nd floor</t>
  </si>
  <si>
    <t>k elec mhr home bills</t>
  </si>
  <si>
    <t>paid (jpmc)</t>
  </si>
  <si>
    <t>for office buskuits</t>
  </si>
  <si>
    <t>for insulation from off to js bank ftc</t>
  </si>
  <si>
    <t>office cat 6 internet cable</t>
  </si>
  <si>
    <t>cash paid sent thru amir and mehmood</t>
  </si>
  <si>
    <t>to sagheer ac advance</t>
  </si>
  <si>
    <t>to amir engr salary advance for oct 20</t>
  </si>
  <si>
    <t>Adjust this cash from Nadeem bhai profit share 2019 to 2020</t>
  </si>
  <si>
    <t xml:space="preserve">paid for fuel tank regger transporation of tank </t>
  </si>
  <si>
    <t xml:space="preserve">paid for jpmc </t>
  </si>
  <si>
    <t>paid for AHU motor c.o tariq rana greaves</t>
  </si>
  <si>
    <t>Greaves ltd</t>
  </si>
  <si>
    <t>to kamran for falcon drawings</t>
  </si>
  <si>
    <t>tender purcahsed the form shooping from yh</t>
  </si>
  <si>
    <t>The forum tender</t>
  </si>
  <si>
    <t xml:space="preserve">paid for 10mm bolt and washer </t>
  </si>
  <si>
    <t>cash paid for site zeelaf purch (set thru mukhtiar) balance rs 14550</t>
  </si>
  <si>
    <t>cash paid for drill machine, grinder plaas etc ok cleared</t>
  </si>
  <si>
    <t>paid advance in oct 20 salaries</t>
  </si>
  <si>
    <t>cash paid in salary</t>
  </si>
  <si>
    <t>paid for misc invoices in hashmani</t>
  </si>
  <si>
    <t>to imran at site</t>
  </si>
  <si>
    <t xml:space="preserve">cash paid for  misc </t>
  </si>
  <si>
    <t>MCB chq cash for Oct 20 salaries chq # 1765307180</t>
  </si>
  <si>
    <t>Rehan salary</t>
  </si>
  <si>
    <t>for office salaries</t>
  </si>
  <si>
    <t>sagheer ac</t>
  </si>
  <si>
    <t>paid remaining amount</t>
  </si>
  <si>
    <t>cinema the place</t>
  </si>
  <si>
    <t>Jameel baig zeeshan and mujeeb</t>
  </si>
  <si>
    <t>Suleman dilawer salary</t>
  </si>
  <si>
    <t>cash paid agaisnt misc invoices</t>
  </si>
  <si>
    <t>to mukhtiar</t>
  </si>
  <si>
    <t>Fateh retunn chq in 19-10-20 deal</t>
  </si>
  <si>
    <t>Purcahsed red oxidem brushm fittings carbon and other item for zeelaf (remaining rs 1250) now remaining 910</t>
  </si>
  <si>
    <t>lateef, haneef and chacha lateef remaining salary</t>
  </si>
  <si>
    <t>paid to kashif suz from jpmc to nasir colony</t>
  </si>
  <si>
    <t>qadri pool</t>
  </si>
  <si>
    <t>cash paid for kumail villa heater repairing, servicing and over hauling</t>
  </si>
  <si>
    <t>Fateh return chq cashed in 12-11-20 deal</t>
  </si>
  <si>
    <t>to kashif suzuki for jpmc</t>
  </si>
  <si>
    <t>to fareed for fire panel repair in falcom</t>
  </si>
  <si>
    <t>paid for naveed maili hot water issue</t>
  </si>
  <si>
    <t>paid for efu misc</t>
  </si>
  <si>
    <t>imran c/o feroz</t>
  </si>
  <si>
    <t>paid in falcon for misc</t>
  </si>
  <si>
    <t>cash paid final amount in his salaries</t>
  </si>
  <si>
    <t>to adeel ftc for nov 20 advance (now start)</t>
  </si>
  <si>
    <t>October 20 refreshment and tea</t>
  </si>
  <si>
    <t>naveed malik puchasieng</t>
  </si>
  <si>
    <t>to shahid regger for jpmc material shifting</t>
  </si>
  <si>
    <t>jpmc invoices by mukhtiar</t>
  </si>
  <si>
    <t>mhr k electri bil paid</t>
  </si>
  <si>
    <t>purchased office stuff</t>
  </si>
  <si>
    <t>paid with bank cahrges</t>
  </si>
  <si>
    <t xml:space="preserve">zeelaf </t>
  </si>
  <si>
    <t>cash paid for site exp (sent thro lateef duct)</t>
  </si>
  <si>
    <t>naveed salary paid</t>
  </si>
  <si>
    <t>Arham salary paid</t>
  </si>
  <si>
    <t>ENSOL (engineering solution)</t>
  </si>
  <si>
    <t>purchased HDPE fittings and MS Flanges</t>
  </si>
  <si>
    <t>cash paid for site jpmc</t>
  </si>
  <si>
    <t>cash paid for 04 nos fans</t>
  </si>
  <si>
    <t>paid for gas bati of welding plant</t>
  </si>
  <si>
    <t>misc for trolly</t>
  </si>
  <si>
    <t>given to Rizwan VRF</t>
  </si>
  <si>
    <t>farhan bhai k ele bill</t>
  </si>
  <si>
    <t>farhan bhai k elec bill</t>
  </si>
  <si>
    <t>cash paid (from umer)</t>
  </si>
  <si>
    <t>a3 paper</t>
  </si>
  <si>
    <t>to khalid bhai the place for nov 20</t>
  </si>
  <si>
    <t>cash paid advance in nov salaries</t>
  </si>
  <si>
    <t>haneef claimed fuel</t>
  </si>
  <si>
    <t xml:space="preserve">abbas plumber </t>
  </si>
  <si>
    <t>paid for js bank ftc</t>
  </si>
  <si>
    <t>for fuel sent thru ahmed</t>
  </si>
  <si>
    <t>to chacha lateef for nov 20</t>
  </si>
  <si>
    <t>to haneef for nov 20</t>
  </si>
  <si>
    <t>cash paid (for farhan bhai)</t>
  </si>
  <si>
    <t>cash paid for material shifitng</t>
  </si>
  <si>
    <t>tax</t>
  </si>
  <si>
    <t>paid for tax for 2-C building for rehana aunty</t>
  </si>
  <si>
    <t>k elec and ssgc bill paid for memon group house</t>
  </si>
  <si>
    <t>mhr home and office bill and nasir colony k elec bill</t>
  </si>
  <si>
    <t>kamran claimed fuel and photocopy</t>
  </si>
  <si>
    <t>paid for 02 nos thans for falcon</t>
  </si>
  <si>
    <t>paid for revit and bit for zeelaf</t>
  </si>
  <si>
    <t>paid for 01 nos 8" exhaust fan</t>
  </si>
  <si>
    <t>Khizer RMR</t>
  </si>
  <si>
    <t>paid for unit gas charging</t>
  </si>
  <si>
    <t>nadeem bhai drawing</t>
  </si>
  <si>
    <t>cash paid for tools and other items</t>
  </si>
  <si>
    <t>paid advance in rood cladding</t>
  </si>
  <si>
    <t>claimed fuel at jpmc by order nadeem bhai</t>
  </si>
  <si>
    <t>paid for water tanker for office</t>
  </si>
  <si>
    <t>paid for clips and fisher zeelaf</t>
  </si>
  <si>
    <t>to jahangeer for Nov 20</t>
  </si>
  <si>
    <t>Arif Interprised</t>
  </si>
  <si>
    <t>paid for shaaf institution fee to mr moiz ubl acc</t>
  </si>
  <si>
    <t>CASH paid to imran engr sent thru amir plumber</t>
  </si>
  <si>
    <t>cash paid against honey well motors 16 nos</t>
  </si>
  <si>
    <t>padi for super card ufone</t>
  </si>
  <si>
    <t>paid advance no updo date 50,000</t>
  </si>
  <si>
    <t>cash paid to mukhtiar for nut bolt and flanges</t>
  </si>
  <si>
    <t>paid for nut bolt and flang remaining invocie</t>
  </si>
  <si>
    <t>cash to mukhtiar</t>
  </si>
  <si>
    <t>to Feroz sahab for Nov 20 (for his wife FAALIJ attack)</t>
  </si>
  <si>
    <t>cash paid for purcashig zeelaf, falcon and atrium</t>
  </si>
  <si>
    <t>to rafeeq salary advcance for nov 20</t>
  </si>
  <si>
    <t>paid for zeelaf purhasing elbow 1-1/4 8 pcs hold title dhaga</t>
  </si>
  <si>
    <t>Mukhtiar staff salaries</t>
  </si>
  <si>
    <t>claimed dinner expenses for 2 day for efu closing</t>
  </si>
  <si>
    <t>for car wash to umer office</t>
  </si>
  <si>
    <t>for purchasing (sent thru nadeem bhai)</t>
  </si>
  <si>
    <t>from jpmc to nasir colony</t>
  </si>
  <si>
    <t>office expenses soap</t>
  </si>
  <si>
    <t>bilal bhai bank statement to zohaib</t>
  </si>
  <si>
    <t>advance return (ftc)</t>
  </si>
  <si>
    <t>zeelaf staff salary</t>
  </si>
  <si>
    <t>Falcon zeem and Imran son of feroz</t>
  </si>
  <si>
    <t>Driver salary</t>
  </si>
  <si>
    <t>tea and refrehsment expenses</t>
  </si>
  <si>
    <t>paid sent thru abbas plumber</t>
  </si>
  <si>
    <t>paid for elbow 10" for jpmc</t>
  </si>
  <si>
    <t>cash paid for dumper</t>
  </si>
  <si>
    <t>purchased from tube traders fittigns</t>
  </si>
  <si>
    <t xml:space="preserve">paid pre month salary remaining </t>
  </si>
  <si>
    <t>paid for purchsaing</t>
  </si>
  <si>
    <t>to imran engr Saturday</t>
  </si>
  <si>
    <t>decreased salary released</t>
  </si>
  <si>
    <t>office and mhr ptcl bill</t>
  </si>
  <si>
    <t>paid for pre month shop rent remaining cash</t>
  </si>
  <si>
    <t>paid for invocies</t>
  </si>
  <si>
    <t>cash paid + bank cahrges</t>
  </si>
  <si>
    <t>cash paid for ideas control wiring</t>
  </si>
  <si>
    <t>junaid hojar cinema salary increased</t>
  </si>
  <si>
    <t>paid for copper rod at jpmc</t>
  </si>
  <si>
    <t>CBC amount ground floor</t>
  </si>
  <si>
    <t>cash paid advance in dec salary (sent thru nadeem bhai0</t>
  </si>
  <si>
    <t>zameer total</t>
  </si>
  <si>
    <t xml:space="preserve">paid for zameer shb total for heater </t>
  </si>
  <si>
    <t>paid from zmv to office</t>
  </si>
  <si>
    <t>Amir eng salary paid</t>
  </si>
  <si>
    <t>paid for super card</t>
  </si>
  <si>
    <t>cash paid for falcon site purcashing</t>
  </si>
  <si>
    <t>for feroz textile purcahsing</t>
  </si>
  <si>
    <t>mobile balance mobilink for 2 months</t>
  </si>
  <si>
    <t>for print</t>
  </si>
  <si>
    <t>rikshaw fare form sindh club to office for geyser</t>
  </si>
  <si>
    <t>rikshaw fare from office to sadder</t>
  </si>
  <si>
    <t>cash paid for zeelaf purchasing fittings now jahangeer will give hisaab of 8000-5540=2460</t>
  </si>
  <si>
    <t>Receeived from tariq rana</t>
  </si>
  <si>
    <t>cash paid for purchasing (now bal is 2460+7000 = 9460</t>
  </si>
  <si>
    <t>Receeived from bilal bhai</t>
  </si>
  <si>
    <t>dib chq paid for purcahsing</t>
  </si>
  <si>
    <t>irfan salary</t>
  </si>
  <si>
    <t>from office to shaheen complex for electric geyser</t>
  </si>
  <si>
    <t>to imran s/o feroz for falcon</t>
  </si>
  <si>
    <t>to abid for dec salary advance</t>
  </si>
  <si>
    <t>for pump from kumail t office</t>
  </si>
  <si>
    <t>to khalid bhai in feroz textile</t>
  </si>
  <si>
    <t>salary advance to zahid jpmc</t>
  </si>
  <si>
    <t>for pump repairng tools</t>
  </si>
  <si>
    <t xml:space="preserve">mhr ssgc office ssgc </t>
  </si>
  <si>
    <t>to haneef for dec 20 (suz cash remaining)</t>
  </si>
  <si>
    <t>js bank + lamination coating</t>
  </si>
  <si>
    <t>to shahid painter for dec 20 sen thru jahan</t>
  </si>
  <si>
    <t>paid for site js 9460 + 3000 = 12460</t>
  </si>
  <si>
    <t>for js bank shaheen com</t>
  </si>
  <si>
    <t>to umer for jan 20</t>
  </si>
  <si>
    <t>paid to amir (in bilal  bhai acc)</t>
  </si>
  <si>
    <t>to imran s/o feroz for falcon (given invoices)</t>
  </si>
  <si>
    <t>PAID FOR JS BANK TOOLS</t>
  </si>
  <si>
    <t>to KAMRAN AUTO FOR DEC 20</t>
  </si>
  <si>
    <t>Returned by Faheem after purchasing</t>
  </si>
  <si>
    <t>[urhcasd 2 balti</t>
  </si>
  <si>
    <t>paid for mhr home work</t>
  </si>
  <si>
    <t>to shahid painter  jansalary advance</t>
  </si>
  <si>
    <t>to azeem for js bank shaheen purfahsing</t>
  </si>
  <si>
    <t>paid for jpmc psychiatry depart</t>
  </si>
  <si>
    <t>mossi salary paid</t>
  </si>
  <si>
    <t>azeem decreased salary paid</t>
  </si>
  <si>
    <t>paid for falcon puracshing</t>
  </si>
  <si>
    <t>cash paid for JS bank purcahsig now 4460</t>
  </si>
  <si>
    <t>jahangeer salary paid for the mnth of jan 20</t>
  </si>
  <si>
    <t>paid for his remaining balance</t>
  </si>
  <si>
    <t>from nagan chwrangi to nasir colony</t>
  </si>
  <si>
    <t>given invoices for js bank</t>
  </si>
  <si>
    <t xml:space="preserve">JS bank </t>
  </si>
  <si>
    <t>paid to Najmul huda hbl account</t>
  </si>
  <si>
    <t>paid for tapes at js bank</t>
  </si>
  <si>
    <t>asif us traders</t>
  </si>
  <si>
    <t>paid for js bank</t>
  </si>
  <si>
    <t>office staff salaries</t>
  </si>
  <si>
    <t>for rikshaw and office washroom comode pipe changed (now he will give hsaab of 2500</t>
  </si>
  <si>
    <t>envelop purchased</t>
  </si>
  <si>
    <t>paid advance in js bank shaheen complex</t>
  </si>
  <si>
    <t xml:space="preserve">JPMC att staff </t>
  </si>
  <si>
    <t xml:space="preserve">salary advance to haneef </t>
  </si>
  <si>
    <t>BHAMARMAL VALVE 08NOS</t>
  </si>
  <si>
    <t>KHALID BHAI IN FEROZ</t>
  </si>
  <si>
    <t>PAID FOR FEROZ TEXTILE</t>
  </si>
  <si>
    <t>bakhti car cash</t>
  </si>
  <si>
    <t>Js bank salary paid</t>
  </si>
  <si>
    <t>Falcon azeem and Imran son of feroz</t>
  </si>
  <si>
    <t>kunna lunch for bilal bhai guest</t>
  </si>
  <si>
    <t>cash paid for jameel baig</t>
  </si>
  <si>
    <t>Global tech</t>
  </si>
  <si>
    <t>PAID FOR FEROZ TEXTILE insulation</t>
  </si>
  <si>
    <t>Received against JS bank shaheen complex 20% mob advance</t>
  </si>
  <si>
    <t>azeem claimed fuel</t>
  </si>
  <si>
    <t>to lateef duct for jan 21</t>
  </si>
  <si>
    <t>printer refilling and another printer repair</t>
  </si>
  <si>
    <t>paid to bilal bhai for mhr home TV purchased</t>
  </si>
  <si>
    <t>paid for charity (jahangeer)</t>
  </si>
  <si>
    <t>M. Ismail jee Porta</t>
  </si>
  <si>
    <t>paid for Jpmc</t>
  </si>
  <si>
    <t>Alpha engineering</t>
  </si>
  <si>
    <t>paid to munir for dosing pumo=p and other items</t>
  </si>
  <si>
    <t>mobile bal</t>
  </si>
  <si>
    <t>paid for tea and refereshmend (to sahfeeq) for jan 21</t>
  </si>
  <si>
    <t>Hussain &amp; Co</t>
  </si>
  <si>
    <t>paid cash for DBs</t>
  </si>
  <si>
    <t>paid for falcon mall</t>
  </si>
  <si>
    <t>to mukhtiar for feroz pucchasing hissab cleared</t>
  </si>
  <si>
    <t>for al hamd</t>
  </si>
  <si>
    <t>cash paid in feroz</t>
  </si>
  <si>
    <t>paid for mhr home work for geyser</t>
  </si>
  <si>
    <t>js bank the forum</t>
  </si>
  <si>
    <t>paid for efu lunch</t>
  </si>
  <si>
    <t>ali khalid claimed fuel</t>
  </si>
  <si>
    <t>cash paid 2 carton duct sealent and heater</t>
  </si>
  <si>
    <t>invoices feroz textile</t>
  </si>
  <si>
    <t>shahbaz salary paid</t>
  </si>
  <si>
    <t>ptcl bills paid
Office         4120
MHr home 8120</t>
  </si>
  <si>
    <t>to raheel for jan 21</t>
  </si>
  <si>
    <t>to feroz sahab in jan 21</t>
  </si>
  <si>
    <t>to abbas ishaq in jan 21</t>
  </si>
  <si>
    <t>cash paid for falcon mall</t>
  </si>
  <si>
    <t>for al hamd and the forum</t>
  </si>
  <si>
    <t>sami efu</t>
  </si>
  <si>
    <t>paid for kumail site pump bearing repairing</t>
  </si>
  <si>
    <t>to feroz</t>
  </si>
  <si>
    <t>to lateef duct for jan 21 for shaheen</t>
  </si>
  <si>
    <t>mouse and windows cd pucahse</t>
  </si>
  <si>
    <t>for office dinner late sitting</t>
  </si>
  <si>
    <t>js bank</t>
  </si>
  <si>
    <t>bill print</t>
  </si>
  <si>
    <t xml:space="preserve">bilal bhai lunch, </t>
  </si>
  <si>
    <t>waris july to dec 20   06 months salary</t>
  </si>
  <si>
    <t>paid for falcon mall tagging</t>
  </si>
  <si>
    <t>cash paid in js bank shaheen</t>
  </si>
  <si>
    <t>cash paid to jahangeer for jan 21</t>
  </si>
  <si>
    <t>to haneef bhai for jan 21</t>
  </si>
  <si>
    <t>paid for site expenses feroz</t>
  </si>
  <si>
    <t>paid for kumail site</t>
  </si>
  <si>
    <t>paid for falcon purchasing</t>
  </si>
  <si>
    <t>paid for prv bal for jameel baig villa</t>
  </si>
  <si>
    <t>office k elec bill paid for ground and 1st floor</t>
  </si>
  <si>
    <t>khalid mansoor</t>
  </si>
  <si>
    <t>paid advance by order bilal bhai</t>
  </si>
  <si>
    <t>paid for falcon purcahsing</t>
  </si>
  <si>
    <t>cash paid for purchasing sent thri shahid painter now 9460-5437=4023</t>
  </si>
  <si>
    <t>invoices the forum</t>
  </si>
  <si>
    <t>for the forum</t>
  </si>
  <si>
    <t>paid for material shifting from fakhri to the forum mall</t>
  </si>
  <si>
    <t>kamran clained fuel</t>
  </si>
  <si>
    <t>computer repair</t>
  </si>
  <si>
    <t>computer system purchased</t>
  </si>
  <si>
    <t>ali raza insulator</t>
  </si>
  <si>
    <t>cash paid now hissab cleared</t>
  </si>
  <si>
    <t>nasir colony and office bills k ele and ssgc</t>
  </si>
  <si>
    <t>Vital</t>
  </si>
  <si>
    <t>nadeem bhai dec 20 salary</t>
  </si>
  <si>
    <t>purcahsed2 mouses and computer internet dongle</t>
  </si>
  <si>
    <t xml:space="preserve">for car wash </t>
  </si>
  <si>
    <t>kitchen stuff from imtiaza</t>
  </si>
  <si>
    <t>the forum</t>
  </si>
  <si>
    <t>cash paid for js bank shaheen complex</t>
  </si>
  <si>
    <t>paid in feroz</t>
  </si>
  <si>
    <t xml:space="preserve">jpMC att staff </t>
  </si>
  <si>
    <t>office staff except kamran auto</t>
  </si>
  <si>
    <t>shafeeq ftc</t>
  </si>
  <si>
    <t>paid for tea and refreshment</t>
  </si>
  <si>
    <t>paid for muslim shower</t>
  </si>
  <si>
    <t>qaiser the forum salary</t>
  </si>
  <si>
    <t>Arsalan the forum salary</t>
  </si>
  <si>
    <t>The forum salary</t>
  </si>
  <si>
    <t>paid in feroz (location shah jee shop)</t>
  </si>
  <si>
    <t>cash paid 9023-2400-7350 (-727)</t>
  </si>
  <si>
    <t>kamran aliemd fuel</t>
  </si>
  <si>
    <t>paid for remaioning baalnce</t>
  </si>
  <si>
    <t>paid for fcu from zahid</t>
  </si>
  <si>
    <t>paid for transportation by order nadeem bhai</t>
  </si>
  <si>
    <t>claimed fuel and parking the forum</t>
  </si>
  <si>
    <t>shaheryar khalid</t>
  </si>
  <si>
    <t>nisar salary</t>
  </si>
  <si>
    <t xml:space="preserve">HS Ahmed Ally </t>
  </si>
  <si>
    <t>paid for jangling clips and fisher for al hamd international</t>
  </si>
  <si>
    <t>to gul sher for feb 21</t>
  </si>
  <si>
    <t>to Ali Insulator for feb 21</t>
  </si>
  <si>
    <t>paid this chq hand over by bilal bhai</t>
  </si>
  <si>
    <t>kamran salary</t>
  </si>
  <si>
    <t>abid salary</t>
  </si>
  <si>
    <t>nadeem bhai Jan 21 salary</t>
  </si>
  <si>
    <t>waris Jan 21 salary</t>
  </si>
  <si>
    <t>claimed fuel for 2 months</t>
  </si>
  <si>
    <t>TO shabbir regger in the forum</t>
  </si>
  <si>
    <t xml:space="preserve">azam </t>
  </si>
  <si>
    <t>indus drawings</t>
  </si>
  <si>
    <t>lateef</t>
  </si>
  <si>
    <t>paid for lock and fuel claimed for js shaheen</t>
  </si>
  <si>
    <t>paid for fcu carton fare for zahid dot com</t>
  </si>
  <si>
    <t>paid for LCD</t>
  </si>
  <si>
    <t>paid on feroz</t>
  </si>
  <si>
    <t>the forum invoices</t>
  </si>
  <si>
    <t>cash paid for the forum</t>
  </si>
  <si>
    <t>from nasir colony to jpmc</t>
  </si>
  <si>
    <t>agains misc invoivers</t>
  </si>
  <si>
    <t>to amir engr for deb 21 advance</t>
  </si>
  <si>
    <t>abid leave adjusted by nadeem bhai</t>
  </si>
  <si>
    <t>agains misc invoivers sent thru ahmed</t>
  </si>
  <si>
    <t>Flow tab ahsan</t>
  </si>
  <si>
    <t>paid in js bank FTC</t>
  </si>
  <si>
    <t>paid sent thru easy paisa</t>
  </si>
  <si>
    <t>Cash Book Statement</t>
  </si>
  <si>
    <t>Payments</t>
  </si>
  <si>
    <t>Total Cash in Hand</t>
  </si>
  <si>
    <t>Receipts</t>
  </si>
  <si>
    <t>Chq #</t>
  </si>
  <si>
    <t>02234993</t>
  </si>
  <si>
    <t>02234994</t>
  </si>
  <si>
    <t>02234995</t>
  </si>
  <si>
    <t>02234996</t>
  </si>
  <si>
    <t>02234997</t>
  </si>
  <si>
    <t>02234998</t>
  </si>
  <si>
    <t>02234999</t>
  </si>
  <si>
    <t>02235000</t>
  </si>
  <si>
    <t>02235001</t>
  </si>
  <si>
    <t>1765307194</t>
  </si>
  <si>
    <t>issue for office use</t>
  </si>
  <si>
    <t>issue for payment to Tahiri Sanitry</t>
  </si>
  <si>
    <t>issue for payment to Shabbir Rigger</t>
  </si>
  <si>
    <t>Ali raza engineering</t>
  </si>
  <si>
    <t>issue for Ali raza engineering</t>
  </si>
  <si>
    <t>issue for Rizwan core</t>
  </si>
  <si>
    <t>issue for payment to Fateh Steel</t>
  </si>
  <si>
    <t>issue for Ciname askari IV Jan 21 salaries</t>
  </si>
  <si>
    <t>The forum 3rd payment</t>
  </si>
  <si>
    <t>The forum 4th payment</t>
  </si>
  <si>
    <t>O/m The place Jan 21</t>
  </si>
  <si>
    <t>O/m Nueplex Askari IV Jan 21</t>
  </si>
  <si>
    <t>Total Receipts</t>
  </si>
  <si>
    <t xml:space="preserve">ufone super card </t>
  </si>
  <si>
    <t>from jpmc to nasir colony and islamuddin to office</t>
  </si>
  <si>
    <t>1765307195</t>
  </si>
  <si>
    <t>02235002</t>
  </si>
  <si>
    <t>02235003</t>
  </si>
  <si>
    <t>02235004</t>
  </si>
  <si>
    <t>issue for payment to eastern sanitry</t>
  </si>
  <si>
    <t>issue for payment to gulfam insulator</t>
  </si>
  <si>
    <t>issue for payment to advance mustafa</t>
  </si>
  <si>
    <t>paid for feb 21</t>
  </si>
  <si>
    <t>paid for ptcl bill
office 3580
mhr 8290</t>
  </si>
  <si>
    <t>piad for chiller diesel filter</t>
  </si>
  <si>
    <t>to raheel for feb 21</t>
  </si>
  <si>
    <t xml:space="preserve">to khalid </t>
  </si>
  <si>
    <t>to asif for hilti exchanged</t>
  </si>
  <si>
    <t>zahid dot com</t>
  </si>
  <si>
    <t>paid in js bank shaheen</t>
  </si>
  <si>
    <t>to jahangeer by  nadeem</t>
  </si>
  <si>
    <t>to abid by nadeem bhai</t>
  </si>
  <si>
    <t>for fuel suzuki fare and cutting discs</t>
  </si>
  <si>
    <t>02235005</t>
  </si>
  <si>
    <t>issue for payment to asif US traders</t>
  </si>
  <si>
    <t>cash paid for paints</t>
  </si>
  <si>
    <t>cash paid in UBL</t>
  </si>
  <si>
    <t>paid from the forum to the place</t>
  </si>
  <si>
    <t>cash paid for fuel</t>
  </si>
  <si>
    <t>paid for cuttings disc and wt 40</t>
  </si>
  <si>
    <t>paid against prv balance the forum</t>
  </si>
  <si>
    <t>cash paid against coil and other fittings for the place
now zeehsan has to give hisaab for 1900</t>
  </si>
  <si>
    <t>DWP</t>
  </si>
  <si>
    <t>paid for unit at the place</t>
  </si>
  <si>
    <t>paid from raza engr to offcei for the forum</t>
  </si>
  <si>
    <t xml:space="preserve">paid for the forum </t>
  </si>
  <si>
    <t>to nisar by nadeem bhai for salary advance</t>
  </si>
  <si>
    <t>to shahid painter for Feb 21 advance</t>
  </si>
  <si>
    <t>discharge date payment</t>
  </si>
  <si>
    <t>kamran auto claimed fuel lunch parking at js the forum</t>
  </si>
  <si>
    <t>to imran feroz for feb 21 sent thru hammad</t>
  </si>
  <si>
    <t>asif fiber</t>
  </si>
  <si>
    <t>stamp paper for re newewal for shop rent agreement and 3rd floor agreement</t>
  </si>
  <si>
    <t>paid advance total 15000-200 = 14800-700=14100</t>
  </si>
  <si>
    <t>tauqeer</t>
  </si>
  <si>
    <t>paid for the site the forum</t>
  </si>
  <si>
    <t xml:space="preserve">cash to azeem for air curtian 2 nos </t>
  </si>
  <si>
    <t>paid for home lemon</t>
  </si>
  <si>
    <t>Current Balance on</t>
  </si>
  <si>
    <t>DIB CHQ</t>
  </si>
  <si>
    <t>paid against misc invoices</t>
  </si>
  <si>
    <t>office light purfhased for sir rehman room washroom</t>
  </si>
  <si>
    <t>02235006</t>
  </si>
  <si>
    <t>02235007</t>
  </si>
  <si>
    <t>Previous Balance on</t>
  </si>
  <si>
    <t>01-Feb 2021</t>
  </si>
  <si>
    <t>form bank alfalah to office fan shifting</t>
  </si>
  <si>
    <t>to asif</t>
  </si>
  <si>
    <t>nadeem bhai Feb 21 salary</t>
  </si>
  <si>
    <t>waris Feb 21 salary</t>
  </si>
  <si>
    <t>piad for farhan shb k elec bill</t>
  </si>
  <si>
    <t>mhr home 14380  office 9025</t>
  </si>
  <si>
    <t>to shahjee in bank al falah head office against cooling tower gear seice</t>
  </si>
  <si>
    <t>for farhan k eke bill</t>
  </si>
  <si>
    <t>paid jalal salary</t>
  </si>
  <si>
    <t>to sajjad for mar 21</t>
  </si>
  <si>
    <t>paid for the forum and the place</t>
  </si>
  <si>
    <t>to KAMRAN AUTO FOR feb 21</t>
  </si>
  <si>
    <t>02235008</t>
  </si>
  <si>
    <t>issue for payment to flow tabs</t>
  </si>
  <si>
    <t>paid for the forum and jpmc and jameel baig</t>
  </si>
  <si>
    <t>to mukhtiar salary adv</t>
  </si>
  <si>
    <t>to imran feroz for material</t>
  </si>
  <si>
    <t>02235009</t>
  </si>
  <si>
    <t>02235010</t>
  </si>
  <si>
    <t>02235011</t>
  </si>
  <si>
    <t>paid to zafer iron man for the place cinema</t>
  </si>
  <si>
    <t>Paid to noman zeeshan FCU 40 nos the forum</t>
  </si>
  <si>
    <t xml:space="preserve">Given to bilal bhai in his petty cash </t>
  </si>
  <si>
    <t xml:space="preserve">for office cash </t>
  </si>
  <si>
    <t>the forum misc expenses</t>
  </si>
  <si>
    <t>to asif fiber at home</t>
  </si>
  <si>
    <t>to khalid in ubl</t>
  </si>
  <si>
    <t>paid cleared</t>
  </si>
  <si>
    <t xml:space="preserve">paid againt the forum </t>
  </si>
  <si>
    <t>ak shamim</t>
  </si>
  <si>
    <t>to imran engr for Nov 20 salary</t>
  </si>
  <si>
    <t>paid for income tax consultancy charges 2020</t>
  </si>
  <si>
    <t>kashif suzuki from islamuddin to office then office to the forum</t>
  </si>
  <si>
    <t>MCB CHQ</t>
  </si>
  <si>
    <t>02235012</t>
  </si>
  <si>
    <t>cancelled</t>
  </si>
  <si>
    <t>02235013</t>
  </si>
  <si>
    <t>Paid to payment to Eastern Sanitry</t>
  </si>
  <si>
    <t>to police man order by bilal bhai</t>
  </si>
  <si>
    <t>02235014</t>
  </si>
  <si>
    <t>02235015</t>
  </si>
  <si>
    <t>Paid to payment to Imran ducting</t>
  </si>
  <si>
    <t>The Forum 3rd payment adhoc</t>
  </si>
  <si>
    <t>invoices UBL</t>
  </si>
  <si>
    <t>imran feroz</t>
  </si>
  <si>
    <t>advance receied form naveed malik</t>
  </si>
  <si>
    <t xml:space="preserve">to abid </t>
  </si>
  <si>
    <t>glue stick</t>
  </si>
  <si>
    <t>cash piad bykia for alhamd fisher</t>
  </si>
  <si>
    <t>paid against fuel</t>
  </si>
  <si>
    <t>office staff</t>
  </si>
  <si>
    <t>Received from zeeshan AC</t>
  </si>
  <si>
    <t>purcahsed old material by bilal bhai</t>
  </si>
  <si>
    <t>cash paid send thri lateef</t>
  </si>
  <si>
    <t>paid against invoices js bank the forum</t>
  </si>
  <si>
    <t>02235016</t>
  </si>
  <si>
    <t>issue chq for office salaries Feb 21</t>
  </si>
  <si>
    <t>for gutter blockage cleared</t>
  </si>
  <si>
    <t>to mukhtiar hisaab cleared</t>
  </si>
  <si>
    <t>cash paid (actually given to mukhtiar)</t>
  </si>
  <si>
    <t>cash paid for purchasiing the place</t>
  </si>
  <si>
    <t>jpmc staff salaries</t>
  </si>
  <si>
    <t>amjad bhai salary in the forum</t>
  </si>
  <si>
    <t>to asif by nadeem bhai 2000 + 3000</t>
  </si>
  <si>
    <t>paid to shadab</t>
  </si>
  <si>
    <t>imran feroz sakary</t>
  </si>
  <si>
    <t>azam plumber</t>
  </si>
  <si>
    <t>cash paid in al hamd uto date = 50000</t>
  </si>
  <si>
    <t>sheheryar in falcon</t>
  </si>
  <si>
    <t>hammad in falcon</t>
  </si>
  <si>
    <t>Touqeer 7 days salary at the rate of rs 38,000</t>
  </si>
  <si>
    <t>paid for purcahsing</t>
  </si>
  <si>
    <t>azeem salary</t>
  </si>
  <si>
    <t>zulfiqar</t>
  </si>
  <si>
    <t>paid for tea &amp; refreahment expenses sent throuh shafeeq</t>
  </si>
  <si>
    <t>world wide publisher</t>
  </si>
  <si>
    <t>cash paid for finalization his account</t>
  </si>
  <si>
    <t>02235017</t>
  </si>
  <si>
    <t>issue for asif us traders</t>
  </si>
  <si>
    <t>02235018</t>
  </si>
  <si>
    <t>02235019</t>
  </si>
  <si>
    <t>02235020</t>
  </si>
  <si>
    <t>02235021</t>
  </si>
  <si>
    <t>paid to Dominars Engineer in the forum deal</t>
  </si>
  <si>
    <t>02235022</t>
  </si>
  <si>
    <t>paid to sami ducting in jpmc</t>
  </si>
  <si>
    <t>02235023</t>
  </si>
  <si>
    <t>paid to zafar grills</t>
  </si>
  <si>
    <t>cash paid for account final</t>
  </si>
  <si>
    <t>mukhtiar claimed fuel</t>
  </si>
  <si>
    <t>cash paid sent thri abid</t>
  </si>
  <si>
    <t>cash paid farhan bhai</t>
  </si>
  <si>
    <t>paid for home washing mashine repairing sent thro ahmed</t>
  </si>
  <si>
    <t>to rehan shahjee for pump</t>
  </si>
  <si>
    <t>to khalid bhai in ubl</t>
  </si>
  <si>
    <t>material from hamza ahmed</t>
  </si>
  <si>
    <t>to shahid painter hisaab cleared</t>
  </si>
  <si>
    <t>paid cash for pumps</t>
  </si>
  <si>
    <t>to nisar for mar 21</t>
  </si>
  <si>
    <t>paid for js bank shaheen complex purcahsibg</t>
  </si>
  <si>
    <t>cash paid in in the forum</t>
  </si>
  <si>
    <t>rehan shah jee</t>
  </si>
  <si>
    <t>paid in bank al falah head office</t>
  </si>
  <si>
    <t>amjad ustad</t>
  </si>
  <si>
    <t>cash paid in the forum</t>
  </si>
  <si>
    <t>cash paid in ubl</t>
  </si>
  <si>
    <t xml:space="preserve">received from the place material remaining amount </t>
  </si>
  <si>
    <t>paid for incresed salary</t>
  </si>
  <si>
    <t xml:space="preserve">mineral </t>
  </si>
  <si>
    <t>paid for sir rehman car tyres</t>
  </si>
  <si>
    <t>zafar iron</t>
  </si>
  <si>
    <t>paid final payment in the forum</t>
  </si>
  <si>
    <t>paid for kitchen light</t>
  </si>
  <si>
    <t>paid against pump cleared</t>
  </si>
  <si>
    <t>to abbas plumber for mar 21</t>
  </si>
  <si>
    <t>The Forum 3rd payment final</t>
  </si>
  <si>
    <t>02235024</t>
  </si>
  <si>
    <t>02235025</t>
  </si>
  <si>
    <t>02235026</t>
  </si>
  <si>
    <t>02235027</t>
  </si>
  <si>
    <t>02235028</t>
  </si>
  <si>
    <t>Master tank 1000 galon 02 nos for jpmc</t>
  </si>
  <si>
    <t xml:space="preserve">To faheem elec for labour in the forum </t>
  </si>
  <si>
    <t>for material precure by faheem in JS Shaheen</t>
  </si>
  <si>
    <t>for room light</t>
  </si>
  <si>
    <t>to zulfiquar for march salary advance</t>
  </si>
  <si>
    <t xml:space="preserve">paid for anullay renewal of FBR Atl surcharge process for sir rehman and rehana rehaman </t>
  </si>
  <si>
    <t>paid to haneef for fisher and clip</t>
  </si>
  <si>
    <t>paid against js bank shaheen purchasing</t>
  </si>
  <si>
    <t>cash apdi</t>
  </si>
  <si>
    <t>02235029</t>
  </si>
  <si>
    <t>02235030</t>
  </si>
  <si>
    <t>to rafay In js shaheen</t>
  </si>
  <si>
    <t>to gulfam in the forum</t>
  </si>
  <si>
    <t>to office cash</t>
  </si>
  <si>
    <t>to vohra cloth</t>
  </si>
  <si>
    <t>to lateef for march 21</t>
  </si>
  <si>
    <t>to lateef chacah for ma 21</t>
  </si>
  <si>
    <t>KCCI renewal</t>
  </si>
  <si>
    <t>cash paid to naveed for thermosata intalaltio th eforum</t>
  </si>
  <si>
    <t>Rehana aunty shop rent used</t>
  </si>
  <si>
    <t>DIB CHQQ</t>
  </si>
  <si>
    <t>khizaer and junaid for cinema</t>
  </si>
  <si>
    <t>02235031</t>
  </si>
  <si>
    <t>02235032</t>
  </si>
  <si>
    <t>To noman FCU in the forum deal</t>
  </si>
  <si>
    <t>02235033</t>
  </si>
  <si>
    <t>to imran chori wala by ordered nadeem bhai</t>
  </si>
  <si>
    <t>paid cash send thru amir plumber</t>
  </si>
  <si>
    <t>paid for ufone suoer card</t>
  </si>
  <si>
    <t>to azam</t>
  </si>
  <si>
    <t>for Bosch tender</t>
  </si>
  <si>
    <t>to asif for marc 21</t>
  </si>
  <si>
    <t>paid now uptodate is rs 140,000</t>
  </si>
  <si>
    <t>paid for cooler rapair at falcon</t>
  </si>
  <si>
    <t>To amir engr for mar 21</t>
  </si>
  <si>
    <t>paid for ubl cutting disc and fare</t>
  </si>
  <si>
    <t>bank alfalah invoices</t>
  </si>
  <si>
    <t>to rehan storm fiber payment</t>
  </si>
  <si>
    <t>tender</t>
  </si>
  <si>
    <t>to asif fiber</t>
  </si>
  <si>
    <t xml:space="preserve">owais </t>
  </si>
  <si>
    <t>for photcopy</t>
  </si>
  <si>
    <t>ptcl bill for 
office 5000
mhr  8010</t>
  </si>
  <si>
    <t>paid for communication cable</t>
  </si>
  <si>
    <t>cash paid advance in salary</t>
  </si>
  <si>
    <t>paid for paint</t>
  </si>
  <si>
    <t>02235034</t>
  </si>
  <si>
    <t>for zakat</t>
  </si>
  <si>
    <t>02235035</t>
  </si>
  <si>
    <t>to adil ftc march</t>
  </si>
  <si>
    <t>kahlid mansoor and ahsan razak increased salary</t>
  </si>
  <si>
    <t>paid for purcahing</t>
  </si>
  <si>
    <t>shadab increeses salary</t>
  </si>
  <si>
    <t xml:space="preserve">shadab </t>
  </si>
  <si>
    <t>paid for the forum purchasing</t>
  </si>
  <si>
    <t>to zeeshan for fridge repairing</t>
  </si>
  <si>
    <t>paid for bank alfalah sent thru haneef</t>
  </si>
  <si>
    <t>paid for labourer at shaheen complex</t>
  </si>
  <si>
    <t>to noman in efu for marc 21</t>
  </si>
  <si>
    <t>k elec bills paid</t>
  </si>
  <si>
    <t>paid for globe valve for the forum</t>
  </si>
  <si>
    <t>to gul sher for marc 21 (easy paisa)</t>
  </si>
  <si>
    <t xml:space="preserve">to raheel mar 21 </t>
  </si>
  <si>
    <t>paid for misc material at indus</t>
  </si>
  <si>
    <t>02235036</t>
  </si>
  <si>
    <t>Basheer pipe in the place</t>
  </si>
  <si>
    <t>to porta in alhamd</t>
  </si>
  <si>
    <t>to imran engr for payment to sami duct</t>
  </si>
  <si>
    <t>indus</t>
  </si>
  <si>
    <t>02235037</t>
  </si>
  <si>
    <t>to porta against flush tank</t>
  </si>
  <si>
    <t>paid to haneef for suzuki fare for split ac</t>
  </si>
  <si>
    <t>for purcahsing (given by nadeem bhai)</t>
  </si>
  <si>
    <t>paid for the fiourm units</t>
  </si>
  <si>
    <t>cash paid sent thru amir plumber</t>
  </si>
  <si>
    <t>owais claimed fuel</t>
  </si>
  <si>
    <t>paid in alhamd</t>
  </si>
  <si>
    <t>k elec bills and ssgc bill</t>
  </si>
  <si>
    <t>shabbir regger</t>
  </si>
  <si>
    <t>paid in js bank the forum</t>
  </si>
  <si>
    <t>paid for remaining amoint</t>
  </si>
  <si>
    <t>to abbas plumber salary advacne</t>
  </si>
  <si>
    <t>to shahid painter for material</t>
  </si>
  <si>
    <t>paid to street driver (Gali wala driver)</t>
  </si>
  <si>
    <t>paid for broken ceiling (given to jahangeer)</t>
  </si>
  <si>
    <t>2nd floor rent for april and may 21 used in office</t>
  </si>
  <si>
    <t>cash paid  now hisaab is 2235</t>
  </si>
  <si>
    <t>misc invoices</t>
  </si>
  <si>
    <t>02235038</t>
  </si>
  <si>
    <t>02235039</t>
  </si>
  <si>
    <t>02235040</t>
  </si>
  <si>
    <t>02235041</t>
  </si>
  <si>
    <t>to zubair duct</t>
  </si>
  <si>
    <t>Raza arsalan engr</t>
  </si>
  <si>
    <t>02235042</t>
  </si>
  <si>
    <t>Ayan engineering in sind club</t>
  </si>
  <si>
    <t>for office</t>
  </si>
  <si>
    <t>The place o/m feb 21 bill</t>
  </si>
  <si>
    <t>FTC Jan 21 o/m</t>
  </si>
  <si>
    <t>FTC Feb 21 o/m</t>
  </si>
  <si>
    <t>Jan 21 to March 21 operation and maintenance</t>
  </si>
  <si>
    <t>Askari IV RMR o/m feb 21 bill</t>
  </si>
  <si>
    <t>strainer buff cahrges</t>
  </si>
  <si>
    <t>02235043</t>
  </si>
  <si>
    <t>to DWP for gree unit for indus</t>
  </si>
  <si>
    <t>paid against inoice</t>
  </si>
  <si>
    <t>khalid najmi</t>
  </si>
  <si>
    <t>as built drawing sindh club</t>
  </si>
  <si>
    <t>claimed fuel by owais</t>
  </si>
  <si>
    <t>to gulfam insulation in the forum</t>
  </si>
  <si>
    <t>for tea and refreshment</t>
  </si>
  <si>
    <t>purcahssed tea cattle and kitchen expenses</t>
  </si>
  <si>
    <t xml:space="preserve">to sami duct </t>
  </si>
  <si>
    <t>02235044</t>
  </si>
  <si>
    <t xml:space="preserve">paid to bilal bhai </t>
  </si>
  <si>
    <t>cash paid to farhan bhai (sent thru his sons)</t>
  </si>
  <si>
    <t>paid for uble rikshaw fare</t>
  </si>
  <si>
    <t>from inam pren to office for panel</t>
  </si>
  <si>
    <t>paid for site purchasing</t>
  </si>
  <si>
    <t>Received against bill # 050 for unit and copper piping installed at the place ciname</t>
  </si>
  <si>
    <t>cash paid sent thru hammad</t>
  </si>
  <si>
    <t>cash paid (by hand bakhti)</t>
  </si>
  <si>
    <t>nadeem bhai MAr 21 salary</t>
  </si>
  <si>
    <t>waris March 21 salary</t>
  </si>
  <si>
    <t>salary increased</t>
  </si>
  <si>
    <t>paid for site expenses at the time of fire pump commissioing</t>
  </si>
  <si>
    <t>for SST tax</t>
  </si>
  <si>
    <t>02235045</t>
  </si>
  <si>
    <t>to ehsan traders against fans in jpmc moque</t>
  </si>
  <si>
    <t>Touqeer salary</t>
  </si>
  <si>
    <t>Hamza salary</t>
  </si>
  <si>
    <t>Riyaz salary</t>
  </si>
  <si>
    <t>Master group</t>
  </si>
  <si>
    <t>paid against fiber tank 500 gallon</t>
  </si>
  <si>
    <t>From ground floor advance payment</t>
  </si>
  <si>
    <t>02235046</t>
  </si>
  <si>
    <t>for salaries march 21</t>
  </si>
  <si>
    <t>02235047</t>
  </si>
  <si>
    <t>to qadri pool in kumail aacount</t>
  </si>
  <si>
    <t>naveed thermostat</t>
  </si>
  <si>
    <t>paid now uptodate is rs 40,000</t>
  </si>
  <si>
    <t>paid against invoices in naveed malik</t>
  </si>
  <si>
    <t>Cinema askari IV salary</t>
  </si>
  <si>
    <t>for as built jpmc given to amir engr</t>
  </si>
  <si>
    <t>02235048</t>
  </si>
  <si>
    <t>to sagheer AC in jpmc deal</t>
  </si>
  <si>
    <t>claimed super card and fuel</t>
  </si>
  <si>
    <t>purchased a4 paper rim</t>
  </si>
  <si>
    <t>02235049</t>
  </si>
  <si>
    <t>cineam the place salary</t>
  </si>
  <si>
    <t>paid for rafay material</t>
  </si>
  <si>
    <t xml:space="preserve">paid for pre and current amount </t>
  </si>
  <si>
    <t>02235050</t>
  </si>
  <si>
    <t>to talha global tech for insulation deal</t>
  </si>
  <si>
    <t>raheel</t>
  </si>
  <si>
    <t>raheel salary increaed + prv overtime</t>
  </si>
  <si>
    <t>cash paid in al hamd uto date = 100,000</t>
  </si>
  <si>
    <t>paid for purchasing 2 nali pak arab</t>
  </si>
  <si>
    <t>paid for remaining pending hold salary</t>
  </si>
  <si>
    <t>to zulfiquar for april 21</t>
  </si>
  <si>
    <t>paid for his hisaab</t>
  </si>
  <si>
    <t>paid for his bike maintenance</t>
  </si>
  <si>
    <t>sohail salary in naveed malik</t>
  </si>
  <si>
    <t>office ptcl bills paid and mhr hom</t>
  </si>
  <si>
    <t xml:space="preserve">s abdullah </t>
  </si>
  <si>
    <t>paid for wash basin and basin mixer js shaheen</t>
  </si>
  <si>
    <t>to imran feroz at site</t>
  </si>
  <si>
    <t>rehan aunty shop rent amount</t>
  </si>
  <si>
    <t>khursheed insulation</t>
  </si>
  <si>
    <t>paid cash for OT 10</t>
  </si>
  <si>
    <t>cash paid for rashan</t>
  </si>
  <si>
    <t>cash paid all hisaan cleared</t>
  </si>
  <si>
    <t>from nadeem blue lines</t>
  </si>
  <si>
    <t>nadeem blue lines</t>
  </si>
  <si>
    <t>return to nadeem 3rd floor</t>
  </si>
  <si>
    <t>to shahid painter for April 21 advance</t>
  </si>
  <si>
    <t>paid for site expenses grinder and other thinks</t>
  </si>
  <si>
    <t>02235051</t>
  </si>
  <si>
    <t>to rafay in js bank shaheen</t>
  </si>
  <si>
    <t>paid for site expense</t>
  </si>
  <si>
    <t xml:space="preserve">suzui fare </t>
  </si>
  <si>
    <t>paid for zakat rashan</t>
  </si>
  <si>
    <t>02235052</t>
  </si>
  <si>
    <t>02235053</t>
  </si>
  <si>
    <t>for office and mhr k elec and SSGC bills</t>
  </si>
  <si>
    <t>to mukhtiar salary advance for april 21 in indus</t>
  </si>
  <si>
    <t>to amir engr for april 21</t>
  </si>
  <si>
    <t>paid for rishaw fare + fuel</t>
  </si>
  <si>
    <t>To nadeem bhai in his  personal share</t>
  </si>
  <si>
    <t xml:space="preserve">to raheel jpmc for april 21 </t>
  </si>
  <si>
    <t>imran choori</t>
  </si>
  <si>
    <t>paid agianst bill</t>
  </si>
  <si>
    <t>paid zakat</t>
  </si>
  <si>
    <t>eastern sanitry</t>
  </si>
  <si>
    <t>paid in mosque jpmc (cash given to imran engr)</t>
  </si>
  <si>
    <t>paid for cinema askari IV purchasing</t>
  </si>
  <si>
    <t>O/m RMR march 21</t>
  </si>
  <si>
    <t xml:space="preserve">received final payment </t>
  </si>
  <si>
    <t>Ground floor rent 03 months advance used in office</t>
  </si>
  <si>
    <t>cash paid to jahangeer for rashan</t>
  </si>
  <si>
    <t>paid for site expense cleared</t>
  </si>
  <si>
    <t>paid for connactor (sent cash throu hammad)</t>
  </si>
  <si>
    <t>paid (cash sent thro jahangeer)</t>
  </si>
  <si>
    <t>O/m the place march 21</t>
  </si>
  <si>
    <t>paid for dinner expenses in efu</t>
  </si>
  <si>
    <t>cas for mobile balance</t>
  </si>
  <si>
    <t>cash for bank al-falah</t>
  </si>
  <si>
    <t>cash paid for mirror, nalkay and basin cash sent thru aamir plumber</t>
  </si>
  <si>
    <t>paid in UBL bank</t>
  </si>
  <si>
    <t>for k ele bills</t>
  </si>
  <si>
    <t>for k elec bills farhan</t>
  </si>
  <si>
    <t>amir plumber salary increased</t>
  </si>
  <si>
    <t>paid for chizzer rapairing</t>
  </si>
  <si>
    <t>for rashan</t>
  </si>
  <si>
    <t>02235054</t>
  </si>
  <si>
    <t>02235055</t>
  </si>
  <si>
    <t>02235056</t>
  </si>
  <si>
    <t>02235057</t>
  </si>
  <si>
    <t>02235058</t>
  </si>
  <si>
    <t>02235059</t>
  </si>
  <si>
    <t>02235060</t>
  </si>
  <si>
    <t>02235061</t>
  </si>
  <si>
    <t>02235062</t>
  </si>
  <si>
    <t>02235063</t>
  </si>
  <si>
    <t>to Asif us traders</t>
  </si>
  <si>
    <t xml:space="preserve">Imran ducting </t>
  </si>
  <si>
    <t>zafat grills</t>
  </si>
  <si>
    <t>to Fateh steel</t>
  </si>
  <si>
    <t>for April 21 salaries</t>
  </si>
  <si>
    <t>bakhto for car wash</t>
  </si>
  <si>
    <t>Js bank shaheen</t>
  </si>
  <si>
    <t>jameel baig / Naveed malik / bank al-falah</t>
  </si>
  <si>
    <t>cash less received from bilal bhai</t>
  </si>
  <si>
    <t>to waris for purchasing</t>
  </si>
  <si>
    <t>bank al-falah bill no 328</t>
  </si>
  <si>
    <t>FTC march 21 bill</t>
  </si>
  <si>
    <t>paid for rikshae fare for comode</t>
  </si>
  <si>
    <t>envopl purchased</t>
  </si>
  <si>
    <t>abbas salary advance return by order nadeem bhai</t>
  </si>
  <si>
    <t>A Karim</t>
  </si>
  <si>
    <t>paid for ground floor rent agent commsission</t>
  </si>
  <si>
    <t>paid to watis for nasir colony by order nadeem bahi</t>
  </si>
  <si>
    <t>sst</t>
  </si>
  <si>
    <t>Mukhtiar salary</t>
  </si>
  <si>
    <t>Asghar salary</t>
  </si>
  <si>
    <t>Askari IV Cinema salary</t>
  </si>
  <si>
    <t>Ground floor fixed deposit</t>
  </si>
  <si>
    <t>invoices ubl</t>
  </si>
  <si>
    <t>invoices bank alfalah</t>
  </si>
  <si>
    <t>nadeem bhai April 21 salary</t>
  </si>
  <si>
    <t>waris April 21 salary</t>
  </si>
  <si>
    <t>Bonus</t>
  </si>
  <si>
    <t>cash paid against his profit share 2021</t>
  </si>
  <si>
    <t>The place Cinema salary</t>
  </si>
  <si>
    <t>Shadab salary</t>
  </si>
  <si>
    <t>paid for cladding insulation in bank alfalah</t>
  </si>
  <si>
    <t>cash paid for new notes</t>
  </si>
  <si>
    <t>cash paid advance in js bank shaheen</t>
  </si>
  <si>
    <t>paid for ball bearing bank alfalah</t>
  </si>
  <si>
    <t>paid for baitul sukoon</t>
  </si>
  <si>
    <t>Baiy ul Sukoon 25% mob advance</t>
  </si>
  <si>
    <t>paid for purchasing js shaheen</t>
  </si>
  <si>
    <t>office use</t>
  </si>
  <si>
    <t>paid for indus purchasing now remaiing 2400 hisaab</t>
  </si>
  <si>
    <t>From bilal bhai</t>
  </si>
  <si>
    <t>cash paid for new currency notes</t>
  </si>
  <si>
    <t>Amir salary advance return by order bilal bhai</t>
  </si>
  <si>
    <t>washroom magnet catcher</t>
  </si>
  <si>
    <t>for falcon mall misc material</t>
  </si>
  <si>
    <t>for falcon mall welding rods</t>
  </si>
  <si>
    <t>to Fakhri for copper pipe deal js bank the forum</t>
  </si>
  <si>
    <t>tender omega mall purchased from SEM engir</t>
  </si>
  <si>
    <t>Rehana Aunty Hisaab</t>
  </si>
  <si>
    <t>Ground floor 3 months rent</t>
  </si>
  <si>
    <t>Ground floor security deposit</t>
  </si>
  <si>
    <t>paid to imran choori</t>
  </si>
  <si>
    <t>Prv balance</t>
  </si>
  <si>
    <t>to abbas</t>
  </si>
  <si>
    <t>sheheryar</t>
  </si>
  <si>
    <t>for vellani purcashing</t>
  </si>
  <si>
    <t>paid against installation</t>
  </si>
  <si>
    <t>tariq industries</t>
  </si>
  <si>
    <t>paid for spring isolators for bank al falah</t>
  </si>
  <si>
    <t>to shahid painter for baitul sukoon</t>
  </si>
  <si>
    <t>for imtiaz dha tender</t>
  </si>
  <si>
    <t>a4 paper rim +photcoyp</t>
  </si>
  <si>
    <t>cash paid (sent trhu bakhti)</t>
  </si>
  <si>
    <t>Less commissioing to agent g/floor</t>
  </si>
  <si>
    <t>Total amount</t>
  </si>
  <si>
    <t>Net Total amount</t>
  </si>
  <si>
    <t>falcon mall</t>
  </si>
  <si>
    <t>js the forum</t>
  </si>
  <si>
    <t>02235064</t>
  </si>
  <si>
    <t>02235065</t>
  </si>
  <si>
    <t>02235066</t>
  </si>
  <si>
    <t>to ehsan traders in jpmc</t>
  </si>
  <si>
    <t>paid for paint and karosine oil</t>
  </si>
  <si>
    <t>cash paid for bait ul sukoon</t>
  </si>
  <si>
    <t>Anees</t>
  </si>
  <si>
    <t>paid for ducting at Bait ul sukoon</t>
  </si>
  <si>
    <t>paid for vellani purchasing</t>
  </si>
  <si>
    <t>transfer to faseeh account</t>
  </si>
  <si>
    <t>purchased baiutul sukoon material</t>
  </si>
  <si>
    <t>to mukhtiar for may 21</t>
  </si>
  <si>
    <t>paid cash agaisnt basin mixer high neck 3 pcs (cash sent thru haneef)</t>
  </si>
  <si>
    <t>02235067</t>
  </si>
  <si>
    <t>02235068</t>
  </si>
  <si>
    <t>02235069</t>
  </si>
  <si>
    <t>02235070</t>
  </si>
  <si>
    <t>02235071</t>
  </si>
  <si>
    <t>to Bilal bhai in his petty cash</t>
  </si>
  <si>
    <t>to Tube traders</t>
  </si>
  <si>
    <t>02235072</t>
  </si>
  <si>
    <t>to sami duct</t>
  </si>
  <si>
    <t>To JES</t>
  </si>
  <si>
    <t>To taheriya sanitry</t>
  </si>
  <si>
    <t>to abid for fare (sent thru nadeem bhai)</t>
  </si>
  <si>
    <t>falcon fire stickers</t>
  </si>
  <si>
    <t>ahan insulator</t>
  </si>
  <si>
    <t>UBL receiving bill # 040</t>
  </si>
  <si>
    <t>UBL receiving bill # 041</t>
  </si>
  <si>
    <t>02235073</t>
  </si>
  <si>
    <t>02235074</t>
  </si>
  <si>
    <t>rikshaw fare js shaheen</t>
  </si>
  <si>
    <t>paid mhr and home</t>
  </si>
  <si>
    <t>against falcon invoices</t>
  </si>
  <si>
    <t>claimed fuel baitul sukoon</t>
  </si>
  <si>
    <t>sent thru mukhtiar</t>
  </si>
  <si>
    <t>Saim bros</t>
  </si>
  <si>
    <t>reading</t>
  </si>
  <si>
    <t>paid for purchasing nut bolt and rawal bolt</t>
  </si>
  <si>
    <t>nadeem bhai home and farhan k elec bills</t>
  </si>
  <si>
    <t>paid in vellani</t>
  </si>
  <si>
    <t>k elec bills + farhan bills</t>
  </si>
  <si>
    <t>to abbas plumber may 21</t>
  </si>
  <si>
    <t>cash paid sent thru bakhti</t>
  </si>
  <si>
    <t>nadeem bhai May 21 salary</t>
  </si>
  <si>
    <t>waris May 21 salary</t>
  </si>
  <si>
    <t>April billing Askari 4 cinema</t>
  </si>
  <si>
    <t>for May 21 salaries</t>
  </si>
  <si>
    <t>02235075</t>
  </si>
  <si>
    <t>paid to farhan bhai</t>
  </si>
  <si>
    <t>to farhan bhai</t>
  </si>
  <si>
    <t>from indus to tahhiry sanitry returned material by abbas  and rikshaw fare</t>
  </si>
  <si>
    <t>Js bank shaheen and Js The Forum</t>
  </si>
  <si>
    <t>Jameel baig</t>
  </si>
  <si>
    <t>flow tab</t>
  </si>
  <si>
    <t>paid for balancing at jpmc</t>
  </si>
  <si>
    <t>porta hussain</t>
  </si>
  <si>
    <t>purchasing js the forum nut bolt clamp from mungo</t>
  </si>
  <si>
    <t>purchased fire extinghuiger for js bank by nadeem bhai</t>
  </si>
  <si>
    <t xml:space="preserve">shop rent for March 21 </t>
  </si>
  <si>
    <t>For office salaries May 21</t>
  </si>
  <si>
    <t>to haneef for june 21</t>
  </si>
  <si>
    <t>cash paid glasnd lux remaining hisab 1180</t>
  </si>
  <si>
    <t>Arshad salary</t>
  </si>
  <si>
    <t>tea sugar milk claimedn by mukhtuar</t>
  </si>
  <si>
    <t>office expenses</t>
  </si>
  <si>
    <t xml:space="preserve">Paid to imran gizri in </t>
  </si>
  <si>
    <t>Megaplex salary</t>
  </si>
  <si>
    <t>received form Megaplex plex cinemas against oil paint bill</t>
  </si>
  <si>
    <t>O/m the place April 21</t>
  </si>
  <si>
    <t>Paid to badar ducting contractor in baitul sukoon</t>
  </si>
  <si>
    <t>sasa</t>
  </si>
  <si>
    <t>paid against fans</t>
  </si>
  <si>
    <t>paid for misc work</t>
  </si>
  <si>
    <t>PAID FOR may 21 and june 21 mobile balance</t>
  </si>
  <si>
    <t>cash paid for final payment at bait ul sukoon</t>
  </si>
  <si>
    <t>Cladding c/o faizan</t>
  </si>
  <si>
    <t>cash paid for jpmc cladding care off faizan</t>
  </si>
  <si>
    <t>Rizwan VRF</t>
  </si>
  <si>
    <t>paid shafia fees</t>
  </si>
  <si>
    <t>paid for baitul sukoon (now upt date 10240)</t>
  </si>
  <si>
    <t>paid for purchasing js shaheen (remainign 2570 amount</t>
  </si>
  <si>
    <t>cash paid in js the forum ok cleared</t>
  </si>
  <si>
    <t>to bakhtii for june 21</t>
  </si>
  <si>
    <t>paid for the place cinema gas r-22 1 jug</t>
  </si>
  <si>
    <t>cash paid to abid for fare</t>
  </si>
  <si>
    <t>cash paid for june 21</t>
  </si>
  <si>
    <t>cash paid (transfer to Robina account)</t>
  </si>
  <si>
    <t>cash paid (transfer to Robina account) faisalabad</t>
  </si>
  <si>
    <t>paid for VRF pads (cash given to jahangeer)</t>
  </si>
  <si>
    <t>to zeeshan for purcahsing</t>
  </si>
  <si>
    <t>paid for site expenses (sent thru abbas)</t>
  </si>
  <si>
    <t>paid for rockwool insulation labour (sent thru abbas)</t>
  </si>
  <si>
    <t>claimed fuel by kamran</t>
  </si>
  <si>
    <t>purchased 2 coil fast cable</t>
  </si>
  <si>
    <t>cash paid for js the forum</t>
  </si>
  <si>
    <t>paid for pioneer new account</t>
  </si>
  <si>
    <t>O/m FTC April 21</t>
  </si>
  <si>
    <t>O/m FTC May 21</t>
  </si>
  <si>
    <t>for purcahsin</t>
  </si>
  <si>
    <t>to lateef for june 21</t>
  </si>
  <si>
    <t>paid for copper piping purchasing from shabbir brothers</t>
  </si>
  <si>
    <t>bharmal purchasing</t>
  </si>
  <si>
    <t>return cash</t>
  </si>
  <si>
    <t>To Zafar grills</t>
  </si>
  <si>
    <t>to zahid elec for june 21</t>
  </si>
  <si>
    <t>to hammad for june 21</t>
  </si>
  <si>
    <t>To mukhtiar for 02 nos mazdoor at jpmc</t>
  </si>
  <si>
    <t>for pump repairing from rehan shahjee</t>
  </si>
  <si>
    <t>from azeem after purcasued of karchar pump</t>
  </si>
  <si>
    <t>for jpmc + fare</t>
  </si>
  <si>
    <t>fisher</t>
  </si>
  <si>
    <t>paid for al hamd remaing amount</t>
  </si>
  <si>
    <t>sami duct</t>
  </si>
  <si>
    <t>cash paid in baitulsukoon</t>
  </si>
  <si>
    <t>cash paid for medication</t>
  </si>
  <si>
    <t>to amir engr for June 21</t>
  </si>
  <si>
    <t>ptcl bills mhr and office</t>
  </si>
  <si>
    <t>To Ebad account KAROR for MOSQUE</t>
  </si>
  <si>
    <t>02290526</t>
  </si>
  <si>
    <t>paid for VRF pads (cash given to azeem)</t>
  </si>
  <si>
    <t>falcon as built</t>
  </si>
  <si>
    <t>cash paid for MHR annd the place</t>
  </si>
  <si>
    <t>to sajjad for June 21</t>
  </si>
  <si>
    <t>to chacha lateef for June 21</t>
  </si>
  <si>
    <t>paid for paint job</t>
  </si>
  <si>
    <t>paid to bajwa sahab for ceiling break</t>
  </si>
  <si>
    <t>Harsal electric</t>
  </si>
  <si>
    <t>paid for 3 coil fast</t>
  </si>
  <si>
    <t>for nkr 3rd pump at the forum</t>
  </si>
  <si>
    <t>paid to pak publisher of magazine</t>
  </si>
  <si>
    <t>lateef claiemd fuel</t>
  </si>
  <si>
    <t>To bharmal in jpmc</t>
  </si>
  <si>
    <t>paid for 500 galon water fiber tank</t>
  </si>
  <si>
    <t>cash paid for relay jpmc</t>
  </si>
  <si>
    <t>water tanker for 2 tmes</t>
  </si>
  <si>
    <t>for water tank repair and cleaning</t>
  </si>
  <si>
    <t>paid for the forum</t>
  </si>
  <si>
    <t>Paint job</t>
  </si>
  <si>
    <t>paid for ropes</t>
  </si>
  <si>
    <t>cash paid for site al hamd</t>
  </si>
  <si>
    <t>to Raheel for June 21</t>
  </si>
  <si>
    <t>paid for js the forum invocie all cleared bal 3500-300=3200-800=2400</t>
  </si>
  <si>
    <t>02290527</t>
  </si>
  <si>
    <t>02290528</t>
  </si>
  <si>
    <t>to Faheem for falcon purchasing</t>
  </si>
  <si>
    <t xml:space="preserve">Office k elec bill + ssgc bill </t>
  </si>
  <si>
    <t xml:space="preserve">MHR  k elec bill + ssgc bill </t>
  </si>
  <si>
    <t>cash paid for brass adapter</t>
  </si>
  <si>
    <t>returned by mukhtiat</t>
  </si>
  <si>
    <t>fuel and phot copy</t>
  </si>
  <si>
    <t>falcan as built</t>
  </si>
  <si>
    <t>02290529</t>
  </si>
  <si>
    <t>02290530</t>
  </si>
  <si>
    <t>To Porta Hussain advance cheque</t>
  </si>
  <si>
    <t>cash paid for site bait lsukoon  (now upt date 20240)</t>
  </si>
  <si>
    <t>Orient electric</t>
  </si>
  <si>
    <t>paid for the forum cable</t>
  </si>
  <si>
    <t>to abbas for june 21</t>
  </si>
  <si>
    <t>BILL remaining</t>
  </si>
  <si>
    <t>02290531</t>
  </si>
  <si>
    <t>02290532</t>
  </si>
  <si>
    <t>02290533</t>
  </si>
  <si>
    <t>02290534</t>
  </si>
  <si>
    <t>02290535</t>
  </si>
  <si>
    <t>02290536</t>
  </si>
  <si>
    <t>02290537</t>
  </si>
  <si>
    <t>to anees in baituk sukin</t>
  </si>
  <si>
    <t>Cancelled</t>
  </si>
  <si>
    <t>02290538</t>
  </si>
  <si>
    <t>02290539</t>
  </si>
  <si>
    <t>masood tech auto in the forum</t>
  </si>
  <si>
    <t>Tesla Engineering in js the forum</t>
  </si>
  <si>
    <t>02290540</t>
  </si>
  <si>
    <t>rehana Rehman</t>
  </si>
  <si>
    <t>to salahuddin for june 21</t>
  </si>
  <si>
    <t>paid upto date 46000</t>
  </si>
  <si>
    <t>abid claimed fare for baitul sukoon</t>
  </si>
  <si>
    <t>tax 7.5%</t>
  </si>
  <si>
    <t>gcm 8%</t>
  </si>
  <si>
    <t>alpha engineering</t>
  </si>
  <si>
    <t>paid for the place chemcial</t>
  </si>
  <si>
    <t>Received from Rizwan VRF</t>
  </si>
  <si>
    <t>paid from outside (this cash will not post)</t>
  </si>
  <si>
    <t>LUNCH AT SITE</t>
  </si>
  <si>
    <t>PAID FOR PURCHASING</t>
  </si>
  <si>
    <t>FUEL</t>
  </si>
  <si>
    <t>newspaper bill</t>
  </si>
  <si>
    <t>to MUKHTIAR for june 21</t>
  </si>
  <si>
    <t>cash paid for site enxepses</t>
  </si>
  <si>
    <t>paid for fuel and bike tyre</t>
  </si>
  <si>
    <t>cash paid for invoices</t>
  </si>
  <si>
    <t>cash paid for misc</t>
  </si>
  <si>
    <t>cash paid in js the forum</t>
  </si>
  <si>
    <t>imtiaz paid to kashif</t>
  </si>
  <si>
    <t>Fisher</t>
  </si>
  <si>
    <t>paid for al hamd deal</t>
  </si>
  <si>
    <t>for chemcail paint</t>
  </si>
  <si>
    <t>to raheel for june 21</t>
  </si>
  <si>
    <t>to gul sher for june 21</t>
  </si>
  <si>
    <t>paid for shaheen complex</t>
  </si>
  <si>
    <t>02290541</t>
  </si>
  <si>
    <t>02290542</t>
  </si>
  <si>
    <t>02290543</t>
  </si>
  <si>
    <t>to Muzammil</t>
  </si>
  <si>
    <t>Mungo in imtiaz deal</t>
  </si>
  <si>
    <t xml:space="preserve">received against 2nd floor AHU bill </t>
  </si>
  <si>
    <t>O/m the place May 21</t>
  </si>
  <si>
    <t>O/m askari iv cienam May 21</t>
  </si>
  <si>
    <t xml:space="preserve">Imtiaz DHA mob adv </t>
  </si>
  <si>
    <t>the Place Cinema Chillr repair</t>
  </si>
  <si>
    <t>To Fakhri in imtiaz dha deal</t>
  </si>
  <si>
    <t>To ZARA in imtiaz deal</t>
  </si>
  <si>
    <t>cash paid for hilti reoaiing and hambring</t>
  </si>
  <si>
    <t>cash paid for gas cylinder and fittings for imtiaz</t>
  </si>
  <si>
    <t>cash to farhan bhai</t>
  </si>
  <si>
    <t>cash paid (sent thru nadeem bhai)</t>
  </si>
  <si>
    <t>haneef bhai salary for june 21</t>
  </si>
  <si>
    <t>cash paid for transportaiton at imtiaz</t>
  </si>
  <si>
    <t>mobile balance azeem</t>
  </si>
  <si>
    <t>imtiaz drawing</t>
  </si>
  <si>
    <t>to kamran auto for june 21</t>
  </si>
  <si>
    <t>contractor azeem</t>
  </si>
  <si>
    <t>imtiaz for nitrogen cylinder</t>
  </si>
  <si>
    <t>nawaz cladding</t>
  </si>
  <si>
    <t>paid for cladding</t>
  </si>
  <si>
    <t>to mukhtiar for misc expenses at imtiaz</t>
  </si>
  <si>
    <t>nadeem bhai June 21 salary</t>
  </si>
  <si>
    <t>waris June 21 salary</t>
  </si>
  <si>
    <t>utilities bills  k ele + ssgc</t>
  </si>
  <si>
    <t>bakhti gor car wash</t>
  </si>
  <si>
    <t>cash paid for welding plant</t>
  </si>
  <si>
    <t>falcan staff</t>
  </si>
  <si>
    <t>for welding plant</t>
  </si>
  <si>
    <t xml:space="preserve">paid for cloth and misc </t>
  </si>
  <si>
    <t>cash ppaid uptodate is 76000</t>
  </si>
  <si>
    <t>envelop purchaed</t>
  </si>
  <si>
    <t>for gutter rapairing</t>
  </si>
  <si>
    <t>cash paid in baitulsukoon + 19000 nadeem bhai</t>
  </si>
  <si>
    <t>Akber enga</t>
  </si>
  <si>
    <t>paid for vcd for baitul sukoon</t>
  </si>
  <si>
    <t>cash paid for js bank shaheen complex pipe 2" and fittings</t>
  </si>
  <si>
    <t>nasir colony utilities bills</t>
  </si>
  <si>
    <t>mobiles</t>
  </si>
  <si>
    <t>paid for lateef and chacha lateef mobiles</t>
  </si>
  <si>
    <t>js bank shaheen</t>
  </si>
  <si>
    <t>for glue</t>
  </si>
  <si>
    <t>Suleman dilawer and waleed salary</t>
  </si>
  <si>
    <t>Jahangeer, lateef, chahca lateef</t>
  </si>
  <si>
    <t>amjad and touqeer</t>
  </si>
  <si>
    <t>shahid painter,  salahuddin, abbas</t>
  </si>
  <si>
    <t>Rehan, kamran Bakhti and mossi</t>
  </si>
  <si>
    <t>for fuse and connector strip (sent trhu rizwan)</t>
  </si>
  <si>
    <t>paid for duct selent</t>
  </si>
  <si>
    <t>welding plant repaired</t>
  </si>
  <si>
    <t>given to shahid painter</t>
  </si>
  <si>
    <t>paid for the place</t>
  </si>
  <si>
    <t>paid for channel from mughal iron</t>
  </si>
  <si>
    <t>paid for chiller and the forum cabling</t>
  </si>
  <si>
    <t>The place Cinema</t>
  </si>
  <si>
    <t>RMR Nueplex cinema salary</t>
  </si>
  <si>
    <t>zeehsan  and mujeeb</t>
  </si>
  <si>
    <t>up todate 78000</t>
  </si>
  <si>
    <t>IMTIAZ</t>
  </si>
  <si>
    <t>paid uptodate is 81,000</t>
  </si>
  <si>
    <t>badar</t>
  </si>
  <si>
    <t>imran salary used</t>
  </si>
  <si>
    <t>to rehan for office use</t>
  </si>
  <si>
    <t>for 2 nos water tanker</t>
  </si>
  <si>
    <t>drawings</t>
  </si>
  <si>
    <t>claimed fuel by kamran auto</t>
  </si>
  <si>
    <t>paid advance in imtiaz super market</t>
  </si>
  <si>
    <t>for channel for baitulsukoon</t>
  </si>
  <si>
    <t>paid for baitulsukon uptodate is 56,000</t>
  </si>
  <si>
    <t>paid for purcashing js the forum</t>
  </si>
  <si>
    <t>paid for baitulsukon uptodate is 66,000</t>
  </si>
  <si>
    <t>arsalan ducting</t>
  </si>
  <si>
    <t>hydery mall</t>
  </si>
  <si>
    <t>fare paid to dawood suzuki</t>
  </si>
  <si>
    <t>ptcl bills paid for mhr and office</t>
  </si>
  <si>
    <t>02290544</t>
  </si>
  <si>
    <t>02290545</t>
  </si>
  <si>
    <t>02290546</t>
  </si>
  <si>
    <t>anees in baitulsukoon</t>
  </si>
  <si>
    <t>faheem for js the fourm cabling</t>
  </si>
  <si>
    <t>faheem for js and jpmc labour amount</t>
  </si>
  <si>
    <t>To Fakhri in imtiaz dha fittings deal</t>
  </si>
  <si>
    <t>rec the forum 4th paymnt adhoc</t>
  </si>
  <si>
    <t>rec EFU April to June 2021</t>
  </si>
  <si>
    <t>hydery mall 40% advance</t>
  </si>
  <si>
    <t>cash paid for baitul sukoon invocies cleared</t>
  </si>
  <si>
    <t xml:space="preserve">paid ot mukhtiar for misc </t>
  </si>
  <si>
    <t>to raheel for july 21</t>
  </si>
  <si>
    <t>Shahzad contractor</t>
  </si>
  <si>
    <t>paid in imtiaz advacne pai</t>
  </si>
  <si>
    <t>to kamran auto for july 21</t>
  </si>
  <si>
    <t>paid to khalid bhai for the place chiller motor repaired</t>
  </si>
  <si>
    <t>to rizwan vrf</t>
  </si>
  <si>
    <t>To Person</t>
  </si>
  <si>
    <t>Balance amount</t>
  </si>
  <si>
    <t>cash tahen</t>
  </si>
  <si>
    <t>Grand Total</t>
  </si>
  <si>
    <t>02290547</t>
  </si>
  <si>
    <t>02290548</t>
  </si>
  <si>
    <t>02290549</t>
  </si>
  <si>
    <t>to badar in baitulsukoon</t>
  </si>
  <si>
    <t>to anees in baitul sukoon</t>
  </si>
  <si>
    <t>to nadeem bhai in personal share</t>
  </si>
  <si>
    <t xml:space="preserve">mobile </t>
  </si>
  <si>
    <t>to amir engr for july 21</t>
  </si>
  <si>
    <t>mobile balance to amir engr for July 21</t>
  </si>
  <si>
    <t>azam plumnber</t>
  </si>
  <si>
    <t>paid at al hamn now uptodate 130,000</t>
  </si>
  <si>
    <t>paid now uptodate is 85000</t>
  </si>
  <si>
    <t>cash paid uptodate is 30,000</t>
  </si>
  <si>
    <t>cash paid for the place motor binding</t>
  </si>
  <si>
    <t>cash paid to shahid painter</t>
  </si>
  <si>
    <t>imran engr paid for june 21</t>
  </si>
  <si>
    <t>invoices imtiaz</t>
  </si>
  <si>
    <t>paid inbaitulsukkoon</t>
  </si>
  <si>
    <t>mobile balnace</t>
  </si>
  <si>
    <t>paid cash uptodate is 50,000</t>
  </si>
  <si>
    <t>baitul sukonn</t>
  </si>
  <si>
    <t>purcahsed duct selanet</t>
  </si>
  <si>
    <t>2nd adhoc payment baitul sukoon</t>
  </si>
  <si>
    <t>receiverd from JPMC retention money amount</t>
  </si>
  <si>
    <t>to Mukhtiar for july 21</t>
  </si>
  <si>
    <t>to Lateef for july 21</t>
  </si>
  <si>
    <t>to chacha Lateef for july 21</t>
  </si>
  <si>
    <t>cash paid in the place work chiller work</t>
  </si>
  <si>
    <t>cash paid now up to date 245,000</t>
  </si>
  <si>
    <t>Kaytes</t>
  </si>
  <si>
    <t>cash paid in baitul sukoon</t>
  </si>
  <si>
    <t>cash paid now up to date 60,000</t>
  </si>
  <si>
    <t>cash paid uptodate is 88,000</t>
  </si>
  <si>
    <t>Given to Bilal bhai in his profit</t>
  </si>
  <si>
    <t>teeetet</t>
  </si>
  <si>
    <t>cash paid for jameel baig purchasing</t>
  </si>
  <si>
    <t>cash paid for jpmc and  jameel baig invoices</t>
  </si>
  <si>
    <t>invoices baitul sukoon</t>
  </si>
  <si>
    <t>invoices EFU</t>
  </si>
  <si>
    <t>cash paid for cable</t>
  </si>
  <si>
    <t>given to Rizwan VRF by nadeem bhai</t>
  </si>
  <si>
    <t>cash paid for farhan ahmed k elec bills paid</t>
  </si>
  <si>
    <t>To hussain porta in js bank the forum</t>
  </si>
  <si>
    <t>up todate 94000</t>
  </si>
  <si>
    <t>bakhi give hisaab</t>
  </si>
  <si>
    <t>ghost charity by bakhti</t>
  </si>
  <si>
    <t>to mukhtiar for fuel for baitul sukoon</t>
  </si>
  <si>
    <t>printer</t>
  </si>
  <si>
    <t>printer toner and refill</t>
  </si>
  <si>
    <t>mhr and office k elec bills</t>
  </si>
  <si>
    <t>to Rizwan the place cinema</t>
  </si>
  <si>
    <t>to Tesla engineering in Js the forum</t>
  </si>
  <si>
    <r>
      <t xml:space="preserve">for purcahsing  </t>
    </r>
    <r>
      <rPr>
        <sz val="14"/>
        <color rgb="FFFF0000"/>
        <rFont val="Calibri"/>
        <family val="2"/>
        <scheme val="minor"/>
      </rPr>
      <t>insulation bill pending (from forte flex)</t>
    </r>
  </si>
  <si>
    <r>
      <t xml:space="preserve">remaining salarires paid </t>
    </r>
    <r>
      <rPr>
        <b/>
        <sz val="14"/>
        <color rgb="FF00B0F0"/>
        <rFont val="Calibri"/>
        <family val="2"/>
        <scheme val="minor"/>
      </rPr>
      <t>except minhaal salary</t>
    </r>
  </si>
  <si>
    <r>
      <t xml:space="preserve">JPMC att staff </t>
    </r>
    <r>
      <rPr>
        <b/>
        <sz val="14"/>
        <rFont val="Calibri"/>
        <family val="2"/>
        <scheme val="minor"/>
      </rPr>
      <t>(Except Imran Amir &amp; irfan)</t>
    </r>
  </si>
  <si>
    <r>
      <t xml:space="preserve">paid for </t>
    </r>
    <r>
      <rPr>
        <sz val="14"/>
        <color rgb="FFFF0000"/>
        <rFont val="Calibri"/>
        <family val="2"/>
        <scheme val="minor"/>
      </rPr>
      <t>??????????</t>
    </r>
  </si>
  <si>
    <r>
      <t>Office salary 117,387
FTC Staff         87,448
EFU Staff      100,282
The Forum   170,859</t>
    </r>
    <r>
      <rPr>
        <b/>
        <sz val="14"/>
        <color theme="1"/>
        <rFont val="Calibri"/>
        <family val="2"/>
        <scheme val="minor"/>
      </rPr>
      <t xml:space="preserve"> (except shadab and salman</t>
    </r>
    <r>
      <rPr>
        <b/>
        <sz val="14"/>
        <color rgb="FFFF0000"/>
        <rFont val="Calibri"/>
        <family val="2"/>
        <scheme val="minor"/>
      </rPr>
      <t xml:space="preserve">
Azeem           33,875
Abid              30,820 
</t>
    </r>
  </si>
  <si>
    <r>
      <t xml:space="preserve">Falcon        88,339  </t>
    </r>
    <r>
      <rPr>
        <b/>
        <sz val="14"/>
        <rFont val="Calibri"/>
        <family val="2"/>
        <scheme val="minor"/>
      </rPr>
      <t xml:space="preserve">
</t>
    </r>
    <r>
      <rPr>
        <b/>
        <sz val="14"/>
        <color rgb="FFFF0000"/>
        <rFont val="Calibri"/>
        <family val="2"/>
        <scheme val="minor"/>
      </rPr>
      <t xml:space="preserve">JPMC         246,484 
shadab         25,548
suleman       21,484
zeeshan        48,097 
Mujeeb        23,528
</t>
    </r>
  </si>
  <si>
    <t>cash paid fro jpmc purchasing</t>
  </si>
  <si>
    <t>cash paid up todagte is 98000</t>
  </si>
  <si>
    <t>KALE</t>
  </si>
  <si>
    <t>cash paid for fixtures</t>
  </si>
  <si>
    <t>FTC June bill rec</t>
  </si>
  <si>
    <t>To MHR</t>
  </si>
  <si>
    <t>tube traders</t>
  </si>
  <si>
    <t>paid for lunch</t>
  </si>
  <si>
    <t>National trading solution</t>
  </si>
  <si>
    <t>mossi salary</t>
  </si>
  <si>
    <t>cash paid up todagte is 100000</t>
  </si>
  <si>
    <t>paid in zakat amount</t>
  </si>
  <si>
    <t>cash paid for 02 nos fans for bait ul sukoon</t>
  </si>
  <si>
    <t>to bilal bhai for his friend GG for Dental clinic</t>
  </si>
  <si>
    <t>to rizwan vrf (send to Gulzar)</t>
  </si>
  <si>
    <t>riksahw fare</t>
  </si>
  <si>
    <t>cash paid for purchasing sent thru mukhtiar</t>
  </si>
  <si>
    <t>cash paid sent thru ahsan for fittings batulskoon</t>
  </si>
  <si>
    <t>paid uptoddate is 105000</t>
  </si>
  <si>
    <t>`</t>
  </si>
  <si>
    <t>uptodate 106000</t>
  </si>
  <si>
    <t>paid for telephon exchange</t>
  </si>
  <si>
    <t>uptodate 107000</t>
  </si>
  <si>
    <t>To Sami duct</t>
  </si>
  <si>
    <t>to imran orient electric</t>
  </si>
  <si>
    <t>cash used by azeem after purchasing</t>
  </si>
  <si>
    <t>cash paid for nadeem bhai utilities bills (memon foundation)</t>
  </si>
  <si>
    <t>nasir colomy bills paid</t>
  </si>
  <si>
    <t>uptodate 109000</t>
  </si>
  <si>
    <t>uptodate 110000</t>
  </si>
  <si>
    <t>paid cash to shshid regger for quipment shifting (due to Rziwan vrf mistake)</t>
  </si>
  <si>
    <t>cash paid sent trhu azeem</t>
  </si>
  <si>
    <t>paid to farhan bhai son</t>
  </si>
  <si>
    <t>paid for jpmc rawal bolt and nut bolts</t>
  </si>
  <si>
    <t>02290550</t>
  </si>
  <si>
    <t>To Imran (Ultimate Engr) in JS bank the forum</t>
  </si>
  <si>
    <t>uptodate 111000</t>
  </si>
  <si>
    <t>Tariq industries</t>
  </si>
  <si>
    <t>paid for hepa filter for baitul sukoon</t>
  </si>
  <si>
    <t>uptodate 113000</t>
  </si>
  <si>
    <t>paid for 02 nos fans</t>
  </si>
  <si>
    <t>02290551</t>
  </si>
  <si>
    <t>02290552</t>
  </si>
  <si>
    <t xml:space="preserve">salary chq </t>
  </si>
  <si>
    <t>paid to Gulfam insulator</t>
  </si>
  <si>
    <t>paid for labour js bank the forum</t>
  </si>
  <si>
    <t>cash paid upto date is 121000</t>
  </si>
  <si>
    <t>paid for tea and refeshement</t>
  </si>
  <si>
    <t>cash paid in jpmc uptodate is 330,000</t>
  </si>
  <si>
    <t>from Bilal bhai for payment to rizwan vrf</t>
  </si>
  <si>
    <t>yH tender purcashed</t>
  </si>
  <si>
    <t>nadeem bhai July 21 salary</t>
  </si>
  <si>
    <t>waris July 21 salary</t>
  </si>
  <si>
    <t>envelop purchaed + tissue</t>
  </si>
  <si>
    <t>Falcon</t>
  </si>
  <si>
    <t>The Forum</t>
  </si>
  <si>
    <t>IMTIAZ / JS The Forum / JS Shaheen</t>
  </si>
  <si>
    <t xml:space="preserve">Baitulsukoon / Jameel baig  </t>
  </si>
  <si>
    <t>baitul sukoon</t>
  </si>
  <si>
    <t>cash paid upto date is 141000</t>
  </si>
  <si>
    <t>al hamad</t>
  </si>
  <si>
    <t>paid for clips</t>
  </si>
  <si>
    <t>to muhtiar for August 2021</t>
  </si>
  <si>
    <t>mcb CHQ</t>
  </si>
  <si>
    <t>rmr salary</t>
  </si>
  <si>
    <t>Abdul rehman at jpmc</t>
  </si>
  <si>
    <t>02290553</t>
  </si>
  <si>
    <t>02290554</t>
  </si>
  <si>
    <t>paid to badar in baitul sukoon</t>
  </si>
  <si>
    <t>paid to raees bros in baitulsukoon and falcon</t>
  </si>
  <si>
    <t>charity of ghost</t>
  </si>
  <si>
    <t>cash paid for solution</t>
  </si>
  <si>
    <t>Paid for wire 2.5mm 4 core for shaheen</t>
  </si>
  <si>
    <t>paid for purchasing js the forum</t>
  </si>
  <si>
    <t>to rizwan vrf in js forum</t>
  </si>
  <si>
    <t>to azam plumber</t>
  </si>
  <si>
    <t>cash paid for al hamd purchasing</t>
  </si>
  <si>
    <t>cash paid for pressure pump for alhamd</t>
  </si>
  <si>
    <t>02290555</t>
  </si>
  <si>
    <t>To sasa in Hydery mall deal</t>
  </si>
  <si>
    <t>invoices hydery mall</t>
  </si>
  <si>
    <t>Imran june and july 21 salary</t>
  </si>
  <si>
    <t>sami ducting</t>
  </si>
  <si>
    <t>paid for excavation work rec by imran engr</t>
  </si>
  <si>
    <t>cash paid advance in Imtiaz store</t>
  </si>
  <si>
    <t>cash paid for js forum</t>
  </si>
  <si>
    <t>paid for advance in jpmc</t>
  </si>
  <si>
    <t>gosht charity</t>
  </si>
  <si>
    <t>to raheel for august 21</t>
  </si>
  <si>
    <t>to rizwan for august 21</t>
  </si>
  <si>
    <t>received o/m June 21</t>
  </si>
  <si>
    <t>paid to shahid painter for baitulsukoon fare</t>
  </si>
  <si>
    <t>cash paid (at moharram)</t>
  </si>
  <si>
    <t>cash paid now his hisaab cleared</t>
  </si>
  <si>
    <t xml:space="preserve">al hamd rikshaw fare </t>
  </si>
  <si>
    <t>cash paid sent thru nisar</t>
  </si>
  <si>
    <t>02290556</t>
  </si>
  <si>
    <t>02290557</t>
  </si>
  <si>
    <t>received against pressurized fan jpb 50% advance</t>
  </si>
  <si>
    <t>farhan bhai k elec bill paid</t>
  </si>
  <si>
    <t>paid for nalkay for js the forum</t>
  </si>
  <si>
    <t>mhr and office k elec and ssgc bills</t>
  </si>
  <si>
    <t>paid to hussain porta</t>
  </si>
  <si>
    <t>paid to sami ducting</t>
  </si>
  <si>
    <t>cash at the time of Abdul rehman Abdul rehman FEES</t>
  </si>
  <si>
    <t>cash paid (when bilal bhai was in pindi)</t>
  </si>
  <si>
    <t>bakhti gosht charity</t>
  </si>
  <si>
    <t>washroom basin pipe replaced</t>
  </si>
  <si>
    <t>to gul sher for august 21</t>
  </si>
  <si>
    <t>to abbas for august 21</t>
  </si>
  <si>
    <t>for misc purcashing falcom</t>
  </si>
  <si>
    <t>to hammd for august 21 (sent trhu mukhtiar)</t>
  </si>
  <si>
    <t>cash paid uptodate 25000</t>
  </si>
  <si>
    <t>cash paid advance in js bank caferteria</t>
  </si>
  <si>
    <t>to chacha lateef august 21 (sent trhu jahangir)</t>
  </si>
  <si>
    <t xml:space="preserve">02 nos water tanker </t>
  </si>
  <si>
    <t>02290558</t>
  </si>
  <si>
    <t>To Rehman sahab against misc invoices</t>
  </si>
  <si>
    <t>cash sent thru abbas plumber</t>
  </si>
  <si>
    <t>paid for mobile balance sent thru abbas</t>
  </si>
  <si>
    <t>to lateef for august 21</t>
  </si>
  <si>
    <t>to Jahangeer for august 21</t>
  </si>
  <si>
    <t>for tender purchased YH memon hospital</t>
  </si>
  <si>
    <t>CBC amount received from 3rd floor</t>
  </si>
  <si>
    <t>cahs paid by azeem</t>
  </si>
  <si>
    <t>received form azeem</t>
  </si>
  <si>
    <t xml:space="preserve">mobile balnce </t>
  </si>
  <si>
    <t>for purchasing the place</t>
  </si>
  <si>
    <t>for purchasing  shaheen complex</t>
  </si>
  <si>
    <t>paid for bilal bhai home work</t>
  </si>
  <si>
    <t>paid to faheem elec in account of ZAKAT</t>
  </si>
  <si>
    <t>Given to bilal bhai at mamu death</t>
  </si>
  <si>
    <t>a4 papers, pen envelop tissue papers</t>
  </si>
  <si>
    <t>for tea and refereshment</t>
  </si>
  <si>
    <t>hammad</t>
  </si>
  <si>
    <t>for sprinler imtiaz</t>
  </si>
  <si>
    <t xml:space="preserve">salaries </t>
  </si>
  <si>
    <t>paid salaries</t>
  </si>
  <si>
    <t>newapaper</t>
  </si>
  <si>
    <t>from hyder to office</t>
  </si>
  <si>
    <t>from js the forum  to office</t>
  </si>
  <si>
    <t xml:space="preserve">to adil ftc </t>
  </si>
  <si>
    <t xml:space="preserve">paid for fuel </t>
  </si>
  <si>
    <t>paid for fate vavles from saeed sons</t>
  </si>
  <si>
    <t xml:space="preserve">to nisar </t>
  </si>
  <si>
    <t>to haneeef at burhani mehal</t>
  </si>
  <si>
    <t>nadeem bhai August 21 salary</t>
  </si>
  <si>
    <t>waris August 21 salary</t>
  </si>
  <si>
    <t>paid to flow tab in baitul sukoon</t>
  </si>
  <si>
    <t>Total construction office chq</t>
  </si>
  <si>
    <t>tech automation</t>
  </si>
  <si>
    <t>paid cash in the forum deal</t>
  </si>
  <si>
    <t>cash paid now uptodate is 205,000</t>
  </si>
  <si>
    <t>against invoices</t>
  </si>
  <si>
    <t>for imtiaz cuttings disc</t>
  </si>
  <si>
    <t>02290559</t>
  </si>
  <si>
    <t>02290560</t>
  </si>
  <si>
    <t>02290561</t>
  </si>
  <si>
    <t>02290562</t>
  </si>
  <si>
    <t>02290563</t>
  </si>
  <si>
    <t>02290564</t>
  </si>
  <si>
    <t>02290565</t>
  </si>
  <si>
    <t>02290566</t>
  </si>
  <si>
    <t>02290567</t>
  </si>
  <si>
    <t xml:space="preserve">to  badar </t>
  </si>
  <si>
    <t>to basheer</t>
  </si>
  <si>
    <t>zubair</t>
  </si>
  <si>
    <t>Mustafa advacne</t>
  </si>
  <si>
    <t>KRC</t>
  </si>
  <si>
    <t>Shabbir pipe</t>
  </si>
  <si>
    <t>junaid saleem at johar cinema salry increased</t>
  </si>
  <si>
    <t>raess</t>
  </si>
  <si>
    <t>for tender</t>
  </si>
  <si>
    <t>fakhri</t>
  </si>
  <si>
    <t>porta</t>
  </si>
  <si>
    <t>raees</t>
  </si>
  <si>
    <t>mujahid</t>
  </si>
  <si>
    <t>received o/m July 21</t>
  </si>
  <si>
    <t xml:space="preserve">Nadeem bhai for nasir colony water line </t>
  </si>
  <si>
    <t>paid for water connection</t>
  </si>
  <si>
    <t>for fan shifting form sasa to hydery</t>
  </si>
  <si>
    <t>mumtaz</t>
  </si>
  <si>
    <t>overtime remaining released</t>
  </si>
  <si>
    <t>paid for fuel to rizwan</t>
  </si>
  <si>
    <t>paid for nut bolt sent thru rozwan</t>
  </si>
  <si>
    <t>ahsan salary for 7 days released</t>
  </si>
  <si>
    <t>Gas Station material provided Bill (received form PAF depositted in DIB on 25-8-21)</t>
  </si>
  <si>
    <t>cash paid against invocies</t>
  </si>
  <si>
    <t>cash paid for bilal bhai friend home work</t>
  </si>
  <si>
    <t>paid for chak and colour brush</t>
  </si>
  <si>
    <t>k elec bill paid  fir farhan bhai</t>
  </si>
  <si>
    <t>k elec bill and ssgc bill paid</t>
  </si>
  <si>
    <t>cahs paid</t>
  </si>
  <si>
    <t>02290568</t>
  </si>
  <si>
    <t>02290569</t>
  </si>
  <si>
    <t xml:space="preserve">to mhr </t>
  </si>
  <si>
    <t>cash paid for replays</t>
  </si>
  <si>
    <t>claimed xuper card ufone</t>
  </si>
  <si>
    <t>fakhri brother</t>
  </si>
  <si>
    <t>paid for fittigns for imtiaz</t>
  </si>
  <si>
    <t>invoices burhani</t>
  </si>
  <si>
    <t>Imtiaz lahore tender from YH</t>
  </si>
  <si>
    <t>paid cash for september</t>
  </si>
  <si>
    <t>to hammad for sept 21</t>
  </si>
  <si>
    <t>to Zahid ac for sept 21</t>
  </si>
  <si>
    <t>cash paid for cyliner</t>
  </si>
  <si>
    <t>shop rent used</t>
  </si>
  <si>
    <t>Ground floor rent for august and september</t>
  </si>
  <si>
    <t>02290570</t>
  </si>
  <si>
    <t>Porta</t>
  </si>
  <si>
    <t>Baitulsukoon 3rd payment</t>
  </si>
  <si>
    <t>paid for sprinkler for imtiaz</t>
  </si>
  <si>
    <t>touqeer</t>
  </si>
  <si>
    <t>to SAjjad for sept 21</t>
  </si>
  <si>
    <t>to Lateeef duct for sept 21</t>
  </si>
  <si>
    <t>paid for grinder for imtiaz</t>
  </si>
  <si>
    <t>paid in  jpmc full and final payment</t>
  </si>
  <si>
    <t>cbc bills</t>
  </si>
  <si>
    <t>paid bills for ground-2nd-3rd &amp; shop bills</t>
  </si>
  <si>
    <t>cash returned from Imtiaz lahore tender</t>
  </si>
  <si>
    <t>paid cash for photocopy</t>
  </si>
  <si>
    <t>received from blue lines</t>
  </si>
  <si>
    <t>paid in hydery mall</t>
  </si>
  <si>
    <t>to Gul Sher for sept 21</t>
  </si>
  <si>
    <t>Transprotation hydery mall</t>
  </si>
  <si>
    <t>cash returned to nadeem blue lines</t>
  </si>
  <si>
    <t>paid in burhani mehal</t>
  </si>
  <si>
    <t>print bill at a3 size</t>
  </si>
  <si>
    <t>to Abbas Plumber sept 21</t>
  </si>
  <si>
    <t>komal engineering</t>
  </si>
  <si>
    <t>paid for gI elbow 24" fabrication</t>
  </si>
  <si>
    <t>paid to sir rehman for misc invoices</t>
  </si>
  <si>
    <t>paid for clear his hisaab</t>
  </si>
  <si>
    <t>to Rizwan the place for sept 21</t>
  </si>
  <si>
    <t>paid  to rizwan for rikshaw fare and fuel</t>
  </si>
  <si>
    <t>cash paid for nueplex fare</t>
  </si>
  <si>
    <t>cash paid sent trhu amjad ustad</t>
  </si>
  <si>
    <t>to Lateef duct for sept 21 sent tru bakhti</t>
  </si>
  <si>
    <t>received FTC monthly bills for the months of July &amp; August 21 (20% Icreased Bill)</t>
  </si>
  <si>
    <t>BILL 2 SET PHOTOCOPY</t>
  </si>
  <si>
    <t>cash paid now hisaab is 1300</t>
  </si>
  <si>
    <t>to Amir engr for sept 21</t>
  </si>
  <si>
    <t>paid for g.i elbow 24" fabrication final payment</t>
  </si>
  <si>
    <t>utilities bill memon group</t>
  </si>
  <si>
    <t>cash returned by Azeem</t>
  </si>
  <si>
    <t>cash paid against north mall</t>
  </si>
  <si>
    <t>paid for 7 days salary amount in indus</t>
  </si>
  <si>
    <t>paid against the place labour amount uptodate is 150,000</t>
  </si>
  <si>
    <t xml:space="preserve">paid agsint material shaheen complex </t>
  </si>
  <si>
    <t>cash paid for farhan bhai</t>
  </si>
  <si>
    <t>cash paid final amount</t>
  </si>
  <si>
    <t>Paid to SASA for imtiaz fans</t>
  </si>
  <si>
    <t>paid for imtiaz purchasing</t>
  </si>
  <si>
    <t>bakhti salary released after advance deduct</t>
  </si>
  <si>
    <t>paid for fare</t>
  </si>
  <si>
    <t>nadeem bhai sept 21 salary</t>
  </si>
  <si>
    <t>waris Sept 21 salary</t>
  </si>
  <si>
    <t>office and mhr ptcl</t>
  </si>
  <si>
    <t>for mineral water bottles</t>
  </si>
  <si>
    <t xml:space="preserve">ftc </t>
  </si>
  <si>
    <t>paid for tea and refreshment to shafeeq</t>
  </si>
  <si>
    <t>Office salaries</t>
  </si>
  <si>
    <t>Jpmc salaries</t>
  </si>
  <si>
    <t>Imtiaz super store</t>
  </si>
  <si>
    <t>The Forum staff salary</t>
  </si>
  <si>
    <t>Received from 2nd Floor Oct 21 Rent amount</t>
  </si>
  <si>
    <t>Received from 2nd Floor as CBC Amount</t>
  </si>
  <si>
    <t>The place staff salary</t>
  </si>
  <si>
    <t>02290571</t>
  </si>
  <si>
    <t>paid to tech automation against imtiax</t>
  </si>
  <si>
    <t>salary advance returned</t>
  </si>
  <si>
    <t>paid for mega mall SEM tender purchasing</t>
  </si>
  <si>
    <t>for imtiaz fans from sasa</t>
  </si>
  <si>
    <t>paid for paint sent trhu salahuddin</t>
  </si>
  <si>
    <t>paid for nadeem bhai car wash</t>
  </si>
  <si>
    <t>02290572</t>
  </si>
  <si>
    <t>02290573</t>
  </si>
  <si>
    <t>02290574</t>
  </si>
  <si>
    <t>02290575</t>
  </si>
  <si>
    <t>to sami ducting</t>
  </si>
  <si>
    <t>for nasir colony water connection</t>
  </si>
  <si>
    <t>Photocopy imtiaz bill</t>
  </si>
  <si>
    <t>nadeem bhai lunch</t>
  </si>
  <si>
    <t>for GI sheet from fatreh to imtiaz</t>
  </si>
  <si>
    <t>cash retunned by azeem</t>
  </si>
  <si>
    <t>junaid salry increased</t>
  </si>
  <si>
    <t>kamran claimd</t>
  </si>
  <si>
    <t>cash paid 06 nos silicon tube purchased</t>
  </si>
  <si>
    <t>tea for office</t>
  </si>
  <si>
    <t>paid for gas cylinder</t>
  </si>
  <si>
    <t>Mujeeb salary</t>
  </si>
  <si>
    <t>cash paid for the cinema motor rewining</t>
  </si>
  <si>
    <t>To fakhri in imtiaz deal</t>
  </si>
  <si>
    <t>paid for globe vavle 06 inch</t>
  </si>
  <si>
    <t>paid for 20 days tea and refreshment in falcon</t>
  </si>
  <si>
    <t>paid for silicon</t>
  </si>
  <si>
    <t>paid for hand dryer repairing</t>
  </si>
  <si>
    <t>hydery mall invoices</t>
  </si>
  <si>
    <t>02290576</t>
  </si>
  <si>
    <t>Muzammil in hydery mall</t>
  </si>
  <si>
    <t>muzammil</t>
  </si>
  <si>
    <t>paid advance in baitulsukoon</t>
  </si>
  <si>
    <t>js bank shaheen complex</t>
  </si>
  <si>
    <t>js bank js forum</t>
  </si>
  <si>
    <t>to lateef duct for oct 21</t>
  </si>
  <si>
    <t>paid for gloves purchasing</t>
  </si>
  <si>
    <t>Shahid returned cash</t>
  </si>
  <si>
    <t xml:space="preserve">door lock changed </t>
  </si>
  <si>
    <t>paid for jpmc printer refilling</t>
  </si>
  <si>
    <t>paid for purchasing invoices</t>
  </si>
  <si>
    <t>from office to imtiaz super store</t>
  </si>
  <si>
    <t>umer give hisaan for office &amp; kitchen expenses</t>
  </si>
  <si>
    <t>02290577</t>
  </si>
  <si>
    <t>To Build con</t>
  </si>
  <si>
    <t>to Gul for oct 21</t>
  </si>
  <si>
    <t>To Shahid painter</t>
  </si>
  <si>
    <t>paid for cutting disc</t>
  </si>
  <si>
    <t>02290578</t>
  </si>
  <si>
    <t xml:space="preserve">M. kamran </t>
  </si>
  <si>
    <t>paid at vellani</t>
  </si>
  <si>
    <t>M. Kamran</t>
  </si>
  <si>
    <t>paid for roof pipe changed</t>
  </si>
  <si>
    <t>The place received July 2021 bill</t>
  </si>
  <si>
    <t>Nueplexx RMR received August 2021 bill</t>
  </si>
  <si>
    <t>umer give office hisaab</t>
  </si>
  <si>
    <t>invoices office</t>
  </si>
  <si>
    <t>To Bilal bhai for imtiaz purcashing</t>
  </si>
  <si>
    <t>02290579</t>
  </si>
  <si>
    <t>02290580</t>
  </si>
  <si>
    <t>02290581</t>
  </si>
  <si>
    <t>02290582</t>
  </si>
  <si>
    <t xml:space="preserve">To mungo </t>
  </si>
  <si>
    <t>To bharmal</t>
  </si>
  <si>
    <t>To faheem</t>
  </si>
  <si>
    <t>To Rizwan vrf</t>
  </si>
  <si>
    <t xml:space="preserve">Expired note </t>
  </si>
  <si>
    <t>vellani</t>
  </si>
  <si>
    <t>purchased 1 no diesel burner and fittings</t>
  </si>
  <si>
    <t>To amajd ustad</t>
  </si>
  <si>
    <t>for tender ISM peshawar</t>
  </si>
  <si>
    <t>falcon tea and refreshemtn</t>
  </si>
  <si>
    <t>paid in nurhani mehal</t>
  </si>
  <si>
    <t>Adhoc received against imtiaz 1st bill</t>
  </si>
  <si>
    <t>paid for 2 carton duct sealent white</t>
  </si>
  <si>
    <t>paid in cafeteria upto date is 20,000</t>
  </si>
  <si>
    <t>paid in imtiaz super 1st payment</t>
  </si>
  <si>
    <t>to krc solution in the place chiller</t>
  </si>
  <si>
    <t>Bilal bahi for imtiaz purchasing</t>
  </si>
  <si>
    <t>to fast cool dor imtiaz pal duct and other items</t>
  </si>
  <si>
    <t>02290583</t>
  </si>
  <si>
    <t>DIB (Pioneer Engr Services)</t>
  </si>
  <si>
    <t>MCB (Pioneer Services)</t>
  </si>
  <si>
    <t>MCB (Pioneer Engr Services)</t>
  </si>
  <si>
    <t>paid for farhan bhai k elec bills paid</t>
  </si>
  <si>
    <t>paid for profile glue at imtiaz</t>
  </si>
  <si>
    <t>paid advanceto kamran elec</t>
  </si>
  <si>
    <t xml:space="preserve">bhamal </t>
  </si>
  <si>
    <t>paid for globe valve 4"</t>
  </si>
  <si>
    <t>To hammad, zahid and kamran</t>
  </si>
  <si>
    <t>To mukhtiar bhai</t>
  </si>
  <si>
    <t>to Amir engr for Oct 21</t>
  </si>
  <si>
    <t>paid K elec bills home and office</t>
  </si>
  <si>
    <t>cash paid for mhr home kitchen mixer and grease trap</t>
  </si>
  <si>
    <t>for cuttings disc</t>
  </si>
  <si>
    <t>to rizwan for Oct 21</t>
  </si>
  <si>
    <t>Received</t>
  </si>
  <si>
    <t>paid advance in burhani mehal uptoda is 70,000</t>
  </si>
  <si>
    <t>to lateef duct for Oct 21</t>
  </si>
  <si>
    <t>Total Amount</t>
  </si>
  <si>
    <t>SST 13%</t>
  </si>
  <si>
    <t>Less tax 7.5%</t>
  </si>
  <si>
    <t>Net after In come tax</t>
  </si>
  <si>
    <t>Cheque amount</t>
  </si>
  <si>
    <t>Less (20% of 39,000 will be deposit in SRB by Client)</t>
  </si>
  <si>
    <t>Less (80% of 39,000 will be deposit in SRB by Contractor)</t>
  </si>
  <si>
    <t>Net cash in hand with Contractor.</t>
  </si>
  <si>
    <t>Faseeh</t>
  </si>
  <si>
    <t>to gul for Oct 21 sent thro imran engr</t>
  </si>
  <si>
    <t>to adeel for Oct 21 sent thru shafeeq</t>
  </si>
  <si>
    <t xml:space="preserve">rizwan </t>
  </si>
  <si>
    <t>paid for unit repairing at the place</t>
  </si>
  <si>
    <t>given to abid</t>
  </si>
  <si>
    <t>nasir regger</t>
  </si>
  <si>
    <t>paid for sheet GI (sent thru imran enr)</t>
  </si>
  <si>
    <t>a4 rim purchasing</t>
  </si>
  <si>
    <t>memon group utilities bills</t>
  </si>
  <si>
    <t>utililites bills paid</t>
  </si>
  <si>
    <t>rehana aunty jazz blance</t>
  </si>
  <si>
    <t>rehana aunty ufonce card</t>
  </si>
  <si>
    <t xml:space="preserve">invoices </t>
  </si>
  <si>
    <t>to Jahangeer for Oct 21</t>
  </si>
  <si>
    <t>kamran claimed fuel sem tender and imtiaz</t>
  </si>
  <si>
    <t>to gulzar for copper piping re route</t>
  </si>
  <si>
    <t>umer for nadeem bhai car wash</t>
  </si>
  <si>
    <t>invoices welding plant repair</t>
  </si>
  <si>
    <t>the forum mall staff salaries</t>
  </si>
  <si>
    <t>cash for hydery mall purchasing</t>
  </si>
  <si>
    <t>to Abbas Plumber Oct 21</t>
  </si>
  <si>
    <t>02290584</t>
  </si>
  <si>
    <t>02290585</t>
  </si>
  <si>
    <t>02290586</t>
  </si>
  <si>
    <t>02290587</t>
  </si>
  <si>
    <t>anwar pipe</t>
  </si>
  <si>
    <t>Salararies</t>
  </si>
  <si>
    <t>anwar pipes</t>
  </si>
  <si>
    <t>for imitaz peshawar plumbing tender from SEM engineers</t>
  </si>
  <si>
    <t>for imitaz peshawar Fire tender from SEM engineers</t>
  </si>
  <si>
    <t>Touqeer</t>
  </si>
  <si>
    <t>jameel baig staff salaries</t>
  </si>
  <si>
    <t>Touqeer and Amjad salaries</t>
  </si>
  <si>
    <t>RMR Cinema staff</t>
  </si>
  <si>
    <t>The Place Cinema staff</t>
  </si>
  <si>
    <t>Abid, Abbas &amp; Lateef salaries</t>
  </si>
  <si>
    <t>umer give office hisaab  2170</t>
  </si>
  <si>
    <t>claimed ufone super card</t>
  </si>
  <si>
    <t>nadeem bhai Oct 21 salary</t>
  </si>
  <si>
    <t>waris Oct 21 salary</t>
  </si>
  <si>
    <t>Jpmc salaries except Irfan</t>
  </si>
  <si>
    <t>paid cash for invoices</t>
  </si>
  <si>
    <t>given to abid at baitulsukoon</t>
  </si>
  <si>
    <t>given to khalid for block for burhani</t>
  </si>
  <si>
    <t>umer given office hisaab</t>
  </si>
  <si>
    <t>paid for fiber glass insulation at jpmc</t>
  </si>
  <si>
    <t>to khalid bhai fro advance in burhani</t>
  </si>
  <si>
    <t>A K shamim</t>
  </si>
  <si>
    <t>paid for income tax consultancy charges 2021</t>
  </si>
  <si>
    <t>paid for manhole cover for burhani</t>
  </si>
  <si>
    <t>Irfan salary at jpmc</t>
  </si>
  <si>
    <t>cash paid for jpmc  sent thro amir</t>
  </si>
  <si>
    <t>paid to khalid bhai (uptodate is 135,000)</t>
  </si>
  <si>
    <t>purchased manhole cover at burhani</t>
  </si>
  <si>
    <t>to Zahid elec for Nov 21 sent throu mukhtiar</t>
  </si>
  <si>
    <t>Returned by Mukhtiar after purchasing</t>
  </si>
  <si>
    <t>To Bilal bhai for purchasing</t>
  </si>
  <si>
    <t>To raees brother in imitaz</t>
  </si>
  <si>
    <t>02290588</t>
  </si>
  <si>
    <t>To global tech</t>
  </si>
  <si>
    <t>received against pool work burhani</t>
  </si>
  <si>
    <t>The place received August 2021 bill</t>
  </si>
  <si>
    <t>cash paid at jpmc</t>
  </si>
  <si>
    <t>02290589</t>
  </si>
  <si>
    <t>Nadeem bhai share</t>
  </si>
  <si>
    <t>cash paid for board and conduit for imtiaz</t>
  </si>
  <si>
    <t>cash paid labour at imtiaz</t>
  </si>
  <si>
    <t>CBC cash received from Rasheed Shop wala</t>
  </si>
  <si>
    <t>office ptcl bills paid</t>
  </si>
  <si>
    <t>MHR personal ptcl bills</t>
  </si>
  <si>
    <t>air tickets at vellani</t>
  </si>
  <si>
    <t>cash paid chemical chiller coil cleaning at ftc</t>
  </si>
  <si>
    <t>02290590</t>
  </si>
  <si>
    <t>02290591</t>
  </si>
  <si>
    <t>02290592</t>
  </si>
  <si>
    <t>To Zubair duct in imtiaz</t>
  </si>
  <si>
    <t>To Fast cool (chq given to zubair)</t>
  </si>
  <si>
    <t>sheryar</t>
  </si>
  <si>
    <t>paid for invoices at burhani</t>
  </si>
  <si>
    <t>22-Oct 2021</t>
  </si>
  <si>
    <t>Rehan for office use</t>
  </si>
  <si>
    <t>Nadeem bhai in personal share</t>
  </si>
  <si>
    <t>cash paid for colour for fire pipes</t>
  </si>
  <si>
    <t>paid for paver labour at burhani</t>
  </si>
  <si>
    <t>2nd payment received against chiller repairing</t>
  </si>
  <si>
    <t>From nadeem blue lines</t>
  </si>
  <si>
    <t xml:space="preserve">umer give hisaab </t>
  </si>
  <si>
    <t>cash paid for imtiaz elbow tape, socket etc</t>
  </si>
  <si>
    <t>paid at baitulsukoon drain pipe</t>
  </si>
  <si>
    <t>Food court received IPC 8</t>
  </si>
  <si>
    <t>JPMC IPC 47 received</t>
  </si>
  <si>
    <t>Ideas 4th payment</t>
  </si>
  <si>
    <t>given to rehan for office salaries july 20</t>
  </si>
  <si>
    <t>Adjusted in bilal bhai profil 2019 to 2020</t>
  </si>
  <si>
    <t>19-11-020</t>
  </si>
  <si>
    <t>1st  receiving of jammel baig villa</t>
  </si>
  <si>
    <t>30-11-020</t>
  </si>
  <si>
    <t>Given to Nadeem bhai in his profit sharing</t>
  </si>
  <si>
    <t>15-11-020</t>
  </si>
  <si>
    <t>Grocery for the month of nov 20</t>
  </si>
  <si>
    <t>Grocery for the month of dec 20</t>
  </si>
  <si>
    <t>Sir rehman air ticket</t>
  </si>
  <si>
    <t>16-12-020</t>
  </si>
  <si>
    <t>2nd receiving of jammel baig villa</t>
  </si>
  <si>
    <t>23-12-020</t>
  </si>
  <si>
    <t>29-12-020</t>
  </si>
  <si>
    <t>purchasing by faheem elec for js bank shaheen complex</t>
  </si>
  <si>
    <t>30-12-020</t>
  </si>
  <si>
    <t>returned this cash from shabbir brothers</t>
  </si>
  <si>
    <t>paid to amir</t>
  </si>
  <si>
    <t>31-12-020</t>
  </si>
  <si>
    <t>bilal bhai purcashed form S abdullah for JS bank</t>
  </si>
  <si>
    <t>bilal bhai purcashed materialfor JS bank</t>
  </si>
  <si>
    <t>04-01-021</t>
  </si>
  <si>
    <t>05-01-021</t>
  </si>
  <si>
    <t>to rehan for salaries</t>
  </si>
  <si>
    <t>from rehan from office</t>
  </si>
  <si>
    <t>to rafay against js bank copper wiring</t>
  </si>
  <si>
    <t>07-01-021</t>
  </si>
  <si>
    <t>mossi home salaries</t>
  </si>
  <si>
    <t>09-01-021</t>
  </si>
  <si>
    <t>paid to zahid son marriage</t>
  </si>
  <si>
    <t>11-01-021</t>
  </si>
  <si>
    <t>to zeeshan for purcashing</t>
  </si>
  <si>
    <t>received from js bank shaheen complex 20% mob adv</t>
  </si>
  <si>
    <t>18-01-021</t>
  </si>
  <si>
    <t>to shahbaz sheryy salary</t>
  </si>
  <si>
    <t>21-01-021</t>
  </si>
  <si>
    <t>to basheer for falcon</t>
  </si>
  <si>
    <t>22-01-021</t>
  </si>
  <si>
    <t>23-01-021</t>
  </si>
  <si>
    <t>to shahid papu salary adv for jan 21</t>
  </si>
  <si>
    <t>25-01-021</t>
  </si>
  <si>
    <t>28-01-021</t>
  </si>
  <si>
    <t>paid ofr js shaheen pvc fitings</t>
  </si>
  <si>
    <t>29-01-021</t>
  </si>
  <si>
    <t>for channel the forum</t>
  </si>
  <si>
    <t>invoces the forum</t>
  </si>
  <si>
    <t>01-02-021</t>
  </si>
  <si>
    <t>03-02-021</t>
  </si>
  <si>
    <t>To hammad flange for the forum mall (internal tranfer)</t>
  </si>
  <si>
    <t>04-02-021</t>
  </si>
  <si>
    <t>08-02-021</t>
  </si>
  <si>
    <t xml:space="preserve">purcahsed matrerial from s abdullah </t>
  </si>
  <si>
    <t>to office for salaries</t>
  </si>
  <si>
    <t>salary advance to jahangeer for jan 21</t>
  </si>
  <si>
    <t>09-02-021</t>
  </si>
  <si>
    <t>13-02-021</t>
  </si>
  <si>
    <t>paid for lcd from defence electronics</t>
  </si>
  <si>
    <t>17-02-021</t>
  </si>
  <si>
    <t>to zulfiqar for salary advance feb 21</t>
  </si>
  <si>
    <t>19-02-021</t>
  </si>
  <si>
    <t>25-02-021</t>
  </si>
  <si>
    <t>MCB chq given to bilal bhai chased by azeem</t>
  </si>
  <si>
    <t>26-02-021</t>
  </si>
  <si>
    <t>to azeem for purchasing</t>
  </si>
  <si>
    <t>01-03-021</t>
  </si>
  <si>
    <t>02-03-021</t>
  </si>
  <si>
    <t>to azeem for purchasing js shaheen and the forum</t>
  </si>
  <si>
    <t>03-03-021</t>
  </si>
  <si>
    <t>to shahbaz at js bank the forum</t>
  </si>
  <si>
    <t>06-03-021</t>
  </si>
  <si>
    <t>for salaries for the month of Feb 21</t>
  </si>
  <si>
    <t>to azeem for fare</t>
  </si>
  <si>
    <t>08-03-021</t>
  </si>
  <si>
    <t>to kashif suzki</t>
  </si>
  <si>
    <t>09-03-021</t>
  </si>
  <si>
    <t>11-03-021</t>
  </si>
  <si>
    <t>received against Js Bank Shaheen complex 2nd bill (this cash trasnfered by qasim total in Bilal bhai personal account) deposit slip attached in js file</t>
  </si>
  <si>
    <t>17-03-021</t>
  </si>
  <si>
    <t>received against Al-Hamd mobilization advance 20% (this cash trasnfered by qasim total in Bilal bhai personal account)</t>
  </si>
  <si>
    <t>22-03-021</t>
  </si>
  <si>
    <t>to khalid for the place</t>
  </si>
  <si>
    <t>25-03-021</t>
  </si>
  <si>
    <t>29-03-021</t>
  </si>
  <si>
    <t>(JS Bank Cafeteria ) received 1st adhoc payment (this payment given to bilal bhai for purcahses)</t>
  </si>
  <si>
    <t>received 1st adhoc mockup payment (this payment given to bilal bhai for purcahses)</t>
  </si>
  <si>
    <t>fuel expenses for 2 months</t>
  </si>
  <si>
    <t>30-03-021</t>
  </si>
  <si>
    <t>paid to zakat</t>
  </si>
  <si>
    <t>31-03-021</t>
  </si>
  <si>
    <t>to faheem elec in shaheen</t>
  </si>
  <si>
    <t>02-04-021</t>
  </si>
  <si>
    <t xml:space="preserve">to azeem </t>
  </si>
  <si>
    <t xml:space="preserve">accidental of car by falling of ceiling fro js bank shaheen paid by bilal bhai </t>
  </si>
  <si>
    <t>03-04-021</t>
  </si>
  <si>
    <t>paid to shakeel PEC</t>
  </si>
  <si>
    <t>04-04-021</t>
  </si>
  <si>
    <t>mossi home salaries with diver salary</t>
  </si>
  <si>
    <t>given to Rehan shahjee (by hand shahid painter</t>
  </si>
  <si>
    <t>05-04-021</t>
  </si>
  <si>
    <t>paid to build pro for js bank shaheen</t>
  </si>
  <si>
    <t>milk bill for mhr home</t>
  </si>
  <si>
    <t>received from jpmc TOTAL ipc 49 (direct transfer in his account)</t>
  </si>
  <si>
    <t>06-04-021</t>
  </si>
  <si>
    <t>12-04-021</t>
  </si>
  <si>
    <t>paid zakat by bilal bhai</t>
  </si>
  <si>
    <t>to zakat</t>
  </si>
  <si>
    <t>13-04-021</t>
  </si>
  <si>
    <t>15-04-021</t>
  </si>
  <si>
    <t>19-04-021</t>
  </si>
  <si>
    <t>received from TOTAL against JS Bank shaheen complex 3rd bill (direct transfer in his account)</t>
  </si>
  <si>
    <t>21-04-021</t>
  </si>
  <si>
    <t>paid to Hussain porta in js bank shaheen</t>
  </si>
  <si>
    <t>23-04-021</t>
  </si>
  <si>
    <t>received from TOTAL against JS Bank the Forum 1st bill (direct transfer in his Mohsin traders account account)</t>
  </si>
  <si>
    <t>24-04-021</t>
  </si>
  <si>
    <t>26-04-021</t>
  </si>
  <si>
    <t>To nadeem bhai in his share (personal)</t>
  </si>
  <si>
    <t>to rehan for office use (by hand azeem)</t>
  </si>
  <si>
    <t xml:space="preserve">to rehan for office use </t>
  </si>
  <si>
    <t>28-04-021</t>
  </si>
  <si>
    <t>29-04-021</t>
  </si>
  <si>
    <t>To Gulfam in the forum deal</t>
  </si>
  <si>
    <t>04-05-021</t>
  </si>
  <si>
    <t>06-05-021</t>
  </si>
  <si>
    <t>TO Zahid in jpmc account</t>
  </si>
  <si>
    <t>to Rizwan VRF in JS bank the Forum</t>
  </si>
  <si>
    <t>07-05-021</t>
  </si>
  <si>
    <t>To hussain PORTA in JPMC account</t>
  </si>
  <si>
    <t>received from TOTAL against JPMC FOOD COURT IPC 11 (direct transfer in his Mohsin traders account account)</t>
  </si>
  <si>
    <t>for groceries + water tanker</t>
  </si>
  <si>
    <t>08-05-021</t>
  </si>
  <si>
    <t xml:space="preserve">paid to build pro in js bank shaheen </t>
  </si>
  <si>
    <t>11-05-021</t>
  </si>
  <si>
    <t>To Mustafa in jpmc deal</t>
  </si>
  <si>
    <t>to shahbaz duct in js the forum</t>
  </si>
  <si>
    <t>17-05-021</t>
  </si>
  <si>
    <t>For tender Imtiaz The place</t>
  </si>
  <si>
    <t>18-05-021</t>
  </si>
  <si>
    <t>20-05-021</t>
  </si>
  <si>
    <t>21-05-021</t>
  </si>
  <si>
    <t>To Zara Engineers at Alhamd Deal</t>
  </si>
  <si>
    <t>22-05-021</t>
  </si>
  <si>
    <t>24-05-021</t>
  </si>
  <si>
    <t>To Imran ducting against baitul sukoon</t>
  </si>
  <si>
    <t>To buidpro against hand dryer js bank shaheen</t>
  </si>
  <si>
    <t>Given to bilal bhai thru DIB chq 02235067</t>
  </si>
  <si>
    <t>Given to bilal bhai thru DIB chq 02235068</t>
  </si>
  <si>
    <t>25-05-021</t>
  </si>
  <si>
    <t>26-05-021</t>
  </si>
  <si>
    <t>To s abdullah in js bank shaheen</t>
  </si>
  <si>
    <t>rec frm TOTAL against JS Bank Forum 2nd bill payment (direct transfer in Mohsin traders account)</t>
  </si>
  <si>
    <t>Given to bilal bhai thru DIB chq 02235073</t>
  </si>
  <si>
    <t>Given to bilal bhai thru DIB chq 02235074</t>
  </si>
  <si>
    <t>To Sir rehman in his perosnal share for zakat irfana baji</t>
  </si>
  <si>
    <t>claimed for petrol for 2 months</t>
  </si>
  <si>
    <t>28-05-021</t>
  </si>
  <si>
    <t>29-05-021</t>
  </si>
  <si>
    <t>from Total JPMC IPC 49 remaining payment (after cencellation of PO) (transfer to mohsin traders account</t>
  </si>
  <si>
    <t>JPMC mosque account adhoc  (transfer to mohsin traders account</t>
  </si>
  <si>
    <t>31-05-021</t>
  </si>
  <si>
    <t>02-06-021</t>
  </si>
  <si>
    <t>09-06-021</t>
  </si>
  <si>
    <t>10-06-021</t>
  </si>
  <si>
    <t xml:space="preserve">to sir rehman for medication </t>
  </si>
  <si>
    <t>for milk expenses for 2 months</t>
  </si>
  <si>
    <t>11-06-021</t>
  </si>
  <si>
    <t>14-06-021</t>
  </si>
  <si>
    <t>To Mustafa in JS Bank The Forum online transfer</t>
  </si>
  <si>
    <t>17-06-021</t>
  </si>
  <si>
    <t>to azeem for karchar pump</t>
  </si>
  <si>
    <t>18-06-021</t>
  </si>
  <si>
    <t>To rehan for offfice use</t>
  </si>
  <si>
    <t>to rafay against js bank installation</t>
  </si>
  <si>
    <t>To imran ducting online transfer</t>
  </si>
  <si>
    <t>to faheem elec in js shaheen in installtion</t>
  </si>
  <si>
    <t>19-06-021</t>
  </si>
  <si>
    <t>To nadeem bhai</t>
  </si>
  <si>
    <t>Hyundai nishaat showroom payment</t>
  </si>
  <si>
    <t>21-06-021</t>
  </si>
  <si>
    <t>JPMC IPC 50 Adhoc payment</t>
  </si>
  <si>
    <t>23-06-021</t>
  </si>
  <si>
    <t>to Rafay</t>
  </si>
  <si>
    <t>to Jahangeer</t>
  </si>
  <si>
    <t>26-06-021</t>
  </si>
  <si>
    <t>To rehan for office use</t>
  </si>
  <si>
    <t>28-06-021</t>
  </si>
  <si>
    <t>30-06-021</t>
  </si>
  <si>
    <t>05-07-021</t>
  </si>
  <si>
    <t>to azeem for purcahsing</t>
  </si>
  <si>
    <t>for salaries for the month of June 2021</t>
  </si>
  <si>
    <t>To Rafay in Cinema Chiller repairing work</t>
  </si>
  <si>
    <t>To Bilal bhai in his share</t>
  </si>
  <si>
    <t>Mhr groceries</t>
  </si>
  <si>
    <t>to faheem in js bank cable purcahsing</t>
  </si>
  <si>
    <t>To azeem for purhasuing</t>
  </si>
  <si>
    <t>06-07-021</t>
  </si>
  <si>
    <t>To prem Engineers (online transfer to Nida Iqbal account)</t>
  </si>
  <si>
    <t>rehan for office use</t>
  </si>
  <si>
    <t>07-07-021</t>
  </si>
  <si>
    <t xml:space="preserve">for jpmc dinner </t>
  </si>
  <si>
    <t>for Asad sahab Total construction home AC install</t>
  </si>
  <si>
    <t>to Rehan for office use</t>
  </si>
  <si>
    <t>09-07-021</t>
  </si>
  <si>
    <t>to farooq sahab (for sensor purchased for chiler job)</t>
  </si>
  <si>
    <t>for salaries june 21</t>
  </si>
  <si>
    <t>14-07-021</t>
  </si>
  <si>
    <t>for office use</t>
  </si>
  <si>
    <t>15-07-021</t>
  </si>
  <si>
    <t>From JPMC retention money amount (tranfer to mohsin traders account)</t>
  </si>
  <si>
    <t>17-07-021</t>
  </si>
  <si>
    <t>To mustafa in JPMC deal (cash payment)</t>
  </si>
  <si>
    <t>to Rizwan VRF in JPMC deal</t>
  </si>
  <si>
    <t>19-07-021</t>
  </si>
  <si>
    <t>paid for MCC panel for js the forum (online transfer)</t>
  </si>
  <si>
    <t>paid for faizan in jpmc cladding account (online transfer)</t>
  </si>
  <si>
    <t>28-07-021</t>
  </si>
  <si>
    <t>30-07-021</t>
  </si>
  <si>
    <t>04-08-021</t>
  </si>
  <si>
    <t>Paid to imran for his father Feroz sahab funeral</t>
  </si>
  <si>
    <t>To Rehan for office use</t>
  </si>
  <si>
    <t>05-08-021</t>
  </si>
  <si>
    <t>To Rehan for payment to rizwan vrf</t>
  </si>
  <si>
    <t>11-08-021</t>
  </si>
  <si>
    <t>To rehan for office salaries september 21</t>
  </si>
  <si>
    <t>received from Js bank the forum 4th payment in the name of Mohsin traders</t>
  </si>
  <si>
    <t>Online transfer to Areeb asab account c/o huzaifa against nadeem bhai personal share</t>
  </si>
  <si>
    <t>To rehan for CBC paymen</t>
  </si>
  <si>
    <t>To rehan for office</t>
  </si>
  <si>
    <t>hyudain showroom (this payment direct paid to Bilal bhai in mohsin trades account)</t>
  </si>
  <si>
    <t>To Basheer piping at imtiaz (online transfer)</t>
  </si>
  <si>
    <t>To sire Rehman for misc invoices</t>
  </si>
  <si>
    <t>Online transfer to Fareed pipe 6" 160 rft</t>
  </si>
  <si>
    <t>Salary advance to Rizwan Cinema</t>
  </si>
  <si>
    <t>Online transfer to Imran Electric</t>
  </si>
  <si>
    <t>To shahid paineter for purchasing</t>
  </si>
  <si>
    <t>Ms pipe and fitings purchased</t>
  </si>
  <si>
    <t>To Saim Brother (Saeed Bhai) Online transfer</t>
  </si>
  <si>
    <t>to abbas for salary advance</t>
  </si>
  <si>
    <t>To rizwan for salary advance</t>
  </si>
  <si>
    <t>MCB chq 1815879071 To Bilal bhai for imtiaz purchasing</t>
  </si>
  <si>
    <t>purcashing pipes + fare</t>
  </si>
  <si>
    <t>purchased fittings from ibraheem</t>
  </si>
  <si>
    <t>Lunch at Imtiaz store</t>
  </si>
  <si>
    <t>MCB chq 1815879074 To Bilal bhai for imtiaz purchasing</t>
  </si>
  <si>
    <t>Imtiaz purcashing</t>
  </si>
  <si>
    <t>Online transfer to shakeel PEC</t>
  </si>
  <si>
    <t>Online transfer to Shabbir Pipe at imitaz</t>
  </si>
  <si>
    <t>for imtiaz purcashing</t>
  </si>
  <si>
    <t>salary advance to chacha lateef</t>
  </si>
  <si>
    <t>To Rafay for The place chiller repairing</t>
  </si>
  <si>
    <t>Pipe purchased Online transfer by bilal bhai</t>
  </si>
  <si>
    <t>Got MCB chq 1815879085 (chq cashed by naseer)</t>
  </si>
  <si>
    <t>Imtiaz received final payment against 1st Bill</t>
  </si>
  <si>
    <t>To nadeem blue lines 3rd floor</t>
  </si>
  <si>
    <t>cash paid for die gutkey and cp nipples</t>
  </si>
  <si>
    <t>paid for tender purchasing</t>
  </si>
  <si>
    <t xml:space="preserve">kamran </t>
  </si>
  <si>
    <t>invoices vellani</t>
  </si>
  <si>
    <t>Retuned ticket vellani</t>
  </si>
  <si>
    <t>01 load khaka for paver at burhani</t>
  </si>
  <si>
    <t>debrages clean and load at burhani</t>
  </si>
  <si>
    <t>paid for pavour labour uptodate is 13000</t>
  </si>
  <si>
    <t>Adjust in Bilal bhai Share Profit</t>
  </si>
  <si>
    <t>Zohaib tax</t>
  </si>
  <si>
    <t>cash paid for Pioneer services Income tax filing</t>
  </si>
  <si>
    <t>paid for fuel and screw</t>
  </si>
  <si>
    <t>paid for material at the place chiler job</t>
  </si>
  <si>
    <t>imtiaz drawings</t>
  </si>
  <si>
    <t>paid advance uptodate is 145,000</t>
  </si>
  <si>
    <t>paid for fiber glass insulation at jpmc t</t>
  </si>
  <si>
    <t>K ele office bill paid</t>
  </si>
  <si>
    <t>K ele mhr home bill paid</t>
  </si>
  <si>
    <t>To sasa for imtiaz</t>
  </si>
  <si>
    <t>KRC Solution in the place</t>
  </si>
  <si>
    <t>Given to Nadeem bhai a cheque of Rs 600,000 in Nadeem bhai personal share</t>
  </si>
  <si>
    <t>returned shop rent cash used on 16 Oct 2021</t>
  </si>
  <si>
    <t>Faheem elec</t>
  </si>
  <si>
    <t>pioneer company profile colour prints 2 sets</t>
  </si>
  <si>
    <t>To Hammad</t>
  </si>
  <si>
    <t>for duct piece for hydery mall</t>
  </si>
  <si>
    <t>To shahid painrter cash paid from bakhti</t>
  </si>
  <si>
    <t>To rizwan saeed</t>
  </si>
  <si>
    <t>To lateef chacha</t>
  </si>
  <si>
    <t>To Abbas plumber</t>
  </si>
  <si>
    <t>from office</t>
  </si>
  <si>
    <t>bilal bhai mobile balance ufone card</t>
  </si>
  <si>
    <t>To shahid painter</t>
  </si>
  <si>
    <t>paid in the place uptodate is 210,000</t>
  </si>
  <si>
    <t>02290593</t>
  </si>
  <si>
    <t xml:space="preserve">The forum 4th Bill payment adhoc </t>
  </si>
  <si>
    <t>paid for pprc material for js</t>
  </si>
  <si>
    <t>nadeem bhai home bill paid</t>
  </si>
  <si>
    <t>nasir colony bills paid</t>
  </si>
  <si>
    <t xml:space="preserve">SSGC office and MHR </t>
  </si>
  <si>
    <t>stamp papers for shop and 3rd floor rent renewal</t>
  </si>
  <si>
    <t>cash paid given to sufyan</t>
  </si>
  <si>
    <t>cash paid for imtiaz material</t>
  </si>
  <si>
    <t>returned cash</t>
  </si>
  <si>
    <t>paid for tea and mobile balance</t>
  </si>
  <si>
    <t>jpmc draiwings</t>
  </si>
  <si>
    <t>paid to amir engr for misc invoices</t>
  </si>
  <si>
    <t>Nueplex RMR rec Sept 2021 bill</t>
  </si>
  <si>
    <t>adhoc against 2nd running bill</t>
  </si>
  <si>
    <t>nadeem bhai Nov 21 salary</t>
  </si>
  <si>
    <t>waris Nov 21 salary</t>
  </si>
  <si>
    <t>mosque</t>
  </si>
  <si>
    <t>paid for misc (cash paid to kamran elec)</t>
  </si>
  <si>
    <t>To Mukhtiar for Nov 21</t>
  </si>
  <si>
    <t>invoices vellani air tickets</t>
  </si>
  <si>
    <t>02290594</t>
  </si>
  <si>
    <t>02290595</t>
  </si>
  <si>
    <t>Office cash</t>
  </si>
  <si>
    <t>To imran ducting</t>
  </si>
  <si>
    <t>Gulfam insulator at imtiaz dha</t>
  </si>
  <si>
    <t>fare from imtiaz to nasir colony</t>
  </si>
  <si>
    <t>To khalid mansoor for Nov 21</t>
  </si>
  <si>
    <t>To jahangeer for Nov 21</t>
  </si>
  <si>
    <t>Kamran office salary</t>
  </si>
  <si>
    <t>umer office salary</t>
  </si>
  <si>
    <t>Kamran Hyder Cinema salary</t>
  </si>
  <si>
    <t>To mukhtiar for salary advance</t>
  </si>
  <si>
    <t xml:space="preserve">To Shahid painter </t>
  </si>
  <si>
    <t>For salaries for Nov 2021</t>
  </si>
  <si>
    <t>paid suzuki fare to talib nasir colony</t>
  </si>
  <si>
    <t>Rehan Salary</t>
  </si>
  <si>
    <t>to faheem for imtiaz</t>
  </si>
  <si>
    <t>paid thru easy paisa for return tickets</t>
  </si>
  <si>
    <t>rizwan saeed</t>
  </si>
  <si>
    <t>paid for refrigerator repairing work</t>
  </si>
  <si>
    <t>Received from 2nd floor as advance token money</t>
  </si>
  <si>
    <t>Sulaman and waseem tariq at the forum</t>
  </si>
  <si>
    <t>paid for purchasing imtiaz dha</t>
  </si>
  <si>
    <t>paid for honeywell cylinder for cinema</t>
  </si>
  <si>
    <t>paid fuel to rizwan saeed</t>
  </si>
  <si>
    <t xml:space="preserve">zulfiquar </t>
  </si>
  <si>
    <t xml:space="preserve">paid for ftc tea and referehsment </t>
  </si>
  <si>
    <t>cash paid (actually cash given to Sami)</t>
  </si>
  <si>
    <t xml:space="preserve">Hydery Mall Staff salary </t>
  </si>
  <si>
    <t xml:space="preserve">Imtiaz DHA Staff salary </t>
  </si>
  <si>
    <t xml:space="preserve">FTC Staff salary </t>
  </si>
  <si>
    <t xml:space="preserve">FAlcon Mall Staff salary </t>
  </si>
  <si>
    <t xml:space="preserve">Ciname Nueplex Staff salary </t>
  </si>
  <si>
    <t>Hassan and junaid previous month remaining</t>
  </si>
  <si>
    <t xml:space="preserve">Gulfam </t>
  </si>
  <si>
    <t>Zafar grill</t>
  </si>
  <si>
    <t>Tech automation in imtiaz</t>
  </si>
  <si>
    <t>rehana aunty mobile balance mobilink</t>
  </si>
  <si>
    <t>From Office Rehan</t>
  </si>
  <si>
    <t>Jpmc staff salary</t>
  </si>
  <si>
    <t>The Place Cinema salary</t>
  </si>
  <si>
    <t>paid for jpmc gas R 122</t>
  </si>
  <si>
    <t>for sir rehman misc expenses</t>
  </si>
  <si>
    <t>hussain porta</t>
  </si>
  <si>
    <t>paid against 3 bills now all dues cleared</t>
  </si>
  <si>
    <t>Paid for material for The Cinema</t>
  </si>
  <si>
    <t>Paid for labour uptodate is 230,000</t>
  </si>
  <si>
    <t>To Rafay in labour at The place uptodaye is 240,000</t>
  </si>
  <si>
    <t>SST Nov 2021</t>
  </si>
  <si>
    <t>02290596</t>
  </si>
  <si>
    <t>To Bilal bhai for future expenses</t>
  </si>
  <si>
    <t>Given DIB chq '02290596 To Bilal bhai for future expenses</t>
  </si>
  <si>
    <t>cash paid for finalized his accout</t>
  </si>
  <si>
    <t>paid for purcashing for drainpipe 3/4</t>
  </si>
  <si>
    <t>Psychiatry jpmc received advance payment (this payment direct depositted into Mohsin traders account care of bilal bhai</t>
  </si>
  <si>
    <t>To Zeeshan for Imtiaz Split AC 03 Nos</t>
  </si>
  <si>
    <t>PTCL bill mhr</t>
  </si>
  <si>
    <t>PTCL bill office</t>
  </si>
  <si>
    <t>To gulfam for dec 21</t>
  </si>
  <si>
    <t>To Raja for dec 21</t>
  </si>
  <si>
    <t>To zeeshan ac for dec 21</t>
  </si>
  <si>
    <t>To amjad for dec 21</t>
  </si>
  <si>
    <t>for refreshment at falcon</t>
  </si>
  <si>
    <t>nasir colont</t>
  </si>
  <si>
    <t>paid for block (to Mr rafeeq)</t>
  </si>
  <si>
    <t>solution box</t>
  </si>
  <si>
    <t>To Lateef duct for dec 21</t>
  </si>
  <si>
    <t>returned salary adv deducted</t>
  </si>
  <si>
    <t>Zohaib raza cash used</t>
  </si>
  <si>
    <t>02290597</t>
  </si>
  <si>
    <t>02290598</t>
  </si>
  <si>
    <t>02290599</t>
  </si>
  <si>
    <t>02290600</t>
  </si>
  <si>
    <t>02290601</t>
  </si>
  <si>
    <t>02290602</t>
  </si>
  <si>
    <t>02290603</t>
  </si>
  <si>
    <t>Rizwan vrf</t>
  </si>
  <si>
    <t>The placereceived September 2021 bill</t>
  </si>
  <si>
    <t xml:space="preserve">FTC monthly bills for the months of Sept 21 </t>
  </si>
  <si>
    <t xml:space="preserve">FTC monthly bills for the months of Oct 21 </t>
  </si>
  <si>
    <t xml:space="preserve">FTC monthly bills for the months of Nov 21 </t>
  </si>
  <si>
    <t>Vellani against bill no 001</t>
  </si>
  <si>
    <t>Received from Falcon final bill cheque</t>
  </si>
  <si>
    <t>Received from Falcon 50% retention money amount</t>
  </si>
  <si>
    <t>Withdraw for SST</t>
  </si>
  <si>
    <t>To gul for dec 21 (easy paisa to his brother acc)</t>
  </si>
  <si>
    <t>easy paisa charges</t>
  </si>
  <si>
    <t>paid to Maskeen Policeman</t>
  </si>
  <si>
    <t xml:space="preserve">To Sham YH </t>
  </si>
  <si>
    <t>For Mhr home Paint and polish etc</t>
  </si>
  <si>
    <t>For MHR groceries for Nov 21 &amp; dec 21</t>
  </si>
  <si>
    <t>Masood tech</t>
  </si>
  <si>
    <t>Fateh steel</t>
  </si>
  <si>
    <t>Shabbir pipe now imtiaz deal closed</t>
  </si>
  <si>
    <t>Utilities bills MHR and office</t>
  </si>
  <si>
    <t>From office</t>
  </si>
  <si>
    <t>paid for cable tie and fuel</t>
  </si>
  <si>
    <t>Nueplex RMR rec Oct 2021 bill</t>
  </si>
  <si>
    <t>utilities bill paid</t>
  </si>
  <si>
    <t>To Umer office for salary advance</t>
  </si>
  <si>
    <t xml:space="preserve">To abbas for Js shaheen </t>
  </si>
  <si>
    <t>paid for socket for imtiaz and pipes for js</t>
  </si>
  <si>
    <t>salman</t>
  </si>
  <si>
    <t>paid for the forum material shifitng</t>
  </si>
  <si>
    <t>To hashim for the place cinema</t>
  </si>
  <si>
    <t>paid for pop rebit</t>
  </si>
  <si>
    <t>paid for bilal bhai hisaab</t>
  </si>
  <si>
    <t>To Khalid mansoor for salary advance</t>
  </si>
  <si>
    <t>given to bilal bhai in front of his friend faisal</t>
  </si>
  <si>
    <t>akber</t>
  </si>
  <si>
    <t>paid for air curtain instalaltion at bank alfalah</t>
  </si>
  <si>
    <t>To mukhtiar for dec 21 for salary advance</t>
  </si>
  <si>
    <t>duct sealent purchased</t>
  </si>
  <si>
    <t>nasir colony utilities bill paid</t>
  </si>
  <si>
    <t>orient energy</t>
  </si>
  <si>
    <t>To jahangeer dec 21 for salary advance</t>
  </si>
  <si>
    <t>To chacha lateef dec 21 for salary advance</t>
  </si>
  <si>
    <t>cash paid to farhan bhai son</t>
  </si>
  <si>
    <t>cash paid for imtiaz</t>
  </si>
  <si>
    <t>Online transfer to Ahsan air balancing in imtiaz</t>
  </si>
  <si>
    <t>nadeem bhai Dec 21 salary</t>
  </si>
  <si>
    <t>waris Dec 21 salary</t>
  </si>
  <si>
    <t>purcahsed ducting for imtiaz</t>
  </si>
  <si>
    <t>MCB cheque 1815879109 to Bilal bhai</t>
  </si>
  <si>
    <t>flang and other things for jpmc</t>
  </si>
  <si>
    <t>paid for pchciatry depart purchasing</t>
  </si>
  <si>
    <t>us traders</t>
  </si>
  <si>
    <t>mhr invoices</t>
  </si>
  <si>
    <t>Withdraw for Dec 2021 salaries</t>
  </si>
  <si>
    <t>paid for tea and refreshment at ftc site</t>
  </si>
  <si>
    <t xml:space="preserve">To gulfam for dec 21 </t>
  </si>
  <si>
    <t>Gulfam and raja salary</t>
  </si>
  <si>
    <t xml:space="preserve">Imtiaz salary </t>
  </si>
  <si>
    <t>Suleman dilawar</t>
  </si>
  <si>
    <t>umer office salary advace</t>
  </si>
  <si>
    <t>To Khizar for Cinema material</t>
  </si>
  <si>
    <r>
      <t>Zeeshan AC salary (</t>
    </r>
    <r>
      <rPr>
        <sz val="14"/>
        <rFont val="Calibri"/>
        <family val="2"/>
        <scheme val="minor"/>
      </rPr>
      <t>easy paisa)</t>
    </r>
  </si>
  <si>
    <t>Waseem Tariq SALARY</t>
  </si>
  <si>
    <t>The Cinema Johar SALARY</t>
  </si>
  <si>
    <t>To Gulfam salary advace (sent thro lateef duct)</t>
  </si>
  <si>
    <t>02290604</t>
  </si>
  <si>
    <t>02290605</t>
  </si>
  <si>
    <t>02290606</t>
  </si>
  <si>
    <t>Faseeh fees NOV 21 + DEC 21</t>
  </si>
  <si>
    <t>SST Dec 2021</t>
  </si>
  <si>
    <t>The place October 2021 + Nov 2021 bill</t>
  </si>
  <si>
    <t>paid in vellani final payment</t>
  </si>
  <si>
    <t>sultan sahab document copies</t>
  </si>
  <si>
    <t>kamran claimed fuel for 1 week</t>
  </si>
  <si>
    <t>paid for imtiaz material shifting</t>
  </si>
  <si>
    <t>paid thro chq for 1830075531 agent commission (2nd floor)</t>
  </si>
  <si>
    <t>cash paid sent thru lateef duct</t>
  </si>
  <si>
    <t>Tender Fatima Computer institute</t>
  </si>
  <si>
    <t>cash paid for imtiaz purcahsing</t>
  </si>
  <si>
    <t>sultan sahab</t>
  </si>
  <si>
    <t>glass repair and document copy</t>
  </si>
  <si>
    <t>ahsan razzaq</t>
  </si>
  <si>
    <t>ahsan Overtime released at the place cinema</t>
  </si>
  <si>
    <t>2nd floor</t>
  </si>
  <si>
    <t>return excess advance to usama agent</t>
  </si>
  <si>
    <r>
      <t>Zeeshan AC salary (</t>
    </r>
    <r>
      <rPr>
        <sz val="14"/>
        <rFont val="Calibri"/>
        <family val="2"/>
        <scheme val="minor"/>
      </rPr>
      <t>remaining salary)</t>
    </r>
  </si>
  <si>
    <t>qadri</t>
  </si>
  <si>
    <t>paid for vellani</t>
  </si>
  <si>
    <t>cash paid for copper pipe imtiaz</t>
  </si>
  <si>
    <t>Rizwan Overtime released at the place cinema</t>
  </si>
  <si>
    <t>cash paid for shershah purchasing</t>
  </si>
  <si>
    <t>mhr ptcl bills paid</t>
  </si>
  <si>
    <t>gulfam salary paid 14 days</t>
  </si>
  <si>
    <t>Shahid painter salary released</t>
  </si>
  <si>
    <t>paid at cinema for chiller repair uptodate 270000</t>
  </si>
  <si>
    <t>To gul sher for jan 22</t>
  </si>
  <si>
    <t>misc invoices jahangeer</t>
  </si>
  <si>
    <t>To Bilal bhai for personal (state life)</t>
  </si>
  <si>
    <t>nadeem bhai share</t>
  </si>
  <si>
    <t>chq given to bilal bhai (for state life )
chq # mcb 1830075536</t>
  </si>
  <si>
    <t>chq given to bilal bhai (for state life )
chq # mcb 1830075537</t>
  </si>
  <si>
    <t>Saqib</t>
  </si>
  <si>
    <t>paid for ufone card and photocopy</t>
  </si>
  <si>
    <t xml:space="preserve">kamran claimed fuel </t>
  </si>
  <si>
    <t>EFU VAV Boxes bills</t>
  </si>
  <si>
    <t>RMR received November 2021 bill</t>
  </si>
  <si>
    <t>RMRreceived December 2021 bill</t>
  </si>
  <si>
    <t>Imtiazr final payment against 2nd bill</t>
  </si>
  <si>
    <t>mhr k ele bills</t>
  </si>
  <si>
    <t>office k elec bills</t>
  </si>
  <si>
    <t>paid to bilal bhai guest safdar</t>
  </si>
  <si>
    <t>to Lateed duct for jan 22</t>
  </si>
  <si>
    <t>To Mukhiar for jan22</t>
  </si>
  <si>
    <t>invoices office stationery</t>
  </si>
  <si>
    <t>To jahangeer for jan22</t>
  </si>
  <si>
    <t>cash paid for misc invoices doctors and fuel</t>
  </si>
  <si>
    <t>chq given to bilal bhai (chq delivererd by kamran )
chq # mcb 1830075546</t>
  </si>
  <si>
    <t xml:space="preserve">FTC monthly bills for the months of Dec 21 </t>
  </si>
  <si>
    <t>Prem engineering</t>
  </si>
  <si>
    <t>paid for water motor repair</t>
  </si>
  <si>
    <t>Salahuddin Nov 2021 Salary used</t>
  </si>
  <si>
    <t>tender karachi marriot hotal from YH</t>
  </si>
  <si>
    <t xml:space="preserve">mhr </t>
  </si>
  <si>
    <t>misc purchasing by abbas</t>
  </si>
  <si>
    <t>Paid to mujahid cylinder for FTC building</t>
  </si>
  <si>
    <t>to Gul (by umer office)</t>
  </si>
  <si>
    <t>cash paid (sent thru jahangeer)</t>
  </si>
  <si>
    <t>dived figure</t>
  </si>
  <si>
    <t>given to rehan for office salaries January 22</t>
  </si>
  <si>
    <t>nadeem bhai Jan 22 salary</t>
  </si>
  <si>
    <t>waris Jan 22 salary</t>
  </si>
  <si>
    <t>DA Beach view club fees paid</t>
  </si>
  <si>
    <t>cash paid for imtiaz store</t>
  </si>
  <si>
    <t>paid for ssgc bill for 3rd floor</t>
  </si>
  <si>
    <t>nadem bhai car wash</t>
  </si>
  <si>
    <t xml:space="preserve">Shafia rehman fees paid </t>
  </si>
  <si>
    <t>drawings jpmc</t>
  </si>
  <si>
    <t xml:space="preserve">to Rizwan saeed </t>
  </si>
  <si>
    <t>jahangeer, lateef and chacha lateef salary</t>
  </si>
  <si>
    <t>Abid salary</t>
  </si>
  <si>
    <t>to Abid for Feb 22 (5000 will be deducted)</t>
  </si>
  <si>
    <t>paid cash sent thru jahangeer</t>
  </si>
  <si>
    <t xml:space="preserve">Shahid painter salary </t>
  </si>
  <si>
    <t>Abbas plumber salary</t>
  </si>
  <si>
    <t>To mhr for misc invoices</t>
  </si>
  <si>
    <t>02290607</t>
  </si>
  <si>
    <t>02290608</t>
  </si>
  <si>
    <t>02290609</t>
  </si>
  <si>
    <t>To Faseeh for jab 22 fees</t>
  </si>
  <si>
    <t>Salman salary advance the forum</t>
  </si>
  <si>
    <t>To zeeshan for 1 ton ac imtiaz</t>
  </si>
  <si>
    <t>14th floor bank al falah</t>
  </si>
  <si>
    <t>cash paid for js shaheen purchasing</t>
  </si>
  <si>
    <t>cash paid (sent to Mujahid cylinder)</t>
  </si>
  <si>
    <r>
      <t>cash paid (sent to Mujahid cylinder-</t>
    </r>
    <r>
      <rPr>
        <sz val="14"/>
        <color rgb="FFFF0000"/>
        <rFont val="Calibri"/>
        <family val="2"/>
        <scheme val="minor"/>
      </rPr>
      <t>personal</t>
    </r>
    <r>
      <rPr>
        <sz val="14"/>
        <color theme="1"/>
        <rFont val="Calibri"/>
        <family val="2"/>
        <scheme val="minor"/>
      </rPr>
      <t>)</t>
    </r>
  </si>
  <si>
    <t>umer give office hissaab</t>
  </si>
  <si>
    <t>returned by Abbas</t>
  </si>
  <si>
    <t>for js shaheen</t>
  </si>
  <si>
    <t>cash taken from  nadeem blue lines</t>
  </si>
  <si>
    <t>SST chq</t>
  </si>
  <si>
    <t>KRC solution</t>
  </si>
  <si>
    <t>lateef overtime 5 hours</t>
  </si>
  <si>
    <t xml:space="preserve">sohail </t>
  </si>
  <si>
    <t>paid at nasir colony</t>
  </si>
  <si>
    <t>drawings imtiaz</t>
  </si>
  <si>
    <t>to Reheel for Feb 22</t>
  </si>
  <si>
    <t>cash paid sent thro abbas</t>
  </si>
  <si>
    <t>ufome mobile card</t>
  </si>
  <si>
    <t>jazz balance</t>
  </si>
  <si>
    <t>umer give office hissab</t>
  </si>
  <si>
    <t>paid for falcon batteries</t>
  </si>
  <si>
    <t>paid in hydery mall (for material)</t>
  </si>
  <si>
    <t>paid in the place uptodate is 280,000</t>
  </si>
  <si>
    <t>to Gul sher for Feb 22 sent thro umer office</t>
  </si>
  <si>
    <t>to Reheel for Feb 22 sent thro umer office</t>
  </si>
  <si>
    <t>Imran Ramzan Orient electric cash envelop used</t>
  </si>
  <si>
    <t>cash paid (sent thro shafeeq)</t>
  </si>
  <si>
    <t>ptcl mhr</t>
  </si>
  <si>
    <t>ptcl office</t>
  </si>
  <si>
    <t>received against burhani mehal bill # 008</t>
  </si>
  <si>
    <t>The place Dec 2021 bill</t>
  </si>
  <si>
    <t>RMR received January 2022 bill</t>
  </si>
  <si>
    <t>Khalid bhai</t>
  </si>
  <si>
    <t>Sami</t>
  </si>
  <si>
    <t>Lateef duct</t>
  </si>
  <si>
    <t>super card to arifa mobile</t>
  </si>
  <si>
    <t>cash paid salary advance</t>
  </si>
  <si>
    <t>paid for hydery mall purchasing</t>
  </si>
  <si>
    <t>to chacha lateef for feb 22</t>
  </si>
  <si>
    <t>cash paid for baf 14th floor</t>
  </si>
  <si>
    <t>paid for hydery labour uptodate is 15,000</t>
  </si>
  <si>
    <t>paid for hydery purchasing</t>
  </si>
  <si>
    <t xml:space="preserve">paid 1st advance in hydery mall </t>
  </si>
  <si>
    <t>k ele mhr bills</t>
  </si>
  <si>
    <t>Farhan bhai bill paid</t>
  </si>
  <si>
    <t>paid for falcon clothes, tea and refreshment</t>
  </si>
  <si>
    <t>to Mukhtiar for feb 22</t>
  </si>
  <si>
    <t>charity given to Baitulislam and sailani</t>
  </si>
  <si>
    <t>paid cash in kumail villa uptodate is 40,000</t>
  </si>
  <si>
    <t>to Raheel for feb 22</t>
  </si>
  <si>
    <t>Value without GST</t>
  </si>
  <si>
    <t>with GST</t>
  </si>
  <si>
    <t>Value in ft</t>
  </si>
  <si>
    <t>Convert in Meter</t>
  </si>
  <si>
    <t>Value in Meter</t>
  </si>
  <si>
    <t>Convert in ft</t>
  </si>
  <si>
    <t>Paid to Ishtiaq cladding</t>
  </si>
  <si>
    <t>cash paid to abid for invoices</t>
  </si>
  <si>
    <t>02290610</t>
  </si>
  <si>
    <t>02290611</t>
  </si>
  <si>
    <t>02290612</t>
  </si>
  <si>
    <t>02290613</t>
  </si>
  <si>
    <t>02290614</t>
  </si>
  <si>
    <t>faizan duct in hydery</t>
  </si>
  <si>
    <t>fateh</t>
  </si>
  <si>
    <t>sami ducting in baf 14</t>
  </si>
  <si>
    <t>Rizwan vrf in baitul sukoon</t>
  </si>
  <si>
    <t>mungo in psychiatry</t>
  </si>
  <si>
    <t>Umer</t>
  </si>
  <si>
    <t>Rizwan core</t>
  </si>
  <si>
    <t>paid cash in psychiatry</t>
  </si>
  <si>
    <t>cash paid in hydery mall uptodate is 25,000</t>
  </si>
  <si>
    <t>donation</t>
  </si>
  <si>
    <t>charity donation given in the name of Sir Rehman</t>
  </si>
  <si>
    <t>To jahangeer for Feb 22 (sent thru umer office)</t>
  </si>
  <si>
    <t>paid for 6 days labour work at falcon mall</t>
  </si>
  <si>
    <t>to gul sher for feb 22</t>
  </si>
  <si>
    <t>to kamran office for feb 22</t>
  </si>
  <si>
    <t>cash paid in the place</t>
  </si>
  <si>
    <t>paid cash in baf 14th floor</t>
  </si>
  <si>
    <t>paid by nadeem bhai in BAF 14th labour</t>
  </si>
  <si>
    <t>cash paid cash paid to farhan bhai son</t>
  </si>
  <si>
    <t>paid in hydery mall  uptodate is 30,000</t>
  </si>
  <si>
    <t>baba welder</t>
  </si>
  <si>
    <t>anees grill</t>
  </si>
  <si>
    <t>paid cash in hydery mall</t>
  </si>
  <si>
    <t>nasir colony and office</t>
  </si>
  <si>
    <t>memon group utilities</t>
  </si>
  <si>
    <t xml:space="preserve">cash paid for heater purchasing </t>
  </si>
  <si>
    <t>Noman bank alfalah</t>
  </si>
  <si>
    <t>to amir engr for feb 22</t>
  </si>
  <si>
    <t>paid for super card ufone</t>
  </si>
  <si>
    <t>paid for 2 balti sealent at baf 14th floor</t>
  </si>
  <si>
    <t>bykia</t>
  </si>
  <si>
    <t>cash paid in hydery mall uptodate is 40,000</t>
  </si>
  <si>
    <t>Rizwan core in psychitry</t>
  </si>
  <si>
    <t>Office salaries Feb 22</t>
  </si>
  <si>
    <t>Abbas plumber</t>
  </si>
  <si>
    <t>To Rehan for office use for salaries</t>
  </si>
  <si>
    <t>cash paid for pvc purchasing</t>
  </si>
  <si>
    <t>for capital socity documents</t>
  </si>
  <si>
    <t>Umer and mossi salaries</t>
  </si>
  <si>
    <t>Kamran and Rehan Salaries</t>
  </si>
  <si>
    <t>paid cash (given to nadeem bhaI)</t>
  </si>
  <si>
    <t>nisar pes</t>
  </si>
  <si>
    <t xml:space="preserve">invoices baitul sukoon angle purchased </t>
  </si>
  <si>
    <t>toyota passo invoices</t>
  </si>
  <si>
    <t>zeeshan ac Salary used</t>
  </si>
  <si>
    <t>ishtiaq clading</t>
  </si>
  <si>
    <t>cash paid at BAF 14th Floor</t>
  </si>
  <si>
    <t>From nadeen bhai</t>
  </si>
  <si>
    <t>Zohaib SST</t>
  </si>
  <si>
    <t>MCB chq 1830075558 for purchasing</t>
  </si>
  <si>
    <t>To qadri pool at burhani mehal</t>
  </si>
  <si>
    <t>paid for ftc tea and referehsment to shafeeq</t>
  </si>
  <si>
    <t>paid for BAF purchasing cleared</t>
  </si>
  <si>
    <t>Emar tender   50,000</t>
  </si>
  <si>
    <t>cash paid labour amount at BAF head office</t>
  </si>
  <si>
    <t>paid for falcon site tea and refrehsment</t>
  </si>
  <si>
    <t>SST feb 22</t>
  </si>
  <si>
    <t>paid for 3 than cloth at BAF 14th floor</t>
  </si>
  <si>
    <t>shahid painter, lateef, nisar and chacha leteef</t>
  </si>
  <si>
    <t>ptcl bills mhr</t>
  </si>
  <si>
    <t>cash paid naveed malik (sent thro abbas plum</t>
  </si>
  <si>
    <t>paid cash in naveed malik purchasing</t>
  </si>
  <si>
    <t>paid to noman at bank alfalah head office</t>
  </si>
  <si>
    <t>Given by Bilal bhai to Sir Rehman at the time og Agha khan treatment</t>
  </si>
  <si>
    <t>To Sir Rehman for Profit share July 2020 to June 2021 (at the time of Agha khan treatment) for bilal bhai credit card payment</t>
  </si>
  <si>
    <t>To Sir Rehman for Profit share july 2020 to June 2021(at the time of Agha khan treatment) for bilal bhai credit card payment</t>
  </si>
  <si>
    <t>cash paid in hydery mall uptodate is 44,000</t>
  </si>
  <si>
    <t>cash paid (sent thro jahangeer)</t>
  </si>
  <si>
    <t>invoices for hydery mall</t>
  </si>
  <si>
    <t>paid cash in naveed malik purchasing uptadate is 6000</t>
  </si>
  <si>
    <t>MCB chq 1830075577</t>
  </si>
  <si>
    <t>MCB chq 1830075578</t>
  </si>
  <si>
    <t>Nisar</t>
  </si>
  <si>
    <t>Suzuki fare burhani</t>
  </si>
  <si>
    <t>To anees grill at BAF 14th floor</t>
  </si>
  <si>
    <t>Nadeem bhai for purchasing</t>
  </si>
  <si>
    <t>02290615</t>
  </si>
  <si>
    <t>02290616</t>
  </si>
  <si>
    <t>02290617</t>
  </si>
  <si>
    <t>Faseeh fees Feb 22</t>
  </si>
  <si>
    <t>From nadeen blue lines</t>
  </si>
  <si>
    <t>paid for islamuddin insulation</t>
  </si>
  <si>
    <t>to amir engr for Mar 22</t>
  </si>
  <si>
    <t>to Raheel for Mar 22</t>
  </si>
  <si>
    <t>to Gul sher for Mar 22</t>
  </si>
  <si>
    <t>Received from the forum prism area 60%</t>
  </si>
  <si>
    <t>azam</t>
  </si>
  <si>
    <t>paid for psychiarty labour</t>
  </si>
  <si>
    <t>paid advanc in naveed malik</t>
  </si>
  <si>
    <t>YH teneder</t>
  </si>
  <si>
    <t>for purchsaig</t>
  </si>
  <si>
    <t>to Hammad for Mar 22</t>
  </si>
  <si>
    <t>cash paid for tea cattle</t>
  </si>
  <si>
    <t>Salary advance to ahsan razak the place</t>
  </si>
  <si>
    <t>cash paid (given to huzaifa)</t>
  </si>
  <si>
    <t>for purchsaig for fisher and anchor</t>
  </si>
  <si>
    <t>bharmal</t>
  </si>
  <si>
    <t>To ishtiaq cladding</t>
  </si>
  <si>
    <t>to Gul for Mar 22</t>
  </si>
  <si>
    <t xml:space="preserve">jahangeer claimed tea and refreshsemt </t>
  </si>
  <si>
    <t>paid for the place rikhsaw for insulation</t>
  </si>
  <si>
    <t>cash paid for glue</t>
  </si>
  <si>
    <t>paid for cuttings disc</t>
  </si>
  <si>
    <t>Received from jameel baig</t>
  </si>
  <si>
    <t>Given to S abdllah for 2 nos mixer</t>
  </si>
  <si>
    <t>To Nadeem bhai</t>
  </si>
  <si>
    <t>Medical invoices</t>
  </si>
  <si>
    <t>MHR invoices</t>
  </si>
  <si>
    <t>paid for drill machine and pipes the place</t>
  </si>
  <si>
    <t>paid for 4 balti duct sealent</t>
  </si>
  <si>
    <t>paid for fcu motor wining 3 nos</t>
  </si>
  <si>
    <t>paid for lock for tool box and cupboards</t>
  </si>
  <si>
    <t>MHR K elec bills</t>
  </si>
  <si>
    <t>cash paid for 8 thans cloth</t>
  </si>
  <si>
    <t>Noman BAF</t>
  </si>
  <si>
    <t>Given by nadeem bhai</t>
  </si>
  <si>
    <t>Karachi chamber</t>
  </si>
  <si>
    <t>paid for renewal for KCCI</t>
  </si>
  <si>
    <t>cash paid for the place purchasing</t>
  </si>
  <si>
    <t>from iqbal sons to office</t>
  </si>
  <si>
    <t>to Mukhtiar for Mar 22</t>
  </si>
  <si>
    <t>1 Crore</t>
  </si>
  <si>
    <t>10 Million</t>
  </si>
  <si>
    <t>1 Billion</t>
  </si>
  <si>
    <t>100 Crore</t>
  </si>
  <si>
    <t>paid for cable tie for ftc</t>
  </si>
  <si>
    <t>paid for megaplex unit gas charging and card repa</t>
  </si>
  <si>
    <t>cash paid for the place motor winding</t>
  </si>
  <si>
    <t>cash paid for nadeem bhai home</t>
  </si>
  <si>
    <t>Given to shahid bhai for nadeem bhai home</t>
  </si>
  <si>
    <t>tender for Imtiaz L8</t>
  </si>
  <si>
    <t>paid advance in burhani mehal labour</t>
  </si>
  <si>
    <t>Baitul sukoon final payment now retention remaining</t>
  </si>
  <si>
    <t>to adil JPMC for Mar 22</t>
  </si>
  <si>
    <t>paid for rikshaw fare for ftc</t>
  </si>
  <si>
    <t>cash paid for invoices at alhamd</t>
  </si>
  <si>
    <t>cash paid for prism area</t>
  </si>
  <si>
    <t>paid cash for al hamd and psychaitry depart</t>
  </si>
  <si>
    <t>to Jahangeer for Mar 22</t>
  </si>
  <si>
    <t>waris Mar 22 salary</t>
  </si>
  <si>
    <t>nadeem bhai Mar 22 salary</t>
  </si>
  <si>
    <t>nadeem bhai Feb 22 salary</t>
  </si>
  <si>
    <t>waris Feb 22 salary</t>
  </si>
  <si>
    <t>Sami ducting</t>
  </si>
  <si>
    <t>raess brother</t>
  </si>
  <si>
    <t xml:space="preserve">sami </t>
  </si>
  <si>
    <t>cash paid for banquet</t>
  </si>
  <si>
    <t>Paid for office fridge repair</t>
  </si>
  <si>
    <t>paid for glue and tapes for the place</t>
  </si>
  <si>
    <t>for Khujoor</t>
  </si>
  <si>
    <t>ahsan insulator</t>
  </si>
  <si>
    <t>paid for insulation work at banquet</t>
  </si>
  <si>
    <t>to amir plumber for Mar 22</t>
  </si>
  <si>
    <t>to umer office for Mar 22</t>
  </si>
  <si>
    <t>Guddu insulator</t>
  </si>
  <si>
    <t>paid for</t>
  </si>
  <si>
    <t>paid for rikshaw for ftc</t>
  </si>
  <si>
    <t>To ahsan insulator in the prism the forum</t>
  </si>
  <si>
    <t>mungo</t>
  </si>
  <si>
    <t>Salary advace to lateef</t>
  </si>
  <si>
    <t>Rashid core</t>
  </si>
  <si>
    <t>Paid labour amount in BAF head office</t>
  </si>
  <si>
    <t>Paid for core cutting at banquet and prism area</t>
  </si>
  <si>
    <t>To Rehan for salaries Mar 22</t>
  </si>
  <si>
    <t>mobile balance ufone card</t>
  </si>
  <si>
    <t>shahid and zeeshan</t>
  </si>
  <si>
    <t>Jahangeer, nisar, chacha latif, abid</t>
  </si>
  <si>
    <t>paid for rikshaw fare and super card</t>
  </si>
  <si>
    <t>Vellani</t>
  </si>
  <si>
    <t>paid cash to Waqas burner lahore</t>
  </si>
  <si>
    <t xml:space="preserve">paid fees for the month march 22 </t>
  </si>
  <si>
    <t>Burhani mehal</t>
  </si>
  <si>
    <t>rope purchased for burhani mehal</t>
  </si>
  <si>
    <t>Nadeem blue lines</t>
  </si>
  <si>
    <t>To abbas for purchasing</t>
  </si>
  <si>
    <t>cash paid for cutting disc</t>
  </si>
  <si>
    <t>Adhoc received psychiatry  (in the name of Mohsin traders account care of bilal bhai</t>
  </si>
  <si>
    <t>invoices bank alfalah head office</t>
  </si>
  <si>
    <t>invoices office calculator</t>
  </si>
  <si>
    <t>invoices BAF 14th floor</t>
  </si>
  <si>
    <t>SST march 22</t>
  </si>
  <si>
    <t>Ishtiaq cladding</t>
  </si>
  <si>
    <t>paid zakat care off Rehan office</t>
  </si>
  <si>
    <t>paid zakat Indus hospital</t>
  </si>
  <si>
    <t>paid zakat Sailani</t>
  </si>
  <si>
    <t>paid zakat Baitulsalam</t>
  </si>
  <si>
    <t>cash from office</t>
  </si>
  <si>
    <t>cash paid (hy hand umer office)</t>
  </si>
  <si>
    <t>Paid zakat to Irfana baji (sir Rehman Share)</t>
  </si>
  <si>
    <t>RMR received February 2022 bill</t>
  </si>
  <si>
    <t>repaired shurter</t>
  </si>
  <si>
    <t>paid in the prism area the forum</t>
  </si>
  <si>
    <t>cash paid by hand shahid</t>
  </si>
  <si>
    <t>paid for angle for jpmc</t>
  </si>
  <si>
    <t>To Gul by hand aamir</t>
  </si>
  <si>
    <t>To amir engr</t>
  </si>
  <si>
    <t>paid for indus</t>
  </si>
  <si>
    <t>bank al-falah bill no 341 chiller repairing</t>
  </si>
  <si>
    <t>zakat rashan</t>
  </si>
  <si>
    <t>received against misc bills the place</t>
  </si>
  <si>
    <t>Received from Prism the forum mall</t>
  </si>
  <si>
    <t>to adil JPMC for April 22</t>
  </si>
  <si>
    <t>to Raheel JPMC for April 22</t>
  </si>
  <si>
    <t>cash paid in hydery mall by hand nadeem bhai</t>
  </si>
  <si>
    <t>ahsan razak</t>
  </si>
  <si>
    <t>paid for the place HR department</t>
  </si>
  <si>
    <t>mhr utilities bills paid (k elec and ptcl)</t>
  </si>
  <si>
    <t>Office bills paid (k elec and ptcl)</t>
  </si>
  <si>
    <t>last year ZAKAT paid against cheq not cleared</t>
  </si>
  <si>
    <t>paid zakat to sami TAYA</t>
  </si>
  <si>
    <t>paid zakat to Kamran Mamu</t>
  </si>
  <si>
    <t>To Lateef duct  for april 22</t>
  </si>
  <si>
    <t>MCB chq 1838586967</t>
  </si>
  <si>
    <t>for welding plant repair imtiaz</t>
  </si>
  <si>
    <t>To abbas</t>
  </si>
  <si>
    <t>Salary advace to shahid</t>
  </si>
  <si>
    <t>invoices bank al-falah head office</t>
  </si>
  <si>
    <t>Shop rent used</t>
  </si>
  <si>
    <t>Mobilization adv 10% after 7% tax deduct</t>
  </si>
  <si>
    <t>received against 60% bill BAF 14th floor</t>
  </si>
  <si>
    <t>received final payment against BAF 10B floor</t>
  </si>
  <si>
    <t>ZAKAT to ibad 200,000 masjid exp 100,000</t>
  </si>
  <si>
    <t>To bilal bhai</t>
  </si>
  <si>
    <t>paid for screw for ftc site</t>
  </si>
  <si>
    <t>paid for ebco super market</t>
  </si>
  <si>
    <t>For mhr groceries</t>
  </si>
  <si>
    <t>for water tankers</t>
  </si>
  <si>
    <t>to Gul sher for april 22</t>
  </si>
  <si>
    <t>2nd floor Rent for the month of April 22 used</t>
  </si>
  <si>
    <t>Ground floor Rent for the month of Jan 22 used</t>
  </si>
  <si>
    <t>to Adil jpmc for april 22</t>
  </si>
  <si>
    <t>cash paid at baf head office</t>
  </si>
  <si>
    <t>rizwan VRF</t>
  </si>
  <si>
    <t>paid in imtiaz</t>
  </si>
  <si>
    <t>to Umer for april 22</t>
  </si>
  <si>
    <t>paid cash in imtiaz dha</t>
  </si>
  <si>
    <t>paid for burhani mehal material returned</t>
  </si>
  <si>
    <t>for ebco market material (from bharmal)</t>
  </si>
  <si>
    <t>to Mukhtiar for April 22</t>
  </si>
  <si>
    <t>advance rec JPMC IPC -51 Transfer to Ashfaq Ahmed account (care off Bilal bhai)</t>
  </si>
  <si>
    <t>to Kamran office for April 22</t>
  </si>
  <si>
    <t>SH YH Imtiaz</t>
  </si>
  <si>
    <t>for sir rehman medicines</t>
  </si>
  <si>
    <t>claimed for Fuel n Mobile for 3 months</t>
  </si>
  <si>
    <t xml:space="preserve">FTC monthly bills for the months of Feb 22 </t>
  </si>
  <si>
    <t>cash paid ftc and hydery mall purchasing</t>
  </si>
  <si>
    <t>office doors lock repaired</t>
  </si>
  <si>
    <t>To Rehana Aunty for rent cash (2nd floor Rs 70,000 for April 22 &amp; Shop rent Rs 30,000 for Mar 22)</t>
  </si>
  <si>
    <t>to gul for April 22</t>
  </si>
  <si>
    <t>to Umer office for April 22</t>
  </si>
  <si>
    <t xml:space="preserve">paid for ufone card </t>
  </si>
  <si>
    <t>Online transfer to monaco enterprises against cotton rope purchased at burhani mehal</t>
  </si>
  <si>
    <t xml:space="preserve">Online transfer to Farooq Nueplex </t>
  </si>
  <si>
    <t>FTC bill # 301 against installation of generator</t>
  </si>
  <si>
    <t>Online transfer to Raees Brothers against  at hydery mall</t>
  </si>
  <si>
    <t>to shahid painter for April 22</t>
  </si>
  <si>
    <t>Tri fit tender purchased</t>
  </si>
  <si>
    <t xml:space="preserve">Office Bonus </t>
  </si>
  <si>
    <t>office mossi salary paid</t>
  </si>
  <si>
    <t>to abbas plumber for April 22</t>
  </si>
  <si>
    <t>Bonus paid except Johar Cinema</t>
  </si>
  <si>
    <t>to Gul sher for April 22</t>
  </si>
  <si>
    <t>nadeem bhai April 22 salary</t>
  </si>
  <si>
    <t>waris April 22 salary</t>
  </si>
  <si>
    <t>ssgc bills paid office and mhr</t>
  </si>
  <si>
    <t>hamza insulator</t>
  </si>
  <si>
    <t>To Khurram C/O Bilal Wife (by ordr nadeem bhi)</t>
  </si>
  <si>
    <t>cash paid in jpmc (now remaining 25,000)</t>
  </si>
  <si>
    <t>cash paid in BAF 14th (uptodate is 150,000)</t>
  </si>
  <si>
    <t>To Bilal bhai</t>
  </si>
  <si>
    <t>paid cash at ebco super market</t>
  </si>
  <si>
    <t>cash paid April 22 fees</t>
  </si>
  <si>
    <t>From Office</t>
  </si>
  <si>
    <t xml:space="preserve">To Rehana Aunty for rent cash </t>
  </si>
  <si>
    <t>To Sir Rehman In his Share 2020</t>
  </si>
  <si>
    <t>To Sir Rehman In his Share 2021</t>
  </si>
  <si>
    <t>paid to policeman</t>
  </si>
  <si>
    <t>To Rehan for May salaries</t>
  </si>
  <si>
    <t>claimed fuel for cloth shifitng</t>
  </si>
  <si>
    <t>junaid</t>
  </si>
  <si>
    <t>solution for the projection pipe</t>
  </si>
  <si>
    <t>RMR staff salary paid</t>
  </si>
  <si>
    <t>to Rizwan for April 22</t>
  </si>
  <si>
    <t>to Lateef for April 22</t>
  </si>
  <si>
    <t>office door lock replaced with new</t>
  </si>
  <si>
    <t>office salaries</t>
  </si>
  <si>
    <t>Jahangeer, lateef, chacha latif, shahid &amp; abbas</t>
  </si>
  <si>
    <t>From Ground floor 10 Days Rent + 2500</t>
  </si>
  <si>
    <t>cash paid for the forum purchasing</t>
  </si>
  <si>
    <t>paid to shahid for the forum insulation</t>
  </si>
  <si>
    <t>April 22 salaries</t>
  </si>
  <si>
    <t xml:space="preserve">paid for tapes </t>
  </si>
  <si>
    <t>sami pes</t>
  </si>
  <si>
    <t>paid for grinder and blower repaired</t>
  </si>
  <si>
    <t>paid in baf head office uptodate is 10,000</t>
  </si>
  <si>
    <t>advance rec Psychiatry IPC -08 Transfer to Mohsin traders account (care off Bilal bhai)</t>
  </si>
  <si>
    <t>02290618</t>
  </si>
  <si>
    <t>02290619</t>
  </si>
  <si>
    <t>02290620</t>
  </si>
  <si>
    <t>02290621</t>
  </si>
  <si>
    <t>Bharmal in ebco market</t>
  </si>
  <si>
    <t>DIB CHQ 02290621</t>
  </si>
  <si>
    <t>kamran claimed fuel and e challan</t>
  </si>
  <si>
    <t>The place Feb 2022 bill</t>
  </si>
  <si>
    <t>The place Jan + March 2022 bills</t>
  </si>
  <si>
    <t>world wide publi</t>
  </si>
  <si>
    <t>paid for magazine</t>
  </si>
  <si>
    <t>utilities bill paid for daulsalam korangi</t>
  </si>
  <si>
    <t>Shop rent used for the month of April 22</t>
  </si>
  <si>
    <t>Hydery mall full n final payment received</t>
  </si>
  <si>
    <t>paid for cuttings disc sent thru umer</t>
  </si>
  <si>
    <t>To Raheel for may 22</t>
  </si>
  <si>
    <t>To Adil jpmc for may 22</t>
  </si>
  <si>
    <t>To Lateef duct for may 22</t>
  </si>
  <si>
    <t>Bilal Habib (for Falcon SST)</t>
  </si>
  <si>
    <t>water shield for burhani mehal</t>
  </si>
  <si>
    <t>claimed tea and refreshment</t>
  </si>
  <si>
    <t>to Mukhtiar for May 22</t>
  </si>
  <si>
    <t>To chahca Lateef for may 22</t>
  </si>
  <si>
    <t>to Gul sher for May 22</t>
  </si>
  <si>
    <t>voldam</t>
  </si>
  <si>
    <t>paid for 2 nos air curtain</t>
  </si>
  <si>
    <t>paid cash for site testing sent thro gul sher</t>
  </si>
  <si>
    <t>02290622</t>
  </si>
  <si>
    <t>02290623</t>
  </si>
  <si>
    <t>To bilal bhai for purchasing</t>
  </si>
  <si>
    <t>Saeed sons in banquest</t>
  </si>
  <si>
    <t>Ahsan in the forum</t>
  </si>
  <si>
    <t>Bilal Habib (for Site Expenses)</t>
  </si>
  <si>
    <t>Nadeem Iqbal (for Site Expenses)</t>
  </si>
  <si>
    <t>Rehan Aslam (for petty cash)</t>
  </si>
  <si>
    <t>From nadeem bhai</t>
  </si>
  <si>
    <t>mhr utilities bills paid (k elec)</t>
  </si>
  <si>
    <t>Office utilities bills paid (k elec)</t>
  </si>
  <si>
    <t>tapes</t>
  </si>
  <si>
    <t>aluminuim tapes for jpmc roof</t>
  </si>
  <si>
    <t>utilities bill paid for farhan bhai</t>
  </si>
  <si>
    <t>Paid for chiller card service at the place</t>
  </si>
  <si>
    <t>Umer salary after advance deduct</t>
  </si>
  <si>
    <t>cash paid for Raheel bhai father funeral</t>
  </si>
  <si>
    <t>Online transfer to Anis grill at baf</t>
  </si>
  <si>
    <t>Online transfer to fateh in prism the forum</t>
  </si>
  <si>
    <t>lateef duct for may 22</t>
  </si>
  <si>
    <t>global technologies</t>
  </si>
  <si>
    <t>paid cash ub burhani mehal</t>
  </si>
  <si>
    <t>cash paid for office printer</t>
  </si>
  <si>
    <t>To sajjad ftc for may 22</t>
  </si>
  <si>
    <t>ethnic drawings</t>
  </si>
  <si>
    <t>To ahsan insulator in the ebco market</t>
  </si>
  <si>
    <t>To abbas plumber in gas work at the place</t>
  </si>
  <si>
    <t>fuel invoices</t>
  </si>
  <si>
    <t>RAHEEL for may 22</t>
  </si>
  <si>
    <t>ADIL JMPC for may 22</t>
  </si>
  <si>
    <t>paid for glue at jpmc ok invoices cleared</t>
  </si>
  <si>
    <t>paid for paint brush and karosine oil</t>
  </si>
  <si>
    <t>bakhti give office hisaab</t>
  </si>
  <si>
    <t>paid for installation of 6 nos thermostat</t>
  </si>
  <si>
    <t>To gul sher for may 22</t>
  </si>
  <si>
    <t>paid for chiller fan</t>
  </si>
  <si>
    <t>paid for fittings</t>
  </si>
  <si>
    <t>to Kamran office for June 22 for his bike</t>
  </si>
  <si>
    <t>paid for bilal bhai home</t>
  </si>
  <si>
    <t>imtiaz drawings photocopy</t>
  </si>
  <si>
    <t xml:space="preserve">to rizwan for may 22 </t>
  </si>
  <si>
    <t>rashid core</t>
  </si>
  <si>
    <t>Salaries cash may 22</t>
  </si>
  <si>
    <t>02290624</t>
  </si>
  <si>
    <t>02290625</t>
  </si>
  <si>
    <t>salaries chq may 22</t>
  </si>
  <si>
    <t>02483776</t>
  </si>
  <si>
    <t>new chq book</t>
  </si>
  <si>
    <t>crescent corp in jpmc deal</t>
  </si>
  <si>
    <t>claimed fuel for jpmc, BAF, falcon and FTC</t>
  </si>
  <si>
    <t>Ifran computer + LCD purchased + printer repair</t>
  </si>
  <si>
    <t xml:space="preserve">to Asif Hussain for June 22 </t>
  </si>
  <si>
    <t>utilities bills paid mhr and office</t>
  </si>
  <si>
    <t>paid to Farhan bhai son</t>
  </si>
  <si>
    <t>RMR received March 2022 bill</t>
  </si>
  <si>
    <t>paid for bike purchased</t>
  </si>
  <si>
    <t>claimed jazz super card</t>
  </si>
  <si>
    <t>paid for units gas the place ph VIII</t>
  </si>
  <si>
    <t>paid in naveed malik rec by ahsan</t>
  </si>
  <si>
    <t>cash paid at pscychaitry deprt</t>
  </si>
  <si>
    <t>May 2022 salaries paid</t>
  </si>
  <si>
    <t>ethinic</t>
  </si>
  <si>
    <t>CLAIMED Fuel</t>
  </si>
  <si>
    <t>WATER TANKER</t>
  </si>
  <si>
    <t>KAMRAn claimed fuel and parking</t>
  </si>
  <si>
    <t>kamran claimed fuel and parking</t>
  </si>
  <si>
    <t>from office to ethnic</t>
  </si>
  <si>
    <t>received from EBCO super market</t>
  </si>
  <si>
    <t>Abid salaries paid</t>
  </si>
  <si>
    <t>paid for 4 days labour in JPMC roof floor</t>
  </si>
  <si>
    <t>to gul sher for june 22 (easy paisa)</t>
  </si>
  <si>
    <t>adam regger</t>
  </si>
  <si>
    <t>paid cash in unit shifting in Ethnic shop</t>
  </si>
  <si>
    <t>Transportation for jpmc valves crescent</t>
  </si>
  <si>
    <t>02483777</t>
  </si>
  <si>
    <t>02483778</t>
  </si>
  <si>
    <t>sami ducting in burhani</t>
  </si>
  <si>
    <t>Cash hold with PES staff for purchasing</t>
  </si>
  <si>
    <t>nadeem bhai May 22 salary</t>
  </si>
  <si>
    <t>waris May 22 salary</t>
  </si>
  <si>
    <t>to rehan for May 22 salaries</t>
  </si>
  <si>
    <t>kamran claimed fuel FND and imtiaz</t>
  </si>
  <si>
    <t>drop in anchor purchased for ethnic</t>
  </si>
  <si>
    <t>cash paid to Secure Vision for Deutsche</t>
  </si>
  <si>
    <t>Online transfer to Secure Vision for Deutsche</t>
  </si>
  <si>
    <t>bakhti give office hissab</t>
  </si>
  <si>
    <t xml:space="preserve">lateef salary </t>
  </si>
  <si>
    <t>to lateef for june 22</t>
  </si>
  <si>
    <t>pipe shifitn gdeutsche bank</t>
  </si>
  <si>
    <t>paid cash for site</t>
  </si>
  <si>
    <t xml:space="preserve">to gul sher for june 22 </t>
  </si>
  <si>
    <t>to RIZWAN SAEED for june 22 (Wife miscarriage)</t>
  </si>
  <si>
    <t>CASH PAID for site</t>
  </si>
  <si>
    <t>medicines to sir rehman</t>
  </si>
  <si>
    <t>Js bank Shaheen 4th Bill payment</t>
  </si>
  <si>
    <t>invoices deutsche bank</t>
  </si>
  <si>
    <t xml:space="preserve">salman </t>
  </si>
  <si>
    <t>paid for tapes and fuel</t>
  </si>
  <si>
    <t>cash paid tea and refreshment</t>
  </si>
  <si>
    <t xml:space="preserve">to amjad ustad for june 22 </t>
  </si>
  <si>
    <t xml:space="preserve">to Raheel for june 22 </t>
  </si>
  <si>
    <t xml:space="preserve">to adil jpmc for june 22 </t>
  </si>
  <si>
    <t>purchased welding gloves, glass and disc jpmc</t>
  </si>
  <si>
    <t>paid fees for 2 months May and june 22</t>
  </si>
  <si>
    <t>RMR received April 2022 bill</t>
  </si>
  <si>
    <t>RMR received May 2022 bill</t>
  </si>
  <si>
    <t>02483779</t>
  </si>
  <si>
    <t>02483780</t>
  </si>
  <si>
    <t>ishtiaq cladding</t>
  </si>
  <si>
    <t>SST tax may 22</t>
  </si>
  <si>
    <t>cash paid (sent thru shahid)</t>
  </si>
  <si>
    <t>sami steel</t>
  </si>
  <si>
    <t>paid for grill</t>
  </si>
  <si>
    <t>paid for the forum insulation</t>
  </si>
  <si>
    <t>mobile</t>
  </si>
  <si>
    <t>MOBILE purchased for al hamd moin</t>
  </si>
  <si>
    <t>paid to borhi aurat</t>
  </si>
  <si>
    <r>
      <t>to lateef chacha for june 22 (</t>
    </r>
    <r>
      <rPr>
        <sz val="14"/>
        <color rgb="FFFF0000"/>
        <rFont val="Calibri"/>
        <family val="2"/>
        <scheme val="minor"/>
      </rPr>
      <t>by order nadeem bhia</t>
    </r>
  </si>
  <si>
    <t>to rizwan for june 22</t>
  </si>
  <si>
    <t>mhr k elec and ptcl bills paid</t>
  </si>
  <si>
    <t>office k elec and ptcl bills paid</t>
  </si>
  <si>
    <t>online Transfer to tanya nanette account c/o milton</t>
  </si>
  <si>
    <t>DIB CHQ 02483781</t>
  </si>
  <si>
    <t>02483781</t>
  </si>
  <si>
    <t>invoices nbaf 14th floor</t>
  </si>
  <si>
    <t>office invoices car tyre purchased</t>
  </si>
  <si>
    <t>jpmc nespak lunch</t>
  </si>
  <si>
    <t>02483782</t>
  </si>
  <si>
    <t>to mukhtiar for june 22</t>
  </si>
  <si>
    <t>Gatsby cream for bilal bhai 2 nos</t>
  </si>
  <si>
    <t>to raheel for june 22</t>
  </si>
  <si>
    <t>to shahid painter for june 22 (sent thru kamran)</t>
  </si>
  <si>
    <t>to kamran for june 22</t>
  </si>
  <si>
    <t>to GUL sher for june 22</t>
  </si>
  <si>
    <t>02483783</t>
  </si>
  <si>
    <t>02483784</t>
  </si>
  <si>
    <t>02483785</t>
  </si>
  <si>
    <t>02483786</t>
  </si>
  <si>
    <t>02483787</t>
  </si>
  <si>
    <t>sami ducting in ethnic</t>
  </si>
  <si>
    <t>to lateef for june 22 (by bilal bhai</t>
  </si>
  <si>
    <t>to asif FTC for june 22 (by nadeem bhai</t>
  </si>
  <si>
    <t>paid (by nadeem bhai)</t>
  </si>
  <si>
    <t>Shahab</t>
  </si>
  <si>
    <t>paid for motors for dampers</t>
  </si>
  <si>
    <t>claimed mobile balance and fuel</t>
  </si>
  <si>
    <t>paid  for insulation work in hydery mall</t>
  </si>
  <si>
    <t>purcahsed 2 balti water shield</t>
  </si>
  <si>
    <t>shafia books payment</t>
  </si>
  <si>
    <t>claimed fuel (2 turn deluxe 2 turn FND)</t>
  </si>
  <si>
    <t>paid for Tapes for jpmc</t>
  </si>
  <si>
    <t>to shafeeq for purcahsing</t>
  </si>
  <si>
    <t>To rafay for purchasing</t>
  </si>
  <si>
    <t>bakhti given office hisaab</t>
  </si>
  <si>
    <t>for duetshce bank</t>
  </si>
  <si>
    <t>cash paid for purcashuing</t>
  </si>
  <si>
    <t>claimed for tea and refreshsment</t>
  </si>
  <si>
    <t>paid for owais sahab jpmc 1.5 tr unit repaired</t>
  </si>
  <si>
    <t>paid to imran for someone</t>
  </si>
  <si>
    <t>to jahangeer for june 22</t>
  </si>
  <si>
    <t>deutche bank</t>
  </si>
  <si>
    <t>to asif for june 22</t>
  </si>
  <si>
    <t>SS sami in jpmc sink</t>
  </si>
  <si>
    <t>paid cash in jpmc</t>
  </si>
  <si>
    <t>1 air curtain for north walk</t>
  </si>
  <si>
    <t>cash paid for 2 nos motors fcu motors</t>
  </si>
  <si>
    <t>cash paid for red oxide paint ethnic</t>
  </si>
  <si>
    <t>to Kamran for june 22</t>
  </si>
  <si>
    <t>tender imtiaz balochistan</t>
  </si>
  <si>
    <t>mossi home salaries with diver salary (June)</t>
  </si>
  <si>
    <t>nadeem bhai June 22 salary</t>
  </si>
  <si>
    <t>waris June 22 salary</t>
  </si>
  <si>
    <t>Winding of FCU motor (Cinema-2)</t>
  </si>
  <si>
    <t>Gas refilling of Air Conditioning split AC Unit 1.5 TR with related accessories (Power Room)</t>
  </si>
  <si>
    <t>to Jahangeer for june 22</t>
  </si>
  <si>
    <t>02483788</t>
  </si>
  <si>
    <t>02483789</t>
  </si>
  <si>
    <t>02483790</t>
  </si>
  <si>
    <t>to ibad karor for qurbani by sir rehman</t>
  </si>
  <si>
    <t xml:space="preserve">FTC monthly bills for the months of Mar 22 </t>
  </si>
  <si>
    <t>The place April 2022 bill</t>
  </si>
  <si>
    <t>cash paid for raised floor deutsche bank</t>
  </si>
  <si>
    <t>Pipe transportation for Ethnic</t>
  </si>
  <si>
    <t>raised floor samle</t>
  </si>
  <si>
    <t>to gul for june 22</t>
  </si>
  <si>
    <t>50% advance received from Bohra developers</t>
  </si>
  <si>
    <t>from vellani</t>
  </si>
  <si>
    <t>From bilal bhai (sher Khan)</t>
  </si>
  <si>
    <t>To Rehan for June 22 salaires (sher khan(</t>
  </si>
  <si>
    <t>raised panel</t>
  </si>
  <si>
    <t>paid for 11 nos raised panels</t>
  </si>
  <si>
    <t>to shafeeq for misc</t>
  </si>
  <si>
    <t>paid in ethnic</t>
  </si>
  <si>
    <t>jpmc surgical building</t>
  </si>
  <si>
    <t>psychiatry building</t>
  </si>
  <si>
    <t>fare for raised floor tiles</t>
  </si>
  <si>
    <t>shahid painter salary</t>
  </si>
  <si>
    <t>paid in baf 14th floor uptodate is 60,000</t>
  </si>
  <si>
    <t>office salaries except kamran</t>
  </si>
  <si>
    <t>paid for 4nos 4 ft air curtian</t>
  </si>
  <si>
    <t>TO ASIF FTC REMAINING SALARY</t>
  </si>
  <si>
    <t>To scon valves in ethnic deal</t>
  </si>
  <si>
    <t>MCB chq for purchasing</t>
  </si>
  <si>
    <t>shabbir pipe fitters in deusche bank</t>
  </si>
  <si>
    <t>for salaries</t>
  </si>
  <si>
    <t>Pipe purcashed from fakhri deutsche bank main work</t>
  </si>
  <si>
    <t>deutchse bank advane work purchasing</t>
  </si>
  <si>
    <t>jinnah purcashing</t>
  </si>
  <si>
    <t>ethnic purchasing by abbas</t>
  </si>
  <si>
    <t>salary advance to abbas</t>
  </si>
  <si>
    <t>imran falcon</t>
  </si>
  <si>
    <t>transportation for pipe from fakhri</t>
  </si>
  <si>
    <t>SST tax june 22</t>
  </si>
  <si>
    <t>to sohail for deutsche bank damper motors</t>
  </si>
  <si>
    <t>to sajid for advance payment for pipe work ethnic</t>
  </si>
  <si>
    <t>new cheque book</t>
  </si>
  <si>
    <t>bakhti give office hisaab (when Rehan was out of city)</t>
  </si>
  <si>
    <t>Rigid threading machine dye</t>
  </si>
  <si>
    <t>ptcl bills paid (Office)</t>
  </si>
  <si>
    <t>ptcl bills paid (MHR)</t>
  </si>
  <si>
    <t xml:space="preserve">FTC monthly bills for the months of April 22 </t>
  </si>
  <si>
    <t>air guide</t>
  </si>
  <si>
    <t>purchased sample for approval</t>
  </si>
  <si>
    <t>sami ducting in burhani cladding work</t>
  </si>
  <si>
    <t>jpmc labour and transportation</t>
  </si>
  <si>
    <t>Salary advace to Gul</t>
  </si>
  <si>
    <t>BAF invoices</t>
  </si>
  <si>
    <t>car excel repaired</t>
  </si>
  <si>
    <t>rectangular pipe purcahsed hydery mall</t>
  </si>
  <si>
    <t>deutsche bank drawings</t>
  </si>
  <si>
    <t>deutsche bank drawings scan copies</t>
  </si>
  <si>
    <t>rizwan remaining salary</t>
  </si>
  <si>
    <t>Saifee hospital tender purchased</t>
  </si>
  <si>
    <t>samosay for office staff</t>
  </si>
  <si>
    <t>to shahhid painter for july 22</t>
  </si>
  <si>
    <t>transportation</t>
  </si>
  <si>
    <t>paid for pipe from fakhri for deutsche bank</t>
  </si>
  <si>
    <t>Salary advance to mukhtiar</t>
  </si>
  <si>
    <t xml:space="preserve">bakhti give office hisaab </t>
  </si>
  <si>
    <t>paid for print duetche bank</t>
  </si>
  <si>
    <t>paid for deutsche bank</t>
  </si>
  <si>
    <t>labour</t>
  </si>
  <si>
    <t>paid for duct labour at deutsche bank</t>
  </si>
  <si>
    <t>to Gul sher for july 22</t>
  </si>
  <si>
    <t>FARE</t>
  </si>
  <si>
    <t>rikshaw for deutsche bank</t>
  </si>
  <si>
    <t>MamCC Sunbe</t>
  </si>
  <si>
    <t>paid for suzuki fare 2 times</t>
  </si>
  <si>
    <t>paid in Bank al falah</t>
  </si>
  <si>
    <t>to Adil jpmc</t>
  </si>
  <si>
    <t>To Raheel jpmc</t>
  </si>
  <si>
    <t>To Mukhtiar</t>
  </si>
  <si>
    <t>Labour</t>
  </si>
  <si>
    <t>paid to mubeen for duct shifting</t>
  </si>
  <si>
    <t>Online tansfer to shabbir pipe in Deutsche</t>
  </si>
  <si>
    <t>To abbas for purchaseing</t>
  </si>
  <si>
    <t>invoices printer service and repaired</t>
  </si>
  <si>
    <t>to shahid painter for july 22</t>
  </si>
  <si>
    <t>deutsche bank</t>
  </si>
  <si>
    <t>purchased sprinkler</t>
  </si>
  <si>
    <t>Lateeef remaining salary</t>
  </si>
  <si>
    <t>ss sami</t>
  </si>
  <si>
    <t>ZAG engineering</t>
  </si>
  <si>
    <t>Raza engineering</t>
  </si>
  <si>
    <t>shahid enterprised for pooler at jpmc</t>
  </si>
  <si>
    <t>sajid pipe installer in ethnic</t>
  </si>
  <si>
    <t>I I engineering sohail</t>
  </si>
  <si>
    <t>fame internation</t>
  </si>
  <si>
    <t>zain ud abideen for air curtain platform</t>
  </si>
  <si>
    <t>KATYS in ethnic deal</t>
  </si>
  <si>
    <t>arsalan ducting for linda clip</t>
  </si>
  <si>
    <t>saim brorhers</t>
  </si>
  <si>
    <t>paid advance in Ethnich (cash sent thru bakhti)</t>
  </si>
  <si>
    <t>claimed mobile balacne</t>
  </si>
  <si>
    <t>ssgc bills paid office</t>
  </si>
  <si>
    <t>ssgc bills paid mhr</t>
  </si>
  <si>
    <t>Saim bro (chq returned)</t>
  </si>
  <si>
    <t xml:space="preserve">cash paid in BAF 14th </t>
  </si>
  <si>
    <t>arsalan ducting for sheet purchasing</t>
  </si>
  <si>
    <t>to chacha lateef august 22</t>
  </si>
  <si>
    <t>for tea and refereshment at falcon</t>
  </si>
  <si>
    <t>Salary for the months of July 22</t>
  </si>
  <si>
    <t>Online transfer to supports for deutche bank</t>
  </si>
  <si>
    <t>Chacha lateef</t>
  </si>
  <si>
    <t>to abbas for july 22</t>
  </si>
  <si>
    <t>Online transfer to Lateef ducting for deutche bank</t>
  </si>
  <si>
    <t>to mubeen for CAV and VAVs at deutsche bank</t>
  </si>
  <si>
    <t>to mubeen for CAV and VAVs shifting</t>
  </si>
  <si>
    <t>paid for motor repair (cash sent thru bakhti)</t>
  </si>
  <si>
    <t>salary envelop and mortein spray</t>
  </si>
  <si>
    <t>office camera connector purchased</t>
  </si>
  <si>
    <t>to shahid in jpmc</t>
  </si>
  <si>
    <t>mossi home salaries with diver salary (July)</t>
  </si>
  <si>
    <t>nadeem bhai July 22 salary</t>
  </si>
  <si>
    <t>waris July 22 salary</t>
  </si>
  <si>
    <t>Abbas salary</t>
  </si>
  <si>
    <t>lateeef salary</t>
  </si>
  <si>
    <t>paid or monthly tea and refreshemt</t>
  </si>
  <si>
    <t>cash paid (for excavation work)</t>
  </si>
  <si>
    <t>to Mobeen for salary in advance</t>
  </si>
  <si>
    <t>to Ahsan for salary in advance</t>
  </si>
  <si>
    <t>bakhti give hissab</t>
  </si>
  <si>
    <t xml:space="preserve">Ethnic </t>
  </si>
  <si>
    <t>submittal prints</t>
  </si>
  <si>
    <t>abid last month salary remaining</t>
  </si>
  <si>
    <t>paid for AHU belt at the place</t>
  </si>
  <si>
    <t>shahid salary increased</t>
  </si>
  <si>
    <t>Ahsan office</t>
  </si>
  <si>
    <t>mubeen</t>
  </si>
  <si>
    <t>purcahsed preesure guage and bush for ethnic</t>
  </si>
  <si>
    <t>to mubeen for july 22</t>
  </si>
  <si>
    <t xml:space="preserve">paid for suzuki fare </t>
  </si>
  <si>
    <t>The Place Cinema salary (including prv month)</t>
  </si>
  <si>
    <t>RMR staff salary paid (including prv month)</t>
  </si>
  <si>
    <t>Khizer salary</t>
  </si>
  <si>
    <t>paid for consignment from lahore air devices</t>
  </si>
  <si>
    <t>paid utilities bills</t>
  </si>
  <si>
    <t>MHR and office ptcl bills paid</t>
  </si>
  <si>
    <t>mubeen remaining salary</t>
  </si>
  <si>
    <t>paid for transportation and labour for duct at deutche bank</t>
  </si>
  <si>
    <t>To Imran Ali for August 22</t>
  </si>
  <si>
    <t>Junaid remaining salary</t>
  </si>
  <si>
    <t>To lateef for august 22</t>
  </si>
  <si>
    <t>cash paid uptodate is 45000</t>
  </si>
  <si>
    <t>cash paid for cinema chiller trouble shooting</t>
  </si>
  <si>
    <t>paid for nut bolts (psychiatry)</t>
  </si>
  <si>
    <t>katyes in ethnic</t>
  </si>
  <si>
    <t>sst tax July 22</t>
  </si>
  <si>
    <t>Bank alfalah bill # 342- Bill for repair of condenser</t>
  </si>
  <si>
    <t>OMI hospital 50% advance</t>
  </si>
  <si>
    <t>rec from sami deluxe group (deutsche bank advance work)</t>
  </si>
  <si>
    <t>2 Month of Nueplex May &amp; June 22 &amp; Misc work against bill # 062</t>
  </si>
  <si>
    <t>cash paid for03 nos condenser motor winding</t>
  </si>
  <si>
    <t>Cash paid for 01 nos motor winding</t>
  </si>
  <si>
    <t>cash paid for VFD motors 6nos</t>
  </si>
  <si>
    <t>Rehan</t>
  </si>
  <si>
    <t>Ahsan</t>
  </si>
  <si>
    <t>To imran engr at jpmc</t>
  </si>
  <si>
    <t>police man</t>
  </si>
  <si>
    <t>jpmc laboure</t>
  </si>
  <si>
    <t>falcon tea and refreshmenrt</t>
  </si>
  <si>
    <t>paid for fees for 2 months July 22 &amp; August 22</t>
  </si>
  <si>
    <t xml:space="preserve">ethnic </t>
  </si>
  <si>
    <t>The place July 2022 bill</t>
  </si>
  <si>
    <t>FTC May 2022 bill</t>
  </si>
  <si>
    <t>Imtiaz payment including retention amount</t>
  </si>
  <si>
    <t>jpmc pooler</t>
  </si>
  <si>
    <t>GI cladding for ethnich</t>
  </si>
  <si>
    <t>To adil jpmc advance</t>
  </si>
  <si>
    <t>To sufyan for august 22</t>
  </si>
  <si>
    <t>Not Posted</t>
  </si>
  <si>
    <t>Posted</t>
  </si>
  <si>
    <t>Post Status</t>
  </si>
  <si>
    <t>paid for cutting disc and bold marker (to lateef)</t>
  </si>
  <si>
    <t>welding rod and other items for jpmc</t>
  </si>
  <si>
    <t>FTC June 2022 bill</t>
  </si>
  <si>
    <t>cash paid for wire for banquet</t>
  </si>
  <si>
    <t>To Bilal bhai for purchasing 1846111532</t>
  </si>
  <si>
    <t>Banquet AC purchased</t>
  </si>
  <si>
    <t>Online transfer to Zubair Ducting in Deutsche bank</t>
  </si>
  <si>
    <t>cash paid for remaining balance abbas brothers</t>
  </si>
  <si>
    <t>paid for ethnic shop</t>
  </si>
  <si>
    <t>cash paid for labour at hydery mall uptodate is 45000</t>
  </si>
  <si>
    <t>to zain for air curtain platform</t>
  </si>
  <si>
    <t xml:space="preserve">jpmc for misc </t>
  </si>
  <si>
    <t>mobeen</t>
  </si>
  <si>
    <t>paid for labourer</t>
  </si>
  <si>
    <t>paid for refreshment</t>
  </si>
  <si>
    <t>duetsche bank</t>
  </si>
  <si>
    <t>labour transportaiton for FCU and insluation</t>
  </si>
  <si>
    <t>paid for 10 nos tapes</t>
  </si>
  <si>
    <t>cash paid (10,000 + 10,000)</t>
  </si>
  <si>
    <t>mobeen remaining salary</t>
  </si>
  <si>
    <t>Online tansfer for OMI unit procurement from Noman</t>
  </si>
  <si>
    <t>To Zahid Elec for august 22</t>
  </si>
  <si>
    <t>To Mukhtiar for august 22</t>
  </si>
  <si>
    <t>Office K Elec bills (Ground &amp; 1st Floor)</t>
  </si>
  <si>
    <t>FTC July 2022 bill</t>
  </si>
  <si>
    <t xml:space="preserve">FTC monthly bills for the months of jan 22 </t>
  </si>
  <si>
    <t>Online tansfer to Shoukat (16th floor pipe in Deutsche)</t>
  </si>
  <si>
    <t>Online tansfer to Ahsan Flow Tab in Imtiaz</t>
  </si>
  <si>
    <t>Online tansfer to Kamran (for Ethnic cladding work)</t>
  </si>
  <si>
    <t>from fakhri to OMI  pipe shifting</t>
  </si>
  <si>
    <t>Rec from IK associates adv for Deutsche bank</t>
  </si>
  <si>
    <t>paid for suzuki fare + refrehment at site</t>
  </si>
  <si>
    <t>Kamran cladding</t>
  </si>
  <si>
    <t>paid for cladding work at Ethnic uptodate is 70000</t>
  </si>
  <si>
    <t>Hussain bharmal</t>
  </si>
  <si>
    <t>paid to Hussain bharmal for civil work burhani mehal</t>
  </si>
  <si>
    <t>To sufyan for advance</t>
  </si>
  <si>
    <t>To abid for misc</t>
  </si>
  <si>
    <t>paid for misc work at burhani</t>
  </si>
  <si>
    <t>to Jahangeer for August 22</t>
  </si>
  <si>
    <t>To ahsan for insulation in ethnic</t>
  </si>
  <si>
    <t>paid advance in Ethnic first payment 50,000</t>
  </si>
  <si>
    <t>Ethnic invoices</t>
  </si>
  <si>
    <t>Duetsche bank invoices</t>
  </si>
  <si>
    <t>EAP ADNAN</t>
  </si>
  <si>
    <t>paid for truck from jpmc to nasir colony</t>
  </si>
  <si>
    <t>returned and give MCB 1846111512 on 1-8-22 Rs 150,000</t>
  </si>
  <si>
    <t>returned and give MCB 1846111539 on 24-8-22 Rs 150,000</t>
  </si>
  <si>
    <t>G.I cladding  in ethnic</t>
  </si>
  <si>
    <t xml:space="preserve">mungo </t>
  </si>
  <si>
    <t>Yellow pages</t>
  </si>
  <si>
    <t>khurshid fans</t>
  </si>
  <si>
    <t>paid cash for deutsche bank fans</t>
  </si>
  <si>
    <t>cash paid at ehtich uptosate is 80,000</t>
  </si>
  <si>
    <t>labour at jpmc</t>
  </si>
  <si>
    <t>Sabir Alpine</t>
  </si>
  <si>
    <t>paid for drain piping with fittings</t>
  </si>
  <si>
    <t>Hakim driver</t>
  </si>
  <si>
    <t>paid and charge in MHR</t>
  </si>
  <si>
    <t>to Lateef for August 22</t>
  </si>
  <si>
    <t>to Abbas for August 22</t>
  </si>
  <si>
    <t>to Sufyan for August 22 sent by imran engr</t>
  </si>
  <si>
    <t xml:space="preserve">to Jahangeer for August 22 </t>
  </si>
  <si>
    <t>July 2022 bill RMR cienma</t>
  </si>
  <si>
    <t>The place last payment chiller repairing work</t>
  </si>
  <si>
    <t>labour and rikshaw fare</t>
  </si>
  <si>
    <t>paid for 2 bundles of rods 3 meter 50 pcs</t>
  </si>
  <si>
    <t>Online tansfer to Naveed PPR falnges (JPMC)</t>
  </si>
  <si>
    <t>ssgc bills mhr and office</t>
  </si>
  <si>
    <t>rec from ik Associates in deutsche bank (Adeel sales tax invoices)</t>
  </si>
  <si>
    <t>cash paid from bakhti</t>
  </si>
  <si>
    <t>To Nawaz Insulator (Deutsche bank)</t>
  </si>
  <si>
    <t>Arif welder</t>
  </si>
  <si>
    <t xml:space="preserve">paid for misc </t>
  </si>
  <si>
    <t>Sept</t>
  </si>
  <si>
    <t>Dengui</t>
  </si>
  <si>
    <t>Fever</t>
  </si>
  <si>
    <t>shabbir pipe</t>
  </si>
  <si>
    <t>paid cash uptodate is 235,000</t>
  </si>
  <si>
    <t>paid for fan purchasing baitulsukoon</t>
  </si>
  <si>
    <t>Link adapter</t>
  </si>
  <si>
    <t>paid for 150 nos link adapter</t>
  </si>
  <si>
    <t>purchased wire for ethnic with fare</t>
  </si>
  <si>
    <t>suzuki fare deutsche bank</t>
  </si>
  <si>
    <t>harsal Wire</t>
  </si>
  <si>
    <t>paid for super card ufone + color print</t>
  </si>
  <si>
    <t>cash paid for falcon paint</t>
  </si>
  <si>
    <t>paid cash uptodate is 265,000</t>
  </si>
  <si>
    <t>nadeem bhai August 22 salary</t>
  </si>
  <si>
    <t>waris August 22 salary</t>
  </si>
  <si>
    <t>cash paid (to abdul rehman)</t>
  </si>
  <si>
    <t>paid for labourer at falcon mall putside labour</t>
  </si>
  <si>
    <t>Thumb international</t>
  </si>
  <si>
    <t>paid for fire clamp 1 inch ethnic</t>
  </si>
  <si>
    <t>car invoices</t>
  </si>
  <si>
    <t>misc invoices in all project</t>
  </si>
  <si>
    <t>OMI hospital invoice</t>
  </si>
  <si>
    <t>paid for duct labour from zero point</t>
  </si>
  <si>
    <t>nadeem bhai car wash</t>
  </si>
  <si>
    <t>To rehan for salaries August 22</t>
  </si>
  <si>
    <t>cash paid in naveed malik uptodate is 25000</t>
  </si>
  <si>
    <t>sajid piping</t>
  </si>
  <si>
    <t>pak arab</t>
  </si>
  <si>
    <t>purcahsed 1 naali 3 inch fro ethnich</t>
  </si>
  <si>
    <t>at ethnic</t>
  </si>
  <si>
    <t>Fame internation</t>
  </si>
  <si>
    <t>Rec from IK Associates via Al Madina Steel works</t>
  </si>
  <si>
    <t>paid to sami duct driver</t>
  </si>
  <si>
    <t>to salman for chiller pump repairing</t>
  </si>
  <si>
    <t>Shoukat pipe</t>
  </si>
  <si>
    <t>paid in Deutsche bank uptodate is 125,000</t>
  </si>
  <si>
    <t>to kamran for drawing</t>
  </si>
  <si>
    <t>riskaaw</t>
  </si>
  <si>
    <t>to Kamran for anti fungus paint</t>
  </si>
  <si>
    <t>Purchased karchar pump 1400 watt</t>
  </si>
  <si>
    <t>mineral water for July and aug</t>
  </si>
  <si>
    <t>sufyan jpmc salary</t>
  </si>
  <si>
    <t>to kamran for falcon</t>
  </si>
  <si>
    <t>sufyan the place</t>
  </si>
  <si>
    <t>Falcon staff</t>
  </si>
  <si>
    <t>paid lunch at ftc</t>
  </si>
  <si>
    <t>ahsan khan</t>
  </si>
  <si>
    <t>paid for duct insulation deutsche bank 1st payment</t>
  </si>
  <si>
    <t>paid for pipe insulation deutsche bank 1st payment</t>
  </si>
  <si>
    <t>paid for 1" pipe fare gada gaari</t>
  </si>
  <si>
    <t>purchased disc and gloves for duetsche bank</t>
  </si>
  <si>
    <t>ahsan razzak</t>
  </si>
  <si>
    <t>cash paid (to abdur rehman)</t>
  </si>
  <si>
    <t>ZARA engineers</t>
  </si>
  <si>
    <t>paid for the place 2 nos chiller card sensor board</t>
  </si>
  <si>
    <t>A</t>
  </si>
  <si>
    <t>Rem</t>
  </si>
  <si>
    <t>misc for lunch</t>
  </si>
  <si>
    <t>Mubeen salary</t>
  </si>
  <si>
    <t>suzuki fare ethnic to abbas</t>
  </si>
  <si>
    <t>Baitulsukoon retention amount</t>
  </si>
  <si>
    <t xml:space="preserve">paid for honeywell gas &amp; flexible connector </t>
  </si>
  <si>
    <t>claimed fuel and rikshaw fare</t>
  </si>
  <si>
    <t>paid for utilities bills for darussalam society</t>
  </si>
  <si>
    <t>To zeeshan for banquet</t>
  </si>
  <si>
    <t>zeeshan salary for 2 months</t>
  </si>
  <si>
    <t>returned by zeeshan</t>
  </si>
  <si>
    <t>Invoices OMI</t>
  </si>
  <si>
    <t>pupular paint</t>
  </si>
  <si>
    <t>online transfer in meezan bank</t>
  </si>
  <si>
    <t>paid cash uptodate is 110,000</t>
  </si>
  <si>
    <t>to kamran auto for sept 22</t>
  </si>
  <si>
    <t>for omi hospital</t>
  </si>
  <si>
    <t>Unit</t>
  </si>
  <si>
    <t>purchased unit from Noman for OMI</t>
  </si>
  <si>
    <t>paid for jpmc pump</t>
  </si>
  <si>
    <t>purchased electrical item for ethnic</t>
  </si>
  <si>
    <t>paid for suzuki fare for personal</t>
  </si>
  <si>
    <t>OMI tender from ahed associates</t>
  </si>
  <si>
    <t>To mubeen for colour labour</t>
  </si>
  <si>
    <t>to mubeen for duct labour</t>
  </si>
  <si>
    <t>MCB chq 1855423766 for abdur rehman fees</t>
  </si>
  <si>
    <t>MHr ptcl bills</t>
  </si>
  <si>
    <t>for purchasing of nut bolt 8mm &amp; guages for DB</t>
  </si>
  <si>
    <t>korean restaurant tender from SEM</t>
  </si>
  <si>
    <t>cash paid sent trhu shahid painter</t>
  </si>
  <si>
    <t>for deutsche bank</t>
  </si>
  <si>
    <t>To nadeem bhai for Abdur rehman fees</t>
  </si>
  <si>
    <t>paid to sabir c/o nadeem bhai</t>
  </si>
  <si>
    <t>paid for 1" &amp; 1-1/4" pipe fare gada gaari (ethnic)</t>
  </si>
  <si>
    <t>Umer office Sept salary (for 15 days)</t>
  </si>
  <si>
    <t>to chacha lateef Sept 22</t>
  </si>
  <si>
    <t>paid for prv balance for abbas brothers for Duetshce</t>
  </si>
  <si>
    <t>paid cash purchaseing for ethnic</t>
  </si>
  <si>
    <t>cash paid for tea and refreshment</t>
  </si>
  <si>
    <t>to Jahangeer for Sept 22</t>
  </si>
  <si>
    <t>Ethnic for double round</t>
  </si>
  <si>
    <t>Son</t>
  </si>
  <si>
    <t>Asif Chiller</t>
  </si>
  <si>
    <t>paid for purchasing for chiller compressor</t>
  </si>
  <si>
    <t>to Imran feroz (sent thro hammad)</t>
  </si>
  <si>
    <t>rikshaw from iqbal sons to OMI</t>
  </si>
  <si>
    <t>bilal bhai cigratte</t>
  </si>
  <si>
    <t>to Asif for Sept 22</t>
  </si>
  <si>
    <t>paid for cable tie for OMI</t>
  </si>
  <si>
    <t>to Kamran for Sept 22</t>
  </si>
  <si>
    <t>by mubeen</t>
  </si>
  <si>
    <t>To Mubeen</t>
  </si>
  <si>
    <t>Total</t>
  </si>
  <si>
    <t>Flow tab</t>
  </si>
  <si>
    <t>duct insulation DB 2nd paymt uptodate is 60,000</t>
  </si>
  <si>
    <t xml:space="preserve">ahsan office </t>
  </si>
  <si>
    <t>Expenses</t>
  </si>
  <si>
    <t>purchased saddle 1-1/4 with fuel  96 nos</t>
  </si>
  <si>
    <t>to jahangeer for Sept 22</t>
  </si>
  <si>
    <t>paid for duct labour</t>
  </si>
  <si>
    <t>suzuki from office (5 insulation roll 2 carton tapes</t>
  </si>
  <si>
    <t>paid for mixing oil fuel and rikshaw</t>
  </si>
  <si>
    <t>purchased red oxide brush and mixing oil for OMI</t>
  </si>
  <si>
    <t>Ashan office</t>
  </si>
  <si>
    <t>charity</t>
  </si>
  <si>
    <t>paid cash in Deutsche bank</t>
  </si>
  <si>
    <t>paid for OMI purchasing for sheets</t>
  </si>
  <si>
    <t>GSK office</t>
  </si>
  <si>
    <t>To Rehan</t>
  </si>
  <si>
    <t>submital filing seperator</t>
  </si>
  <si>
    <t>submital copies</t>
  </si>
  <si>
    <t>naveed malik invoices</t>
  </si>
  <si>
    <t>paid for misc (closed envelop to nadeem bhai</t>
  </si>
  <si>
    <t>purcahsed every days milk</t>
  </si>
  <si>
    <t>Tapes purchased for Ethnic site</t>
  </si>
  <si>
    <t>misc office expenses</t>
  </si>
  <si>
    <t>Nawaz cladding</t>
  </si>
  <si>
    <t>Zubair ducting</t>
  </si>
  <si>
    <t>paid for 3 tapes from kaytess for  ethnic shop</t>
  </si>
  <si>
    <t>paid for 2 ton unit</t>
  </si>
  <si>
    <t>cash paid for OMI purchaseing</t>
  </si>
  <si>
    <t>received against chiller Card</t>
  </si>
  <si>
    <t>rikshaw to OMI</t>
  </si>
  <si>
    <t>adam rigger</t>
  </si>
  <si>
    <t xml:space="preserve">paid for thermosatate </t>
  </si>
  <si>
    <t>mouse purchased for irfan PC</t>
  </si>
  <si>
    <t>to Reheel for sept 22</t>
  </si>
  <si>
    <t>To imran feroz</t>
  </si>
  <si>
    <t>To mukhtiar for falcon purchasing</t>
  </si>
  <si>
    <t>To Mukhtiar for sept 22</t>
  </si>
  <si>
    <t>ufone mobile card</t>
  </si>
  <si>
    <t>Fast cable</t>
  </si>
  <si>
    <t>paid cash for cable for ethnic</t>
  </si>
  <si>
    <t>paid for bikea</t>
  </si>
  <si>
    <t>Rikshaw hydery</t>
  </si>
  <si>
    <t>rikshaw from shabbir bros to office</t>
  </si>
  <si>
    <t xml:space="preserve">paid in chiller trouble shooting 1st adv </t>
  </si>
  <si>
    <t>Paid advance in chiller troubshooting 1st adv</t>
  </si>
  <si>
    <t>Paid advance in chiller troubshooting uptfate is 30000</t>
  </si>
  <si>
    <t>for Bilal bhai aC</t>
  </si>
  <si>
    <t>photocopies</t>
  </si>
  <si>
    <t>submittal copies</t>
  </si>
  <si>
    <t>cash paid for purchasing (through ahsan)</t>
  </si>
  <si>
    <t>Ground floor K elec bill</t>
  </si>
  <si>
    <t>Office K elec bill</t>
  </si>
  <si>
    <t>paid to nadeem 3rd floor</t>
  </si>
  <si>
    <t>claimed fuel at the place</t>
  </si>
  <si>
    <t>office tea stuff</t>
  </si>
  <si>
    <t>paid for chiller coil purchasing</t>
  </si>
  <si>
    <t>To mubeen</t>
  </si>
  <si>
    <t>paid for paint for ethnic</t>
  </si>
  <si>
    <t>paid for duct labour 3 gaaria</t>
  </si>
  <si>
    <t>paid for paint work uptodate is 25000</t>
  </si>
  <si>
    <t>screw purchased from Mungo</t>
  </si>
  <si>
    <t>claimed fuel for 3 days</t>
  </si>
  <si>
    <t>The place August 2022 bill</t>
  </si>
  <si>
    <t>To rafay in chiller repairing work</t>
  </si>
  <si>
    <t>GSK and JPMC</t>
  </si>
  <si>
    <t>misc by shahid</t>
  </si>
  <si>
    <t>Sami duct</t>
  </si>
  <si>
    <t>mumtaz for gas clylinder</t>
  </si>
  <si>
    <t>paid for purchasing deutsche bank</t>
  </si>
  <si>
    <t>to shahid for sept 22</t>
  </si>
  <si>
    <t>Zeeshan remaining salary</t>
  </si>
  <si>
    <t>claimed super card</t>
  </si>
  <si>
    <t>bilal bhai lunch</t>
  </si>
  <si>
    <t>paid for bilal bhai friend home</t>
  </si>
  <si>
    <t>Adv Rec from IK in DB Bank crossed DIB CHQ # 26272246</t>
  </si>
  <si>
    <t>Adv Rec from IK in DB Bank (Chq cleared in Al Madina Steel Market he then returned cash to Nadeem bhai then nadeem bhai given 2000 Euro to Bilal bhai at the rates of Rs 220/Euro</t>
  </si>
  <si>
    <t>Adv Rec from IK in DB Bank (Chq cleared in Al Madina Steel Market he then returned cash</t>
  </si>
  <si>
    <t>paid for Labour + fare + refreshment</t>
  </si>
  <si>
    <t>to salman for sept 22</t>
  </si>
  <si>
    <t>Adv Rec from IK in DB Bank (Chq cleared in Al Madina Steel Market he then returned cash to Nadeem bhai then nadeem bhai hold this cash with him</t>
  </si>
  <si>
    <t>paid cash uptodate is 140,000</t>
  </si>
  <si>
    <t xml:space="preserve">To jahangeer </t>
  </si>
  <si>
    <t>paid for zahabiya 2 nos balti and prev balance</t>
  </si>
  <si>
    <t>to kamran for ethnic print</t>
  </si>
  <si>
    <t>to kamran for GSK</t>
  </si>
  <si>
    <t>Paid in MHR masjid account</t>
  </si>
  <si>
    <t>paid for 2 months fees Sept + Oct 22 fees</t>
  </si>
  <si>
    <t>to Abid for his wife Sept 22</t>
  </si>
  <si>
    <t>To kamran office for sept 22</t>
  </si>
  <si>
    <t>To ahsan office for sept 22</t>
  </si>
  <si>
    <t>paid for ethnic material</t>
  </si>
  <si>
    <t xml:space="preserve">bakhti given hisaab </t>
  </si>
  <si>
    <t>To Adil jpmc for sept 22</t>
  </si>
  <si>
    <t>To Raheel for sept 22</t>
  </si>
  <si>
    <t>Advance to kamran for sept 22</t>
  </si>
  <si>
    <t>paid for VFD purchasing</t>
  </si>
  <si>
    <t>Adv Rec from IK in DB Bank (Chq cleared in Al Madina Steel he then return cash</t>
  </si>
  <si>
    <t>To Shahid for sept 22</t>
  </si>
  <si>
    <t>paid for colur uptodate in 35,000</t>
  </si>
  <si>
    <t>claimed fuel for bank al-falah tender</t>
  </si>
  <si>
    <t>Adv Rec from IK in DB Bank (Chq cleared in Al Madina Steel Market he then returned cash to Nadeem bhai then nadeem bhai given chq to Bilal bhai</t>
  </si>
  <si>
    <t>To rehan for office salaries september 22</t>
  </si>
  <si>
    <t>Abbas + Chacha lateef salary</t>
  </si>
  <si>
    <t>GSK Office</t>
  </si>
  <si>
    <t>Lunch at site</t>
  </si>
  <si>
    <t>Duct labour</t>
  </si>
  <si>
    <t xml:space="preserve">Deutsche </t>
  </si>
  <si>
    <t>Megaplex</t>
  </si>
  <si>
    <t>Nueplex</t>
  </si>
  <si>
    <t>Ethnic</t>
  </si>
  <si>
    <t>Mubeen</t>
  </si>
  <si>
    <t>Fakhri brothers</t>
  </si>
  <si>
    <t>Trasnportation for pipe and other material</t>
  </si>
  <si>
    <t>Shifitng of pipes + loading + fare + dinner from office to GSK</t>
  </si>
  <si>
    <t>JPMc</t>
  </si>
  <si>
    <t>Bank Al-falah</t>
  </si>
  <si>
    <t>Misc Site</t>
  </si>
  <si>
    <t>paid for coulr</t>
  </si>
  <si>
    <t>paid for duct insulation</t>
  </si>
  <si>
    <t>Bakhti</t>
  </si>
  <si>
    <t>Site</t>
  </si>
  <si>
    <t xml:space="preserve">paid for clour, nut bolt, </t>
  </si>
  <si>
    <t>MHR</t>
  </si>
  <si>
    <t xml:space="preserve">Irfan </t>
  </si>
  <si>
    <t>OMI</t>
  </si>
  <si>
    <t>Hydery</t>
  </si>
  <si>
    <t xml:space="preserve">paid for submittal copies </t>
  </si>
  <si>
    <t>paid for misc invoices (sent thri mukhtiar)</t>
  </si>
  <si>
    <t>for fare rikshaw for insulation</t>
  </si>
  <si>
    <t>paid for 200 pcs linkadaptor</t>
  </si>
  <si>
    <t>paid for 4 Nos pressure guage</t>
  </si>
  <si>
    <t>Noman ducting</t>
  </si>
  <si>
    <t>fast cable</t>
  </si>
  <si>
    <t>PCSIR water testing for falcon</t>
  </si>
  <si>
    <t>office cah</t>
  </si>
  <si>
    <t>raees brother</t>
  </si>
  <si>
    <t>FTC August 2022 bill</t>
  </si>
  <si>
    <t>nadeem bhai Sept 22 salary</t>
  </si>
  <si>
    <t>waris Sept 22 salary</t>
  </si>
  <si>
    <t>mossi home salaries with diver salary (Aug)</t>
  </si>
  <si>
    <t>mossi home salaries with diver salary (Sept)</t>
  </si>
  <si>
    <t>paid for colour material</t>
  </si>
  <si>
    <t>from mungo to office ethnci material</t>
  </si>
  <si>
    <t>Zia abbas</t>
  </si>
  <si>
    <t>for misc office expenses</t>
  </si>
  <si>
    <t>Oct</t>
  </si>
  <si>
    <t>wife</t>
  </si>
  <si>
    <t>Adjustments</t>
  </si>
  <si>
    <t>Cash Out But Not Posted</t>
  </si>
  <si>
    <t>Invoices</t>
  </si>
  <si>
    <t>Imran Engr</t>
  </si>
  <si>
    <t>Abbas</t>
  </si>
  <si>
    <t>Mukhtiar</t>
  </si>
  <si>
    <t xml:space="preserve">Zeeshan </t>
  </si>
  <si>
    <t>Zubair</t>
  </si>
  <si>
    <t>Abbas A= Mamoo death
          A= wife hospital
         A= mamo son death</t>
  </si>
  <si>
    <t>cash paid for purchasing (sent thru amir plumbr)</t>
  </si>
  <si>
    <t>Cash from bakhti</t>
  </si>
  <si>
    <t>paid for nut bolts and other items</t>
  </si>
  <si>
    <t>OMI 2nd advance payment</t>
  </si>
  <si>
    <t>To Rehan for office</t>
  </si>
  <si>
    <t>TO Bakhti</t>
  </si>
  <si>
    <t xml:space="preserve">paid for wiring </t>
  </si>
  <si>
    <t>PTCL</t>
  </si>
  <si>
    <t>MHR bills paid</t>
  </si>
  <si>
    <t>Office bills paid</t>
  </si>
  <si>
    <t>paid cash (uptodate is 500,000</t>
  </si>
  <si>
    <t>paid for fittings from bharmal</t>
  </si>
  <si>
    <t>paid againstt bill</t>
  </si>
  <si>
    <t>Hammad</t>
  </si>
  <si>
    <t>Hammad at falcon</t>
  </si>
  <si>
    <t>Cinema</t>
  </si>
  <si>
    <t>paid for 1 core</t>
  </si>
  <si>
    <t>paid to shahid for his sister marriage</t>
  </si>
  <si>
    <t>purchased irfan bhai computer mouse</t>
  </si>
  <si>
    <t>Gift</t>
  </si>
  <si>
    <t>Rec from Total against IPC-51 (Given to Bilal bhai)</t>
  </si>
  <si>
    <t>paid for labour</t>
  </si>
  <si>
    <t>paid for 2 balti colour</t>
  </si>
  <si>
    <t>sami duct advance in GSK</t>
  </si>
  <si>
    <t>To kaytes</t>
  </si>
  <si>
    <t>Zeeshan</t>
  </si>
  <si>
    <t>cash paid for bilal bhai friend home</t>
  </si>
  <si>
    <t>cash paid for bilal bhai home KENWOOD AC</t>
  </si>
  <si>
    <t>Office PABX system</t>
  </si>
  <si>
    <t>Chacha Lateef</t>
  </si>
  <si>
    <t>cash paid (sent thru rizwan core)</t>
  </si>
  <si>
    <t>to zain for air curtain platform (hydery)</t>
  </si>
  <si>
    <t>Air curtain 2 nos</t>
  </si>
  <si>
    <t>Fuel at ftc</t>
  </si>
  <si>
    <t>fuel at ethnic</t>
  </si>
  <si>
    <t>fuel at falcon</t>
  </si>
  <si>
    <t>cash paid for labour at falcon</t>
  </si>
  <si>
    <t>John</t>
  </si>
  <si>
    <t>advance paid for fire piping work</t>
  </si>
  <si>
    <t>To Ali Khalid at burhani</t>
  </si>
  <si>
    <t xml:space="preserve">Paid for 8 burni glue </t>
  </si>
  <si>
    <t>paid for jazz mobile balance</t>
  </si>
  <si>
    <t>paid at OMI</t>
  </si>
  <si>
    <t>paid uptodate is 210,000</t>
  </si>
  <si>
    <t>akber engatech</t>
  </si>
  <si>
    <t>paid for fan</t>
  </si>
  <si>
    <t>paid for link adapers</t>
  </si>
  <si>
    <t>To Adil for Oct 22</t>
  </si>
  <si>
    <t>To Raheel for Oct 22</t>
  </si>
  <si>
    <t>paid for 2 balti duct sealent</t>
  </si>
  <si>
    <t>To Sheheryar khalid for Oct 22 (sent thru bakti)</t>
  </si>
  <si>
    <t>paid for misc and fuel</t>
  </si>
  <si>
    <t>paid for connector flexible</t>
  </si>
  <si>
    <t>paid for labour and refreshment</t>
  </si>
  <si>
    <t>paid for 1" drain pipe purchasing</t>
  </si>
  <si>
    <t>paid for stickers</t>
  </si>
  <si>
    <t>paid for 24 nos wrinch pipe pana (sent trh sufyan)</t>
  </si>
  <si>
    <t>paid for Ball spout diffuser trasnports</t>
  </si>
  <si>
    <t>Paid for purchasing</t>
  </si>
  <si>
    <t>To Bakhti for Oct 22</t>
  </si>
  <si>
    <t>office water tanker</t>
  </si>
  <si>
    <t>K Elec bills paid</t>
  </si>
  <si>
    <t>The place September 2022 bill</t>
  </si>
  <si>
    <t>paid to Mechanic</t>
  </si>
  <si>
    <t>AQ Shamim</t>
  </si>
  <si>
    <t>Paid for Income tax return professional fees</t>
  </si>
  <si>
    <t>paid for Abbas brother pre balance</t>
  </si>
  <si>
    <t>Zahid elec 15 days salary (he left)</t>
  </si>
  <si>
    <t>Adv Rec from Badri Office 7th Floor FTC building</t>
  </si>
  <si>
    <t>paid now updote is 90,000</t>
  </si>
  <si>
    <t>FTC Sept 2022 bill</t>
  </si>
  <si>
    <t>paid now updote is 165,000</t>
  </si>
  <si>
    <t>Groceries MHR</t>
  </si>
  <si>
    <t>Air tickets KAR to ISL (sir rehman)</t>
  </si>
  <si>
    <t>paid cash for misc</t>
  </si>
  <si>
    <t>cash paid (sent thru imran engr)</t>
  </si>
  <si>
    <t>paid advance in north walk</t>
  </si>
  <si>
    <t>to Imran feroz (sent thro mukhtiar)</t>
  </si>
  <si>
    <t>SALARY ADVANCES</t>
  </si>
  <si>
    <t>CASH HOLD</t>
  </si>
  <si>
    <t>psychiatry</t>
  </si>
  <si>
    <t>paid for misc invoiecs</t>
  </si>
  <si>
    <t>window 7 cd</t>
  </si>
  <si>
    <t>to amir engr</t>
  </si>
  <si>
    <t>paid for fire clam 1" &amp; 1-1/4</t>
  </si>
  <si>
    <t>Rec from Total against IPC-11 psychiatry (Mohsin traders)</t>
  </si>
  <si>
    <t>paid advance in labour</t>
  </si>
  <si>
    <t>Burhani</t>
  </si>
  <si>
    <t>paid cash for motor winding and bearing</t>
  </si>
  <si>
    <t>To Zubair ducting</t>
  </si>
  <si>
    <t>paid for shoes, elbow and dhaga</t>
  </si>
  <si>
    <t>Sheheryar khalid</t>
  </si>
  <si>
    <t>for SSD 128 GB and ram and Autocad cd</t>
  </si>
  <si>
    <t>to Ahsan office for oct 22</t>
  </si>
  <si>
    <t>paid for paint invoices at falcon</t>
  </si>
  <si>
    <t>PEC shakeel</t>
  </si>
  <si>
    <t>paid for PEC renewal</t>
  </si>
  <si>
    <t>paid for riksahw</t>
  </si>
  <si>
    <t>paid for cylinder</t>
  </si>
  <si>
    <t>paid for anti fungus 1 balti</t>
  </si>
  <si>
    <t>paid for 1" and 1-1/4 ms pipe for food court</t>
  </si>
  <si>
    <t>to kamran office for oct 22</t>
  </si>
  <si>
    <t>for cuttings dics and screws and fare</t>
  </si>
  <si>
    <t>saim brother</t>
  </si>
  <si>
    <t>paid for purchasing (socket and other items)</t>
  </si>
  <si>
    <t>paid for 20 kg antifungus balti</t>
  </si>
  <si>
    <t>badri office</t>
  </si>
  <si>
    <t>to abbas for oct 22</t>
  </si>
  <si>
    <t>paid for office kitchen Crokery</t>
  </si>
  <si>
    <t>Burhani majlis area</t>
  </si>
  <si>
    <t>Food Court Hydery</t>
  </si>
  <si>
    <t>Arsalan duct</t>
  </si>
  <si>
    <t>Johan</t>
  </si>
  <si>
    <t>Bike</t>
  </si>
  <si>
    <t>paid for pipe and sadle lux and gland</t>
  </si>
  <si>
    <t>for office door bell</t>
  </si>
  <si>
    <t>paid for gas cylinder leads</t>
  </si>
  <si>
    <t>TO Muzzammil in hydery food court</t>
  </si>
  <si>
    <t>paid against pipe insulation</t>
  </si>
  <si>
    <t>Anees grills</t>
  </si>
  <si>
    <t>paid cash agasint VCD and FD</t>
  </si>
  <si>
    <t xml:space="preserve">paid for socket disc solution </t>
  </si>
  <si>
    <t>TO REHAN</t>
  </si>
  <si>
    <t>by nadeem bhai</t>
  </si>
  <si>
    <t>Photocopies</t>
  </si>
  <si>
    <t>Al-Hamd</t>
  </si>
  <si>
    <t>bills copies</t>
  </si>
  <si>
    <t>fare riksahw</t>
  </si>
  <si>
    <t>labour for 2 days at falcon</t>
  </si>
  <si>
    <t>paid for dinner at site</t>
  </si>
  <si>
    <t>Nov</t>
  </si>
  <si>
    <t>TO Faheem in Ethnic</t>
  </si>
  <si>
    <t>To Mubeen for Oct 22</t>
  </si>
  <si>
    <t>cash paid for misc purchasing</t>
  </si>
  <si>
    <t>nadeem bhai Oct 22 salary</t>
  </si>
  <si>
    <t>waris Oct 22 salary</t>
  </si>
  <si>
    <t>Secure vision</t>
  </si>
  <si>
    <t>DB IT work</t>
  </si>
  <si>
    <t>GSK + North</t>
  </si>
  <si>
    <t>paid for fittings from abbas</t>
  </si>
  <si>
    <t>Received against IPC-11 (PSYCHITRY DEPAT)</t>
  </si>
  <si>
    <t>Received against Ethnic from IK Associates</t>
  </si>
  <si>
    <t>cash for 4 tyes for sir rehaman passo cars</t>
  </si>
  <si>
    <t>Shafqat bilal fuel claimed (MHR)</t>
  </si>
  <si>
    <t>To kashif for oct 22 (sent thru nadeem bhai)</t>
  </si>
  <si>
    <t>2 balti duct sealent</t>
  </si>
  <si>
    <t>paid for brushes</t>
  </si>
  <si>
    <t>colour print</t>
  </si>
  <si>
    <t>for oil paint I buket + 2 ltr karosine oil</t>
  </si>
  <si>
    <t>cash paid for colour material</t>
  </si>
  <si>
    <t>paid for 4 days labour</t>
  </si>
  <si>
    <t>mossi home salaries with diver salary (Oct)</t>
  </si>
  <si>
    <t>paid for 300 Nos link adaptors</t>
  </si>
  <si>
    <t>paid for nut and washers 20 KG</t>
  </si>
  <si>
    <t>kamran cladding</t>
  </si>
  <si>
    <t>mhr sir rehman</t>
  </si>
  <si>
    <t>invoices north walk</t>
  </si>
  <si>
    <t>Online tansfer to Zubair duct</t>
  </si>
  <si>
    <t>paid cash uptodate is 40,000</t>
  </si>
  <si>
    <t>Sajjad at FTC</t>
  </si>
  <si>
    <t>suzuki fare by abbas</t>
  </si>
  <si>
    <t>paid for wire mesh purchasing</t>
  </si>
  <si>
    <t>paid for new mobile purchased</t>
  </si>
  <si>
    <t>paid cash uptodate is 35,000</t>
  </si>
  <si>
    <t>paid for purchasing of redusers</t>
  </si>
  <si>
    <t>paid for duct insualtion uptodate is 108,000</t>
  </si>
  <si>
    <t>paid for 2 days labour</t>
  </si>
  <si>
    <t>Lateef chacha salary</t>
  </si>
  <si>
    <t>To Shafeeq FTC</t>
  </si>
  <si>
    <t>paid for 02 nos safety shoes</t>
  </si>
  <si>
    <t>paid ofr jpmc purchasing</t>
  </si>
  <si>
    <t>Aug 2022 bill RMR cienma</t>
  </si>
  <si>
    <t>Sept 2022 bill RMR cienma</t>
  </si>
  <si>
    <t>OCt 2022 bill RMR cienma</t>
  </si>
  <si>
    <t>Shahid salary salary</t>
  </si>
  <si>
    <t>TO Faizan duct in Ethnic</t>
  </si>
  <si>
    <t>paid for misc purchases</t>
  </si>
  <si>
    <t>To Rehan for salaries</t>
  </si>
  <si>
    <t>to amir engr for oct 22</t>
  </si>
  <si>
    <t>To raheel for oct 22</t>
  </si>
  <si>
    <t>Sheheryar + Abbas salary</t>
  </si>
  <si>
    <t>jameel Baid</t>
  </si>
  <si>
    <t>Zeeshan salary</t>
  </si>
  <si>
    <t>paid for new fan purchased</t>
  </si>
  <si>
    <t>cash paid for 2 days labour</t>
  </si>
  <si>
    <t>computer multi post and Office dvd</t>
  </si>
  <si>
    <t xml:space="preserve">utililes bill paid </t>
  </si>
  <si>
    <t>paid for ahsan printer refilling</t>
  </si>
  <si>
    <t>Adv Rec from deluxe in DB Bank (Chq cleared in Al Madina Steel Market he then returned cash</t>
  </si>
  <si>
    <t xml:space="preserve">Mumtaz remaining salary </t>
  </si>
  <si>
    <t>paid for drawing</t>
  </si>
  <si>
    <t>Tube Traders</t>
  </si>
  <si>
    <t>TO Muzzamil in ethnic</t>
  </si>
  <si>
    <t>paid for 11 bundles threaded rods</t>
  </si>
  <si>
    <t>cash paid (given to shahbaz duct)</t>
  </si>
  <si>
    <t>purchased 2 core wire for ethnic</t>
  </si>
  <si>
    <t>TO John in GSK office</t>
  </si>
  <si>
    <t>Drop in anchor and nut bolt for air war</t>
  </si>
  <si>
    <t>To Rehan for VFD Khan borhters</t>
  </si>
  <si>
    <t>Glass mirror</t>
  </si>
  <si>
    <t>paid for glass mirror</t>
  </si>
  <si>
    <t xml:space="preserve">Sheheryar </t>
  </si>
  <si>
    <t>Air War</t>
  </si>
  <si>
    <t>cash paid for angle</t>
  </si>
  <si>
    <t>Purchased Cuttings dics</t>
  </si>
  <si>
    <t>paid for printer refill</t>
  </si>
  <si>
    <t>return cash by faheem</t>
  </si>
  <si>
    <t>paid for channels 27 x 18 &amp; fisher 10 box</t>
  </si>
  <si>
    <t>paid cash uptodate is 70,000</t>
  </si>
  <si>
    <t>paid for screw fuel and other items</t>
  </si>
  <si>
    <t>paid for ethnic and deutsc purcahasing</t>
  </si>
  <si>
    <t>to chacha lateef Nov 22</t>
  </si>
  <si>
    <t>paid for welding rods</t>
  </si>
  <si>
    <t xml:space="preserve">Sir rehman mobile balance </t>
  </si>
  <si>
    <t>return cash by Abbas</t>
  </si>
  <si>
    <t>Folding</t>
  </si>
  <si>
    <t>To john for 2 nos folding + fare</t>
  </si>
  <si>
    <t>fare suzuki</t>
  </si>
  <si>
    <t>paid for purchcasing</t>
  </si>
  <si>
    <t>Office Computer repaired</t>
  </si>
  <si>
    <t>claimed lunch</t>
  </si>
  <si>
    <t>To khan brother for deutsche VFD 3 nos</t>
  </si>
  <si>
    <t>TO Shahid</t>
  </si>
  <si>
    <t>To Imran Feroz</t>
  </si>
  <si>
    <t>paid for 10 valves 1-1/4" from bharmal</t>
  </si>
  <si>
    <t>TO Rehan for office</t>
  </si>
  <si>
    <t>cash paid (sent thru abbas)</t>
  </si>
  <si>
    <t>Dummy chq to DWP for the amount 9 million</t>
  </si>
  <si>
    <t>islamuddin</t>
  </si>
  <si>
    <t>Raess brother</t>
  </si>
  <si>
    <t>paid for red colour</t>
  </si>
  <si>
    <t>To Shahid for regger</t>
  </si>
  <si>
    <t>For tea and misc</t>
  </si>
  <si>
    <t>Imran feroz</t>
  </si>
  <si>
    <t xml:space="preserve">Cash not Out but Posted </t>
  </si>
  <si>
    <t>Cash received
but not in Hand</t>
  </si>
  <si>
    <t>Outside cash in hand</t>
  </si>
  <si>
    <t>cash paid uptodate is 155,000</t>
  </si>
  <si>
    <t>paid for folding</t>
  </si>
  <si>
    <t>paid cash for 44 thans clothes</t>
  </si>
  <si>
    <t>cash paid (Sent thru amir)</t>
  </si>
  <si>
    <t>To Gul for nov 22 (Sent thru amir)</t>
  </si>
  <si>
    <t>paid for 7 days labour</t>
  </si>
  <si>
    <t>cash paid for folding</t>
  </si>
  <si>
    <t>cash paid for folding for air war</t>
  </si>
  <si>
    <t>Received against IPC-52 (transfer in mohsin traders acc)</t>
  </si>
  <si>
    <t>paid for 1-1/2" pipes</t>
  </si>
  <si>
    <t xml:space="preserve">riksahw fare for rods </t>
  </si>
  <si>
    <t>to kamran for nov 22</t>
  </si>
  <si>
    <t>cutting disc</t>
  </si>
  <si>
    <t>4" 25 pcs purchased by ahsan</t>
  </si>
  <si>
    <t>Glue</t>
  </si>
  <si>
    <t>10 burni purchased from bohra peer</t>
  </si>
  <si>
    <t>suzuki fare paid to NAWAb</t>
  </si>
  <si>
    <t>To asif falcon for nov 22</t>
  </si>
  <si>
    <t>paid for cooling tower &amp; paint work</t>
  </si>
  <si>
    <t>sohail industrial</t>
  </si>
  <si>
    <t>cash paid uptodate is 60,000</t>
  </si>
  <si>
    <t>paid cash (rec by fahad)</t>
  </si>
  <si>
    <t xml:space="preserve">mumtaz </t>
  </si>
  <si>
    <t>paid for chiller condenser motor repaired</t>
  </si>
  <si>
    <t>For labour</t>
  </si>
  <si>
    <t>invocies psuchatry</t>
  </si>
  <si>
    <t>invoices badri office</t>
  </si>
  <si>
    <t>invocies hydery</t>
  </si>
  <si>
    <t>nawaz insulator</t>
  </si>
  <si>
    <t>Online tansfer to Steel craft (GSK advance)</t>
  </si>
  <si>
    <t>for drawings ethnic falcon and deutsche</t>
  </si>
  <si>
    <t>Farooq grill work</t>
  </si>
  <si>
    <t>Cash received</t>
  </si>
  <si>
    <t>Personal</t>
  </si>
  <si>
    <t>Deutshe</t>
  </si>
  <si>
    <t>Air war College</t>
  </si>
  <si>
    <t xml:space="preserve">cutting disc </t>
  </si>
  <si>
    <t>Cable tile</t>
  </si>
  <si>
    <t>3 packets by shafeeq</t>
  </si>
  <si>
    <t>Welding work</t>
  </si>
  <si>
    <t>welding at damper (cash given to shafeeq)</t>
  </si>
  <si>
    <t>Linked adaptor</t>
  </si>
  <si>
    <t>purchased 200 nos nut</t>
  </si>
  <si>
    <t>From Nadeem bhai</t>
  </si>
  <si>
    <t>mamu</t>
  </si>
  <si>
    <t>Bilal bhai relative</t>
  </si>
  <si>
    <t>cash paid uptodate is 70,000</t>
  </si>
  <si>
    <t>cash paid (cash sent thru hammad)</t>
  </si>
  <si>
    <t>paid for the month of sept 22</t>
  </si>
  <si>
    <t>cash paid  for purchasing</t>
  </si>
  <si>
    <t>paid for tea fare and other things</t>
  </si>
  <si>
    <t>labour to mubeen</t>
  </si>
  <si>
    <t>paid for tapes purchasing</t>
  </si>
  <si>
    <t>The place October 2022 bill</t>
  </si>
  <si>
    <t>to Mukhtiar for Nov 22</t>
  </si>
  <si>
    <t xml:space="preserve">paid for shoes &amp; tools </t>
  </si>
  <si>
    <t>cash paid (by hand nadeem bhai)</t>
  </si>
  <si>
    <t>cash paid 1st advance</t>
  </si>
  <si>
    <t>To Abbas for purchasing</t>
  </si>
  <si>
    <t>paid for fittings for ethnic</t>
  </si>
  <si>
    <t>cash paid for jpmc staff advances</t>
  </si>
  <si>
    <t>To Gul for nov 22 (Sent thru amir engr)</t>
  </si>
  <si>
    <t>paid for 2 carton duct sealent</t>
  </si>
  <si>
    <t>paid for misc</t>
  </si>
  <si>
    <t>paid for 4 noos damper wiring</t>
  </si>
  <si>
    <t>cash paid in his profit share</t>
  </si>
  <si>
    <t>Moiz</t>
  </si>
  <si>
    <t>paid for 10 balti water shield</t>
  </si>
  <si>
    <t>Deutshe IT work</t>
  </si>
  <si>
    <t>Online tansfer for room integrity test</t>
  </si>
  <si>
    <t>paid for 15 bundles threaded rods and nut</t>
  </si>
  <si>
    <t>Shafeeq ftc</t>
  </si>
  <si>
    <t>cash paid (sent thru bakhti)</t>
  </si>
  <si>
    <t>paid for 1" drain insulation</t>
  </si>
  <si>
    <t>cash paid uptodate is 225,000</t>
  </si>
  <si>
    <t>paid for sprinkler purchasing</t>
  </si>
  <si>
    <t>paid for fame duct sealent</t>
  </si>
  <si>
    <t>Naveed</t>
  </si>
  <si>
    <t>To reheel for nov 22</t>
  </si>
  <si>
    <t>To Adil for Nov 22</t>
  </si>
  <si>
    <t>To Ahsan office for Nov 22</t>
  </si>
  <si>
    <t>To Jahangeer for Nov 22</t>
  </si>
  <si>
    <t>paid for purchasing (sent thru jahangeer)</t>
  </si>
  <si>
    <t>Deutche IT work</t>
  </si>
  <si>
    <t>Online tansfer to Secure vision</t>
  </si>
  <si>
    <t>Received against BAF 14th Floor</t>
  </si>
  <si>
    <t>paid for riskaha to ahsan insulation</t>
  </si>
  <si>
    <t>Kumail younus</t>
  </si>
  <si>
    <t>contactor &amp; overload for cooling tower motor</t>
  </si>
  <si>
    <t>purcahsed 10 burni</t>
  </si>
  <si>
    <t>Amjad bhai mobile balance</t>
  </si>
  <si>
    <t>purchase 27 x 18 &amp; 41 x 27 channels on cash</t>
  </si>
  <si>
    <t>paid for nadeem bha car wash</t>
  </si>
  <si>
    <t>paid for channel shifting</t>
  </si>
  <si>
    <t>submitted fees for Nov 22 + Dec 22</t>
  </si>
  <si>
    <t>paid for gsk site</t>
  </si>
  <si>
    <t>To Waseen for Nov 22 (by mubeen)</t>
  </si>
  <si>
    <t>paid for 2 nos rod bundles</t>
  </si>
  <si>
    <t>from Lahore to karachi for Air devices bilti</t>
  </si>
  <si>
    <t>from saddar to Dolmen for Air devices</t>
  </si>
  <si>
    <t>claimed fuel and mobile balance</t>
  </si>
  <si>
    <t>paid for making of panel  (easy paisa)</t>
  </si>
  <si>
    <t>To shahzeb BVN in deitche bank</t>
  </si>
  <si>
    <t>cash paid for kraft paper purchaseing</t>
  </si>
  <si>
    <t>Abid and Shahid salary</t>
  </si>
  <si>
    <t>purchased shopper for ducting 1 roll</t>
  </si>
  <si>
    <t xml:space="preserve">Irfan bhai salary </t>
  </si>
  <si>
    <t xml:space="preserve">abbas bhai salary </t>
  </si>
  <si>
    <t>jameel Baig</t>
  </si>
  <si>
    <t xml:space="preserve">Zeeshan salary </t>
  </si>
  <si>
    <t>paid for misc by order nadeem bhai</t>
  </si>
  <si>
    <t>cash paid for flow switch</t>
  </si>
  <si>
    <t>paid for bilal bhai mobile repairing &amp; protctor</t>
  </si>
  <si>
    <t>Chacha lateen overtime remaining</t>
  </si>
  <si>
    <t>invoice ftc 7th</t>
  </si>
  <si>
    <t>invoice jpmc</t>
  </si>
  <si>
    <t>invoice hydery</t>
  </si>
  <si>
    <t>invoice Falcon</t>
  </si>
  <si>
    <t>invoice BAF 14th floor</t>
  </si>
  <si>
    <t>to Azaad for misc</t>
  </si>
  <si>
    <t>To bilal bhai (this chq given to Shahbaz duct)</t>
  </si>
  <si>
    <t>To Faizan in air war</t>
  </si>
  <si>
    <t>Mhr invoices</t>
  </si>
  <si>
    <t>Paid to Zubair in Deutsche bank</t>
  </si>
  <si>
    <t>cash paid uptodate is 82,000</t>
  </si>
  <si>
    <t>Adv Rec from Total in JPMC (Chq cleared in Al Madina Steel Market he then returned cash</t>
  </si>
  <si>
    <t>cash paid for breaker</t>
  </si>
  <si>
    <t>Received cash from Badri office 7th Floor</t>
  </si>
  <si>
    <t xml:space="preserve">Sheheryar khalid salary </t>
  </si>
  <si>
    <t>waseem salary</t>
  </si>
  <si>
    <t>baitul Sukoon</t>
  </si>
  <si>
    <t>paid for misc by oder nadeem bhai</t>
  </si>
  <si>
    <t>irfan bhai computer replaced with new</t>
  </si>
  <si>
    <t>paid for pipe insulation</t>
  </si>
  <si>
    <t>To john for folding fare</t>
  </si>
  <si>
    <t>paid for rods and nut bolts</t>
  </si>
  <si>
    <t>The Place Cinema salary (increased)</t>
  </si>
  <si>
    <t>office petty</t>
  </si>
  <si>
    <t>Online tansfer to Naveed OMI</t>
  </si>
  <si>
    <t>TO jazz cash by oder bilal bhai</t>
  </si>
  <si>
    <t>mossi home salaries with diver salary (Nov)</t>
  </si>
  <si>
    <t>nadeem bhai Nov 22 salary</t>
  </si>
  <si>
    <t>waris Nov 22 salary</t>
  </si>
  <si>
    <t>Online tansfer for Breaker purchased</t>
  </si>
  <si>
    <t>Deutche Bank</t>
  </si>
  <si>
    <t>Bakhti salary</t>
  </si>
  <si>
    <t>nadeem bhai utilities bills paid</t>
  </si>
  <si>
    <t>To abbas for Dec 22</t>
  </si>
  <si>
    <t>Raees brother</t>
  </si>
  <si>
    <t>paid cash for jet diffusers 6 nos</t>
  </si>
  <si>
    <t xml:space="preserve">paid for canvas </t>
  </si>
  <si>
    <t>claimed fuel for 3 times  (ethnic + deutsche)</t>
  </si>
  <si>
    <t>To Sajjad  for Dec 22</t>
  </si>
  <si>
    <t>paid for fisher and cuttings discs</t>
  </si>
  <si>
    <t>cash paid (against chq deposit in PS)</t>
  </si>
  <si>
    <t>Khizer</t>
  </si>
  <si>
    <t>paid for Karchar pump</t>
  </si>
  <si>
    <t>OMI final payment (deposit in Pioneer Services)</t>
  </si>
  <si>
    <t>(Work carried out by huzaifa only invoice made in the name of Pioneer services this payment returned to Huzaifa</t>
  </si>
  <si>
    <t>To mukhtiar</t>
  </si>
  <si>
    <t>To Guddu insulator</t>
  </si>
  <si>
    <t>Adv Rec from Ethnic (Chq cleared in Al Madina Steel Market he then returned cash</t>
  </si>
  <si>
    <t>moiz duct selent</t>
  </si>
  <si>
    <t>paid for 5 balti water shield and chq</t>
  </si>
  <si>
    <t>paid for purchasing paints and other things (sent thr asif)</t>
  </si>
  <si>
    <t>cash paid uptodate is 126,000</t>
  </si>
  <si>
    <t>office to iqbal sons to falcon</t>
  </si>
  <si>
    <t xml:space="preserve">for nut and washer 20 kg </t>
  </si>
  <si>
    <t>Tapes</t>
  </si>
  <si>
    <t xml:space="preserve">10 carton 2" alumunium tapes from hussain </t>
  </si>
  <si>
    <t>To Raheel for Dec 22</t>
  </si>
  <si>
    <t>To Adil  for Dec 22</t>
  </si>
  <si>
    <t>paid for labour (sent thru bakhti)</t>
  </si>
  <si>
    <t>paid for pump repaired and service</t>
  </si>
  <si>
    <t>To mukhtiar for angles</t>
  </si>
  <si>
    <t>To anees grills</t>
  </si>
  <si>
    <t>purcahsed 10 burni of glue</t>
  </si>
  <si>
    <t>for rods</t>
  </si>
  <si>
    <t>paid for 3 days labour (sent thru asif)</t>
  </si>
  <si>
    <t>To asif  for Dec 22</t>
  </si>
  <si>
    <t>paid for Cambridge invoice</t>
  </si>
  <si>
    <t>Mehmood painter</t>
  </si>
  <si>
    <t>cash paid (he will return later</t>
  </si>
  <si>
    <t>To kamran  for Dec 22</t>
  </si>
  <si>
    <t>paid for cloth fare for rikshaw</t>
  </si>
  <si>
    <t>To Shahid for dec 22 (to lahore)</t>
  </si>
  <si>
    <t>Various sites</t>
  </si>
  <si>
    <t>paid for dawings</t>
  </si>
  <si>
    <t>purchased paints</t>
  </si>
  <si>
    <t>purchased clamps and fisher</t>
  </si>
  <si>
    <t>cash paid to Waqeel by order nadeem bhai</t>
  </si>
  <si>
    <t>Received Mob advance 40% of 22,659,066</t>
  </si>
  <si>
    <t>(Work carried out by John only invoice made in the name of Pioneer services this payment returned to John</t>
  </si>
  <si>
    <t>power wiring of damper</t>
  </si>
  <si>
    <t>IT work deutch</t>
  </si>
  <si>
    <t>paid for geyser fittings material</t>
  </si>
  <si>
    <t>plastic coating drawings</t>
  </si>
  <si>
    <t>advance rec JPMC waiting area Transfer to Yasir siddique account (care off Bilal bhai)</t>
  </si>
  <si>
    <t>paid from Sher shah to office (gadha gari)</t>
  </si>
  <si>
    <t>paid from office to falcon (suzuki)</t>
  </si>
  <si>
    <t>Builti</t>
  </si>
  <si>
    <t>paid for builty transportation of air devices</t>
  </si>
  <si>
    <t>paid from saddar to office (suzuki)</t>
  </si>
  <si>
    <t>paid for paint, tapes &amp; wrench and other</t>
  </si>
  <si>
    <t>paid cash uptodate is 170,000</t>
  </si>
  <si>
    <t>Italian Gyser</t>
  </si>
  <si>
    <t>purchased by nadeem bhai</t>
  </si>
  <si>
    <t>TO qadri pool</t>
  </si>
  <si>
    <t>misc in burhani</t>
  </si>
  <si>
    <t xml:space="preserve">Online tansfer to Imran insulator </t>
  </si>
  <si>
    <t>To john</t>
  </si>
  <si>
    <t>To accrescent</t>
  </si>
  <si>
    <t>paid from Sher shah to office (will be adjust)</t>
  </si>
  <si>
    <t>guddu insulator</t>
  </si>
  <si>
    <t>paid cash uptodate is 25000</t>
  </si>
  <si>
    <t>10 carton from puri traders + fare</t>
  </si>
  <si>
    <t>10 burni purchased from bohra peer + fare</t>
  </si>
  <si>
    <t>Fittings</t>
  </si>
  <si>
    <t>paid from site to office (material shifting)</t>
  </si>
  <si>
    <t>To Amjad ustad for Dec 22</t>
  </si>
  <si>
    <t>purchasd from abbas brothers by ahsan</t>
  </si>
  <si>
    <t>pipe shifting from office to Dolmen</t>
  </si>
  <si>
    <t>To azaad in badri office</t>
  </si>
  <si>
    <t>To imran feroz for Dec 22</t>
  </si>
  <si>
    <t>paid for suzuki fare pipe shifting</t>
  </si>
  <si>
    <t>Salary advance to Sheheryar</t>
  </si>
  <si>
    <t>Given to ALM engineer</t>
  </si>
  <si>
    <t>To sheheryar in personal (wedding gift)</t>
  </si>
  <si>
    <t>paid for verified bill copy</t>
  </si>
  <si>
    <t>Return from sheeraz saeed sons</t>
  </si>
  <si>
    <t>purchased 5 balti water shield 20 kg</t>
  </si>
  <si>
    <t>Biryani</t>
  </si>
  <si>
    <t>At site</t>
  </si>
  <si>
    <t>To Ideas associates</t>
  </si>
  <si>
    <t xml:space="preserve">To raees brother </t>
  </si>
  <si>
    <t>The place November 2022 bill</t>
  </si>
  <si>
    <t>cash paid for isolator, nuts and taami</t>
  </si>
  <si>
    <t>cash paid (sent thru mukhtiar)</t>
  </si>
  <si>
    <t>from office to mungo to falcon</t>
  </si>
  <si>
    <t>To waseem for dec 22 (given to mubeen)</t>
  </si>
  <si>
    <t>refreshment at site</t>
  </si>
  <si>
    <t>Stamp papers</t>
  </si>
  <si>
    <t>purchased for shop &amp; 2nd floor rent renewal</t>
  </si>
  <si>
    <t>Traffic challan</t>
  </si>
  <si>
    <t>paid cash for misc invoices (by order nadeem(</t>
  </si>
  <si>
    <t>Paid for hydery geyser intallation</t>
  </si>
  <si>
    <t>paid for riksah from ehsan trdrs to offie</t>
  </si>
  <si>
    <t>Dawat e hadiya</t>
  </si>
  <si>
    <t>Amir Plumber</t>
  </si>
  <si>
    <t>paid to Bikia for sample</t>
  </si>
  <si>
    <t>Bikia</t>
  </si>
  <si>
    <t>TO Imran engr for salary cards printing</t>
  </si>
  <si>
    <t>To nawaz insulaor</t>
  </si>
  <si>
    <t>Nadeem bluelines</t>
  </si>
  <si>
    <t xml:space="preserve">return cash </t>
  </si>
  <si>
    <t>for submittal prints</t>
  </si>
  <si>
    <t xml:space="preserve">To Bakhti for dec 22 </t>
  </si>
  <si>
    <t>paid in intallation work</t>
  </si>
  <si>
    <t>for folding to Nawaz in his account</t>
  </si>
  <si>
    <t>for fisher purchasing 10 box 10mm</t>
  </si>
  <si>
    <t>To Jahangeer for dec 22 (sent trhu bakhti)</t>
  </si>
  <si>
    <t>paid for purchasing (sent thu bakhti)</t>
  </si>
  <si>
    <t>Mobile balance</t>
  </si>
  <si>
    <t>from office to falcon (suzuki)</t>
  </si>
  <si>
    <t>TO ahsan office for fisher from HQ</t>
  </si>
  <si>
    <t>to steel craft</t>
  </si>
  <si>
    <t>To sheheryar for purchasing</t>
  </si>
  <si>
    <t>to waseem sent thru sheheryar</t>
  </si>
  <si>
    <t>cash paid (sent thu mukhtiar)</t>
  </si>
  <si>
    <t>paid for silver paint WT40 &amp; cleaner</t>
  </si>
  <si>
    <t>Tahir</t>
  </si>
  <si>
    <t>paid for folding jazz cash to tahir</t>
  </si>
  <si>
    <t>for glue fare riksahw fare</t>
  </si>
  <si>
    <t>to Irfan bhai</t>
  </si>
  <si>
    <t>to kamran office</t>
  </si>
  <si>
    <t>Online tranfer for room integrity test</t>
  </si>
  <si>
    <t>paid for VISA fittings</t>
  </si>
  <si>
    <t>purchased 2 boxes screw from unique</t>
  </si>
  <si>
    <t>Claimed tea and referehsment</t>
  </si>
  <si>
    <t>To waseem (sent thru mubeen)</t>
  </si>
  <si>
    <t>To sheheryar (sent thru mubeen)</t>
  </si>
  <si>
    <t>To Chacha lateef (sent thru mubeen)</t>
  </si>
  <si>
    <t>for purchasing of link adaptor</t>
  </si>
  <si>
    <t>Mossi and bakhti salary</t>
  </si>
  <si>
    <r>
      <t xml:space="preserve">Jpmc staff salary </t>
    </r>
    <r>
      <rPr>
        <b/>
        <sz val="14"/>
        <color rgb="FFFF0000"/>
        <rFont val="Calibri"/>
        <family val="2"/>
        <scheme val="minor"/>
      </rPr>
      <t>except imran and abid</t>
    </r>
  </si>
  <si>
    <t xml:space="preserve">To ahsan office </t>
  </si>
  <si>
    <t>Rec from IK on 31 dec 22</t>
  </si>
  <si>
    <t>paid advance in labour uptodate is 90,000</t>
  </si>
  <si>
    <t>hussain puti</t>
  </si>
  <si>
    <t>purchased 15 carton tapes</t>
  </si>
  <si>
    <t>utilities k elec bills paid</t>
  </si>
  <si>
    <t>sheheryar, lateef &amp; waseem</t>
  </si>
  <si>
    <t>Phase VIII salaries</t>
  </si>
  <si>
    <t>imran engr salary</t>
  </si>
  <si>
    <t>SST paid</t>
  </si>
  <si>
    <t>united inslation</t>
  </si>
  <si>
    <t>paid for XLPE duct insulation 620 Sqft</t>
  </si>
  <si>
    <t>pipe shifting from nasir colony to office</t>
  </si>
  <si>
    <t>shahid and abid salary</t>
  </si>
  <si>
    <t>paid for drawings</t>
  </si>
  <si>
    <t>nadeem bhai Dec 22 salary</t>
  </si>
  <si>
    <t>waris Dec 22 salary</t>
  </si>
  <si>
    <t>mossi home salaries with diver salary (Dec)</t>
  </si>
  <si>
    <t>paid cash Rs 9000 and CHQ from al madina steel Rs 50,000</t>
  </si>
  <si>
    <t>Nov 2022 bill RMR cienma</t>
  </si>
  <si>
    <t>imran insulator in falcon</t>
  </si>
  <si>
    <t>Bilal bhai credit card payment deposit</t>
  </si>
  <si>
    <t>credit card payment depositted</t>
  </si>
  <si>
    <t>suzuki from office to mungo to falcon</t>
  </si>
  <si>
    <t xml:space="preserve">suzuki from office to dolmen </t>
  </si>
  <si>
    <t>paid cash for lock and other items</t>
  </si>
  <si>
    <t>Johar cinema staff</t>
  </si>
  <si>
    <t>cash paid uptodate is 55,000</t>
  </si>
  <si>
    <t>Nadeem bhai for his profit share</t>
  </si>
  <si>
    <t>Profit share</t>
  </si>
  <si>
    <t>cash paid uptodate is 180,000</t>
  </si>
  <si>
    <t>glue</t>
  </si>
  <si>
    <t>purchased 10 balti glue</t>
  </si>
  <si>
    <t>paid for wiring and other items (Sent thru bakhti)</t>
  </si>
  <si>
    <t>paid for reduser 45 nos</t>
  </si>
  <si>
    <t>cut screw and tapes puchased by mubeen</t>
  </si>
  <si>
    <t>paid for cutting discs</t>
  </si>
  <si>
    <t>paid cash (sent thru nadeem bhai)</t>
  </si>
  <si>
    <t>purchased fittings from malik brothers</t>
  </si>
  <si>
    <t>cash paid (sent thru sheheryar)</t>
  </si>
  <si>
    <t>cash paid by bakhti</t>
  </si>
  <si>
    <t>paid for sprinkler purchasing 42 nos</t>
  </si>
  <si>
    <t>02483791</t>
  </si>
  <si>
    <t>02483792</t>
  </si>
  <si>
    <t>02483793</t>
  </si>
  <si>
    <t>02483794</t>
  </si>
  <si>
    <t>02483795</t>
  </si>
  <si>
    <t>02483796</t>
  </si>
  <si>
    <t>02483797</t>
  </si>
  <si>
    <t>FTC Oct 2022 bill</t>
  </si>
  <si>
    <t>jazz balance and ufine card</t>
  </si>
  <si>
    <t>paid for 1" pipe naali from 31st floor dmc</t>
  </si>
  <si>
    <t>from saeed sons to office (suzuki fare)</t>
  </si>
  <si>
    <t>To ahsan for purchasaing</t>
  </si>
  <si>
    <t>from saim bhai rods to office (suzuki)</t>
  </si>
  <si>
    <t>Suzuki fare from office to dolmen</t>
  </si>
  <si>
    <t>Muzammil</t>
  </si>
  <si>
    <t>To Bilal bhai MCB CHQ 1933400285</t>
  </si>
  <si>
    <t>raees brother in fire damper air war adv</t>
  </si>
  <si>
    <t>To Bilal bhai in his petty cash</t>
  </si>
  <si>
    <t>To muzammil in air war</t>
  </si>
  <si>
    <t>from hydery to office (suzuki)</t>
  </si>
  <si>
    <t>To amir engr for jan 23</t>
  </si>
  <si>
    <t>paid for 25 Nos sprinklers</t>
  </si>
  <si>
    <t>cash paid against MHR home invoices</t>
  </si>
  <si>
    <t>To faheem for cable coil 1.5mm</t>
  </si>
  <si>
    <t>Javed colour</t>
  </si>
  <si>
    <t>cash paid uptodate is 137000</t>
  </si>
  <si>
    <t>paid for welding rods amd screws</t>
  </si>
  <si>
    <t>To adil jpmc for jan 23</t>
  </si>
  <si>
    <t>cash paid thru nadeem bahi</t>
  </si>
  <si>
    <t>PAID CASH UPTODATE IS 15,000</t>
  </si>
  <si>
    <t>invoices hydery mall + folding transprtatin</t>
  </si>
  <si>
    <t>for lights</t>
  </si>
  <si>
    <t>12 carton tapes purchased</t>
  </si>
  <si>
    <t>hussain puri</t>
  </si>
  <si>
    <t>Motor winding</t>
  </si>
  <si>
    <t>Gree</t>
  </si>
  <si>
    <t>purchased 1 nos DFCU</t>
  </si>
  <si>
    <t>purchased 200 nos linkadaptr</t>
  </si>
  <si>
    <t>PAID CASH UPTODATE IS 16,000</t>
  </si>
  <si>
    <t>From Al madina (Owais)</t>
  </si>
  <si>
    <t>Given to Saim Brothers</t>
  </si>
  <si>
    <t>Given to Mungo</t>
  </si>
  <si>
    <t>To Huzaifa</t>
  </si>
  <si>
    <t>Bike Maintenance by ahsan</t>
  </si>
  <si>
    <t>paid cash to 3rd floor</t>
  </si>
  <si>
    <t>For Purchasing</t>
  </si>
  <si>
    <t>to shahid for purchasing (ok)</t>
  </si>
  <si>
    <t xml:space="preserve">misc invoices in hydery mall </t>
  </si>
  <si>
    <t>paid for cement and bajri for office</t>
  </si>
  <si>
    <t>To Gul for jan 23 (by hand amir engr)</t>
  </si>
  <si>
    <t>rikshaw fare tapes carton</t>
  </si>
  <si>
    <t>from office to mungo to office</t>
  </si>
  <si>
    <t>printer srickers for condenser pipes</t>
  </si>
  <si>
    <t>cash paid (sent trhu amjad ustad)</t>
  </si>
  <si>
    <t>paid for bilal bhai LCD repaired</t>
  </si>
  <si>
    <t>To  lateef for jan 23</t>
  </si>
  <si>
    <t>return cash to nadeem blue lines</t>
  </si>
  <si>
    <t>3rd Floor</t>
  </si>
  <si>
    <t>To  Abid for jan 23</t>
  </si>
  <si>
    <t>Trifit tender purchased from sem enginee</t>
  </si>
  <si>
    <t>for office work lights and other items</t>
  </si>
  <si>
    <t>Javed Colour</t>
  </si>
  <si>
    <t>paid for 5 days labour</t>
  </si>
  <si>
    <t>mobile balance jazz to someone his friend</t>
  </si>
  <si>
    <t>IIL sohail</t>
  </si>
  <si>
    <t>Katys</t>
  </si>
  <si>
    <t>BVN shahzeb</t>
  </si>
  <si>
    <t>Rec from Dawat e Hadoya against Geyset insl work againt bill # 014</t>
  </si>
  <si>
    <t>received chq (Work carried out by huzaifa only PS invoice used</t>
  </si>
  <si>
    <t>To Bilal bhai MCB CHQ 1933400303</t>
  </si>
  <si>
    <t>PAID CASH UPTODATE IS 21,000</t>
  </si>
  <si>
    <t>CLAIMED FUEL</t>
  </si>
  <si>
    <t>Actual bal</t>
  </si>
  <si>
    <t>bilal bhai home Grab bar + Electric board</t>
  </si>
  <si>
    <t>office lights</t>
  </si>
  <si>
    <t>purchased 15 burni of glue + fare</t>
  </si>
  <si>
    <t>Rec from IK on 25 Jan 23 in GSK Account</t>
  </si>
  <si>
    <t>paid for 10 nos sprinklers</t>
  </si>
  <si>
    <t>Glass</t>
  </si>
  <si>
    <t>paid adv for mirror by order nadeem bahi</t>
  </si>
  <si>
    <t>purchased 5 bucket of water shield</t>
  </si>
  <si>
    <t>Accressent engineers</t>
  </si>
  <si>
    <t>super card by amir engr</t>
  </si>
  <si>
    <t>Full and final payment:
Meezan Chq from IK  = 245000,
Cash                                =   20,000</t>
  </si>
  <si>
    <t>paid cash uptodate is 88,000</t>
  </si>
  <si>
    <t>To Waeem for jan 23 (sent thru jahangeer)</t>
  </si>
  <si>
    <t>Nadeem bhai home LCD panel repaired</t>
  </si>
  <si>
    <t>paid for nut bols and others + traffic challan</t>
  </si>
  <si>
    <t>Dec 2022 bill RMR cienma</t>
  </si>
  <si>
    <t>EAP adnan</t>
  </si>
  <si>
    <t>full and final payment.</t>
  </si>
  <si>
    <t xml:space="preserve">waris </t>
  </si>
  <si>
    <t>for swimming pool maintenance</t>
  </si>
  <si>
    <t>Madina steel</t>
  </si>
  <si>
    <t>paid for M.S sheet purchased</t>
  </si>
  <si>
    <t>utilities k elec + ssgc bills paid</t>
  </si>
  <si>
    <t xml:space="preserve">SSGC bill paid </t>
  </si>
  <si>
    <t>from site to office (material shifting)</t>
  </si>
  <si>
    <t>purchased silver colour at site + fuel</t>
  </si>
  <si>
    <t>cutting discs at site</t>
  </si>
  <si>
    <t>invoices falcon, hydery, jpmc, GSK, FTC</t>
  </si>
  <si>
    <t>for drawings</t>
  </si>
  <si>
    <t>Jahangeer, sheeryar, waseem &amp; lateef salary</t>
  </si>
  <si>
    <t>Falcon staff salaries</t>
  </si>
  <si>
    <t>For Purchasing of angle iron</t>
  </si>
  <si>
    <t>from office to bank al falah</t>
  </si>
  <si>
    <t>for cutting disc and pcv fittings for IT room</t>
  </si>
  <si>
    <t>cash paid by hand ahsan office</t>
  </si>
  <si>
    <t>nadeem bhai jan 23 salary</t>
  </si>
  <si>
    <t>waris jan 23 salary</t>
  </si>
  <si>
    <t>mossi home salaries with diver salary (Jan -23)</t>
  </si>
  <si>
    <t>purchased rubber gasket</t>
  </si>
  <si>
    <t>paid for 27 x 18 channel from mungo</t>
  </si>
  <si>
    <t>Given to faheem by bilal bhai account</t>
  </si>
  <si>
    <t>Given to faheem For ASP Javed home work</t>
  </si>
  <si>
    <t>To Sir rehman for misc invoices</t>
  </si>
  <si>
    <t>the place staff</t>
  </si>
  <si>
    <t>Abid, Shahid &amp; abbas</t>
  </si>
  <si>
    <t>paid for fire clamp 1"</t>
  </si>
  <si>
    <t>from korangi to dolmen (fcu shifting)</t>
  </si>
  <si>
    <t>Tea and refrehsment at falcon</t>
  </si>
  <si>
    <t>from office to falcon (fcu shifting)</t>
  </si>
  <si>
    <t>from saeed sons to office</t>
  </si>
  <si>
    <t>Nueplex Cinema</t>
  </si>
  <si>
    <t>cash paid for anees fan payment deposit</t>
  </si>
  <si>
    <t xml:space="preserve">Fan purchased at nueplex cinema cash deposit In raza aslam meezan account </t>
  </si>
  <si>
    <t>cash paid for wash comode and other items</t>
  </si>
  <si>
    <t>for abdur rehman fees</t>
  </si>
  <si>
    <t>to huzaifa awan for sprinklers</t>
  </si>
  <si>
    <t>VISA officee</t>
  </si>
  <si>
    <t>Online tranfer to Steel craft for disc valves &amp; diffusers</t>
  </si>
  <si>
    <t>operation maintenance logs documents</t>
  </si>
  <si>
    <t>Paid additional SRB amount</t>
  </si>
  <si>
    <t>SRB</t>
  </si>
  <si>
    <t>Dec 22 + Jan 23  bill</t>
  </si>
  <si>
    <t>Medical invoice sir rehman</t>
  </si>
  <si>
    <t>for builti from saddar to office</t>
  </si>
  <si>
    <t>paid for fan fare from office to dolmen</t>
  </si>
  <si>
    <t>To shahzeb BVN in visa deal</t>
  </si>
  <si>
    <t>Drainage work at ourside office</t>
  </si>
  <si>
    <t>PSYchiatry depart</t>
  </si>
  <si>
    <t>Falcon Mall</t>
  </si>
  <si>
    <t>Staff Name</t>
  </si>
  <si>
    <t>Invoices submitted</t>
  </si>
  <si>
    <t>Total Amount Rs</t>
  </si>
  <si>
    <t>cash taken from bilal bahi</t>
  </si>
  <si>
    <t>Cash Taken from office</t>
  </si>
  <si>
    <t>Cash Taken from Bilal bhai</t>
  </si>
  <si>
    <t>Cash Taken from Nadeem bhai</t>
  </si>
  <si>
    <t>cash paid (sent trhu mubeen)</t>
  </si>
  <si>
    <t>cash paid (sent thru amjad bhai)</t>
  </si>
  <si>
    <t>Received from Al Madina in Visa account on 07 Feb 23</t>
  </si>
  <si>
    <t>paid for battery charger</t>
  </si>
  <si>
    <t>cash paid (by order nadeem bhai)</t>
  </si>
  <si>
    <t>paid for office expenses</t>
  </si>
  <si>
    <t>paid for chilled water insulation</t>
  </si>
  <si>
    <t>Paid to Imran feroz (by order nadeem bhai)</t>
  </si>
  <si>
    <t>Deutche bank</t>
  </si>
  <si>
    <t>Paid 2 month fees Jan 23 + Feb 23</t>
  </si>
  <si>
    <t>cash paid for office stairs grill work</t>
  </si>
  <si>
    <t>purchased 20 burni glue + fare</t>
  </si>
  <si>
    <t>paid against balancing</t>
  </si>
  <si>
    <t>To Ahsan Razzaq for Feb 23</t>
  </si>
  <si>
    <t>To Gul sher for Feb 23</t>
  </si>
  <si>
    <t>From Owais Al-madina steel</t>
  </si>
  <si>
    <t xml:space="preserve">FND </t>
  </si>
  <si>
    <t>Air tickets KAR to ISL both sides</t>
  </si>
  <si>
    <t>For daughter's HIBA marriage dinner (In sir rehman account)</t>
  </si>
  <si>
    <t>MHR groceries 4 months (Nov 22, DEC 22, jan 23 &amp; feb 23)</t>
  </si>
  <si>
    <t>claimed by kamran</t>
  </si>
  <si>
    <t>invoices for tea</t>
  </si>
  <si>
    <t>to mukhtiar for feb 23</t>
  </si>
  <si>
    <t>cash paid for tea and referehment</t>
  </si>
  <si>
    <t>paid for lock</t>
  </si>
  <si>
    <t>Rec HDPE pipe sample from bikia by nadeem</t>
  </si>
  <si>
    <t>Bikea</t>
  </si>
  <si>
    <t>from office to dolmen (diffusers)</t>
  </si>
  <si>
    <t>claimed by ahsan</t>
  </si>
  <si>
    <t>paid for welding plant thimmal</t>
  </si>
  <si>
    <t>purchased from elekon associates</t>
  </si>
  <si>
    <t>to adil jpmc for feb 23</t>
  </si>
  <si>
    <t>VISA Office</t>
  </si>
  <si>
    <t>Chacha lateef advance</t>
  </si>
  <si>
    <t>Paid to Kamran for someone by order bilal bahi</t>
  </si>
  <si>
    <t>for wire 1.5mm 3 core flexible</t>
  </si>
  <si>
    <t>To raees brothers</t>
  </si>
  <si>
    <t>TO Bilal bhai for credit card payment</t>
  </si>
  <si>
    <t>To Bilal bhai MCB CHQ 1933400319 for credit card payment</t>
  </si>
  <si>
    <t>to shahid painter for feb 23</t>
  </si>
  <si>
    <t>to asif for feb 23</t>
  </si>
  <si>
    <t>to imran for feb 23</t>
  </si>
  <si>
    <r>
      <t>rem bal of abbas broter</t>
    </r>
    <r>
      <rPr>
        <sz val="10"/>
        <color theme="1"/>
        <rFont val="Calibri"/>
        <family val="2"/>
        <scheme val="minor"/>
      </rPr>
      <t xml:space="preserve"> (approved by bilal bhaI)</t>
    </r>
  </si>
  <si>
    <t>to abbas for feb 23</t>
  </si>
  <si>
    <t>paid for 15 than clothes</t>
  </si>
  <si>
    <t>K Elec bills paid for the month Feb 23</t>
  </si>
  <si>
    <t>from alhamd to office (motor shifting)</t>
  </si>
  <si>
    <t>cable</t>
  </si>
  <si>
    <t>cable tie purchased</t>
  </si>
  <si>
    <t>to Amjad for feb 23 (sent thru imran bhai)</t>
  </si>
  <si>
    <t>TO nadeem bhai in his profit share</t>
  </si>
  <si>
    <t>for water tanker (filled on 13-2-23)</t>
  </si>
  <si>
    <t>purchased glass mirror from hasan aman glass</t>
  </si>
  <si>
    <t>by ahsan</t>
  </si>
  <si>
    <t>for water tanker (filled on 23-2-23)</t>
  </si>
  <si>
    <t>from site to office (computer shifting)</t>
  </si>
  <si>
    <t>to ahsan for feb 23</t>
  </si>
  <si>
    <t>to Bakhti for feb 23</t>
  </si>
  <si>
    <t>from office to iqbal sons and falcon site</t>
  </si>
  <si>
    <t>CLAIMED BY SHERYAR</t>
  </si>
  <si>
    <t>paid to amir plumber for pump repairing</t>
  </si>
  <si>
    <t>Pump repairing</t>
  </si>
  <si>
    <t>purchased to mukhtiar contactor wd 40 and cleaner</t>
  </si>
  <si>
    <t xml:space="preserve">from office to iqbal sons </t>
  </si>
  <si>
    <t>from office to sem engineer (rikshaw)</t>
  </si>
  <si>
    <t>paid for Jubilee clamp 8" from Raj traders</t>
  </si>
  <si>
    <t>Jan 2023 bill RMR cienma</t>
  </si>
  <si>
    <t>paid for screw purchased at site</t>
  </si>
  <si>
    <t>to Gul sher for feb 23</t>
  </si>
  <si>
    <t>to Kamran for feb 23</t>
  </si>
  <si>
    <t>to Ami engr for feb 23</t>
  </si>
  <si>
    <t>to Abid for feb 23</t>
  </si>
  <si>
    <t>to bakhti for feb 23</t>
  </si>
  <si>
    <t>wireless usb purchased</t>
  </si>
  <si>
    <t>to jahangeer for feb 23</t>
  </si>
  <si>
    <t>claimed fuel and bykia</t>
  </si>
  <si>
    <t>paid for fire clamp + fisher</t>
  </si>
  <si>
    <t>amrele</t>
  </si>
  <si>
    <t>utilities k ele</t>
  </si>
  <si>
    <t>paid for linkadaptor 300 pieces</t>
  </si>
  <si>
    <t>SS sheet</t>
  </si>
  <si>
    <t>SS sheet purchased</t>
  </si>
  <si>
    <t>paid for S.S sheet purchased by jahangeer</t>
  </si>
  <si>
    <t>TO gul for feb 23</t>
  </si>
  <si>
    <t>invoices adjust</t>
  </si>
  <si>
    <t>paid for speed regulator to faheem</t>
  </si>
  <si>
    <t>john</t>
  </si>
  <si>
    <t>paid for 38 nos sprinklers</t>
  </si>
  <si>
    <t>Blank Chq given to Bilal bhai</t>
  </si>
  <si>
    <t>cinema staff salaries</t>
  </si>
  <si>
    <t xml:space="preserve">SST </t>
  </si>
  <si>
    <t>LOAN TO FAHEEM</t>
  </si>
  <si>
    <t>Salaries chq</t>
  </si>
  <si>
    <t>TO amir engr for feb 23</t>
  </si>
  <si>
    <t>paid for Bank alfalah site</t>
  </si>
  <si>
    <t>Bilti</t>
  </si>
  <si>
    <t>paid for bilti air devices</t>
  </si>
  <si>
    <t>from saddar to office</t>
  </si>
  <si>
    <t>tea &amp; refreshment</t>
  </si>
  <si>
    <t>to shafeeq for tea at ftc site</t>
  </si>
  <si>
    <t>paid for 10 nos fisher boxes + Fire loop clips</t>
  </si>
  <si>
    <t>Cigrate, envelop and UHU glue</t>
  </si>
  <si>
    <t>JPMC staff salary</t>
  </si>
  <si>
    <t>paid for purchasing cuttings dic and wedling rods</t>
  </si>
  <si>
    <t>Jahangeer, Abid, Shahid, shery, chacha latif, Abbas</t>
  </si>
  <si>
    <t>speed regulator</t>
  </si>
  <si>
    <t>1.5 mm 3 core coil</t>
  </si>
  <si>
    <t>coil</t>
  </si>
  <si>
    <t>FTC Nov 2022 bill</t>
  </si>
  <si>
    <t xml:space="preserve">Imtiaz </t>
  </si>
  <si>
    <t>Valves and flanges and nut bolts purchased</t>
  </si>
  <si>
    <t>paid for site expenses (sent thru shahid)</t>
  </si>
  <si>
    <t>riksahw for clothes</t>
  </si>
  <si>
    <t>paid for site expenses (sent thru amir plmbr)</t>
  </si>
  <si>
    <t>paid to bykia</t>
  </si>
  <si>
    <t>paid for 5 nos fisher boxes</t>
  </si>
  <si>
    <t>office staff salaries without kamran</t>
  </si>
  <si>
    <t>purchased material for chiller troublehooting</t>
  </si>
  <si>
    <t>paid for lock and qabza</t>
  </si>
  <si>
    <t>mossi home salaries with diver salary (Feb -23)</t>
  </si>
  <si>
    <t>nadeem bhai Feb 23 salary</t>
  </si>
  <si>
    <t>waris Feb 23 salary</t>
  </si>
  <si>
    <t>The place Feb 2023 bill</t>
  </si>
  <si>
    <t>paid for insulation work</t>
  </si>
  <si>
    <t>paid for mineral water</t>
  </si>
  <si>
    <t>To Bilal bhai MCB CHQ 1933400329 for credit card payment</t>
  </si>
  <si>
    <t>paid cash sent thru ahsan</t>
  </si>
  <si>
    <t>from abbas</t>
  </si>
  <si>
    <t>Received for pump repairing (rec from Al-hamd Client)</t>
  </si>
  <si>
    <t>claimed fuel by amir plumber</t>
  </si>
  <si>
    <t>Mosoom jpmc</t>
  </si>
  <si>
    <t>paid for misc ny order nadem bhai (given to imran engr)</t>
  </si>
  <si>
    <t>invoices falcon, hydery, jpmc, FTC</t>
  </si>
  <si>
    <t>FTC Dec 2022 bill</t>
  </si>
  <si>
    <t>FTC Jan 2023 bill</t>
  </si>
  <si>
    <t>fittings for tri fit gym</t>
  </si>
  <si>
    <t>kamran Salary</t>
  </si>
  <si>
    <t>rizwan vrf</t>
  </si>
  <si>
    <t>sir rehman MRI and medication</t>
  </si>
  <si>
    <t>Rehana aunty MRI and medication</t>
  </si>
  <si>
    <t>Total chq</t>
  </si>
  <si>
    <t>for saeed sons mazda</t>
  </si>
  <si>
    <t>paid cash to rizwan vrf</t>
  </si>
  <si>
    <t>Ali Jameel</t>
  </si>
  <si>
    <t>paid for core work</t>
  </si>
  <si>
    <t>for misc</t>
  </si>
  <si>
    <t>for tea at site</t>
  </si>
  <si>
    <t>bank al falah</t>
  </si>
  <si>
    <t>paid for site</t>
  </si>
  <si>
    <t>Not posted</t>
  </si>
  <si>
    <t>cash paid (given to imran engr)</t>
  </si>
  <si>
    <t>cloth</t>
  </si>
  <si>
    <t>purchased 16 than clothes</t>
  </si>
  <si>
    <t>FTC Feb 2023 bill</t>
  </si>
  <si>
    <t>To john against chq rec on 1 mar 23 of amount of rs 49804. Rs 4804 hold</t>
  </si>
  <si>
    <t>purchased channel 41 x 41 from mungu</t>
  </si>
  <si>
    <t>repaired FCU motor from shah jee</t>
  </si>
  <si>
    <t>TO umer office for Mar 23</t>
  </si>
  <si>
    <t>TO chacha lateef for Mar 23</t>
  </si>
  <si>
    <t>purchased welding leed and holders</t>
  </si>
  <si>
    <t>from office to dolmen</t>
  </si>
  <si>
    <t>purchased flexible pipe</t>
  </si>
  <si>
    <t>purchased 10 carton tapes + fare</t>
  </si>
  <si>
    <t>from office to trifit pipe shifting</t>
  </si>
  <si>
    <t>paid for masjid bilal (given to rizwan vrf)</t>
  </si>
  <si>
    <t>atif insulator</t>
  </si>
  <si>
    <t>from office to site (chemical shifting)</t>
  </si>
  <si>
    <t>TO mukhtiar for Mar 23</t>
  </si>
  <si>
    <t>TO asif for Mar 23</t>
  </si>
  <si>
    <t>claimed by mukhtiar</t>
  </si>
  <si>
    <t>Chamber of commerce</t>
  </si>
  <si>
    <t>Karachi chamber of commerce renewal</t>
  </si>
  <si>
    <t>from office to visa</t>
  </si>
  <si>
    <t>purchased fir clamp from ZAG engineering</t>
  </si>
  <si>
    <t>Fire clamp</t>
  </si>
  <si>
    <t>from office to falcon</t>
  </si>
  <si>
    <t>cash returned by Nadeem bhai</t>
  </si>
  <si>
    <t>claimed by mumtaz bhai</t>
  </si>
  <si>
    <t>tea for site</t>
  </si>
  <si>
    <t>Returned to Rehan</t>
  </si>
  <si>
    <t xml:space="preserve">Received from Al Madina </t>
  </si>
  <si>
    <t>Bank Al-habib</t>
  </si>
  <si>
    <t>Purchased ducting and other items</t>
  </si>
  <si>
    <t>Purchased butterfly dampers</t>
  </si>
  <si>
    <t>cash paid for site purchasing</t>
  </si>
  <si>
    <t>paid for site expenses Tea + Fare</t>
  </si>
  <si>
    <t>Bilal masjid</t>
  </si>
  <si>
    <t>TO ashraf for Mar 23</t>
  </si>
  <si>
    <t>paid (by order bilal bahi)</t>
  </si>
  <si>
    <t>TO kamran office for Mar 23</t>
  </si>
  <si>
    <t>Purchased silicon, cable tie, channel &amp; fisher</t>
  </si>
  <si>
    <t>Purchased cut screw</t>
  </si>
  <si>
    <t>Ashraf office</t>
  </si>
  <si>
    <t>purchased 8mm threaded rod &amp; nuts</t>
  </si>
  <si>
    <t>Purchased 2 coil &amp; 1 circuit</t>
  </si>
  <si>
    <t>paid salary as he left Pioneer</t>
  </si>
  <si>
    <t>Purchased 1 cylinder (given to ahsaan)</t>
  </si>
  <si>
    <t>paid in labour</t>
  </si>
  <si>
    <t>sohail industril</t>
  </si>
  <si>
    <t>to atif</t>
  </si>
  <si>
    <t>moin</t>
  </si>
  <si>
    <t>paid to moin (given to imran engr)</t>
  </si>
  <si>
    <t>K Elec bills paid for the month Mar 23</t>
  </si>
  <si>
    <t>adv to shahid, gul, rahil, amjad</t>
  </si>
  <si>
    <t xml:space="preserve">rikshaw </t>
  </si>
  <si>
    <t>purchased insulation from islamuddin</t>
  </si>
  <si>
    <t>claiemd fuel</t>
  </si>
  <si>
    <t>copper pipes (paid for bilty)</t>
  </si>
  <si>
    <t>from gul bai to office</t>
  </si>
  <si>
    <t>Bank alfalah</t>
  </si>
  <si>
    <t>cash paid for screw and rod plug</t>
  </si>
  <si>
    <t>for upvc pipe fitings cable tie</t>
  </si>
  <si>
    <t>purchased khujoor</t>
  </si>
  <si>
    <t>purchased drain fittings</t>
  </si>
  <si>
    <t>purchased fittings from abbas brothers</t>
  </si>
  <si>
    <t>purchased paint, karosine oil &amp; brushes</t>
  </si>
  <si>
    <t>Sultan mehmood</t>
  </si>
  <si>
    <t>Loan</t>
  </si>
  <si>
    <t>transfer cash in MCB (he will return later)</t>
  </si>
  <si>
    <t>Ibad ur Rehman</t>
  </si>
  <si>
    <t>transfer cash in MCB (in account of sir rehman)</t>
  </si>
  <si>
    <t>drain fittings</t>
  </si>
  <si>
    <t>purcahsed fittings by john</t>
  </si>
  <si>
    <t>in labour</t>
  </si>
  <si>
    <t>TO gul sher Mar 23</t>
  </si>
  <si>
    <t>for tranfering cash to mcb accounts</t>
  </si>
  <si>
    <t>TO Sheheryar khalid for Mar 23</t>
  </si>
  <si>
    <t>advance against flexible and VCD</t>
  </si>
  <si>
    <t>Feb 2023 bill RMR cienma</t>
  </si>
  <si>
    <t>purchased fittings from bharmal</t>
  </si>
  <si>
    <t>TO raheel for Mar 23</t>
  </si>
  <si>
    <t>Received Cinema Tariq</t>
  </si>
  <si>
    <t>paid for bilti</t>
  </si>
  <si>
    <t>paid for ss sheets</t>
  </si>
  <si>
    <t>to abbas for mar 23</t>
  </si>
  <si>
    <t xml:space="preserve">paid for chiller pump repairing </t>
  </si>
  <si>
    <t>krc solutions</t>
  </si>
  <si>
    <t>to imran feroz for mar 23</t>
  </si>
  <si>
    <t>mehmood painter</t>
  </si>
  <si>
    <t>paid for colour labour</t>
  </si>
  <si>
    <t>claimed by ashraf bhai</t>
  </si>
  <si>
    <t xml:space="preserve">Online chrgs for abve bils paid via jazz cash </t>
  </si>
  <si>
    <t>purchased 4 kg water shield</t>
  </si>
  <si>
    <t>water shield</t>
  </si>
  <si>
    <t>food court</t>
  </si>
  <si>
    <t>paint work</t>
  </si>
  <si>
    <t>purchased material</t>
  </si>
  <si>
    <t>to amir engr for mar 23</t>
  </si>
  <si>
    <t>Mufazzil</t>
  </si>
  <si>
    <t>zohaib tax</t>
  </si>
  <si>
    <t>paid by easy paisa to mufazil by order nadem</t>
  </si>
  <si>
    <t>paid for wiring (given thru umer office</t>
  </si>
  <si>
    <t>paid for colour labour uptodate is 3000</t>
  </si>
  <si>
    <t>paid for insulation work uptodate is 45000</t>
  </si>
  <si>
    <t>purchased 4 nos check valve</t>
  </si>
  <si>
    <t>paid cash uptodate is 20,000</t>
  </si>
  <si>
    <t>paid to nawaz in visa office</t>
  </si>
  <si>
    <t>purchased 100 pc 8mm drop anchor</t>
  </si>
  <si>
    <t>to mukhtiar  for mar 23</t>
  </si>
  <si>
    <t>paid for colour labour uptodate is 4000</t>
  </si>
  <si>
    <t>Paid to imran insulator</t>
  </si>
  <si>
    <t>paid for paint material for office stairs</t>
  </si>
  <si>
    <t>united insulation</t>
  </si>
  <si>
    <t>paint brush + shopper</t>
  </si>
  <si>
    <t>roller</t>
  </si>
  <si>
    <t>given to ahsan insulation 1 roll</t>
  </si>
  <si>
    <t>cash paid for labour</t>
  </si>
  <si>
    <t>colur from riaz uncle</t>
  </si>
  <si>
    <t>red paint &amp; brush purchased</t>
  </si>
  <si>
    <t>welding material purchased</t>
  </si>
  <si>
    <t>02483798</t>
  </si>
  <si>
    <t>To zubair for adv against grills &amp; diffuser</t>
  </si>
  <si>
    <t>to jahangeer for Mar 23</t>
  </si>
  <si>
    <t>from saeed sons to office and office to Site</t>
  </si>
  <si>
    <t xml:space="preserve">personal cash </t>
  </si>
  <si>
    <t>paid for rashans</t>
  </si>
  <si>
    <t>to amir engr for Mar 23</t>
  </si>
  <si>
    <t>echelon industires</t>
  </si>
  <si>
    <t>purchased 5 nos concealed sprinklers</t>
  </si>
  <si>
    <t>paid for colour labour uptodate is 5000</t>
  </si>
  <si>
    <t>paid for colour labour uptodate is 6000</t>
  </si>
  <si>
    <t>nadeem bhai Mar 23 salary</t>
  </si>
  <si>
    <t>waris Mar 23 salary</t>
  </si>
  <si>
    <t>mossi home salaries with diver salary (Mar -23)</t>
  </si>
  <si>
    <t>purchased PAL duct and other material from fakhri</t>
  </si>
  <si>
    <t>karosine oil and other</t>
  </si>
  <si>
    <t>from office to Visa site</t>
  </si>
  <si>
    <t>labour work</t>
  </si>
  <si>
    <t>given to sheheryar</t>
  </si>
  <si>
    <t>paid for colour labour uptodate is 7500</t>
  </si>
  <si>
    <t>Umer for car wash</t>
  </si>
  <si>
    <t>LOAN to SULTAN SHB</t>
  </si>
  <si>
    <t>Purchased 0.5mm SS coil 140 KG</t>
  </si>
  <si>
    <t>Paid for chiller descaling</t>
  </si>
  <si>
    <t>Purchased SS wire mesh</t>
  </si>
  <si>
    <t>Purchased cable tie</t>
  </si>
  <si>
    <t>TO Amir plumber for Mar 23 by imran engr</t>
  </si>
  <si>
    <t>Randomly paid</t>
  </si>
  <si>
    <t>TO Amir engr for Mar 23</t>
  </si>
  <si>
    <t>from office to site</t>
  </si>
  <si>
    <t>storm</t>
  </si>
  <si>
    <t>paid for colour labour uptodate is 8500</t>
  </si>
  <si>
    <t>tech automation bikyia</t>
  </si>
  <si>
    <t>invoices BAH</t>
  </si>
  <si>
    <t>paid for 14 bottles</t>
  </si>
  <si>
    <t>Sheheryar, abbas, chacha lateef</t>
  </si>
  <si>
    <t>paid for colour in baf</t>
  </si>
  <si>
    <t>claimed bike tyre rear new</t>
  </si>
  <si>
    <t>Rec from Naveed Malik</t>
  </si>
  <si>
    <t>Ashraf bhai salary</t>
  </si>
  <si>
    <t>bikyea</t>
  </si>
  <si>
    <t>from nadeem blue lines 3rd floor</t>
  </si>
  <si>
    <t>brush purchased + mising oil</t>
  </si>
  <si>
    <t>puri traders</t>
  </si>
  <si>
    <t xml:space="preserve"> purcahsed 5 carton tapes + fare</t>
  </si>
  <si>
    <t>submittal samples</t>
  </si>
  <si>
    <t>personal cash for Amjad sahab</t>
  </si>
  <si>
    <t>oil paint and mixing oil</t>
  </si>
  <si>
    <t>paid uptodate is 10,000</t>
  </si>
  <si>
    <t>paid for colour labour uptodate is 9500</t>
  </si>
  <si>
    <t>paid for colour labour uptodate is 10000</t>
  </si>
  <si>
    <t>Given to nadeem bhai</t>
  </si>
  <si>
    <t>purchased SS sheet</t>
  </si>
  <si>
    <t>purchaed 3 packet cable tie</t>
  </si>
  <si>
    <t>paid for farooq mehboob restaurant</t>
  </si>
  <si>
    <t>rashan fare + fuel</t>
  </si>
  <si>
    <t>paid for karosine oil + brush</t>
  </si>
  <si>
    <t>paid in exhasut fan insulation</t>
  </si>
  <si>
    <t>Online transfer to imran insulator thru konnect</t>
  </si>
  <si>
    <t>for bilal bhai home</t>
  </si>
  <si>
    <t>RMR cinema salary</t>
  </si>
  <si>
    <t>TO Muktiar for April 23</t>
  </si>
  <si>
    <t>TO Asif for April 23</t>
  </si>
  <si>
    <t>paid randomly</t>
  </si>
  <si>
    <t xml:space="preserve">shahid salary </t>
  </si>
  <si>
    <t>sir Rehman</t>
  </si>
  <si>
    <t>Water tanker (for 3 months)</t>
  </si>
  <si>
    <t>paid to imran engr for someone</t>
  </si>
  <si>
    <t>paid advance in trifit</t>
  </si>
  <si>
    <t>Material purchased from JPMC by imran engr</t>
  </si>
  <si>
    <t>Insulation</t>
  </si>
  <si>
    <t>purchased 7 roll from global lahore party</t>
  </si>
  <si>
    <t>fees paid for month Mar + april 23</t>
  </si>
  <si>
    <t>TO Amir engr for April 23</t>
  </si>
  <si>
    <t>paid for drawings payment</t>
  </si>
  <si>
    <t>Pipe nipple, fuel and other items</t>
  </si>
  <si>
    <t>paid cash uptote is 75,000</t>
  </si>
  <si>
    <t>Noor ul Islam cinema salary</t>
  </si>
  <si>
    <t>paid cash uptodate is 15000</t>
  </si>
  <si>
    <t>paid against bills</t>
  </si>
  <si>
    <t>paid 1st payment</t>
  </si>
  <si>
    <t>Canteen</t>
  </si>
  <si>
    <t xml:space="preserve">purchased paint and fittings </t>
  </si>
  <si>
    <t>Index</t>
  </si>
  <si>
    <t>purchased channel 27 x 18 x 1.25</t>
  </si>
  <si>
    <t>fan shifting</t>
  </si>
  <si>
    <t>Office salaires</t>
  </si>
  <si>
    <t>Bilal bhai personal share</t>
  </si>
  <si>
    <t>Zubair against butterfly dampers</t>
  </si>
  <si>
    <t>Zubair against linear grills</t>
  </si>
  <si>
    <t>Rec in acc of Imtiaz against bill for GAte valves inv # 977</t>
  </si>
  <si>
    <t>FTC Mar 23 receiving</t>
  </si>
  <si>
    <t>received Mar 2023 bill the place</t>
  </si>
  <si>
    <t>purchased threaded rod, washer &amp; nuts</t>
  </si>
  <si>
    <t>New Zakat</t>
  </si>
  <si>
    <t>Rec mob adv from Ali jameel residence</t>
  </si>
  <si>
    <t>Rec 2nd mob adv chq from Ali jameel residence</t>
  </si>
  <si>
    <t>claimed by mubeen</t>
  </si>
  <si>
    <t>pirnter repaired</t>
  </si>
  <si>
    <t>glass wool</t>
  </si>
  <si>
    <t>Builty for 7 roll from global lahore party</t>
  </si>
  <si>
    <t>Ufone and mobilink balance</t>
  </si>
  <si>
    <t>buity to office</t>
  </si>
  <si>
    <t>claimed mobile balance</t>
  </si>
  <si>
    <t>paid for labour for insulation</t>
  </si>
  <si>
    <t>spring purchaed + fare</t>
  </si>
  <si>
    <t>for roll shifting</t>
  </si>
  <si>
    <t>TO gul sher for april 23</t>
  </si>
  <si>
    <t>paid for colour material for office</t>
  </si>
  <si>
    <t>Chq via Al madina steel</t>
  </si>
  <si>
    <t>K Elec bills paid for the month April 23</t>
  </si>
  <si>
    <t>purchased cutting discs</t>
  </si>
  <si>
    <t>paid for labour (to waseem) for 2 days</t>
  </si>
  <si>
    <t xml:space="preserve">paid for diffuser repaired + fuel </t>
  </si>
  <si>
    <t>paid for sample</t>
  </si>
  <si>
    <t>purchased 5 box fisher</t>
  </si>
  <si>
    <t>paid for labour amount</t>
  </si>
  <si>
    <t>paid for return air diffuser 12 x 12</t>
  </si>
  <si>
    <t>fame international</t>
  </si>
  <si>
    <t>purchased 2 carton fame duct selent</t>
  </si>
  <si>
    <t>Linkadpter</t>
  </si>
  <si>
    <t>purchased 250 pcs linkadaptor from usman</t>
  </si>
  <si>
    <t>H.S Ahmed Ally</t>
  </si>
  <si>
    <t>purchased 05 nos fans</t>
  </si>
  <si>
    <t>shahzaib BVN</t>
  </si>
  <si>
    <t>Advance paid for fire equipment</t>
  </si>
  <si>
    <t>paid for threaded rods</t>
  </si>
  <si>
    <t>To azaad uptodate is 25,000</t>
  </si>
  <si>
    <t>cash paid shahid painter for nadeem bhai home</t>
  </si>
  <si>
    <t>for purchasing of color + brush and karosine</t>
  </si>
  <si>
    <t>To be paid</t>
  </si>
  <si>
    <t>Available</t>
  </si>
  <si>
    <t>Difference</t>
  </si>
  <si>
    <t>Tri fit</t>
  </si>
  <si>
    <t>Online transfer to Noman Ducting thru konnect</t>
  </si>
  <si>
    <t>Online transfer to JES thru konnect uptodate is 400,000</t>
  </si>
  <si>
    <t>Online transfer to imran insulator thru konnect uptodate is 125,000</t>
  </si>
  <si>
    <t>Online transfer to Nawaz insulator thru konnect (1st payment)</t>
  </si>
  <si>
    <t>TO SH YH in Air war college</t>
  </si>
  <si>
    <t>from Bilal bhai</t>
  </si>
  <si>
    <t xml:space="preserve">Eidi </t>
  </si>
  <si>
    <t>Dolmen</t>
  </si>
  <si>
    <t xml:space="preserve">Johar </t>
  </si>
  <si>
    <t>To Gul for April 23</t>
  </si>
  <si>
    <t>to shahid painter for April 23</t>
  </si>
  <si>
    <t>To Rehan for Eidi use</t>
  </si>
  <si>
    <t>To Faheem in sana safinaz account</t>
  </si>
  <si>
    <t>To Mubeen against his April salary</t>
  </si>
  <si>
    <t>Sana safinaz</t>
  </si>
  <si>
    <t>Loss occurred by Rehan negligence</t>
  </si>
  <si>
    <t>paid to bikyea for grills</t>
  </si>
  <si>
    <t>To sherry for spring</t>
  </si>
  <si>
    <t>from jahangeer</t>
  </si>
  <si>
    <t xml:space="preserve">Imran bhai </t>
  </si>
  <si>
    <t>purchased fittings, gasket nut bolt threaded</t>
  </si>
  <si>
    <t>puchased folding</t>
  </si>
  <si>
    <t>paid in labour uptodate 50,000</t>
  </si>
  <si>
    <t>paid to falcon staff</t>
  </si>
  <si>
    <t>to raheel for April 23</t>
  </si>
  <si>
    <t>advances</t>
  </si>
  <si>
    <t>To Noman at Bank Alfalah</t>
  </si>
  <si>
    <t>Ufone super card</t>
  </si>
  <si>
    <t>approved drawings scanned</t>
  </si>
  <si>
    <t>purchased 1" dia flow switch</t>
  </si>
  <si>
    <t>for purchasing of screw pana</t>
  </si>
  <si>
    <t>purchased drop anchor, office cooler and misc</t>
  </si>
  <si>
    <t>sir rehman mobilink balance</t>
  </si>
  <si>
    <t>purchaed 3 bucket of anti fungus</t>
  </si>
  <si>
    <t>moiz duct sealent</t>
  </si>
  <si>
    <t>purchased 10 box fisher</t>
  </si>
  <si>
    <t>tri fit</t>
  </si>
  <si>
    <t>Daftar</t>
  </si>
  <si>
    <t>purhcased 10 burni glue + fare</t>
  </si>
  <si>
    <t>bilty for XLPE insulation 6 rolls</t>
  </si>
  <si>
    <t>suzuki fare for 6 rolls</t>
  </si>
  <si>
    <t>paid for last night</t>
  </si>
  <si>
    <t>paid for C Channel 10 ft 1 length</t>
  </si>
  <si>
    <t>Advance for cable trays</t>
  </si>
  <si>
    <t>Cable trays</t>
  </si>
  <si>
    <t>paid for suzuki for shifitng of insulation and fittings</t>
  </si>
  <si>
    <t>rikshah fare for cloth and tapes</t>
  </si>
  <si>
    <t>imran insulator</t>
  </si>
  <si>
    <t>paid cash uptodate is 150,000</t>
  </si>
  <si>
    <t>paid for aftari tea and refreshment</t>
  </si>
  <si>
    <t>fittings for FCU unit ground floor</t>
  </si>
  <si>
    <t>paid advance in trifit uptodate is 750,000</t>
  </si>
  <si>
    <t>padi for 4 nos fire extinghuisher</t>
  </si>
  <si>
    <t>purchaed 7 bucket of anti fungus + fare</t>
  </si>
  <si>
    <t>paid cash uptodate is 60,000</t>
  </si>
  <si>
    <t>To Sufyan for april 23 (rec by mumtaz)</t>
  </si>
  <si>
    <t>paid for purchasing of cloth and tapes</t>
  </si>
  <si>
    <t>paid for purchasing  of cloth and tapes</t>
  </si>
  <si>
    <t>paid remaining cash for cloth and tapes</t>
  </si>
  <si>
    <t>ZAG traders</t>
  </si>
  <si>
    <t>paid for perforated channels</t>
  </si>
  <si>
    <t>paid againt XLPE 06 rolls</t>
  </si>
  <si>
    <t>MHR home massi salaries</t>
  </si>
  <si>
    <t>cash return to nadeem blue lines 3rd floor</t>
  </si>
  <si>
    <t>cash taken from 3rd floor for new notes</t>
  </si>
  <si>
    <t>paid for 3 days labour (rec by mukhtiar)</t>
  </si>
  <si>
    <t>fuel and fare claimed by ashraf bhai</t>
  </si>
  <si>
    <t>office staff salaries without Ashraf bhai</t>
  </si>
  <si>
    <t>amir engr salary</t>
  </si>
  <si>
    <t>nadeem bhai April 23 salary</t>
  </si>
  <si>
    <t>waris April 23 salary</t>
  </si>
  <si>
    <t>mossi home salaries with diver salary (April -23)
In april bilal bhai collect 80,000 rupess when I was travelling to peshawar</t>
  </si>
  <si>
    <t>abrar sahab</t>
  </si>
  <si>
    <t>paid for supply of AHU blower uptodate is 200,000</t>
  </si>
  <si>
    <t>irfan bahi</t>
  </si>
  <si>
    <t>bank alfalah staff</t>
  </si>
  <si>
    <t>2nd Advance for cable trays uptodate is 300000</t>
  </si>
  <si>
    <t>90pc blace tapes purhased @ 117/pc</t>
  </si>
  <si>
    <t>purchased copper fittings , wlding rods nut bolts</t>
  </si>
  <si>
    <t>from katyes to office (insulation)</t>
  </si>
  <si>
    <t>purchaed gasket and wire mesh</t>
  </si>
  <si>
    <t>all fittings from office to Tri fit gym</t>
  </si>
  <si>
    <t>paid to rizwan in acc of trifit uptodate 55000</t>
  </si>
  <si>
    <t>to Nadeem painter (given to imran engr)</t>
  </si>
  <si>
    <t>charity paid</t>
  </si>
  <si>
    <t xml:space="preserve">Jahangeer, sheheryar, mubeen, </t>
  </si>
  <si>
    <t>purchased channel 27 x 18 &amp; drop anchor</t>
  </si>
  <si>
    <t>purchased 1 balti zahabiya 4 kg</t>
  </si>
  <si>
    <t>sst April</t>
  </si>
  <si>
    <t>naveed insulator in khaadi</t>
  </si>
  <si>
    <t>ZAG engineering for XLPE rolls</t>
  </si>
  <si>
    <t>Mar 2023 bill RMR cienma</t>
  </si>
  <si>
    <t>Received against Running Bill # 1 (tranfer by BAF into MCB)</t>
  </si>
  <si>
    <t>Lateef &amp; chacha lateef</t>
  </si>
  <si>
    <t>zeeshan AC &amp; Abbas</t>
  </si>
  <si>
    <t>received April 2023 bill the place</t>
  </si>
  <si>
    <t>purchaed taflon tapes</t>
  </si>
  <si>
    <t>purchased endcap</t>
  </si>
  <si>
    <t>to Gul sher for may 23</t>
  </si>
  <si>
    <t>cash paid uprodate is 80,000</t>
  </si>
  <si>
    <t>RMR salaries</t>
  </si>
  <si>
    <t>purchased gasket + fisher + cutting disc mis</t>
  </si>
  <si>
    <t>paid for UPVC pipe and fittings</t>
  </si>
  <si>
    <t>Recived from NASTP in acc of Daftar khuwan</t>
  </si>
  <si>
    <t>for air curtain for trifit</t>
  </si>
  <si>
    <t>to rizwan vrf in trifit</t>
  </si>
  <si>
    <t>to fash cables</t>
  </si>
  <si>
    <t>Online transfer to KATYS thru konnect</t>
  </si>
  <si>
    <t>Online transfer to Saeed Sons thru konnect</t>
  </si>
  <si>
    <t>2 length copper 1-1/8 L type from fakhri</t>
  </si>
  <si>
    <t>Received against JPMC retention amount (Given to Bilal bhai in Mohsin traders acc)</t>
  </si>
  <si>
    <t>Received against FOOD COURT retention amount (Given to Bilal bhai in Ashfaq acc)</t>
  </si>
  <si>
    <t>Adhoc received against Running Bill No 1</t>
  </si>
  <si>
    <t>Final payment received against Running Bill No 1</t>
  </si>
  <si>
    <t xml:space="preserve">from tariq road to cliftin to office </t>
  </si>
  <si>
    <t>from mari porr to office (copper pipe)</t>
  </si>
  <si>
    <t>office to tri fit</t>
  </si>
  <si>
    <t>purchased 2 fire extinghuishers from paramount</t>
  </si>
  <si>
    <t>Fiber glass insulation 1" 24 kg @ 14400/roll</t>
  </si>
  <si>
    <t>cash for red oxide. Karosine + brush</t>
  </si>
  <si>
    <t>Given to Nawaz insulator in VISA office</t>
  </si>
  <si>
    <t>10 Roll rock wool insulation 2" 60 kg</t>
  </si>
  <si>
    <t xml:space="preserve">paid from maymar to office </t>
  </si>
  <si>
    <t>Online transfer to shabbir piping thru mohsin traders</t>
  </si>
  <si>
    <t>cash paid for drawings printing</t>
  </si>
  <si>
    <t>from office to khaadi roll shifting</t>
  </si>
  <si>
    <t>purchased burger paint + fuel</t>
  </si>
  <si>
    <t>ahsan computer repair + fuel</t>
  </si>
  <si>
    <t>To sohail IIE</t>
  </si>
  <si>
    <t>10 burni glue</t>
  </si>
  <si>
    <t>computer cables purchased</t>
  </si>
  <si>
    <t>purchaed 27 x 18 channel 10 nos</t>
  </si>
  <si>
    <t>from office to tariq rd to bohra pir to office</t>
  </si>
  <si>
    <t>purchased fisher 10mm &amp; 12 mm from mungo</t>
  </si>
  <si>
    <t>yellow pages</t>
  </si>
  <si>
    <t>cash paid for magazine printing</t>
  </si>
  <si>
    <t>paid for luz and connector (to Huzaifa)</t>
  </si>
  <si>
    <t>BAH center point</t>
  </si>
  <si>
    <t>from office to daftar</t>
  </si>
  <si>
    <t>from office to bolten to office</t>
  </si>
  <si>
    <t>filled on 25 may 23</t>
  </si>
  <si>
    <t>To Zubair in Bank Al Habib</t>
  </si>
  <si>
    <t>cash paid uptodate is 110,000</t>
  </si>
  <si>
    <t>To Khrsheed fan in Meezab bank deal</t>
  </si>
  <si>
    <t>Cash paid (remaining cash after fakhri)</t>
  </si>
  <si>
    <t>Received against JPMC retention amount (Given to Bilal bhai in sardar acc)</t>
  </si>
  <si>
    <t>Biryani at site NASTP</t>
  </si>
  <si>
    <t>Biryani at site Daftar Khwan</t>
  </si>
  <si>
    <t>telepnohc connector for office</t>
  </si>
  <si>
    <t>cash paid for site (given to sheheryar)</t>
  </si>
  <si>
    <t>IN</t>
  </si>
  <si>
    <t>OUT</t>
  </si>
  <si>
    <t>Ashraf</t>
  </si>
  <si>
    <t>red oxide and mixing oil</t>
  </si>
  <si>
    <t xml:space="preserve">15 than cloth + </t>
  </si>
  <si>
    <t>10 carton tapes</t>
  </si>
  <si>
    <t>fittings</t>
  </si>
  <si>
    <t>from HS ahemd aly to office</t>
  </si>
  <si>
    <t>mateiral shifting</t>
  </si>
  <si>
    <t>welding rod 12 nos</t>
  </si>
  <si>
    <t>sample</t>
  </si>
  <si>
    <t>sample purchased</t>
  </si>
  <si>
    <t>to lateef chacha for may 23 (given to sheheryar)</t>
  </si>
  <si>
    <t>Online transfer to Raees brother thru Mohsin traders</t>
  </si>
  <si>
    <t>CLAIMED BY SHEHERYAR</t>
  </si>
  <si>
    <t>PABX system installed</t>
  </si>
  <si>
    <t>silicon, fittings tapes fuel and other</t>
  </si>
  <si>
    <t>material</t>
  </si>
  <si>
    <t>27 x 18 channel 9 nos from mumgo</t>
  </si>
  <si>
    <t>27 x 18 channel 25 nos (SIKLA made)</t>
  </si>
  <si>
    <t>paid for chiller motor pump from shah jee</t>
  </si>
  <si>
    <t>material shifting from office to site</t>
  </si>
  <si>
    <t>tO scalfolding contractor</t>
  </si>
  <si>
    <t>to faizan duct</t>
  </si>
  <si>
    <t>to shabbir piping</t>
  </si>
  <si>
    <t>to asif for may 23 (given to mukhtiar)</t>
  </si>
  <si>
    <t>to imran feroz for may 23 (given to mukhtiar)</t>
  </si>
  <si>
    <t>purchased po foams spray</t>
  </si>
  <si>
    <t>padi to bykia</t>
  </si>
  <si>
    <t>anees grills</t>
  </si>
  <si>
    <t>paid for 2 grills and 2 filter</t>
  </si>
  <si>
    <t>paid uptodate is 35,000</t>
  </si>
  <si>
    <t>from office for fitttings</t>
  </si>
  <si>
    <t>sample collect from SEM office + boray</t>
  </si>
  <si>
    <t>paid advance in daftar deal</t>
  </si>
  <si>
    <t>Meezan invoices</t>
  </si>
  <si>
    <t>Bank al falah invoices</t>
  </si>
  <si>
    <t>purchase flair nuts</t>
  </si>
  <si>
    <t>ali jameel</t>
  </si>
  <si>
    <t>purchased UPVC pipes &amp; fittings from tahiry</t>
  </si>
  <si>
    <t>to sajjad for may 23</t>
  </si>
  <si>
    <t>ramaining amount paid in SS sheet</t>
  </si>
  <si>
    <t>ss sheet</t>
  </si>
  <si>
    <t>To sheheryar for SS sheet</t>
  </si>
  <si>
    <t>To Nadeem bhai for purchasing</t>
  </si>
  <si>
    <t>shifting of 1 roll</t>
  </si>
  <si>
    <t xml:space="preserve">purchased channel </t>
  </si>
  <si>
    <t>April 2023 bill RMR cienma</t>
  </si>
  <si>
    <t>suzuki fare from office to tariq rd to falcon</t>
  </si>
  <si>
    <t>purchased black tapes</t>
  </si>
  <si>
    <t>from Nueplex site</t>
  </si>
  <si>
    <t>to mehmood painter</t>
  </si>
  <si>
    <t>TO SM YH on daftar project</t>
  </si>
  <si>
    <t>Fittings purchased</t>
  </si>
  <si>
    <t>purchased glasswool roll 1" 20 Rolls from fakhri enterprices</t>
  </si>
  <si>
    <t>purchased 4 carton tapes</t>
  </si>
  <si>
    <t>To masood tech automation in Cinema old remaining amount</t>
  </si>
  <si>
    <t>To masood tech for 5 nos thermostat</t>
  </si>
  <si>
    <t>purcgased rods for daftar</t>
  </si>
  <si>
    <t>malik brothers</t>
  </si>
  <si>
    <t>naveed insulator in air war</t>
  </si>
  <si>
    <t>Online transfer to Rehan shah jee in bank Alfalah</t>
  </si>
  <si>
    <t>Online transfer to Naveed JES in Visa acc</t>
  </si>
  <si>
    <t>Paid to Amjad Dubai in Ethnic account</t>
  </si>
  <si>
    <t>for chairs repairing</t>
  </si>
  <si>
    <t>purchased for rods and other material</t>
  </si>
  <si>
    <t>purcahsed 4 carton duct sealent</t>
  </si>
  <si>
    <t>AGP Limiter tender from A+ engineers</t>
  </si>
  <si>
    <t>paid for ladder, screw and other items</t>
  </si>
  <si>
    <t>padi in labour upr=otdate is 75000</t>
  </si>
  <si>
    <t>To nadeem blue lines</t>
  </si>
  <si>
    <t>deutcshe</t>
  </si>
  <si>
    <t>paid for labour 1st payment</t>
  </si>
  <si>
    <t>Ahsan computer repaired + mouse</t>
  </si>
  <si>
    <t>K Elec bills paid for the month May 23</t>
  </si>
  <si>
    <t>7th floor FTC</t>
  </si>
  <si>
    <t>paid for tea and ref confirmed by bilal</t>
  </si>
  <si>
    <t>to Raheel for may 23</t>
  </si>
  <si>
    <t>to mukhtiar for may 23</t>
  </si>
  <si>
    <t xml:space="preserve">for site </t>
  </si>
  <si>
    <t xml:space="preserve">paid for channel for 41 x 21 10 length </t>
  </si>
  <si>
    <t>from office to trifit</t>
  </si>
  <si>
    <t>purchased 2 bit</t>
  </si>
  <si>
    <t>from khori garden to office</t>
  </si>
  <si>
    <t xml:space="preserve">Salary adv to lateef </t>
  </si>
  <si>
    <t>purchased channel</t>
  </si>
  <si>
    <t>from agm to office</t>
  </si>
  <si>
    <t>Received against Combine JPMC + Food retention amount (Given to Bilal bhai in Mohsin traders acc)</t>
  </si>
  <si>
    <t>purchased channel 41 x 41 and drop in achor</t>
  </si>
  <si>
    <t>purchased N-Clad 10 nos sheets</t>
  </si>
  <si>
    <t>purchased channels 27 x 18</t>
  </si>
  <si>
    <t>purchased channels 41 x 21 20 length</t>
  </si>
  <si>
    <t>purchased flexbile duct 8" 4 carton</t>
  </si>
  <si>
    <t>for purchasig of flexble ducts</t>
  </si>
  <si>
    <t>to abid for may 23</t>
  </si>
  <si>
    <t>paid for wedling rod and discs</t>
  </si>
  <si>
    <t>to abbas for may 23</t>
  </si>
  <si>
    <t>purchased samand bond 1 kg</t>
  </si>
  <si>
    <t>To ashraf bhai for charity</t>
  </si>
  <si>
    <t>purchased rubber isolator</t>
  </si>
  <si>
    <t>purchased gasket tape 2"</t>
  </si>
  <si>
    <t>claimed fuel by ashraf bhai</t>
  </si>
  <si>
    <t>purchased distumbar paint</t>
  </si>
  <si>
    <t>purcahsed AGM solution by rizwan</t>
  </si>
  <si>
    <t>paid zakat by bilal bhai in acc of MHR</t>
  </si>
  <si>
    <t xml:space="preserve">Rec from IK in account of GSK </t>
  </si>
  <si>
    <t>FOR SITE EXPENSES</t>
  </si>
  <si>
    <t>COPPER PIPE</t>
  </si>
  <si>
    <t>purchased copper pipes</t>
  </si>
  <si>
    <t>from iqbal sosn to office for rock wool</t>
  </si>
  <si>
    <t>to mukhtiar (standard chartered)</t>
  </si>
  <si>
    <t>to nadeem bahi</t>
  </si>
  <si>
    <t>from imran engr</t>
  </si>
  <si>
    <t>To Bilal bhai MCB CHQ 1940091013</t>
  </si>
  <si>
    <t>To Bilal bhai MCB CHQ 1940091014</t>
  </si>
  <si>
    <t>paid in labour 1st payment</t>
  </si>
  <si>
    <t>for purchased for wire</t>
  </si>
  <si>
    <t>for rockwool roll shifitng</t>
  </si>
  <si>
    <t>Online transfer to dominar engineers for VFD repairing</t>
  </si>
  <si>
    <t>Online transfer to M.M ALAM for threaded rods</t>
  </si>
  <si>
    <t xml:space="preserve">Online transfer for 2.5mm 4c cable </t>
  </si>
  <si>
    <t>bank alfalah</t>
  </si>
  <si>
    <t>invoices standard chartered</t>
  </si>
  <si>
    <t>invoices bank al falah</t>
  </si>
  <si>
    <t>Computer repair</t>
  </si>
  <si>
    <t>To rehan for AGP tender</t>
  </si>
  <si>
    <t>to sheryar khalid for may 23</t>
  </si>
  <si>
    <t>To Ashraf bhai for purchasing</t>
  </si>
  <si>
    <t>office to tariq to bohra pir to site</t>
  </si>
  <si>
    <t>office to daftar</t>
  </si>
  <si>
    <t>purchaed GI nuts</t>
  </si>
  <si>
    <t>purchased 15 carton aluminuim tapes 2"</t>
  </si>
  <si>
    <t>purchased 15 balti glue</t>
  </si>
  <si>
    <t xml:space="preserve">15 than cloth </t>
  </si>
  <si>
    <t>printer refills</t>
  </si>
  <si>
    <t>cuttings disc</t>
  </si>
  <si>
    <t>purhcased 1" UPVC pipe</t>
  </si>
  <si>
    <t>SSGC bill paid (nadeem bhai)</t>
  </si>
  <si>
    <t>ibrahim fittings</t>
  </si>
  <si>
    <t>purchasing fittings</t>
  </si>
  <si>
    <t>Unit gas charging and ac work at ASPL office</t>
  </si>
  <si>
    <t>Mosque</t>
  </si>
  <si>
    <t>paid for Bilal masjid</t>
  </si>
  <si>
    <t>paid for site expenses uptoate 7000</t>
  </si>
  <si>
    <t>paid for 2 days lunch at site for plant room</t>
  </si>
  <si>
    <t>purhased gasket 2 roll</t>
  </si>
  <si>
    <t>wire hose and clip</t>
  </si>
  <si>
    <t xml:space="preserve">Crane </t>
  </si>
  <si>
    <t>paid for crane charges</t>
  </si>
  <si>
    <t>paid against air devices</t>
  </si>
  <si>
    <t>to Mubeen for may 23</t>
  </si>
  <si>
    <t>mehbood</t>
  </si>
  <si>
    <t>paid for thermostats checking</t>
  </si>
  <si>
    <t>purchased 33 nos sprinkler cover plates from mn enterprises</t>
  </si>
  <si>
    <t>Amount</t>
  </si>
  <si>
    <t>to ahsan may 23</t>
  </si>
  <si>
    <t>for bykia</t>
  </si>
  <si>
    <t xml:space="preserve">office cash </t>
  </si>
  <si>
    <t>advance for cable tray</t>
  </si>
  <si>
    <t>To Atif insulator</t>
  </si>
  <si>
    <t>7 insulation rolls (online tranfer)</t>
  </si>
  <si>
    <t>for isulation (online tranfer)</t>
  </si>
  <si>
    <t>To Nawaz Insulator (online tranfer)</t>
  </si>
  <si>
    <t>to gul sher may 23</t>
  </si>
  <si>
    <t>Hassan AC tech</t>
  </si>
  <si>
    <t>Purchased jubilee clip</t>
  </si>
  <si>
    <t>to jahangeer may 23</t>
  </si>
  <si>
    <t>to Kamran office may 23</t>
  </si>
  <si>
    <t>paid for bit (by hand lateef)</t>
  </si>
  <si>
    <t>purchased contact cleaner and fuel for RMR</t>
  </si>
  <si>
    <t>misc by  hassan</t>
  </si>
  <si>
    <t>XLPE insulation to site</t>
  </si>
  <si>
    <t>bykia for sending reports</t>
  </si>
  <si>
    <t>purchased magic + marker by mubeen</t>
  </si>
  <si>
    <t>purchased 27 x 18  20 length</t>
  </si>
  <si>
    <t>Office door closer + labour</t>
  </si>
  <si>
    <t>Tri fit + Dafter (Channel + insulation roll)</t>
  </si>
  <si>
    <t>Rec from NASTP in Account of Daster Khwan</t>
  </si>
  <si>
    <t>gsk + VISA</t>
  </si>
  <si>
    <t>paid for VFDs</t>
  </si>
  <si>
    <t>Tariq automation</t>
  </si>
  <si>
    <t>cash paid for cooling tower valve repairing</t>
  </si>
  <si>
    <t>cash paid against pipe deal</t>
  </si>
  <si>
    <t>paid for charity in sailani welfare</t>
  </si>
  <si>
    <t>advance paid for copper piping</t>
  </si>
  <si>
    <t>jpmc + dafter</t>
  </si>
  <si>
    <t>Umer + mossi salary</t>
  </si>
  <si>
    <t>final payment for cable tray</t>
  </si>
  <si>
    <t>material shifting from site to office</t>
  </si>
  <si>
    <t>Dongle purchased</t>
  </si>
  <si>
    <t>claimed by abbas</t>
  </si>
  <si>
    <t>purchaed 6 carton duct sealent</t>
  </si>
  <si>
    <t>clothes</t>
  </si>
  <si>
    <t>purchased 10 burni glue</t>
  </si>
  <si>
    <t xml:space="preserve">purchased fittings </t>
  </si>
  <si>
    <t>paid for tea and referemtns</t>
  </si>
  <si>
    <t>paid for stationery for site</t>
  </si>
  <si>
    <t>shahid painter and nadeem painter</t>
  </si>
  <si>
    <t>cash paid for light testing</t>
  </si>
  <si>
    <t>Lateef + Chacha lateef</t>
  </si>
  <si>
    <t>naveed insulator</t>
  </si>
  <si>
    <t>cash paid (uptodate is 135,000)</t>
  </si>
  <si>
    <t>cash paid (by  hand madam bushra)</t>
  </si>
  <si>
    <t>purchaed 2 carton a4 rim</t>
  </si>
  <si>
    <t>cash paid in nadeem bhai share</t>
  </si>
  <si>
    <t>Amjad ustad + Raheel</t>
  </si>
  <si>
    <t>Abid  + gul sher</t>
  </si>
  <si>
    <t>purchased channel 3 x 1.5</t>
  </si>
  <si>
    <t>ahsan office</t>
  </si>
  <si>
    <t>to ahsraf bhai for may 23</t>
  </si>
  <si>
    <t>cash paid uptodate is 80,000</t>
  </si>
  <si>
    <t>Abbas + Sheheryar</t>
  </si>
  <si>
    <t>paid for channel 3 x 1.5 30 rft</t>
  </si>
  <si>
    <t>purchased channel 27 x 18   18 SWG</t>
  </si>
  <si>
    <t>irfan bahi salary</t>
  </si>
  <si>
    <t>Paid for glass wool roll  1" 24 kg 8 roll insulation (geiven to ashraf bhai)</t>
  </si>
  <si>
    <t>Maria-B</t>
  </si>
  <si>
    <t>purchased cuttings</t>
  </si>
  <si>
    <t>to Mubeen for June 23</t>
  </si>
  <si>
    <t>TO Muzzamil in air war</t>
  </si>
  <si>
    <t>air war</t>
  </si>
  <si>
    <t>purchased cuttings disc and other items</t>
  </si>
  <si>
    <t xml:space="preserve">office staff salaries </t>
  </si>
  <si>
    <t>paid for chemical</t>
  </si>
  <si>
    <t>To Mumtaz for chiller 2 condenser fan motor</t>
  </si>
  <si>
    <t>karosine oil + gloves</t>
  </si>
  <si>
    <t>fishcer10 mm</t>
  </si>
  <si>
    <t>Imran engr salary</t>
  </si>
  <si>
    <t>purchased fittings (falcon + amreli)</t>
  </si>
  <si>
    <t>Mumtaz</t>
  </si>
  <si>
    <t>Zeeshan The place</t>
  </si>
  <si>
    <t>Rashid minhas staff salaries</t>
  </si>
  <si>
    <t>noor islam</t>
  </si>
  <si>
    <t>fittings for chillers at projection depart</t>
  </si>
  <si>
    <t>May 2023 bill RMR cienma</t>
  </si>
  <si>
    <t>material return from the site</t>
  </si>
  <si>
    <t>to Gul sher for june 23</t>
  </si>
  <si>
    <t>Jahangeer salary after adv deduct</t>
  </si>
  <si>
    <t>K electric bill paid</t>
  </si>
  <si>
    <t>purchased PCV black tapes</t>
  </si>
  <si>
    <t>from Al madina Owais</t>
  </si>
  <si>
    <t>paid for foam and cutting disc</t>
  </si>
  <si>
    <t>paid to mubeen</t>
  </si>
  <si>
    <t>purchased wire mesh</t>
  </si>
  <si>
    <t>purchaed 1 carton 2" tapes</t>
  </si>
  <si>
    <t>purchased copper fittings</t>
  </si>
  <si>
    <t>purchased pipe clamp 2" drop anchor</t>
  </si>
  <si>
    <t>from the place against inv # 079</t>
  </si>
  <si>
    <t>purchased wire coil</t>
  </si>
  <si>
    <t>paid from fakhti ware house to ali jamee</t>
  </si>
  <si>
    <t>purchased cable trays</t>
  </si>
  <si>
    <t>from office to tariq rd to falcon</t>
  </si>
  <si>
    <t>purchased pop ribbits</t>
  </si>
  <si>
    <t>standard chartered invoices</t>
  </si>
  <si>
    <t>nadeem bhai May 23 salary</t>
  </si>
  <si>
    <t>waris May 23 salary</t>
  </si>
  <si>
    <t>Received from Total in acc of Meezan bank</t>
  </si>
  <si>
    <t>Online transfer to KRC total solutions</t>
  </si>
  <si>
    <t>To ahsan for drop in anchor for meezan</t>
  </si>
  <si>
    <t>mossi home salaries with diver salary (Apr -23)</t>
  </si>
  <si>
    <t>mossi home salaries with diver salary (May -23)</t>
  </si>
  <si>
    <t>Online transfer to Rizwan VRF</t>
  </si>
  <si>
    <t>majid acc</t>
  </si>
  <si>
    <t>to Salman cinema for june 23</t>
  </si>
  <si>
    <t>Online transfer to Hassan AC</t>
  </si>
  <si>
    <t>Online transfer to copper pipe</t>
  </si>
  <si>
    <t>paid for bilty</t>
  </si>
  <si>
    <t>purhcased nut bolt 12mm</t>
  </si>
  <si>
    <t>purhcased pin valve</t>
  </si>
  <si>
    <t>MOHSIN TRADERS</t>
  </si>
  <si>
    <t>builti to mandi bahauddin</t>
  </si>
  <si>
    <t>Online transfer to Index</t>
  </si>
  <si>
    <t>purhcased upvc elbow</t>
  </si>
  <si>
    <t>sheharyar</t>
  </si>
  <si>
    <t>misc fittings</t>
  </si>
  <si>
    <t>rehana rehman</t>
  </si>
  <si>
    <t>deutsche</t>
  </si>
  <si>
    <t>verified bill copy</t>
  </si>
  <si>
    <t>umer for office use</t>
  </si>
  <si>
    <t>CHQ deposit</t>
  </si>
  <si>
    <t>Return Payment</t>
  </si>
  <si>
    <t>Online transfer to John Yousuf Masih</t>
  </si>
  <si>
    <t>purchased 1 balti antifungus 20 kg</t>
  </si>
  <si>
    <t>(tri fit + daftar)</t>
  </si>
  <si>
    <t>purchased alumnium and PVc tapes</t>
  </si>
  <si>
    <t>Copper fittings</t>
  </si>
  <si>
    <t>purchased fast cable coil 2,5 mm 4 core</t>
  </si>
  <si>
    <t>Online transfer to KATYS in Tri Fit project</t>
  </si>
  <si>
    <t>JPmc</t>
  </si>
  <si>
    <t>paid cash in labour</t>
  </si>
  <si>
    <t>shifting of paal sheet for meezan bank</t>
  </si>
  <si>
    <t>to gul sher for june 23</t>
  </si>
  <si>
    <t>site</t>
  </si>
  <si>
    <t>paid to jahangeer for meeting</t>
  </si>
  <si>
    <t>shakeel PEC</t>
  </si>
  <si>
    <t>drawings payment</t>
  </si>
  <si>
    <t>paid cash in labour (uptodate is 675,000)</t>
  </si>
  <si>
    <t>to amir engr for june 23</t>
  </si>
  <si>
    <t>to asif for june 23</t>
  </si>
  <si>
    <t>paid for imran feroz medications</t>
  </si>
  <si>
    <t>Medication</t>
  </si>
  <si>
    <t>paid for colour and other items</t>
  </si>
  <si>
    <t>paid for 1 day labour</t>
  </si>
  <si>
    <t>Received against Variation order (air war)</t>
  </si>
  <si>
    <t>received against Fire damper (air war)</t>
  </si>
  <si>
    <t>katys</t>
  </si>
  <si>
    <t>advance payment for envelop printing</t>
  </si>
  <si>
    <t>CBC</t>
  </si>
  <si>
    <t>CBC payment for two years 2022 &amp; 2023</t>
  </si>
  <si>
    <t>purchased electric material</t>
  </si>
  <si>
    <t>Online transfer to naveed insulator in OT jomc  from mohsin trader</t>
  </si>
  <si>
    <t>invoices to asif</t>
  </si>
  <si>
    <t>To atif</t>
  </si>
  <si>
    <t>to rizwan</t>
  </si>
  <si>
    <t>toamjad ustad advance</t>
  </si>
  <si>
    <t>asif cooling</t>
  </si>
  <si>
    <t>paid cash (uptodate is 71,000</t>
  </si>
  <si>
    <t>repaired contactors 2 nos</t>
  </si>
  <si>
    <t>paid for misc expenses for RMR</t>
  </si>
  <si>
    <t>Online transfer to Zahid in OT jpmc from mohsin trader</t>
  </si>
  <si>
    <t>purchased fittings, paint karosine oil &amp; brush</t>
  </si>
  <si>
    <t>purchased cut screw box</t>
  </si>
  <si>
    <t>paid for HRV hanging material</t>
  </si>
  <si>
    <t>claimed mobile balacnce</t>
  </si>
  <si>
    <t>to imran feroz for june 23</t>
  </si>
  <si>
    <t>purhased channel 41 x 21  8 nos</t>
  </si>
  <si>
    <t>claimed fuel by jahangeer</t>
  </si>
  <si>
    <t>Fuel at jpmc</t>
  </si>
  <si>
    <t>to hammad for june 23</t>
  </si>
  <si>
    <t>to mukhtar for june 23</t>
  </si>
  <si>
    <t>paid for 3 days (2 persons) given to mukhtiar</t>
  </si>
  <si>
    <t>claimed by ahsan offie</t>
  </si>
  <si>
    <t>final payment for envelop printing</t>
  </si>
  <si>
    <t>cash for tri fit fittings</t>
  </si>
  <si>
    <t>To lateef for purchasing mobile for lateef</t>
  </si>
  <si>
    <t>To lateef for purchasing mobile for chacha lateef</t>
  </si>
  <si>
    <t>cash paid in his petty</t>
  </si>
  <si>
    <t>Profit sharing</t>
  </si>
  <si>
    <t>Online transfer for threaded rod payment from mohsin trader</t>
  </si>
  <si>
    <t>paid for car engine oil, AC filter and repairing</t>
  </si>
  <si>
    <t>bank al -falah</t>
  </si>
  <si>
    <t>To mumtaz</t>
  </si>
  <si>
    <t>To sufyan</t>
  </si>
  <si>
    <t>To salman</t>
  </si>
  <si>
    <t>To ahsan razzaq</t>
  </si>
  <si>
    <t>received May 2023 bill the place</t>
  </si>
  <si>
    <t>bolt cutting disc and fuel</t>
  </si>
  <si>
    <t>tender purchased from SEM engineers</t>
  </si>
  <si>
    <t>To ashraf bhai</t>
  </si>
  <si>
    <t>majic purchased by mubeen</t>
  </si>
  <si>
    <t>To MUBEEN</t>
  </si>
  <si>
    <t>family area</t>
  </si>
  <si>
    <t>Online transfer to taheri sanitry</t>
  </si>
  <si>
    <t>to Raheel for June 23</t>
  </si>
  <si>
    <t>Cash paid to Muzammil</t>
  </si>
  <si>
    <t xml:space="preserve">purchased floor clean out floor drain </t>
  </si>
  <si>
    <t>to ahsan office for June 23</t>
  </si>
  <si>
    <t>To ahsan razzaq (deductible)</t>
  </si>
  <si>
    <t>To imran feroz (deductible)</t>
  </si>
  <si>
    <t>faseeh ur rehman</t>
  </si>
  <si>
    <t>fees for the month of May 23 + june 23</t>
  </si>
  <si>
    <t>To Lateef duct (deductible)</t>
  </si>
  <si>
    <t>To Kamran office (deductible)</t>
  </si>
  <si>
    <t>purchased silicon</t>
  </si>
  <si>
    <t>Jahangeer of june 23</t>
  </si>
  <si>
    <t>Imran engr of june 23</t>
  </si>
  <si>
    <t>Shahid painter of june 23</t>
  </si>
  <si>
    <t>Nadeem Painter of june 23</t>
  </si>
  <si>
    <t>Abdur rehman of june 23</t>
  </si>
  <si>
    <t>Shafeeq of june 23</t>
  </si>
  <si>
    <t>Sajjad of june 23</t>
  </si>
  <si>
    <t>Adil of june 23</t>
  </si>
  <si>
    <t>Zafar of june 23</t>
  </si>
  <si>
    <t>Sami of june 23</t>
  </si>
  <si>
    <t>Salary adv to shafeeq as instructed by nadeem</t>
  </si>
  <si>
    <t>Online transfer to United Insulation</t>
  </si>
  <si>
    <t>Asif of june 23</t>
  </si>
  <si>
    <t>Hammad of june 23</t>
  </si>
  <si>
    <t>Ibtahaj of june 23</t>
  </si>
  <si>
    <t>Afaq of june 23</t>
  </si>
  <si>
    <t>Arif of june 23</t>
  </si>
  <si>
    <t>purchased for AHU &amp; LT room Lock and keys</t>
  </si>
  <si>
    <t>jahangeer mobile balance</t>
  </si>
  <si>
    <t>Rec from BAF agnst Running Bill # 2 (tranfer by BAF into MCB)</t>
  </si>
  <si>
    <t>For trolly making</t>
  </si>
  <si>
    <t>To asif cooling</t>
  </si>
  <si>
    <t>paid advance (1st advance)</t>
  </si>
  <si>
    <t>paid cash (uptodate is 103,000)</t>
  </si>
  <si>
    <t>Amir engr of june 23</t>
  </si>
  <si>
    <t>To mossi Office of june 23</t>
  </si>
  <si>
    <t>To Gul sher of june 23</t>
  </si>
  <si>
    <t>Amjad of june 23</t>
  </si>
  <si>
    <t>Abid of june 23</t>
  </si>
  <si>
    <t>Abbas of june 23</t>
  </si>
  <si>
    <t>paid for trolly tyres</t>
  </si>
  <si>
    <t>cash paid for Bakra</t>
  </si>
  <si>
    <t>Online transfer to Shabbir pipe in daster khwan</t>
  </si>
  <si>
    <t>Online transfer to Zubair duct in meezan</t>
  </si>
  <si>
    <t>Online transfer to nawaz insulator in Daster khwan</t>
  </si>
  <si>
    <t>LOAN TO SHER KHAN</t>
  </si>
  <si>
    <t>To Rehan for office use (from ATM)</t>
  </si>
  <si>
    <t>cash paid for color material</t>
  </si>
  <si>
    <t>given to mubeen</t>
  </si>
  <si>
    <t>purchased vibration isolators 4 nos</t>
  </si>
  <si>
    <t>purchased channel and colors for trolly</t>
  </si>
  <si>
    <t>purchased fittings, spray and other items</t>
  </si>
  <si>
    <t>purchased hold tite and dhaga</t>
  </si>
  <si>
    <t>purchsed channel, threaded rods, nut washers</t>
  </si>
  <si>
    <t>paid for upvc fittings</t>
  </si>
  <si>
    <t>Paid for Contanment board korangi creek</t>
  </si>
  <si>
    <t>To gul sher (easy paisa)</t>
  </si>
  <si>
    <t>purchased antifungus paint 4kg</t>
  </si>
  <si>
    <t>Noman bank al falah</t>
  </si>
  <si>
    <t>paid to Engr Noman Ali</t>
  </si>
  <si>
    <t>purchased fisher 10mm 10 boxes</t>
  </si>
  <si>
    <t>claimed by ahsan office</t>
  </si>
  <si>
    <t>buity</t>
  </si>
  <si>
    <t>paid form builty from lahore to karachi</t>
  </si>
  <si>
    <t>Amir engr</t>
  </si>
  <si>
    <t>rods from khori garden</t>
  </si>
  <si>
    <t>nadeem bhai June 23 salary</t>
  </si>
  <si>
    <t>waris June 23 salary</t>
  </si>
  <si>
    <t>mossi home salaries with diver salary (June -23)</t>
  </si>
  <si>
    <t>Cash given to Bilal bhai</t>
  </si>
  <si>
    <t xml:space="preserve">To Rehan for office use </t>
  </si>
  <si>
    <t>paid from office to north walk</t>
  </si>
  <si>
    <t>paid raheel salary</t>
  </si>
  <si>
    <t>purchased fittings from Guddu</t>
  </si>
  <si>
    <t>To KRC Solution</t>
  </si>
  <si>
    <t>personal cash</t>
  </si>
  <si>
    <t>Online transfer to Zubair duct in meezan (season master)</t>
  </si>
  <si>
    <t>To Tariq raees brothers</t>
  </si>
  <si>
    <t>cash returned by Mumtaz bhai</t>
  </si>
  <si>
    <t>to amjad ustad</t>
  </si>
  <si>
    <t>to ahsan insulation (in khaadi canteen)</t>
  </si>
  <si>
    <t>MHR groceries for 2 months</t>
  </si>
  <si>
    <t>for anchor bolt and other items from mungo</t>
  </si>
  <si>
    <t>for fishcer</t>
  </si>
  <si>
    <t>purchased charging pin for copper</t>
  </si>
  <si>
    <t>ahsan office remaning salary</t>
  </si>
  <si>
    <t>Jahangeer remaining salary</t>
  </si>
  <si>
    <t>Kamran Rehan and Irfan bhai</t>
  </si>
  <si>
    <t>the place remaining salaries</t>
  </si>
  <si>
    <t>photocopies envelop and files</t>
  </si>
  <si>
    <t>Abid and amjad ustad</t>
  </si>
  <si>
    <t>purchased electric welding rods</t>
  </si>
  <si>
    <t>amir engr remaining salary</t>
  </si>
  <si>
    <t>Imran engr, shahid &amp; nadeem painter</t>
  </si>
  <si>
    <t>falcon mall remainng salaries</t>
  </si>
  <si>
    <t>cash paid uptodate is 108000</t>
  </si>
  <si>
    <t>ftc staff remaining salaries</t>
  </si>
  <si>
    <t>salary adv to chacha lateef</t>
  </si>
  <si>
    <t>Lateef, abbas &amp; chacha lateef</t>
  </si>
  <si>
    <t>purchased electric pipe and fittings</t>
  </si>
  <si>
    <t>purchased 2.5mm 4 core wire &amp; 1.5 4 core</t>
  </si>
  <si>
    <t>Ahsan did lunch</t>
  </si>
  <si>
    <t>purchaed dammer tapes</t>
  </si>
  <si>
    <t>Mubeen remaining salaries</t>
  </si>
  <si>
    <t>purchaed gate valve, strainers frm saeed sons</t>
  </si>
  <si>
    <t>To gul sher for july - 23</t>
  </si>
  <si>
    <t>To ashraf bhai for july - 23</t>
  </si>
  <si>
    <t>Online transfer to Asif ali account in NASTP masjid acc</t>
  </si>
  <si>
    <t>To wilson</t>
  </si>
  <si>
    <t>Online transfer to Mustafa in Tri fit for copper pipes</t>
  </si>
  <si>
    <t>Online transfer to Waqar in Tri fit for cable trays</t>
  </si>
  <si>
    <t>Online transfer to Noman Sunhan in AshraTech for 3/4" hydroulic pipe</t>
  </si>
  <si>
    <t>received June 2023 bill the place</t>
  </si>
  <si>
    <t>paid cash (uptodate is 25,000)</t>
  </si>
  <si>
    <t>Abbas salary advance reversed</t>
  </si>
  <si>
    <t>Online transfer to Murtaza in Ashretech for M.S Pipe and fittings</t>
  </si>
  <si>
    <t>Online transfer to Nawaz in acc of Dafter and sana safinaz</t>
  </si>
  <si>
    <t>purchased misc fittings</t>
  </si>
  <si>
    <t>purhcased 15 nos spirnkler clamp</t>
  </si>
  <si>
    <t>Purchased copper pipe coil 3/8 &amp; 3/4</t>
  </si>
  <si>
    <t>MHR home Acs repaired</t>
  </si>
  <si>
    <t>claimed fuel by mumtaz for many days</t>
  </si>
  <si>
    <t>repaired contactors 1 nos</t>
  </si>
  <si>
    <t>purhcaed mixing oil an cementex</t>
  </si>
  <si>
    <t>purchased long nut</t>
  </si>
  <si>
    <t>purchased upvc fitting and pipe 1"</t>
  </si>
  <si>
    <t>from ghani chorangi to falcon mall 2 times</t>
  </si>
  <si>
    <t>cash paid (uptodate is 40,000)</t>
  </si>
  <si>
    <t>Online transfer to Muzammil in acc of Dafter</t>
  </si>
  <si>
    <t>purchased glue 10 balti (sana + ashratech)</t>
  </si>
  <si>
    <t>purchased 27 x 18  10 length</t>
  </si>
  <si>
    <t>FTC April 23 receiving</t>
  </si>
  <si>
    <t>FTC May 23 receiving</t>
  </si>
  <si>
    <t>FTC June 23 receiving</t>
  </si>
  <si>
    <t>Online transfer to United Insulation in Dafter acc</t>
  </si>
  <si>
    <t>blade repaired and carbon</t>
  </si>
  <si>
    <t>To Lateef for july - 23</t>
  </si>
  <si>
    <t>mubeen 1 day salary remaining</t>
  </si>
  <si>
    <t>paid fuel to mubeen</t>
  </si>
  <si>
    <t>adjustement</t>
  </si>
  <si>
    <t>Online transfer to Gul zameen in various account for mehmood Threaded rods</t>
  </si>
  <si>
    <t>purchased 10 balti water shield</t>
  </si>
  <si>
    <t>Online transfer to Malik Brothers in Tri Fit + Riazeda project</t>
  </si>
  <si>
    <t>purchased cutting disc and other fittings</t>
  </si>
  <si>
    <t>Tea</t>
  </si>
  <si>
    <t>Given to mukhtiar bhia for tea at falcon</t>
  </si>
  <si>
    <t>To Gulsher for july - 23</t>
  </si>
  <si>
    <t>purchased fittings from malik &amp; sons</t>
  </si>
  <si>
    <t>purchased cuttings disc</t>
  </si>
  <si>
    <t>10 balti glue</t>
  </si>
  <si>
    <t>10 carton tapes 2" from hussain puri</t>
  </si>
  <si>
    <t>Red oxide and mixing oil and brush</t>
  </si>
  <si>
    <t>To Mubeen for july - 23</t>
  </si>
  <si>
    <t>purchased tube 2 carton</t>
  </si>
  <si>
    <t>Silicon</t>
  </si>
  <si>
    <t>Online transfer to Ahsan Flow Tab in Khaadi</t>
  </si>
  <si>
    <t>Online transfer to Sohail for BMS work in VISA office</t>
  </si>
  <si>
    <t>Paid to amjad for misc work</t>
  </si>
  <si>
    <t>To Amjad for july - 23</t>
  </si>
  <si>
    <t>June 2023 bill RMR cienma</t>
  </si>
  <si>
    <t>umer for nadeem bha car wash</t>
  </si>
  <si>
    <t>To asif in BAF</t>
  </si>
  <si>
    <t>purchased drop in anchor 20 boxes</t>
  </si>
  <si>
    <t>mobile balance + ufone card</t>
  </si>
  <si>
    <t>purchased fittings from Al Burhan</t>
  </si>
  <si>
    <t>purchased nut bolt 16 x 70</t>
  </si>
  <si>
    <t>cash given to imran for paint, fittings + oil</t>
  </si>
  <si>
    <t>paid uptodate is 59,000 (given by imran)</t>
  </si>
  <si>
    <t>misc for coffee</t>
  </si>
  <si>
    <t>daftar</t>
  </si>
  <si>
    <t>Fuel at daftar</t>
  </si>
  <si>
    <t>OT area</t>
  </si>
  <si>
    <t>cash paid (uptodate is 128,000)</t>
  </si>
  <si>
    <t>cash paid (given to madam bushra)</t>
  </si>
  <si>
    <t>claimed fuel by ashraf</t>
  </si>
  <si>
    <t>paid of july 23</t>
  </si>
  <si>
    <t>paid for copper pipe deal</t>
  </si>
  <si>
    <t xml:space="preserve">Labour </t>
  </si>
  <si>
    <t>paid labour for 2 boys for 3 days (wall cutting)</t>
  </si>
  <si>
    <t>purchased hanging clips from mungu</t>
  </si>
  <si>
    <t>purchased GI bolt from HQ</t>
  </si>
  <si>
    <t>Given to Mehtab (aman real state)</t>
  </si>
  <si>
    <t>Cuttings</t>
  </si>
  <si>
    <t>personal cash to Bilal bhai</t>
  </si>
  <si>
    <t>To Chacha Lateef july - 23</t>
  </si>
  <si>
    <t>purchased UPVC pipe, fittings disc solution</t>
  </si>
  <si>
    <t>Paid to Saad</t>
  </si>
  <si>
    <t>cash paid for cementax and other</t>
  </si>
  <si>
    <t xml:space="preserve">Received Advance from Ashra tech </t>
  </si>
  <si>
    <t>Deluxe chq cash</t>
  </si>
  <si>
    <t>To shabbir</t>
  </si>
  <si>
    <t>Online transfer masood ahmed (INDEX) for channels amount in various sites</t>
  </si>
  <si>
    <t>3 floor cuttings work</t>
  </si>
  <si>
    <t>purchased 4 nos office stools for sitting</t>
  </si>
  <si>
    <t xml:space="preserve">Purchased fittings </t>
  </si>
  <si>
    <t>purchased red paint, plug and taflon tapes</t>
  </si>
  <si>
    <t>purchaed flexbile duct 6" from fakhri enterprises</t>
  </si>
  <si>
    <t>purchased 2" 30 nos</t>
  </si>
  <si>
    <t>purchased motorized valve 2 nos from fast cool</t>
  </si>
  <si>
    <t>purchased sprinkler clips from mungo</t>
  </si>
  <si>
    <t>iqbal sons</t>
  </si>
  <si>
    <t>cash paid for super loan and afico roll</t>
  </si>
  <si>
    <t>sana + riazeda</t>
  </si>
  <si>
    <t>Cash paid given to Imran bhai</t>
  </si>
  <si>
    <t>Umair</t>
  </si>
  <si>
    <t>paid cash (easy paisa instructed by BH)</t>
  </si>
  <si>
    <t>MHR home misc invoices</t>
  </si>
  <si>
    <t>purchse motorzd valve 8 nos from fast cool 3/4"</t>
  </si>
  <si>
    <t>cash paid (uptodate is 74,000)</t>
  </si>
  <si>
    <t>purchased plastic sheet for panels</t>
  </si>
  <si>
    <t>To Hammad for  July - 23</t>
  </si>
  <si>
    <t>To Fahad  for July - 23</t>
  </si>
  <si>
    <t>To Amjad for  July - 23</t>
  </si>
  <si>
    <t>To amjad for purchasing</t>
  </si>
  <si>
    <t xml:space="preserve">mehmood </t>
  </si>
  <si>
    <t>purchased aewo meter</t>
  </si>
  <si>
    <t>claimed by amir engr</t>
  </si>
  <si>
    <t>purchased copper pipe from SHI</t>
  </si>
  <si>
    <t>purchased NRV 1/2</t>
  </si>
  <si>
    <t xml:space="preserve">purchased PVC 2" </t>
  </si>
  <si>
    <t>purchased paint material</t>
  </si>
  <si>
    <t>drawing prints</t>
  </si>
  <si>
    <t>pipe from saeed sosn to office</t>
  </si>
  <si>
    <t>pipe from office to Site after cuttings</t>
  </si>
  <si>
    <t>Online transfer to Rizwan VRF in Riazeda Project</t>
  </si>
  <si>
    <t>paid cash (uptodate is 65000)</t>
  </si>
  <si>
    <t>purchased aeroflex insulation from katyes</t>
  </si>
  <si>
    <t>purchased upvc pipe from malik and sons</t>
  </si>
  <si>
    <t>purchased copper fittings from SHI</t>
  </si>
  <si>
    <t>AMRELI + TRI FIT</t>
  </si>
  <si>
    <t>purchased colour material</t>
  </si>
  <si>
    <t>purchased material from fast cool</t>
  </si>
  <si>
    <t>purchase cable tie</t>
  </si>
  <si>
    <t>purchased cuttings disc 5"</t>
  </si>
  <si>
    <t>paid for water cooler compressor repairing</t>
  </si>
  <si>
    <t>purchased UPVC pipe fittings, felxbe duct, cable tie solution</t>
  </si>
  <si>
    <t>cash paid (uptodate is 95,000)</t>
  </si>
  <si>
    <t>For purchasing of wires</t>
  </si>
  <si>
    <t>Ahsan bike maintenance</t>
  </si>
  <si>
    <t>paid for bykia to kamran</t>
  </si>
  <si>
    <t>Link adaptor</t>
  </si>
  <si>
    <t>amreli steel</t>
  </si>
  <si>
    <t>purchased 200 nos link adaptor @ 180/pc</t>
  </si>
  <si>
    <t>12 Months Fuel Claimed</t>
  </si>
  <si>
    <t>Grohe</t>
  </si>
  <si>
    <t>purchased 2 nos concealed flush tank with plate</t>
  </si>
  <si>
    <t>Gyser</t>
  </si>
  <si>
    <t>purchaed 30 ltr gyser from GAS conforts</t>
  </si>
  <si>
    <t>paid to rikshaw for 5 to 8 days</t>
  </si>
  <si>
    <t>To Gul sher  July - 23</t>
  </si>
  <si>
    <t>purchased 11 nos sprinkler cash paid</t>
  </si>
  <si>
    <t>paid cash (upto date is 2000)</t>
  </si>
  <si>
    <t>To Amir engr for  July - 23</t>
  </si>
  <si>
    <t>Purchased control wiring, fittings cuttings disc</t>
  </si>
  <si>
    <t>sajid pipe</t>
  </si>
  <si>
    <t>Advance paid</t>
  </si>
  <si>
    <t>paid for water cooler compressor exchanged in surgical buld</t>
  </si>
  <si>
    <t>cash paid for flexbile tube</t>
  </si>
  <si>
    <t>cash oaid for grease gun and grease</t>
  </si>
  <si>
    <t>To Asif for  July - 23</t>
  </si>
  <si>
    <t>To mukhiar for  July - 23</t>
  </si>
  <si>
    <t>purchased 48 nos tee cock and taflon tapes for OT area</t>
  </si>
  <si>
    <t>purchaed red oxide paint, brush and karosine oil</t>
  </si>
  <si>
    <t>Shahid painter returned cash</t>
  </si>
  <si>
    <t>purchaed index cable 1.5 mm 4 core 2 nos coil from Al haaj cable</t>
  </si>
  <si>
    <t>To nadeem painter for  July - 23</t>
  </si>
  <si>
    <t>cash paid (uptodates is 505000)</t>
  </si>
  <si>
    <t>purchased jubilee clamp &amp; solution</t>
  </si>
  <si>
    <t>Online transfer to Maqsood Ahmed for index channels</t>
  </si>
  <si>
    <r>
      <t xml:space="preserve">Online transfer to Rizwan VRF in Riazeda Project
</t>
    </r>
    <r>
      <rPr>
        <b/>
        <sz val="11"/>
        <color theme="1"/>
        <rFont val="Calibri"/>
        <family val="2"/>
        <scheme val="minor"/>
      </rPr>
      <t>(Rizwan return this cash and given to Malik Brothers)</t>
    </r>
  </si>
  <si>
    <r>
      <t xml:space="preserve">Online transfer to Rizwan VRF 
</t>
    </r>
    <r>
      <rPr>
        <b/>
        <sz val="11"/>
        <color theme="1"/>
        <rFont val="Calibri"/>
        <family val="2"/>
        <scheme val="minor"/>
      </rPr>
      <t>(Rizwan return this cash and given to Malik Brothers)</t>
    </r>
  </si>
  <si>
    <t>Online transfer to Gul zameen for threaded rod payment from mohsin trader</t>
  </si>
  <si>
    <t>purchased 10 thans</t>
  </si>
  <si>
    <t>purchased drop n anchor 10mm 1000 nos</t>
  </si>
  <si>
    <t>purchased 3" flange 2 nos</t>
  </si>
  <si>
    <t>stamp repaired</t>
  </si>
  <si>
    <t>by ashraf bhai</t>
  </si>
  <si>
    <t>purchaed union by john</t>
  </si>
  <si>
    <t>Online transfer to Gul Nawaz khan for Meuller copper pipe payment for Riazeda project</t>
  </si>
  <si>
    <t>To Imran feroz for  July - 23 (Given to mukhtar)</t>
  </si>
  <si>
    <t>Ashraf bhai retrun Salary advance</t>
  </si>
  <si>
    <t>Given to jahangeer</t>
  </si>
  <si>
    <t>invoices with lateef and chacah adv</t>
  </si>
  <si>
    <t>Purchased pressure switch and related fittings</t>
  </si>
  <si>
    <t>Mobile</t>
  </si>
  <si>
    <t>mobile balance to jahangeer</t>
  </si>
  <si>
    <t>purchased paint and brush and other material</t>
  </si>
  <si>
    <t>Paint work</t>
  </si>
  <si>
    <t>Paid for paint work at shop at 24 street</t>
  </si>
  <si>
    <t>for shifting of PAL sheets from fakhri warehse to site</t>
  </si>
  <si>
    <t>cinemas</t>
  </si>
  <si>
    <t xml:space="preserve">To salman dilawar for  July - 23 </t>
  </si>
  <si>
    <t>Online transfer to Maskeen in acc of ashre tech</t>
  </si>
  <si>
    <t>PENDING TASK / ACTIVITIES</t>
  </si>
  <si>
    <t>purhcaed 2.5 &amp; 1.5 core cables and fittings</t>
  </si>
  <si>
    <t xml:space="preserve">INCOME TAX CHALLANS FOLLOW UP </t>
  </si>
  <si>
    <t>paid cash (uptodate is 3500)</t>
  </si>
  <si>
    <t>Online transfer to Faheem in acc of ashre tech</t>
  </si>
  <si>
    <t xml:space="preserve">Online transfer to MHR for bahria renovation </t>
  </si>
  <si>
    <t xml:space="preserve">Online transfer to Shumaila Rehman for MHR  bahria renovation </t>
  </si>
  <si>
    <t>paid for remaining cash</t>
  </si>
  <si>
    <t>To Majid khan in Cinema</t>
  </si>
  <si>
    <t>Paid cash (1st advance)</t>
  </si>
  <si>
    <t>Paid cash (uptodate is 75000)</t>
  </si>
  <si>
    <t>to jahangeer for july 23</t>
  </si>
  <si>
    <t>paid cash (uptodate is 4000)</t>
  </si>
  <si>
    <t>Online transfer to Waqar in Tri fit for channels</t>
  </si>
  <si>
    <t>purchased rubber hanging clamp</t>
  </si>
  <si>
    <t>cash paid for inline fan</t>
  </si>
  <si>
    <t>BVN ideas</t>
  </si>
  <si>
    <t xml:space="preserve">Online transfer to Saffan (Habib Insulation) </t>
  </si>
  <si>
    <t>stamp paper for UEP</t>
  </si>
  <si>
    <t>purchaed rubber isolator</t>
  </si>
  <si>
    <t>for outside gutter flushing</t>
  </si>
  <si>
    <t>paid for buity</t>
  </si>
  <si>
    <t>Online transfer to Rizwan VRF in TRI fit</t>
  </si>
  <si>
    <t>cash returnded by faheem</t>
  </si>
  <si>
    <t>cash paid (given by faheem at site)</t>
  </si>
  <si>
    <t>at labour</t>
  </si>
  <si>
    <t>purchased solution</t>
  </si>
  <si>
    <t>cash paid for paint material</t>
  </si>
  <si>
    <t>Shan control for cummication wire</t>
  </si>
  <si>
    <t>to Gul sher for july 23</t>
  </si>
  <si>
    <t>refreshment</t>
  </si>
  <si>
    <t>for site meeting</t>
  </si>
  <si>
    <t>mobile balanc</t>
  </si>
  <si>
    <t>purchased red oxide wrlding rod disc brush oil</t>
  </si>
  <si>
    <t>Online transfer global trding com Sound Linear</t>
  </si>
  <si>
    <t>Cash received from Mohsin traders (given to Rehan)</t>
  </si>
  <si>
    <t>from Bilal bhai (via Mohsin traders)</t>
  </si>
  <si>
    <t>IK CHQ in deutsche</t>
  </si>
  <si>
    <t>Nawaz insulatio</t>
  </si>
  <si>
    <t xml:space="preserve">LED montor for shahzeb </t>
  </si>
  <si>
    <t>hard disk for kamran</t>
  </si>
  <si>
    <t>from nadeeem bhai</t>
  </si>
  <si>
    <t>fast cables</t>
  </si>
  <si>
    <t>purchased 1 mm 2C 5 coil</t>
  </si>
  <si>
    <t>paid (uptodate is 20000)</t>
  </si>
  <si>
    <t xml:space="preserve">Online transfer to Sana Ibad </t>
  </si>
  <si>
    <t>To Ahsan</t>
  </si>
  <si>
    <t xml:space="preserve">Online transfer to Yousuf tahiri in safee hospital </t>
  </si>
  <si>
    <t>purchased glass wool 1'' 24 kg</t>
  </si>
  <si>
    <t>purchased dammer tape + cable tie</t>
  </si>
  <si>
    <t>padi for builty</t>
  </si>
  <si>
    <t>solution</t>
  </si>
  <si>
    <t>paid for variosu sites</t>
  </si>
  <si>
    <t>purchased valves from kitz and tozen</t>
  </si>
  <si>
    <t>cash paid (from owais cash</t>
  </si>
  <si>
    <t>duetsche</t>
  </si>
  <si>
    <t>purchased upvc fittings</t>
  </si>
  <si>
    <t>purchaed long nuts from mungo</t>
  </si>
  <si>
    <t>purchased Grinder + extention coil</t>
  </si>
  <si>
    <t xml:space="preserve">asif </t>
  </si>
  <si>
    <t>paid (uptodate is 98,000)</t>
  </si>
  <si>
    <t>paid (uptodate is 85,000)</t>
  </si>
  <si>
    <t>hassan ac</t>
  </si>
  <si>
    <t>purchased gasket + dammer tapes</t>
  </si>
  <si>
    <t>Hassan AC</t>
  </si>
  <si>
    <t>Naveed insulator</t>
  </si>
  <si>
    <t>Online transfer to Mustafa in acc of Standard chartered for copper pipe</t>
  </si>
  <si>
    <t>paid for tools</t>
  </si>
  <si>
    <t>the place cinema</t>
  </si>
  <si>
    <t>Imran, shahid, nadeem, amjad</t>
  </si>
  <si>
    <t>cash paid (uptodate is 70,000)</t>
  </si>
  <si>
    <t>to gul for july 23</t>
  </si>
  <si>
    <t>paid in khaadi</t>
  </si>
  <si>
    <t xml:space="preserve">Abbas salary </t>
  </si>
  <si>
    <t>Ahsan office salary</t>
  </si>
  <si>
    <t>kamran + Ashrad bhai + umer</t>
  </si>
  <si>
    <t>Bilal bhai &amp; nadeem bhai car wash</t>
  </si>
  <si>
    <t>claimed by shafeeq</t>
  </si>
  <si>
    <t>Online transfer to Shumaila Rehman c/o MHR islamabad home</t>
  </si>
  <si>
    <t>Online transfer to Hussain for PRV for Family area</t>
  </si>
  <si>
    <t xml:space="preserve">cash paid for </t>
  </si>
  <si>
    <t>maasi salary paid</t>
  </si>
  <si>
    <t>paid cash for tapes</t>
  </si>
  <si>
    <t>paid labour for 2 boys for 1 day (wall cutting)</t>
  </si>
  <si>
    <t>paid for ciragate</t>
  </si>
  <si>
    <t>paid cash (uptodate is 4500)</t>
  </si>
  <si>
    <t>paid cash (uptodate is 5500)</t>
  </si>
  <si>
    <t>Online transfer to Zubair ducting in BAH 16th Flooor</t>
  </si>
  <si>
    <t>purchased pipe nipples and other fittings</t>
  </si>
  <si>
    <t xml:space="preserve">paid for regging </t>
  </si>
  <si>
    <t>Shahzaib</t>
  </si>
  <si>
    <t>Paid for coputer purchased</t>
  </si>
  <si>
    <t>Lateef  + chacha Lateef  + Abid salary</t>
  </si>
  <si>
    <t>Amir  + Irfan bhai salary + Rehan</t>
  </si>
  <si>
    <t>Jahangeer  + Saad bhai + Mubeen Salary</t>
  </si>
  <si>
    <t>purchased bond paper</t>
  </si>
  <si>
    <t>Recived MOB adv 20% (UEP 17th floor work)</t>
  </si>
  <si>
    <t>purchased solution and disc</t>
  </si>
  <si>
    <t>Gas charged for units</t>
  </si>
  <si>
    <t>paid for drawings prints</t>
  </si>
  <si>
    <t>paid for various site drawings</t>
  </si>
  <si>
    <t>July 2023 bill RMR cienma</t>
  </si>
  <si>
    <t>gul sher salary</t>
  </si>
  <si>
    <t>received July 2023 bill the place</t>
  </si>
  <si>
    <t>paid cash (uptodate is 91,000)</t>
  </si>
  <si>
    <t>Johar cinema saalry</t>
  </si>
  <si>
    <t>paid falcon staff</t>
  </si>
  <si>
    <t>paid for meeting held previous</t>
  </si>
  <si>
    <t>paid to mehmood</t>
  </si>
  <si>
    <t>Online transfer to muzammil in daftar acc</t>
  </si>
  <si>
    <t>bah</t>
  </si>
  <si>
    <t>purchased union</t>
  </si>
  <si>
    <t>purchased fittings + pressure guage</t>
  </si>
  <si>
    <t>purchaed 3/4" pipe (burhan traders)</t>
  </si>
  <si>
    <t>purchased 10 carton tapes</t>
  </si>
  <si>
    <t>purchased 10 thans cloth</t>
  </si>
  <si>
    <t>Coil</t>
  </si>
  <si>
    <t>purchased coil purchased at ashre site (to faheem)</t>
  </si>
  <si>
    <t>shahzaib bvn</t>
  </si>
  <si>
    <t>paid for fan purchased</t>
  </si>
  <si>
    <t>purchased I" insulation (cash easy paisa to ateeq)</t>
  </si>
  <si>
    <t>To Imran feroz for  August - 23 (Given to mukhtar)</t>
  </si>
  <si>
    <t>To Mukhtiar for  August - 23 (For Mobile)</t>
  </si>
  <si>
    <t>Falcon mall Payment</t>
  </si>
  <si>
    <t>Sherry issue</t>
  </si>
  <si>
    <t>Profile</t>
  </si>
  <si>
    <t xml:space="preserve">To shahid for  August - 23 </t>
  </si>
  <si>
    <t>fees paid for July + Aug 23</t>
  </si>
  <si>
    <t>mossi home salaries with diver salary (July -23)</t>
  </si>
  <si>
    <t>nadeem bhai July 23 salary</t>
  </si>
  <si>
    <t>waris July 23 salary</t>
  </si>
  <si>
    <t>Salary Advance To suleman in Cinema</t>
  </si>
  <si>
    <t>Copper pipe from SHI</t>
  </si>
  <si>
    <t>purchased 1-1/2 rectangular pipe from mughal iron</t>
  </si>
  <si>
    <t>Cash paid to mehtab</t>
  </si>
  <si>
    <t>cash paid (Given to Mehtab)</t>
  </si>
  <si>
    <t>Returned by fahem</t>
  </si>
  <si>
    <t>paid to muneer</t>
  </si>
  <si>
    <t>purchased flexble duct 3 carton</t>
  </si>
  <si>
    <t>Online transfer to Owais Dadex in Saifee</t>
  </si>
  <si>
    <t>paid in labour ducting work</t>
  </si>
  <si>
    <t>To shahid painter for  July - 23</t>
  </si>
  <si>
    <t>Mobilink and ufone balance</t>
  </si>
  <si>
    <t xml:space="preserve">Online transfer to shabbir </t>
  </si>
  <si>
    <t>Online transfer to Gul Zameen Khan for threaded rods</t>
  </si>
  <si>
    <t>Online transfer to shabbir in daftar acc</t>
  </si>
  <si>
    <t>purchased tapes</t>
  </si>
  <si>
    <t>Received from Kumail Villa against pool work (Collected by Ahsan office)</t>
  </si>
  <si>
    <t>To shahid for purchasing</t>
  </si>
  <si>
    <t>To khushnood salary adv</t>
  </si>
  <si>
    <t>to rizwan core in saifee</t>
  </si>
  <si>
    <t>cash paid for hydraulic pipe and fittings</t>
  </si>
  <si>
    <t>cash paid for BAH purchasing</t>
  </si>
  <si>
    <t>cash paid fro BAF purchasing</t>
  </si>
  <si>
    <t>invoices falcon, NW, DB, FTC, VISA, TRI fit, jpmc</t>
  </si>
  <si>
    <t>purchased 5 coil 1mm 2c flexbile</t>
  </si>
  <si>
    <t>purchased channel 22 x 23  10 channel</t>
  </si>
  <si>
    <t>Claimed form fare, refreshment</t>
  </si>
  <si>
    <t>purchased pipe and jubilee clamp</t>
  </si>
  <si>
    <t>purchased UPVC fittings</t>
  </si>
  <si>
    <t>Eshah Nadeem School fees paid</t>
  </si>
  <si>
    <t>purchased 300 Nos linke adaptor</t>
  </si>
  <si>
    <t>paid in labour (uptodate is 130,000)</t>
  </si>
  <si>
    <t>water tander filled 02 nos</t>
  </si>
  <si>
    <t>repairing of chiller - 1 condenser fan motor + fuel</t>
  </si>
  <si>
    <t>paid for false ceiling work (given to shahid painter)</t>
  </si>
  <si>
    <t>To gul sher for August - 23</t>
  </si>
  <si>
    <t>Fisher 10mm carton</t>
  </si>
  <si>
    <t>purchased control wire from energy zone</t>
  </si>
  <si>
    <t>purchased fittings from, bharmal</t>
  </si>
  <si>
    <t>invoices baf</t>
  </si>
  <si>
    <t>invoices ot area</t>
  </si>
  <si>
    <t>purchased glass wool 1'' 24 kg   4 rolls</t>
  </si>
  <si>
    <t xml:space="preserve">Purchased pressure switch </t>
  </si>
  <si>
    <t>GIFT</t>
  </si>
  <si>
    <t>To imran engineer for completion of site work</t>
  </si>
  <si>
    <t>To Imran engr</t>
  </si>
  <si>
    <t>Online transfer to Murtaza for M.S pipe for BAH center point</t>
  </si>
  <si>
    <t>Shakeel pec</t>
  </si>
  <si>
    <t>nawaz</t>
  </si>
  <si>
    <t>The united insurance</t>
  </si>
  <si>
    <t>The united insurance (undate cheque)</t>
  </si>
  <si>
    <t>Variations Follow up
FAMILY area, TRI FIT KHAADI</t>
  </si>
  <si>
    <t xml:space="preserve">purchased Red oxide and mixing oil </t>
  </si>
  <si>
    <t>To Asif falcon for  August - 23</t>
  </si>
  <si>
    <t>purchased fast cable thermostat 1mm 3 core + 2c</t>
  </si>
  <si>
    <t>by kamran</t>
  </si>
  <si>
    <t>Cash from Al madina</t>
  </si>
  <si>
    <t>TO Rehan for office use</t>
  </si>
  <si>
    <t>pirctures copies by nadeem bhai for meeting</t>
  </si>
  <si>
    <t>R 410 gas charging for units from phase 2</t>
  </si>
  <si>
    <t>To chacha Lateef  for  August - 23</t>
  </si>
  <si>
    <t>purchaed dammer tapes + upvc elbow + silution</t>
  </si>
  <si>
    <t>purchased cuttings disc 14" 3 nos</t>
  </si>
  <si>
    <t>purchased 5/8 1 coil 50 fr</t>
  </si>
  <si>
    <t>purchased copper elbow 3/8 18 nos</t>
  </si>
  <si>
    <t>from bilal bahi</t>
  </si>
  <si>
    <t>purchased wire and lux adptor</t>
  </si>
  <si>
    <t>paid cash in labour (uptodate is 95,000)</t>
  </si>
  <si>
    <t>cash return  by faheem</t>
  </si>
  <si>
    <t>MCB chq 1949327614</t>
  </si>
  <si>
    <t>cash to rehan for office</t>
  </si>
  <si>
    <t>purchased MS fittings redecer</t>
  </si>
  <si>
    <t>purchased red oxide qtr</t>
  </si>
  <si>
    <t>Online transfer to Murtaza for Copper pipe for Ashre tech</t>
  </si>
  <si>
    <t>To air guide</t>
  </si>
  <si>
    <t>insulation work</t>
  </si>
  <si>
    <t>paid for tri fit ground fllor insulation</t>
  </si>
  <si>
    <t>Given to bilal bhai for purchasing</t>
  </si>
  <si>
    <t>paid for uep pipe shifting</t>
  </si>
  <si>
    <t>To Amir engr for  August - 23 (by hand Irfan)</t>
  </si>
  <si>
    <t xml:space="preserve">To Amjad for  August - 23 </t>
  </si>
  <si>
    <t>purchased glass wool 1" 24 kg   3 roll</t>
  </si>
  <si>
    <t>To Fahad for  August - 23  (to mukhtar)</t>
  </si>
  <si>
    <t>To Hammad for  August - 23 (to mukhtar)</t>
  </si>
  <si>
    <t>purchased bush from shabbir brothers</t>
  </si>
  <si>
    <t xml:space="preserve">purchased red oxide + mixing oil </t>
  </si>
  <si>
    <t>purchased dammper tapes</t>
  </si>
  <si>
    <t>purchased elbow and anchor bolt</t>
  </si>
  <si>
    <t>paid for site expenses (exhaust fans)</t>
  </si>
  <si>
    <t>To Imran Feroz bhai (lunch, dinner + mobile charge)</t>
  </si>
  <si>
    <t>majid khan</t>
  </si>
  <si>
    <t>paid cash to majid in cinemas account</t>
  </si>
  <si>
    <t>MS fittings from abbas brothers</t>
  </si>
  <si>
    <t>cash paid to sarfaraz</t>
  </si>
  <si>
    <t xml:space="preserve">Online transfer to Yousuf tahiri </t>
  </si>
  <si>
    <t>Online transfer to Rohail jameel sheikh in Ashre tech</t>
  </si>
  <si>
    <t>Online transfer to abdul masroor khan for Meezan bank material purchasing</t>
  </si>
  <si>
    <t>Rizan</t>
  </si>
  <si>
    <t>asfand nizami</t>
  </si>
  <si>
    <t>Transfer to Sher khan</t>
  </si>
  <si>
    <t>by jahangeer</t>
  </si>
  <si>
    <t>To Ashraf bhai for August - 23 (to mukhtar)</t>
  </si>
  <si>
    <t>Cash given to John in Amreli steel</t>
  </si>
  <si>
    <t>cash paid in labour</t>
  </si>
  <si>
    <t>purchased link adapter 300 nos</t>
  </si>
  <si>
    <t>ourchased copper mueller pipe 3/8 4 coil copper od 2 kg</t>
  </si>
  <si>
    <t xml:space="preserve">To Sadiq for Platform deal in Tri Fit </t>
  </si>
  <si>
    <t>From Total in acc of BAH (22 + 23rd Floor)</t>
  </si>
  <si>
    <t>From Total in acc of BAH (22 + 23rd Floor) I nmohsin traders acc</t>
  </si>
  <si>
    <t>Adjust in his profit sharing</t>
  </si>
  <si>
    <t>To owais traders for saifee</t>
  </si>
  <si>
    <t>To jes in VISA</t>
  </si>
  <si>
    <t>to khurshid engr in meezan deal</t>
  </si>
  <si>
    <t>purchased dammer tapes 2 carton from tariq road</t>
  </si>
  <si>
    <t>purchased clamp 1" 73 nos  from mungo</t>
  </si>
  <si>
    <t>miscing oil</t>
  </si>
  <si>
    <t>paid from fakhri to office</t>
  </si>
  <si>
    <t>sheheryar khalid</t>
  </si>
  <si>
    <t>fuel paid</t>
  </si>
  <si>
    <t>From Sheryar</t>
  </si>
  <si>
    <t>Given to Rizwan VRF in Riazda project</t>
  </si>
  <si>
    <t>purchased channel 27 x 18  10 length</t>
  </si>
  <si>
    <t>Online transfer to IMS Engineering in deutshce bank</t>
  </si>
  <si>
    <t xml:space="preserve">Cash Paid to Sadiq Platform in Trifit </t>
  </si>
  <si>
    <t>cash paid for Oil purchasing</t>
  </si>
  <si>
    <t>paid for deposit for ladder in ali jameel villa</t>
  </si>
  <si>
    <t>To kamran for aug 23</t>
  </si>
  <si>
    <t>Online transfer to Murtaza for Copper pipe for Riazeda project</t>
  </si>
  <si>
    <t>to Bila bhai in his profit sharing</t>
  </si>
  <si>
    <t>IMS in deutsceh bank</t>
  </si>
  <si>
    <t>NEC</t>
  </si>
  <si>
    <t>purchased flexble duct 8"  1 box from tariq road</t>
  </si>
  <si>
    <t>UEP 17th Floor</t>
  </si>
  <si>
    <t>BAH 22 &amp; 23rd Floor</t>
  </si>
  <si>
    <t>Tri fit Gym</t>
  </si>
  <si>
    <t>Ashrae Tech</t>
  </si>
  <si>
    <t>Sana Safinaz</t>
  </si>
  <si>
    <t>Standard chartered bank</t>
  </si>
  <si>
    <t>Riazeda project</t>
  </si>
  <si>
    <t>Khaadi Canteen</t>
  </si>
  <si>
    <t>JPMC (Main Project)</t>
  </si>
  <si>
    <t>VISA Fit-out Office</t>
  </si>
  <si>
    <t>BAF Limited</t>
  </si>
  <si>
    <t>O/M The Place</t>
  </si>
  <si>
    <t>Shahzeb</t>
  </si>
  <si>
    <t>Office printer repaired</t>
  </si>
  <si>
    <t>Bank Al habib 16 floor Bill issue</t>
  </si>
  <si>
    <t>DAFTER Payment 20M</t>
  </si>
  <si>
    <t>AIR WAR Payment 5.6M</t>
  </si>
  <si>
    <t>BANK  Alfalah Payment 3.9M</t>
  </si>
  <si>
    <t>MARIA-B 7 LAC</t>
  </si>
  <si>
    <t>FOOD COURT Payment</t>
  </si>
  <si>
    <t>Meezan bukhari</t>
  </si>
  <si>
    <t>ASHRA TECH 6.2M</t>
  </si>
  <si>
    <t>purcahsed pin valve + elbow 3.4</t>
  </si>
  <si>
    <t>Channels</t>
  </si>
  <si>
    <t>Purchased channels 27 x 28</t>
  </si>
  <si>
    <t>upvc fittings</t>
  </si>
  <si>
    <t>purchaed 200 nos linkadapter</t>
  </si>
  <si>
    <t>To jahangeer for August 23</t>
  </si>
  <si>
    <t>To ummer for office + mossi</t>
  </si>
  <si>
    <t>paid for various sites</t>
  </si>
  <si>
    <t>Received Advance from Ashra tech (to mohsin traders)</t>
  </si>
  <si>
    <t>Online transfer to M. Abbas Landiwala for plumber fixtures in acc of Family area</t>
  </si>
  <si>
    <t>To Ahsan for purchasing (from ATM)</t>
  </si>
  <si>
    <t>purchased washers</t>
  </si>
  <si>
    <t xml:space="preserve">purchasd hanging clamps </t>
  </si>
  <si>
    <t>to Jahangeer for salary</t>
  </si>
  <si>
    <t>To Rehan for August Salaries</t>
  </si>
  <si>
    <t>mossi home salaries with diver salary (Aug -23)</t>
  </si>
  <si>
    <t>nadeem bhai Aug 23 salary</t>
  </si>
  <si>
    <t>waris Aug 23 salary</t>
  </si>
  <si>
    <t>shahid reggir</t>
  </si>
  <si>
    <t>cable tray</t>
  </si>
  <si>
    <t>advance paid for cable trays</t>
  </si>
  <si>
    <t>purchased water pressure switch + service cahrges</t>
  </si>
  <si>
    <t xml:space="preserve">O/M Nue Multiplex </t>
  </si>
  <si>
    <t>FTC Floors</t>
  </si>
  <si>
    <t>claimed fuel by shafeeq</t>
  </si>
  <si>
    <t>cinema staff salary</t>
  </si>
  <si>
    <t>Jahangeer + lateef + chacha lateef</t>
  </si>
  <si>
    <t>imran + shahid + nadeem painter</t>
  </si>
  <si>
    <t>cash paid to Abdur Rehman</t>
  </si>
  <si>
    <t>Engro Office</t>
  </si>
  <si>
    <t>Engr saad salary</t>
  </si>
  <si>
    <t>rmr staff salaries</t>
  </si>
  <si>
    <t>purchased tools by shafeeq</t>
  </si>
  <si>
    <t>Received advance in family area (deposit is Irshad Account c/o Bilal habib)</t>
  </si>
  <si>
    <t>Received advance in family area (deposit is Asfand Account c/o Bilal habib)</t>
  </si>
  <si>
    <t>given to amir engr</t>
  </si>
  <si>
    <t>Ahsan, kamran , irfan, shahzaib + Rehan</t>
  </si>
  <si>
    <t>Khushnood and fahad</t>
  </si>
  <si>
    <t>Gul sher, Amjad ustad &amp; Abid</t>
  </si>
  <si>
    <t>to Ahsan razzak for sept 23</t>
  </si>
  <si>
    <t>Online transfer to Mustafa in acc of Riazeda for copper pipe</t>
  </si>
  <si>
    <t>Online transfer to Faheem in acc of UEP  for fittings</t>
  </si>
  <si>
    <t>photocopies and punch machine</t>
  </si>
  <si>
    <t>Online transfer to naveed insulator in OT jpmc  from mohsin trader</t>
  </si>
  <si>
    <t>To Fayyaz at Clifton</t>
  </si>
  <si>
    <t>CHARITY</t>
  </si>
  <si>
    <t>received Aug 2023 bill the place</t>
  </si>
  <si>
    <t>falcon staff salaries</t>
  </si>
  <si>
    <t>Kunna for cinema and office guest</t>
  </si>
  <si>
    <t>Zahid insulator</t>
  </si>
  <si>
    <t>Salman izhar salary</t>
  </si>
  <si>
    <t>Online transfer to Rizwan VRF in Tri fit</t>
  </si>
  <si>
    <t xml:space="preserve">Cash given </t>
  </si>
  <si>
    <t>baitul sukoon against VO # 003</t>
  </si>
  <si>
    <t>purchased alumium and dammper tape</t>
  </si>
  <si>
    <t>cash paid for colour work</t>
  </si>
  <si>
    <t>fare ashra tech</t>
  </si>
  <si>
    <t>fare uep</t>
  </si>
  <si>
    <t>To Faheem</t>
  </si>
  <si>
    <t>to karman for sept 23</t>
  </si>
  <si>
    <t>purchased drop an anchor</t>
  </si>
  <si>
    <t>Online transfer by BH in account of A. Samad for 2.5mm 4 core wire for project SCB</t>
  </si>
  <si>
    <t xml:space="preserve">personal cash tranfer to malik nabeel </t>
  </si>
  <si>
    <t>paid for barrrel nipples</t>
  </si>
  <si>
    <t>claimed fare + tea + fuel</t>
  </si>
  <si>
    <t>Labour + paint material + Crane charges</t>
  </si>
  <si>
    <t>To Lateef for sept 23</t>
  </si>
  <si>
    <t>Online transfer by BH in account of Mirza subhan baig for project Ashrae tech</t>
  </si>
  <si>
    <t>Online transfer by BH in account of Gul Zameen Khan for various sites</t>
  </si>
  <si>
    <t>united insurance</t>
  </si>
  <si>
    <t>paid for increase 15% amount - contractor all risk policy</t>
  </si>
  <si>
    <t>paid to bykia for doc to ghulam murtaza</t>
  </si>
  <si>
    <t>Online transfer by BH in account of Rafay for SCB</t>
  </si>
  <si>
    <t>paid for drawings prints (for 1 months)</t>
  </si>
  <si>
    <t>cash paid (rec by moazzam)</t>
  </si>
  <si>
    <t>purchased valve sulution and elbow</t>
  </si>
  <si>
    <t>purchased ms fiitings + paint</t>
  </si>
  <si>
    <t>mobile balanc +ufoen super card</t>
  </si>
  <si>
    <t>paid + bykia</t>
  </si>
  <si>
    <t>Asharaf bhai salary</t>
  </si>
  <si>
    <t>Meezan bank Head office</t>
  </si>
  <si>
    <t>MHR Personal</t>
  </si>
  <si>
    <t>Saifee hospital</t>
  </si>
  <si>
    <t>Loss</t>
  </si>
  <si>
    <t>transportation Loss from IIL warehouse</t>
  </si>
  <si>
    <t>transportation for IIL pipe from warehouse to office</t>
  </si>
  <si>
    <t>purchased drop anchor 8mm from mungo</t>
  </si>
  <si>
    <t>nawaz insulation</t>
  </si>
  <si>
    <t>Daftar Khuwan</t>
  </si>
  <si>
    <t>purchased fittings M.S</t>
  </si>
  <si>
    <t>Online transfer by BH to Rizwan VRF in Tri fit</t>
  </si>
  <si>
    <t>Online transfer by BH to Asif Ali (c/o Faheem elec) in various account</t>
  </si>
  <si>
    <t>paid cash (final amount)</t>
  </si>
  <si>
    <t>claimed fare by nawaz</t>
  </si>
  <si>
    <t>cash paid (final)</t>
  </si>
  <si>
    <t>DB 15th &amp; 16th Floor</t>
  </si>
  <si>
    <t>To Asif falcon for  Sept - 23 (to mukhtar)</t>
  </si>
  <si>
    <t>To Hammad for  Sept - 23 (to mukhtar)</t>
  </si>
  <si>
    <t>Received cash chq of BAH in account of Dafter khuwan (Given to BH)</t>
  </si>
  <si>
    <t>Cash paid in cinema</t>
  </si>
  <si>
    <t>To Tahir insulator in Ashrae tech</t>
  </si>
  <si>
    <t>Tahir insulator</t>
  </si>
  <si>
    <t>purchased PVC tapes + ss wire mesh</t>
  </si>
  <si>
    <t>purhcased mixing oil and brush by ahsan</t>
  </si>
  <si>
    <t>Badri Office</t>
  </si>
  <si>
    <t>purchased dammar Tapes by ashraf bhai</t>
  </si>
  <si>
    <t>purchased misc material by ashraf bhai</t>
  </si>
  <si>
    <t>Cash given to Rizwan in acc of Tri fIt (cash given in the car)</t>
  </si>
  <si>
    <t>Online transfer by BH to M. Aleem  in dafter khuwan account</t>
  </si>
  <si>
    <t xml:space="preserve">Bakra Charity </t>
  </si>
  <si>
    <t>fare claimed by shabbir</t>
  </si>
  <si>
    <t>paid ptcl bills</t>
  </si>
  <si>
    <t>red oxide mixing oil brush</t>
  </si>
  <si>
    <t>Completed</t>
  </si>
  <si>
    <t>Remaing</t>
  </si>
  <si>
    <t>Pending chqs</t>
  </si>
  <si>
    <t>printer cable + net cables</t>
  </si>
  <si>
    <t>cash paid for remaining invoices</t>
  </si>
  <si>
    <t>adjust in his salary advance</t>
  </si>
  <si>
    <t>purchased wooden stool and lights by ahsan</t>
  </si>
  <si>
    <t>advance to lateef</t>
  </si>
  <si>
    <t>purchased htreaded and welded fittings</t>
  </si>
  <si>
    <t>OT area JPMC</t>
  </si>
  <si>
    <t>purhcased flexible duct 6"</t>
  </si>
  <si>
    <t>Online By Al-madina to Sana Ibad Acc</t>
  </si>
  <si>
    <t>cash paid for khaadi colour paint  (by hand mukhtar)</t>
  </si>
  <si>
    <t>Cash took from Al madina steel</t>
  </si>
  <si>
    <t>cash to Secure Vision in Engro Deal</t>
  </si>
  <si>
    <t>purchased Flexible cables from Data concern fast cables</t>
  </si>
  <si>
    <t>Cash to John in Bah Habib 22 floor</t>
  </si>
  <si>
    <t>Paid final payment</t>
  </si>
  <si>
    <t>invoices engro</t>
  </si>
  <si>
    <t>paid to mukhtar for glavanzed U clip</t>
  </si>
  <si>
    <t>purchased conduit, bend and tapes, flexble roll</t>
  </si>
  <si>
    <t>Purchased dop anchor 22 boxes by ahsan from mungo + fare</t>
  </si>
  <si>
    <t>purchased lux 100 pieces by ahsan</t>
  </si>
  <si>
    <t>cash paid for screw</t>
  </si>
  <si>
    <t>purchased threaded fttings</t>
  </si>
  <si>
    <t>purhcased welded fittings</t>
  </si>
  <si>
    <t>M.S nut bolt and gasket</t>
  </si>
  <si>
    <t>To M. Noman Ali for Sept 23</t>
  </si>
  <si>
    <t>purchased pressure switch + bush</t>
  </si>
  <si>
    <t>purchased flange 4" from Al burhan</t>
  </si>
  <si>
    <t>cash paid (given for expert engr in tri fit but nadeem bhai took this cash)</t>
  </si>
  <si>
    <t>ahsan</t>
  </si>
  <si>
    <t>August 2023 bill RMR cienma</t>
  </si>
  <si>
    <t>cash paid for adoptor, plug srew</t>
  </si>
  <si>
    <t>purchased taplon + upvc pipe 1/2"</t>
  </si>
  <si>
    <t>Claimed fuel + tea at site</t>
  </si>
  <si>
    <t>purchased welding rods 12 no</t>
  </si>
  <si>
    <t>purchased fan from VOLDAM</t>
  </si>
  <si>
    <t>purchased fiitngs</t>
  </si>
  <si>
    <t>claimed by ahsan for testing report approval</t>
  </si>
  <si>
    <t>Profit Share</t>
  </si>
  <si>
    <t>Given to Nadeem bhai for profit</t>
  </si>
  <si>
    <t>purchased cementex sulution</t>
  </si>
  <si>
    <t>to shahid for paint material</t>
  </si>
  <si>
    <t>To amir for site expenses</t>
  </si>
  <si>
    <t>To Bilal bhai for personal (Paid at Tariq)</t>
  </si>
  <si>
    <t>To Gul shet for sept 23</t>
  </si>
  <si>
    <t>To Abbas for sept 23</t>
  </si>
  <si>
    <t>paid for labour amount (for 40 Nos spronkler dead)</t>
  </si>
  <si>
    <t>TO Muzammil (final payment)</t>
  </si>
  <si>
    <t>k elec bill paid</t>
  </si>
  <si>
    <t>tender purchased from SEM engineers (CBL Sukkhar)</t>
  </si>
  <si>
    <t>purchased welding fittings</t>
  </si>
  <si>
    <t>cash paid for final payment</t>
  </si>
  <si>
    <t>Online transfer to Fakhar for Fire extinghuishers in Sana safinaz project</t>
  </si>
  <si>
    <t>Online transfer to Gul zameen khan in various project</t>
  </si>
  <si>
    <t>k ele bills</t>
  </si>
  <si>
    <t xml:space="preserve">To Amjad for  Sept - 23 </t>
  </si>
  <si>
    <t>office stationery purchased</t>
  </si>
  <si>
    <t>purchased glue 6 barni</t>
  </si>
  <si>
    <t>purchased tapes 2" 6 carton</t>
  </si>
  <si>
    <t>purchased cloth  6 thans</t>
  </si>
  <si>
    <t>purchased threaded fttings for engro</t>
  </si>
  <si>
    <t xml:space="preserve">                      </t>
  </si>
  <si>
    <t>for courier Zohaib tax and hyper boq</t>
  </si>
  <si>
    <t xml:space="preserve">MHR Personal </t>
  </si>
  <si>
    <t>Air War College</t>
  </si>
  <si>
    <t>purchased copper elbow from SHI</t>
  </si>
  <si>
    <t>Family area</t>
  </si>
  <si>
    <t>Amreli steel</t>
  </si>
  <si>
    <t>OPS Falcon</t>
  </si>
  <si>
    <t>GLOBAL TECHNOLOGIES</t>
  </si>
  <si>
    <t>Remaining</t>
  </si>
  <si>
    <t>Less Online by Al madina 25 sept 23</t>
  </si>
  <si>
    <t>Less Online by Al madina 26 sept 23</t>
  </si>
  <si>
    <t>paid for previous paint work in office (order by nadeem bhai)</t>
  </si>
  <si>
    <t>Paid to zubair in his labour Purchased material for safety hard cap and shoes (easy paisa by Umar)</t>
  </si>
  <si>
    <t>To anees grills in badri office</t>
  </si>
  <si>
    <t>to shahid for cable tie and other material</t>
  </si>
  <si>
    <t>purchased thermoflex 6" 1 pc</t>
  </si>
  <si>
    <t>purchaed cable tie 24"</t>
  </si>
  <si>
    <t>purchased threaded fittngs</t>
  </si>
  <si>
    <t>paid cash for unit shiftings</t>
  </si>
  <si>
    <t>To Fahad for  Sept - 23  (by mukhtiar)</t>
  </si>
  <si>
    <t>cash paid for site (contactor + motor bearing)</t>
  </si>
  <si>
    <t>paid transportation for IIL pipe</t>
  </si>
  <si>
    <t>cash paid (sent thru gul sher)</t>
  </si>
  <si>
    <t>From Al madina steel</t>
  </si>
  <si>
    <t>Printer</t>
  </si>
  <si>
    <t>office printer purchased by nadeem bahi</t>
  </si>
  <si>
    <t>Gul advance</t>
  </si>
  <si>
    <t>Tax</t>
  </si>
  <si>
    <t>Rehana Rehman tax payment</t>
  </si>
  <si>
    <t>final payment for link adaptors (given to naeem)</t>
  </si>
  <si>
    <t>To jahangeer for Sept 23</t>
  </si>
  <si>
    <t>To Sir rehman for misc medical invoices</t>
  </si>
  <si>
    <t>final payment paid</t>
  </si>
  <si>
    <t>Bank statement delivered to Obaid laywer</t>
  </si>
  <si>
    <t>invoices khaadi</t>
  </si>
  <si>
    <t>advance to chacha lateed</t>
  </si>
  <si>
    <t>S  u  n   d  a  y</t>
  </si>
  <si>
    <t>k ele + ssgc bill paid</t>
  </si>
  <si>
    <t>cash paid for site (sen thru asif)</t>
  </si>
  <si>
    <t>invocies BAF</t>
  </si>
  <si>
    <t>advance to khushnood</t>
  </si>
  <si>
    <t>in</t>
  </si>
  <si>
    <t>for gas and other material</t>
  </si>
  <si>
    <t>paid in labour prices</t>
  </si>
  <si>
    <t>for 3/4 pipe 40 rft fittings &amp; tapes for tri fit</t>
  </si>
  <si>
    <t>purchased 250 Nos U clamp - to mukhtar</t>
  </si>
  <si>
    <t>chrome U clamp - to mukhtar</t>
  </si>
  <si>
    <t>from Al madina steel</t>
  </si>
  <si>
    <t>purchased engro threaded fittings for chilled water pipes</t>
  </si>
  <si>
    <t>bykia - o/m bills to ftc murtaza</t>
  </si>
  <si>
    <t xml:space="preserve">1/4 coil purchased by ashraf </t>
  </si>
  <si>
    <t>received from Ali jameedl residence</t>
  </si>
  <si>
    <t>Al madina steel</t>
  </si>
  <si>
    <t>Cash hand over to jahangeer</t>
  </si>
  <si>
    <t>To Amir engr</t>
  </si>
  <si>
    <t>To Amir engr - salary advance</t>
  </si>
  <si>
    <t>IK CHQ in Riazeda</t>
  </si>
  <si>
    <t>purchased log nut  8 mm 70 nos</t>
  </si>
  <si>
    <t>purchased fittings threaded</t>
  </si>
  <si>
    <t>paint material + brush mixing oil</t>
  </si>
  <si>
    <t>To amjad ustad for sept 23</t>
  </si>
  <si>
    <t>To Gul sher for sept 23</t>
  </si>
  <si>
    <t>To Mukhtar for sept 23</t>
  </si>
  <si>
    <t>To Imran feroz for sept 23</t>
  </si>
  <si>
    <t>purchaed cut screws</t>
  </si>
  <si>
    <t>To Shahid painter for purchasing</t>
  </si>
  <si>
    <t>purchased cable tie</t>
  </si>
  <si>
    <t>IK CHQ in VISA Vos</t>
  </si>
  <si>
    <t xml:space="preserve">khaadi </t>
  </si>
  <si>
    <t>purchased drop anchor 10mm 20 boxes</t>
  </si>
  <si>
    <t>purchaed fittings threaded</t>
  </si>
  <si>
    <t>To Rizwan vrf for purchasing</t>
  </si>
  <si>
    <t>purchased welded fittings</t>
  </si>
  <si>
    <t>To Lateef for Oct 23</t>
  </si>
  <si>
    <t>purchased tapes and other material</t>
  </si>
  <si>
    <t>Wahab duct</t>
  </si>
  <si>
    <t>Paid advance cash (1st payment) in 19-B</t>
  </si>
  <si>
    <t>shahiq ftc</t>
  </si>
  <si>
    <t>Owais al madina</t>
  </si>
  <si>
    <t>The place cinemas</t>
  </si>
  <si>
    <t>Purchased butterfly dapmers</t>
  </si>
  <si>
    <t>by ashraf</t>
  </si>
  <si>
    <t>Imran, shahid, nadeem, Fahad Khushnood abid</t>
  </si>
  <si>
    <t>Amir Amjad Gul Lateef + chacha lateef</t>
  </si>
  <si>
    <t xml:space="preserve">FTC </t>
  </si>
  <si>
    <t xml:space="preserve">Falcon mall </t>
  </si>
  <si>
    <t>Irfan bhai</t>
  </si>
  <si>
    <t>Umer and mossi salary</t>
  </si>
  <si>
    <t>Johar Cinemas salaries</t>
  </si>
  <si>
    <t>Shahzaibullah salary (UEP + ENGRO)</t>
  </si>
  <si>
    <t>purchased index cable 1,5mm 4 core</t>
  </si>
  <si>
    <t>charity paid by Rehan</t>
  </si>
  <si>
    <t>purchased cable tie 2 box screw</t>
  </si>
  <si>
    <t>Noman bhai salary including 5 days of aug (UEP + BAH)</t>
  </si>
  <si>
    <t>mossi home salaries with diver salary (Sept -23)</t>
  </si>
  <si>
    <t>nadeem bhai Sept 23 salary</t>
  </si>
  <si>
    <t>waris Sept 23 salary</t>
  </si>
  <si>
    <t>salaries chq</t>
  </si>
  <si>
    <t>TO Faheem in labour in UEP</t>
  </si>
  <si>
    <t>purchased elbow and flanges</t>
  </si>
  <si>
    <t>sprind purchased by muzammil</t>
  </si>
  <si>
    <t>Sept 2023 bill RMR cienma</t>
  </si>
  <si>
    <t>ali jameel residence</t>
  </si>
  <si>
    <t>purchased cut screw</t>
  </si>
  <si>
    <t>purchased cable tray from waqar</t>
  </si>
  <si>
    <t>drawing payment by kamran</t>
  </si>
  <si>
    <t>To Kamran for Oct 23</t>
  </si>
  <si>
    <t>Shahid salary revised by nadeem bahi</t>
  </si>
  <si>
    <t>To Shahid painter for Oct 23</t>
  </si>
  <si>
    <t>nadeem painter adv</t>
  </si>
  <si>
    <t>purchaesd index cables 1.5mm 4 C</t>
  </si>
  <si>
    <t>purchased gasket, nut bolt washer</t>
  </si>
  <si>
    <t>Invoices falcon, BAF, FTC, 7th floor, dafter, jpmc, visa, meezan</t>
  </si>
  <si>
    <t>purchased pin valve and agm solution</t>
  </si>
  <si>
    <t>purchased upcv material from malik brothers</t>
  </si>
  <si>
    <t>Received partial payment in final bill BAF</t>
  </si>
  <si>
    <t>purchased flare nuts and flexbile pipe by hassan ac</t>
  </si>
  <si>
    <t xml:space="preserve">To Ahsan for purchasing </t>
  </si>
  <si>
    <t>To Rehan for petty cash</t>
  </si>
  <si>
    <t xml:space="preserve">From Bilal </t>
  </si>
  <si>
    <t>Baf 10A Floor</t>
  </si>
  <si>
    <t>To Gul sher for oct 23</t>
  </si>
  <si>
    <t>nadeem bhai mobile balace</t>
  </si>
  <si>
    <t>ful</t>
  </si>
  <si>
    <t>by abbas</t>
  </si>
  <si>
    <t>From Bilal (Given to ahsan for purchasing)</t>
  </si>
  <si>
    <t xml:space="preserve">purchase fittings </t>
  </si>
  <si>
    <t>purchased channel 27 x 18 20 pices</t>
  </si>
  <si>
    <t>purchased screw and other item</t>
  </si>
  <si>
    <t>misc purchases</t>
  </si>
  <si>
    <t>jazz balance + ufone card</t>
  </si>
  <si>
    <t>paid for crane charged for regging</t>
  </si>
  <si>
    <t>Misc</t>
  </si>
  <si>
    <t>To Imran at site</t>
  </si>
  <si>
    <t>paid Salman izhar meo salary (after approval from BH)</t>
  </si>
  <si>
    <t>purchased 1,5mm 4 core index cable</t>
  </si>
  <si>
    <t>bykia for SST invoice to ASA</t>
  </si>
  <si>
    <t>purchaed dammer tapes (given to Rizwan VRF)</t>
  </si>
  <si>
    <t>To Rafay at Site in Standard chartered bank</t>
  </si>
  <si>
    <t>To rafay in SCB</t>
  </si>
  <si>
    <t>paid advance in Engro</t>
  </si>
  <si>
    <t>purchased channel 27 x 18 and jubilee clamp from mungo</t>
  </si>
  <si>
    <t>purchased drywell from mungo</t>
  </si>
  <si>
    <t>cash paid for safety shoes</t>
  </si>
  <si>
    <t>mixing oil and other item</t>
  </si>
  <si>
    <t>claimed by mumtaz</t>
  </si>
  <si>
    <t>purchased diffuser spring</t>
  </si>
  <si>
    <t>To mumtaz for purchase of blower mateiral</t>
  </si>
  <si>
    <t>Online to Saqib insulation in BAH</t>
  </si>
  <si>
    <t>Paid cash to Noman Engr BAH deal</t>
  </si>
  <si>
    <t>Maxon chemical</t>
  </si>
  <si>
    <t>full and final payment paid</t>
  </si>
  <si>
    <t>purchased 02 nos gas cylinder r410 from Adnan</t>
  </si>
  <si>
    <t>bykia for ASA bill delivered</t>
  </si>
  <si>
    <t>cash paid (from Owais sheet)</t>
  </si>
  <si>
    <t>paid cash from office</t>
  </si>
  <si>
    <t xml:space="preserve">purchased material </t>
  </si>
  <si>
    <t>cash paid from office</t>
  </si>
  <si>
    <t>To Ashraf bhai for October - 23</t>
  </si>
  <si>
    <t>To Sajjad for October - 23</t>
  </si>
  <si>
    <t xml:space="preserve">material </t>
  </si>
  <si>
    <t>Online to Shan industries in VISA Office</t>
  </si>
  <si>
    <t>Owais al madina (rec by shahid)</t>
  </si>
  <si>
    <t>Owais al madina (rec by Ahsan)</t>
  </si>
  <si>
    <t>To  shahid</t>
  </si>
  <si>
    <t>received Sept 2023 bill the place</t>
  </si>
  <si>
    <t>Meezan CHQ from UEP Running bill No 1 from ASA</t>
  </si>
  <si>
    <t>abdullah enterprises in BAH deal</t>
  </si>
  <si>
    <t>from imran bhai</t>
  </si>
  <si>
    <t>paid for tender submission</t>
  </si>
  <si>
    <t>purchased long nut and screws</t>
  </si>
  <si>
    <t>purchased holdtite</t>
  </si>
  <si>
    <t>purchased rubber sheet</t>
  </si>
  <si>
    <t>purchased ss wire mesh</t>
  </si>
  <si>
    <t>purchaesd fittings from fatema welding store</t>
  </si>
  <si>
    <t>purchased flexible carton</t>
  </si>
  <si>
    <t>crane charges</t>
  </si>
  <si>
    <t>cash paid (decided by amir)</t>
  </si>
  <si>
    <t>Online to Wahab ducting in engro</t>
  </si>
  <si>
    <t>To Mukhtar for Oct 23</t>
  </si>
  <si>
    <t>Owais al madina (rec by Imran bhai)</t>
  </si>
  <si>
    <t>cash paid (for mhr home hood + mixer)</t>
  </si>
  <si>
    <t>cash paid (via imran hand)</t>
  </si>
  <si>
    <t>purchased GI nut bolt wahers from bolt cener</t>
  </si>
  <si>
    <t>faseeh fees</t>
  </si>
  <si>
    <t>faseeh fees paid for Sept 23 + oct 23</t>
  </si>
  <si>
    <t>Purchased air curtain 6 Feet from Hasoo center</t>
  </si>
  <si>
    <t>computer</t>
  </si>
  <si>
    <t>cash paid (via Nadeem bhai hand)</t>
  </si>
  <si>
    <t>purchaed tapes carton</t>
  </si>
  <si>
    <t>Belden Cable, 3 Core Shielded 22 AWG, 305 mt</t>
  </si>
  <si>
    <t>New emplyee kashif computer purchase core i5 3rd gen</t>
  </si>
  <si>
    <t>Key board mouse power port + VGA</t>
  </si>
  <si>
    <t>HP 24" LED 1 week warranty</t>
  </si>
  <si>
    <t>materail</t>
  </si>
  <si>
    <t>purchaed cutting disc</t>
  </si>
  <si>
    <t>To Bilal bhai for profit share</t>
  </si>
  <si>
    <t>from nadeem bahi</t>
  </si>
  <si>
    <t>zahid insulation</t>
  </si>
  <si>
    <t>Internet dongle and date cable purchased</t>
  </si>
  <si>
    <t>red oxide and other items</t>
  </si>
  <si>
    <t>TO amir engr</t>
  </si>
  <si>
    <t>from abid</t>
  </si>
  <si>
    <t xml:space="preserve">To abid </t>
  </si>
  <si>
    <t>To Amir</t>
  </si>
  <si>
    <t>fair paid to danish driver</t>
  </si>
  <si>
    <t>Paid for MHR home Garrage, kitchen / marble paint and labour work</t>
  </si>
  <si>
    <t>Owais al madina (rec by amir)</t>
  </si>
  <si>
    <t>to amir engr (oct 23)</t>
  </si>
  <si>
    <t>purchaed foam tapes</t>
  </si>
  <si>
    <t>jahangeer mobile</t>
  </si>
  <si>
    <t xml:space="preserve">Mubeen Half salary released </t>
  </si>
  <si>
    <t>to Gul sher (oct 23)</t>
  </si>
  <si>
    <t>paid for site deberages removed</t>
  </si>
  <si>
    <t>cash paid for extension of gyrantees</t>
  </si>
  <si>
    <t>khushnood advance</t>
  </si>
  <si>
    <t>purchaed flexble duct 6" 10 boxes</t>
  </si>
  <si>
    <t>purcahed GI fittings and other material</t>
  </si>
  <si>
    <t>purchased link adapter 10mm</t>
  </si>
  <si>
    <t>purchased 1mm 3 core flexible coil from data electric store</t>
  </si>
  <si>
    <t>Dawood Center</t>
  </si>
  <si>
    <t>purchased tapes carton from puri traders</t>
  </si>
  <si>
    <t>purchased 1.5mm 3 core flexible coil from data electric store</t>
  </si>
  <si>
    <t>Paid for 3 carton duct sealent</t>
  </si>
  <si>
    <t>sohail IIE</t>
  </si>
  <si>
    <t xml:space="preserve">cash paid against thermosat beldon cable </t>
  </si>
  <si>
    <t>TAX challan paid against Nadeem Engineering TY 2023</t>
  </si>
  <si>
    <t>TAX challan paid against Mubahra Nadeem TY 2023</t>
  </si>
  <si>
    <t>10mm fisher purchased</t>
  </si>
  <si>
    <t>TO abid in Oct 23</t>
  </si>
  <si>
    <t>MHR groceries for 4 months (july to oct 23)</t>
  </si>
  <si>
    <t>To atif insulator</t>
  </si>
  <si>
    <t>to Gul zameen khan</t>
  </si>
  <si>
    <t>MCB chq 1958702610</t>
  </si>
  <si>
    <t>Rec Meezan CHQ adhoc rec IPC 2 from UEP</t>
  </si>
  <si>
    <t>To amjad for oct 23</t>
  </si>
  <si>
    <t>paid to amjad</t>
  </si>
  <si>
    <t>purchased dry wall screw 2 boxes</t>
  </si>
  <si>
    <t xml:space="preserve">given charity bakra </t>
  </si>
  <si>
    <t>purchased cut screq</t>
  </si>
  <si>
    <t>purchased non return valve</t>
  </si>
  <si>
    <t>purchased gi nut bolt and washer</t>
  </si>
  <si>
    <t>purchaed cable tie</t>
  </si>
  <si>
    <t>purchased tools by Israr bhai</t>
  </si>
  <si>
    <t>purchased copper rod and dammer tapes</t>
  </si>
  <si>
    <t>Paid cash to Faheen in BAH account</t>
  </si>
  <si>
    <t>To Rehan for office use (by shaaf hand)</t>
  </si>
  <si>
    <t xml:space="preserve"> fuel</t>
  </si>
  <si>
    <t>clamed by ahsan</t>
  </si>
  <si>
    <t>to kamran office for oct 23</t>
  </si>
  <si>
    <t>to chacha lateef for oct 23</t>
  </si>
  <si>
    <t>parking amount given to lateef (by order nadeem bahi)</t>
  </si>
  <si>
    <t xml:space="preserve">Rec from Total in Meezan Bukhari </t>
  </si>
  <si>
    <t>To abid for Repaired 2 welding plant for riazeda site</t>
  </si>
  <si>
    <t>purchased index cable 2 coil 235mm 4 core</t>
  </si>
  <si>
    <t>purchased 7 than canvas clothes</t>
  </si>
  <si>
    <t>purchased 8 barni glue</t>
  </si>
  <si>
    <t>Pioneer services tax</t>
  </si>
  <si>
    <t>paid for balancing -</t>
  </si>
  <si>
    <t>purchaed 6" dia flexible duct 6 boxes</t>
  </si>
  <si>
    <t>purchased MS fittings from abbas</t>
  </si>
  <si>
    <t xml:space="preserve">paid to imran feroz for his mother eye operation </t>
  </si>
  <si>
    <t>Bike maintenance to amir engr</t>
  </si>
  <si>
    <t>paid for upvc pipe and channel patti (rec by BH)</t>
  </si>
  <si>
    <t>UEP 17th Floor + BAH</t>
  </si>
  <si>
    <t>purchaed 6" dia flexible duct 2 boxes</t>
  </si>
  <si>
    <t>purchased green paint + oil</t>
  </si>
  <si>
    <t>purchased copper rod</t>
  </si>
  <si>
    <t>in his labour</t>
  </si>
  <si>
    <t>for air devices</t>
  </si>
  <si>
    <t>rizwan in riazeda</t>
  </si>
  <si>
    <t>To sadiq pipe in engro rec by mehboob</t>
  </si>
  <si>
    <t>Final payment received in G Floor dafter khwan</t>
  </si>
  <si>
    <t>abdullah enterprises</t>
  </si>
  <si>
    <t>paid for VCD and return air grills</t>
  </si>
  <si>
    <t>to gul sher for oct 23</t>
  </si>
  <si>
    <t>To Rehan for office use (by Driver hand)</t>
  </si>
  <si>
    <t>Online to Forte pak in Ahmed Gulzar acc for Engro Pipe insulation</t>
  </si>
  <si>
    <t>Online to Afsar Hussain acc for Dawood center Engro Copper pipe installation work</t>
  </si>
  <si>
    <t>paid to faheem for mhr site</t>
  </si>
  <si>
    <t>invoices SCB</t>
  </si>
  <si>
    <t>adv to nadeem</t>
  </si>
  <si>
    <t>OPS falcon</t>
  </si>
  <si>
    <t>purchased fiber glass insulation 16kg 1" thick</t>
  </si>
  <si>
    <t>paid to muzammil for scre and disc</t>
  </si>
  <si>
    <t>purchaed electric saddle</t>
  </si>
  <si>
    <t>purchased red oxide and brush</t>
  </si>
  <si>
    <t>to Jahangeer for oct 23</t>
  </si>
  <si>
    <t>to AHSAN for oct 23</t>
  </si>
  <si>
    <t>Kamran office after adv deduct</t>
  </si>
  <si>
    <t>Amir engr after adv deduct</t>
  </si>
  <si>
    <t>umer + mossi</t>
  </si>
  <si>
    <t>purchaed channel 41 x 41 1 channel</t>
  </si>
  <si>
    <t>To jahangeer for visa variation site</t>
  </si>
  <si>
    <t>by nadeem bhai for visa variation site</t>
  </si>
  <si>
    <t>Total salary</t>
  </si>
  <si>
    <t>Akbar ali</t>
  </si>
  <si>
    <t>paid for air curtain installation</t>
  </si>
  <si>
    <t>VISA Variation Work</t>
  </si>
  <si>
    <t>sabro tech</t>
  </si>
  <si>
    <t>Salary adv (manual)</t>
  </si>
  <si>
    <t>Shahzaib salary</t>
  </si>
  <si>
    <t>purchased highlighers and diary by shahzaib</t>
  </si>
  <si>
    <t>The place cinemas staff salaries</t>
  </si>
  <si>
    <t>paid for WCPU units from lahore to Karachi cargo</t>
  </si>
  <si>
    <t>paid for WCPU units from Cargo to office</t>
  </si>
  <si>
    <t>paid for WCPU units from office to VISA site</t>
  </si>
  <si>
    <t>tea and refershment</t>
  </si>
  <si>
    <t xml:space="preserve">lunch at site </t>
  </si>
  <si>
    <t>purchased 6" flexible duct 5 carton</t>
  </si>
  <si>
    <t>Abid bhai salary</t>
  </si>
  <si>
    <t>purchased material - given to hassan AC</t>
  </si>
  <si>
    <t>purchased fittings from fatima fittings</t>
  </si>
  <si>
    <t>Lateef + chacha lateef salary</t>
  </si>
  <si>
    <t>dammer tapes</t>
  </si>
  <si>
    <t xml:space="preserve">dammer tapes </t>
  </si>
  <si>
    <t>bah 10-A floor</t>
  </si>
  <si>
    <t xml:space="preserve">anees grill </t>
  </si>
  <si>
    <t>Shahid and nadeem painter salary</t>
  </si>
  <si>
    <t>mossi home salaries with diver salary (Oct -23)</t>
  </si>
  <si>
    <t>nadeem bhai Oct 23 salary</t>
  </si>
  <si>
    <t>waris Oct 23 salary</t>
  </si>
  <si>
    <t>Ahsan salary after advance deduct</t>
  </si>
  <si>
    <t>Imran, Amjad, lhushnood gul sher and fahad salary</t>
  </si>
  <si>
    <t>to abbas for oct 23</t>
  </si>
  <si>
    <t>red oxide by noman bhai</t>
  </si>
  <si>
    <t>deberages clean</t>
  </si>
  <si>
    <t xml:space="preserve">cash given to usman </t>
  </si>
  <si>
    <t>Cash given to usman</t>
  </si>
  <si>
    <t>uep 17th Floor</t>
  </si>
  <si>
    <t>Noman bahi salary after adv deduct</t>
  </si>
  <si>
    <t xml:space="preserve">Abbas bhai salary </t>
  </si>
  <si>
    <t>Ahmed Villa</t>
  </si>
  <si>
    <t>Cash paid for plumbing work</t>
  </si>
  <si>
    <t>Abid remaining salary</t>
  </si>
  <si>
    <t>INVOICES</t>
  </si>
  <si>
    <t>to to gul for Nov 23</t>
  </si>
  <si>
    <t>ashraf bhai salary after advance deduct</t>
  </si>
  <si>
    <t>amir engr claimed super card for nov 23</t>
  </si>
  <si>
    <t>Israr Bhai salary</t>
  </si>
  <si>
    <t>Cash received from Mehmood</t>
  </si>
  <si>
    <t>purchased mitting and other items</t>
  </si>
  <si>
    <t>Wire</t>
  </si>
  <si>
    <t>purchased 1 mm 3 core from united cable</t>
  </si>
  <si>
    <t>bykia nad fuel by ashraf bhai</t>
  </si>
  <si>
    <t>To Mukhtar for Nov 23</t>
  </si>
  <si>
    <t>cash paid for T shirts and gray paint</t>
  </si>
  <si>
    <t>RMR staff</t>
  </si>
  <si>
    <t>Prem Engineering</t>
  </si>
  <si>
    <t>cash paid (rec by Inam sahab)</t>
  </si>
  <si>
    <t>purchaed fttings from abbas and paints</t>
  </si>
  <si>
    <t>purcahsed gi corner and pvc corner</t>
  </si>
  <si>
    <t>purchased rawal bolt</t>
  </si>
  <si>
    <t>cash paid for drawings payment (given to kamran)</t>
  </si>
  <si>
    <t>ueP 17th Floor</t>
  </si>
  <si>
    <t>Amjad remaining salary</t>
  </si>
  <si>
    <t>Bilty from insualtion forte pak</t>
  </si>
  <si>
    <t>purchased UPVc fittings</t>
  </si>
  <si>
    <t>Invoices meezan</t>
  </si>
  <si>
    <t>Invoices NASTP</t>
  </si>
  <si>
    <t>Invoices VISA</t>
  </si>
  <si>
    <t>Invoices misc</t>
  </si>
  <si>
    <t>Invoices office</t>
  </si>
  <si>
    <t>paid for office AC repaired (card)</t>
  </si>
  <si>
    <t>misc fittings by hasan</t>
  </si>
  <si>
    <t>frrom nadeem blue lines</t>
  </si>
  <si>
    <t>purchased fast cable control 3.5 mm 4 core</t>
  </si>
  <si>
    <t>given to mumtaz bhai</t>
  </si>
  <si>
    <t>paid to Saqib for insualtion tapes</t>
  </si>
  <si>
    <t xml:space="preserve">14 nos fans purchased </t>
  </si>
  <si>
    <t>VOLDAM</t>
  </si>
  <si>
    <t>received Oct 2023 bill the place</t>
  </si>
  <si>
    <t>FTC July 23 receiving</t>
  </si>
  <si>
    <t>FTC Aug 23 receiving</t>
  </si>
  <si>
    <t>FTC Sept 23 receiving</t>
  </si>
  <si>
    <t>global</t>
  </si>
  <si>
    <t>Fuel and medicines and home expnese</t>
  </si>
  <si>
    <t>Raees Brother</t>
  </si>
  <si>
    <t xml:space="preserve">purchased 2.5 mm 4 core by afsar </t>
  </si>
  <si>
    <t>purchased misc material by afsar</t>
  </si>
  <si>
    <t>1 lac paid to usman habib as per instruction of mhr in his. persnol account</t>
  </si>
  <si>
    <t>rubber gukky for chilled water lines from thumb innt</t>
  </si>
  <si>
    <t>To Ahsan office</t>
  </si>
  <si>
    <t>paid to ahsan for labour</t>
  </si>
  <si>
    <t>Folding purchased</t>
  </si>
  <si>
    <t>adv to khushnood</t>
  </si>
  <si>
    <t>khsund</t>
  </si>
  <si>
    <t>saqib insulation</t>
  </si>
  <si>
    <t>nadeem bahi in his profit</t>
  </si>
  <si>
    <t>RIZWAN CORE</t>
  </si>
  <si>
    <t>Cash received from Nadeem Blue lines</t>
  </si>
  <si>
    <t>to gul for Nov 23</t>
  </si>
  <si>
    <t>o/m NASTP</t>
  </si>
  <si>
    <t>purchased drop anchor</t>
  </si>
  <si>
    <t>Agm solution</t>
  </si>
  <si>
    <t>clamp 15 nos</t>
  </si>
  <si>
    <t xml:space="preserve">Online to Sadiq piping in Engro </t>
  </si>
  <si>
    <t>to Abbas for Nov 23</t>
  </si>
  <si>
    <t xml:space="preserve">washer purchased </t>
  </si>
  <si>
    <t>elboe purhcased</t>
  </si>
  <si>
    <t>Folding advance</t>
  </si>
  <si>
    <t>tapes purchased</t>
  </si>
  <si>
    <t>rubber bush</t>
  </si>
  <si>
    <t>purchased gi nuts</t>
  </si>
  <si>
    <t>ptcl bill paid</t>
  </si>
  <si>
    <t>3% Invoice adjustement by BH from NEC against Engro &amp; Trifot acc from NEC project (Chq rec on 30-08-23)</t>
  </si>
  <si>
    <t>Cash received from Nadeem Blue lines (given to muzammil)</t>
  </si>
  <si>
    <t>rizwan in VRf</t>
  </si>
  <si>
    <t>zeesan salary</t>
  </si>
  <si>
    <t>daraz</t>
  </si>
  <si>
    <t>various</t>
  </si>
  <si>
    <t>safety horness</t>
  </si>
  <si>
    <t>elbow 1" purchased</t>
  </si>
  <si>
    <t>hold tite taflon</t>
  </si>
  <si>
    <t>fittings from abbas</t>
  </si>
  <si>
    <t xml:space="preserve">Purchased 1 x 1 160 rft insulation </t>
  </si>
  <si>
    <t>Zeeshan AC salary (remaining salary)</t>
  </si>
  <si>
    <t>daraz office</t>
  </si>
  <si>
    <t>glass woo insualtion from fakhri enterpries</t>
  </si>
  <si>
    <t>fiittngs chiled water</t>
  </si>
  <si>
    <t>engro rubber</t>
  </si>
  <si>
    <t>daraz nut washer</t>
  </si>
  <si>
    <t>bkia</t>
  </si>
  <si>
    <t>clother purchased</t>
  </si>
  <si>
    <t>chilled water fittings</t>
  </si>
  <si>
    <t>engro paint work</t>
  </si>
  <si>
    <t>rubber purhcased.</t>
  </si>
  <si>
    <t>gi nut and washers</t>
  </si>
  <si>
    <t>glue purhcased</t>
  </si>
  <si>
    <t>PES other</t>
  </si>
  <si>
    <t>PES Meezan</t>
  </si>
  <si>
    <t>Cash From Universal traders</t>
  </si>
  <si>
    <t>Cash given to SHI</t>
  </si>
  <si>
    <t>Cash given to Index</t>
  </si>
  <si>
    <t>Cash given to Air guide</t>
  </si>
  <si>
    <t>Cash given for threaded rods</t>
  </si>
  <si>
    <t>Cash given to unique mungo</t>
  </si>
  <si>
    <t>Cash given for fittings</t>
  </si>
  <si>
    <t>Cash given to Rehan for office use</t>
  </si>
  <si>
    <t>paid to jahangeer for tea and refreshment</t>
  </si>
  <si>
    <t>Imran feroz remaiing salary</t>
  </si>
  <si>
    <t>Mukhtar remaiing salary</t>
  </si>
  <si>
    <t>To hammad for Nov 23</t>
  </si>
  <si>
    <t>paid for cards prinitng</t>
  </si>
  <si>
    <t>paid for air devices springs</t>
  </si>
  <si>
    <t>KATYS</t>
  </si>
  <si>
    <t>Cash given (rec by naseer Baloch)</t>
  </si>
  <si>
    <t>cash paid for invoices given</t>
  </si>
  <si>
    <t>Given to Habib Insulation</t>
  </si>
  <si>
    <t>Tax Paid as recommended by Zohaib</t>
  </si>
  <si>
    <t>To Gul sher for Nov 23</t>
  </si>
  <si>
    <t>TO umer cash paid for site</t>
  </si>
  <si>
    <t>Salary advance to salman cinema</t>
  </si>
  <si>
    <t>purchased rubber flexible joint 1" 20 nos</t>
  </si>
  <si>
    <t>Paid cash to Wahab duct in Engro</t>
  </si>
  <si>
    <t>Given to afsar for purchasing</t>
  </si>
  <si>
    <t>MHR groceries for nov 23</t>
  </si>
  <si>
    <t>Fuel (aug  to oct 23)</t>
  </si>
  <si>
    <t>Mobile (aug  to oct 23)</t>
  </si>
  <si>
    <t>Folding final payment</t>
  </si>
  <si>
    <t>air wave</t>
  </si>
  <si>
    <t>cash paid against vcd payment rec by zubair</t>
  </si>
  <si>
    <t xml:space="preserve">Paid to Majid plumber </t>
  </si>
  <si>
    <t>Majid Plumber</t>
  </si>
  <si>
    <t>salman by BH</t>
  </si>
  <si>
    <t>purchasecd safety horness, fittings, hold title samad bond</t>
  </si>
  <si>
    <t>purchased colot material</t>
  </si>
  <si>
    <t>To Kashif for 15 Days</t>
  </si>
  <si>
    <t>TO umer cash for office</t>
  </si>
  <si>
    <t>ims engr</t>
  </si>
  <si>
    <t>universal engineering</t>
  </si>
  <si>
    <t>SRB amount oct 23</t>
  </si>
  <si>
    <t>sir rehman share</t>
  </si>
  <si>
    <t>naveed insulation</t>
  </si>
  <si>
    <t>IK CHQ in Daraz</t>
  </si>
  <si>
    <t>This chq given to universal traders for SRB amuont input claimed as recommended by Zohaib Tax further universal traders return these amount after deduction of 2% invoice charges of Rs 200,000</t>
  </si>
  <si>
    <t>To Sajid Pipe in UEP</t>
  </si>
  <si>
    <t>Paid to saqib for engro dawood center</t>
  </si>
  <si>
    <t>Bill 1</t>
  </si>
  <si>
    <t>Bill 2</t>
  </si>
  <si>
    <t>Bill 4</t>
  </si>
  <si>
    <t>Bill 3</t>
  </si>
  <si>
    <t>Bill 5</t>
  </si>
  <si>
    <t>Tax 7%</t>
  </si>
  <si>
    <t>cash paid for blower, grease, w40 and other fittings</t>
  </si>
  <si>
    <t>To Amir engr for Nov 23</t>
  </si>
  <si>
    <t>purchased 03 nos pressure switch</t>
  </si>
  <si>
    <t>Air Guide payment at amreli steel</t>
  </si>
  <si>
    <t>Adjust in his profit sharing 2023</t>
  </si>
  <si>
    <t xml:space="preserve">REC from NEC in acc of ENGRO for Folding </t>
  </si>
  <si>
    <t>REC from NEC in acc of ENGRO</t>
  </si>
  <si>
    <t>CHQs rec from Total</t>
  </si>
  <si>
    <t>bilal bhai mobile balance</t>
  </si>
  <si>
    <t>PSYCHOTRY depart</t>
  </si>
  <si>
    <t>Hilti repaired by shahid painter from waseem traders</t>
  </si>
  <si>
    <t>mirror glass 5mm purchased from aman glassby imran engr</t>
  </si>
  <si>
    <t>claimed by imran engr</t>
  </si>
  <si>
    <t>purchased inuslation from united by ahsan</t>
  </si>
  <si>
    <t>Bus fare by gul sher</t>
  </si>
  <si>
    <t>cash paid for pump purchased</t>
  </si>
  <si>
    <t>adv to lateef</t>
  </si>
  <si>
    <t>adv to chacha lateef</t>
  </si>
  <si>
    <t>chacha</t>
  </si>
  <si>
    <t>Cash adjust in profit share</t>
  </si>
  <si>
    <t>To Abid for Nov 23</t>
  </si>
  <si>
    <t>sohail IME</t>
  </si>
  <si>
    <t>utililies bills K elec</t>
  </si>
  <si>
    <t>purchased fisher</t>
  </si>
  <si>
    <t>paid for red oxde</t>
  </si>
  <si>
    <t>Oct 2023 bill RMR cienma</t>
  </si>
  <si>
    <t>to ahsan for tapes and othe rmatera</t>
  </si>
  <si>
    <t>To shahid</t>
  </si>
  <si>
    <t>To mukhtar</t>
  </si>
  <si>
    <t xml:space="preserve">by nadeem bhai </t>
  </si>
  <si>
    <t>ali jameel water level purchased</t>
  </si>
  <si>
    <t>faisal majeed</t>
  </si>
  <si>
    <t>nadeem bhai card printing by ahsan</t>
  </si>
  <si>
    <t>to afsar for material</t>
  </si>
  <si>
    <t>paid for 2.5 mm 3 core from indus cables</t>
  </si>
  <si>
    <t>purhcased copper pipe</t>
  </si>
  <si>
    <t>uep</t>
  </si>
  <si>
    <t>falcom</t>
  </si>
  <si>
    <t>Online to Shabbir in Daraz office ground floor</t>
  </si>
  <si>
    <t>Online to Zahid Juno in OT Area JPMC</t>
  </si>
  <si>
    <t>Online to Rafay in SCB</t>
  </si>
  <si>
    <t>by nadem bhai</t>
  </si>
  <si>
    <t>paid for 1 month photocopies</t>
  </si>
  <si>
    <t>cahrity by Rehan</t>
  </si>
  <si>
    <t>5 boxes</t>
  </si>
  <si>
    <t>ftc staff salaries</t>
  </si>
  <si>
    <t>mossi home salaries with diver salary (Nov -23)</t>
  </si>
  <si>
    <t>nadeem bhai Nov 23 salary</t>
  </si>
  <si>
    <t>waris Nov 23 salary</t>
  </si>
  <si>
    <t>To shabbir Pipe for fire piping work in Daraz Project</t>
  </si>
  <si>
    <t>TO Rehan for Nov 23 salaries</t>
  </si>
  <si>
    <t>Lateef duct salary</t>
  </si>
  <si>
    <t>Amir engr salary</t>
  </si>
  <si>
    <t>Engr Noman salary</t>
  </si>
  <si>
    <t>Amjad ustad salary</t>
  </si>
  <si>
    <t>Received from Total in acc of Standard Chartered Bank (Transfer in Mohsin Traders Acount)</t>
  </si>
  <si>
    <t>Cash Received from Falcon in acc of Falcon OPS</t>
  </si>
  <si>
    <t>Gul sher salary</t>
  </si>
  <si>
    <t>Ahsan Razak, salman &amp; sufyan salary</t>
  </si>
  <si>
    <t>18" cable tie purchased</t>
  </si>
  <si>
    <t>NASTF staff salaries</t>
  </si>
  <si>
    <t>Shahid painter salary</t>
  </si>
  <si>
    <t>Hilti purchased in meezan bank</t>
  </si>
  <si>
    <t>purchased glass wool insulation 1" 24 kg 2 roll</t>
  </si>
  <si>
    <t>to danish</t>
  </si>
  <si>
    <t>office salaries nov 23</t>
  </si>
  <si>
    <t>purchased inuslation from forte pak</t>
  </si>
  <si>
    <t>cable ties</t>
  </si>
  <si>
    <t>PRV</t>
  </si>
  <si>
    <t>moiz duct</t>
  </si>
  <si>
    <t>Remaining cash for 3 zahabiya shield 16 kg + 2 duct selnet</t>
  </si>
  <si>
    <t>colour , mixing oil and brushe</t>
  </si>
  <si>
    <t xml:space="preserve">To ahsan for office stamp </t>
  </si>
  <si>
    <t>to asif rikshaw</t>
  </si>
  <si>
    <t>To Chacha lateef</t>
  </si>
  <si>
    <t>NASTF staff salaries (Remaining staff)</t>
  </si>
  <si>
    <t>Rehan CHQ Book</t>
  </si>
  <si>
    <t>Khushnnod and nadeem painter salary</t>
  </si>
  <si>
    <t>Mobile balance for nadeem bhai</t>
  </si>
  <si>
    <t>Chacha lateef salary</t>
  </si>
  <si>
    <t>To Rehan Bank Acc in MCB</t>
  </si>
  <si>
    <t>TO fahad fareed</t>
  </si>
  <si>
    <t>afsar hussain</t>
  </si>
  <si>
    <t>52 rft insulation PU chilled water 2 x 1-1/2</t>
  </si>
  <si>
    <t>paid cash (rec by raheel)</t>
  </si>
  <si>
    <t>office pump fittings</t>
  </si>
  <si>
    <t>To Amir engr from nadeem bhai</t>
  </si>
  <si>
    <t>To Gul by nadeem bhai</t>
  </si>
  <si>
    <t>To Shabbir birother</t>
  </si>
  <si>
    <t>received Nov 2023 bill the place</t>
  </si>
  <si>
    <t>office pump purchased 1.5 hp lowara italy from shershah</t>
  </si>
  <si>
    <t>charity in sailani</t>
  </si>
  <si>
    <t>purchased paint material with brush &amp; mixing oil</t>
  </si>
  <si>
    <t>cash paid (full and final payment) + Stool payment</t>
  </si>
  <si>
    <t>To abbas for dec 23</t>
  </si>
  <si>
    <t>paid to danish</t>
  </si>
  <si>
    <t>To Gul for dec 23</t>
  </si>
  <si>
    <t>Ernst &amp; Young</t>
  </si>
  <si>
    <t>Khursid fans</t>
  </si>
  <si>
    <t>masrror</t>
  </si>
  <si>
    <t>fame intl</t>
  </si>
  <si>
    <t>sadiq pipe</t>
  </si>
  <si>
    <t>ashraf office</t>
  </si>
  <si>
    <t>ptcl</t>
  </si>
  <si>
    <t>Mobile balance for bilal habib</t>
  </si>
  <si>
    <t>Red oxide paint mixing oil brush and cable tie</t>
  </si>
  <si>
    <t>burger by ahsan</t>
  </si>
  <si>
    <t>To Shahid painter for Dec 23 (for his brother in hospital)</t>
  </si>
  <si>
    <t xml:space="preserve">To Amajd for Dec 23 </t>
  </si>
  <si>
    <t>to sufyan for 2 days labour</t>
  </si>
  <si>
    <t>cash paid (rec by imran engr)</t>
  </si>
  <si>
    <t xml:space="preserve">invoices BAF </t>
  </si>
  <si>
    <t>Online to Fasih account</t>
  </si>
  <si>
    <t>Cash collect by Nadeem bhai</t>
  </si>
  <si>
    <t>Cash collect by Mr. Hunain (c/o SHI Traders)</t>
  </si>
  <si>
    <t>pipe from office to site after cuttings 3 turns</t>
  </si>
  <si>
    <t>fare to danish</t>
  </si>
  <si>
    <t>purchased insulation 1" 24 kg from fakhri enterprises</t>
  </si>
  <si>
    <t>purchases united cable wire 2.5mm 4core from aram bhag</t>
  </si>
  <si>
    <t>purcahsed drop anchor</t>
  </si>
  <si>
    <t>cut screw</t>
  </si>
  <si>
    <t>paid lanour for pipe and tea refrehsment</t>
  </si>
  <si>
    <t>purchased by faheem GI fittings for NOVEC</t>
  </si>
  <si>
    <t>from total in acc of BAH</t>
  </si>
  <si>
    <t>Total chq - BAH</t>
  </si>
  <si>
    <t>purchased 1.5mm 3 core flexbile from aram bagh</t>
  </si>
  <si>
    <t>cash paid for fire extinghuher refill</t>
  </si>
  <si>
    <t>purchased WCPU wire, NOVEC fittings + Conenctor by faheem</t>
  </si>
  <si>
    <t>mobile balance (jazz + ufone</t>
  </si>
  <si>
    <t>Umer salary for 19days as he left</t>
  </si>
  <si>
    <t>to ahsna for colour material</t>
  </si>
  <si>
    <t>upvc pipe naali and other fittings</t>
  </si>
  <si>
    <t>Online to tube trades</t>
  </si>
  <si>
    <t>Zeeshan ac salary (nov 23)</t>
  </si>
  <si>
    <t>ahsan cash withdrawl charges on cash</t>
  </si>
  <si>
    <t>Transfer to MHR Mosque from adeel acc</t>
  </si>
  <si>
    <t>Transfer to MHR personal acc in share</t>
  </si>
  <si>
    <t>from Ahsan office cheque book</t>
  </si>
  <si>
    <t>Zubair AC</t>
  </si>
  <si>
    <t>paid cash for AC unit installation</t>
  </si>
  <si>
    <t>To imran feroz for Dec 23 (sent thro mukhtar)</t>
  </si>
  <si>
    <t xml:space="preserve">Online to Zubair duct in </t>
  </si>
  <si>
    <t>cash paid for farooq mehboob pump replaced</t>
  </si>
  <si>
    <t>to gul for fare and bus charges</t>
  </si>
  <si>
    <t>Cutting disc ingo 4"</t>
  </si>
  <si>
    <t>Online transfer by Adeel universal in Areeb Asad Acc</t>
  </si>
  <si>
    <t>To kamran for draiwngs printing</t>
  </si>
  <si>
    <t>to ashraf for fare</t>
  </si>
  <si>
    <t xml:space="preserve">To Chacha lateef for Dec 23 </t>
  </si>
  <si>
    <t>baf 14th floor</t>
  </si>
  <si>
    <t>bykia bill sent</t>
  </si>
  <si>
    <t>Given to haib insulation</t>
  </si>
  <si>
    <t>IK chq - Daraz in adeel ac</t>
  </si>
  <si>
    <t>IK chq - Kanteen given to adeel steel</t>
  </si>
  <si>
    <t>IK chq - Kanteen given to AL madina</t>
  </si>
  <si>
    <t>claimed by noman</t>
  </si>
  <si>
    <t>cash paid for abdur rehman for car oil and other work</t>
  </si>
  <si>
    <t>from Ashraf bhai cheque book</t>
  </si>
  <si>
    <t>ashraf bhai cash withdrawl + Chq book charges on cash</t>
  </si>
  <si>
    <t>cash paid for mono pump and other material</t>
  </si>
  <si>
    <t>To BH in areeb asab acc</t>
  </si>
  <si>
    <t>purchased 300 nos linkapter</t>
  </si>
  <si>
    <t>sufyan salary for 15 days</t>
  </si>
  <si>
    <t>To MHR in profit share</t>
  </si>
  <si>
    <t>purchased NOVEC panel wire box, screw, lux flexbile pipe</t>
  </si>
  <si>
    <t>for remote cell and other fittings</t>
  </si>
  <si>
    <t>for office expenses</t>
  </si>
  <si>
    <t>from Rehan cheque book</t>
  </si>
  <si>
    <t>mobile balance to BH</t>
  </si>
  <si>
    <t>Total chq - BAH (total 6 chqs)</t>
  </si>
  <si>
    <t>to zubair by Adeel</t>
  </si>
  <si>
    <t>Rehan cash withdrawl charges on 6 Lac</t>
  </si>
  <si>
    <t>add 3%</t>
  </si>
  <si>
    <t>Gross payable</t>
  </si>
  <si>
    <t>Net Payable</t>
  </si>
  <si>
    <t>to abid for jpmc welding rods (by nadeem hand)</t>
  </si>
  <si>
    <t>invoices for car</t>
  </si>
  <si>
    <t>PAID from iqbal sons to office</t>
  </si>
  <si>
    <t xml:space="preserve">Given cash to Afsar in dawood </t>
  </si>
  <si>
    <t>To Gul sher for dec 23</t>
  </si>
  <si>
    <t>To Ami rengr for dec 23</t>
  </si>
  <si>
    <t>Nov 2023 bill RMR cienma</t>
  </si>
  <si>
    <t>purchased glue 10 burni</t>
  </si>
  <si>
    <t>purchased tapes 2" 10 carton</t>
  </si>
  <si>
    <t>paid for 5 days for various sites</t>
  </si>
  <si>
    <t>purchased office hoghliter and other stationery</t>
  </si>
  <si>
    <t>Return cash from VOLDAM against 4 fans and 2 nos jaali</t>
  </si>
  <si>
    <t>bykia (bolten + site)</t>
  </si>
  <si>
    <t>To Mukhtar for Dec 23</t>
  </si>
  <si>
    <t>to sami for purchased electric heater and other items</t>
  </si>
  <si>
    <t>from saeed sons to office to site + labour lunch</t>
  </si>
  <si>
    <t>Cash from Bilal bhai</t>
  </si>
  <si>
    <t>Loan to Engr Amir (recommended by bH)</t>
  </si>
  <si>
    <t>LOAN to Engr Amir (recommended by BH)</t>
  </si>
  <si>
    <t>Online to Alpha engineering in Riazeda acc</t>
  </si>
  <si>
    <t>Bilal bhai car expenses</t>
  </si>
  <si>
    <t>Naeem</t>
  </si>
  <si>
    <t>Advance given for BMS work (recommended by BH)</t>
  </si>
  <si>
    <t xml:space="preserve">falcon </t>
  </si>
  <si>
    <t>far</t>
  </si>
  <si>
    <t>claimedn by ahsan</t>
  </si>
  <si>
    <t>To Ahsan for Dec 23</t>
  </si>
  <si>
    <t>jubilee clamp, hanging clap and fire clamp</t>
  </si>
  <si>
    <t>purchaed self screw nuts adam jee</t>
  </si>
  <si>
    <t>Rec in food court hydery mall</t>
  </si>
  <si>
    <t>Rec in Ahmed Villa</t>
  </si>
  <si>
    <t>Rec from NEC - Engro acc</t>
  </si>
  <si>
    <t>Online To Yousuf masih</t>
  </si>
  <si>
    <t>Online To Rafay Abdullah</t>
  </si>
  <si>
    <t>Online To Shabbir Ahmad in Daraz acc</t>
  </si>
  <si>
    <t>Clearing chq to Zafar Grills</t>
  </si>
  <si>
    <t>Online to Hasnain Diwan C/O fakhri enterprises</t>
  </si>
  <si>
    <t>Online to malik traders</t>
  </si>
  <si>
    <t>1% charges (after sheet amoun)</t>
  </si>
  <si>
    <t>Online transfer to Abdullah air guide</t>
  </si>
  <si>
    <t>Online to Gul Zameen khan</t>
  </si>
  <si>
    <t>Online to A hannan c/o canvas cloth dealer</t>
  </si>
  <si>
    <t>Online to hasan shabbir C/o H.S Ahmed Ally</t>
  </si>
  <si>
    <t>TO Zahid Jun c/o Zahid PAF JPMC OT Area</t>
  </si>
  <si>
    <t>Opnline to KATYS</t>
  </si>
  <si>
    <t>Online to VOLDAM fans</t>
  </si>
  <si>
    <t>Online to drill tech for core</t>
  </si>
  <si>
    <t>Online to IMS in EY</t>
  </si>
  <si>
    <t>Sheet hawala to Sami ducting from al madina</t>
  </si>
  <si>
    <t>Cash collect by IMS from al madina</t>
  </si>
  <si>
    <t>To global</t>
  </si>
  <si>
    <t>To IMS</t>
  </si>
  <si>
    <t>to de creator</t>
  </si>
  <si>
    <t>TO yousuf tahiri</t>
  </si>
  <si>
    <t>Return cash from VOLDAM to saqib</t>
  </si>
  <si>
    <t>1% charges (</t>
  </si>
  <si>
    <t>3% Invoice adjustement by BH from NEC against Engro payment from NEC project (Chq rec on 28-12-23)</t>
  </si>
  <si>
    <t>To Abbas for Dec 23</t>
  </si>
  <si>
    <t>Farooq mehboob</t>
  </si>
  <si>
    <t>paid for pump work</t>
  </si>
  <si>
    <t>TO Feheem in UEP</t>
  </si>
  <si>
    <t>purchased office crockery</t>
  </si>
  <si>
    <t>purcahsed channel 41 x 41 4 pices</t>
  </si>
  <si>
    <t>purcahsed thermowell and nipples from bharmal</t>
  </si>
  <si>
    <t>paid to faheem for cahrity purpose</t>
  </si>
  <si>
    <t>burhani mehal</t>
  </si>
  <si>
    <t xml:space="preserve">qadri pool </t>
  </si>
  <si>
    <t>cash paid for heater repaired</t>
  </si>
  <si>
    <t>for purchasing (by nadeem bhai hand)</t>
  </si>
  <si>
    <t>paid charity by Rehan</t>
  </si>
  <si>
    <t>adnan salary (for 2 days salary)</t>
  </si>
  <si>
    <t>cash paid (by  nadeem bhai hand)</t>
  </si>
  <si>
    <t>advance to gul</t>
  </si>
  <si>
    <t>Loan to guk</t>
  </si>
  <si>
    <t>purhcased holtite, tapes and plug by shabbir</t>
  </si>
  <si>
    <t>to saqib</t>
  </si>
  <si>
    <t>Online to Shabbir brother for 1 cylincder in dawood center</t>
  </si>
  <si>
    <t>Online to saeed sons</t>
  </si>
  <si>
    <t>Online to Masood c/o Index</t>
  </si>
  <si>
    <t>Online to Air Guide</t>
  </si>
  <si>
    <t>Online to waqar cable tray</t>
  </si>
  <si>
    <t>Online to Asad mushtaq in OPS</t>
  </si>
  <si>
    <t>fans transportation</t>
  </si>
  <si>
    <t>TO Muzammil (in daraz office)</t>
  </si>
  <si>
    <t>TO Shabbir (daraz office)</t>
  </si>
  <si>
    <t>paid to zubair AC for insulation and flare nuts</t>
  </si>
  <si>
    <t>NASTP Operation maintenance Oct 23 + Nov 23</t>
  </si>
  <si>
    <t>for motor shifting</t>
  </si>
  <si>
    <t>sajjad, adil, zafar &amp; sami salary</t>
  </si>
  <si>
    <t>misc for ftc site cloth &amp; heater socket</t>
  </si>
  <si>
    <t>purchasd barrel nipples</t>
  </si>
  <si>
    <t>purhased tapes fgiven to asif</t>
  </si>
  <si>
    <t>purchased 100 nos jubilee clamp + cable tie 1packet</t>
  </si>
  <si>
    <t>repaired pump motor from shahjee</t>
  </si>
  <si>
    <t>Ifan bhai salary</t>
  </si>
  <si>
    <t>Tax 8%</t>
  </si>
  <si>
    <t>SRB 20%</t>
  </si>
  <si>
    <t>mossi home salaries with diver salary (Dec -23)</t>
  </si>
  <si>
    <t>TO Rehan for Dec Salaries</t>
  </si>
  <si>
    <t>purchased 1 mm single core wire given to afsar</t>
  </si>
  <si>
    <t>cash paid for car work</t>
  </si>
  <si>
    <t>Paid to Haier in Dawwod center units (final payment)</t>
  </si>
  <si>
    <t>Paid to asif driver for fare</t>
  </si>
  <si>
    <t>Fahad fareed salary</t>
  </si>
  <si>
    <t>cash paid (by nadeem bhai hand)</t>
  </si>
  <si>
    <t>Lateef duct + Chachca lateef salary</t>
  </si>
  <si>
    <t>Gul sher + Abid salary</t>
  </si>
  <si>
    <t>Imran, khushnood, nadeem painter + abbas</t>
  </si>
  <si>
    <t>office crokery</t>
  </si>
  <si>
    <t xml:space="preserve">Zeeshan ac salary </t>
  </si>
  <si>
    <t>purchased drop anchor+washers (given to ashraf bhai)</t>
  </si>
  <si>
    <t>purchased glass wool insulation from fakhri entrerprise</t>
  </si>
  <si>
    <t>cash paid to kamran for drawings payment</t>
  </si>
  <si>
    <t>baf 10-a floor</t>
  </si>
  <si>
    <t>purchaed color material</t>
  </si>
  <si>
    <t>purchased guage and syphon from bharmal</t>
  </si>
  <si>
    <t>paid for fittings shifting for bykia</t>
  </si>
  <si>
    <t>burhani mehal swimming pool work</t>
  </si>
  <si>
    <t>IK chq - dawood center</t>
  </si>
  <si>
    <t>UEP 2nd bill payment</t>
  </si>
  <si>
    <t>noman</t>
  </si>
  <si>
    <t>haier</t>
  </si>
  <si>
    <t>Online to Zafar grill</t>
  </si>
  <si>
    <t>Online to Thumb intl</t>
  </si>
  <si>
    <t>Online to M. Amir for Link adaptor</t>
  </si>
  <si>
    <t xml:space="preserve">Online to Safco for SCON Valve </t>
  </si>
  <si>
    <t>Online to Alpha in Riazeda</t>
  </si>
  <si>
    <t>Online to Mr. Farooq in nueplex acc</t>
  </si>
  <si>
    <t>Online to Zahid PAF in JPMC</t>
  </si>
  <si>
    <t>Online to muzammail enteprrises</t>
  </si>
  <si>
    <t>to mossi</t>
  </si>
  <si>
    <t>nadeem bhai Dec 23 salary</t>
  </si>
  <si>
    <t>waris Dec 23 salary</t>
  </si>
  <si>
    <t>raweal bolt by ashraf</t>
  </si>
  <si>
    <t>cash paid to mazda</t>
  </si>
  <si>
    <t>invoices for fuel</t>
  </si>
  <si>
    <t>invoice</t>
  </si>
  <si>
    <t xml:space="preserve">cash paid in laour </t>
  </si>
  <si>
    <t>cash paid to zubair for purchasng</t>
  </si>
  <si>
    <t>paid to mumtaz in charity</t>
  </si>
  <si>
    <t>T Shirts</t>
  </si>
  <si>
    <t>purchasd T shirts NASTP</t>
  </si>
  <si>
    <t>Mukhtar salary</t>
  </si>
  <si>
    <t>fuel + inch tapes</t>
  </si>
  <si>
    <t>paid by ahsan</t>
  </si>
  <si>
    <t>Give to imran by nadeem bhai</t>
  </si>
  <si>
    <t>paid to zubair AC wala by nadeem bahi</t>
  </si>
  <si>
    <t>Rehan's Father Funeral (Given by nadeem bhai)</t>
  </si>
  <si>
    <t>paid cash by nadeem bhai</t>
  </si>
  <si>
    <t>nadeem bahi mobile balance</t>
  </si>
  <si>
    <t>Khizer salary (adhoc given by nadeem bahi)</t>
  </si>
  <si>
    <t>Hassan salary (adhoc given by nadeem bahi)</t>
  </si>
  <si>
    <t>Junaid salary (adhoc given by nadeem bahi)</t>
  </si>
  <si>
    <t>Noor islam salary (adhoc given by nadeem bahi)</t>
  </si>
  <si>
    <t>purchased Makita hilti by nadeem bahi</t>
  </si>
  <si>
    <t xml:space="preserve">Given to fakhri brothers </t>
  </si>
  <si>
    <t>Habib insulation in meezan bank</t>
  </si>
  <si>
    <t>Online by adeel steel</t>
  </si>
  <si>
    <t>Salary adv to usman</t>
  </si>
  <si>
    <t>PTCL Bills paid (office + MHR)</t>
  </si>
  <si>
    <t>Given to ashraf bhai</t>
  </si>
  <si>
    <t>Given to Muzammil</t>
  </si>
  <si>
    <t>Given to Israr bhai for NASTP salary</t>
  </si>
  <si>
    <t>Groceries</t>
  </si>
  <si>
    <t>CHQ from Adeel</t>
  </si>
  <si>
    <t>To lateef duct for Jan 24 (given by nadeem baji)</t>
  </si>
  <si>
    <t>Afasr in engro</t>
  </si>
  <si>
    <t>Afasr in UEP</t>
  </si>
  <si>
    <t>Geyser in EY</t>
  </si>
  <si>
    <t>flash drive</t>
  </si>
  <si>
    <t>ahsan fuel</t>
  </si>
  <si>
    <t>drw uep</t>
  </si>
  <si>
    <t>Riksaw EY</t>
  </si>
  <si>
    <t>fare ey</t>
  </si>
  <si>
    <t>fare daraz</t>
  </si>
  <si>
    <t>fare jameel baig</t>
  </si>
  <si>
    <t>link adaptor</t>
  </si>
  <si>
    <t>afsar in dawood</t>
  </si>
  <si>
    <t>fare engro</t>
  </si>
  <si>
    <t>red oxide EY</t>
  </si>
  <si>
    <t>Raza salary</t>
  </si>
  <si>
    <t>colour EY</t>
  </si>
  <si>
    <t>fare EY</t>
  </si>
  <si>
    <t>bilty scon EY</t>
  </si>
  <si>
    <t>Riksaw asif</t>
  </si>
  <si>
    <t>washer + drop EY</t>
  </si>
  <si>
    <t>Labour EY</t>
  </si>
  <si>
    <t>rubber clamp engro</t>
  </si>
  <si>
    <t>sprinkler engro</t>
  </si>
  <si>
    <t>abdulla entrpri UEP</t>
  </si>
  <si>
    <t>thermometer visa</t>
  </si>
  <si>
    <t>shabbir bill</t>
  </si>
  <si>
    <t>fare north</t>
  </si>
  <si>
    <t>Given to Ashraf bhai</t>
  </si>
  <si>
    <t>Given to bakhti office</t>
  </si>
  <si>
    <t>Ashraf bhai from bilal bhai</t>
  </si>
  <si>
    <t>cash paid by ashraf bhai</t>
  </si>
  <si>
    <t>flash drive for office</t>
  </si>
  <si>
    <t>remaining salaries for cinema staff paid by ashtraf bhai</t>
  </si>
  <si>
    <t>various rikhas and suzuki fare at site</t>
  </si>
  <si>
    <t>misc by bakhti</t>
  </si>
  <si>
    <t>purchased link adaprter</t>
  </si>
  <si>
    <t>Red oxide paint mixing oil brush</t>
  </si>
  <si>
    <t>coulur material</t>
  </si>
  <si>
    <t>paid for builty</t>
  </si>
  <si>
    <t>various rikhas fare</t>
  </si>
  <si>
    <t>Ashraf bhai from nadeem bhai</t>
  </si>
  <si>
    <t>purcahsed washer and drop anchor</t>
  </si>
  <si>
    <t>rikhaw fare</t>
  </si>
  <si>
    <t>cash paid to nadeem bahi by ashraf bhai</t>
  </si>
  <si>
    <t>visa office</t>
  </si>
  <si>
    <t>given to shabbir agaisnt misc invoices</t>
  </si>
  <si>
    <t>cash paid for pool services</t>
  </si>
  <si>
    <t>cash from shop rent</t>
  </si>
  <si>
    <t>from ashraf bhai</t>
  </si>
  <si>
    <t>To sufyan by ndeem bhai</t>
  </si>
  <si>
    <t>Geyser 02 nos purchased by ashraf bhai (original invoice attached)</t>
  </si>
  <si>
    <t>Ehsan traders</t>
  </si>
  <si>
    <t>OSMA traders</t>
  </si>
  <si>
    <t>damper purchased from abdullah enterprices</t>
  </si>
  <si>
    <t>thermometer purchaed from SHI</t>
  </si>
  <si>
    <t>claimed ufone super card by amir engr</t>
  </si>
  <si>
    <t>purhchased cable tie by ashraf bhai</t>
  </si>
  <si>
    <t>TO Rehan for for office use</t>
  </si>
  <si>
    <t>to Chacha lateef for Jan 24 (hand over to lateef duct)</t>
  </si>
  <si>
    <t>claimed by lateef</t>
  </si>
  <si>
    <t>purchased 02 nos laser lights</t>
  </si>
  <si>
    <t>Received from 3rd floor extension work NASTP</t>
  </si>
  <si>
    <t>cash paid for site expenses (by nadeem hai)</t>
  </si>
  <si>
    <t>to Gul sher for jan 24 (givrn by Nadeem bhai)</t>
  </si>
  <si>
    <t>Purchased Fire extinghuishers for DARAZ</t>
  </si>
  <si>
    <t>sadqa charity by nadeem bhai for chiller shifting</t>
  </si>
  <si>
    <t>paid for rikshaw for various</t>
  </si>
  <si>
    <t>To Bakhri for jan 24</t>
  </si>
  <si>
    <t>ISRAR bhai</t>
  </si>
  <si>
    <t xml:space="preserve">cash to israr </t>
  </si>
  <si>
    <t>purchased tea material, dusting calculator</t>
  </si>
  <si>
    <t>TO Imran engr</t>
  </si>
  <si>
    <t>purchased copper pipe</t>
  </si>
  <si>
    <t>Shop Rent amount Returned</t>
  </si>
  <si>
    <t>for eesha nadeem fees</t>
  </si>
  <si>
    <t>To Sami for jan 24</t>
  </si>
  <si>
    <t>IK chq - EY</t>
  </si>
  <si>
    <t>Given to Index</t>
  </si>
  <si>
    <t>Given to Mehran</t>
  </si>
  <si>
    <t>Online to sajid pipe</t>
  </si>
  <si>
    <t>Online to muzammil for linkadtor</t>
  </si>
  <si>
    <t>Purchased Sheet</t>
  </si>
  <si>
    <t>Online to malik brothers</t>
  </si>
  <si>
    <t>Given to Zubair</t>
  </si>
  <si>
    <t>Given to Bilal Bhai</t>
  </si>
  <si>
    <t>Given to Raees Uncle</t>
  </si>
  <si>
    <t>Online to Bilal Habib</t>
  </si>
  <si>
    <t>Online to JAS travels</t>
  </si>
  <si>
    <t xml:space="preserve">Online to Engr ISRAR </t>
  </si>
  <si>
    <t>Online TO Haier in Daraz deal</t>
  </si>
  <si>
    <t>Online to Saqib</t>
  </si>
  <si>
    <t>Online to Saeed Mama</t>
  </si>
  <si>
    <t>Online to Anees Grills</t>
  </si>
  <si>
    <t>laser light cell</t>
  </si>
  <si>
    <t>cash paid for wire purchased to zubair AC</t>
  </si>
  <si>
    <t>To noman for for misc invoices</t>
  </si>
  <si>
    <t>usman by BH</t>
  </si>
  <si>
    <t>ahsan balancing</t>
  </si>
  <si>
    <t>wahab duct</t>
  </si>
  <si>
    <t>received Dec 2023 bill the place</t>
  </si>
  <si>
    <t>Received from Naveed Malik</t>
  </si>
  <si>
    <t>spirnkler from lahore bilty</t>
  </si>
  <si>
    <t>Glue and tapes</t>
  </si>
  <si>
    <t>To Amjad ustad for jan 24</t>
  </si>
  <si>
    <t>purchased 10 thans clothes</t>
  </si>
  <si>
    <t>Ibraheem</t>
  </si>
  <si>
    <t>Nadeem</t>
  </si>
  <si>
    <t>Online to jawwan engineering</t>
  </si>
  <si>
    <t>Online to Shabbir in 3rd floor</t>
  </si>
  <si>
    <t>Online to Safiq acc in EY</t>
  </si>
  <si>
    <t>Online to Khurshid fan in meezan</t>
  </si>
  <si>
    <t>Rehan MCB</t>
  </si>
  <si>
    <t xml:space="preserve">Tax </t>
  </si>
  <si>
    <t>Total withdrawal</t>
  </si>
  <si>
    <t>kumail bhai</t>
  </si>
  <si>
    <t>purchased misc fitings</t>
  </si>
  <si>
    <t>purchased hydrlaulic pipe fittings 3/4</t>
  </si>
  <si>
    <t>shafeeq remaining salary</t>
  </si>
  <si>
    <t>ot area jpmc</t>
  </si>
  <si>
    <t>to faheem fo rmisc material</t>
  </si>
  <si>
    <t>cash paid for site by shahid hand</t>
  </si>
  <si>
    <t>khsund by shahid</t>
  </si>
  <si>
    <t>Mubeen remaining salary of August 2023</t>
  </si>
  <si>
    <t>cash paid (as recommended by BH)</t>
  </si>
  <si>
    <t>to global by adeel</t>
  </si>
  <si>
    <t>to zara by owais</t>
  </si>
  <si>
    <t>to united by owais</t>
  </si>
  <si>
    <t>Gul by abid</t>
  </si>
  <si>
    <t>bykia to abid + Fuel</t>
  </si>
  <si>
    <t>Fame intl</t>
  </si>
  <si>
    <t>Cash in Bank</t>
  </si>
  <si>
    <t xml:space="preserve">1% charges </t>
  </si>
  <si>
    <t>To israr for nastp furniture</t>
  </si>
  <si>
    <t>To shahid in naveed malik</t>
  </si>
  <si>
    <t>K elec Utilities bils paid</t>
  </si>
  <si>
    <t>new building</t>
  </si>
  <si>
    <t>advance to amjad</t>
  </si>
  <si>
    <t>adjust</t>
  </si>
  <si>
    <t>Imran chq</t>
  </si>
  <si>
    <t>Katyes</t>
  </si>
  <si>
    <t>cash paid for sound liner roll</t>
  </si>
  <si>
    <t>3rd floor</t>
  </si>
  <si>
    <t>purchased MM stationers</t>
  </si>
  <si>
    <t>purchased Makita Hilti (Given to Shafeeq)</t>
  </si>
  <si>
    <t>Purchased thermostar wire 3 core 1.5mm (purchased by faheem)</t>
  </si>
  <si>
    <t>Purchased welding rods and cuttings disc</t>
  </si>
  <si>
    <t>Kushnood by imran 2 times</t>
  </si>
  <si>
    <t>amjad by imran</t>
  </si>
  <si>
    <t>by nadeem bahi</t>
  </si>
  <si>
    <t>Purchased dammer tapes and channel (engro)</t>
  </si>
  <si>
    <t>purchased misc fitings at site daraz by afsar</t>
  </si>
  <si>
    <t>To sufyan for Jan24</t>
  </si>
  <si>
    <t>to engr noman</t>
  </si>
  <si>
    <t>purchased c channel 3 x 1-1/2  150 rft from mughal</t>
  </si>
  <si>
    <t>To Mossi for Jan24</t>
  </si>
  <si>
    <t>shifting of 5" pipe from nasir colony to site</t>
  </si>
  <si>
    <t>purchaed pop ravit and rawal</t>
  </si>
  <si>
    <t>purchaed misc fittings and material by john</t>
  </si>
  <si>
    <t>spinkler purchased 07 nos from safe and sound lahore</t>
  </si>
  <si>
    <t>VCD and butter fly damper from mehran to Site</t>
  </si>
  <si>
    <t>purchased 36 nos anchore bolt from mungo</t>
  </si>
  <si>
    <t>To israr for nastp furniture by nadeem bahi</t>
  </si>
  <si>
    <t>To gul for Jan24 (by bakhti hand)</t>
  </si>
  <si>
    <t>Misc invoices</t>
  </si>
  <si>
    <t>Fuel claimed (Nov 23)</t>
  </si>
  <si>
    <t>Fuel claimed (Dec 23)</t>
  </si>
  <si>
    <t>To Zubair AC for north walk tape purchased</t>
  </si>
  <si>
    <t>Cash returned to IK associates against Margin in Khaadi Kanteen Project</t>
  </si>
  <si>
    <t>EY Site Staff Biryani</t>
  </si>
  <si>
    <t>colour material by ahsan</t>
  </si>
  <si>
    <t>TO amir engr in meezan</t>
  </si>
  <si>
    <t>Guddu</t>
  </si>
  <si>
    <t>Riazeda</t>
  </si>
  <si>
    <t>Purchased 02 Nos Breaker from shiekh wilayat</t>
  </si>
  <si>
    <t>3rd floor nastp</t>
  </si>
  <si>
    <t>purchased smoke gray paint</t>
  </si>
  <si>
    <t>purchased hanging clamp</t>
  </si>
  <si>
    <t>Purchased thermostat wire 3 core 1.5mm to faheem</t>
  </si>
  <si>
    <t xml:space="preserve">channel, angle purchase </t>
  </si>
  <si>
    <t>Meezan bank</t>
  </si>
  <si>
    <t>Paid in labour</t>
  </si>
  <si>
    <t>Bahria project</t>
  </si>
  <si>
    <t>cash paid 1st adv</t>
  </si>
  <si>
    <t>SSGC</t>
  </si>
  <si>
    <t>Khushnood</t>
  </si>
  <si>
    <t>Advance to khushnood for jan 24 (at saifee site)</t>
  </si>
  <si>
    <t>To shakeel for food court hydery</t>
  </si>
  <si>
    <t>To shahid for Amreli site</t>
  </si>
  <si>
    <t>cash paid against Bill # 10 &amp; 11 for air devices</t>
  </si>
  <si>
    <t xml:space="preserve">TO Imran engr in </t>
  </si>
  <si>
    <t>TO Guddu Imsulation in meezan</t>
  </si>
  <si>
    <t>to ajmad ustad Recommended by nadeem bhai</t>
  </si>
  <si>
    <t>Kushnood by nadeem bah</t>
  </si>
  <si>
    <t>To Ashraf</t>
  </si>
  <si>
    <t xml:space="preserve">Purchased printer copier WIFI (Copier, scanner, printer)
HP MFP 435 </t>
  </si>
  <si>
    <t>purchased drop anchor and cell and fare</t>
  </si>
  <si>
    <t>purchased MS pipe from ibraheem</t>
  </si>
  <si>
    <t>kitchen stuff purchased</t>
  </si>
  <si>
    <t>invoices to drill tech - hydery</t>
  </si>
  <si>
    <t>from mehran to site (air devices)</t>
  </si>
  <si>
    <t>cash paid (sent by mukhtar hand)</t>
  </si>
  <si>
    <t>fare for printer replaced</t>
  </si>
  <si>
    <t>purchased link adaprter 500 pcs</t>
  </si>
  <si>
    <t>Usman traders</t>
  </si>
  <si>
    <t>cash paid (rec by usman)</t>
  </si>
  <si>
    <t>to Mossi for Feb24</t>
  </si>
  <si>
    <t>cash paid against fittings invoice</t>
  </si>
  <si>
    <t>NASTP staff salary</t>
  </si>
  <si>
    <t>Abbas ustaf and gul</t>
  </si>
  <si>
    <t>Irfan bhai salary</t>
  </si>
  <si>
    <t>for nadeem bhai car</t>
  </si>
  <si>
    <t>ftc site tea and refreshmet</t>
  </si>
  <si>
    <t>Online to zahid insulator in EY</t>
  </si>
  <si>
    <t>Khsuhnood salary</t>
  </si>
  <si>
    <t>Nadeem painter salary</t>
  </si>
  <si>
    <t>for threaded rod from khori garden to office</t>
  </si>
  <si>
    <t xml:space="preserve">TO Imran engr </t>
  </si>
  <si>
    <t>Advance to sufyan for jan 24 (at saifee site)</t>
  </si>
  <si>
    <t>Sufyan</t>
  </si>
  <si>
    <t>Sufyan by nadeem bahi</t>
  </si>
  <si>
    <t xml:space="preserve">purchaed 14 barni </t>
  </si>
  <si>
    <t>Cinema staff salaries</t>
  </si>
  <si>
    <t>Imran, Abid amjad ustad and sufyan</t>
  </si>
  <si>
    <t>Noman ali salary</t>
  </si>
  <si>
    <t>Usman salary</t>
  </si>
  <si>
    <t>Zeeshan ac salary   + 3000 previous</t>
  </si>
  <si>
    <t>to zubair for misc purchases</t>
  </si>
  <si>
    <t>nadeem bhai Jan 24 salary</t>
  </si>
  <si>
    <t>waris Jan 24 salary</t>
  </si>
  <si>
    <t>mossi home salaries with diver salary (Jan -24)</t>
  </si>
  <si>
    <t>paid by Rehan</t>
  </si>
  <si>
    <t>Engro 3rd &amp; 8th Floor</t>
  </si>
  <si>
    <t>paid by Rehan to his neighbour</t>
  </si>
  <si>
    <t>cash given to nadeem bahi</t>
  </si>
  <si>
    <t>nadeem bhai k elec bill paid</t>
  </si>
  <si>
    <t>T Shirts purchased</t>
  </si>
  <si>
    <t>purchased tapes GIVEN TO ASHRAF BHAI</t>
  </si>
  <si>
    <t>TO Imran engr  - FOR UPVC PIPE</t>
  </si>
  <si>
    <t>purchased 2.5mm 4 core wire by zubair</t>
  </si>
  <si>
    <t>cash paid for black spray for trifit</t>
  </si>
  <si>
    <t>from nasir to site</t>
  </si>
  <si>
    <t>ops falcon</t>
  </si>
  <si>
    <t>falcon to ops</t>
  </si>
  <si>
    <t>bolt from mungo</t>
  </si>
  <si>
    <t>mehran to dmc</t>
  </si>
  <si>
    <t>u clamp and bolt</t>
  </si>
  <si>
    <t xml:space="preserve">cash paid for smoke colour </t>
  </si>
  <si>
    <t>purchased 2 core wire Beldon 8760 from sohail IME total 1000 rft</t>
  </si>
  <si>
    <t>paid for drawings from Jan 01 to Feb 10</t>
  </si>
  <si>
    <t>given by nadeem bhai to NAEEM</t>
  </si>
  <si>
    <t>purchased safety shoes and glows and other item by faheem</t>
  </si>
  <si>
    <t>Previous month 2 days remaining salary of noor islam</t>
  </si>
  <si>
    <t>Zameer Sahab home</t>
  </si>
  <si>
    <t>Voldam</t>
  </si>
  <si>
    <t>purchased 6 " exxhaust fan by nadeem bhai</t>
  </si>
  <si>
    <t>Dec 2023 bill RMR cienma</t>
  </si>
  <si>
    <t>O/M OCT 23 Bill - FTC</t>
  </si>
  <si>
    <t>O/M NOV 23 Bill - FTC</t>
  </si>
  <si>
    <t>O/M DEC 23 Bill -FTC</t>
  </si>
  <si>
    <t>FTC O/M increament amount for OCT 23 + Nov 23 &amp; Dec 23</t>
  </si>
  <si>
    <t>BAF retention amount</t>
  </si>
  <si>
    <t>To adeel for SRB input</t>
  </si>
  <si>
    <t>KING NICE</t>
  </si>
  <si>
    <t>afsar</t>
  </si>
  <si>
    <t>Online transfer by Adeel in Sana Alvi account</t>
  </si>
  <si>
    <t>Salary adv to Talha in FTC</t>
  </si>
  <si>
    <t>Advance</t>
  </si>
  <si>
    <t>cash paid for color material (by hand umer nadeem bhai bhanja)</t>
  </si>
  <si>
    <t>cash paid for coupling</t>
  </si>
  <si>
    <t>new building jameel</t>
  </si>
  <si>
    <t>from gul zameen to office (for rods</t>
  </si>
  <si>
    <t>colour material</t>
  </si>
  <si>
    <t>To Rafay for Bank Al falah card repairing (given to Rafay)</t>
  </si>
  <si>
    <t>paid fare for Jakuzi nozel for food court</t>
  </si>
  <si>
    <t>to abbas for FEB 24</t>
  </si>
  <si>
    <t>to amir engr for super card</t>
  </si>
  <si>
    <t>guddu insulation</t>
  </si>
  <si>
    <t>cash paid (upto date is 30,000)</t>
  </si>
  <si>
    <t>engro</t>
  </si>
  <si>
    <t>purchased Stickers  (by Abbas)</t>
  </si>
  <si>
    <t>Talha in FTC by nadeem</t>
  </si>
  <si>
    <t>mehmood colour</t>
  </si>
  <si>
    <t>office colour material</t>
  </si>
  <si>
    <t>bykia for as built drawings</t>
  </si>
  <si>
    <t>Cricket panaflex</t>
  </si>
  <si>
    <t>cricket stuff bat and balls purchased</t>
  </si>
  <si>
    <t>purchased JPMC Tomographic tender from YH</t>
  </si>
  <si>
    <t>TO imran feroz for Feb 24 (easy paisa by bakhti)</t>
  </si>
  <si>
    <t>KEENU office</t>
  </si>
  <si>
    <t>To Naeem for Feb 24</t>
  </si>
  <si>
    <t>Online to Rizwan at Riazeda site</t>
  </si>
  <si>
    <t>bykia for sprinklers</t>
  </si>
  <si>
    <t>Jazz balance and ufone super card</t>
  </si>
  <si>
    <t>cash paid (upto date is 40,000)</t>
  </si>
  <si>
    <t>FTC 3 staff salaries increased</t>
  </si>
  <si>
    <t>purchased concealed sprinkler 05 nos from fakhri</t>
  </si>
  <si>
    <t>cash paid (uptodate is 125,000)</t>
  </si>
  <si>
    <t>purchased drop anchor by ashraf bhai</t>
  </si>
  <si>
    <t>Tapes purchaed at engro site by Saqib</t>
  </si>
  <si>
    <t>paid (given to asif rikshaw)</t>
  </si>
  <si>
    <t>scon Valves</t>
  </si>
  <si>
    <t>purchased air vent from scon (Jazz cash by bakhti)</t>
  </si>
  <si>
    <t>Online to mujeed in MHR pernosal acc</t>
  </si>
  <si>
    <t>Given to ISRAR bhai for Cricket kit 10 Nos</t>
  </si>
  <si>
    <t>Given to mukhtar for Eletric timer</t>
  </si>
  <si>
    <t>from index to office</t>
  </si>
  <si>
    <t>purchased red oxide and brush (by bakhti)</t>
  </si>
  <si>
    <t>cash paid electric conduit</t>
  </si>
  <si>
    <t>mumtaz 5 leaves wave office by bilal habib</t>
  </si>
  <si>
    <t>paid for chiller pump motor for again rapairing 2 sided fare</t>
  </si>
  <si>
    <t>purchased dammer tapes</t>
  </si>
  <si>
    <t>for breakeer and flow switch wire 2 core</t>
  </si>
  <si>
    <t>purchased FALCO PVC pipe gicen to zubair</t>
  </si>
  <si>
    <t>Drill Tech</t>
  </si>
  <si>
    <t>cash paid for core Work</t>
  </si>
  <si>
    <t>from mehran to office air devices</t>
  </si>
  <si>
    <t>cold drinks for pioneer cricket team + chocolates</t>
  </si>
  <si>
    <t>paid for air devices colour</t>
  </si>
  <si>
    <t>Online by Adeel steel to Humair Majeed Acc (Bilal bhai personal)</t>
  </si>
  <si>
    <t>Online to Raees Brothers</t>
  </si>
  <si>
    <t>measuring tape purchased by shahzaib</t>
  </si>
  <si>
    <t>to ishtiaq cladding</t>
  </si>
  <si>
    <t>to bakhti for office use</t>
  </si>
  <si>
    <t xml:space="preserve">Advance to Gul for Feb 24 </t>
  </si>
  <si>
    <t>Gul sher</t>
  </si>
  <si>
    <t>To chacha lateef for feb 23</t>
  </si>
  <si>
    <t>purchased copper pipe by zubair</t>
  </si>
  <si>
    <t>purchased pipe and other fittings by zubair</t>
  </si>
  <si>
    <t>scon valve builty</t>
  </si>
  <si>
    <t>cash paid for bearing</t>
  </si>
  <si>
    <t>cash paid for bearing (sent thru umar nadeem bhanja)</t>
  </si>
  <si>
    <t>paid for material (to zubair)</t>
  </si>
  <si>
    <t xml:space="preserve">To lateef duct for Feb 24 </t>
  </si>
  <si>
    <t>From Total in SCB (given to BH as depositted in Mohsin Traders ACC)</t>
  </si>
  <si>
    <t xml:space="preserve">Salary advance to NASTP site </t>
  </si>
  <si>
    <t>to sufyan</t>
  </si>
  <si>
    <t>Rec from NASTP O/M DEC 23 Bill</t>
  </si>
  <si>
    <t xml:space="preserve">Jan 24 Fuel </t>
  </si>
  <si>
    <t>advance to gul by imran</t>
  </si>
  <si>
    <t>advance to amjad by imran</t>
  </si>
  <si>
    <t>advance to khushnood by imran</t>
  </si>
  <si>
    <t>advance to nadeem by imran</t>
  </si>
  <si>
    <t>To shahid by imran for naved malik</t>
  </si>
  <si>
    <t>office tower at roof</t>
  </si>
  <si>
    <t>Rizwan vrf in riazeda</t>
  </si>
  <si>
    <t>IK chq - Duetsche bank</t>
  </si>
  <si>
    <t>O/M JAN 24 Bill -FTC</t>
  </si>
  <si>
    <t>paid for motor repairing</t>
  </si>
  <si>
    <t>brass bush an ddead plug from shabbiir brother</t>
  </si>
  <si>
    <t>wrapping rol and tapes</t>
  </si>
  <si>
    <t>Tahir insulation</t>
  </si>
  <si>
    <t>Gul by nadeem bah</t>
  </si>
  <si>
    <t>3 core wire purchased 22 meter</t>
  </si>
  <si>
    <t>To sufyan for Feb 24</t>
  </si>
  <si>
    <t>invoices uep</t>
  </si>
  <si>
    <t>invoices BAF</t>
  </si>
  <si>
    <t>online to shabbir pipe in 3rd floor</t>
  </si>
  <si>
    <t>Online to Saqib insulation in EY</t>
  </si>
  <si>
    <t>Jameel baig Building</t>
  </si>
  <si>
    <t>from owais al madina</t>
  </si>
  <si>
    <t>paid cash for gas clip and elbow</t>
  </si>
  <si>
    <t>channel patti pcv</t>
  </si>
  <si>
    <t>SS clip and cable tie</t>
  </si>
  <si>
    <t>purchaed glue burni</t>
  </si>
  <si>
    <t>claimed by nadeem bahi</t>
  </si>
  <si>
    <t>BAF maintenance</t>
  </si>
  <si>
    <t xml:space="preserve">Noman </t>
  </si>
  <si>
    <t>Paid to Noman BAF (by order nadeem bhai)</t>
  </si>
  <si>
    <t>lunch tea dinner and other refreshement</t>
  </si>
  <si>
    <t>fuel by nadeem bahi</t>
  </si>
  <si>
    <t>UPVC solution</t>
  </si>
  <si>
    <t>cash paid (sent thru abid)</t>
  </si>
  <si>
    <t>To sufyan for feb 24</t>
  </si>
  <si>
    <t>paid for feb</t>
  </si>
  <si>
    <t>To Zubair AC</t>
  </si>
  <si>
    <t>Online to Ishtiaq claddinng in 3rd Floor</t>
  </si>
  <si>
    <t>paid to asif riksahw</t>
  </si>
  <si>
    <t>cash paid for site expenes</t>
  </si>
  <si>
    <t xml:space="preserve">to Gul sher for Feb 24 </t>
  </si>
  <si>
    <t>shurter repair</t>
  </si>
  <si>
    <t>office shurter repaired</t>
  </si>
  <si>
    <t>received Jan 2024 bill the place</t>
  </si>
  <si>
    <t>paid to majid insulator for material  (given to jahangeer)</t>
  </si>
  <si>
    <t>bulty from lahore to karachi EAP</t>
  </si>
  <si>
    <t>paint</t>
  </si>
  <si>
    <t>zahabiya from chemicon</t>
  </si>
  <si>
    <t>Non inverter</t>
  </si>
  <si>
    <t>Inverter</t>
  </si>
  <si>
    <t>Cassette type 2 TR</t>
  </si>
  <si>
    <t>cash paid (sent thru muzzamil)</t>
  </si>
  <si>
    <t>The place cinemas salaries (given to Rehan)</t>
  </si>
  <si>
    <t>Khushnood and nadeem</t>
  </si>
  <si>
    <t>Shahid painter and fahad fareed salary</t>
  </si>
  <si>
    <t>from Bilal bhai (for cinemas salaries)</t>
  </si>
  <si>
    <t>paid to sami for grease gun and screw pana</t>
  </si>
  <si>
    <t>cash paid for MHR home lock</t>
  </si>
  <si>
    <t>abbas bhai salary</t>
  </si>
  <si>
    <t>Sufyan plumber salary</t>
  </si>
  <si>
    <t xml:space="preserve">purchased water shield from </t>
  </si>
  <si>
    <t>paid for site (given to Umer c/o nadeem bhai)</t>
  </si>
  <si>
    <t>Online to Fareed for fire pump at NASTP</t>
  </si>
  <si>
    <t>cash paid for misc expenses to muzammil</t>
  </si>
  <si>
    <t>solution purchased</t>
  </si>
  <si>
    <t>cash paid (in labour)</t>
  </si>
  <si>
    <t>02483799</t>
  </si>
  <si>
    <t>claimed fuel by shahzaib</t>
  </si>
  <si>
    <t xml:space="preserve">Zeeshan ac salary   </t>
  </si>
  <si>
    <t>To abid for March 24 for purchasing of Fridge</t>
  </si>
  <si>
    <t>Engr Ahsan salary</t>
  </si>
  <si>
    <t>Dawat e Hadiyah</t>
  </si>
  <si>
    <t>Copper pipe, wire, upvc pipe tapes by ahsan</t>
  </si>
  <si>
    <t>Given to Shakeel</t>
  </si>
  <si>
    <t>TO Nadeem bhai for Bank Al falah purchasing</t>
  </si>
  <si>
    <t>purchased screw</t>
  </si>
  <si>
    <t>purchased Khujoor @300/pc x 40 = 12000</t>
  </si>
  <si>
    <t>MCB CHQ to Ahsan</t>
  </si>
  <si>
    <t>mossi home salaries with diver salary (Feb -24)</t>
  </si>
  <si>
    <t>Online to Zahid insulation in EY</t>
  </si>
  <si>
    <t>cash from shahid</t>
  </si>
  <si>
    <t>given to mumtaz for chiller  pump # 3 repairing</t>
  </si>
  <si>
    <t>Cash paid in labour (Given by ahsan from 2 lac MCB chq)</t>
  </si>
  <si>
    <t>IK chq - EY (given to Adeel)</t>
  </si>
  <si>
    <t>IK chq - EY (given to Al madina)</t>
  </si>
  <si>
    <t>Received From BAH maintennace</t>
  </si>
  <si>
    <t>purchased 20 NOs khujoor from imtiaz</t>
  </si>
  <si>
    <t>BAH 12th Floor</t>
  </si>
  <si>
    <t>Given by Rehan</t>
  </si>
  <si>
    <t>nadeem bhai Feb 24 salary</t>
  </si>
  <si>
    <t>waris Feb 24 salary</t>
  </si>
  <si>
    <t>Imran Engr Salary</t>
  </si>
  <si>
    <t>paid bykia</t>
  </si>
  <si>
    <t>Rehmant shipping</t>
  </si>
  <si>
    <t>mehran engineer air devices</t>
  </si>
  <si>
    <t>purchased fisher boxes 8mm</t>
  </si>
  <si>
    <t>Charity remaining</t>
  </si>
  <si>
    <t>ENGRO</t>
  </si>
  <si>
    <t>purchased silicon  25 nos and welding rods by ahsan</t>
  </si>
  <si>
    <t>buity + fare</t>
  </si>
  <si>
    <t>sst tax</t>
  </si>
  <si>
    <t>cash paid to shaheen splash (rec by mukhtiar)</t>
  </si>
  <si>
    <t>cash paid for register and notes</t>
  </si>
  <si>
    <t>Hammad 3 days salary (3 absent adjusted)</t>
  </si>
  <si>
    <t>Hald salary releae due to medication</t>
  </si>
  <si>
    <t>To Noor islam fo March 24</t>
  </si>
  <si>
    <t>u fone super card</t>
  </si>
  <si>
    <t>Received from Adeel</t>
  </si>
  <si>
    <t>drop anchor from mungo</t>
  </si>
  <si>
    <t>purchase ball valve 1/2" from dua traders</t>
  </si>
  <si>
    <t>bykia -fittings</t>
  </si>
  <si>
    <t>bykia - thermowell</t>
  </si>
  <si>
    <t>claimed fuel by ahsan</t>
  </si>
  <si>
    <t>Paid to scon air vent 10 nos</t>
  </si>
  <si>
    <t>purchased cloth tape 2" from puri - 10 nos</t>
  </si>
  <si>
    <t xml:space="preserve">purchase SS clip 50 nos </t>
  </si>
  <si>
    <t>purchsaed u bolt from hussain traders</t>
  </si>
  <si>
    <t>advance to khushnood by shahid</t>
  </si>
  <si>
    <t xml:space="preserve">Online to Afsar Hussain acc for Dawood center </t>
  </si>
  <si>
    <t>MHR home groceries</t>
  </si>
  <si>
    <t>cash paid for pipe nipple</t>
  </si>
  <si>
    <t>purchased cementax 1 kg</t>
  </si>
  <si>
    <t>drwaings copies bill for 1 month</t>
  </si>
  <si>
    <t>invoices saifee</t>
  </si>
  <si>
    <t>invoices FTC</t>
  </si>
  <si>
    <t>invoice BH Home</t>
  </si>
  <si>
    <t>cash paid for MHR home lock + labour</t>
  </si>
  <si>
    <t>remaining SST paid for FEB 24</t>
  </si>
  <si>
    <t xml:space="preserve">Voldam </t>
  </si>
  <si>
    <t>Purchsed grills from voldam (jazz cash)</t>
  </si>
  <si>
    <t>TO Usman ghani by adeel</t>
  </si>
  <si>
    <t>purchased Copper pipe plug, tapes tie sockets</t>
  </si>
  <si>
    <t>welding plug glass and holder by abid</t>
  </si>
  <si>
    <t>builty</t>
  </si>
  <si>
    <t>from scon lahore</t>
  </si>
  <si>
    <t>Food Court (Hydery)</t>
  </si>
  <si>
    <t xml:space="preserve">to Gul sher for Mar 24 </t>
  </si>
  <si>
    <t>misc material by majid insulator</t>
  </si>
  <si>
    <t xml:space="preserve">to Abbas plumber for Mar 24 </t>
  </si>
  <si>
    <t xml:space="preserve">to Amir engr for Mar 24 </t>
  </si>
  <si>
    <t>colour material brush and other items</t>
  </si>
  <si>
    <t>cash paid for mobile balance</t>
  </si>
  <si>
    <t>IFTARi for 4 staff for 4 days</t>
  </si>
  <si>
    <t>Online to shabbir brothers in BAF</t>
  </si>
  <si>
    <t>Zakat Rashan</t>
  </si>
  <si>
    <t>Online to Osama for BAF AHU repairs work</t>
  </si>
  <si>
    <t>TO Office Bakhri</t>
  </si>
  <si>
    <t>Cash from Al madina steel</t>
  </si>
  <si>
    <t>purchased 10 rashan</t>
  </si>
  <si>
    <t>Umer zahid for naveed malik</t>
  </si>
  <si>
    <t>TO Imran</t>
  </si>
  <si>
    <t>cash in site expenses</t>
  </si>
  <si>
    <t>Salary adv to Amjad</t>
  </si>
  <si>
    <t>Anees grill</t>
  </si>
  <si>
    <t>To Bakhti for office</t>
  </si>
  <si>
    <t>Given Zakat by nadeem bhai</t>
  </si>
  <si>
    <t>received Feb 2024 bill the place</t>
  </si>
  <si>
    <t>Online for rashan</t>
  </si>
  <si>
    <t>Apr</t>
  </si>
  <si>
    <t>Rec from NASTP JAN + FEB 24 BILL</t>
  </si>
  <si>
    <t>Cash paid by hand Gul sher</t>
  </si>
  <si>
    <t>advance to amjad by nadeem bhai</t>
  </si>
  <si>
    <t>Transfer by Adeel in Sana alvi acc</t>
  </si>
  <si>
    <t>Marriot Hotel</t>
  </si>
  <si>
    <t>motor fan for chiller</t>
  </si>
  <si>
    <t>To ahsan</t>
  </si>
  <si>
    <t>To noman BAF</t>
  </si>
  <si>
    <t>Tomo JPMC</t>
  </si>
  <si>
    <t>Marriot</t>
  </si>
  <si>
    <t>ssgc bill paid (nadeem bhai)</t>
  </si>
  <si>
    <t>Majid insulation</t>
  </si>
  <si>
    <t>cash paid against PPRC pipe and insulation</t>
  </si>
  <si>
    <t xml:space="preserve">zakat </t>
  </si>
  <si>
    <t>Zakat to imran choori wala</t>
  </si>
  <si>
    <t>Received from Total in psychiatry dept transfer in Mohsin traders acc co Bilal bhai</t>
  </si>
  <si>
    <t>mehran fare</t>
  </si>
  <si>
    <t>Iftari</t>
  </si>
  <si>
    <t>Aftari at site daily for 4 staff for whole month</t>
  </si>
  <si>
    <t>Waris Mar 24 salary</t>
  </si>
  <si>
    <t>Nadeem bhai Mar 24 salary</t>
  </si>
  <si>
    <t>mossi home salaries with diver salary (Mar -24)</t>
  </si>
  <si>
    <t>misc purchased by ahsan</t>
  </si>
  <si>
    <t>Rehan cousin Asim chq</t>
  </si>
  <si>
    <t>pipe pana</t>
  </si>
  <si>
    <t>EIDI</t>
  </si>
  <si>
    <t>Khushnood, nadeem, fahad, amjad, abid, imran</t>
  </si>
  <si>
    <t>Total EIDI</t>
  </si>
  <si>
    <t>Abbas shahid and gul , chahca lateef</t>
  </si>
  <si>
    <t>cash to rehan for salaries</t>
  </si>
  <si>
    <t>Fuel claimed March 24</t>
  </si>
  <si>
    <t>Milk expenses MHR</t>
  </si>
  <si>
    <t>Pioneer Staff EIDI - 2024</t>
  </si>
  <si>
    <t>Irfan  bhai salary</t>
  </si>
  <si>
    <t>Noman ali salary after advance deduct</t>
  </si>
  <si>
    <t>colour material brush and oil</t>
  </si>
  <si>
    <t>Kamran electrician</t>
  </si>
  <si>
    <t>Paid for Platform making</t>
  </si>
  <si>
    <t>Zakat to weldon sami driver</t>
  </si>
  <si>
    <t>Amir engr super card</t>
  </si>
  <si>
    <t>IK chq - Sana (given to Al madina)</t>
  </si>
  <si>
    <t>Zahid insulation in EY</t>
  </si>
  <si>
    <t>Zubair Mehboob in Meezan</t>
  </si>
  <si>
    <t>Unus Engineering PLS in The place Cinemas</t>
  </si>
  <si>
    <t>Bakhti for office use</t>
  </si>
  <si>
    <t>Rec from NEC in Tri fit Acc (cash chq)</t>
  </si>
  <si>
    <t>Rec from NEC in Tri Fit acc</t>
  </si>
  <si>
    <t>NEW Notes to nadeem bahi</t>
  </si>
  <si>
    <t>cash paid to naeem</t>
  </si>
  <si>
    <t>Imran salary leave wave off and advance reversed</t>
  </si>
  <si>
    <t>received Mar 2024 bill the place</t>
  </si>
  <si>
    <t>Mumtaz bhai 9 hrs Over time</t>
  </si>
  <si>
    <t>Cash paid (new notes)</t>
  </si>
  <si>
    <t>MCB chq (for new currency notes)</t>
  </si>
  <si>
    <t>Cash paid (new notes) from office</t>
  </si>
  <si>
    <t>Cash paid (new notes) from Bilal</t>
  </si>
  <si>
    <t>Online to Sajid in EY</t>
  </si>
  <si>
    <t>02483800</t>
  </si>
  <si>
    <t>MCB CHQ (Indus hopsotial)</t>
  </si>
  <si>
    <t>MCB CHQ (baitusalam)</t>
  </si>
  <si>
    <t>MCB CHQ (Saylani)</t>
  </si>
  <si>
    <t>Bilal bahi for new notes</t>
  </si>
  <si>
    <t>Super photo</t>
  </si>
  <si>
    <t>a4 rim, colour copy binding sprirral</t>
  </si>
  <si>
    <t>bakhi EIDI</t>
  </si>
  <si>
    <t>Site material returned Fare + Labour</t>
  </si>
  <si>
    <t>Paid zakat in office acc</t>
  </si>
  <si>
    <t>Paid zakat in TOMO JPMC</t>
  </si>
  <si>
    <t>Online to Sami ducting in EY</t>
  </si>
  <si>
    <t>Online to Sadiq piping in EY</t>
  </si>
  <si>
    <t>Online to Muzammil in HIVE NASTP</t>
  </si>
  <si>
    <t>Online to Zahid in TOMO</t>
  </si>
  <si>
    <t>To ahsan for office use</t>
  </si>
  <si>
    <t>Purchased exhuast fan from NEC</t>
  </si>
  <si>
    <t>Received from NEC in acc of Tri fit Gym</t>
  </si>
  <si>
    <t>Mujahid</t>
  </si>
  <si>
    <t>JPMC psychirty</t>
  </si>
  <si>
    <t>Zubair Rs 500</t>
  </si>
  <si>
    <t>Cash to Faheem electrician</t>
  </si>
  <si>
    <t>Cash from Rehan office</t>
  </si>
  <si>
    <t>To mujahid gas</t>
  </si>
  <si>
    <t>To iqbal core</t>
  </si>
  <si>
    <t>IK chq - rehmant + amrelai (given to Al madina)</t>
  </si>
  <si>
    <t>Zakat to tariq by ahsan (recommended by BH)</t>
  </si>
  <si>
    <t>drop anchor and clamp from mungo</t>
  </si>
  <si>
    <t>engro fare</t>
  </si>
  <si>
    <t>rizdea</t>
  </si>
  <si>
    <t>faseeh</t>
  </si>
  <si>
    <t>office to bolten to falcon</t>
  </si>
  <si>
    <t>cash oaid</t>
  </si>
  <si>
    <t>To gul sher for April 24</t>
  </si>
  <si>
    <t>purchased fittings from Taheri sanitry</t>
  </si>
  <si>
    <t>purchased breaker 03 nos for Riazeda site (by faheem)</t>
  </si>
  <si>
    <t>Paid for air guide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</si>
</sst>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_);_(* \(#,##0\);_(* &quot;-&quot;??_);_(@_)"/>
    <numFmt numFmtId="166" formatCode="[$-409]d/mmm/yy;@"/>
    <numFmt numFmtId="167" formatCode="_(* #,##0.0_);_(* \(#,##0.0\);_(* &quot;-&quot;??_);_(@_)"/>
    <numFmt numFmtId="168" formatCode="[$-409]d\-mmm\-yy;@"/>
    <numFmt numFmtId="169" formatCode="_(* #,##0.0000_);_(* \(#,##0.0000\);_(* &quot;-&quot;??_);_(@_)"/>
    <numFmt numFmtId="170" formatCode="_-* #,##0.0000_-;\-* #,##0.0000_-;_-* &quot;-&quot;??_-;_-@_-"/>
    <numFmt numFmtId="171" formatCode="h:mm;@"/>
    <numFmt numFmtId="172" formatCode="_-* #,##0.0_-;\-* #,##0.0_-;_-* &quot;-&quot;?_-;_-@_-"/>
  </numFmts>
  <fonts count="54" x14ac:knownFonts="1">
    <font>
      <sz val="11"/>
      <color theme="1"/>
      <name val="Calibri"/>
      <family val="2"/>
      <scheme val="minor"/>
    </font>
    <font>
      <sz val="11"/>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20"/>
      <color theme="1"/>
      <name val="Calibri"/>
      <family val="2"/>
      <scheme val="minor"/>
    </font>
    <font>
      <sz val="9"/>
      <color indexed="81"/>
      <name val="Tahoma"/>
      <family val="2"/>
    </font>
    <font>
      <b/>
      <sz val="9"/>
      <color indexed="81"/>
      <name val="Tahoma"/>
      <family val="2"/>
    </font>
    <font>
      <b/>
      <sz val="22"/>
      <color theme="1"/>
      <name val="Calibri"/>
      <family val="2"/>
      <scheme val="minor"/>
    </font>
    <font>
      <sz val="12"/>
      <name val="Calibri"/>
      <family val="2"/>
      <scheme val="minor"/>
    </font>
    <font>
      <b/>
      <sz val="13"/>
      <color theme="1"/>
      <name val="Calibri"/>
      <family val="2"/>
      <scheme val="minor"/>
    </font>
    <font>
      <b/>
      <sz val="24"/>
      <color theme="1"/>
      <name val="Calibri"/>
      <family val="2"/>
      <scheme val="minor"/>
    </font>
    <font>
      <sz val="16"/>
      <color theme="1"/>
      <name val="Calibri"/>
      <family val="2"/>
      <scheme val="minor"/>
    </font>
    <font>
      <sz val="12"/>
      <color rgb="FFFF0000"/>
      <name val="Calibri"/>
      <family val="2"/>
      <scheme val="minor"/>
    </font>
    <font>
      <b/>
      <sz val="14"/>
      <color rgb="FFFF0000"/>
      <name val="Calibri"/>
      <family val="2"/>
      <scheme val="minor"/>
    </font>
    <font>
      <sz val="14"/>
      <color rgb="FFFF0000"/>
      <name val="Calibri"/>
      <family val="2"/>
      <scheme val="minor"/>
    </font>
    <font>
      <sz val="14"/>
      <name val="Calibri"/>
      <family val="2"/>
      <scheme val="minor"/>
    </font>
    <font>
      <sz val="22"/>
      <color theme="1"/>
      <name val="Calibri"/>
      <family val="2"/>
      <scheme val="minor"/>
    </font>
    <font>
      <sz val="14"/>
      <color theme="0"/>
      <name val="Calibri"/>
      <family val="2"/>
      <scheme val="minor"/>
    </font>
    <font>
      <b/>
      <sz val="14"/>
      <color theme="0"/>
      <name val="Calibri"/>
      <family val="2"/>
      <scheme val="minor"/>
    </font>
    <font>
      <b/>
      <sz val="14"/>
      <name val="Calibri"/>
      <family val="2"/>
      <scheme val="minor"/>
    </font>
    <font>
      <sz val="14"/>
      <name val="Arial"/>
      <family val="2"/>
    </font>
    <font>
      <b/>
      <sz val="14"/>
      <color theme="5"/>
      <name val="Calibri"/>
      <family val="2"/>
      <scheme val="minor"/>
    </font>
    <font>
      <b/>
      <sz val="14"/>
      <color rgb="FF00B0F0"/>
      <name val="Calibri"/>
      <family val="2"/>
      <scheme val="minor"/>
    </font>
    <font>
      <sz val="14"/>
      <color rgb="FF000000"/>
      <name val="Calibri"/>
      <family val="2"/>
      <scheme val="minor"/>
    </font>
    <font>
      <b/>
      <sz val="12"/>
      <name val="Calibri"/>
      <family val="2"/>
      <scheme val="minor"/>
    </font>
    <font>
      <b/>
      <sz val="12"/>
      <name val="Arial"/>
      <family val="2"/>
    </font>
    <font>
      <b/>
      <sz val="10"/>
      <name val="Arial"/>
      <family val="2"/>
    </font>
    <font>
      <sz val="11"/>
      <color rgb="FFFF0000"/>
      <name val="Calibri"/>
      <family val="2"/>
      <scheme val="minor"/>
    </font>
    <font>
      <u/>
      <sz val="11"/>
      <color theme="10"/>
      <name val="Calibri"/>
      <family val="2"/>
      <scheme val="minor"/>
    </font>
    <font>
      <b/>
      <sz val="11"/>
      <color theme="1"/>
      <name val="Calibri"/>
      <family val="2"/>
      <scheme val="minor"/>
    </font>
    <font>
      <b/>
      <sz val="12"/>
      <color rgb="FFFF0000"/>
      <name val="Calibri"/>
      <family val="2"/>
      <scheme val="minor"/>
    </font>
    <font>
      <b/>
      <sz val="12"/>
      <color theme="0"/>
      <name val="Calibri"/>
      <family val="2"/>
      <scheme val="minor"/>
    </font>
    <font>
      <sz val="11"/>
      <color theme="0"/>
      <name val="Calibri"/>
      <family val="2"/>
      <scheme val="minor"/>
    </font>
    <font>
      <sz val="10"/>
      <color theme="1"/>
      <name val="Calibri"/>
      <family val="2"/>
      <scheme val="minor"/>
    </font>
    <font>
      <b/>
      <sz val="16"/>
      <color theme="0"/>
      <name val="Calibri"/>
      <family val="2"/>
      <scheme val="minor"/>
    </font>
    <font>
      <b/>
      <sz val="13"/>
      <color theme="0"/>
      <name val="Calibri"/>
      <family val="2"/>
      <scheme val="minor"/>
    </font>
    <font>
      <sz val="11"/>
      <name val="Calibri"/>
      <family val="2"/>
      <scheme val="minor"/>
    </font>
    <font>
      <b/>
      <sz val="11"/>
      <name val="Calibri"/>
      <family val="2"/>
      <scheme val="minor"/>
    </font>
    <font>
      <b/>
      <sz val="16"/>
      <name val="Calibri"/>
      <family val="2"/>
      <scheme val="minor"/>
    </font>
    <font>
      <sz val="8"/>
      <name val="Calibri"/>
      <family val="2"/>
      <scheme val="minor"/>
    </font>
    <font>
      <sz val="9"/>
      <color theme="1"/>
      <name val="Calibri"/>
      <family val="2"/>
      <scheme val="minor"/>
    </font>
    <font>
      <sz val="9"/>
      <name val="Calibri"/>
      <family val="2"/>
      <scheme val="minor"/>
    </font>
    <font>
      <b/>
      <sz val="10"/>
      <color theme="1"/>
      <name val="Calibri"/>
      <family val="2"/>
      <scheme val="minor"/>
    </font>
    <font>
      <sz val="13.5"/>
      <name val="Calibri"/>
      <family val="2"/>
      <scheme val="minor"/>
    </font>
    <font>
      <sz val="24"/>
      <color theme="1"/>
      <name val="Calibri"/>
      <family val="2"/>
      <scheme val="minor"/>
    </font>
    <font>
      <sz val="36"/>
      <color theme="1"/>
      <name val="Calibri"/>
      <family val="2"/>
      <scheme val="minor"/>
    </font>
    <font>
      <sz val="26"/>
      <color theme="1"/>
      <name val="Calibri"/>
      <family val="2"/>
      <scheme val="minor"/>
    </font>
    <font>
      <b/>
      <sz val="14"/>
      <color theme="4" tint="-0.249977111117893"/>
      <name val="Calibri"/>
      <family val="2"/>
      <scheme val="minor"/>
    </font>
    <font>
      <b/>
      <sz val="18"/>
      <color theme="1"/>
      <name val="Calibri"/>
      <family val="2"/>
      <scheme val="minor"/>
    </font>
    <font>
      <sz val="13"/>
      <color theme="1"/>
      <name val="Calibri"/>
      <family val="2"/>
      <scheme val="minor"/>
    </font>
    <font>
      <sz val="18"/>
      <color theme="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9"/>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6" tint="0.39997558519241921"/>
        <bgColor indexed="64"/>
      </patternFill>
    </fill>
    <fill>
      <patternFill patternType="solid">
        <fgColor theme="0" tint="-4.9989318521683403E-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indexed="64"/>
      </top>
      <bottom style="thin">
        <color theme="0"/>
      </bottom>
      <diagonal/>
    </border>
    <border>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indexed="64"/>
      </right>
      <top style="thin">
        <color theme="0"/>
      </top>
      <bottom style="thin">
        <color theme="0"/>
      </bottom>
      <diagonal/>
    </border>
    <border>
      <left style="thin">
        <color theme="0"/>
      </left>
      <right style="thin">
        <color indexed="64"/>
      </right>
      <top style="thin">
        <color theme="0"/>
      </top>
      <bottom/>
      <diagonal/>
    </border>
    <border>
      <left style="thin">
        <color indexed="64"/>
      </left>
      <right style="thin">
        <color indexed="64"/>
      </right>
      <top style="thin">
        <color theme="0"/>
      </top>
      <bottom/>
      <diagonal/>
    </border>
    <border>
      <left style="thin">
        <color indexed="64"/>
      </left>
      <right style="thin">
        <color theme="0"/>
      </right>
      <top style="thin">
        <color theme="0"/>
      </top>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theme="0"/>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785">
    <xf numFmtId="0" fontId="0" fillId="0" borderId="0" xfId="0"/>
    <xf numFmtId="0" fontId="3" fillId="0" borderId="1" xfId="0" applyFont="1" applyBorder="1"/>
    <xf numFmtId="165" fontId="0" fillId="0" borderId="0" xfId="1" applyNumberFormat="1" applyFont="1"/>
    <xf numFmtId="165" fontId="0" fillId="0" borderId="0" xfId="1" applyNumberFormat="1" applyFont="1" applyBorder="1"/>
    <xf numFmtId="0" fontId="6" fillId="0" borderId="0" xfId="0" applyFont="1"/>
    <xf numFmtId="0" fontId="6" fillId="0" borderId="1" xfId="0" applyFont="1" applyBorder="1"/>
    <xf numFmtId="0" fontId="6" fillId="2" borderId="5" xfId="0" applyFont="1" applyFill="1" applyBorder="1"/>
    <xf numFmtId="165" fontId="6" fillId="2" borderId="5" xfId="1" applyNumberFormat="1" applyFont="1" applyFill="1" applyBorder="1"/>
    <xf numFmtId="165" fontId="3" fillId="0" borderId="1" xfId="1" applyNumberFormat="1" applyFont="1" applyBorder="1" applyAlignment="1">
      <alignment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165" fontId="5" fillId="0" borderId="24" xfId="1" applyNumberFormat="1" applyFont="1" applyBorder="1" applyAlignment="1">
      <alignment horizontal="center" vertical="center"/>
    </xf>
    <xf numFmtId="165" fontId="5" fillId="0" borderId="25" xfId="1" applyNumberFormat="1" applyFont="1" applyBorder="1" applyAlignment="1">
      <alignment horizontal="center" vertical="center"/>
    </xf>
    <xf numFmtId="15" fontId="11" fillId="0" borderId="1" xfId="0" applyNumberFormat="1" applyFont="1" applyBorder="1" applyAlignment="1">
      <alignment vertical="center"/>
    </xf>
    <xf numFmtId="165" fontId="3" fillId="0" borderId="2" xfId="1" applyNumberFormat="1" applyFont="1" applyBorder="1"/>
    <xf numFmtId="15" fontId="11" fillId="0" borderId="2" xfId="0" quotePrefix="1" applyNumberFormat="1" applyFont="1" applyBorder="1" applyAlignment="1">
      <alignment vertical="center"/>
    </xf>
    <xf numFmtId="165" fontId="3" fillId="0" borderId="2" xfId="1" applyNumberFormat="1" applyFont="1" applyBorder="1" applyAlignment="1">
      <alignment wrapText="1"/>
    </xf>
    <xf numFmtId="165" fontId="3" fillId="0" borderId="2" xfId="1" applyNumberFormat="1" applyFont="1" applyBorder="1" applyAlignment="1">
      <alignment vertical="center"/>
    </xf>
    <xf numFmtId="0" fontId="3" fillId="0" borderId="0" xfId="0" applyFont="1"/>
    <xf numFmtId="165" fontId="3" fillId="0" borderId="1" xfId="1" applyNumberFormat="1" applyFont="1" applyBorder="1"/>
    <xf numFmtId="0" fontId="7" fillId="28" borderId="21" xfId="0" applyFont="1" applyFill="1" applyBorder="1" applyAlignment="1">
      <alignment horizontal="center"/>
    </xf>
    <xf numFmtId="165" fontId="5" fillId="28" borderId="24" xfId="1" applyNumberFormat="1" applyFont="1" applyFill="1" applyBorder="1" applyAlignment="1">
      <alignment horizontal="center" vertical="center"/>
    </xf>
    <xf numFmtId="165" fontId="3" fillId="28" borderId="2" xfId="1" applyNumberFormat="1" applyFont="1" applyFill="1" applyBorder="1"/>
    <xf numFmtId="165" fontId="3" fillId="28" borderId="1" xfId="1" applyNumberFormat="1" applyFont="1" applyFill="1" applyBorder="1" applyAlignment="1">
      <alignment vertical="center"/>
    </xf>
    <xf numFmtId="165" fontId="3" fillId="28" borderId="1" xfId="1" applyNumberFormat="1" applyFont="1" applyFill="1" applyBorder="1"/>
    <xf numFmtId="165" fontId="4" fillId="28" borderId="3" xfId="1" applyNumberFormat="1" applyFont="1" applyFill="1" applyBorder="1"/>
    <xf numFmtId="165" fontId="12" fillId="0" borderId="1" xfId="1" applyNumberFormat="1" applyFont="1" applyBorder="1"/>
    <xf numFmtId="165" fontId="14" fillId="0" borderId="1" xfId="1" applyNumberFormat="1" applyFont="1" applyBorder="1" applyAlignment="1">
      <alignment horizontal="right" vertical="center"/>
    </xf>
    <xf numFmtId="165" fontId="6" fillId="0" borderId="1" xfId="1" applyNumberFormat="1" applyFont="1" applyBorder="1" applyAlignment="1">
      <alignment vertical="center"/>
    </xf>
    <xf numFmtId="165" fontId="5" fillId="0" borderId="1" xfId="1" applyNumberFormat="1" applyFont="1" applyBorder="1" applyAlignment="1">
      <alignment vertical="center"/>
    </xf>
    <xf numFmtId="0" fontId="5" fillId="0" borderId="6" xfId="0" quotePrefix="1" applyFont="1" applyBorder="1" applyAlignment="1">
      <alignment horizontal="center" vertical="center" wrapText="1"/>
    </xf>
    <xf numFmtId="166" fontId="2" fillId="0" borderId="1" xfId="0" applyNumberFormat="1" applyFont="1" applyBorder="1" applyAlignment="1">
      <alignment vertical="center" wrapText="1"/>
    </xf>
    <xf numFmtId="165" fontId="6" fillId="0" borderId="1" xfId="1" applyNumberFormat="1" applyFont="1" applyBorder="1" applyAlignment="1">
      <alignment horizontal="right" vertical="center"/>
    </xf>
    <xf numFmtId="165" fontId="15" fillId="0" borderId="2" xfId="1" applyNumberFormat="1" applyFont="1" applyBorder="1" applyAlignment="1">
      <alignment wrapText="1"/>
    </xf>
    <xf numFmtId="165" fontId="3" fillId="28" borderId="3" xfId="1" applyNumberFormat="1" applyFont="1" applyFill="1" applyBorder="1"/>
    <xf numFmtId="15" fontId="11" fillId="0" borderId="1" xfId="0" quotePrefix="1" applyNumberFormat="1" applyFont="1" applyBorder="1" applyAlignment="1">
      <alignment vertical="center"/>
    </xf>
    <xf numFmtId="165" fontId="3" fillId="0" borderId="1" xfId="1" applyNumberFormat="1" applyFont="1" applyBorder="1" applyAlignment="1">
      <alignment wrapText="1"/>
    </xf>
    <xf numFmtId="0" fontId="3" fillId="0" borderId="1" xfId="0" applyFont="1" applyBorder="1" applyAlignment="1">
      <alignment wrapText="1"/>
    </xf>
    <xf numFmtId="165" fontId="3" fillId="0" borderId="1" xfId="1" applyNumberFormat="1" applyFont="1" applyBorder="1" applyAlignment="1">
      <alignment vertical="center" wrapText="1"/>
    </xf>
    <xf numFmtId="0" fontId="16" fillId="0" borderId="1" xfId="0" applyFont="1" applyBorder="1"/>
    <xf numFmtId="165" fontId="16" fillId="0" borderId="1" xfId="1" applyNumberFormat="1" applyFont="1" applyBorder="1"/>
    <xf numFmtId="0" fontId="17" fillId="0" borderId="1" xfId="0" applyFont="1" applyBorder="1"/>
    <xf numFmtId="165" fontId="17" fillId="0" borderId="1" xfId="1" applyNumberFormat="1" applyFont="1" applyBorder="1"/>
    <xf numFmtId="165" fontId="6" fillId="0" borderId="1" xfId="1" applyNumberFormat="1" applyFont="1" applyBorder="1"/>
    <xf numFmtId="0" fontId="6" fillId="0" borderId="1" xfId="0" applyFont="1" applyBorder="1" applyAlignment="1">
      <alignment vertical="center"/>
    </xf>
    <xf numFmtId="15" fontId="18" fillId="0" borderId="1" xfId="0" applyNumberFormat="1" applyFont="1" applyBorder="1" applyAlignment="1">
      <alignment vertical="center"/>
    </xf>
    <xf numFmtId="165" fontId="6" fillId="0" borderId="1" xfId="1" applyNumberFormat="1" applyFont="1" applyBorder="1" applyAlignment="1">
      <alignment horizontal="center" vertical="center" wrapText="1"/>
    </xf>
    <xf numFmtId="14" fontId="6" fillId="0" borderId="1" xfId="0" applyNumberFormat="1" applyFont="1" applyBorder="1" applyAlignment="1">
      <alignment vertical="center"/>
    </xf>
    <xf numFmtId="165" fontId="6" fillId="0" borderId="1" xfId="1" applyNumberFormat="1" applyFont="1" applyFill="1" applyBorder="1" applyAlignment="1">
      <alignment vertical="center"/>
    </xf>
    <xf numFmtId="0" fontId="5" fillId="0" borderId="1" xfId="0" applyFont="1" applyBorder="1" applyAlignment="1">
      <alignment horizontal="center" vertical="center" wrapText="1"/>
    </xf>
    <xf numFmtId="165" fontId="5" fillId="0" borderId="1" xfId="1" applyNumberFormat="1" applyFont="1" applyBorder="1" applyAlignment="1">
      <alignment horizontal="center" vertical="center" wrapText="1"/>
    </xf>
    <xf numFmtId="14" fontId="6" fillId="0" borderId="1" xfId="0" applyNumberFormat="1" applyFont="1" applyBorder="1"/>
    <xf numFmtId="165" fontId="6" fillId="0" borderId="0" xfId="1" applyNumberFormat="1" applyFont="1"/>
    <xf numFmtId="14" fontId="5" fillId="0" borderId="1" xfId="0" applyNumberFormat="1" applyFont="1" applyBorder="1" applyAlignment="1">
      <alignment horizontal="center" vertical="center" wrapText="1"/>
    </xf>
    <xf numFmtId="14" fontId="18" fillId="0" borderId="1" xfId="0" applyNumberFormat="1" applyFont="1" applyBorder="1" applyAlignment="1">
      <alignment vertical="center"/>
    </xf>
    <xf numFmtId="15" fontId="5" fillId="13" borderId="1" xfId="0" applyNumberFormat="1" applyFont="1" applyFill="1" applyBorder="1" applyAlignment="1">
      <alignment horizontal="center" vertical="center"/>
    </xf>
    <xf numFmtId="0" fontId="5" fillId="13" borderId="1" xfId="0" applyFont="1" applyFill="1" applyBorder="1" applyAlignment="1">
      <alignment horizontal="center" vertical="center"/>
    </xf>
    <xf numFmtId="165" fontId="5" fillId="13" borderId="1" xfId="1" applyNumberFormat="1" applyFont="1" applyFill="1" applyBorder="1" applyAlignment="1">
      <alignment horizontal="center" vertical="center" wrapText="1"/>
    </xf>
    <xf numFmtId="165" fontId="18" fillId="0" borderId="1" xfId="1" applyNumberFormat="1" applyFont="1" applyFill="1" applyBorder="1"/>
    <xf numFmtId="15" fontId="6" fillId="0" borderId="1" xfId="0" applyNumberFormat="1" applyFont="1" applyBorder="1"/>
    <xf numFmtId="15" fontId="6" fillId="2" borderId="1" xfId="0" applyNumberFormat="1" applyFont="1" applyFill="1" applyBorder="1"/>
    <xf numFmtId="0" fontId="6" fillId="2" borderId="1" xfId="0" applyFont="1" applyFill="1" applyBorder="1"/>
    <xf numFmtId="165" fontId="6" fillId="2" borderId="1" xfId="1" applyNumberFormat="1" applyFont="1" applyFill="1" applyBorder="1"/>
    <xf numFmtId="0" fontId="20" fillId="5" borderId="1" xfId="0" applyFont="1" applyFill="1" applyBorder="1"/>
    <xf numFmtId="165" fontId="20" fillId="5" borderId="1" xfId="1" applyNumberFormat="1" applyFont="1" applyFill="1" applyBorder="1"/>
    <xf numFmtId="165" fontId="6" fillId="0" borderId="1" xfId="1" applyNumberFormat="1" applyFont="1" applyFill="1" applyBorder="1"/>
    <xf numFmtId="0" fontId="6" fillId="0" borderId="5" xfId="0" applyFont="1" applyBorder="1"/>
    <xf numFmtId="165" fontId="6" fillId="0" borderId="5" xfId="1" applyNumberFormat="1" applyFont="1" applyBorder="1"/>
    <xf numFmtId="15" fontId="6" fillId="0" borderId="5" xfId="0" applyNumberFormat="1" applyFont="1" applyBorder="1"/>
    <xf numFmtId="165" fontId="6" fillId="0" borderId="5" xfId="1" applyNumberFormat="1" applyFont="1" applyFill="1" applyBorder="1"/>
    <xf numFmtId="15" fontId="20" fillId="5" borderId="1" xfId="0" applyNumberFormat="1" applyFont="1" applyFill="1" applyBorder="1"/>
    <xf numFmtId="165" fontId="21" fillId="5" borderId="1" xfId="1" applyNumberFormat="1" applyFont="1" applyFill="1" applyBorder="1" applyAlignment="1">
      <alignment horizontal="left"/>
    </xf>
    <xf numFmtId="165" fontId="21" fillId="5" borderId="1" xfId="1" applyNumberFormat="1" applyFont="1" applyFill="1" applyBorder="1"/>
    <xf numFmtId="0" fontId="18" fillId="0" borderId="1" xfId="0" applyFont="1" applyBorder="1"/>
    <xf numFmtId="0" fontId="6" fillId="0" borderId="3" xfId="0" applyFont="1" applyBorder="1"/>
    <xf numFmtId="0" fontId="6" fillId="0" borderId="6" xfId="0" applyFont="1" applyBorder="1"/>
    <xf numFmtId="0" fontId="6" fillId="0" borderId="4" xfId="0" applyFont="1" applyBorder="1"/>
    <xf numFmtId="165" fontId="6" fillId="0" borderId="2" xfId="1" applyNumberFormat="1" applyFont="1" applyBorder="1"/>
    <xf numFmtId="0" fontId="6" fillId="0" borderId="2" xfId="0" applyFont="1" applyBorder="1"/>
    <xf numFmtId="15" fontId="18" fillId="0" borderId="1" xfId="0" applyNumberFormat="1" applyFont="1" applyBorder="1"/>
    <xf numFmtId="0" fontId="18" fillId="0" borderId="6" xfId="0" applyFont="1" applyBorder="1"/>
    <xf numFmtId="165" fontId="18" fillId="0" borderId="1" xfId="1" applyNumberFormat="1" applyFont="1" applyFill="1" applyBorder="1" applyAlignment="1">
      <alignment horizontal="right"/>
    </xf>
    <xf numFmtId="165" fontId="22" fillId="0" borderId="1" xfId="1" applyNumberFormat="1" applyFont="1" applyFill="1" applyBorder="1"/>
    <xf numFmtId="0" fontId="6" fillId="11" borderId="1" xfId="0" applyFont="1" applyFill="1" applyBorder="1"/>
    <xf numFmtId="165" fontId="6" fillId="11" borderId="1" xfId="1" applyNumberFormat="1" applyFont="1" applyFill="1" applyBorder="1"/>
    <xf numFmtId="0" fontId="6" fillId="9" borderId="1" xfId="0" applyFont="1" applyFill="1" applyBorder="1"/>
    <xf numFmtId="165" fontId="6" fillId="9" borderId="1" xfId="1" applyNumberFormat="1" applyFont="1" applyFill="1" applyBorder="1"/>
    <xf numFmtId="0" fontId="6" fillId="12" borderId="1" xfId="0" applyFont="1" applyFill="1" applyBorder="1"/>
    <xf numFmtId="165" fontId="6" fillId="12" borderId="1" xfId="1" applyNumberFormat="1" applyFont="1" applyFill="1" applyBorder="1"/>
    <xf numFmtId="0" fontId="6" fillId="13" borderId="1" xfId="0" applyFont="1" applyFill="1" applyBorder="1"/>
    <xf numFmtId="165" fontId="6" fillId="13" borderId="1" xfId="1" applyNumberFormat="1" applyFont="1" applyFill="1" applyBorder="1"/>
    <xf numFmtId="0" fontId="6" fillId="13" borderId="1" xfId="0" applyFont="1" applyFill="1" applyBorder="1" applyAlignment="1">
      <alignment wrapText="1"/>
    </xf>
    <xf numFmtId="0" fontId="6" fillId="0" borderId="1" xfId="0" applyFont="1" applyBorder="1" applyAlignment="1">
      <alignment wrapText="1"/>
    </xf>
    <xf numFmtId="165" fontId="6" fillId="0" borderId="0" xfId="0" applyNumberFormat="1" applyFont="1"/>
    <xf numFmtId="15" fontId="18" fillId="4" borderId="1" xfId="0" applyNumberFormat="1" applyFont="1" applyFill="1" applyBorder="1"/>
    <xf numFmtId="0" fontId="6" fillId="4" borderId="1" xfId="0" applyFont="1" applyFill="1" applyBorder="1"/>
    <xf numFmtId="0" fontId="6" fillId="4" borderId="1" xfId="0" applyFont="1" applyFill="1" applyBorder="1" applyAlignment="1">
      <alignment wrapText="1"/>
    </xf>
    <xf numFmtId="165" fontId="6" fillId="4" borderId="1" xfId="1" applyNumberFormat="1" applyFont="1" applyFill="1" applyBorder="1"/>
    <xf numFmtId="0" fontId="6" fillId="14" borderId="1" xfId="0" applyFont="1" applyFill="1" applyBorder="1"/>
    <xf numFmtId="0" fontId="6" fillId="14" borderId="1" xfId="0" applyFont="1" applyFill="1" applyBorder="1" applyAlignment="1">
      <alignment wrapText="1"/>
    </xf>
    <xf numFmtId="165" fontId="6" fillId="14" borderId="1" xfId="1" applyNumberFormat="1" applyFont="1" applyFill="1" applyBorder="1"/>
    <xf numFmtId="0" fontId="6" fillId="0" borderId="6" xfId="0" applyFont="1" applyBorder="1" applyAlignment="1">
      <alignment wrapText="1"/>
    </xf>
    <xf numFmtId="165" fontId="6" fillId="0" borderId="0" xfId="1" applyNumberFormat="1" applyFont="1" applyFill="1"/>
    <xf numFmtId="0" fontId="18" fillId="0" borderId="1" xfId="0" applyFont="1" applyBorder="1" applyAlignment="1">
      <alignment wrapText="1"/>
    </xf>
    <xf numFmtId="0" fontId="18" fillId="16" borderId="1" xfId="0" applyFont="1" applyFill="1" applyBorder="1" applyAlignment="1">
      <alignment wrapText="1"/>
    </xf>
    <xf numFmtId="0" fontId="21" fillId="5" borderId="1" xfId="0" applyFont="1" applyFill="1" applyBorder="1"/>
    <xf numFmtId="0" fontId="21" fillId="5" borderId="1" xfId="0" applyFont="1" applyFill="1" applyBorder="1" applyAlignment="1">
      <alignment wrapText="1"/>
    </xf>
    <xf numFmtId="0" fontId="6" fillId="15" borderId="1" xfId="0" applyFont="1" applyFill="1" applyBorder="1"/>
    <xf numFmtId="0" fontId="6" fillId="15" borderId="1" xfId="0" applyFont="1" applyFill="1" applyBorder="1" applyAlignment="1">
      <alignment wrapText="1"/>
    </xf>
    <xf numFmtId="165" fontId="6" fillId="15" borderId="1" xfId="1" applyNumberFormat="1" applyFont="1" applyFill="1" applyBorder="1"/>
    <xf numFmtId="0" fontId="18" fillId="0" borderId="3" xfId="0" applyFont="1" applyBorder="1" applyAlignment="1">
      <alignment horizontal="left"/>
    </xf>
    <xf numFmtId="0" fontId="18" fillId="0" borderId="6" xfId="0" applyFont="1" applyBorder="1" applyAlignment="1">
      <alignment horizontal="left" wrapText="1"/>
    </xf>
    <xf numFmtId="165" fontId="18" fillId="0" borderId="1" xfId="1" applyNumberFormat="1" applyFont="1" applyFill="1" applyBorder="1" applyAlignment="1">
      <alignment horizontal="left"/>
    </xf>
    <xf numFmtId="165" fontId="18" fillId="0" borderId="0" xfId="1" applyNumberFormat="1" applyFont="1" applyFill="1"/>
    <xf numFmtId="0" fontId="18" fillId="0" borderId="0" xfId="0" applyFont="1"/>
    <xf numFmtId="0" fontId="18" fillId="0" borderId="1" xfId="0" applyFont="1" applyBorder="1" applyAlignment="1">
      <alignment horizontal="left"/>
    </xf>
    <xf numFmtId="0" fontId="18" fillId="0" borderId="6" xfId="0" applyFont="1" applyBorder="1" applyAlignment="1">
      <alignment horizontal="left"/>
    </xf>
    <xf numFmtId="15" fontId="18" fillId="14" borderId="1" xfId="0" applyNumberFormat="1" applyFont="1" applyFill="1" applyBorder="1"/>
    <xf numFmtId="165" fontId="21" fillId="0" borderId="1" xfId="1" applyNumberFormat="1" applyFont="1" applyFill="1" applyBorder="1"/>
    <xf numFmtId="0" fontId="6" fillId="8" borderId="1" xfId="0" applyFont="1" applyFill="1" applyBorder="1"/>
    <xf numFmtId="0" fontId="6" fillId="8" borderId="1" xfId="0" applyFont="1" applyFill="1" applyBorder="1" applyAlignment="1">
      <alignment wrapText="1"/>
    </xf>
    <xf numFmtId="165" fontId="6" fillId="8" borderId="1" xfId="1" applyNumberFormat="1" applyFont="1" applyFill="1" applyBorder="1"/>
    <xf numFmtId="15" fontId="18" fillId="15" borderId="1" xfId="0" applyNumberFormat="1" applyFont="1" applyFill="1" applyBorder="1"/>
    <xf numFmtId="0" fontId="6" fillId="0" borderId="8" xfId="0" applyFont="1" applyBorder="1"/>
    <xf numFmtId="0" fontId="6" fillId="0" borderId="1" xfId="0" applyFont="1" applyBorder="1" applyAlignment="1">
      <alignment vertical="center" wrapText="1"/>
    </xf>
    <xf numFmtId="0" fontId="6" fillId="17" borderId="1" xfId="0" applyFont="1" applyFill="1" applyBorder="1"/>
    <xf numFmtId="0" fontId="6" fillId="17" borderId="1" xfId="0" applyFont="1" applyFill="1" applyBorder="1" applyAlignment="1">
      <alignment wrapText="1"/>
    </xf>
    <xf numFmtId="165" fontId="6" fillId="17" borderId="1" xfId="1" applyNumberFormat="1" applyFont="1" applyFill="1" applyBorder="1"/>
    <xf numFmtId="0" fontId="6" fillId="10" borderId="1" xfId="0" applyFont="1" applyFill="1" applyBorder="1"/>
    <xf numFmtId="0" fontId="6" fillId="10" borderId="1" xfId="0" applyFont="1" applyFill="1" applyBorder="1" applyAlignment="1">
      <alignment wrapText="1"/>
    </xf>
    <xf numFmtId="165" fontId="6" fillId="10" borderId="1" xfId="1" applyNumberFormat="1" applyFont="1" applyFill="1" applyBorder="1"/>
    <xf numFmtId="0" fontId="18" fillId="0" borderId="1" xfId="0" applyFont="1" applyBorder="1" applyAlignment="1">
      <alignment horizontal="left" wrapText="1"/>
    </xf>
    <xf numFmtId="0" fontId="6" fillId="2" borderId="1" xfId="0" applyFont="1" applyFill="1" applyBorder="1" applyAlignment="1">
      <alignment wrapText="1"/>
    </xf>
    <xf numFmtId="0" fontId="6" fillId="0" borderId="1" xfId="0" applyFont="1" applyBorder="1" applyAlignment="1">
      <alignment horizontal="left" vertical="center" wrapText="1"/>
    </xf>
    <xf numFmtId="165" fontId="6" fillId="0" borderId="7" xfId="1" applyNumberFormat="1" applyFont="1" applyFill="1" applyBorder="1"/>
    <xf numFmtId="165" fontId="6" fillId="0" borderId="0" xfId="1" applyNumberFormat="1" applyFont="1" applyFill="1" applyBorder="1"/>
    <xf numFmtId="165" fontId="16" fillId="0" borderId="7" xfId="1" applyNumberFormat="1" applyFont="1" applyFill="1" applyBorder="1" applyAlignment="1">
      <alignment horizontal="center" vertical="center" wrapText="1"/>
    </xf>
    <xf numFmtId="165" fontId="16" fillId="0" borderId="0" xfId="1" applyNumberFormat="1" applyFont="1" applyFill="1" applyBorder="1" applyAlignment="1">
      <alignment horizontal="left" vertical="center"/>
    </xf>
    <xf numFmtId="15" fontId="21" fillId="5" borderId="1" xfId="0" applyNumberFormat="1" applyFont="1" applyFill="1" applyBorder="1" applyAlignment="1">
      <alignment vertical="center"/>
    </xf>
    <xf numFmtId="0" fontId="6" fillId="18" borderId="1" xfId="0" applyFont="1" applyFill="1" applyBorder="1"/>
    <xf numFmtId="165" fontId="6" fillId="18" borderId="1" xfId="1" applyNumberFormat="1" applyFont="1" applyFill="1" applyBorder="1"/>
    <xf numFmtId="165" fontId="21" fillId="5" borderId="1" xfId="1" applyNumberFormat="1" applyFont="1" applyFill="1" applyBorder="1" applyAlignment="1">
      <alignment vertical="center"/>
    </xf>
    <xf numFmtId="15" fontId="18" fillId="0" borderId="10" xfId="0" applyNumberFormat="1" applyFont="1" applyBorder="1" applyAlignment="1">
      <alignment vertical="center"/>
    </xf>
    <xf numFmtId="0" fontId="6" fillId="2" borderId="10" xfId="0" applyFont="1" applyFill="1" applyBorder="1"/>
    <xf numFmtId="165" fontId="6" fillId="2" borderId="10" xfId="1" applyNumberFormat="1" applyFont="1" applyFill="1" applyBorder="1"/>
    <xf numFmtId="165" fontId="6" fillId="0" borderId="10" xfId="1" applyNumberFormat="1" applyFont="1" applyBorder="1"/>
    <xf numFmtId="165" fontId="6" fillId="0" borderId="11" xfId="1" applyNumberFormat="1" applyFont="1" applyBorder="1"/>
    <xf numFmtId="15" fontId="18" fillId="0" borderId="2" xfId="0" applyNumberFormat="1" applyFont="1" applyBorder="1" applyAlignment="1">
      <alignment vertical="center"/>
    </xf>
    <xf numFmtId="165" fontId="21" fillId="5" borderId="2" xfId="1" applyNumberFormat="1" applyFont="1" applyFill="1" applyBorder="1" applyAlignment="1">
      <alignment horizontal="left"/>
    </xf>
    <xf numFmtId="165" fontId="21" fillId="5" borderId="2" xfId="1" applyNumberFormat="1" applyFont="1" applyFill="1" applyBorder="1"/>
    <xf numFmtId="0" fontId="6" fillId="9" borderId="1" xfId="0" applyFont="1" applyFill="1" applyBorder="1" applyAlignment="1">
      <alignment wrapText="1"/>
    </xf>
    <xf numFmtId="0" fontId="6" fillId="18" borderId="1" xfId="0" applyFont="1" applyFill="1" applyBorder="1" applyAlignment="1">
      <alignment wrapText="1"/>
    </xf>
    <xf numFmtId="165" fontId="6" fillId="0" borderId="1" xfId="1" applyNumberFormat="1" applyFont="1" applyFill="1" applyBorder="1" applyAlignment="1">
      <alignment horizontal="left"/>
    </xf>
    <xf numFmtId="165" fontId="6" fillId="0" borderId="1" xfId="1" applyNumberFormat="1" applyFont="1" applyFill="1" applyBorder="1" applyAlignment="1">
      <alignment wrapText="1"/>
    </xf>
    <xf numFmtId="165" fontId="6" fillId="0" borderId="1" xfId="1" applyNumberFormat="1" applyFont="1" applyFill="1" applyBorder="1" applyAlignment="1">
      <alignment horizontal="right"/>
    </xf>
    <xf numFmtId="165" fontId="6" fillId="0" borderId="0" xfId="1" applyNumberFormat="1" applyFont="1" applyAlignment="1">
      <alignment vertical="center"/>
    </xf>
    <xf numFmtId="0" fontId="6" fillId="0" borderId="10" xfId="0" applyFont="1" applyBorder="1"/>
    <xf numFmtId="0" fontId="6" fillId="0" borderId="10" xfId="0" applyFont="1" applyBorder="1" applyAlignment="1">
      <alignment wrapText="1"/>
    </xf>
    <xf numFmtId="165" fontId="6" fillId="0" borderId="10" xfId="1" applyNumberFormat="1" applyFont="1" applyBorder="1" applyAlignment="1">
      <alignment vertical="center"/>
    </xf>
    <xf numFmtId="0" fontId="6" fillId="0" borderId="2" xfId="0" applyFont="1" applyBorder="1" applyAlignment="1">
      <alignment wrapText="1"/>
    </xf>
    <xf numFmtId="165" fontId="6" fillId="0" borderId="2" xfId="1" applyNumberFormat="1" applyFont="1" applyBorder="1" applyAlignment="1">
      <alignment vertical="center"/>
    </xf>
    <xf numFmtId="165" fontId="6" fillId="0" borderId="8" xfId="1" applyNumberFormat="1" applyFont="1" applyFill="1" applyBorder="1"/>
    <xf numFmtId="165" fontId="21" fillId="15" borderId="1" xfId="1" applyNumberFormat="1" applyFont="1" applyFill="1" applyBorder="1" applyAlignment="1">
      <alignment horizontal="left"/>
    </xf>
    <xf numFmtId="165" fontId="21" fillId="15" borderId="1" xfId="1" applyNumberFormat="1" applyFont="1" applyFill="1" applyBorder="1"/>
    <xf numFmtId="165" fontId="17" fillId="0" borderId="0" xfId="1" applyNumberFormat="1" applyFont="1" applyFill="1"/>
    <xf numFmtId="0" fontId="6" fillId="0" borderId="1" xfId="0" applyFont="1" applyBorder="1" applyAlignment="1">
      <alignment horizontal="left" wrapText="1"/>
    </xf>
    <xf numFmtId="165" fontId="6" fillId="0" borderId="1" xfId="1" applyNumberFormat="1" applyFont="1" applyBorder="1" applyAlignment="1"/>
    <xf numFmtId="165" fontId="6" fillId="0" borderId="0" xfId="1" applyNumberFormat="1" applyFont="1" applyBorder="1"/>
    <xf numFmtId="165" fontId="6" fillId="22" borderId="1" xfId="1" applyNumberFormat="1" applyFont="1" applyFill="1" applyBorder="1"/>
    <xf numFmtId="165" fontId="6" fillId="2" borderId="0" xfId="1" applyNumberFormat="1" applyFont="1" applyFill="1"/>
    <xf numFmtId="165" fontId="6" fillId="4" borderId="1" xfId="1" applyNumberFormat="1" applyFont="1" applyFill="1" applyBorder="1" applyAlignment="1">
      <alignment vertical="center"/>
    </xf>
    <xf numFmtId="15" fontId="6" fillId="0" borderId="1" xfId="0" applyNumberFormat="1" applyFont="1" applyBorder="1" applyAlignment="1">
      <alignment vertical="center"/>
    </xf>
    <xf numFmtId="0" fontId="6" fillId="0" borderId="1" xfId="0" applyFont="1" applyBorder="1" applyAlignment="1">
      <alignment horizontal="left"/>
    </xf>
    <xf numFmtId="15" fontId="6" fillId="2" borderId="1" xfId="0" applyNumberFormat="1" applyFont="1" applyFill="1" applyBorder="1" applyAlignment="1">
      <alignment vertical="center"/>
    </xf>
    <xf numFmtId="165" fontId="6" fillId="2" borderId="1" xfId="1" applyNumberFormat="1" applyFont="1" applyFill="1" applyBorder="1" applyAlignment="1">
      <alignment vertical="center"/>
    </xf>
    <xf numFmtId="0" fontId="23" fillId="0" borderId="1" xfId="0" applyFont="1" applyBorder="1"/>
    <xf numFmtId="165" fontId="20" fillId="5" borderId="1" xfId="1" applyNumberFormat="1" applyFont="1" applyFill="1" applyBorder="1" applyAlignment="1">
      <alignment horizontal="left"/>
    </xf>
    <xf numFmtId="15" fontId="6" fillId="19" borderId="1" xfId="0" applyNumberFormat="1" applyFont="1" applyFill="1" applyBorder="1" applyAlignment="1">
      <alignment vertical="center"/>
    </xf>
    <xf numFmtId="0" fontId="6" fillId="19" borderId="1" xfId="0" applyFont="1" applyFill="1" applyBorder="1"/>
    <xf numFmtId="165" fontId="6" fillId="19" borderId="1" xfId="1" applyNumberFormat="1" applyFont="1" applyFill="1" applyBorder="1"/>
    <xf numFmtId="0" fontId="6" fillId="20" borderId="1" xfId="0" applyFont="1" applyFill="1" applyBorder="1"/>
    <xf numFmtId="165" fontId="6" fillId="20" borderId="1" xfId="1" applyNumberFormat="1" applyFont="1" applyFill="1" applyBorder="1"/>
    <xf numFmtId="165" fontId="6" fillId="18" borderId="0" xfId="1" applyNumberFormat="1" applyFont="1" applyFill="1"/>
    <xf numFmtId="165" fontId="18" fillId="0" borderId="1" xfId="1" applyNumberFormat="1" applyFont="1" applyBorder="1"/>
    <xf numFmtId="15" fontId="18" fillId="0" borderId="5" xfId="0" applyNumberFormat="1" applyFont="1" applyBorder="1" applyAlignment="1">
      <alignment vertical="center"/>
    </xf>
    <xf numFmtId="15" fontId="22" fillId="0" borderId="1" xfId="0" applyNumberFormat="1" applyFont="1" applyBorder="1" applyAlignment="1">
      <alignment vertical="center"/>
    </xf>
    <xf numFmtId="0" fontId="5" fillId="0" borderId="1" xfId="0" applyFont="1" applyBorder="1"/>
    <xf numFmtId="165" fontId="5" fillId="0" borderId="1" xfId="1" applyNumberFormat="1" applyFont="1" applyBorder="1"/>
    <xf numFmtId="165" fontId="5" fillId="0" borderId="1" xfId="1" applyNumberFormat="1" applyFont="1" applyFill="1" applyBorder="1" applyAlignment="1">
      <alignment vertical="center"/>
    </xf>
    <xf numFmtId="15" fontId="17" fillId="0" borderId="1" xfId="0" applyNumberFormat="1" applyFont="1" applyBorder="1" applyAlignment="1">
      <alignment vertical="center"/>
    </xf>
    <xf numFmtId="165" fontId="17" fillId="0" borderId="1" xfId="1" applyNumberFormat="1" applyFont="1" applyFill="1" applyBorder="1" applyAlignment="1">
      <alignment vertical="center"/>
    </xf>
    <xf numFmtId="0" fontId="21" fillId="5" borderId="1" xfId="0" applyFont="1" applyFill="1" applyBorder="1" applyAlignment="1">
      <alignment horizontal="left" vertical="center"/>
    </xf>
    <xf numFmtId="165" fontId="21" fillId="5" borderId="1" xfId="1" applyNumberFormat="1" applyFont="1" applyFill="1" applyBorder="1" applyAlignment="1">
      <alignment horizontal="left" vertical="center"/>
    </xf>
    <xf numFmtId="0" fontId="18" fillId="5" borderId="1" xfId="0" applyFont="1" applyFill="1" applyBorder="1" applyAlignment="1">
      <alignment horizontal="left" vertical="center"/>
    </xf>
    <xf numFmtId="165" fontId="18" fillId="0" borderId="0" xfId="1" applyNumberFormat="1" applyFont="1"/>
    <xf numFmtId="0" fontId="24" fillId="0" borderId="1" xfId="0" applyFont="1" applyBorder="1"/>
    <xf numFmtId="165" fontId="24" fillId="0" borderId="1" xfId="1" applyNumberFormat="1" applyFont="1" applyBorder="1"/>
    <xf numFmtId="0" fontId="18" fillId="0" borderId="1" xfId="0" applyFont="1" applyBorder="1" applyAlignment="1">
      <alignment horizontal="left" vertical="center" wrapText="1"/>
    </xf>
    <xf numFmtId="165" fontId="18" fillId="5" borderId="1" xfId="1" applyNumberFormat="1" applyFont="1" applyFill="1" applyBorder="1" applyAlignment="1">
      <alignment horizontal="left" vertical="center"/>
    </xf>
    <xf numFmtId="165" fontId="21" fillId="5" borderId="14" xfId="1" applyNumberFormat="1" applyFont="1" applyFill="1" applyBorder="1"/>
    <xf numFmtId="165" fontId="21" fillId="5" borderId="15" xfId="1" applyNumberFormat="1" applyFont="1" applyFill="1" applyBorder="1" applyAlignment="1">
      <alignment vertical="center"/>
    </xf>
    <xf numFmtId="165" fontId="21" fillId="5" borderId="16" xfId="1" applyNumberFormat="1" applyFont="1" applyFill="1" applyBorder="1" applyAlignment="1">
      <alignment vertical="center"/>
    </xf>
    <xf numFmtId="165" fontId="6" fillId="0" borderId="6" xfId="1" applyNumberFormat="1" applyFont="1" applyFill="1" applyBorder="1" applyAlignment="1">
      <alignment vertical="center"/>
    </xf>
    <xf numFmtId="165" fontId="5" fillId="3" borderId="1" xfId="1" applyNumberFormat="1" applyFont="1" applyFill="1" applyBorder="1"/>
    <xf numFmtId="165" fontId="5" fillId="0" borderId="1" xfId="1" applyNumberFormat="1" applyFont="1" applyFill="1" applyBorder="1"/>
    <xf numFmtId="165" fontId="6" fillId="0" borderId="6" xfId="1" applyNumberFormat="1" applyFont="1" applyFill="1" applyBorder="1"/>
    <xf numFmtId="0" fontId="6" fillId="7" borderId="1" xfId="0" applyFont="1" applyFill="1" applyBorder="1"/>
    <xf numFmtId="0" fontId="17" fillId="7" borderId="1" xfId="0" applyFont="1" applyFill="1" applyBorder="1"/>
    <xf numFmtId="165" fontId="17" fillId="7" borderId="1" xfId="1" applyNumberFormat="1" applyFont="1" applyFill="1" applyBorder="1"/>
    <xf numFmtId="165" fontId="6" fillId="21" borderId="1" xfId="1" applyNumberFormat="1" applyFont="1" applyFill="1" applyBorder="1"/>
    <xf numFmtId="165" fontId="21" fillId="5" borderId="5" xfId="1" applyNumberFormat="1" applyFont="1" applyFill="1" applyBorder="1" applyAlignment="1">
      <alignment vertical="center"/>
    </xf>
    <xf numFmtId="165" fontId="17" fillId="2" borderId="1" xfId="1" applyNumberFormat="1" applyFont="1" applyFill="1" applyBorder="1"/>
    <xf numFmtId="0" fontId="22" fillId="0" borderId="1" xfId="0" applyFont="1" applyBorder="1"/>
    <xf numFmtId="165" fontId="22" fillId="0" borderId="1" xfId="1" applyNumberFormat="1" applyFont="1" applyBorder="1"/>
    <xf numFmtId="0" fontId="18" fillId="5" borderId="1" xfId="0" applyFont="1" applyFill="1" applyBorder="1"/>
    <xf numFmtId="165" fontId="18" fillId="5" borderId="1" xfId="1" applyNumberFormat="1" applyFont="1" applyFill="1" applyBorder="1"/>
    <xf numFmtId="0" fontId="16" fillId="0" borderId="1" xfId="0" applyFont="1" applyBorder="1" applyAlignment="1">
      <alignment wrapText="1"/>
    </xf>
    <xf numFmtId="0" fontId="16" fillId="2" borderId="1" xfId="0" applyFont="1" applyFill="1" applyBorder="1"/>
    <xf numFmtId="0" fontId="17" fillId="2" borderId="1" xfId="0" applyFont="1" applyFill="1" applyBorder="1"/>
    <xf numFmtId="0" fontId="6" fillId="23" borderId="1" xfId="0" applyFont="1" applyFill="1" applyBorder="1"/>
    <xf numFmtId="165" fontId="6" fillId="23" borderId="1" xfId="1" applyNumberFormat="1" applyFont="1" applyFill="1" applyBorder="1"/>
    <xf numFmtId="0" fontId="17" fillId="0" borderId="1" xfId="0" applyFont="1" applyBorder="1" applyAlignment="1">
      <alignment wrapText="1"/>
    </xf>
    <xf numFmtId="165" fontId="16" fillId="2" borderId="1" xfId="1" applyNumberFormat="1" applyFont="1" applyFill="1" applyBorder="1"/>
    <xf numFmtId="0" fontId="16" fillId="24" borderId="1" xfId="0" applyFont="1" applyFill="1" applyBorder="1"/>
    <xf numFmtId="165" fontId="16" fillId="24" borderId="1" xfId="1" applyNumberFormat="1" applyFont="1" applyFill="1" applyBorder="1"/>
    <xf numFmtId="0" fontId="16" fillId="25" borderId="1" xfId="0" applyFont="1" applyFill="1" applyBorder="1"/>
    <xf numFmtId="165" fontId="16" fillId="25" borderId="1" xfId="1" applyNumberFormat="1" applyFont="1" applyFill="1" applyBorder="1"/>
    <xf numFmtId="0" fontId="16" fillId="25" borderId="1" xfId="0" applyFont="1" applyFill="1" applyBorder="1" applyAlignment="1">
      <alignment wrapText="1"/>
    </xf>
    <xf numFmtId="0" fontId="17" fillId="24" borderId="1" xfId="0" applyFont="1" applyFill="1" applyBorder="1"/>
    <xf numFmtId="165" fontId="17" fillId="0" borderId="0" xfId="1" applyNumberFormat="1" applyFont="1"/>
    <xf numFmtId="0" fontId="6" fillId="0" borderId="5" xfId="0" applyFont="1" applyBorder="1" applyAlignment="1">
      <alignment wrapText="1"/>
    </xf>
    <xf numFmtId="0" fontId="18" fillId="24" borderId="1" xfId="0" applyFont="1" applyFill="1" applyBorder="1"/>
    <xf numFmtId="165" fontId="18" fillId="24" borderId="1" xfId="1" applyNumberFormat="1" applyFont="1" applyFill="1" applyBorder="1"/>
    <xf numFmtId="0" fontId="18" fillId="0" borderId="1" xfId="0" applyFont="1" applyBorder="1" applyAlignment="1">
      <alignment horizontal="left" vertical="center"/>
    </xf>
    <xf numFmtId="0" fontId="6" fillId="26" borderId="1" xfId="0" applyFont="1" applyFill="1" applyBorder="1"/>
    <xf numFmtId="0" fontId="6" fillId="26" borderId="1" xfId="0" applyFont="1" applyFill="1" applyBorder="1" applyAlignment="1">
      <alignment wrapText="1"/>
    </xf>
    <xf numFmtId="0" fontId="6" fillId="27" borderId="1" xfId="0" applyFont="1" applyFill="1" applyBorder="1"/>
    <xf numFmtId="165" fontId="6" fillId="27" borderId="1" xfId="1" applyNumberFormat="1" applyFont="1" applyFill="1" applyBorder="1"/>
    <xf numFmtId="164" fontId="6" fillId="0" borderId="0" xfId="1" applyFont="1"/>
    <xf numFmtId="0" fontId="6" fillId="2" borderId="1" xfId="0" applyFont="1" applyFill="1" applyBorder="1" applyAlignment="1">
      <alignment vertical="center"/>
    </xf>
    <xf numFmtId="0" fontId="6" fillId="2" borderId="1" xfId="0" applyFont="1" applyFill="1" applyBorder="1" applyAlignment="1">
      <alignment vertical="center" wrapText="1"/>
    </xf>
    <xf numFmtId="165" fontId="6" fillId="0" borderId="2" xfId="1" applyNumberFormat="1" applyFont="1" applyFill="1" applyBorder="1" applyAlignment="1">
      <alignment vertical="center"/>
    </xf>
    <xf numFmtId="0" fontId="16" fillId="0" borderId="2" xfId="0" applyFont="1" applyBorder="1"/>
    <xf numFmtId="165" fontId="6" fillId="0" borderId="1" xfId="1" applyNumberFormat="1" applyFont="1" applyBorder="1" applyAlignment="1">
      <alignment vertical="center" wrapText="1"/>
    </xf>
    <xf numFmtId="165" fontId="6" fillId="0" borderId="1" xfId="1" applyNumberFormat="1" applyFont="1" applyFill="1" applyBorder="1" applyAlignment="1">
      <alignment horizontal="center" vertical="center" wrapText="1"/>
    </xf>
    <xf numFmtId="165" fontId="6" fillId="26" borderId="1" xfId="1" applyNumberFormat="1" applyFont="1" applyFill="1" applyBorder="1"/>
    <xf numFmtId="0" fontId="6" fillId="29" borderId="1" xfId="0" applyFont="1" applyFill="1" applyBorder="1"/>
    <xf numFmtId="165" fontId="6" fillId="29" borderId="1" xfId="1" applyNumberFormat="1" applyFont="1" applyFill="1" applyBorder="1"/>
    <xf numFmtId="164" fontId="6" fillId="0" borderId="0" xfId="0" applyNumberFormat="1" applyFont="1"/>
    <xf numFmtId="165" fontId="6" fillId="0" borderId="6" xfId="1" applyNumberFormat="1" applyFont="1" applyBorder="1"/>
    <xf numFmtId="0" fontId="16" fillId="0" borderId="1" xfId="0" applyFont="1" applyBorder="1" applyAlignment="1">
      <alignment vertical="center"/>
    </xf>
    <xf numFmtId="0" fontId="16" fillId="0" borderId="1" xfId="0" applyFont="1" applyBorder="1" applyAlignment="1">
      <alignment vertical="center" wrapText="1"/>
    </xf>
    <xf numFmtId="165" fontId="6" fillId="0" borderId="5" xfId="1" applyNumberFormat="1" applyFont="1" applyFill="1" applyBorder="1" applyAlignment="1">
      <alignment vertical="center"/>
    </xf>
    <xf numFmtId="10" fontId="6" fillId="0" borderId="0" xfId="2" applyNumberFormat="1" applyFont="1"/>
    <xf numFmtId="165" fontId="6" fillId="0" borderId="0" xfId="1" applyNumberFormat="1" applyFont="1" applyProtection="1">
      <protection locked="0"/>
    </xf>
    <xf numFmtId="165" fontId="26" fillId="0" borderId="0" xfId="1" applyNumberFormat="1" applyFont="1"/>
    <xf numFmtId="165" fontId="16" fillId="0" borderId="1" xfId="1" applyNumberFormat="1" applyFont="1" applyBorder="1" applyAlignment="1">
      <alignment vertical="center"/>
    </xf>
    <xf numFmtId="165" fontId="6" fillId="0" borderId="0" xfId="1" quotePrefix="1" applyNumberFormat="1" applyFont="1"/>
    <xf numFmtId="165" fontId="3" fillId="0" borderId="0" xfId="1" applyNumberFormat="1" applyFont="1"/>
    <xf numFmtId="0" fontId="3" fillId="0" borderId="3" xfId="0" applyFont="1" applyBorder="1"/>
    <xf numFmtId="165" fontId="3" fillId="0" borderId="4" xfId="1" applyNumberFormat="1" applyFont="1" applyBorder="1"/>
    <xf numFmtId="165" fontId="3" fillId="0" borderId="6" xfId="1" applyNumberFormat="1" applyFont="1" applyBorder="1"/>
    <xf numFmtId="15" fontId="11" fillId="0" borderId="3" xfId="0" applyNumberFormat="1" applyFont="1" applyBorder="1" applyAlignment="1">
      <alignment vertical="center"/>
    </xf>
    <xf numFmtId="165" fontId="3" fillId="0" borderId="2" xfId="1" applyNumberFormat="1" applyFont="1" applyFill="1" applyBorder="1" applyAlignment="1">
      <alignment vertical="center"/>
    </xf>
    <xf numFmtId="165" fontId="3" fillId="0" borderId="1" xfId="1" applyNumberFormat="1" applyFont="1" applyFill="1" applyBorder="1" applyAlignment="1">
      <alignment vertical="center"/>
    </xf>
    <xf numFmtId="165" fontId="3" fillId="0" borderId="1" xfId="1" applyNumberFormat="1" applyFont="1" applyFill="1" applyBorder="1" applyAlignment="1">
      <alignment vertical="center" wrapText="1"/>
    </xf>
    <xf numFmtId="165" fontId="3" fillId="0" borderId="1" xfId="1" applyNumberFormat="1" applyFont="1" applyFill="1" applyBorder="1" applyAlignment="1">
      <alignment wrapText="1"/>
    </xf>
    <xf numFmtId="0" fontId="11" fillId="0" borderId="1" xfId="0" applyFont="1" applyBorder="1"/>
    <xf numFmtId="165" fontId="3" fillId="0" borderId="1" xfId="1" applyNumberFormat="1" applyFont="1" applyFill="1" applyBorder="1"/>
    <xf numFmtId="165" fontId="3" fillId="0" borderId="2" xfId="1" applyNumberFormat="1" applyFont="1" applyFill="1" applyBorder="1" applyAlignment="1">
      <alignment wrapText="1"/>
    </xf>
    <xf numFmtId="0" fontId="3" fillId="0" borderId="1" xfId="0" quotePrefix="1" applyFont="1" applyBorder="1"/>
    <xf numFmtId="165" fontId="15" fillId="0" borderId="2" xfId="1" applyNumberFormat="1" applyFont="1" applyFill="1" applyBorder="1" applyAlignment="1">
      <alignment wrapText="1"/>
    </xf>
    <xf numFmtId="165" fontId="17" fillId="0" borderId="2" xfId="1" applyNumberFormat="1" applyFont="1" applyFill="1" applyBorder="1" applyAlignment="1">
      <alignment wrapText="1"/>
    </xf>
    <xf numFmtId="0" fontId="18" fillId="20" borderId="1" xfId="0" applyFont="1" applyFill="1" applyBorder="1"/>
    <xf numFmtId="165" fontId="18" fillId="20" borderId="1" xfId="1" applyNumberFormat="1" applyFont="1" applyFill="1" applyBorder="1"/>
    <xf numFmtId="0" fontId="3" fillId="0" borderId="1" xfId="0" applyFont="1" applyBorder="1" applyAlignment="1">
      <alignment vertical="center"/>
    </xf>
    <xf numFmtId="0" fontId="11" fillId="0" borderId="1" xfId="0" applyFont="1" applyBorder="1" applyAlignment="1">
      <alignment vertical="center"/>
    </xf>
    <xf numFmtId="165" fontId="0" fillId="0" borderId="0" xfId="0" applyNumberFormat="1"/>
    <xf numFmtId="165" fontId="6" fillId="0" borderId="1" xfId="1" applyNumberFormat="1" applyFont="1" applyBorder="1" applyAlignment="1">
      <alignment horizontal="right"/>
    </xf>
    <xf numFmtId="0" fontId="2" fillId="0" borderId="1" xfId="0" applyFont="1" applyBorder="1" applyAlignment="1">
      <alignment horizontal="right" vertical="center" wrapText="1"/>
    </xf>
    <xf numFmtId="0" fontId="4" fillId="0" borderId="3" xfId="0" applyFont="1" applyBorder="1" applyAlignment="1">
      <alignment horizontal="center"/>
    </xf>
    <xf numFmtId="0" fontId="4" fillId="0" borderId="4" xfId="0" applyFont="1" applyBorder="1" applyAlignment="1">
      <alignment horizontal="center"/>
    </xf>
    <xf numFmtId="0" fontId="7" fillId="0" borderId="20" xfId="0" applyFont="1" applyBorder="1"/>
    <xf numFmtId="0" fontId="7" fillId="0" borderId="21" xfId="0" applyFont="1" applyBorder="1"/>
    <xf numFmtId="165" fontId="3" fillId="0" borderId="4" xfId="1" applyNumberFormat="1" applyFont="1" applyBorder="1" applyAlignment="1"/>
    <xf numFmtId="0" fontId="3" fillId="0" borderId="1" xfId="0" applyFont="1" applyBorder="1" applyAlignment="1">
      <alignment vertical="center" wrapText="1"/>
    </xf>
    <xf numFmtId="15" fontId="11" fillId="0" borderId="2" xfId="0" quotePrefix="1" applyNumberFormat="1" applyFont="1" applyBorder="1" applyAlignment="1">
      <alignment horizontal="right" vertical="center"/>
    </xf>
    <xf numFmtId="0" fontId="3" fillId="0" borderId="1" xfId="0" applyFont="1" applyBorder="1" applyAlignment="1">
      <alignment horizontal="right"/>
    </xf>
    <xf numFmtId="165" fontId="4" fillId="0" borderId="1" xfId="1" applyNumberFormat="1" applyFont="1" applyBorder="1" applyAlignment="1">
      <alignment horizontal="right" vertical="center"/>
    </xf>
    <xf numFmtId="0" fontId="13" fillId="5" borderId="0" xfId="0" applyFont="1" applyFill="1" applyAlignment="1">
      <alignment horizontal="center"/>
    </xf>
    <xf numFmtId="165" fontId="15" fillId="0" borderId="6" xfId="1" applyNumberFormat="1" applyFont="1" applyBorder="1"/>
    <xf numFmtId="0" fontId="29" fillId="0" borderId="0" xfId="0" applyFont="1"/>
    <xf numFmtId="0" fontId="0" fillId="0" borderId="0" xfId="0" applyAlignment="1">
      <alignment horizontal="center"/>
    </xf>
    <xf numFmtId="0" fontId="0" fillId="2" borderId="5" xfId="0" applyFill="1" applyBorder="1" applyAlignment="1">
      <alignment horizontal="center" vertical="center"/>
    </xf>
    <xf numFmtId="0" fontId="0" fillId="0" borderId="1" xfId="0" applyBorder="1"/>
    <xf numFmtId="165" fontId="5" fillId="13" borderId="1" xfId="1" applyNumberFormat="1" applyFont="1" applyFill="1" applyBorder="1" applyAlignment="1">
      <alignment horizontal="center" vertical="center"/>
    </xf>
    <xf numFmtId="165" fontId="20" fillId="0" borderId="1" xfId="1" applyNumberFormat="1" applyFont="1" applyFill="1" applyBorder="1"/>
    <xf numFmtId="165" fontId="6" fillId="6" borderId="1" xfId="1" applyNumberFormat="1" applyFont="1" applyFill="1" applyBorder="1"/>
    <xf numFmtId="165" fontId="6" fillId="0" borderId="3" xfId="1" applyNumberFormat="1" applyFont="1" applyBorder="1"/>
    <xf numFmtId="165" fontId="6" fillId="0" borderId="10" xfId="1" applyNumberFormat="1" applyFont="1" applyFill="1" applyBorder="1"/>
    <xf numFmtId="165" fontId="6" fillId="0" borderId="2" xfId="1" applyNumberFormat="1" applyFont="1" applyFill="1" applyBorder="1"/>
    <xf numFmtId="165" fontId="6" fillId="0" borderId="9" xfId="1" applyNumberFormat="1" applyFont="1" applyFill="1" applyBorder="1"/>
    <xf numFmtId="165" fontId="18" fillId="0" borderId="1" xfId="1" applyNumberFormat="1" applyFont="1" applyFill="1" applyBorder="1" applyAlignment="1">
      <alignment vertical="center"/>
    </xf>
    <xf numFmtId="1" fontId="11" fillId="0" borderId="2" xfId="0" quotePrefix="1" applyNumberFormat="1" applyFont="1" applyBorder="1" applyAlignment="1">
      <alignment vertical="center"/>
    </xf>
    <xf numFmtId="165" fontId="0" fillId="0" borderId="1" xfId="1" applyNumberFormat="1" applyFont="1" applyBorder="1"/>
    <xf numFmtId="0" fontId="0" fillId="0" borderId="1" xfId="0" applyBorder="1" applyAlignment="1">
      <alignment wrapText="1"/>
    </xf>
    <xf numFmtId="165" fontId="0" fillId="0" borderId="1" xfId="1" applyNumberFormat="1" applyFont="1" applyBorder="1" applyAlignment="1">
      <alignment vertical="center"/>
    </xf>
    <xf numFmtId="165" fontId="0" fillId="0" borderId="1" xfId="1" applyNumberFormat="1" applyFont="1" applyFill="1" applyBorder="1"/>
    <xf numFmtId="0" fontId="0" fillId="0" borderId="1" xfId="0" applyBorder="1" applyAlignment="1">
      <alignment vertical="center"/>
    </xf>
    <xf numFmtId="0" fontId="0" fillId="0" borderId="1" xfId="0" applyBorder="1" applyAlignment="1">
      <alignment vertical="center" wrapText="1"/>
    </xf>
    <xf numFmtId="165" fontId="0" fillId="0" borderId="1" xfId="1" applyNumberFormat="1" applyFont="1" applyFill="1" applyBorder="1" applyAlignment="1">
      <alignment vertical="center"/>
    </xf>
    <xf numFmtId="0" fontId="0" fillId="2" borderId="1" xfId="0" applyFill="1" applyBorder="1" applyAlignment="1">
      <alignment vertical="center"/>
    </xf>
    <xf numFmtId="165" fontId="0" fillId="2" borderId="1" xfId="1" applyNumberFormat="1" applyFont="1" applyFill="1" applyBorder="1"/>
    <xf numFmtId="0" fontId="30" fillId="0" borderId="1" xfId="0" applyFont="1" applyBorder="1" applyAlignment="1">
      <alignment vertical="center"/>
    </xf>
    <xf numFmtId="165" fontId="30" fillId="0" borderId="1" xfId="1" applyNumberFormat="1" applyFont="1" applyBorder="1"/>
    <xf numFmtId="0" fontId="0" fillId="2" borderId="1" xfId="0" applyFill="1" applyBorder="1"/>
    <xf numFmtId="0" fontId="30" fillId="2" borderId="1" xfId="0" applyFont="1" applyFill="1" applyBorder="1"/>
    <xf numFmtId="165" fontId="30" fillId="2" borderId="1" xfId="1" applyNumberFormat="1" applyFont="1" applyFill="1" applyBorder="1"/>
    <xf numFmtId="0" fontId="0" fillId="2" borderId="1" xfId="0" applyFill="1" applyBorder="1" applyAlignment="1">
      <alignment wrapText="1"/>
    </xf>
    <xf numFmtId="0" fontId="0" fillId="24" borderId="1" xfId="0" applyFill="1" applyBorder="1" applyAlignment="1">
      <alignment wrapText="1"/>
    </xf>
    <xf numFmtId="0" fontId="2" fillId="0" borderId="1" xfId="0" applyFont="1" applyBorder="1" applyAlignment="1">
      <alignment horizontal="center" vertical="center" wrapText="1"/>
    </xf>
    <xf numFmtId="0" fontId="14" fillId="0" borderId="1" xfId="0" applyFont="1" applyBorder="1" applyAlignment="1">
      <alignment horizontal="center" vertical="center"/>
    </xf>
    <xf numFmtId="0" fontId="6" fillId="0" borderId="1" xfId="0" applyFont="1" applyBorder="1" applyAlignment="1">
      <alignment horizontal="center" vertical="center"/>
    </xf>
    <xf numFmtId="165" fontId="18" fillId="0" borderId="1" xfId="1" applyNumberFormat="1" applyFont="1" applyFill="1" applyBorder="1" applyAlignment="1">
      <alignment horizontal="right" vertical="center"/>
    </xf>
    <xf numFmtId="165" fontId="3" fillId="0" borderId="0" xfId="0" applyNumberFormat="1" applyFont="1"/>
    <xf numFmtId="0" fontId="0" fillId="30" borderId="1" xfId="0" applyFill="1" applyBorder="1" applyAlignment="1">
      <alignment wrapText="1"/>
    </xf>
    <xf numFmtId="165" fontId="0" fillId="30" borderId="1" xfId="1" applyNumberFormat="1" applyFont="1" applyFill="1" applyBorder="1"/>
    <xf numFmtId="165" fontId="0" fillId="30" borderId="1" xfId="1" applyNumberFormat="1" applyFont="1" applyFill="1" applyBorder="1" applyAlignment="1">
      <alignment vertical="center"/>
    </xf>
    <xf numFmtId="0" fontId="18" fillId="2" borderId="1" xfId="0" applyFont="1" applyFill="1" applyBorder="1"/>
    <xf numFmtId="165" fontId="18" fillId="2" borderId="1" xfId="1" applyNumberFormat="1" applyFont="1" applyFill="1" applyBorder="1"/>
    <xf numFmtId="165" fontId="5" fillId="0" borderId="1" xfId="1" applyNumberFormat="1" applyFont="1" applyBorder="1" applyAlignment="1">
      <alignment horizontal="center" vertical="center"/>
    </xf>
    <xf numFmtId="165" fontId="6" fillId="0" borderId="1" xfId="1" applyNumberFormat="1" applyFont="1" applyBorder="1" applyAlignment="1">
      <alignment horizontal="center" vertical="center"/>
    </xf>
    <xf numFmtId="0" fontId="17" fillId="2" borderId="12" xfId="0" applyFont="1" applyFill="1" applyBorder="1"/>
    <xf numFmtId="15" fontId="18" fillId="0" borderId="3" xfId="0" applyNumberFormat="1" applyFont="1" applyBorder="1" applyAlignment="1">
      <alignment vertical="center"/>
    </xf>
    <xf numFmtId="165" fontId="6" fillId="25" borderId="1" xfId="1" applyNumberFormat="1" applyFont="1" applyFill="1" applyBorder="1"/>
    <xf numFmtId="165" fontId="6" fillId="31" borderId="1" xfId="1" applyNumberFormat="1" applyFont="1" applyFill="1" applyBorder="1"/>
    <xf numFmtId="0" fontId="6" fillId="32" borderId="1" xfId="0" applyFont="1" applyFill="1" applyBorder="1"/>
    <xf numFmtId="165" fontId="6" fillId="32" borderId="1" xfId="1" applyNumberFormat="1" applyFont="1" applyFill="1" applyBorder="1"/>
    <xf numFmtId="165" fontId="6" fillId="0" borderId="30" xfId="1" applyNumberFormat="1" applyFont="1" applyBorder="1"/>
    <xf numFmtId="165" fontId="3" fillId="20" borderId="6" xfId="1" applyNumberFormat="1" applyFont="1" applyFill="1" applyBorder="1"/>
    <xf numFmtId="0" fontId="5" fillId="0" borderId="0" xfId="0" applyFont="1"/>
    <xf numFmtId="165" fontId="3" fillId="33" borderId="6" xfId="1" applyNumberFormat="1" applyFont="1" applyFill="1" applyBorder="1"/>
    <xf numFmtId="165" fontId="3" fillId="0" borderId="6" xfId="1" applyNumberFormat="1" applyFont="1" applyBorder="1" applyAlignment="1">
      <alignment wrapText="1"/>
    </xf>
    <xf numFmtId="0" fontId="31" fillId="0" borderId="0" xfId="3"/>
    <xf numFmtId="0" fontId="6" fillId="0" borderId="0" xfId="0" applyFont="1" applyAlignment="1">
      <alignment horizontal="center"/>
    </xf>
    <xf numFmtId="165" fontId="6" fillId="0" borderId="0" xfId="1" applyNumberFormat="1" applyFont="1" applyAlignment="1">
      <alignment horizontal="center"/>
    </xf>
    <xf numFmtId="0" fontId="6" fillId="0" borderId="7" xfId="0" applyFont="1" applyBorder="1" applyAlignment="1">
      <alignment horizontal="center"/>
    </xf>
    <xf numFmtId="0" fontId="0" fillId="20" borderId="1" xfId="0" applyFill="1" applyBorder="1"/>
    <xf numFmtId="165" fontId="0" fillId="20" borderId="1" xfId="1" applyNumberFormat="1" applyFont="1" applyFill="1" applyBorder="1"/>
    <xf numFmtId="0" fontId="17" fillId="2" borderId="5" xfId="0" applyFont="1" applyFill="1" applyBorder="1"/>
    <xf numFmtId="165" fontId="18" fillId="2" borderId="5" xfId="1" applyNumberFormat="1" applyFont="1" applyFill="1" applyBorder="1"/>
    <xf numFmtId="165" fontId="6" fillId="0" borderId="8" xfId="1" applyNumberFormat="1" applyFont="1" applyFill="1" applyBorder="1" applyAlignment="1">
      <alignment vertical="center"/>
    </xf>
    <xf numFmtId="165" fontId="6" fillId="2" borderId="0" xfId="1" applyNumberFormat="1" applyFont="1" applyFill="1" applyBorder="1"/>
    <xf numFmtId="165" fontId="6" fillId="31" borderId="0" xfId="1" applyNumberFormat="1" applyFont="1" applyFill="1" applyBorder="1"/>
    <xf numFmtId="3" fontId="6" fillId="0" borderId="0" xfId="0" applyNumberFormat="1" applyFont="1"/>
    <xf numFmtId="0" fontId="3" fillId="0" borderId="4" xfId="0" applyFont="1" applyBorder="1" applyAlignment="1">
      <alignment horizontal="right"/>
    </xf>
    <xf numFmtId="167" fontId="6" fillId="0" borderId="0" xfId="1" applyNumberFormat="1" applyFont="1"/>
    <xf numFmtId="0" fontId="0" fillId="0" borderId="0" xfId="0" applyAlignment="1">
      <alignment vertical="center"/>
    </xf>
    <xf numFmtId="0" fontId="21" fillId="5" borderId="1" xfId="0" applyFont="1" applyFill="1" applyBorder="1" applyAlignment="1">
      <alignment horizontal="left"/>
    </xf>
    <xf numFmtId="0" fontId="21" fillId="5" borderId="3" xfId="0" applyFont="1" applyFill="1" applyBorder="1" applyAlignment="1">
      <alignment horizontal="left"/>
    </xf>
    <xf numFmtId="0" fontId="21" fillId="5" borderId="6" xfId="0" applyFont="1" applyFill="1" applyBorder="1" applyAlignment="1">
      <alignment horizontal="left"/>
    </xf>
    <xf numFmtId="165" fontId="6" fillId="0" borderId="0" xfId="1" applyNumberFormat="1" applyFont="1" applyAlignment="1">
      <alignment horizontal="left"/>
    </xf>
    <xf numFmtId="165" fontId="5" fillId="0" borderId="0" xfId="1" applyNumberFormat="1" applyFont="1"/>
    <xf numFmtId="9" fontId="6" fillId="25" borderId="1" xfId="2" applyFont="1" applyFill="1" applyBorder="1"/>
    <xf numFmtId="165" fontId="6" fillId="0" borderId="3" xfId="1" applyNumberFormat="1" applyFont="1" applyFill="1" applyBorder="1" applyAlignment="1">
      <alignment vertical="center"/>
    </xf>
    <xf numFmtId="165" fontId="6" fillId="0" borderId="35" xfId="1" applyNumberFormat="1" applyFont="1" applyFill="1" applyBorder="1" applyAlignment="1">
      <alignment vertical="center"/>
    </xf>
    <xf numFmtId="165" fontId="6" fillId="0" borderId="29" xfId="1" applyNumberFormat="1" applyFont="1" applyFill="1" applyBorder="1" applyAlignment="1">
      <alignment vertical="center"/>
    </xf>
    <xf numFmtId="165" fontId="6" fillId="0" borderId="7" xfId="1" applyNumberFormat="1" applyFont="1" applyFill="1" applyBorder="1" applyAlignment="1">
      <alignment vertical="center"/>
    </xf>
    <xf numFmtId="165" fontId="18" fillId="0" borderId="6" xfId="1" applyNumberFormat="1" applyFont="1" applyFill="1" applyBorder="1" applyAlignment="1">
      <alignment vertical="center"/>
    </xf>
    <xf numFmtId="165" fontId="6" fillId="2" borderId="6" xfId="1" applyNumberFormat="1" applyFont="1" applyFill="1" applyBorder="1"/>
    <xf numFmtId="9" fontId="6" fillId="0" borderId="0" xfId="2" applyFont="1"/>
    <xf numFmtId="0" fontId="6" fillId="24" borderId="1" xfId="0" applyFont="1" applyFill="1" applyBorder="1"/>
    <xf numFmtId="165" fontId="6" fillId="24" borderId="1" xfId="1" applyNumberFormat="1" applyFont="1" applyFill="1" applyBorder="1"/>
    <xf numFmtId="0" fontId="13" fillId="5" borderId="28" xfId="0" applyFont="1" applyFill="1" applyBorder="1" applyAlignment="1">
      <alignment horizontal="center"/>
    </xf>
    <xf numFmtId="0" fontId="13" fillId="5" borderId="39" xfId="0" applyFont="1" applyFill="1" applyBorder="1" applyAlignment="1">
      <alignment horizontal="center"/>
    </xf>
    <xf numFmtId="166" fontId="6" fillId="0" borderId="0" xfId="1" applyNumberFormat="1" applyFont="1"/>
    <xf numFmtId="166" fontId="0" fillId="0" borderId="0" xfId="0" applyNumberFormat="1"/>
    <xf numFmtId="15" fontId="11" fillId="2" borderId="1" xfId="0" applyNumberFormat="1" applyFont="1" applyFill="1" applyBorder="1" applyAlignment="1">
      <alignment vertical="center"/>
    </xf>
    <xf numFmtId="0" fontId="0" fillId="0" borderId="0" xfId="0" applyAlignment="1">
      <alignment horizontal="center" vertical="center"/>
    </xf>
    <xf numFmtId="165" fontId="0" fillId="0" borderId="0" xfId="1" applyNumberFormat="1" applyFont="1" applyAlignment="1">
      <alignment vertical="center"/>
    </xf>
    <xf numFmtId="165" fontId="16" fillId="0" borderId="1" xfId="1" applyNumberFormat="1" applyFont="1" applyFill="1" applyBorder="1"/>
    <xf numFmtId="0" fontId="0" fillId="0" borderId="1" xfId="0" applyBorder="1" applyAlignment="1">
      <alignment horizontal="left" wrapText="1"/>
    </xf>
    <xf numFmtId="165" fontId="33" fillId="0" borderId="6" xfId="1" applyNumberFormat="1" applyFont="1" applyBorder="1"/>
    <xf numFmtId="165" fontId="33" fillId="0" borderId="1" xfId="1" applyNumberFormat="1" applyFont="1" applyBorder="1" applyAlignment="1">
      <alignment vertical="center"/>
    </xf>
    <xf numFmtId="0" fontId="4" fillId="0" borderId="0" xfId="0" applyFont="1"/>
    <xf numFmtId="165" fontId="28" fillId="0" borderId="1" xfId="1" applyNumberFormat="1" applyFont="1" applyBorder="1"/>
    <xf numFmtId="0" fontId="30" fillId="0" borderId="1" xfId="0" applyFont="1" applyBorder="1"/>
    <xf numFmtId="165" fontId="30" fillId="0" borderId="1" xfId="1" applyNumberFormat="1" applyFont="1" applyFill="1" applyBorder="1"/>
    <xf numFmtId="0" fontId="22" fillId="2" borderId="1" xfId="0" applyFont="1" applyFill="1" applyBorder="1"/>
    <xf numFmtId="165" fontId="22" fillId="2" borderId="1" xfId="1" applyNumberFormat="1" applyFont="1" applyFill="1" applyBorder="1"/>
    <xf numFmtId="0" fontId="6" fillId="0" borderId="0" xfId="0" applyFont="1" applyAlignment="1">
      <alignment vertical="center"/>
    </xf>
    <xf numFmtId="0" fontId="6" fillId="33" borderId="1" xfId="0" applyFont="1" applyFill="1" applyBorder="1" applyAlignment="1">
      <alignment horizontal="center"/>
    </xf>
    <xf numFmtId="165" fontId="6" fillId="33" borderId="1" xfId="1" applyNumberFormat="1" applyFont="1" applyFill="1" applyBorder="1" applyAlignment="1">
      <alignment horizontal="center"/>
    </xf>
    <xf numFmtId="165" fontId="5" fillId="18" borderId="1" xfId="1" applyNumberFormat="1" applyFont="1" applyFill="1" applyBorder="1" applyAlignment="1">
      <alignment horizontal="center" vertical="center"/>
    </xf>
    <xf numFmtId="0" fontId="0" fillId="0" borderId="1" xfId="0" applyBorder="1" applyAlignment="1">
      <alignment horizontal="center"/>
    </xf>
    <xf numFmtId="165" fontId="3" fillId="2" borderId="1" xfId="1" applyNumberFormat="1" applyFont="1" applyFill="1" applyBorder="1" applyAlignment="1">
      <alignment vertical="center"/>
    </xf>
    <xf numFmtId="0" fontId="6" fillId="33" borderId="3" xfId="0" applyFont="1" applyFill="1" applyBorder="1" applyAlignment="1">
      <alignment horizontal="center"/>
    </xf>
    <xf numFmtId="0" fontId="5" fillId="0" borderId="1" xfId="0"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33" borderId="1" xfId="0" applyFont="1" applyFill="1" applyBorder="1" applyAlignment="1">
      <alignment horizontal="center" vertical="center"/>
    </xf>
    <xf numFmtId="0" fontId="18" fillId="0" borderId="1" xfId="0" applyFont="1" applyBorder="1" applyAlignment="1">
      <alignment horizontal="center"/>
    </xf>
    <xf numFmtId="0" fontId="16" fillId="0" borderId="1" xfId="0" applyFont="1" applyBorder="1" applyAlignment="1">
      <alignment horizontal="center"/>
    </xf>
    <xf numFmtId="0" fontId="22" fillId="0" borderId="1" xfId="0" applyFont="1" applyBorder="1" applyAlignment="1">
      <alignment horizontal="center"/>
    </xf>
    <xf numFmtId="0" fontId="17" fillId="0" borderId="1" xfId="0" applyFont="1" applyBorder="1" applyAlignment="1">
      <alignment horizontal="center"/>
    </xf>
    <xf numFmtId="0" fontId="24" fillId="0" borderId="1" xfId="0" applyFont="1" applyBorder="1" applyAlignment="1">
      <alignment horizontal="center"/>
    </xf>
    <xf numFmtId="0" fontId="18" fillId="5" borderId="1" xfId="0" applyFont="1" applyFill="1" applyBorder="1" applyAlignment="1">
      <alignment horizontal="center"/>
    </xf>
    <xf numFmtId="0" fontId="6" fillId="0" borderId="5" xfId="0" applyFont="1" applyBorder="1" applyAlignment="1">
      <alignment horizontal="center"/>
    </xf>
    <xf numFmtId="0" fontId="17" fillId="2" borderId="1" xfId="0" applyFont="1" applyFill="1" applyBorder="1" applyAlignment="1">
      <alignment horizontal="center"/>
    </xf>
    <xf numFmtId="0" fontId="6" fillId="2" borderId="1" xfId="0" applyFont="1" applyFill="1" applyBorder="1" applyAlignment="1">
      <alignment horizontal="center"/>
    </xf>
    <xf numFmtId="0" fontId="16" fillId="24" borderId="1" xfId="0" applyFont="1" applyFill="1" applyBorder="1" applyAlignment="1">
      <alignment horizontal="center"/>
    </xf>
    <xf numFmtId="0" fontId="16" fillId="25" borderId="1" xfId="0" applyFont="1" applyFill="1" applyBorder="1" applyAlignment="1">
      <alignment horizontal="center"/>
    </xf>
    <xf numFmtId="0" fontId="17" fillId="24" borderId="1" xfId="0" applyFont="1" applyFill="1" applyBorder="1" applyAlignment="1">
      <alignment horizontal="center"/>
    </xf>
    <xf numFmtId="0" fontId="18" fillId="24" borderId="1" xfId="0" applyFont="1" applyFill="1" applyBorder="1" applyAlignment="1">
      <alignment horizontal="center"/>
    </xf>
    <xf numFmtId="0" fontId="18" fillId="0" borderId="1" xfId="0" applyFont="1" applyBorder="1" applyAlignment="1">
      <alignment horizontal="center" vertical="center"/>
    </xf>
    <xf numFmtId="0" fontId="18" fillId="0" borderId="1" xfId="0" applyFont="1" applyBorder="1" applyAlignment="1">
      <alignment horizontal="center" wrapText="1"/>
    </xf>
    <xf numFmtId="0" fontId="6" fillId="26" borderId="1" xfId="0" applyFont="1" applyFill="1" applyBorder="1" applyAlignment="1">
      <alignment horizontal="center"/>
    </xf>
    <xf numFmtId="0" fontId="6" fillId="27" borderId="1" xfId="0" applyFont="1" applyFill="1" applyBorder="1" applyAlignment="1">
      <alignment horizontal="center"/>
    </xf>
    <xf numFmtId="0" fontId="6" fillId="0" borderId="8" xfId="0" applyFont="1" applyBorder="1" applyAlignment="1">
      <alignment horizontal="center"/>
    </xf>
    <xf numFmtId="0" fontId="6" fillId="2" borderId="5" xfId="0" applyFont="1" applyFill="1" applyBorder="1" applyAlignment="1">
      <alignment horizontal="center"/>
    </xf>
    <xf numFmtId="0" fontId="6" fillId="2" borderId="1" xfId="0" applyFont="1" applyFill="1" applyBorder="1" applyAlignment="1">
      <alignment horizontal="center" vertical="center"/>
    </xf>
    <xf numFmtId="0" fontId="6" fillId="0" borderId="2" xfId="0" applyFont="1" applyBorder="1" applyAlignment="1">
      <alignment horizontal="center"/>
    </xf>
    <xf numFmtId="0" fontId="16" fillId="0" borderId="2" xfId="0" applyFont="1" applyBorder="1" applyAlignment="1">
      <alignment horizontal="center"/>
    </xf>
    <xf numFmtId="0" fontId="18" fillId="0" borderId="0" xfId="0" applyFont="1" applyAlignment="1">
      <alignment horizontal="center"/>
    </xf>
    <xf numFmtId="0" fontId="6" fillId="29" borderId="1" xfId="0" applyFont="1" applyFill="1" applyBorder="1" applyAlignment="1">
      <alignment horizontal="center"/>
    </xf>
    <xf numFmtId="0" fontId="6" fillId="0" borderId="4" xfId="0" applyFont="1" applyBorder="1" applyAlignment="1">
      <alignment horizontal="center"/>
    </xf>
    <xf numFmtId="0" fontId="16" fillId="0" borderId="1" xfId="0" applyFont="1" applyBorder="1" applyAlignment="1">
      <alignment horizontal="center" vertical="center"/>
    </xf>
    <xf numFmtId="0" fontId="6" fillId="0" borderId="1" xfId="0" applyFont="1" applyBorder="1" applyAlignment="1">
      <alignment horizontal="center" wrapText="1"/>
    </xf>
    <xf numFmtId="0" fontId="18" fillId="20" borderId="1" xfId="0" applyFont="1" applyFill="1" applyBorder="1" applyAlignment="1">
      <alignment horizontal="center"/>
    </xf>
    <xf numFmtId="0" fontId="6" fillId="18" borderId="1" xfId="0" applyFont="1" applyFill="1" applyBorder="1" applyAlignment="1">
      <alignment horizontal="center"/>
    </xf>
    <xf numFmtId="0" fontId="18" fillId="2" borderId="1" xfId="0" applyFont="1" applyFill="1" applyBorder="1" applyAlignment="1">
      <alignment horizontal="center"/>
    </xf>
    <xf numFmtId="0" fontId="6" fillId="32" borderId="1" xfId="0" applyFont="1" applyFill="1" applyBorder="1" applyAlignment="1">
      <alignment horizontal="center"/>
    </xf>
    <xf numFmtId="0" fontId="17" fillId="2" borderId="5" xfId="0" applyFont="1" applyFill="1" applyBorder="1" applyAlignment="1">
      <alignment horizontal="center"/>
    </xf>
    <xf numFmtId="0" fontId="6" fillId="24" borderId="1" xfId="0" applyFont="1" applyFill="1" applyBorder="1" applyAlignment="1">
      <alignment horizontal="center"/>
    </xf>
    <xf numFmtId="0" fontId="22" fillId="2" borderId="1" xfId="0" applyFont="1" applyFill="1" applyBorder="1" applyAlignment="1">
      <alignment horizontal="center"/>
    </xf>
    <xf numFmtId="0" fontId="16" fillId="2" borderId="1" xfId="0" applyFont="1" applyFill="1" applyBorder="1" applyAlignment="1">
      <alignment horizontal="center"/>
    </xf>
    <xf numFmtId="0" fontId="5" fillId="5" borderId="9" xfId="0" applyFont="1" applyFill="1" applyBorder="1" applyAlignment="1">
      <alignment horizontal="center"/>
    </xf>
    <xf numFmtId="0" fontId="0" fillId="5" borderId="9" xfId="0" applyFill="1" applyBorder="1" applyAlignment="1">
      <alignment horizontal="center" vertical="center"/>
    </xf>
    <xf numFmtId="0" fontId="0" fillId="5" borderId="0" xfId="0" applyFill="1" applyAlignment="1">
      <alignment horizontal="center"/>
    </xf>
    <xf numFmtId="0" fontId="0" fillId="5" borderId="0" xfId="0" applyFill="1"/>
    <xf numFmtId="165" fontId="35" fillId="0" borderId="0" xfId="1" applyNumberFormat="1" applyFont="1" applyAlignment="1">
      <alignment vertical="center"/>
    </xf>
    <xf numFmtId="165" fontId="1" fillId="0" borderId="0" xfId="1" applyNumberFormat="1" applyFont="1"/>
    <xf numFmtId="165" fontId="36" fillId="0" borderId="0" xfId="1" applyNumberFormat="1" applyFont="1"/>
    <xf numFmtId="165" fontId="30" fillId="0" borderId="1" xfId="1" applyNumberFormat="1" applyFont="1" applyBorder="1" applyAlignment="1">
      <alignment vertical="center"/>
    </xf>
    <xf numFmtId="165" fontId="4" fillId="0" borderId="1" xfId="1" applyNumberFormat="1" applyFont="1" applyBorder="1"/>
    <xf numFmtId="168" fontId="0" fillId="0" borderId="1" xfId="0" applyNumberFormat="1" applyBorder="1"/>
    <xf numFmtId="168" fontId="0" fillId="0" borderId="1" xfId="0" applyNumberFormat="1" applyBorder="1" applyAlignment="1">
      <alignment vertical="center"/>
    </xf>
    <xf numFmtId="165" fontId="39" fillId="0" borderId="0" xfId="1" applyNumberFormat="1" applyFont="1"/>
    <xf numFmtId="0" fontId="39" fillId="0" borderId="0" xfId="0" applyFont="1"/>
    <xf numFmtId="165" fontId="39" fillId="0" borderId="0" xfId="1" applyNumberFormat="1" applyFont="1" applyAlignment="1">
      <alignment vertical="center"/>
    </xf>
    <xf numFmtId="166" fontId="39" fillId="0" borderId="0" xfId="1" applyNumberFormat="1" applyFont="1" applyAlignment="1">
      <alignment vertical="center"/>
    </xf>
    <xf numFmtId="0" fontId="39" fillId="0" borderId="0" xfId="0" applyFont="1" applyAlignment="1">
      <alignment vertical="center"/>
    </xf>
    <xf numFmtId="165" fontId="40" fillId="0" borderId="0" xfId="0" applyNumberFormat="1" applyFont="1" applyAlignment="1">
      <alignment vertical="center"/>
    </xf>
    <xf numFmtId="0" fontId="40" fillId="0" borderId="1" xfId="0" applyFont="1" applyBorder="1" applyAlignment="1">
      <alignment horizontal="center" vertical="center"/>
    </xf>
    <xf numFmtId="165" fontId="40" fillId="0" borderId="1" xfId="1" applyNumberFormat="1" applyFont="1" applyBorder="1" applyAlignment="1">
      <alignment horizontal="center" vertical="center" wrapText="1"/>
    </xf>
    <xf numFmtId="165" fontId="39" fillId="0" borderId="1" xfId="1" applyNumberFormat="1" applyFont="1" applyBorder="1" applyAlignment="1">
      <alignment vertical="center"/>
    </xf>
    <xf numFmtId="0" fontId="39" fillId="5" borderId="0" xfId="0" applyFont="1" applyFill="1" applyAlignment="1">
      <alignment vertical="center"/>
    </xf>
    <xf numFmtId="165" fontId="39" fillId="5" borderId="0" xfId="0" applyNumberFormat="1" applyFont="1" applyFill="1" applyAlignment="1">
      <alignment vertical="center"/>
    </xf>
    <xf numFmtId="0" fontId="0" fillId="5" borderId="0" xfId="0" applyFill="1" applyAlignment="1">
      <alignment vertical="center"/>
    </xf>
    <xf numFmtId="165" fontId="1" fillId="0" borderId="1" xfId="1" applyNumberFormat="1" applyFont="1" applyBorder="1"/>
    <xf numFmtId="0" fontId="0" fillId="0" borderId="1" xfId="0" applyBorder="1" applyAlignment="1">
      <alignment horizontal="center" vertical="center"/>
    </xf>
    <xf numFmtId="168" fontId="0" fillId="2" borderId="1" xfId="0" applyNumberFormat="1" applyFill="1" applyBorder="1" applyAlignment="1">
      <alignment vertical="center"/>
    </xf>
    <xf numFmtId="0" fontId="0" fillId="2" borderId="1" xfId="0" applyFill="1" applyBorder="1" applyAlignment="1">
      <alignment horizontal="center" vertical="center"/>
    </xf>
    <xf numFmtId="0" fontId="3" fillId="2" borderId="1" xfId="0" applyFont="1" applyFill="1" applyBorder="1" applyAlignment="1">
      <alignment vertical="center"/>
    </xf>
    <xf numFmtId="165" fontId="0" fillId="2" borderId="1" xfId="1" applyNumberFormat="1" applyFont="1" applyFill="1" applyBorder="1" applyAlignment="1">
      <alignment vertical="center"/>
    </xf>
    <xf numFmtId="0" fontId="2" fillId="35" borderId="1" xfId="0" applyFont="1" applyFill="1" applyBorder="1"/>
    <xf numFmtId="0" fontId="2" fillId="35" borderId="1" xfId="0" applyFont="1" applyFill="1" applyBorder="1" applyAlignment="1">
      <alignment horizontal="center"/>
    </xf>
    <xf numFmtId="165" fontId="2" fillId="35" borderId="1" xfId="1" applyNumberFormat="1" applyFont="1" applyFill="1" applyBorder="1"/>
    <xf numFmtId="165" fontId="6" fillId="0" borderId="0" xfId="1" applyNumberFormat="1" applyFont="1" applyBorder="1" applyAlignment="1">
      <alignment horizontal="center" vertical="center"/>
    </xf>
    <xf numFmtId="0" fontId="6" fillId="0" borderId="0" xfId="0" applyFont="1" applyAlignment="1">
      <alignment horizontal="center" vertical="center"/>
    </xf>
    <xf numFmtId="165" fontId="1" fillId="0" borderId="0" xfId="1" applyNumberFormat="1" applyFont="1" applyBorder="1"/>
    <xf numFmtId="0" fontId="22" fillId="35" borderId="1" xfId="0" applyFont="1" applyFill="1" applyBorder="1"/>
    <xf numFmtId="0" fontId="22" fillId="35" borderId="1" xfId="0" applyFont="1" applyFill="1" applyBorder="1" applyAlignment="1">
      <alignment horizontal="center"/>
    </xf>
    <xf numFmtId="165" fontId="22" fillId="35" borderId="1" xfId="1" applyNumberFormat="1" applyFont="1" applyFill="1" applyBorder="1"/>
    <xf numFmtId="0" fontId="6" fillId="3" borderId="1" xfId="0" applyFont="1" applyFill="1" applyBorder="1"/>
    <xf numFmtId="0" fontId="6" fillId="3" borderId="1" xfId="0" applyFont="1" applyFill="1" applyBorder="1" applyAlignment="1">
      <alignment horizontal="center"/>
    </xf>
    <xf numFmtId="165" fontId="6" fillId="3" borderId="1" xfId="1" applyNumberFormat="1" applyFont="1" applyFill="1" applyBorder="1"/>
    <xf numFmtId="165" fontId="3" fillId="3" borderId="6" xfId="1" applyNumberFormat="1" applyFont="1" applyFill="1" applyBorder="1"/>
    <xf numFmtId="165" fontId="3" fillId="3" borderId="1" xfId="1" applyNumberFormat="1" applyFont="1" applyFill="1" applyBorder="1" applyAlignment="1">
      <alignment vertical="center"/>
    </xf>
    <xf numFmtId="166" fontId="39" fillId="2" borderId="0" xfId="1" applyNumberFormat="1" applyFont="1" applyFill="1" applyAlignment="1">
      <alignment vertical="center"/>
    </xf>
    <xf numFmtId="0" fontId="5" fillId="2" borderId="1" xfId="0" applyFont="1" applyFill="1" applyBorder="1"/>
    <xf numFmtId="0" fontId="2" fillId="19" borderId="1" xfId="0" applyFont="1" applyFill="1" applyBorder="1"/>
    <xf numFmtId="0" fontId="2" fillId="19" borderId="1" xfId="0" applyFont="1" applyFill="1" applyBorder="1" applyAlignment="1">
      <alignment horizontal="center"/>
    </xf>
    <xf numFmtId="165" fontId="2" fillId="19" borderId="1" xfId="1" applyNumberFormat="1" applyFont="1" applyFill="1" applyBorder="1"/>
    <xf numFmtId="0" fontId="6" fillId="25" borderId="1" xfId="0" applyFont="1" applyFill="1" applyBorder="1"/>
    <xf numFmtId="165" fontId="6" fillId="0" borderId="0" xfId="1" applyNumberFormat="1" applyFont="1" applyBorder="1" applyAlignment="1">
      <alignment vertical="center"/>
    </xf>
    <xf numFmtId="0" fontId="38" fillId="5" borderId="1" xfId="0" applyFont="1" applyFill="1" applyBorder="1" applyAlignment="1">
      <alignment vertical="center"/>
    </xf>
    <xf numFmtId="14" fontId="5" fillId="0" borderId="50" xfId="0" applyNumberFormat="1" applyFont="1" applyBorder="1" applyAlignment="1">
      <alignment horizontal="center" vertical="center" wrapText="1"/>
    </xf>
    <xf numFmtId="0" fontId="5" fillId="0" borderId="2" xfId="0" applyFont="1" applyBorder="1" applyAlignment="1">
      <alignment horizontal="center" vertical="center" wrapText="1"/>
    </xf>
    <xf numFmtId="165" fontId="5" fillId="0" borderId="2" xfId="1" applyNumberFormat="1" applyFont="1" applyBorder="1" applyAlignment="1">
      <alignment horizontal="center" vertical="center" wrapText="1"/>
    </xf>
    <xf numFmtId="0" fontId="0" fillId="0" borderId="5" xfId="0" applyBorder="1" applyAlignment="1">
      <alignment horizontal="center" vertical="center"/>
    </xf>
    <xf numFmtId="165" fontId="0" fillId="0" borderId="5" xfId="1" applyNumberFormat="1" applyFont="1" applyBorder="1"/>
    <xf numFmtId="0" fontId="43" fillId="0" borderId="6" xfId="0" applyFont="1" applyBorder="1"/>
    <xf numFmtId="15" fontId="44" fillId="0" borderId="1" xfId="0" applyNumberFormat="1" applyFont="1" applyBorder="1" applyAlignment="1">
      <alignment vertical="center"/>
    </xf>
    <xf numFmtId="0" fontId="43" fillId="0" borderId="6" xfId="0" applyFont="1" applyBorder="1" applyAlignment="1">
      <alignment vertical="center"/>
    </xf>
    <xf numFmtId="0" fontId="45" fillId="0" borderId="1" xfId="0" applyFont="1" applyBorder="1" applyAlignment="1">
      <alignment horizontal="center" vertical="center"/>
    </xf>
    <xf numFmtId="0" fontId="45" fillId="0" borderId="1" xfId="0" applyFont="1" applyBorder="1" applyAlignment="1">
      <alignment horizontal="center" vertical="center" wrapText="1"/>
    </xf>
    <xf numFmtId="0" fontId="38" fillId="5" borderId="1" xfId="0" applyFont="1" applyFill="1" applyBorder="1" applyAlignment="1">
      <alignment horizontal="right" vertical="center"/>
    </xf>
    <xf numFmtId="165" fontId="3" fillId="0" borderId="4" xfId="1" applyNumberFormat="1" applyFont="1" applyFill="1" applyBorder="1" applyAlignment="1">
      <alignment vertical="center" wrapText="1"/>
    </xf>
    <xf numFmtId="1" fontId="11" fillId="0" borderId="52" xfId="0" quotePrefix="1" applyNumberFormat="1" applyFont="1" applyBorder="1" applyAlignment="1">
      <alignment vertical="center"/>
    </xf>
    <xf numFmtId="165" fontId="3" fillId="0" borderId="50" xfId="1" applyNumberFormat="1" applyFont="1" applyBorder="1" applyAlignment="1">
      <alignment wrapText="1"/>
    </xf>
    <xf numFmtId="165" fontId="15" fillId="2" borderId="6" xfId="1" applyNumberFormat="1" applyFont="1" applyFill="1" applyBorder="1"/>
    <xf numFmtId="165" fontId="32" fillId="0" borderId="1" xfId="0" applyNumberFormat="1" applyFont="1" applyBorder="1"/>
    <xf numFmtId="0" fontId="38" fillId="5" borderId="5" xfId="0" applyFont="1" applyFill="1" applyBorder="1" applyAlignment="1">
      <alignment vertical="center"/>
    </xf>
    <xf numFmtId="0" fontId="38" fillId="5" borderId="5" xfId="0" applyFont="1" applyFill="1" applyBorder="1" applyAlignment="1">
      <alignment horizontal="right" vertical="center"/>
    </xf>
    <xf numFmtId="0" fontId="6" fillId="33" borderId="1" xfId="0" applyFont="1" applyFill="1" applyBorder="1"/>
    <xf numFmtId="165" fontId="6" fillId="33" borderId="1" xfId="1" applyNumberFormat="1" applyFont="1" applyFill="1" applyBorder="1"/>
    <xf numFmtId="165" fontId="3" fillId="18" borderId="1" xfId="1" applyNumberFormat="1" applyFont="1" applyFill="1" applyBorder="1" applyAlignment="1">
      <alignment vertical="center"/>
    </xf>
    <xf numFmtId="165" fontId="6" fillId="0" borderId="0" xfId="1" applyNumberFormat="1" applyFont="1" applyAlignment="1">
      <alignment horizontal="right"/>
    </xf>
    <xf numFmtId="15" fontId="46" fillId="0" borderId="1" xfId="0" applyNumberFormat="1" applyFont="1" applyBorder="1" applyAlignment="1">
      <alignment vertical="center"/>
    </xf>
    <xf numFmtId="165" fontId="39" fillId="0" borderId="1" xfId="1" applyNumberFormat="1" applyFont="1" applyFill="1" applyBorder="1" applyAlignment="1">
      <alignment vertical="center"/>
    </xf>
    <xf numFmtId="0" fontId="0" fillId="2" borderId="24" xfId="0" applyFill="1" applyBorder="1" applyAlignment="1">
      <alignment horizontal="center" vertical="center"/>
    </xf>
    <xf numFmtId="0" fontId="29" fillId="0" borderId="0" xfId="0" applyFont="1" applyAlignment="1">
      <alignment horizontal="center"/>
    </xf>
    <xf numFmtId="0" fontId="6" fillId="33" borderId="6" xfId="0" applyFont="1" applyFill="1" applyBorder="1" applyAlignment="1">
      <alignment horizontal="center"/>
    </xf>
    <xf numFmtId="15" fontId="46" fillId="0" borderId="5" xfId="0" applyNumberFormat="1" applyFont="1" applyBorder="1" applyAlignment="1">
      <alignment vertical="center"/>
    </xf>
    <xf numFmtId="0" fontId="32" fillId="2" borderId="1" xfId="0" applyFont="1" applyFill="1" applyBorder="1"/>
    <xf numFmtId="165" fontId="32" fillId="2" borderId="1" xfId="1" applyNumberFormat="1" applyFont="1" applyFill="1" applyBorder="1"/>
    <xf numFmtId="0" fontId="6" fillId="37" borderId="1" xfId="0" applyFont="1" applyFill="1" applyBorder="1"/>
    <xf numFmtId="0" fontId="6" fillId="37" borderId="1" xfId="0" applyFont="1" applyFill="1" applyBorder="1" applyAlignment="1">
      <alignment horizontal="center"/>
    </xf>
    <xf numFmtId="165" fontId="6" fillId="37" borderId="1" xfId="1" applyNumberFormat="1" applyFont="1" applyFill="1" applyBorder="1"/>
    <xf numFmtId="165" fontId="5" fillId="0" borderId="1" xfId="1" applyNumberFormat="1" applyFont="1" applyBorder="1" applyAlignment="1">
      <alignment horizontal="center"/>
    </xf>
    <xf numFmtId="165" fontId="5" fillId="0" borderId="1" xfId="0" applyNumberFormat="1" applyFont="1" applyBorder="1" applyAlignment="1">
      <alignment horizontal="center"/>
    </xf>
    <xf numFmtId="165" fontId="3" fillId="2" borderId="6" xfId="1" applyNumberFormat="1" applyFont="1" applyFill="1" applyBorder="1"/>
    <xf numFmtId="0" fontId="0" fillId="34" borderId="1" xfId="0" applyFill="1" applyBorder="1"/>
    <xf numFmtId="165" fontId="0" fillId="34" borderId="1" xfId="1" applyNumberFormat="1" applyFont="1" applyFill="1" applyBorder="1"/>
    <xf numFmtId="165" fontId="0" fillId="0" borderId="0" xfId="0" applyNumberFormat="1" applyAlignment="1">
      <alignment vertical="center"/>
    </xf>
    <xf numFmtId="0" fontId="0" fillId="0" borderId="0" xfId="0" applyAlignment="1">
      <alignment wrapText="1"/>
    </xf>
    <xf numFmtId="0" fontId="5" fillId="37" borderId="1" xfId="0" applyFont="1" applyFill="1" applyBorder="1"/>
    <xf numFmtId="0" fontId="5" fillId="37" borderId="1" xfId="0" applyFont="1" applyFill="1" applyBorder="1" applyAlignment="1">
      <alignment horizontal="center"/>
    </xf>
    <xf numFmtId="165" fontId="5" fillId="37" borderId="1" xfId="1" applyNumberFormat="1" applyFont="1" applyFill="1" applyBorder="1"/>
    <xf numFmtId="0" fontId="6" fillId="36" borderId="1" xfId="0" applyFont="1" applyFill="1" applyBorder="1"/>
    <xf numFmtId="0" fontId="6" fillId="36" borderId="1" xfId="0" applyFont="1" applyFill="1" applyBorder="1" applyAlignment="1">
      <alignment horizontal="center"/>
    </xf>
    <xf numFmtId="165" fontId="6" fillId="36" borderId="1" xfId="1" applyNumberFormat="1" applyFont="1" applyFill="1" applyBorder="1"/>
    <xf numFmtId="0" fontId="5" fillId="34" borderId="1" xfId="0" applyFont="1" applyFill="1" applyBorder="1"/>
    <xf numFmtId="0" fontId="5" fillId="34" borderId="1" xfId="0" applyFont="1" applyFill="1" applyBorder="1" applyAlignment="1">
      <alignment horizontal="center"/>
    </xf>
    <xf numFmtId="165" fontId="5" fillId="34" borderId="1" xfId="1" applyNumberFormat="1" applyFont="1" applyFill="1" applyBorder="1"/>
    <xf numFmtId="165" fontId="0" fillId="20" borderId="1" xfId="1" applyNumberFormat="1" applyFont="1" applyFill="1" applyBorder="1" applyAlignment="1">
      <alignment vertical="center"/>
    </xf>
    <xf numFmtId="0" fontId="47" fillId="0" borderId="2" xfId="0" applyFont="1" applyBorder="1" applyAlignment="1">
      <alignment horizontal="center" vertical="center" wrapText="1"/>
    </xf>
    <xf numFmtId="0" fontId="47" fillId="0" borderId="1" xfId="0" applyFont="1" applyBorder="1" applyAlignment="1">
      <alignment horizontal="center" wrapText="1"/>
    </xf>
    <xf numFmtId="0" fontId="27" fillId="0" borderId="2" xfId="0" applyFont="1" applyBorder="1" applyAlignment="1">
      <alignment horizontal="center" vertical="center"/>
    </xf>
    <xf numFmtId="0" fontId="0" fillId="0" borderId="2" xfId="0" applyBorder="1" applyAlignment="1">
      <alignment horizontal="center"/>
    </xf>
    <xf numFmtId="0" fontId="27" fillId="0" borderId="1" xfId="0" applyFont="1" applyBorder="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6" fillId="7" borderId="1" xfId="0" applyFont="1" applyFill="1" applyBorder="1" applyAlignment="1">
      <alignment horizontal="center"/>
    </xf>
    <xf numFmtId="165" fontId="6" fillId="7" borderId="1" xfId="1" applyNumberFormat="1" applyFont="1" applyFill="1" applyBorder="1"/>
    <xf numFmtId="0" fontId="6" fillId="34" borderId="1" xfId="0" applyFont="1" applyFill="1" applyBorder="1"/>
    <xf numFmtId="165" fontId="6" fillId="34" borderId="1" xfId="1" applyNumberFormat="1" applyFont="1" applyFill="1" applyBorder="1"/>
    <xf numFmtId="0" fontId="49" fillId="0" borderId="2" xfId="0" applyFont="1" applyBorder="1" applyAlignment="1">
      <alignment horizontal="center" vertical="center" wrapText="1"/>
    </xf>
    <xf numFmtId="0" fontId="6" fillId="0" borderId="0" xfId="1" applyNumberFormat="1" applyFont="1"/>
    <xf numFmtId="165" fontId="0" fillId="0" borderId="1" xfId="1" applyNumberFormat="1" applyFont="1" applyBorder="1" applyAlignment="1"/>
    <xf numFmtId="0" fontId="0" fillId="24" borderId="1" xfId="0" applyFill="1" applyBorder="1" applyAlignment="1">
      <alignment vertical="center"/>
    </xf>
    <xf numFmtId="165" fontId="0" fillId="24" borderId="1" xfId="1" applyNumberFormat="1" applyFont="1" applyFill="1" applyBorder="1" applyAlignment="1">
      <alignment vertical="center"/>
    </xf>
    <xf numFmtId="165" fontId="6" fillId="33" borderId="1" xfId="1" applyNumberFormat="1" applyFont="1" applyFill="1" applyBorder="1" applyAlignment="1">
      <alignment horizontal="center" vertical="center"/>
    </xf>
    <xf numFmtId="0" fontId="21" fillId="5" borderId="1" xfId="0" applyFont="1" applyFill="1" applyBorder="1" applyAlignment="1">
      <alignment vertical="center"/>
    </xf>
    <xf numFmtId="0" fontId="21" fillId="5" borderId="3" xfId="0" applyFont="1" applyFill="1" applyBorder="1" applyAlignment="1">
      <alignment vertical="center"/>
    </xf>
    <xf numFmtId="0" fontId="21" fillId="5" borderId="4" xfId="0" applyFont="1" applyFill="1" applyBorder="1" applyAlignment="1">
      <alignment vertical="center"/>
    </xf>
    <xf numFmtId="0" fontId="21" fillId="5" borderId="6" xfId="0" applyFont="1" applyFill="1" applyBorder="1" applyAlignment="1">
      <alignment vertical="center"/>
    </xf>
    <xf numFmtId="165" fontId="6" fillId="0" borderId="0" xfId="1" applyNumberFormat="1" applyFont="1" applyAlignment="1"/>
    <xf numFmtId="0" fontId="21" fillId="5" borderId="31" xfId="0" applyFont="1" applyFill="1" applyBorder="1" applyAlignment="1">
      <alignment vertical="center"/>
    </xf>
    <xf numFmtId="0" fontId="21" fillId="5" borderId="13" xfId="0" applyFont="1" applyFill="1" applyBorder="1" applyAlignment="1">
      <alignment vertical="center"/>
    </xf>
    <xf numFmtId="0" fontId="21" fillId="5" borderId="18" xfId="0" applyFont="1" applyFill="1" applyBorder="1" applyAlignment="1">
      <alignment vertical="center"/>
    </xf>
    <xf numFmtId="0" fontId="21" fillId="5" borderId="32" xfId="0" applyFont="1" applyFill="1" applyBorder="1" applyAlignment="1">
      <alignment vertical="center"/>
    </xf>
    <xf numFmtId="0" fontId="21" fillId="5" borderId="33" xfId="0" applyFont="1" applyFill="1" applyBorder="1" applyAlignment="1">
      <alignment vertical="center"/>
    </xf>
    <xf numFmtId="0" fontId="21" fillId="5" borderId="34" xfId="0" applyFont="1" applyFill="1" applyBorder="1" applyAlignment="1">
      <alignment vertical="center"/>
    </xf>
    <xf numFmtId="17" fontId="21" fillId="5" borderId="1" xfId="0" applyNumberFormat="1" applyFont="1" applyFill="1" applyBorder="1" applyAlignment="1">
      <alignment vertical="center"/>
    </xf>
    <xf numFmtId="0" fontId="34" fillId="5" borderId="1" xfId="0" applyFont="1" applyFill="1" applyBorder="1" applyAlignment="1">
      <alignment vertical="center"/>
    </xf>
    <xf numFmtId="0" fontId="37" fillId="5" borderId="1" xfId="0" applyFont="1" applyFill="1" applyBorder="1" applyAlignment="1">
      <alignment vertical="center"/>
    </xf>
    <xf numFmtId="165" fontId="6" fillId="0" borderId="0" xfId="1" applyNumberFormat="1" applyFont="1" applyBorder="1" applyAlignment="1"/>
    <xf numFmtId="165" fontId="5" fillId="0" borderId="1" xfId="1" applyNumberFormat="1" applyFont="1" applyBorder="1" applyAlignment="1"/>
    <xf numFmtId="15" fontId="2" fillId="13" borderId="1" xfId="0" applyNumberFormat="1" applyFont="1" applyFill="1" applyBorder="1" applyAlignment="1">
      <alignment horizontal="center" vertical="center"/>
    </xf>
    <xf numFmtId="0" fontId="2" fillId="13" borderId="1" xfId="0" applyFont="1" applyFill="1" applyBorder="1" applyAlignment="1">
      <alignment horizontal="center" vertical="center"/>
    </xf>
    <xf numFmtId="165" fontId="2" fillId="13" borderId="1" xfId="1" applyNumberFormat="1" applyFont="1" applyFill="1" applyBorder="1" applyAlignment="1">
      <alignment horizontal="center" vertical="center" wrapText="1"/>
    </xf>
    <xf numFmtId="165" fontId="2" fillId="13" borderId="3" xfId="1" applyNumberFormat="1" applyFont="1" applyFill="1" applyBorder="1" applyAlignment="1">
      <alignment horizontal="center" vertical="center"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xf>
    <xf numFmtId="0" fontId="47" fillId="0" borderId="1" xfId="0" applyFont="1" applyBorder="1" applyAlignment="1">
      <alignment vertical="center"/>
    </xf>
    <xf numFmtId="165" fontId="6" fillId="0" borderId="1" xfId="1" applyNumberFormat="1" applyFont="1" applyBorder="1" applyAlignment="1">
      <alignment horizontal="center"/>
    </xf>
    <xf numFmtId="165" fontId="6" fillId="2" borderId="0" xfId="1" applyNumberFormat="1" applyFont="1" applyFill="1" applyAlignment="1">
      <alignment horizontal="center"/>
    </xf>
    <xf numFmtId="165" fontId="6" fillId="2" borderId="1" xfId="1" applyNumberFormat="1" applyFont="1" applyFill="1" applyBorder="1" applyAlignment="1">
      <alignment horizontal="center"/>
    </xf>
    <xf numFmtId="0" fontId="21" fillId="5" borderId="1"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15" xfId="0" applyFont="1" applyFill="1" applyBorder="1" applyAlignment="1">
      <alignment horizontal="center" vertical="center"/>
    </xf>
    <xf numFmtId="0" fontId="21" fillId="5" borderId="49" xfId="0" applyFont="1" applyFill="1" applyBorder="1" applyAlignment="1">
      <alignment horizontal="center" vertical="center"/>
    </xf>
    <xf numFmtId="17" fontId="21" fillId="5" borderId="1" xfId="0" applyNumberFormat="1" applyFont="1" applyFill="1" applyBorder="1" applyAlignment="1">
      <alignment horizontal="center" vertical="center"/>
    </xf>
    <xf numFmtId="0" fontId="34" fillId="5" borderId="1" xfId="0" applyFont="1" applyFill="1" applyBorder="1" applyAlignment="1">
      <alignment horizontal="center" vertical="center"/>
    </xf>
    <xf numFmtId="0" fontId="38" fillId="5" borderId="1" xfId="0" applyFont="1" applyFill="1" applyBorder="1" applyAlignment="1">
      <alignment horizontal="center" vertical="center"/>
    </xf>
    <xf numFmtId="0" fontId="37" fillId="5" borderId="1" xfId="0" applyFont="1" applyFill="1" applyBorder="1" applyAlignment="1">
      <alignment horizontal="center" vertical="center"/>
    </xf>
    <xf numFmtId="0" fontId="38" fillId="5" borderId="5" xfId="0" applyFont="1" applyFill="1" applyBorder="1" applyAlignment="1">
      <alignment horizontal="center" vertical="center"/>
    </xf>
    <xf numFmtId="0" fontId="6" fillId="0" borderId="1" xfId="0" applyFont="1" applyBorder="1" applyAlignment="1">
      <alignment horizontal="center" vertical="center" wrapText="1"/>
    </xf>
    <xf numFmtId="0" fontId="6" fillId="35" borderId="1" xfId="0" applyFont="1" applyFill="1" applyBorder="1" applyAlignment="1">
      <alignment horizontal="center" vertical="center" wrapText="1"/>
    </xf>
    <xf numFmtId="0" fontId="6" fillId="35" borderId="1" xfId="0" applyFont="1" applyFill="1" applyBorder="1"/>
    <xf numFmtId="0" fontId="6" fillId="35" borderId="1" xfId="0" applyFont="1" applyFill="1" applyBorder="1" applyAlignment="1">
      <alignment vertical="center" wrapText="1"/>
    </xf>
    <xf numFmtId="165" fontId="6" fillId="35" borderId="1" xfId="1" applyNumberFormat="1" applyFont="1" applyFill="1" applyBorder="1"/>
    <xf numFmtId="0" fontId="50" fillId="0" borderId="1" xfId="0" applyFont="1" applyBorder="1" applyAlignment="1">
      <alignment horizontal="left" indent="1"/>
    </xf>
    <xf numFmtId="165" fontId="50" fillId="0" borderId="1" xfId="0" applyNumberFormat="1" applyFont="1" applyBorder="1"/>
    <xf numFmtId="165" fontId="5" fillId="0" borderId="1" xfId="0" applyNumberFormat="1" applyFont="1" applyBorder="1"/>
    <xf numFmtId="165" fontId="5" fillId="0" borderId="1" xfId="0" applyNumberFormat="1" applyFont="1" applyBorder="1" applyAlignment="1">
      <alignment vertical="center"/>
    </xf>
    <xf numFmtId="0" fontId="6" fillId="0" borderId="0" xfId="1" quotePrefix="1" applyNumberFormat="1" applyFont="1"/>
    <xf numFmtId="20" fontId="0" fillId="0" borderId="1" xfId="0" applyNumberFormat="1" applyBorder="1" applyAlignment="1">
      <alignment horizontal="center" vertical="center"/>
    </xf>
    <xf numFmtId="0" fontId="0" fillId="0" borderId="3" xfId="0" applyBorder="1"/>
    <xf numFmtId="9" fontId="6" fillId="0" borderId="0" xfId="0" applyNumberFormat="1" applyFont="1"/>
    <xf numFmtId="0" fontId="52" fillId="0" borderId="1" xfId="0" applyFont="1" applyBorder="1" applyAlignment="1">
      <alignment vertical="center" wrapText="1"/>
    </xf>
    <xf numFmtId="0" fontId="6" fillId="23" borderId="1" xfId="0" applyFont="1" applyFill="1" applyBorder="1" applyAlignment="1">
      <alignment horizontal="center"/>
    </xf>
    <xf numFmtId="0" fontId="6" fillId="23" borderId="1" xfId="0" applyFont="1" applyFill="1" applyBorder="1" applyAlignment="1">
      <alignment vertical="center" wrapText="1"/>
    </xf>
    <xf numFmtId="0" fontId="6" fillId="38" borderId="1" xfId="0" applyFont="1" applyFill="1" applyBorder="1" applyAlignment="1">
      <alignment horizontal="center"/>
    </xf>
    <xf numFmtId="0" fontId="6" fillId="38" borderId="1" xfId="0" applyFont="1" applyFill="1" applyBorder="1"/>
    <xf numFmtId="0" fontId="6" fillId="38" borderId="1" xfId="0" applyFont="1" applyFill="1" applyBorder="1" applyAlignment="1">
      <alignment vertical="center" wrapText="1"/>
    </xf>
    <xf numFmtId="165" fontId="6" fillId="38" borderId="1" xfId="1" applyNumberFormat="1" applyFont="1" applyFill="1" applyBorder="1"/>
    <xf numFmtId="165" fontId="5" fillId="0" borderId="1" xfId="1" applyNumberFormat="1" applyFont="1" applyBorder="1" applyAlignment="1">
      <alignment horizontal="right"/>
    </xf>
    <xf numFmtId="0" fontId="6" fillId="34" borderId="1" xfId="0" applyFont="1" applyFill="1" applyBorder="1" applyAlignment="1">
      <alignment horizontal="center"/>
    </xf>
    <xf numFmtId="0" fontId="6" fillId="34" borderId="1" xfId="0" applyFont="1" applyFill="1" applyBorder="1" applyAlignment="1">
      <alignment vertical="center" wrapText="1"/>
    </xf>
    <xf numFmtId="0" fontId="6" fillId="34" borderId="1" xfId="0" applyFont="1" applyFill="1" applyBorder="1" applyAlignment="1">
      <alignment vertical="center"/>
    </xf>
    <xf numFmtId="0" fontId="6" fillId="34" borderId="1" xfId="0" applyFont="1" applyFill="1" applyBorder="1" applyAlignment="1">
      <alignment horizontal="center" vertical="center" wrapText="1"/>
    </xf>
    <xf numFmtId="0" fontId="18" fillId="0" borderId="1" xfId="0" applyFont="1" applyBorder="1" applyAlignment="1">
      <alignment vertical="center" wrapText="1"/>
    </xf>
    <xf numFmtId="165" fontId="5" fillId="0" borderId="0" xfId="1" applyNumberFormat="1" applyFont="1" applyBorder="1" applyAlignment="1">
      <alignment horizontal="right"/>
    </xf>
    <xf numFmtId="165" fontId="5" fillId="0" borderId="0" xfId="1" applyNumberFormat="1" applyFont="1" applyBorder="1"/>
    <xf numFmtId="164" fontId="0" fillId="0" borderId="0" xfId="0" applyNumberFormat="1"/>
    <xf numFmtId="165" fontId="0" fillId="39" borderId="1" xfId="1" applyNumberFormat="1" applyFont="1" applyFill="1" applyBorder="1"/>
    <xf numFmtId="165" fontId="3" fillId="0" borderId="4" xfId="1" applyNumberFormat="1" applyFont="1" applyBorder="1" applyAlignment="1">
      <alignment vertical="center"/>
    </xf>
    <xf numFmtId="165" fontId="3" fillId="28" borderId="3" xfId="1" applyNumberFormat="1" applyFont="1" applyFill="1" applyBorder="1" applyAlignment="1">
      <alignment vertical="center"/>
    </xf>
    <xf numFmtId="0" fontId="3" fillId="0" borderId="1" xfId="0" applyFont="1" applyBorder="1" applyAlignment="1">
      <alignment horizontal="right" vertical="center"/>
    </xf>
    <xf numFmtId="165" fontId="3" fillId="0" borderId="6" xfId="1" applyNumberFormat="1" applyFont="1" applyBorder="1" applyAlignment="1">
      <alignment vertical="center" wrapText="1"/>
    </xf>
    <xf numFmtId="0" fontId="3" fillId="0" borderId="0" xfId="0" applyFont="1" applyAlignment="1">
      <alignment vertical="center"/>
    </xf>
    <xf numFmtId="165" fontId="0" fillId="0" borderId="0" xfId="1" applyNumberFormat="1" applyFont="1" applyAlignment="1">
      <alignment horizontal="right" vertical="center"/>
    </xf>
    <xf numFmtId="165" fontId="16" fillId="2" borderId="0" xfId="1" applyNumberFormat="1" applyFont="1" applyFill="1"/>
    <xf numFmtId="0" fontId="6" fillId="40" borderId="1" xfId="0" applyFont="1" applyFill="1" applyBorder="1" applyAlignment="1">
      <alignment horizontal="center"/>
    </xf>
    <xf numFmtId="0" fontId="6" fillId="40" borderId="1" xfId="0" applyFont="1" applyFill="1" applyBorder="1"/>
    <xf numFmtId="0" fontId="6" fillId="40" borderId="1" xfId="0" applyFont="1" applyFill="1" applyBorder="1" applyAlignment="1">
      <alignment vertical="center" wrapText="1"/>
    </xf>
    <xf numFmtId="165" fontId="6" fillId="40" borderId="1" xfId="1" applyNumberFormat="1" applyFont="1" applyFill="1" applyBorder="1"/>
    <xf numFmtId="165" fontId="3" fillId="30" borderId="1" xfId="1" applyNumberFormat="1" applyFont="1" applyFill="1" applyBorder="1" applyAlignment="1">
      <alignment vertical="center"/>
    </xf>
    <xf numFmtId="165" fontId="6" fillId="0" borderId="7" xfId="1" applyNumberFormat="1" applyFont="1" applyBorder="1" applyAlignment="1">
      <alignment vertical="top" wrapText="1"/>
    </xf>
    <xf numFmtId="165" fontId="6" fillId="0" borderId="0" xfId="1" applyNumberFormat="1" applyFont="1" applyAlignment="1">
      <alignment vertical="top"/>
    </xf>
    <xf numFmtId="165" fontId="6" fillId="0" borderId="7" xfId="1" applyNumberFormat="1" applyFont="1" applyBorder="1" applyAlignment="1">
      <alignment vertical="top"/>
    </xf>
    <xf numFmtId="0" fontId="17" fillId="0" borderId="1" xfId="0" applyFont="1" applyBorder="1" applyAlignment="1">
      <alignment vertical="center" wrapText="1"/>
    </xf>
    <xf numFmtId="3" fontId="0" fillId="0" borderId="0" xfId="0" applyNumberFormat="1"/>
    <xf numFmtId="0" fontId="0" fillId="41" borderId="1" xfId="0" applyFill="1" applyBorder="1"/>
    <xf numFmtId="165" fontId="0" fillId="41" borderId="1" xfId="1" applyNumberFormat="1" applyFont="1" applyFill="1" applyBorder="1"/>
    <xf numFmtId="165" fontId="3" fillId="41" borderId="1" xfId="1" applyNumberFormat="1" applyFont="1" applyFill="1" applyBorder="1" applyAlignment="1">
      <alignment vertical="center"/>
    </xf>
    <xf numFmtId="165" fontId="0" fillId="0" borderId="0" xfId="1" applyNumberFormat="1" applyFont="1" applyFill="1" applyBorder="1"/>
    <xf numFmtId="165" fontId="6" fillId="33" borderId="2" xfId="1" applyNumberFormat="1" applyFont="1" applyFill="1" applyBorder="1" applyAlignment="1">
      <alignment horizontal="center"/>
    </xf>
    <xf numFmtId="165" fontId="6" fillId="0" borderId="0" xfId="0" applyNumberFormat="1" applyFont="1" applyAlignment="1">
      <alignment vertical="center"/>
    </xf>
    <xf numFmtId="0" fontId="6" fillId="37" borderId="1" xfId="0" applyFont="1" applyFill="1" applyBorder="1" applyAlignment="1">
      <alignment vertical="center"/>
    </xf>
    <xf numFmtId="165" fontId="6" fillId="37" borderId="1" xfId="1" applyNumberFormat="1" applyFont="1" applyFill="1" applyBorder="1" applyAlignment="1">
      <alignment vertical="center"/>
    </xf>
    <xf numFmtId="0" fontId="6" fillId="38" borderId="1" xfId="0" applyFont="1" applyFill="1" applyBorder="1" applyAlignment="1">
      <alignment horizontal="center" vertical="center"/>
    </xf>
    <xf numFmtId="0" fontId="6" fillId="38" borderId="1" xfId="0" applyFont="1" applyFill="1" applyBorder="1" applyAlignment="1">
      <alignment vertical="center"/>
    </xf>
    <xf numFmtId="165" fontId="6" fillId="38" borderId="1" xfId="1" applyNumberFormat="1" applyFont="1" applyFill="1" applyBorder="1" applyAlignment="1">
      <alignment vertical="center"/>
    </xf>
    <xf numFmtId="165" fontId="0" fillId="2" borderId="0" xfId="0" applyNumberFormat="1" applyFill="1"/>
    <xf numFmtId="14" fontId="18" fillId="0" borderId="1" xfId="0" applyNumberFormat="1" applyFont="1" applyBorder="1"/>
    <xf numFmtId="0" fontId="14" fillId="0" borderId="1" xfId="0" applyFont="1" applyBorder="1" applyAlignment="1">
      <alignment horizontal="center"/>
    </xf>
    <xf numFmtId="165" fontId="6" fillId="0" borderId="1" xfId="1" applyNumberFormat="1" applyFont="1" applyFill="1" applyBorder="1" applyAlignment="1"/>
    <xf numFmtId="165" fontId="6" fillId="0" borderId="1" xfId="1" applyNumberFormat="1" applyFont="1" applyBorder="1" applyAlignment="1">
      <alignment horizontal="center" wrapText="1"/>
    </xf>
    <xf numFmtId="165" fontId="6" fillId="35" borderId="1" xfId="1" applyNumberFormat="1" applyFont="1" applyFill="1" applyBorder="1" applyAlignment="1"/>
    <xf numFmtId="0" fontId="6" fillId="37" borderId="1" xfId="0" applyFont="1" applyFill="1" applyBorder="1" applyAlignment="1">
      <alignment horizontal="center" vertical="center"/>
    </xf>
    <xf numFmtId="15" fontId="44" fillId="0" borderId="30" xfId="0" applyNumberFormat="1" applyFont="1" applyBorder="1" applyAlignment="1">
      <alignment vertical="center"/>
    </xf>
    <xf numFmtId="0" fontId="0" fillId="0" borderId="5" xfId="0" applyBorder="1"/>
    <xf numFmtId="169" fontId="6" fillId="0" borderId="0" xfId="1" applyNumberFormat="1" applyFont="1"/>
    <xf numFmtId="165" fontId="14" fillId="0" borderId="6" xfId="1" applyNumberFormat="1" applyFont="1" applyBorder="1" applyAlignment="1">
      <alignment vertical="center"/>
    </xf>
    <xf numFmtId="15" fontId="44" fillId="0" borderId="6" xfId="0" applyNumberFormat="1" applyFont="1" applyBorder="1" applyAlignment="1">
      <alignment vertical="center"/>
    </xf>
    <xf numFmtId="170" fontId="6" fillId="0" borderId="0" xfId="0" applyNumberFormat="1" applyFont="1"/>
    <xf numFmtId="171" fontId="6" fillId="0" borderId="0" xfId="1" applyNumberFormat="1" applyFont="1"/>
    <xf numFmtId="171" fontId="6" fillId="0" borderId="0" xfId="0" applyNumberFormat="1" applyFont="1"/>
    <xf numFmtId="0" fontId="0" fillId="24" borderId="0" xfId="0" applyFill="1"/>
    <xf numFmtId="0" fontId="0" fillId="41" borderId="1" xfId="0" applyFill="1" applyBorder="1" applyAlignment="1">
      <alignment vertical="center"/>
    </xf>
    <xf numFmtId="0" fontId="32" fillId="0" borderId="3" xfId="0" applyFont="1" applyBorder="1" applyAlignment="1">
      <alignment horizontal="center"/>
    </xf>
    <xf numFmtId="0" fontId="32" fillId="0" borderId="4" xfId="0" applyFont="1" applyBorder="1" applyAlignment="1">
      <alignment horizontal="center"/>
    </xf>
    <xf numFmtId="0" fontId="32" fillId="0" borderId="6" xfId="0" applyFont="1" applyBorder="1" applyAlignment="1">
      <alignment horizontal="center"/>
    </xf>
    <xf numFmtId="165" fontId="6" fillId="0" borderId="7" xfId="1" applyNumberFormat="1" applyFont="1" applyBorder="1" applyAlignment="1">
      <alignment horizontal="center"/>
    </xf>
    <xf numFmtId="165" fontId="6" fillId="0" borderId="0" xfId="1" applyNumberFormat="1" applyFont="1" applyAlignment="1">
      <alignment horizontal="center"/>
    </xf>
    <xf numFmtId="165" fontId="14" fillId="0" borderId="3" xfId="1" applyNumberFormat="1" applyFont="1" applyBorder="1" applyAlignment="1">
      <alignment horizontal="center" vertical="center"/>
    </xf>
    <xf numFmtId="165" fontId="14" fillId="0" borderId="4" xfId="1" applyNumberFormat="1" applyFont="1" applyBorder="1" applyAlignment="1">
      <alignment horizontal="center" vertical="center"/>
    </xf>
    <xf numFmtId="0" fontId="7" fillId="0" borderId="21" xfId="0" applyFont="1" applyBorder="1" applyAlignment="1">
      <alignment horizontal="center"/>
    </xf>
    <xf numFmtId="0" fontId="7" fillId="0" borderId="2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2" fillId="0" borderId="1" xfId="0" applyFont="1" applyBorder="1" applyAlignment="1">
      <alignment horizontal="right" vertical="center" wrapText="1"/>
    </xf>
    <xf numFmtId="0" fontId="6" fillId="0" borderId="3" xfId="0" applyFont="1" applyBorder="1" applyAlignment="1">
      <alignment horizontal="right" vertical="center"/>
    </xf>
    <xf numFmtId="0" fontId="6" fillId="0" borderId="6" xfId="0" applyFont="1" applyBorder="1" applyAlignment="1">
      <alignment horizontal="right" vertical="center"/>
    </xf>
    <xf numFmtId="0" fontId="13" fillId="35" borderId="42" xfId="0" applyFont="1" applyFill="1" applyBorder="1" applyAlignment="1">
      <alignment horizontal="center"/>
    </xf>
    <xf numFmtId="0" fontId="13" fillId="35" borderId="26" xfId="0" applyFont="1" applyFill="1" applyBorder="1" applyAlignment="1">
      <alignment horizontal="center"/>
    </xf>
    <xf numFmtId="0" fontId="13" fillId="35" borderId="27" xfId="0" applyFont="1" applyFill="1" applyBorder="1" applyAlignment="1">
      <alignment horizontal="center"/>
    </xf>
    <xf numFmtId="0" fontId="13" fillId="35" borderId="43" xfId="0" applyFont="1" applyFill="1" applyBorder="1" applyAlignment="1">
      <alignment horizontal="center"/>
    </xf>
    <xf numFmtId="0" fontId="13" fillId="35" borderId="36" xfId="0" applyFont="1" applyFill="1" applyBorder="1" applyAlignment="1">
      <alignment horizontal="center"/>
    </xf>
    <xf numFmtId="0" fontId="13" fillId="35" borderId="38" xfId="0" applyFont="1" applyFill="1" applyBorder="1" applyAlignment="1">
      <alignment horizontal="center"/>
    </xf>
    <xf numFmtId="0" fontId="7" fillId="30" borderId="45" xfId="0" applyFont="1" applyFill="1" applyBorder="1" applyAlignment="1">
      <alignment horizontal="right" vertical="center"/>
    </xf>
    <xf numFmtId="0" fontId="7" fillId="30" borderId="4" xfId="0" applyFont="1" applyFill="1" applyBorder="1" applyAlignment="1">
      <alignment horizontal="right" vertical="center"/>
    </xf>
    <xf numFmtId="0" fontId="7" fillId="30" borderId="6" xfId="0" applyFont="1" applyFill="1" applyBorder="1" applyAlignment="1">
      <alignment horizontal="right" vertical="center"/>
    </xf>
    <xf numFmtId="165" fontId="14" fillId="30" borderId="1" xfId="1" applyNumberFormat="1" applyFont="1" applyFill="1" applyBorder="1" applyAlignment="1">
      <alignment horizontal="center" vertical="center"/>
    </xf>
    <xf numFmtId="165" fontId="14" fillId="30" borderId="40" xfId="1" applyNumberFormat="1" applyFont="1" applyFill="1" applyBorder="1" applyAlignment="1">
      <alignment horizontal="center" vertical="center"/>
    </xf>
    <xf numFmtId="0" fontId="7" fillId="30" borderId="44" xfId="0" applyFont="1" applyFill="1" applyBorder="1" applyAlignment="1">
      <alignment horizontal="right" vertical="center"/>
    </xf>
    <xf numFmtId="0" fontId="7" fillId="30" borderId="1" xfId="0" applyFont="1" applyFill="1" applyBorder="1" applyAlignment="1">
      <alignment horizontal="right" vertical="center"/>
    </xf>
    <xf numFmtId="0" fontId="7" fillId="34" borderId="44" xfId="0" applyFont="1" applyFill="1" applyBorder="1" applyAlignment="1">
      <alignment horizontal="right" vertical="center"/>
    </xf>
    <xf numFmtId="0" fontId="7" fillId="34" borderId="1" xfId="0" applyFont="1" applyFill="1" applyBorder="1" applyAlignment="1">
      <alignment horizontal="right" vertical="center"/>
    </xf>
    <xf numFmtId="165" fontId="14" fillId="34" borderId="1" xfId="1" applyNumberFormat="1" applyFont="1" applyFill="1" applyBorder="1" applyAlignment="1">
      <alignment horizontal="center" vertical="center"/>
    </xf>
    <xf numFmtId="165" fontId="14" fillId="34" borderId="40" xfId="1" applyNumberFormat="1" applyFont="1" applyFill="1" applyBorder="1" applyAlignment="1">
      <alignment horizontal="center" vertical="center"/>
    </xf>
    <xf numFmtId="165" fontId="14" fillId="27" borderId="3" xfId="1" applyNumberFormat="1" applyFont="1" applyFill="1" applyBorder="1" applyAlignment="1">
      <alignment horizontal="center" vertical="center"/>
    </xf>
    <xf numFmtId="165" fontId="14" fillId="27" borderId="53" xfId="1" applyNumberFormat="1" applyFont="1" applyFill="1" applyBorder="1" applyAlignment="1">
      <alignment horizontal="center" vertical="center"/>
    </xf>
    <xf numFmtId="0" fontId="7" fillId="27" borderId="45" xfId="0" applyFont="1" applyFill="1" applyBorder="1" applyAlignment="1">
      <alignment horizontal="right" vertical="center"/>
    </xf>
    <xf numFmtId="0" fontId="7" fillId="27" borderId="4" xfId="0" applyFont="1" applyFill="1" applyBorder="1" applyAlignment="1">
      <alignment horizontal="right" vertical="center"/>
    </xf>
    <xf numFmtId="0" fontId="7" fillId="27" borderId="6" xfId="0" applyFont="1" applyFill="1" applyBorder="1" applyAlignment="1">
      <alignment horizontal="right" vertical="center"/>
    </xf>
    <xf numFmtId="0" fontId="7" fillId="27" borderId="44" xfId="0" applyFont="1" applyFill="1" applyBorder="1" applyAlignment="1">
      <alignment horizontal="right" vertical="center"/>
    </xf>
    <xf numFmtId="0" fontId="7" fillId="27" borderId="1" xfId="0" applyFont="1" applyFill="1" applyBorder="1" applyAlignment="1">
      <alignment horizontal="right" vertical="center"/>
    </xf>
    <xf numFmtId="165" fontId="14" fillId="27" borderId="1" xfId="1" applyNumberFormat="1" applyFont="1" applyFill="1" applyBorder="1" applyAlignment="1">
      <alignment horizontal="center" vertical="center"/>
    </xf>
    <xf numFmtId="165" fontId="14" fillId="27" borderId="40" xfId="1" applyNumberFormat="1" applyFont="1" applyFill="1" applyBorder="1" applyAlignment="1">
      <alignment horizontal="center" vertical="center"/>
    </xf>
    <xf numFmtId="0" fontId="53" fillId="27" borderId="44" xfId="0" applyFont="1" applyFill="1" applyBorder="1" applyAlignment="1">
      <alignment horizontal="right" vertical="center"/>
    </xf>
    <xf numFmtId="0" fontId="53" fillId="27" borderId="1" xfId="0" applyFont="1" applyFill="1" applyBorder="1" applyAlignment="1">
      <alignment horizontal="right" vertical="center"/>
    </xf>
    <xf numFmtId="0" fontId="19" fillId="0" borderId="46" xfId="0" applyFont="1" applyBorder="1" applyAlignment="1">
      <alignment horizontal="right"/>
    </xf>
    <xf numFmtId="0" fontId="19" fillId="0" borderId="47" xfId="0" applyFont="1" applyBorder="1" applyAlignment="1">
      <alignment horizontal="right"/>
    </xf>
    <xf numFmtId="0" fontId="19" fillId="0" borderId="48" xfId="0" applyFont="1" applyBorder="1" applyAlignment="1">
      <alignment horizontal="right"/>
    </xf>
    <xf numFmtId="165" fontId="10" fillId="0" borderId="37" xfId="1" applyNumberFormat="1" applyFont="1" applyBorder="1" applyAlignment="1">
      <alignment horizontal="center" vertical="center"/>
    </xf>
    <xf numFmtId="165" fontId="10" fillId="0" borderId="41" xfId="1" applyNumberFormat="1" applyFont="1" applyBorder="1" applyAlignment="1">
      <alignment horizontal="center" vertical="center"/>
    </xf>
    <xf numFmtId="0" fontId="5" fillId="0" borderId="0" xfId="0" applyFont="1" applyAlignment="1">
      <alignment horizontal="center"/>
    </xf>
    <xf numFmtId="0" fontId="5" fillId="0" borderId="9" xfId="0" applyFont="1" applyBorder="1" applyAlignment="1">
      <alignment horizontal="center"/>
    </xf>
    <xf numFmtId="0" fontId="41" fillId="0" borderId="1" xfId="0" applyFont="1" applyBorder="1" applyAlignment="1">
      <alignment horizontal="center" vertical="center"/>
    </xf>
    <xf numFmtId="0" fontId="41" fillId="0" borderId="3" xfId="0" applyFont="1" applyBorder="1" applyAlignment="1">
      <alignment horizontal="center" vertical="center"/>
    </xf>
    <xf numFmtId="0" fontId="41" fillId="0" borderId="4" xfId="0" applyFont="1" applyBorder="1" applyAlignment="1">
      <alignment horizontal="center" vertical="center"/>
    </xf>
    <xf numFmtId="0" fontId="41" fillId="0" borderId="6" xfId="0" applyFont="1" applyBorder="1" applyAlignment="1">
      <alignment horizontal="center" vertical="center"/>
    </xf>
    <xf numFmtId="0" fontId="4" fillId="0" borderId="3" xfId="0" applyFont="1" applyBorder="1" applyAlignment="1">
      <alignment horizontal="center"/>
    </xf>
    <xf numFmtId="0" fontId="4" fillId="0" borderId="4" xfId="0" applyFont="1" applyBorder="1" applyAlignment="1">
      <alignment horizontal="center"/>
    </xf>
    <xf numFmtId="0" fontId="7" fillId="0" borderId="20" xfId="0" applyFont="1" applyBorder="1" applyAlignment="1">
      <alignment horizontal="center"/>
    </xf>
    <xf numFmtId="20" fontId="7" fillId="20" borderId="3" xfId="0" applyNumberFormat="1" applyFont="1" applyFill="1" applyBorder="1" applyAlignment="1">
      <alignment horizontal="center" vertical="center"/>
    </xf>
    <xf numFmtId="20" fontId="7" fillId="20" borderId="4" xfId="0" applyNumberFormat="1" applyFont="1" applyFill="1" applyBorder="1" applyAlignment="1">
      <alignment horizontal="center" vertical="center"/>
    </xf>
    <xf numFmtId="20" fontId="7" fillId="20" borderId="6" xfId="0" applyNumberFormat="1" applyFont="1" applyFill="1" applyBorder="1" applyAlignment="1">
      <alignment horizontal="center" vertical="center"/>
    </xf>
    <xf numFmtId="0" fontId="5" fillId="36" borderId="21" xfId="0" applyFont="1" applyFill="1" applyBorder="1" applyAlignment="1">
      <alignment horizontal="center"/>
    </xf>
    <xf numFmtId="0" fontId="5" fillId="36" borderId="1" xfId="0" applyFont="1" applyFill="1" applyBorder="1" applyAlignment="1">
      <alignment horizontal="center"/>
    </xf>
    <xf numFmtId="0" fontId="4" fillId="0" borderId="29" xfId="0" applyFont="1" applyBorder="1" applyAlignment="1">
      <alignment horizontal="center" vertical="center" wrapText="1"/>
    </xf>
    <xf numFmtId="0" fontId="4" fillId="0" borderId="51" xfId="0" applyFont="1" applyBorder="1" applyAlignment="1">
      <alignment horizontal="center" vertical="center"/>
    </xf>
    <xf numFmtId="0" fontId="4" fillId="0" borderId="30"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4" fillId="0" borderId="9" xfId="0" applyFont="1" applyBorder="1" applyAlignment="1">
      <alignment horizontal="center" vertical="center"/>
    </xf>
    <xf numFmtId="0" fontId="4" fillId="0" borderId="35" xfId="0" applyFont="1" applyBorder="1" applyAlignment="1">
      <alignment horizontal="center" vertical="center"/>
    </xf>
    <xf numFmtId="0" fontId="4" fillId="0" borderId="52" xfId="0" applyFont="1" applyBorder="1" applyAlignment="1">
      <alignment horizontal="center" vertical="center"/>
    </xf>
    <xf numFmtId="0" fontId="4" fillId="0" borderId="50" xfId="0" applyFont="1" applyBorder="1" applyAlignment="1">
      <alignment horizontal="center" vertical="center"/>
    </xf>
    <xf numFmtId="0" fontId="6" fillId="2" borderId="9" xfId="0" applyFont="1" applyFill="1" applyBorder="1" applyAlignment="1">
      <alignment horizontal="center" vertical="center"/>
    </xf>
    <xf numFmtId="0" fontId="6" fillId="2" borderId="50" xfId="0" applyFont="1" applyFill="1" applyBorder="1" applyAlignment="1">
      <alignment horizontal="center" vertical="center"/>
    </xf>
    <xf numFmtId="0" fontId="6" fillId="2" borderId="54" xfId="0" applyFont="1" applyFill="1" applyBorder="1" applyAlignment="1">
      <alignment horizontal="center" vertical="center"/>
    </xf>
    <xf numFmtId="0" fontId="6" fillId="2" borderId="55" xfId="0" applyFont="1" applyFill="1" applyBorder="1" applyAlignment="1">
      <alignment horizontal="center" vertical="center"/>
    </xf>
    <xf numFmtId="0" fontId="21" fillId="5" borderId="1" xfId="0" applyFont="1" applyFill="1" applyBorder="1" applyAlignment="1">
      <alignment horizontal="right" vertical="center"/>
    </xf>
    <xf numFmtId="0" fontId="21" fillId="5" borderId="32" xfId="0" applyFont="1" applyFill="1" applyBorder="1" applyAlignment="1">
      <alignment horizontal="right" vertical="center"/>
    </xf>
    <xf numFmtId="0" fontId="21" fillId="5" borderId="33" xfId="0" applyFont="1" applyFill="1" applyBorder="1" applyAlignment="1">
      <alignment horizontal="right" vertical="center"/>
    </xf>
    <xf numFmtId="0" fontId="21" fillId="5" borderId="34" xfId="0" applyFont="1" applyFill="1" applyBorder="1" applyAlignment="1">
      <alignment horizontal="right" vertical="center"/>
    </xf>
    <xf numFmtId="0" fontId="21" fillId="5" borderId="31" xfId="0" applyFont="1" applyFill="1" applyBorder="1" applyAlignment="1">
      <alignment horizontal="right" vertical="center"/>
    </xf>
    <xf numFmtId="0" fontId="21" fillId="5" borderId="13" xfId="0" applyFont="1" applyFill="1" applyBorder="1" applyAlignment="1">
      <alignment horizontal="right" vertical="center"/>
    </xf>
    <xf numFmtId="0" fontId="21" fillId="5" borderId="18" xfId="0" applyFont="1" applyFill="1" applyBorder="1" applyAlignment="1">
      <alignment horizontal="right" vertical="center"/>
    </xf>
    <xf numFmtId="165" fontId="6" fillId="0" borderId="0" xfId="1" applyNumberFormat="1" applyFont="1" applyAlignment="1">
      <alignment horizontal="left"/>
    </xf>
    <xf numFmtId="165" fontId="6" fillId="0" borderId="1" xfId="1" applyNumberFormat="1" applyFont="1" applyBorder="1" applyAlignment="1">
      <alignment horizontal="right"/>
    </xf>
    <xf numFmtId="165" fontId="5" fillId="0" borderId="1" xfId="1" applyNumberFormat="1" applyFont="1" applyBorder="1" applyAlignment="1">
      <alignment horizontal="center" vertical="center"/>
    </xf>
    <xf numFmtId="0" fontId="21" fillId="5" borderId="3" xfId="0" applyFont="1" applyFill="1" applyBorder="1" applyAlignment="1">
      <alignment horizontal="right" vertical="center"/>
    </xf>
    <xf numFmtId="0" fontId="21" fillId="5" borderId="4" xfId="0" applyFont="1" applyFill="1" applyBorder="1" applyAlignment="1">
      <alignment horizontal="right" vertical="center"/>
    </xf>
    <xf numFmtId="0" fontId="21" fillId="5" borderId="6" xfId="0" applyFont="1" applyFill="1" applyBorder="1" applyAlignment="1">
      <alignment horizontal="right" vertical="center"/>
    </xf>
    <xf numFmtId="165" fontId="6" fillId="0" borderId="1" xfId="1" applyNumberFormat="1" applyFont="1" applyBorder="1" applyAlignment="1">
      <alignment horizontal="center"/>
    </xf>
    <xf numFmtId="0" fontId="21" fillId="5" borderId="5" xfId="0" applyFont="1" applyFill="1" applyBorder="1" applyAlignment="1">
      <alignment horizontal="right" vertical="center"/>
    </xf>
    <xf numFmtId="0" fontId="21" fillId="5" borderId="2" xfId="0" applyFont="1" applyFill="1" applyBorder="1" applyAlignment="1">
      <alignment horizontal="right" vertical="center"/>
    </xf>
    <xf numFmtId="0" fontId="21" fillId="5" borderId="19" xfId="0" applyFont="1" applyFill="1" applyBorder="1" applyAlignment="1">
      <alignment horizontal="right" vertical="center"/>
    </xf>
    <xf numFmtId="0" fontId="21" fillId="5" borderId="1" xfId="0" applyFont="1" applyFill="1" applyBorder="1" applyAlignment="1">
      <alignment horizontal="left"/>
    </xf>
    <xf numFmtId="0" fontId="21" fillId="5" borderId="3"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12" xfId="0" applyFont="1" applyFill="1" applyBorder="1" applyAlignment="1">
      <alignment horizontal="right"/>
    </xf>
    <xf numFmtId="0" fontId="21" fillId="5" borderId="17" xfId="0" applyFont="1" applyFill="1" applyBorder="1" applyAlignment="1">
      <alignment horizontal="right"/>
    </xf>
    <xf numFmtId="0" fontId="21" fillId="5" borderId="3" xfId="0" applyFont="1" applyFill="1" applyBorder="1" applyAlignment="1">
      <alignment horizontal="left"/>
    </xf>
    <xf numFmtId="0" fontId="21" fillId="5" borderId="6" xfId="0" applyFont="1" applyFill="1" applyBorder="1" applyAlignment="1">
      <alignment horizontal="left"/>
    </xf>
    <xf numFmtId="0" fontId="21" fillId="15" borderId="1" xfId="0" applyFont="1" applyFill="1" applyBorder="1" applyAlignment="1">
      <alignment horizontal="left"/>
    </xf>
    <xf numFmtId="0" fontId="21" fillId="5" borderId="2" xfId="0" applyFont="1" applyFill="1" applyBorder="1" applyAlignment="1">
      <alignment horizontal="left"/>
    </xf>
    <xf numFmtId="0" fontId="21" fillId="5" borderId="1" xfId="0" applyFont="1" applyFill="1" applyBorder="1" applyAlignment="1">
      <alignment horizontal="left" wrapText="1"/>
    </xf>
    <xf numFmtId="0" fontId="21" fillId="5" borderId="3" xfId="0" applyFont="1" applyFill="1" applyBorder="1" applyAlignment="1">
      <alignment horizontal="left" wrapText="1"/>
    </xf>
    <xf numFmtId="0" fontId="21" fillId="5" borderId="6" xfId="0" applyFont="1" applyFill="1" applyBorder="1" applyAlignment="1">
      <alignment horizontal="left" wrapText="1"/>
    </xf>
    <xf numFmtId="0" fontId="5" fillId="0" borderId="1" xfId="0" applyFont="1" applyBorder="1" applyAlignment="1">
      <alignment horizontal="center"/>
    </xf>
    <xf numFmtId="0" fontId="6" fillId="0" borderId="3"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15" fontId="18" fillId="0" borderId="3" xfId="0" applyNumberFormat="1" applyFont="1" applyBorder="1" applyAlignment="1">
      <alignment horizontal="right"/>
    </xf>
    <xf numFmtId="15" fontId="18" fillId="0" borderId="4" xfId="0" applyNumberFormat="1" applyFont="1" applyBorder="1" applyAlignment="1">
      <alignment horizontal="right"/>
    </xf>
    <xf numFmtId="15" fontId="18" fillId="0" borderId="6" xfId="0" applyNumberFormat="1" applyFont="1" applyBorder="1" applyAlignment="1">
      <alignment horizontal="right"/>
    </xf>
    <xf numFmtId="0" fontId="2" fillId="0" borderId="52" xfId="0" applyFont="1" applyBorder="1" applyAlignment="1">
      <alignment horizontal="center" vertical="center"/>
    </xf>
    <xf numFmtId="0" fontId="48" fillId="0" borderId="56" xfId="0" applyFont="1" applyBorder="1" applyAlignment="1">
      <alignment horizontal="center" vertical="center"/>
    </xf>
    <xf numFmtId="0" fontId="48" fillId="0" borderId="27" xfId="0" applyFont="1" applyBorder="1" applyAlignment="1">
      <alignment horizontal="center" vertical="center"/>
    </xf>
    <xf numFmtId="0" fontId="48" fillId="0" borderId="28" xfId="0" applyFont="1" applyBorder="1" applyAlignment="1">
      <alignment horizontal="center" vertical="center"/>
    </xf>
    <xf numFmtId="0" fontId="48" fillId="0" borderId="57" xfId="0" applyFont="1" applyBorder="1" applyAlignment="1">
      <alignment horizontal="center" vertical="center"/>
    </xf>
    <xf numFmtId="0" fontId="48" fillId="0" borderId="58" xfId="0" applyFont="1" applyBorder="1" applyAlignment="1">
      <alignment horizontal="center" vertical="center"/>
    </xf>
    <xf numFmtId="0" fontId="48" fillId="0" borderId="38" xfId="0" applyFont="1" applyBorder="1" applyAlignment="1">
      <alignment horizontal="center" vertical="center"/>
    </xf>
    <xf numFmtId="0" fontId="51" fillId="0" borderId="1" xfId="0" applyFont="1" applyBorder="1" applyAlignment="1">
      <alignment horizontal="center"/>
    </xf>
    <xf numFmtId="172" fontId="6" fillId="0" borderId="0" xfId="0" applyNumberFormat="1" applyFont="1"/>
    <xf numFmtId="0" fontId="0" fillId="0" borderId="1" xfId="0" applyBorder="1" applyAlignment="1">
      <alignment horizontal="left" vertical="center" wrapText="1"/>
    </xf>
  </cellXfs>
  <cellStyles count="4">
    <cellStyle name="Comma" xfId="1" builtinId="3"/>
    <cellStyle name="Hyperlink" xfId="3" builtinId="8"/>
    <cellStyle name="Normal" xfId="0" builtinId="0"/>
    <cellStyle name="Percent" xfId="2" builtinId="5"/>
  </cellStyles>
  <dxfs count="18">
    <dxf>
      <fill>
        <patternFill>
          <bgColor theme="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5" formatCode="_(* #,##0_);_(* \(#,##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numFmt numFmtId="165" formatCode="_(* #,##0_);_(* \(#,##0\);_(* &quot;-&quot;??_);_(@_)"/>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Pioneer%20Voucher%20Postings.xlsx"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Pioneer%20Voucher%20Postings.xlsx"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828675</xdr:colOff>
      <xdr:row>2302</xdr:row>
      <xdr:rowOff>133350</xdr:rowOff>
    </xdr:from>
    <xdr:to>
      <xdr:col>9</xdr:col>
      <xdr:colOff>504825</xdr:colOff>
      <xdr:row>2302</xdr:row>
      <xdr:rowOff>133350</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a:off x="7400925" y="1975723125"/>
          <a:ext cx="2362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2472</xdr:row>
      <xdr:rowOff>0</xdr:rowOff>
    </xdr:from>
    <xdr:to>
      <xdr:col>10</xdr:col>
      <xdr:colOff>85725</xdr:colOff>
      <xdr:row>2473</xdr:row>
      <xdr:rowOff>66675</xdr:rowOff>
    </xdr:to>
    <xdr:sp macro="[0]!RoundedRectangle5_Click" textlink="">
      <xdr:nvSpPr>
        <xdr:cNvPr id="6" name="Rounded Rectangle 5">
          <a:hlinkClick xmlns:r="http://schemas.openxmlformats.org/officeDocument/2006/relationships" r:id="rId1"/>
          <a:extLst>
            <a:ext uri="{FF2B5EF4-FFF2-40B4-BE49-F238E27FC236}">
              <a16:creationId xmlns:a16="http://schemas.microsoft.com/office/drawing/2014/main" id="{00000000-0008-0000-0000-000006000000}"/>
            </a:ext>
          </a:extLst>
        </xdr:cNvPr>
        <xdr:cNvSpPr/>
      </xdr:nvSpPr>
      <xdr:spPr>
        <a:xfrm>
          <a:off x="9963150" y="1986829275"/>
          <a:ext cx="1238250" cy="2857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US" sz="1200" b="1"/>
            <a:t>Click</a:t>
          </a:r>
          <a:r>
            <a:rPr lang="en-US" sz="1200" b="1" baseline="0"/>
            <a:t> for details</a:t>
          </a:r>
          <a:endParaRPr lang="en-US" sz="1200" b="1"/>
        </a:p>
      </xdr:txBody>
    </xdr:sp>
    <xdr:clientData/>
  </xdr:twoCellAnchor>
  <xdr:twoCellAnchor editAs="oneCell">
    <xdr:from>
      <xdr:col>9</xdr:col>
      <xdr:colOff>0</xdr:colOff>
      <xdr:row>8365</xdr:row>
      <xdr:rowOff>0</xdr:rowOff>
    </xdr:from>
    <xdr:to>
      <xdr:col>9</xdr:col>
      <xdr:colOff>1095528</xdr:colOff>
      <xdr:row>8366</xdr:row>
      <xdr:rowOff>47664</xdr:rowOff>
    </xdr:to>
    <xdr:pic>
      <xdr:nvPicPr>
        <xdr:cNvPr id="2" name="Picture 1">
          <a:extLst>
            <a:ext uri="{FF2B5EF4-FFF2-40B4-BE49-F238E27FC236}">
              <a16:creationId xmlns:a16="http://schemas.microsoft.com/office/drawing/2014/main" id="{E313E142-2EAA-2B20-F7E9-55AB6D1CD7ED}"/>
            </a:ext>
          </a:extLst>
        </xdr:cNvPr>
        <xdr:cNvPicPr>
          <a:picLocks noChangeAspect="1"/>
        </xdr:cNvPicPr>
      </xdr:nvPicPr>
      <xdr:blipFill>
        <a:blip xmlns:r="http://schemas.openxmlformats.org/officeDocument/2006/relationships" r:embed="rId2"/>
        <a:stretch>
          <a:fillRect/>
        </a:stretch>
      </xdr:blipFill>
      <xdr:spPr>
        <a:xfrm>
          <a:off x="14497050" y="2014318425"/>
          <a:ext cx="1095528" cy="285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114300</xdr:colOff>
      <xdr:row>157</xdr:row>
      <xdr:rowOff>104775</xdr:rowOff>
    </xdr:from>
    <xdr:to>
      <xdr:col>10</xdr:col>
      <xdr:colOff>561975</xdr:colOff>
      <xdr:row>157</xdr:row>
      <xdr:rowOff>114300</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a:xfrm flipH="1">
          <a:off x="12696825" y="31823025"/>
          <a:ext cx="447675" cy="95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316</xdr:row>
      <xdr:rowOff>95250</xdr:rowOff>
    </xdr:from>
    <xdr:to>
      <xdr:col>10</xdr:col>
      <xdr:colOff>228600</xdr:colOff>
      <xdr:row>318</xdr:row>
      <xdr:rowOff>123825</xdr:rowOff>
    </xdr:to>
    <xdr:cxnSp macro="">
      <xdr:nvCxnSpPr>
        <xdr:cNvPr id="2" name="Straight Arrow Connector 1">
          <a:extLst>
            <a:ext uri="{FF2B5EF4-FFF2-40B4-BE49-F238E27FC236}">
              <a16:creationId xmlns:a16="http://schemas.microsoft.com/office/drawing/2014/main" id="{00000000-0008-0000-0A00-000002000000}"/>
            </a:ext>
          </a:extLst>
        </xdr:cNvPr>
        <xdr:cNvCxnSpPr/>
      </xdr:nvCxnSpPr>
      <xdr:spPr>
        <a:xfrm>
          <a:off x="9972675" y="76295250"/>
          <a:ext cx="4410075" cy="504825"/>
        </a:xfrm>
        <a:prstGeom prst="straightConnector1">
          <a:avLst/>
        </a:prstGeom>
        <a:ln w="41275"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1229</xdr:row>
      <xdr:rowOff>142876</xdr:rowOff>
    </xdr:from>
    <xdr:to>
      <xdr:col>4</xdr:col>
      <xdr:colOff>276225</xdr:colOff>
      <xdr:row>1235</xdr:row>
      <xdr:rowOff>0</xdr:rowOff>
    </xdr:to>
    <xdr:cxnSp macro="">
      <xdr:nvCxnSpPr>
        <xdr:cNvPr id="3" name="Straight Arrow Connector 2">
          <a:extLst>
            <a:ext uri="{FF2B5EF4-FFF2-40B4-BE49-F238E27FC236}">
              <a16:creationId xmlns:a16="http://schemas.microsoft.com/office/drawing/2014/main" id="{00000000-0008-0000-0A00-000003000000}"/>
            </a:ext>
          </a:extLst>
        </xdr:cNvPr>
        <xdr:cNvCxnSpPr/>
      </xdr:nvCxnSpPr>
      <xdr:spPr>
        <a:xfrm flipV="1">
          <a:off x="6781800" y="313039126"/>
          <a:ext cx="266700" cy="1285874"/>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828675</xdr:colOff>
      <xdr:row>9592</xdr:row>
      <xdr:rowOff>133350</xdr:rowOff>
    </xdr:from>
    <xdr:to>
      <xdr:col>8</xdr:col>
      <xdr:colOff>504825</xdr:colOff>
      <xdr:row>9592</xdr:row>
      <xdr:rowOff>133350</xdr:rowOff>
    </xdr:to>
    <xdr:cxnSp macro="">
      <xdr:nvCxnSpPr>
        <xdr:cNvPr id="4" name="Straight Arrow Connector 3">
          <a:extLst>
            <a:ext uri="{FF2B5EF4-FFF2-40B4-BE49-F238E27FC236}">
              <a16:creationId xmlns:a16="http://schemas.microsoft.com/office/drawing/2014/main" id="{00000000-0008-0000-0A00-000004000000}"/>
            </a:ext>
          </a:extLst>
        </xdr:cNvPr>
        <xdr:cNvCxnSpPr/>
      </xdr:nvCxnSpPr>
      <xdr:spPr>
        <a:xfrm>
          <a:off x="8648700" y="2469413400"/>
          <a:ext cx="33528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9762</xdr:row>
      <xdr:rowOff>0</xdr:rowOff>
    </xdr:from>
    <xdr:to>
      <xdr:col>9</xdr:col>
      <xdr:colOff>85725</xdr:colOff>
      <xdr:row>9763</xdr:row>
      <xdr:rowOff>66675</xdr:rowOff>
    </xdr:to>
    <xdr:sp macro="[0]!RoundedRectangle5_Click" textlink="">
      <xdr:nvSpPr>
        <xdr:cNvPr id="5" name="Rounded Rectangle 4">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11658600" y="2510675700"/>
          <a:ext cx="1066800" cy="30480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US" sz="1200" b="1"/>
            <a:t>Click</a:t>
          </a:r>
          <a:r>
            <a:rPr lang="en-US" sz="1200" b="1" baseline="0"/>
            <a:t> for details</a:t>
          </a:r>
          <a:endParaRPr lang="en-US" sz="12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704021</xdr:colOff>
      <xdr:row>38</xdr:row>
      <xdr:rowOff>91109</xdr:rowOff>
    </xdr:from>
    <xdr:to>
      <xdr:col>17</xdr:col>
      <xdr:colOff>535198</xdr:colOff>
      <xdr:row>53</xdr:row>
      <xdr:rowOff>16861</xdr:rowOff>
    </xdr:to>
    <xdr:pic>
      <xdr:nvPicPr>
        <xdr:cNvPr id="2" name="Picture 1">
          <a:extLst>
            <a:ext uri="{FF2B5EF4-FFF2-40B4-BE49-F238E27FC236}">
              <a16:creationId xmlns:a16="http://schemas.microsoft.com/office/drawing/2014/main" id="{3C4D6285-8496-B9D7-CA30-B8882F85DF71}"/>
            </a:ext>
          </a:extLst>
        </xdr:cNvPr>
        <xdr:cNvPicPr>
          <a:picLocks noChangeAspect="1"/>
        </xdr:cNvPicPr>
      </xdr:nvPicPr>
      <xdr:blipFill>
        <a:blip xmlns:r="http://schemas.openxmlformats.org/officeDocument/2006/relationships" r:embed="rId1"/>
        <a:stretch>
          <a:fillRect/>
        </a:stretch>
      </xdr:blipFill>
      <xdr:spPr>
        <a:xfrm>
          <a:off x="7926456" y="10725979"/>
          <a:ext cx="6954220" cy="5077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ehan%20Aslam\Desktop\staff.xlsx" TargetMode="External"/><Relationship Id="rId1" Type="http://schemas.openxmlformats.org/officeDocument/2006/relationships/externalLinkPath" Target="file:///C:\Users\Rehan%20Aslam\Desktop\staff.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ES\Office%20salaries\Mar%20Salary%20Sheet%20New%20(2024).xlsx" TargetMode="External"/><Relationship Id="rId1" Type="http://schemas.openxmlformats.org/officeDocument/2006/relationships/externalLinkPath" Target="PES/Office%20salaries/Mar%20Salary%20Sheet%20New%20(20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20Voucher%20Posting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Pioneer\PES\Misc\Zakat%20List%20New.xls" TargetMode="External"/><Relationship Id="rId1" Type="http://schemas.openxmlformats.org/officeDocument/2006/relationships/externalLinkPath" Target="PES/Misc/Zakat%20List%20New.xls"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D:\Pioneer\Daily%20Activity.xlsx" TargetMode="External"/><Relationship Id="rId1" Type="http://schemas.openxmlformats.org/officeDocument/2006/relationships/externalLinkPath" Target="Daily%20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ary Sheets"/>
      <sheetName val="Salary Record"/>
    </sheetNames>
    <sheetDataSet>
      <sheetData sheetId="0">
        <row r="78">
          <cell r="D78">
            <v>969250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ary Sheets"/>
      <sheetName val="Salary Record"/>
      <sheetName val="Salary summary"/>
      <sheetName val="Salary increment"/>
    </sheetNames>
    <sheetDataSet>
      <sheetData sheetId="0">
        <row r="87">
          <cell r="Q87">
            <v>2330058.4677419355</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61829898.730626643</v>
          </cell>
          <cell r="G21">
            <v>46800541.815737337</v>
          </cell>
          <cell r="K21">
            <v>15703108.030833334</v>
          </cell>
        </row>
      </sheetData>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Zakat 2019"/>
      <sheetName val="Zakat 2020-21"/>
      <sheetName val="Sheet1"/>
    </sheetNames>
    <sheetDataSet>
      <sheetData sheetId="0"/>
      <sheetData sheetId="1">
        <row r="23">
          <cell r="C23">
            <v>366000</v>
          </cell>
          <cell r="L23">
            <v>290655</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le"/>
      <sheetName val="Paymetns"/>
      <sheetName val="er"/>
      <sheetName val="Al madina"/>
      <sheetName val="Running Invoices"/>
      <sheetName val="sami"/>
      <sheetName val="Quotations"/>
      <sheetName val="invoices"/>
      <sheetName val="Grand Invoices sum up"/>
      <sheetName val="Projects"/>
      <sheetName val="SRB invoices"/>
      <sheetName val="Tender list"/>
      <sheetName val="Rent Details"/>
    </sheetNames>
    <sheetDataSet>
      <sheetData sheetId="0"/>
      <sheetData sheetId="1"/>
      <sheetData sheetId="2"/>
      <sheetData sheetId="3">
        <row r="4">
          <cell r="M4">
            <v>51739575</v>
          </cell>
        </row>
      </sheetData>
      <sheetData sheetId="4"/>
      <sheetData sheetId="5"/>
      <sheetData sheetId="6"/>
      <sheetData sheetId="7"/>
      <sheetData sheetId="8"/>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10BEB-CF3D-4B6E-A398-912FB5DE2C36}" name="Table1" displayName="Table1" ref="A1:E407" totalsRowShown="0" headerRowDxfId="17" headerRowBorderDxfId="16" tableBorderDxfId="15" totalsRowBorderDxfId="14" headerRowCellStyle="Comma">
  <autoFilter ref="A1:E407" xr:uid="{F537B089-32B2-4BEB-9AAB-9E26B9A45F6D}"/>
  <tableColumns count="5">
    <tableColumn id="1" xr3:uid="{B5529DD0-2B68-49EC-B463-88CB59E37FC7}" name="Date" dataDxfId="13" totalsRowDxfId="12"/>
    <tableColumn id="2" xr3:uid="{FC203945-5FFC-41E1-A4B4-B77DBB2DE955}" name="Person" dataDxfId="11" totalsRowDxfId="10"/>
    <tableColumn id="3" xr3:uid="{345CF318-2DA1-4BE3-BA4C-1CDFD5528893}" name="Site" dataDxfId="9" totalsRowDxfId="8"/>
    <tableColumn id="4" xr3:uid="{25799A2E-0F28-4803-B9EA-942C62E1192D}" name="Description" dataDxfId="7" totalsRowDxfId="6"/>
    <tableColumn id="8" xr3:uid="{3448A2AC-6A7B-4842-83C3-5634913B7AFF}" name="Invoices submitted" dataDxfId="5" totalsRowDxfId="4" dataCellStyle="Comma"/>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BAAC-BF85-48CB-82AB-0AABEF4E7586}">
  <sheetPr codeName="Sheet1"/>
  <dimension ref="A1:Q413"/>
  <sheetViews>
    <sheetView zoomScale="115" zoomScaleNormal="115" workbookViewId="0">
      <pane ySplit="1" topLeftCell="A369" activePane="bottomLeft" state="frozen"/>
      <selection activeCell="D6707" sqref="D6707"/>
      <selection pane="bottomLeft" activeCell="H380" sqref="H380"/>
    </sheetView>
  </sheetViews>
  <sheetFormatPr defaultRowHeight="15" x14ac:dyDescent="0.25"/>
  <cols>
    <col min="1" max="1" width="9.5703125" customWidth="1"/>
    <col min="2" max="2" width="16.7109375" customWidth="1"/>
    <col min="3" max="3" width="16.5703125" style="378" customWidth="1"/>
    <col min="4" max="4" width="27.7109375" customWidth="1"/>
    <col min="5" max="5" width="15.85546875" customWidth="1"/>
    <col min="6" max="6" width="2.7109375" customWidth="1"/>
    <col min="7" max="7" width="17.5703125" customWidth="1"/>
    <col min="8" max="8" width="11.85546875" bestFit="1" customWidth="1"/>
    <col min="9" max="9" width="12" customWidth="1"/>
    <col min="10" max="10" width="12.140625" customWidth="1"/>
    <col min="11" max="12" width="11" customWidth="1"/>
    <col min="13" max="13" width="11.85546875" bestFit="1" customWidth="1"/>
  </cols>
  <sheetData>
    <row r="1" spans="1:17" ht="37.5" x14ac:dyDescent="0.3">
      <c r="A1" s="487" t="s">
        <v>1</v>
      </c>
      <c r="B1" s="488" t="s">
        <v>337</v>
      </c>
      <c r="C1" s="488" t="s">
        <v>9874</v>
      </c>
      <c r="D1" s="488" t="s">
        <v>3</v>
      </c>
      <c r="E1" s="489" t="s">
        <v>10617</v>
      </c>
      <c r="F1" s="4"/>
      <c r="I1" s="2"/>
      <c r="J1" s="2"/>
      <c r="K1" s="2"/>
    </row>
    <row r="2" spans="1:17" x14ac:dyDescent="0.25">
      <c r="A2" s="492"/>
      <c r="B2" s="294" t="s">
        <v>9904</v>
      </c>
      <c r="C2" s="460" t="s">
        <v>10614</v>
      </c>
      <c r="D2" s="294"/>
      <c r="E2" s="304"/>
      <c r="I2" s="2"/>
      <c r="J2" s="2"/>
      <c r="K2" s="2"/>
    </row>
    <row r="3" spans="1:17" x14ac:dyDescent="0.25">
      <c r="A3" s="494"/>
      <c r="B3" s="308" t="s">
        <v>9906</v>
      </c>
      <c r="C3" s="460" t="s">
        <v>10615</v>
      </c>
      <c r="D3" s="308"/>
      <c r="E3" s="306"/>
      <c r="I3" s="2"/>
      <c r="J3" s="2"/>
      <c r="K3" s="2"/>
    </row>
    <row r="4" spans="1:17" x14ac:dyDescent="0.25">
      <c r="A4" s="492"/>
      <c r="B4" s="294" t="s">
        <v>9905</v>
      </c>
      <c r="C4" s="460"/>
      <c r="D4" s="294"/>
      <c r="E4" s="304"/>
      <c r="I4" s="2"/>
      <c r="J4" s="2"/>
      <c r="K4" s="2"/>
    </row>
    <row r="5" spans="1:17" x14ac:dyDescent="0.25">
      <c r="A5" s="492"/>
      <c r="B5" s="294" t="s">
        <v>445</v>
      </c>
      <c r="C5" s="460"/>
      <c r="D5" s="294"/>
      <c r="E5" s="304"/>
      <c r="I5" s="2"/>
      <c r="J5" s="2"/>
      <c r="K5" s="2"/>
    </row>
    <row r="6" spans="1:17" x14ac:dyDescent="0.25">
      <c r="A6" s="492"/>
      <c r="B6" s="294" t="s">
        <v>156</v>
      </c>
      <c r="C6" s="460"/>
      <c r="D6" s="294"/>
      <c r="E6" s="304"/>
      <c r="I6" s="2"/>
      <c r="J6" s="2"/>
      <c r="K6" s="2"/>
    </row>
    <row r="7" spans="1:17" x14ac:dyDescent="0.25">
      <c r="A7" s="492"/>
      <c r="B7" s="294" t="s">
        <v>9907</v>
      </c>
      <c r="C7" s="460"/>
      <c r="D7" s="294"/>
      <c r="E7" s="304"/>
      <c r="I7" s="2"/>
      <c r="J7" s="2"/>
      <c r="K7" s="2"/>
    </row>
    <row r="8" spans="1:17" x14ac:dyDescent="0.25">
      <c r="A8" s="492"/>
      <c r="B8" s="294" t="s">
        <v>8573</v>
      </c>
      <c r="C8" s="460"/>
      <c r="D8" s="294"/>
      <c r="E8" s="304"/>
      <c r="I8" s="2"/>
      <c r="J8" s="2"/>
      <c r="K8" s="2"/>
    </row>
    <row r="9" spans="1:17" x14ac:dyDescent="0.25">
      <c r="A9" s="492"/>
      <c r="B9" s="294" t="s">
        <v>3554</v>
      </c>
      <c r="C9" s="460"/>
      <c r="D9" s="294"/>
      <c r="E9" s="304"/>
      <c r="I9" s="2"/>
      <c r="J9" s="2"/>
      <c r="K9" s="2"/>
    </row>
    <row r="10" spans="1:17" x14ac:dyDescent="0.25">
      <c r="A10" s="492"/>
      <c r="B10" s="294" t="s">
        <v>9908</v>
      </c>
      <c r="C10" s="460"/>
      <c r="D10" s="294"/>
      <c r="E10" s="304"/>
      <c r="I10" s="2"/>
      <c r="J10" s="2"/>
      <c r="K10" s="2"/>
    </row>
    <row r="11" spans="1:17" x14ac:dyDescent="0.25">
      <c r="A11" s="492"/>
      <c r="B11" s="294" t="s">
        <v>10022</v>
      </c>
      <c r="C11" s="460"/>
      <c r="D11" s="294"/>
      <c r="E11" s="304"/>
      <c r="I11" s="2"/>
      <c r="J11" s="2"/>
      <c r="K11" s="2"/>
    </row>
    <row r="12" spans="1:17" x14ac:dyDescent="0.25">
      <c r="A12" s="492"/>
      <c r="B12" s="294" t="s">
        <v>10111</v>
      </c>
      <c r="C12" s="460"/>
      <c r="D12" s="294"/>
      <c r="E12" s="304"/>
      <c r="I12" s="2"/>
      <c r="J12" s="2"/>
      <c r="K12" s="2"/>
    </row>
    <row r="13" spans="1:17" x14ac:dyDescent="0.25">
      <c r="A13" s="492"/>
      <c r="B13" s="294" t="s">
        <v>9864</v>
      </c>
      <c r="C13" s="460"/>
      <c r="D13" s="294"/>
      <c r="E13" s="304"/>
      <c r="I13" s="2"/>
      <c r="J13" s="2"/>
      <c r="K13" s="2"/>
    </row>
    <row r="14" spans="1:17" x14ac:dyDescent="0.25">
      <c r="A14" s="492"/>
      <c r="B14" s="294" t="s">
        <v>10218</v>
      </c>
      <c r="C14" s="460"/>
      <c r="D14" s="294"/>
      <c r="E14" s="304"/>
      <c r="I14" s="2"/>
      <c r="J14" s="2"/>
      <c r="K14" s="2"/>
      <c r="Q14">
        <v>28900</v>
      </c>
    </row>
    <row r="15" spans="1:17" x14ac:dyDescent="0.25">
      <c r="A15" s="492"/>
      <c r="B15" s="294" t="s">
        <v>10328</v>
      </c>
      <c r="C15" s="460"/>
      <c r="D15" s="294"/>
      <c r="E15" s="304"/>
      <c r="I15" s="2"/>
      <c r="J15" s="2"/>
      <c r="K15" s="2"/>
      <c r="Q15">
        <v>28900</v>
      </c>
    </row>
    <row r="16" spans="1:17" x14ac:dyDescent="0.25">
      <c r="A16" s="492"/>
      <c r="B16" s="294" t="s">
        <v>10395</v>
      </c>
      <c r="C16" s="460"/>
      <c r="D16" s="294"/>
      <c r="E16" s="304"/>
      <c r="I16" s="2"/>
      <c r="J16" s="2"/>
      <c r="K16" s="2"/>
      <c r="Q16">
        <f>SUM(Q14:Q15)</f>
        <v>57800</v>
      </c>
    </row>
    <row r="17" spans="1:17" x14ac:dyDescent="0.25">
      <c r="A17" s="492"/>
      <c r="B17" s="294" t="s">
        <v>10535</v>
      </c>
      <c r="C17" s="460"/>
      <c r="D17" s="294"/>
      <c r="E17" s="304"/>
      <c r="I17" s="2"/>
      <c r="J17" s="2"/>
      <c r="K17" s="2"/>
      <c r="Q17">
        <v>53000</v>
      </c>
    </row>
    <row r="18" spans="1:17" x14ac:dyDescent="0.25">
      <c r="A18" s="492"/>
      <c r="B18" s="294" t="s">
        <v>247</v>
      </c>
      <c r="C18" s="460"/>
      <c r="D18" s="294"/>
      <c r="E18" s="304"/>
      <c r="I18" s="2"/>
      <c r="J18" s="2"/>
      <c r="K18" s="2"/>
      <c r="Q18">
        <f>Q17+Q16</f>
        <v>110800</v>
      </c>
    </row>
    <row r="19" spans="1:17" x14ac:dyDescent="0.25">
      <c r="A19" s="492"/>
      <c r="B19" s="294" t="s">
        <v>9873</v>
      </c>
      <c r="C19" s="460"/>
      <c r="D19" s="294" t="s">
        <v>77</v>
      </c>
      <c r="E19" s="304"/>
      <c r="I19" s="2"/>
      <c r="J19" s="2"/>
      <c r="K19" s="2"/>
    </row>
    <row r="20" spans="1:17" x14ac:dyDescent="0.25">
      <c r="A20" s="493">
        <v>44970</v>
      </c>
      <c r="B20" s="294" t="s">
        <v>8928</v>
      </c>
      <c r="C20" s="460"/>
      <c r="D20" s="294" t="s">
        <v>3920</v>
      </c>
      <c r="E20" s="304">
        <v>12900</v>
      </c>
      <c r="I20" s="2"/>
      <c r="J20" s="2"/>
      <c r="K20" s="2"/>
    </row>
    <row r="21" spans="1:17" x14ac:dyDescent="0.25">
      <c r="A21" s="493">
        <v>44970</v>
      </c>
      <c r="B21" s="294" t="s">
        <v>3595</v>
      </c>
      <c r="C21" s="460"/>
      <c r="D21" s="294" t="s">
        <v>10619</v>
      </c>
      <c r="E21" s="304"/>
      <c r="I21" s="2"/>
      <c r="J21" s="2"/>
      <c r="K21" s="2"/>
    </row>
    <row r="22" spans="1:17" x14ac:dyDescent="0.25">
      <c r="A22" s="493">
        <v>44971</v>
      </c>
      <c r="B22" s="294" t="s">
        <v>9906</v>
      </c>
      <c r="C22" s="460"/>
      <c r="D22" s="294" t="s">
        <v>3920</v>
      </c>
      <c r="E22" s="304">
        <v>3600</v>
      </c>
      <c r="I22" s="2"/>
      <c r="J22" s="2"/>
      <c r="K22" s="2"/>
    </row>
    <row r="23" spans="1:17" x14ac:dyDescent="0.25">
      <c r="A23" s="493">
        <v>44971</v>
      </c>
      <c r="B23" s="294" t="s">
        <v>9864</v>
      </c>
      <c r="C23" s="460" t="s">
        <v>10631</v>
      </c>
      <c r="D23" s="294" t="s">
        <v>3920</v>
      </c>
      <c r="E23" s="304">
        <v>6450</v>
      </c>
      <c r="I23" s="2"/>
      <c r="J23" s="2"/>
      <c r="K23" s="2"/>
    </row>
    <row r="24" spans="1:17" x14ac:dyDescent="0.25">
      <c r="A24" s="493">
        <v>44971</v>
      </c>
      <c r="B24" s="294" t="s">
        <v>9873</v>
      </c>
      <c r="C24" s="460"/>
      <c r="D24" s="294" t="s">
        <v>3920</v>
      </c>
      <c r="E24" s="304">
        <v>5700</v>
      </c>
      <c r="I24" s="2"/>
      <c r="J24" s="2"/>
      <c r="K24" s="2"/>
    </row>
    <row r="25" spans="1:17" x14ac:dyDescent="0.25">
      <c r="A25" s="493">
        <v>44972</v>
      </c>
      <c r="B25" s="294" t="s">
        <v>9904</v>
      </c>
      <c r="C25" s="460" t="s">
        <v>10614</v>
      </c>
      <c r="D25" s="294" t="s">
        <v>3920</v>
      </c>
      <c r="E25" s="304">
        <v>30610</v>
      </c>
      <c r="I25" s="2"/>
      <c r="J25" s="2"/>
      <c r="K25" s="2"/>
    </row>
    <row r="26" spans="1:17" x14ac:dyDescent="0.25">
      <c r="A26" s="493">
        <v>44972</v>
      </c>
      <c r="B26" s="294" t="s">
        <v>9904</v>
      </c>
      <c r="C26" s="460" t="s">
        <v>10614</v>
      </c>
      <c r="D26" s="294" t="s">
        <v>3920</v>
      </c>
      <c r="E26" s="304">
        <v>25000</v>
      </c>
      <c r="I26" s="2"/>
      <c r="J26" s="2"/>
      <c r="K26" s="2"/>
    </row>
    <row r="27" spans="1:17" x14ac:dyDescent="0.25">
      <c r="A27" s="493">
        <v>44972</v>
      </c>
      <c r="B27" s="294" t="s">
        <v>9904</v>
      </c>
      <c r="C27" s="460" t="s">
        <v>10614</v>
      </c>
      <c r="D27" s="294" t="s">
        <v>3920</v>
      </c>
      <c r="E27" s="304">
        <v>53000</v>
      </c>
      <c r="I27" s="2"/>
      <c r="J27" s="2"/>
      <c r="K27" s="2"/>
    </row>
    <row r="28" spans="1:17" x14ac:dyDescent="0.25">
      <c r="A28" s="493">
        <v>44972</v>
      </c>
      <c r="B28" s="294" t="s">
        <v>9904</v>
      </c>
      <c r="C28" s="460" t="s">
        <v>10614</v>
      </c>
      <c r="D28" s="294" t="s">
        <v>3920</v>
      </c>
      <c r="E28" s="304">
        <v>57800</v>
      </c>
      <c r="I28" s="2"/>
      <c r="J28" s="2"/>
      <c r="K28" s="2"/>
    </row>
    <row r="29" spans="1:17" x14ac:dyDescent="0.25">
      <c r="A29" s="493">
        <v>44972</v>
      </c>
      <c r="B29" s="294" t="s">
        <v>445</v>
      </c>
      <c r="C29" s="460" t="s">
        <v>9879</v>
      </c>
      <c r="D29" s="294" t="s">
        <v>3920</v>
      </c>
      <c r="E29" s="304">
        <v>33724</v>
      </c>
      <c r="I29" s="2"/>
      <c r="J29" s="2"/>
      <c r="K29" s="2"/>
    </row>
    <row r="30" spans="1:17" x14ac:dyDescent="0.25">
      <c r="A30" s="493">
        <v>44975</v>
      </c>
      <c r="B30" s="294" t="s">
        <v>9873</v>
      </c>
      <c r="C30" s="460"/>
      <c r="D30" s="294" t="s">
        <v>3920</v>
      </c>
      <c r="E30" s="304">
        <v>6190</v>
      </c>
      <c r="I30" s="2"/>
      <c r="J30" s="2"/>
      <c r="K30" s="2"/>
    </row>
    <row r="31" spans="1:17" x14ac:dyDescent="0.25">
      <c r="A31" s="493">
        <v>44975</v>
      </c>
      <c r="B31" s="294" t="s">
        <v>9864</v>
      </c>
      <c r="C31" s="460" t="s">
        <v>10631</v>
      </c>
      <c r="D31" s="294" t="s">
        <v>10644</v>
      </c>
      <c r="E31" s="304">
        <v>1650</v>
      </c>
      <c r="I31" s="2"/>
      <c r="J31" s="2"/>
      <c r="K31" s="2"/>
    </row>
    <row r="32" spans="1:17" x14ac:dyDescent="0.25">
      <c r="A32" s="493">
        <v>44977</v>
      </c>
      <c r="B32" s="294" t="s">
        <v>156</v>
      </c>
      <c r="C32" s="460" t="s">
        <v>10655</v>
      </c>
      <c r="D32" s="294" t="s">
        <v>3920</v>
      </c>
      <c r="E32" s="304">
        <v>6710</v>
      </c>
      <c r="I32" s="2"/>
      <c r="J32" s="2"/>
      <c r="K32" s="2"/>
    </row>
    <row r="33" spans="1:11" x14ac:dyDescent="0.25">
      <c r="A33" s="493">
        <v>44977</v>
      </c>
      <c r="B33" s="294" t="s">
        <v>156</v>
      </c>
      <c r="C33" s="460" t="s">
        <v>10655</v>
      </c>
      <c r="D33" s="294" t="s">
        <v>10656</v>
      </c>
      <c r="E33" s="304">
        <v>1000</v>
      </c>
      <c r="I33" s="2"/>
      <c r="J33" s="2"/>
      <c r="K33" s="2"/>
    </row>
    <row r="34" spans="1:11" x14ac:dyDescent="0.25">
      <c r="A34" s="493">
        <v>44979</v>
      </c>
      <c r="B34" s="294" t="s">
        <v>9873</v>
      </c>
      <c r="C34" s="460"/>
      <c r="D34" s="294" t="s">
        <v>3920</v>
      </c>
      <c r="E34" s="304">
        <v>6655</v>
      </c>
      <c r="I34" s="2"/>
      <c r="J34" s="2"/>
      <c r="K34" s="2"/>
    </row>
    <row r="35" spans="1:11" x14ac:dyDescent="0.25">
      <c r="A35" s="493">
        <v>44979</v>
      </c>
      <c r="B35" s="294" t="s">
        <v>9864</v>
      </c>
      <c r="C35" s="460" t="s">
        <v>10631</v>
      </c>
      <c r="D35" s="294" t="s">
        <v>3920</v>
      </c>
      <c r="E35" s="304">
        <v>1560</v>
      </c>
      <c r="I35" s="2"/>
      <c r="J35" s="2"/>
      <c r="K35" s="2"/>
    </row>
    <row r="36" spans="1:11" x14ac:dyDescent="0.25">
      <c r="A36" s="493">
        <v>44981</v>
      </c>
      <c r="B36" s="294" t="s">
        <v>9873</v>
      </c>
      <c r="C36" s="460"/>
      <c r="D36" s="294" t="s">
        <v>3920</v>
      </c>
      <c r="E36" s="304">
        <v>6420</v>
      </c>
      <c r="I36" s="2"/>
      <c r="J36" s="2"/>
      <c r="K36" s="2"/>
    </row>
    <row r="37" spans="1:11" x14ac:dyDescent="0.25">
      <c r="A37" s="493">
        <v>44985</v>
      </c>
      <c r="B37" s="294" t="s">
        <v>9906</v>
      </c>
      <c r="C37" s="460"/>
      <c r="D37" s="294" t="s">
        <v>3920</v>
      </c>
      <c r="E37" s="304">
        <v>3000</v>
      </c>
      <c r="I37" s="2"/>
      <c r="J37" s="2"/>
      <c r="K37" s="2"/>
    </row>
    <row r="38" spans="1:11" x14ac:dyDescent="0.25">
      <c r="A38" s="493">
        <v>44986</v>
      </c>
      <c r="B38" s="294" t="s">
        <v>9873</v>
      </c>
      <c r="C38" s="460"/>
      <c r="D38" s="294" t="s">
        <v>3920</v>
      </c>
      <c r="E38" s="304">
        <v>4550</v>
      </c>
      <c r="I38" s="2"/>
      <c r="J38" s="2"/>
      <c r="K38" s="2"/>
    </row>
    <row r="39" spans="1:11" x14ac:dyDescent="0.25">
      <c r="A39" s="493">
        <v>44986</v>
      </c>
      <c r="B39" s="294" t="s">
        <v>10111</v>
      </c>
      <c r="C39" s="460" t="s">
        <v>10631</v>
      </c>
      <c r="D39" s="294" t="s">
        <v>3920</v>
      </c>
      <c r="E39" s="304">
        <v>2990</v>
      </c>
      <c r="I39" s="2"/>
      <c r="J39" s="2"/>
      <c r="K39" s="2"/>
    </row>
    <row r="40" spans="1:11" x14ac:dyDescent="0.25">
      <c r="A40" s="493">
        <v>44986</v>
      </c>
      <c r="B40" s="294" t="s">
        <v>9864</v>
      </c>
      <c r="C40" s="460" t="s">
        <v>10631</v>
      </c>
      <c r="D40" s="294" t="s">
        <v>3920</v>
      </c>
      <c r="E40" s="304">
        <v>2570</v>
      </c>
      <c r="I40" s="2"/>
      <c r="J40" s="2"/>
      <c r="K40" s="2"/>
    </row>
    <row r="41" spans="1:11" x14ac:dyDescent="0.25">
      <c r="A41" s="493">
        <v>44987</v>
      </c>
      <c r="B41" s="294" t="s">
        <v>9873</v>
      </c>
      <c r="C41" s="460"/>
      <c r="D41" s="294" t="s">
        <v>3920</v>
      </c>
      <c r="E41" s="304">
        <v>4085</v>
      </c>
      <c r="I41" s="2"/>
      <c r="J41" s="2"/>
      <c r="K41" s="2"/>
    </row>
    <row r="42" spans="1:11" x14ac:dyDescent="0.25">
      <c r="A42" s="493"/>
      <c r="B42" s="294"/>
      <c r="C42" s="460"/>
      <c r="D42" s="294"/>
      <c r="E42" s="304"/>
      <c r="I42" s="2"/>
      <c r="J42" s="2"/>
      <c r="K42" s="2"/>
    </row>
    <row r="43" spans="1:11" x14ac:dyDescent="0.25">
      <c r="A43" s="493">
        <v>44988</v>
      </c>
      <c r="B43" s="294" t="s">
        <v>8928</v>
      </c>
      <c r="C43" s="460" t="s">
        <v>10700</v>
      </c>
      <c r="D43" s="294" t="s">
        <v>3920</v>
      </c>
      <c r="E43" s="304">
        <v>64000</v>
      </c>
      <c r="I43" s="2"/>
      <c r="J43" s="2"/>
      <c r="K43" s="2"/>
    </row>
    <row r="44" spans="1:11" x14ac:dyDescent="0.25">
      <c r="A44" s="493">
        <v>44989</v>
      </c>
      <c r="B44" s="294" t="s">
        <v>9873</v>
      </c>
      <c r="C44" s="460"/>
      <c r="D44" s="294" t="s">
        <v>3920</v>
      </c>
      <c r="E44" s="304">
        <v>3346</v>
      </c>
      <c r="I44" s="2"/>
      <c r="J44" s="2"/>
      <c r="K44" s="2"/>
    </row>
    <row r="45" spans="1:11" x14ac:dyDescent="0.25">
      <c r="A45" s="493">
        <v>44990</v>
      </c>
      <c r="B45" s="294" t="s">
        <v>9904</v>
      </c>
      <c r="C45" s="460"/>
      <c r="D45" s="294" t="s">
        <v>3920</v>
      </c>
      <c r="E45" s="304">
        <v>73175</v>
      </c>
      <c r="I45" s="2"/>
      <c r="J45" s="2"/>
      <c r="K45" s="2"/>
    </row>
    <row r="46" spans="1:11" x14ac:dyDescent="0.25">
      <c r="A46" s="493">
        <v>44990</v>
      </c>
      <c r="B46" s="294" t="s">
        <v>9904</v>
      </c>
      <c r="C46" s="460"/>
      <c r="D46" s="294" t="s">
        <v>10707</v>
      </c>
      <c r="E46" s="304">
        <v>25</v>
      </c>
      <c r="I46" s="2"/>
      <c r="J46" s="2"/>
      <c r="K46" s="2"/>
    </row>
    <row r="47" spans="1:11" x14ac:dyDescent="0.25">
      <c r="A47" s="493">
        <v>44990</v>
      </c>
      <c r="B47" s="294" t="s">
        <v>9873</v>
      </c>
      <c r="C47" s="460"/>
      <c r="D47" s="294"/>
      <c r="E47" s="304">
        <v>1395</v>
      </c>
      <c r="I47" s="2"/>
      <c r="J47" s="2"/>
      <c r="K47" s="2"/>
    </row>
    <row r="48" spans="1:11" x14ac:dyDescent="0.25">
      <c r="A48" s="493">
        <v>44990</v>
      </c>
      <c r="B48" s="294" t="s">
        <v>10218</v>
      </c>
      <c r="C48" s="460"/>
      <c r="D48" s="294"/>
      <c r="E48" s="304">
        <v>550</v>
      </c>
      <c r="I48" s="2"/>
      <c r="J48" s="2"/>
      <c r="K48" s="2"/>
    </row>
    <row r="49" spans="1:11" x14ac:dyDescent="0.25">
      <c r="A49" s="493">
        <v>44990</v>
      </c>
      <c r="B49" s="294" t="s">
        <v>8573</v>
      </c>
      <c r="C49" s="460" t="s">
        <v>10655</v>
      </c>
      <c r="D49" s="294" t="s">
        <v>10728</v>
      </c>
      <c r="E49" s="304">
        <v>19900</v>
      </c>
      <c r="I49" s="2"/>
      <c r="J49" s="2"/>
      <c r="K49" s="2"/>
    </row>
    <row r="50" spans="1:11" x14ac:dyDescent="0.25">
      <c r="A50" s="493">
        <v>44990</v>
      </c>
      <c r="B50" s="294" t="s">
        <v>8573</v>
      </c>
      <c r="C50" s="460" t="s">
        <v>10631</v>
      </c>
      <c r="D50" s="294" t="s">
        <v>10729</v>
      </c>
      <c r="E50" s="304">
        <v>27785</v>
      </c>
      <c r="I50" s="2"/>
      <c r="J50" s="2"/>
      <c r="K50" s="2"/>
    </row>
    <row r="51" spans="1:11" x14ac:dyDescent="0.25">
      <c r="A51" s="493">
        <v>44990</v>
      </c>
      <c r="B51" s="294" t="s">
        <v>8573</v>
      </c>
      <c r="C51" s="460" t="s">
        <v>10631</v>
      </c>
      <c r="D51" s="294" t="s">
        <v>10730</v>
      </c>
      <c r="E51" s="304">
        <v>28150</v>
      </c>
      <c r="I51" s="2"/>
      <c r="J51" s="2"/>
      <c r="K51" s="2"/>
    </row>
    <row r="52" spans="1:11" x14ac:dyDescent="0.25">
      <c r="A52" s="493">
        <v>44990</v>
      </c>
      <c r="B52" s="294" t="s">
        <v>9873</v>
      </c>
      <c r="C52" s="460"/>
      <c r="D52" s="294"/>
      <c r="E52" s="304">
        <v>4865</v>
      </c>
      <c r="I52" s="2"/>
      <c r="J52" s="2"/>
      <c r="K52" s="2"/>
    </row>
    <row r="53" spans="1:11" x14ac:dyDescent="0.25">
      <c r="A53" s="493">
        <v>44990</v>
      </c>
      <c r="B53" s="294" t="s">
        <v>247</v>
      </c>
      <c r="C53" s="460"/>
      <c r="D53" s="294" t="s">
        <v>7737</v>
      </c>
      <c r="E53" s="304">
        <v>6235</v>
      </c>
      <c r="H53" s="304"/>
      <c r="I53" s="304"/>
      <c r="J53" s="304"/>
      <c r="K53" s="2"/>
    </row>
    <row r="54" spans="1:11" x14ac:dyDescent="0.25">
      <c r="A54" s="493">
        <v>44990</v>
      </c>
      <c r="B54" s="294" t="s">
        <v>9947</v>
      </c>
      <c r="C54" s="460"/>
      <c r="D54" s="294"/>
      <c r="E54" s="304">
        <v>72200</v>
      </c>
      <c r="I54" s="2"/>
      <c r="J54" s="2"/>
      <c r="K54" s="2"/>
    </row>
    <row r="55" spans="1:11" x14ac:dyDescent="0.25">
      <c r="A55" s="493">
        <v>44990</v>
      </c>
      <c r="B55" s="294" t="s">
        <v>156</v>
      </c>
      <c r="C55" s="460"/>
      <c r="D55" s="294"/>
      <c r="E55" s="304">
        <v>12600</v>
      </c>
    </row>
    <row r="56" spans="1:11" x14ac:dyDescent="0.25">
      <c r="A56" s="493">
        <v>44990</v>
      </c>
      <c r="B56" s="294" t="s">
        <v>156</v>
      </c>
      <c r="C56" s="460"/>
      <c r="D56" s="294"/>
      <c r="E56" s="304">
        <v>2500</v>
      </c>
    </row>
    <row r="57" spans="1:11" x14ac:dyDescent="0.25">
      <c r="A57" s="493">
        <v>44996</v>
      </c>
      <c r="B57" s="294" t="s">
        <v>8928</v>
      </c>
      <c r="C57" s="460"/>
      <c r="D57" s="294"/>
      <c r="E57" s="304">
        <v>17125</v>
      </c>
    </row>
    <row r="58" spans="1:11" x14ac:dyDescent="0.25">
      <c r="A58" s="493">
        <v>44996</v>
      </c>
      <c r="B58" s="294" t="s">
        <v>10001</v>
      </c>
      <c r="C58" s="460"/>
      <c r="D58" s="294" t="s">
        <v>10750</v>
      </c>
      <c r="E58" s="304">
        <v>1000</v>
      </c>
    </row>
    <row r="59" spans="1:11" x14ac:dyDescent="0.25">
      <c r="A59" s="493">
        <v>44999</v>
      </c>
      <c r="B59" s="294" t="s">
        <v>9906</v>
      </c>
      <c r="C59" s="460"/>
      <c r="D59" s="294"/>
      <c r="E59" s="304">
        <v>2200</v>
      </c>
    </row>
    <row r="60" spans="1:11" x14ac:dyDescent="0.25">
      <c r="A60" s="493">
        <v>45000</v>
      </c>
      <c r="B60" s="294" t="s">
        <v>9873</v>
      </c>
      <c r="C60" s="460"/>
      <c r="D60" s="294"/>
      <c r="E60" s="304">
        <f>8540+1370</f>
        <v>9910</v>
      </c>
    </row>
    <row r="61" spans="1:11" x14ac:dyDescent="0.25">
      <c r="A61" s="493">
        <v>45001</v>
      </c>
      <c r="B61" s="294" t="s">
        <v>10001</v>
      </c>
      <c r="C61" s="460" t="s">
        <v>10631</v>
      </c>
      <c r="D61" s="294"/>
      <c r="E61" s="304">
        <v>2950</v>
      </c>
    </row>
    <row r="62" spans="1:11" x14ac:dyDescent="0.25">
      <c r="A62" s="493">
        <v>45001</v>
      </c>
      <c r="B62" s="294" t="s">
        <v>10001</v>
      </c>
      <c r="C62" s="460"/>
      <c r="D62" s="294"/>
      <c r="E62" s="304">
        <v>550</v>
      </c>
    </row>
    <row r="63" spans="1:11" x14ac:dyDescent="0.25">
      <c r="A63" s="493">
        <v>45002</v>
      </c>
      <c r="B63" s="294" t="s">
        <v>8928</v>
      </c>
      <c r="C63" s="460"/>
      <c r="D63" s="294"/>
      <c r="E63" s="304">
        <v>13460</v>
      </c>
    </row>
    <row r="64" spans="1:11" x14ac:dyDescent="0.25">
      <c r="A64" s="493">
        <v>45002</v>
      </c>
      <c r="B64" s="294" t="s">
        <v>156</v>
      </c>
      <c r="C64" s="460"/>
      <c r="D64" s="294"/>
      <c r="E64" s="304">
        <v>4500</v>
      </c>
    </row>
    <row r="65" spans="1:5" x14ac:dyDescent="0.25">
      <c r="A65" s="493">
        <v>45002</v>
      </c>
      <c r="B65" s="294" t="s">
        <v>156</v>
      </c>
      <c r="C65" s="460"/>
      <c r="D65" s="294"/>
      <c r="E65" s="304">
        <v>120</v>
      </c>
    </row>
    <row r="66" spans="1:5" x14ac:dyDescent="0.25">
      <c r="A66" s="493">
        <v>45002</v>
      </c>
      <c r="B66" s="294" t="s">
        <v>247</v>
      </c>
      <c r="C66" s="460"/>
      <c r="D66" s="294"/>
      <c r="E66" s="304">
        <v>8940</v>
      </c>
    </row>
    <row r="67" spans="1:5" x14ac:dyDescent="0.25">
      <c r="A67" s="493">
        <v>45006</v>
      </c>
      <c r="B67" s="294" t="s">
        <v>9864</v>
      </c>
      <c r="C67" s="460"/>
      <c r="D67" s="294"/>
      <c r="E67" s="304">
        <v>6160</v>
      </c>
    </row>
    <row r="68" spans="1:5" x14ac:dyDescent="0.25">
      <c r="A68" s="493">
        <v>45009</v>
      </c>
      <c r="B68" s="294" t="s">
        <v>9904</v>
      </c>
      <c r="C68" s="460"/>
      <c r="D68" s="294" t="s">
        <v>3920</v>
      </c>
      <c r="E68" s="304">
        <v>103998</v>
      </c>
    </row>
    <row r="69" spans="1:5" x14ac:dyDescent="0.25">
      <c r="A69" s="493">
        <v>45009</v>
      </c>
      <c r="B69" s="294" t="s">
        <v>9904</v>
      </c>
      <c r="C69" s="460"/>
      <c r="D69" s="294" t="s">
        <v>10822</v>
      </c>
      <c r="E69" s="304">
        <v>10000</v>
      </c>
    </row>
    <row r="70" spans="1:5" x14ac:dyDescent="0.25">
      <c r="A70" s="493">
        <v>45009</v>
      </c>
      <c r="B70" s="294" t="s">
        <v>9904</v>
      </c>
      <c r="C70" s="460"/>
      <c r="D70" s="294" t="s">
        <v>10826</v>
      </c>
      <c r="E70" s="304">
        <v>16500</v>
      </c>
    </row>
    <row r="71" spans="1:5" x14ac:dyDescent="0.25">
      <c r="A71" s="493">
        <v>45012</v>
      </c>
      <c r="B71" s="294" t="s">
        <v>10709</v>
      </c>
      <c r="C71" s="460"/>
      <c r="D71" s="294" t="s">
        <v>10846</v>
      </c>
      <c r="E71" s="304">
        <v>5000</v>
      </c>
    </row>
    <row r="72" spans="1:5" x14ac:dyDescent="0.25">
      <c r="A72" s="493">
        <v>45012</v>
      </c>
      <c r="B72" s="294" t="s">
        <v>9904</v>
      </c>
      <c r="C72" s="460"/>
      <c r="D72" s="294" t="s">
        <v>3920</v>
      </c>
      <c r="E72" s="304">
        <v>47730</v>
      </c>
    </row>
    <row r="73" spans="1:5" x14ac:dyDescent="0.25">
      <c r="A73" s="493">
        <v>45013</v>
      </c>
      <c r="B73" s="294" t="s">
        <v>156</v>
      </c>
      <c r="C73" s="460"/>
      <c r="D73" s="294" t="s">
        <v>3920</v>
      </c>
      <c r="E73" s="304">
        <v>7940</v>
      </c>
    </row>
    <row r="74" spans="1:5" x14ac:dyDescent="0.25">
      <c r="A74" s="493">
        <v>45013</v>
      </c>
      <c r="B74" s="294" t="s">
        <v>8928</v>
      </c>
      <c r="C74" s="460"/>
      <c r="D74" s="294" t="s">
        <v>3920</v>
      </c>
      <c r="E74" s="304">
        <v>8290</v>
      </c>
    </row>
    <row r="75" spans="1:5" x14ac:dyDescent="0.25">
      <c r="A75" s="493">
        <v>45013</v>
      </c>
      <c r="B75" s="294" t="s">
        <v>8928</v>
      </c>
      <c r="C75" s="460"/>
      <c r="D75" s="294" t="s">
        <v>3920</v>
      </c>
      <c r="E75" s="304">
        <v>540</v>
      </c>
    </row>
    <row r="76" spans="1:5" x14ac:dyDescent="0.25">
      <c r="A76" s="493">
        <v>45013</v>
      </c>
      <c r="B76" s="294" t="s">
        <v>156</v>
      </c>
      <c r="C76" s="460"/>
      <c r="D76" s="294" t="s">
        <v>3920</v>
      </c>
      <c r="E76" s="304">
        <v>148000</v>
      </c>
    </row>
    <row r="77" spans="1:5" x14ac:dyDescent="0.25">
      <c r="A77" s="493">
        <v>45017</v>
      </c>
      <c r="B77" s="294" t="s">
        <v>8573</v>
      </c>
      <c r="C77" s="460"/>
      <c r="D77" s="294" t="s">
        <v>10846</v>
      </c>
      <c r="E77" s="304">
        <v>10000</v>
      </c>
    </row>
    <row r="78" spans="1:5" x14ac:dyDescent="0.25">
      <c r="A78" s="493">
        <v>45017</v>
      </c>
      <c r="B78" s="294" t="s">
        <v>10001</v>
      </c>
      <c r="C78" s="460"/>
      <c r="D78" s="294"/>
      <c r="E78" s="304">
        <v>3500</v>
      </c>
    </row>
    <row r="79" spans="1:5" x14ac:dyDescent="0.25">
      <c r="A79" s="493">
        <v>45017</v>
      </c>
      <c r="B79" s="294" t="s">
        <v>10001</v>
      </c>
      <c r="C79" s="460"/>
      <c r="D79" s="294"/>
      <c r="E79" s="304">
        <v>8260</v>
      </c>
    </row>
    <row r="80" spans="1:5" x14ac:dyDescent="0.25">
      <c r="A80" s="493">
        <v>45017</v>
      </c>
      <c r="B80" s="294" t="s">
        <v>156</v>
      </c>
      <c r="C80" s="460"/>
      <c r="D80" s="294" t="s">
        <v>3920</v>
      </c>
      <c r="E80" s="304">
        <v>6090</v>
      </c>
    </row>
    <row r="81" spans="1:5" x14ac:dyDescent="0.25">
      <c r="A81" s="493">
        <v>45019</v>
      </c>
      <c r="B81" s="294" t="s">
        <v>9904</v>
      </c>
      <c r="C81" s="460"/>
      <c r="D81" s="294" t="s">
        <v>3920</v>
      </c>
      <c r="E81" s="304">
        <v>86891</v>
      </c>
    </row>
    <row r="82" spans="1:5" x14ac:dyDescent="0.25">
      <c r="A82" s="493">
        <v>45021</v>
      </c>
      <c r="B82" s="294" t="s">
        <v>9947</v>
      </c>
      <c r="C82" s="460"/>
      <c r="D82" s="294" t="s">
        <v>10926</v>
      </c>
      <c r="E82" s="304">
        <v>1000</v>
      </c>
    </row>
    <row r="83" spans="1:5" x14ac:dyDescent="0.25">
      <c r="A83" s="493">
        <v>45023</v>
      </c>
      <c r="B83" s="294" t="s">
        <v>10001</v>
      </c>
      <c r="C83" s="460"/>
      <c r="D83" s="294"/>
      <c r="E83" s="304">
        <v>1250</v>
      </c>
    </row>
    <row r="84" spans="1:5" x14ac:dyDescent="0.25">
      <c r="A84" s="493">
        <v>45023</v>
      </c>
      <c r="B84" s="294" t="s">
        <v>9906</v>
      </c>
      <c r="C84" s="460"/>
      <c r="D84" s="294"/>
      <c r="E84" s="304">
        <v>10000</v>
      </c>
    </row>
    <row r="85" spans="1:5" x14ac:dyDescent="0.25">
      <c r="A85" s="493">
        <v>45026</v>
      </c>
      <c r="B85" s="294" t="s">
        <v>9904</v>
      </c>
      <c r="C85" s="460"/>
      <c r="D85" s="294" t="s">
        <v>3920</v>
      </c>
      <c r="E85" s="304">
        <v>75100</v>
      </c>
    </row>
    <row r="86" spans="1:5" x14ac:dyDescent="0.25">
      <c r="A86" s="493">
        <v>45029</v>
      </c>
      <c r="B86" s="294" t="s">
        <v>156</v>
      </c>
      <c r="C86" s="460"/>
      <c r="D86" s="294" t="s">
        <v>3920</v>
      </c>
      <c r="E86" s="304">
        <v>50000</v>
      </c>
    </row>
    <row r="87" spans="1:5" x14ac:dyDescent="0.25">
      <c r="A87" s="493">
        <v>45029</v>
      </c>
      <c r="B87" s="294" t="s">
        <v>156</v>
      </c>
      <c r="C87" s="460"/>
      <c r="D87" s="294" t="s">
        <v>7453</v>
      </c>
      <c r="E87" s="304">
        <v>1000</v>
      </c>
    </row>
    <row r="88" spans="1:5" x14ac:dyDescent="0.25">
      <c r="A88" s="493">
        <v>45030</v>
      </c>
      <c r="B88" s="294" t="s">
        <v>10001</v>
      </c>
      <c r="C88" s="460"/>
      <c r="D88" s="294" t="s">
        <v>3920</v>
      </c>
      <c r="E88" s="304">
        <v>3030</v>
      </c>
    </row>
    <row r="89" spans="1:5" x14ac:dyDescent="0.25">
      <c r="A89" s="493">
        <v>45031</v>
      </c>
      <c r="B89" s="294" t="s">
        <v>8573</v>
      </c>
      <c r="C89" s="460"/>
      <c r="D89" s="294" t="s">
        <v>9458</v>
      </c>
      <c r="E89" s="304">
        <v>5000</v>
      </c>
    </row>
    <row r="90" spans="1:5" x14ac:dyDescent="0.25">
      <c r="A90" s="493">
        <v>45029</v>
      </c>
      <c r="B90" s="294" t="s">
        <v>8573</v>
      </c>
      <c r="C90" s="460"/>
      <c r="D90" s="294" t="s">
        <v>9458</v>
      </c>
      <c r="E90" s="304">
        <v>16000</v>
      </c>
    </row>
    <row r="91" spans="1:5" x14ac:dyDescent="0.25">
      <c r="A91" s="493">
        <v>45029</v>
      </c>
      <c r="B91" s="294" t="s">
        <v>8573</v>
      </c>
      <c r="C91" s="460"/>
      <c r="D91" s="294" t="s">
        <v>9458</v>
      </c>
      <c r="E91" s="304">
        <v>30000</v>
      </c>
    </row>
    <row r="92" spans="1:5" x14ac:dyDescent="0.25">
      <c r="A92" s="493">
        <v>45034</v>
      </c>
      <c r="B92" s="294" t="s">
        <v>156</v>
      </c>
      <c r="C92" s="460"/>
      <c r="D92" s="294" t="s">
        <v>10998</v>
      </c>
      <c r="E92" s="304">
        <v>4000</v>
      </c>
    </row>
    <row r="93" spans="1:5" x14ac:dyDescent="0.25">
      <c r="A93" s="493">
        <v>45035</v>
      </c>
      <c r="B93" s="294" t="s">
        <v>10709</v>
      </c>
      <c r="C93" s="460"/>
      <c r="D93" s="294" t="s">
        <v>9458</v>
      </c>
      <c r="E93" s="304">
        <v>35000</v>
      </c>
    </row>
    <row r="94" spans="1:5" x14ac:dyDescent="0.25">
      <c r="A94" s="493">
        <v>45036</v>
      </c>
      <c r="B94" s="294" t="s">
        <v>156</v>
      </c>
      <c r="C94" s="460"/>
      <c r="D94" s="294" t="s">
        <v>3920</v>
      </c>
      <c r="E94" s="304">
        <v>4855</v>
      </c>
    </row>
    <row r="95" spans="1:5" x14ac:dyDescent="0.25">
      <c r="A95" s="493">
        <v>45036</v>
      </c>
      <c r="B95" s="294" t="s">
        <v>156</v>
      </c>
      <c r="C95" s="460"/>
      <c r="D95" s="294" t="s">
        <v>11044</v>
      </c>
      <c r="E95" s="304">
        <v>4000</v>
      </c>
    </row>
    <row r="96" spans="1:5" x14ac:dyDescent="0.25">
      <c r="A96" s="493">
        <v>45036</v>
      </c>
      <c r="B96" s="294" t="s">
        <v>10001</v>
      </c>
      <c r="C96" s="460"/>
      <c r="D96" s="294" t="s">
        <v>11045</v>
      </c>
      <c r="E96" s="304">
        <v>-4000</v>
      </c>
    </row>
    <row r="97" spans="1:5" x14ac:dyDescent="0.25">
      <c r="A97" s="493">
        <v>45044</v>
      </c>
      <c r="B97" s="294" t="s">
        <v>9906</v>
      </c>
      <c r="C97" s="460"/>
      <c r="D97" s="294" t="s">
        <v>30</v>
      </c>
      <c r="E97" s="304">
        <v>700</v>
      </c>
    </row>
    <row r="98" spans="1:5" x14ac:dyDescent="0.25">
      <c r="A98" s="493">
        <v>45045</v>
      </c>
      <c r="B98" s="294" t="s">
        <v>9904</v>
      </c>
      <c r="C98" s="460"/>
      <c r="D98" s="294" t="s">
        <v>3920</v>
      </c>
      <c r="E98" s="304">
        <v>52940</v>
      </c>
    </row>
    <row r="99" spans="1:5" x14ac:dyDescent="0.25">
      <c r="A99" s="493">
        <v>45045</v>
      </c>
      <c r="B99" s="294" t="s">
        <v>9904</v>
      </c>
      <c r="C99" s="460"/>
      <c r="D99" s="294" t="s">
        <v>11052</v>
      </c>
      <c r="E99" s="304">
        <v>6000</v>
      </c>
    </row>
    <row r="100" spans="1:5" x14ac:dyDescent="0.25">
      <c r="A100" s="493">
        <v>45055</v>
      </c>
      <c r="B100" s="294" t="s">
        <v>9904</v>
      </c>
      <c r="C100" s="460"/>
      <c r="D100" s="294" t="s">
        <v>3920</v>
      </c>
      <c r="E100" s="304">
        <v>69310</v>
      </c>
    </row>
    <row r="101" spans="1:5" x14ac:dyDescent="0.25">
      <c r="A101" s="493">
        <v>45057</v>
      </c>
      <c r="B101" s="294" t="s">
        <v>247</v>
      </c>
      <c r="C101" s="460"/>
      <c r="D101" s="294" t="s">
        <v>3920</v>
      </c>
      <c r="E101" s="304"/>
    </row>
    <row r="102" spans="1:5" x14ac:dyDescent="0.25">
      <c r="A102" s="493">
        <v>45057</v>
      </c>
      <c r="B102" s="294" t="s">
        <v>10709</v>
      </c>
      <c r="C102" s="460"/>
      <c r="D102" s="294"/>
      <c r="E102" s="304">
        <v>10000</v>
      </c>
    </row>
    <row r="103" spans="1:5" x14ac:dyDescent="0.25">
      <c r="A103" s="493">
        <v>45057</v>
      </c>
      <c r="B103" s="294" t="s">
        <v>10709</v>
      </c>
      <c r="C103" s="460"/>
      <c r="D103" s="294"/>
      <c r="E103" s="304">
        <v>15000</v>
      </c>
    </row>
    <row r="104" spans="1:5" x14ac:dyDescent="0.25">
      <c r="A104" s="493">
        <v>45057</v>
      </c>
      <c r="B104" s="294" t="s">
        <v>10709</v>
      </c>
      <c r="C104" s="460"/>
      <c r="D104" s="294"/>
      <c r="E104" s="304">
        <v>30000</v>
      </c>
    </row>
    <row r="105" spans="1:5" x14ac:dyDescent="0.25">
      <c r="A105" s="493">
        <v>45058</v>
      </c>
      <c r="B105" s="294" t="s">
        <v>9906</v>
      </c>
      <c r="C105" s="460"/>
      <c r="D105" s="294" t="s">
        <v>3920</v>
      </c>
      <c r="E105" s="304">
        <v>11300</v>
      </c>
    </row>
    <row r="106" spans="1:5" x14ac:dyDescent="0.25">
      <c r="A106" s="493">
        <v>45058</v>
      </c>
      <c r="B106" s="294" t="s">
        <v>9906</v>
      </c>
      <c r="C106" s="460"/>
      <c r="D106" s="294" t="s">
        <v>3920</v>
      </c>
      <c r="E106" s="304">
        <v>9030</v>
      </c>
    </row>
    <row r="107" spans="1:5" x14ac:dyDescent="0.25">
      <c r="A107" s="493">
        <v>45058</v>
      </c>
      <c r="B107" s="294" t="s">
        <v>9906</v>
      </c>
      <c r="C107" s="460"/>
      <c r="D107" s="294" t="s">
        <v>3920</v>
      </c>
      <c r="E107" s="304">
        <v>3950</v>
      </c>
    </row>
    <row r="108" spans="1:5" x14ac:dyDescent="0.25">
      <c r="A108" s="493">
        <v>45061</v>
      </c>
      <c r="B108" s="294" t="s">
        <v>10709</v>
      </c>
      <c r="C108" s="460"/>
      <c r="D108" s="294"/>
      <c r="E108" s="304">
        <v>30000</v>
      </c>
    </row>
    <row r="109" spans="1:5" x14ac:dyDescent="0.25">
      <c r="A109" s="493">
        <v>45062</v>
      </c>
      <c r="B109" s="294" t="s">
        <v>445</v>
      </c>
      <c r="C109" s="460"/>
      <c r="D109" s="294" t="s">
        <v>3920</v>
      </c>
      <c r="E109" s="304">
        <v>11670</v>
      </c>
    </row>
    <row r="110" spans="1:5" x14ac:dyDescent="0.25">
      <c r="A110" s="493">
        <v>45063</v>
      </c>
      <c r="B110" s="294" t="s">
        <v>156</v>
      </c>
      <c r="C110" s="460"/>
      <c r="D110" s="294" t="s">
        <v>3920</v>
      </c>
      <c r="E110" s="304">
        <v>6300</v>
      </c>
    </row>
    <row r="111" spans="1:5" x14ac:dyDescent="0.25">
      <c r="A111" s="493">
        <v>45065</v>
      </c>
      <c r="B111" s="294" t="s">
        <v>9906</v>
      </c>
      <c r="C111" s="460"/>
      <c r="D111" s="294" t="s">
        <v>3920</v>
      </c>
      <c r="E111" s="304">
        <v>3650</v>
      </c>
    </row>
    <row r="112" spans="1:5" x14ac:dyDescent="0.25">
      <c r="A112" s="493">
        <v>45065</v>
      </c>
      <c r="B112" s="294" t="s">
        <v>10001</v>
      </c>
      <c r="C112" s="460"/>
      <c r="D112" s="294" t="s">
        <v>3920</v>
      </c>
      <c r="E112" s="304">
        <v>9900</v>
      </c>
    </row>
    <row r="113" spans="1:5" x14ac:dyDescent="0.25">
      <c r="A113" s="493">
        <v>45065</v>
      </c>
      <c r="B113" s="294" t="s">
        <v>9904</v>
      </c>
      <c r="C113" s="460"/>
      <c r="D113" s="294" t="s">
        <v>3920</v>
      </c>
      <c r="E113" s="304">
        <v>163680</v>
      </c>
    </row>
    <row r="114" spans="1:5" x14ac:dyDescent="0.25">
      <c r="A114" s="493">
        <v>45068</v>
      </c>
      <c r="B114" s="294" t="s">
        <v>9906</v>
      </c>
      <c r="C114" s="460"/>
      <c r="D114" s="294" t="s">
        <v>3920</v>
      </c>
      <c r="E114" s="304">
        <v>14650</v>
      </c>
    </row>
    <row r="115" spans="1:5" x14ac:dyDescent="0.25">
      <c r="A115" s="493">
        <v>45068</v>
      </c>
      <c r="B115" s="294" t="s">
        <v>9906</v>
      </c>
      <c r="C115" s="460"/>
      <c r="D115" s="294" t="s">
        <v>3920</v>
      </c>
      <c r="E115" s="304">
        <v>2050</v>
      </c>
    </row>
    <row r="116" spans="1:5" x14ac:dyDescent="0.25">
      <c r="A116" s="493">
        <v>45068</v>
      </c>
      <c r="B116" s="294" t="s">
        <v>9906</v>
      </c>
      <c r="C116" s="460"/>
      <c r="D116" s="294" t="s">
        <v>3920</v>
      </c>
      <c r="E116" s="304">
        <v>1400</v>
      </c>
    </row>
    <row r="117" spans="1:5" x14ac:dyDescent="0.25">
      <c r="A117" s="493">
        <v>45068</v>
      </c>
      <c r="B117" s="294" t="s">
        <v>247</v>
      </c>
      <c r="C117" s="460"/>
      <c r="D117" s="294" t="s">
        <v>3920</v>
      </c>
      <c r="E117" s="304">
        <v>8140</v>
      </c>
    </row>
    <row r="118" spans="1:5" x14ac:dyDescent="0.25">
      <c r="A118" s="493">
        <v>45069</v>
      </c>
      <c r="B118" s="294" t="s">
        <v>9904</v>
      </c>
      <c r="C118" s="460"/>
      <c r="D118" s="294" t="s">
        <v>3920</v>
      </c>
      <c r="E118" s="304">
        <v>48719</v>
      </c>
    </row>
    <row r="119" spans="1:5" x14ac:dyDescent="0.25">
      <c r="A119" s="493">
        <v>45069</v>
      </c>
      <c r="B119" s="294" t="s">
        <v>9904</v>
      </c>
      <c r="C119" s="460"/>
      <c r="D119" s="294" t="s">
        <v>3920</v>
      </c>
      <c r="E119" s="304">
        <v>132172</v>
      </c>
    </row>
    <row r="120" spans="1:5" x14ac:dyDescent="0.25">
      <c r="A120" s="493">
        <v>45070</v>
      </c>
      <c r="B120" s="294" t="s">
        <v>156</v>
      </c>
      <c r="C120" s="460"/>
      <c r="D120" s="294" t="s">
        <v>3920</v>
      </c>
      <c r="E120" s="304">
        <v>4250</v>
      </c>
    </row>
    <row r="121" spans="1:5" x14ac:dyDescent="0.25">
      <c r="A121" s="493">
        <v>45072</v>
      </c>
      <c r="B121" s="294" t="s">
        <v>9906</v>
      </c>
      <c r="C121" s="460"/>
      <c r="D121" s="294" t="s">
        <v>3920</v>
      </c>
      <c r="E121" s="304">
        <v>5750</v>
      </c>
    </row>
    <row r="122" spans="1:5" x14ac:dyDescent="0.25">
      <c r="A122" s="493">
        <v>45072</v>
      </c>
      <c r="B122" s="294" t="s">
        <v>9906</v>
      </c>
      <c r="C122" s="460"/>
      <c r="D122" s="294" t="s">
        <v>3920</v>
      </c>
      <c r="E122" s="304">
        <v>2650</v>
      </c>
    </row>
    <row r="123" spans="1:5" x14ac:dyDescent="0.25">
      <c r="A123" s="493">
        <v>45072</v>
      </c>
      <c r="B123" s="294" t="s">
        <v>9904</v>
      </c>
      <c r="C123" s="460"/>
      <c r="D123" s="294" t="s">
        <v>11288</v>
      </c>
      <c r="E123" s="304">
        <v>2000</v>
      </c>
    </row>
    <row r="124" spans="1:5" x14ac:dyDescent="0.25">
      <c r="A124" s="493">
        <v>45077</v>
      </c>
      <c r="B124" s="294" t="s">
        <v>9906</v>
      </c>
      <c r="C124" s="460"/>
      <c r="D124" s="294" t="s">
        <v>3920</v>
      </c>
      <c r="E124" s="304">
        <v>15020</v>
      </c>
    </row>
    <row r="125" spans="1:5" x14ac:dyDescent="0.25">
      <c r="A125" s="493">
        <v>45080</v>
      </c>
      <c r="B125" s="294" t="s">
        <v>9904</v>
      </c>
      <c r="C125" s="460"/>
      <c r="D125" s="294" t="s">
        <v>3920</v>
      </c>
      <c r="E125" s="304">
        <v>143645</v>
      </c>
    </row>
    <row r="126" spans="1:5" x14ac:dyDescent="0.25">
      <c r="A126" s="493">
        <v>45082</v>
      </c>
      <c r="B126" s="294" t="s">
        <v>247</v>
      </c>
      <c r="C126" s="460"/>
      <c r="D126" s="294" t="s">
        <v>3920</v>
      </c>
      <c r="E126" s="304">
        <v>15856</v>
      </c>
    </row>
    <row r="127" spans="1:5" x14ac:dyDescent="0.25">
      <c r="A127" s="493">
        <v>45083</v>
      </c>
      <c r="B127" s="294" t="s">
        <v>9904</v>
      </c>
      <c r="C127" s="460"/>
      <c r="D127" s="294" t="s">
        <v>3920</v>
      </c>
      <c r="E127" s="304">
        <v>57080</v>
      </c>
    </row>
    <row r="128" spans="1:5" x14ac:dyDescent="0.25">
      <c r="A128" s="493">
        <v>45084</v>
      </c>
      <c r="B128" s="294" t="s">
        <v>156</v>
      </c>
      <c r="C128" s="460"/>
      <c r="D128" s="294" t="s">
        <v>3920</v>
      </c>
      <c r="E128" s="304">
        <v>7610</v>
      </c>
    </row>
    <row r="129" spans="1:5" x14ac:dyDescent="0.25">
      <c r="A129" s="493">
        <v>45086</v>
      </c>
      <c r="B129" s="294" t="s">
        <v>247</v>
      </c>
      <c r="C129" s="460"/>
      <c r="D129" s="294" t="s">
        <v>3920</v>
      </c>
      <c r="E129" s="304">
        <f>400+150+1540+1280</f>
        <v>3370</v>
      </c>
    </row>
    <row r="130" spans="1:5" x14ac:dyDescent="0.25">
      <c r="A130" s="493">
        <v>45091</v>
      </c>
      <c r="B130" s="294" t="s">
        <v>247</v>
      </c>
      <c r="C130" s="460"/>
      <c r="D130" s="294" t="s">
        <v>3920</v>
      </c>
      <c r="E130" s="304">
        <v>5270</v>
      </c>
    </row>
    <row r="131" spans="1:5" x14ac:dyDescent="0.25">
      <c r="A131" s="493">
        <v>45093</v>
      </c>
      <c r="B131" s="294" t="s">
        <v>9906</v>
      </c>
      <c r="C131" s="460"/>
      <c r="D131" s="294" t="s">
        <v>3920</v>
      </c>
      <c r="E131" s="304">
        <v>6000</v>
      </c>
    </row>
    <row r="132" spans="1:5" x14ac:dyDescent="0.25">
      <c r="A132" s="493">
        <v>45094</v>
      </c>
      <c r="B132" s="294" t="s">
        <v>9904</v>
      </c>
      <c r="C132" s="460"/>
      <c r="D132" s="294" t="s">
        <v>3920</v>
      </c>
      <c r="E132" s="304">
        <v>195763</v>
      </c>
    </row>
    <row r="133" spans="1:5" x14ac:dyDescent="0.25">
      <c r="A133" s="493">
        <v>45094</v>
      </c>
      <c r="B133" s="294" t="s">
        <v>9904</v>
      </c>
      <c r="C133" s="460"/>
      <c r="D133" s="294" t="s">
        <v>3920</v>
      </c>
      <c r="E133" s="304">
        <v>65580</v>
      </c>
    </row>
    <row r="134" spans="1:5" x14ac:dyDescent="0.25">
      <c r="A134" s="493">
        <v>45097</v>
      </c>
      <c r="B134" s="294" t="s">
        <v>9904</v>
      </c>
      <c r="C134" s="460"/>
      <c r="D134" s="294" t="s">
        <v>3920</v>
      </c>
      <c r="E134" s="304">
        <v>3880</v>
      </c>
    </row>
    <row r="135" spans="1:5" x14ac:dyDescent="0.25">
      <c r="A135" s="493">
        <v>45097</v>
      </c>
      <c r="B135" s="294" t="s">
        <v>9904</v>
      </c>
      <c r="C135" s="460"/>
      <c r="D135" s="294" t="s">
        <v>3920</v>
      </c>
      <c r="E135" s="304">
        <v>99715</v>
      </c>
    </row>
    <row r="136" spans="1:5" x14ac:dyDescent="0.25">
      <c r="A136" s="493">
        <v>45097</v>
      </c>
      <c r="B136" s="294" t="s">
        <v>10001</v>
      </c>
      <c r="C136" s="460"/>
      <c r="D136" s="294" t="s">
        <v>3920</v>
      </c>
      <c r="E136" s="304">
        <v>5000</v>
      </c>
    </row>
    <row r="137" spans="1:5" x14ac:dyDescent="0.25">
      <c r="A137" s="493">
        <v>45098</v>
      </c>
      <c r="B137" s="294" t="s">
        <v>9906</v>
      </c>
      <c r="C137" s="460"/>
      <c r="D137" s="294" t="s">
        <v>3920</v>
      </c>
      <c r="E137" s="304">
        <v>9500</v>
      </c>
    </row>
    <row r="138" spans="1:5" x14ac:dyDescent="0.25">
      <c r="A138" s="493">
        <v>45098</v>
      </c>
      <c r="B138" s="294" t="s">
        <v>9906</v>
      </c>
      <c r="C138" s="460"/>
      <c r="D138" s="294" t="s">
        <v>3920</v>
      </c>
      <c r="E138" s="304">
        <v>3000</v>
      </c>
    </row>
    <row r="139" spans="1:5" x14ac:dyDescent="0.25">
      <c r="A139" s="493">
        <v>45099</v>
      </c>
      <c r="B139" s="294" t="s">
        <v>9904</v>
      </c>
      <c r="C139" s="460"/>
      <c r="D139" s="294" t="s">
        <v>3920</v>
      </c>
      <c r="E139" s="304">
        <v>20000</v>
      </c>
    </row>
    <row r="140" spans="1:5" x14ac:dyDescent="0.25">
      <c r="A140" s="493">
        <v>45099</v>
      </c>
      <c r="B140" s="294" t="s">
        <v>247</v>
      </c>
      <c r="C140" s="460"/>
      <c r="D140" s="294" t="s">
        <v>3920</v>
      </c>
      <c r="E140" s="304">
        <v>9770</v>
      </c>
    </row>
    <row r="141" spans="1:5" x14ac:dyDescent="0.25">
      <c r="A141" s="493">
        <v>45093</v>
      </c>
      <c r="B141" s="294" t="s">
        <v>629</v>
      </c>
      <c r="C141" s="460"/>
      <c r="D141" s="294" t="s">
        <v>3920</v>
      </c>
      <c r="E141" s="304">
        <v>14350</v>
      </c>
    </row>
    <row r="142" spans="1:5" x14ac:dyDescent="0.25">
      <c r="A142" s="493">
        <v>45099</v>
      </c>
      <c r="B142" s="294" t="s">
        <v>9904</v>
      </c>
      <c r="C142" s="460"/>
      <c r="D142" s="294" t="s">
        <v>11488</v>
      </c>
      <c r="E142" s="304">
        <v>5000</v>
      </c>
    </row>
    <row r="143" spans="1:5" x14ac:dyDescent="0.25">
      <c r="A143" s="493">
        <v>45099</v>
      </c>
      <c r="B143" s="294" t="s">
        <v>9904</v>
      </c>
      <c r="C143" s="460"/>
      <c r="D143" s="294" t="s">
        <v>11489</v>
      </c>
      <c r="E143" s="304">
        <v>3000</v>
      </c>
    </row>
    <row r="144" spans="1:5" x14ac:dyDescent="0.25">
      <c r="A144" s="493">
        <v>45099</v>
      </c>
      <c r="B144" s="294" t="s">
        <v>9904</v>
      </c>
      <c r="C144" s="460"/>
      <c r="D144" s="294" t="s">
        <v>11490</v>
      </c>
      <c r="E144" s="304">
        <v>2000</v>
      </c>
    </row>
    <row r="145" spans="1:15" x14ac:dyDescent="0.25">
      <c r="A145" s="493">
        <v>45099</v>
      </c>
      <c r="B145" s="294" t="s">
        <v>9904</v>
      </c>
      <c r="C145" s="460"/>
      <c r="D145" s="294" t="s">
        <v>11491</v>
      </c>
      <c r="E145" s="304">
        <v>1500</v>
      </c>
    </row>
    <row r="146" spans="1:15" x14ac:dyDescent="0.25">
      <c r="A146" s="493">
        <v>45101</v>
      </c>
      <c r="B146" s="294" t="s">
        <v>8928</v>
      </c>
      <c r="C146" s="460"/>
      <c r="D146" s="294" t="s">
        <v>3920</v>
      </c>
      <c r="E146" s="304">
        <v>1630</v>
      </c>
    </row>
    <row r="147" spans="1:15" x14ac:dyDescent="0.25">
      <c r="A147" s="493">
        <v>45103</v>
      </c>
      <c r="B147" s="294" t="s">
        <v>9904</v>
      </c>
      <c r="C147" s="460"/>
      <c r="D147" s="294" t="s">
        <v>3920</v>
      </c>
      <c r="E147" s="304">
        <v>94334</v>
      </c>
    </row>
    <row r="148" spans="1:15" x14ac:dyDescent="0.25">
      <c r="A148" s="493">
        <v>45103</v>
      </c>
      <c r="B148" s="294" t="s">
        <v>9904</v>
      </c>
      <c r="C148" s="460"/>
      <c r="D148" s="294" t="s">
        <v>11489</v>
      </c>
      <c r="E148" s="304">
        <v>2000</v>
      </c>
    </row>
    <row r="149" spans="1:15" x14ac:dyDescent="0.25">
      <c r="A149" s="493">
        <v>45103</v>
      </c>
      <c r="B149" s="294" t="s">
        <v>9904</v>
      </c>
      <c r="C149" s="460"/>
      <c r="D149" s="294" t="s">
        <v>11562</v>
      </c>
      <c r="E149" s="304">
        <v>2000</v>
      </c>
    </row>
    <row r="150" spans="1:15" x14ac:dyDescent="0.25">
      <c r="A150" s="493">
        <v>45104</v>
      </c>
      <c r="B150" s="294" t="s">
        <v>8928</v>
      </c>
      <c r="C150" s="460"/>
      <c r="D150" s="294" t="s">
        <v>3920</v>
      </c>
      <c r="E150" s="304">
        <v>7200</v>
      </c>
      <c r="O150" s="277"/>
    </row>
    <row r="151" spans="1:15" x14ac:dyDescent="0.25">
      <c r="A151" s="493">
        <v>45104</v>
      </c>
      <c r="B151" s="294" t="s">
        <v>629</v>
      </c>
      <c r="C151" s="460"/>
      <c r="D151" s="294" t="s">
        <v>3920</v>
      </c>
      <c r="E151" s="304">
        <v>3460</v>
      </c>
    </row>
    <row r="152" spans="1:15" x14ac:dyDescent="0.25">
      <c r="A152" s="493">
        <v>45104</v>
      </c>
      <c r="B152" s="294" t="s">
        <v>10709</v>
      </c>
      <c r="C152" s="460"/>
      <c r="D152" s="294" t="s">
        <v>3920</v>
      </c>
      <c r="E152" s="304">
        <v>1060</v>
      </c>
    </row>
    <row r="153" spans="1:15" x14ac:dyDescent="0.25">
      <c r="A153" s="493">
        <v>45110</v>
      </c>
      <c r="B153" s="294" t="s">
        <v>8928</v>
      </c>
      <c r="C153" s="460"/>
      <c r="D153" s="294" t="s">
        <v>3920</v>
      </c>
      <c r="E153" s="304">
        <v>4500</v>
      </c>
    </row>
    <row r="154" spans="1:15" x14ac:dyDescent="0.25">
      <c r="A154" s="493">
        <v>45110</v>
      </c>
      <c r="B154" s="294" t="s">
        <v>156</v>
      </c>
      <c r="C154" s="460"/>
      <c r="D154" s="294" t="s">
        <v>3920</v>
      </c>
      <c r="E154" s="304">
        <v>11660</v>
      </c>
    </row>
    <row r="155" spans="1:15" x14ac:dyDescent="0.25">
      <c r="A155" s="493">
        <v>45112</v>
      </c>
      <c r="B155" s="294" t="s">
        <v>5162</v>
      </c>
      <c r="C155" s="460"/>
      <c r="D155" s="294" t="s">
        <v>3920</v>
      </c>
      <c r="E155" s="304">
        <v>690</v>
      </c>
    </row>
    <row r="156" spans="1:15" x14ac:dyDescent="0.25">
      <c r="A156" s="493">
        <v>45113</v>
      </c>
      <c r="B156" s="294" t="s">
        <v>156</v>
      </c>
      <c r="C156" s="460"/>
      <c r="D156" s="294" t="s">
        <v>3920</v>
      </c>
      <c r="E156" s="304">
        <v>9890</v>
      </c>
    </row>
    <row r="157" spans="1:15" x14ac:dyDescent="0.25">
      <c r="A157" s="493">
        <v>45115</v>
      </c>
      <c r="B157" s="294" t="s">
        <v>9906</v>
      </c>
      <c r="C157" s="460"/>
      <c r="D157" s="294" t="s">
        <v>3920</v>
      </c>
      <c r="E157" s="304">
        <v>7940</v>
      </c>
    </row>
    <row r="158" spans="1:15" x14ac:dyDescent="0.25">
      <c r="A158" s="493">
        <v>45117</v>
      </c>
      <c r="B158" s="294" t="s">
        <v>5162</v>
      </c>
      <c r="C158" s="460"/>
      <c r="D158" s="294" t="s">
        <v>3920</v>
      </c>
      <c r="E158" s="304">
        <v>2000</v>
      </c>
    </row>
    <row r="159" spans="1:15" x14ac:dyDescent="0.25">
      <c r="A159" s="493">
        <v>45118</v>
      </c>
      <c r="B159" s="294" t="s">
        <v>8928</v>
      </c>
      <c r="C159" s="460"/>
      <c r="D159" s="294" t="s">
        <v>3920</v>
      </c>
      <c r="E159" s="304">
        <v>3930</v>
      </c>
    </row>
    <row r="160" spans="1:15" x14ac:dyDescent="0.25">
      <c r="A160" s="493">
        <v>45118</v>
      </c>
      <c r="B160" s="294" t="s">
        <v>247</v>
      </c>
      <c r="C160" s="460"/>
      <c r="D160" s="294" t="s">
        <v>3920</v>
      </c>
      <c r="E160" s="304">
        <v>21090</v>
      </c>
    </row>
    <row r="161" spans="1:5" x14ac:dyDescent="0.25">
      <c r="A161" s="493">
        <v>45118</v>
      </c>
      <c r="B161" s="294" t="s">
        <v>5162</v>
      </c>
      <c r="C161" s="460"/>
      <c r="D161" s="294" t="s">
        <v>3920</v>
      </c>
      <c r="E161" s="304">
        <v>9180</v>
      </c>
    </row>
    <row r="162" spans="1:5" x14ac:dyDescent="0.25">
      <c r="A162" s="493">
        <v>45118</v>
      </c>
      <c r="B162" s="294" t="s">
        <v>9864</v>
      </c>
      <c r="C162" s="460"/>
      <c r="D162" s="294" t="s">
        <v>3920</v>
      </c>
      <c r="E162" s="304">
        <v>300</v>
      </c>
    </row>
    <row r="163" spans="1:5" x14ac:dyDescent="0.25">
      <c r="A163" s="493">
        <v>45118</v>
      </c>
      <c r="B163" s="294" t="s">
        <v>9864</v>
      </c>
      <c r="C163" s="460"/>
      <c r="D163" s="294" t="s">
        <v>11670</v>
      </c>
      <c r="E163" s="304">
        <v>3000</v>
      </c>
    </row>
    <row r="164" spans="1:5" x14ac:dyDescent="0.25">
      <c r="A164" s="493">
        <v>45119</v>
      </c>
      <c r="B164" s="294" t="s">
        <v>9904</v>
      </c>
      <c r="C164" s="460"/>
      <c r="D164" s="294" t="s">
        <v>3920</v>
      </c>
      <c r="E164" s="304">
        <v>109910</v>
      </c>
    </row>
    <row r="165" spans="1:5" x14ac:dyDescent="0.25">
      <c r="A165" s="493">
        <v>45120</v>
      </c>
      <c r="B165" s="294" t="s">
        <v>5162</v>
      </c>
      <c r="C165" s="460"/>
      <c r="D165" s="294" t="s">
        <v>3920</v>
      </c>
      <c r="E165" s="304">
        <v>3166</v>
      </c>
    </row>
    <row r="166" spans="1:5" x14ac:dyDescent="0.25">
      <c r="A166" s="493">
        <v>45121</v>
      </c>
      <c r="B166" s="294" t="s">
        <v>445</v>
      </c>
      <c r="C166" s="460"/>
      <c r="D166" s="294" t="s">
        <v>3920</v>
      </c>
      <c r="E166" s="304">
        <v>15000</v>
      </c>
    </row>
    <row r="167" spans="1:5" x14ac:dyDescent="0.25">
      <c r="A167" s="493">
        <v>45121</v>
      </c>
      <c r="B167" s="294" t="s">
        <v>156</v>
      </c>
      <c r="C167" s="460"/>
      <c r="D167" s="294" t="s">
        <v>3920</v>
      </c>
      <c r="E167" s="304">
        <v>6290</v>
      </c>
    </row>
    <row r="168" spans="1:5" x14ac:dyDescent="0.25">
      <c r="A168" s="493">
        <v>45121</v>
      </c>
      <c r="B168" s="294" t="s">
        <v>9906</v>
      </c>
      <c r="C168" s="460"/>
      <c r="D168" s="294" t="s">
        <v>3920</v>
      </c>
      <c r="E168" s="304">
        <v>7500</v>
      </c>
    </row>
    <row r="169" spans="1:5" x14ac:dyDescent="0.25">
      <c r="A169" s="493">
        <v>45124</v>
      </c>
      <c r="B169" s="294" t="s">
        <v>9864</v>
      </c>
      <c r="C169" s="460"/>
      <c r="D169" s="294" t="s">
        <v>3920</v>
      </c>
      <c r="E169" s="304">
        <v>500</v>
      </c>
    </row>
    <row r="170" spans="1:5" x14ac:dyDescent="0.25">
      <c r="A170" s="493">
        <v>45125</v>
      </c>
      <c r="B170" s="294" t="s">
        <v>9906</v>
      </c>
      <c r="C170" s="460"/>
      <c r="D170" s="294" t="s">
        <v>3920</v>
      </c>
      <c r="E170" s="304">
        <v>4750</v>
      </c>
    </row>
    <row r="171" spans="1:5" x14ac:dyDescent="0.25">
      <c r="A171" s="493">
        <v>45126</v>
      </c>
      <c r="B171" s="294" t="s">
        <v>156</v>
      </c>
      <c r="C171" s="460"/>
      <c r="D171" s="294" t="s">
        <v>3920</v>
      </c>
      <c r="E171" s="304">
        <v>4450</v>
      </c>
    </row>
    <row r="172" spans="1:5" x14ac:dyDescent="0.25">
      <c r="A172" s="493">
        <v>45128</v>
      </c>
      <c r="B172" s="294" t="s">
        <v>9904</v>
      </c>
      <c r="C172" s="460"/>
      <c r="D172" s="294" t="s">
        <v>3920</v>
      </c>
      <c r="E172" s="304">
        <v>10000</v>
      </c>
    </row>
    <row r="173" spans="1:5" x14ac:dyDescent="0.25">
      <c r="A173" s="493">
        <v>45128</v>
      </c>
      <c r="B173" s="294" t="s">
        <v>9904</v>
      </c>
      <c r="C173" s="460"/>
      <c r="D173" s="294" t="s">
        <v>3920</v>
      </c>
      <c r="E173" s="304">
        <v>7260</v>
      </c>
    </row>
    <row r="174" spans="1:5" x14ac:dyDescent="0.25">
      <c r="A174" s="493">
        <v>45128</v>
      </c>
      <c r="B174" s="294" t="s">
        <v>5162</v>
      </c>
      <c r="C174" s="460"/>
      <c r="D174" s="294" t="s">
        <v>3920</v>
      </c>
      <c r="E174" s="304">
        <v>1250</v>
      </c>
    </row>
    <row r="175" spans="1:5" x14ac:dyDescent="0.25">
      <c r="A175" s="493">
        <v>45129</v>
      </c>
      <c r="B175" s="294" t="s">
        <v>9906</v>
      </c>
      <c r="C175" s="460"/>
      <c r="D175" s="294" t="s">
        <v>3920</v>
      </c>
      <c r="E175" s="304">
        <v>13310</v>
      </c>
    </row>
    <row r="176" spans="1:5" x14ac:dyDescent="0.25">
      <c r="A176" s="493">
        <v>45129</v>
      </c>
      <c r="B176" s="294" t="s">
        <v>629</v>
      </c>
      <c r="C176" s="460"/>
      <c r="D176" s="294" t="s">
        <v>3920</v>
      </c>
      <c r="E176" s="304">
        <v>7380</v>
      </c>
    </row>
    <row r="177" spans="1:5" x14ac:dyDescent="0.25">
      <c r="A177" s="493">
        <v>45129</v>
      </c>
      <c r="B177" s="294" t="s">
        <v>629</v>
      </c>
      <c r="C177" s="460"/>
      <c r="D177" s="294" t="s">
        <v>3920</v>
      </c>
      <c r="E177" s="304">
        <f>11000-50</f>
        <v>10950</v>
      </c>
    </row>
    <row r="178" spans="1:5" x14ac:dyDescent="0.25">
      <c r="A178" s="493">
        <v>45129</v>
      </c>
      <c r="B178" s="294" t="s">
        <v>5162</v>
      </c>
      <c r="C178" s="460"/>
      <c r="D178" s="294" t="s">
        <v>3920</v>
      </c>
      <c r="E178" s="304">
        <v>3230</v>
      </c>
    </row>
    <row r="179" spans="1:5" x14ac:dyDescent="0.25">
      <c r="A179" s="493">
        <v>45131</v>
      </c>
      <c r="B179" s="294" t="s">
        <v>8928</v>
      </c>
      <c r="C179" s="460"/>
      <c r="D179" s="294" t="s">
        <v>3920</v>
      </c>
      <c r="E179" s="304">
        <v>3610</v>
      </c>
    </row>
    <row r="180" spans="1:5" x14ac:dyDescent="0.25">
      <c r="A180" s="493">
        <v>45132</v>
      </c>
      <c r="B180" s="294" t="s">
        <v>445</v>
      </c>
      <c r="C180" s="460"/>
      <c r="D180" s="294" t="s">
        <v>3920</v>
      </c>
      <c r="E180" s="304">
        <v>37500</v>
      </c>
    </row>
    <row r="181" spans="1:5" x14ac:dyDescent="0.25">
      <c r="A181" s="493">
        <v>45132</v>
      </c>
      <c r="B181" s="294" t="s">
        <v>445</v>
      </c>
      <c r="C181" s="460"/>
      <c r="D181" s="294" t="s">
        <v>325</v>
      </c>
      <c r="E181" s="304">
        <v>10000</v>
      </c>
    </row>
    <row r="182" spans="1:5" x14ac:dyDescent="0.25">
      <c r="A182" s="493">
        <v>45132</v>
      </c>
      <c r="B182" s="294" t="s">
        <v>9904</v>
      </c>
      <c r="C182" s="460"/>
      <c r="D182" s="294" t="s">
        <v>3920</v>
      </c>
      <c r="E182" s="304">
        <v>49020</v>
      </c>
    </row>
    <row r="183" spans="1:5" x14ac:dyDescent="0.25">
      <c r="A183" s="493">
        <v>45132</v>
      </c>
      <c r="B183" s="294" t="s">
        <v>247</v>
      </c>
      <c r="C183" s="460"/>
      <c r="D183" s="294" t="s">
        <v>3920</v>
      </c>
      <c r="E183" s="304">
        <v>6100</v>
      </c>
    </row>
    <row r="184" spans="1:5" x14ac:dyDescent="0.25">
      <c r="A184" s="493">
        <v>45132</v>
      </c>
      <c r="B184" s="294" t="s">
        <v>5162</v>
      </c>
      <c r="C184" s="460"/>
      <c r="D184" s="294" t="s">
        <v>3920</v>
      </c>
      <c r="E184" s="304">
        <v>6360</v>
      </c>
    </row>
    <row r="185" spans="1:5" x14ac:dyDescent="0.25">
      <c r="A185" s="493">
        <v>45132</v>
      </c>
      <c r="B185" s="294" t="s">
        <v>11406</v>
      </c>
      <c r="C185" s="460"/>
      <c r="D185" s="294" t="s">
        <v>3920</v>
      </c>
      <c r="E185" s="304">
        <v>20000</v>
      </c>
    </row>
    <row r="186" spans="1:5" x14ac:dyDescent="0.25">
      <c r="A186" s="493">
        <v>45132</v>
      </c>
      <c r="B186" s="294" t="s">
        <v>9907</v>
      </c>
      <c r="C186" s="460"/>
      <c r="D186" s="294" t="s">
        <v>3920</v>
      </c>
      <c r="E186" s="304">
        <v>30605</v>
      </c>
    </row>
    <row r="187" spans="1:5" x14ac:dyDescent="0.25">
      <c r="A187" s="493">
        <v>45132</v>
      </c>
      <c r="B187" s="294" t="s">
        <v>445</v>
      </c>
      <c r="C187" s="460"/>
      <c r="D187" s="294" t="s">
        <v>3920</v>
      </c>
      <c r="E187" s="304">
        <v>86</v>
      </c>
    </row>
    <row r="188" spans="1:5" x14ac:dyDescent="0.25">
      <c r="A188" s="493">
        <v>45132</v>
      </c>
      <c r="B188" s="294" t="s">
        <v>3554</v>
      </c>
      <c r="C188" s="460"/>
      <c r="D188" s="294" t="s">
        <v>9458</v>
      </c>
      <c r="E188" s="304">
        <v>30000</v>
      </c>
    </row>
    <row r="189" spans="1:5" x14ac:dyDescent="0.25">
      <c r="A189" s="493">
        <v>45132</v>
      </c>
      <c r="B189" s="294" t="s">
        <v>10535</v>
      </c>
      <c r="C189" s="460"/>
      <c r="D189" s="294" t="s">
        <v>40</v>
      </c>
      <c r="E189" s="304">
        <v>21000</v>
      </c>
    </row>
    <row r="190" spans="1:5" x14ac:dyDescent="0.25">
      <c r="A190" s="493">
        <v>45132</v>
      </c>
      <c r="B190" s="294" t="s">
        <v>10709</v>
      </c>
      <c r="C190" s="460"/>
      <c r="D190" s="294" t="s">
        <v>9458</v>
      </c>
      <c r="E190" s="304">
        <v>25000</v>
      </c>
    </row>
    <row r="191" spans="1:5" x14ac:dyDescent="0.25">
      <c r="A191" s="493">
        <v>45132</v>
      </c>
      <c r="B191" s="294" t="s">
        <v>10709</v>
      </c>
      <c r="C191" s="460"/>
      <c r="D191" s="294" t="s">
        <v>9458</v>
      </c>
      <c r="E191" s="304">
        <v>25000</v>
      </c>
    </row>
    <row r="192" spans="1:5" x14ac:dyDescent="0.25">
      <c r="A192" s="493">
        <v>45132</v>
      </c>
      <c r="B192" s="294" t="s">
        <v>5162</v>
      </c>
      <c r="C192" s="460"/>
      <c r="D192" s="294" t="s">
        <v>3920</v>
      </c>
      <c r="E192" s="304">
        <v>7000</v>
      </c>
    </row>
    <row r="193" spans="1:5" x14ac:dyDescent="0.25">
      <c r="A193" s="493">
        <v>45133</v>
      </c>
      <c r="B193" s="294" t="s">
        <v>156</v>
      </c>
      <c r="C193" s="460"/>
      <c r="D193" s="294" t="s">
        <v>11813</v>
      </c>
      <c r="E193" s="304">
        <v>3400</v>
      </c>
    </row>
    <row r="194" spans="1:5" x14ac:dyDescent="0.25">
      <c r="A194" s="493">
        <v>45133</v>
      </c>
      <c r="B194" s="294" t="s">
        <v>8573</v>
      </c>
      <c r="C194" s="460"/>
      <c r="D194" s="294" t="s">
        <v>3920</v>
      </c>
      <c r="E194" s="304">
        <v>48730</v>
      </c>
    </row>
    <row r="195" spans="1:5" x14ac:dyDescent="0.25">
      <c r="A195" s="493">
        <v>45139</v>
      </c>
      <c r="B195" s="294" t="s">
        <v>5162</v>
      </c>
      <c r="C195" s="460"/>
      <c r="D195" s="294" t="s">
        <v>3920</v>
      </c>
      <c r="E195" s="304">
        <v>1410</v>
      </c>
    </row>
    <row r="196" spans="1:5" x14ac:dyDescent="0.25">
      <c r="A196" s="493">
        <v>45140</v>
      </c>
      <c r="B196" s="294" t="s">
        <v>8573</v>
      </c>
      <c r="C196" s="460"/>
      <c r="D196" s="294" t="s">
        <v>3920</v>
      </c>
      <c r="E196" s="304">
        <v>142500</v>
      </c>
    </row>
    <row r="197" spans="1:5" x14ac:dyDescent="0.25">
      <c r="A197" s="493">
        <v>45140</v>
      </c>
      <c r="B197" s="294" t="s">
        <v>8573</v>
      </c>
      <c r="C197" s="460"/>
      <c r="D197" s="294" t="s">
        <v>7453</v>
      </c>
      <c r="E197" s="304">
        <v>5000</v>
      </c>
    </row>
    <row r="198" spans="1:5" x14ac:dyDescent="0.25">
      <c r="A198" s="493">
        <v>45140</v>
      </c>
      <c r="B198" s="294" t="s">
        <v>8573</v>
      </c>
      <c r="C198" s="460"/>
      <c r="D198" s="294" t="s">
        <v>11849</v>
      </c>
      <c r="E198" s="304">
        <v>23000</v>
      </c>
    </row>
    <row r="199" spans="1:5" x14ac:dyDescent="0.25">
      <c r="A199" s="493">
        <v>45140</v>
      </c>
      <c r="B199" s="294" t="s">
        <v>9906</v>
      </c>
      <c r="C199" s="460"/>
      <c r="D199" s="294" t="s">
        <v>3920</v>
      </c>
      <c r="E199" s="304">
        <v>5950</v>
      </c>
    </row>
    <row r="200" spans="1:5" x14ac:dyDescent="0.25">
      <c r="A200" s="493">
        <v>45145</v>
      </c>
      <c r="B200" s="294" t="s">
        <v>9904</v>
      </c>
      <c r="C200" s="460"/>
      <c r="D200" s="294" t="s">
        <v>3920</v>
      </c>
      <c r="E200" s="304">
        <v>50000</v>
      </c>
    </row>
    <row r="201" spans="1:5" x14ac:dyDescent="0.25">
      <c r="A201" s="493">
        <v>45145</v>
      </c>
      <c r="B201" s="294" t="s">
        <v>8573</v>
      </c>
      <c r="C201" s="460"/>
      <c r="D201" s="294" t="s">
        <v>3920</v>
      </c>
      <c r="E201" s="304">
        <v>75285</v>
      </c>
    </row>
    <row r="202" spans="1:5" x14ac:dyDescent="0.25">
      <c r="A202" s="493">
        <v>45148</v>
      </c>
      <c r="B202" s="294" t="s">
        <v>156</v>
      </c>
      <c r="C202" s="460"/>
      <c r="D202" s="294" t="s">
        <v>3920</v>
      </c>
      <c r="E202" s="304">
        <v>4280</v>
      </c>
    </row>
    <row r="203" spans="1:5" x14ac:dyDescent="0.25">
      <c r="A203" s="493">
        <v>45149</v>
      </c>
      <c r="B203" s="294" t="s">
        <v>5162</v>
      </c>
      <c r="C203" s="460"/>
      <c r="D203" s="294" t="s">
        <v>3920</v>
      </c>
      <c r="E203" s="304">
        <v>12200</v>
      </c>
    </row>
    <row r="204" spans="1:5" x14ac:dyDescent="0.25">
      <c r="A204" s="493">
        <v>45149</v>
      </c>
      <c r="B204" s="294" t="s">
        <v>247</v>
      </c>
      <c r="C204" s="460"/>
      <c r="D204" s="294" t="s">
        <v>3920</v>
      </c>
      <c r="E204" s="304">
        <v>10400</v>
      </c>
    </row>
    <row r="205" spans="1:5" x14ac:dyDescent="0.25">
      <c r="A205" s="493">
        <v>45150</v>
      </c>
      <c r="B205" s="294" t="s">
        <v>9906</v>
      </c>
      <c r="C205" s="460"/>
      <c r="D205" s="294" t="s">
        <v>3920</v>
      </c>
      <c r="E205" s="304">
        <v>3390</v>
      </c>
    </row>
    <row r="206" spans="1:5" x14ac:dyDescent="0.25">
      <c r="A206" s="493">
        <v>45153</v>
      </c>
      <c r="B206" s="294" t="s">
        <v>8573</v>
      </c>
      <c r="C206" s="460"/>
      <c r="D206" s="294" t="s">
        <v>3920</v>
      </c>
      <c r="E206" s="304">
        <v>30000</v>
      </c>
    </row>
    <row r="207" spans="1:5" x14ac:dyDescent="0.25">
      <c r="A207" s="493">
        <v>45153</v>
      </c>
      <c r="B207" s="294" t="s">
        <v>8573</v>
      </c>
      <c r="C207" s="460"/>
      <c r="D207" s="294" t="s">
        <v>3920</v>
      </c>
      <c r="E207" s="304">
        <v>30000</v>
      </c>
    </row>
    <row r="208" spans="1:5" x14ac:dyDescent="0.25">
      <c r="A208" s="493">
        <v>45153</v>
      </c>
      <c r="B208" s="294" t="s">
        <v>8573</v>
      </c>
      <c r="C208" s="460"/>
      <c r="D208" s="294" t="s">
        <v>3920</v>
      </c>
      <c r="E208" s="304">
        <v>5000</v>
      </c>
    </row>
    <row r="209" spans="1:5" x14ac:dyDescent="0.25">
      <c r="A209" s="493">
        <v>45155</v>
      </c>
      <c r="B209" s="294" t="s">
        <v>9904</v>
      </c>
      <c r="C209" s="460"/>
      <c r="D209" s="294" t="s">
        <v>3920</v>
      </c>
      <c r="E209" s="304">
        <v>49205</v>
      </c>
    </row>
    <row r="210" spans="1:5" x14ac:dyDescent="0.25">
      <c r="A210" s="493">
        <v>45155</v>
      </c>
      <c r="B210" s="294" t="s">
        <v>9904</v>
      </c>
      <c r="C210" s="460"/>
      <c r="D210" s="294" t="s">
        <v>11972</v>
      </c>
      <c r="E210" s="304">
        <v>9000</v>
      </c>
    </row>
    <row r="211" spans="1:5" x14ac:dyDescent="0.25">
      <c r="A211" s="493">
        <v>45155</v>
      </c>
      <c r="B211" s="294" t="s">
        <v>9904</v>
      </c>
      <c r="C211" s="460"/>
      <c r="D211" s="294" t="s">
        <v>11973</v>
      </c>
      <c r="E211" s="304">
        <v>15000</v>
      </c>
    </row>
    <row r="212" spans="1:5" x14ac:dyDescent="0.25">
      <c r="A212" s="493">
        <v>45155</v>
      </c>
      <c r="B212" s="294" t="s">
        <v>9904</v>
      </c>
      <c r="C212" s="460"/>
      <c r="D212" s="294" t="s">
        <v>11974</v>
      </c>
      <c r="E212" s="304">
        <v>5000</v>
      </c>
    </row>
    <row r="213" spans="1:5" x14ac:dyDescent="0.25">
      <c r="A213" s="493">
        <v>45155</v>
      </c>
      <c r="B213" s="294" t="s">
        <v>8928</v>
      </c>
      <c r="C213" s="460"/>
      <c r="D213" s="294" t="s">
        <v>3920</v>
      </c>
      <c r="E213" s="304">
        <v>17540</v>
      </c>
    </row>
    <row r="214" spans="1:5" x14ac:dyDescent="0.25">
      <c r="A214" s="493">
        <v>45155</v>
      </c>
      <c r="B214" s="294" t="s">
        <v>9906</v>
      </c>
      <c r="C214" s="460"/>
      <c r="D214" s="294" t="s">
        <v>3920</v>
      </c>
      <c r="E214" s="304">
        <v>4250</v>
      </c>
    </row>
    <row r="215" spans="1:5" x14ac:dyDescent="0.25">
      <c r="A215" s="493">
        <v>45157</v>
      </c>
      <c r="B215" s="294" t="s">
        <v>9904</v>
      </c>
      <c r="C215" s="460"/>
      <c r="D215" s="294" t="s">
        <v>11994</v>
      </c>
      <c r="E215" s="304">
        <v>34165</v>
      </c>
    </row>
    <row r="216" spans="1:5" x14ac:dyDescent="0.25">
      <c r="A216" s="493">
        <v>45157</v>
      </c>
      <c r="B216" s="294" t="s">
        <v>9904</v>
      </c>
      <c r="C216" s="460"/>
      <c r="D216" s="294" t="s">
        <v>11995</v>
      </c>
      <c r="E216" s="304">
        <v>5010</v>
      </c>
    </row>
    <row r="217" spans="1:5" x14ac:dyDescent="0.25">
      <c r="A217" s="493">
        <v>45159</v>
      </c>
      <c r="B217" s="294" t="s">
        <v>9906</v>
      </c>
      <c r="C217" s="460"/>
      <c r="D217" s="294" t="s">
        <v>3920</v>
      </c>
      <c r="E217" s="304">
        <v>10020</v>
      </c>
    </row>
    <row r="218" spans="1:5" x14ac:dyDescent="0.25">
      <c r="A218" s="493">
        <v>45159</v>
      </c>
      <c r="B218" s="294" t="s">
        <v>8573</v>
      </c>
      <c r="C218" s="460"/>
      <c r="D218" s="294" t="s">
        <v>3920</v>
      </c>
      <c r="E218" s="304">
        <v>31200</v>
      </c>
    </row>
    <row r="219" spans="1:5" x14ac:dyDescent="0.25">
      <c r="A219" s="493">
        <v>45161</v>
      </c>
      <c r="B219" s="294" t="s">
        <v>8573</v>
      </c>
      <c r="C219" s="460"/>
      <c r="D219" s="294" t="s">
        <v>325</v>
      </c>
      <c r="E219" s="304">
        <v>3000</v>
      </c>
    </row>
    <row r="220" spans="1:5" x14ac:dyDescent="0.25">
      <c r="A220" s="493">
        <v>45161</v>
      </c>
      <c r="B220" s="294" t="s">
        <v>8573</v>
      </c>
      <c r="C220" s="460"/>
      <c r="D220" s="294" t="s">
        <v>9458</v>
      </c>
      <c r="E220" s="304">
        <v>25000</v>
      </c>
    </row>
    <row r="221" spans="1:5" x14ac:dyDescent="0.25">
      <c r="A221" s="493">
        <v>45167</v>
      </c>
      <c r="B221" s="294" t="s">
        <v>9904</v>
      </c>
      <c r="C221" s="460"/>
      <c r="D221" s="294" t="s">
        <v>3920</v>
      </c>
      <c r="E221" s="304">
        <v>27720</v>
      </c>
    </row>
    <row r="222" spans="1:5" x14ac:dyDescent="0.25">
      <c r="A222" s="493">
        <v>45167</v>
      </c>
      <c r="B222" s="294" t="s">
        <v>9906</v>
      </c>
      <c r="C222" s="460"/>
      <c r="D222" s="294" t="s">
        <v>3920</v>
      </c>
      <c r="E222" s="304">
        <v>6250</v>
      </c>
    </row>
    <row r="223" spans="1:5" x14ac:dyDescent="0.25">
      <c r="A223" s="493">
        <v>45164</v>
      </c>
      <c r="B223" s="294" t="s">
        <v>247</v>
      </c>
      <c r="C223" s="460"/>
      <c r="D223" s="294" t="s">
        <v>3920</v>
      </c>
      <c r="E223" s="304">
        <v>14740</v>
      </c>
    </row>
    <row r="224" spans="1:5" x14ac:dyDescent="0.25">
      <c r="A224" s="493">
        <v>45169</v>
      </c>
      <c r="B224" s="294" t="s">
        <v>629</v>
      </c>
      <c r="C224" s="460"/>
      <c r="D224" s="294" t="s">
        <v>3920</v>
      </c>
      <c r="E224" s="304">
        <v>17700</v>
      </c>
    </row>
    <row r="225" spans="1:5" x14ac:dyDescent="0.25">
      <c r="A225" s="493">
        <v>45171</v>
      </c>
      <c r="B225" s="294" t="s">
        <v>5162</v>
      </c>
      <c r="C225" s="460"/>
      <c r="D225" s="294" t="s">
        <v>3920</v>
      </c>
      <c r="E225" s="304">
        <v>16920</v>
      </c>
    </row>
    <row r="226" spans="1:5" x14ac:dyDescent="0.25">
      <c r="A226" s="493">
        <v>45171</v>
      </c>
      <c r="B226" s="294" t="s">
        <v>9906</v>
      </c>
      <c r="C226" s="460"/>
      <c r="D226" s="294" t="s">
        <v>3920</v>
      </c>
      <c r="E226" s="304">
        <v>6650</v>
      </c>
    </row>
    <row r="227" spans="1:5" x14ac:dyDescent="0.25">
      <c r="A227" s="493">
        <v>45173</v>
      </c>
      <c r="B227" s="294" t="s">
        <v>156</v>
      </c>
      <c r="C227" s="460"/>
      <c r="D227" s="294" t="s">
        <v>3920</v>
      </c>
      <c r="E227" s="304">
        <v>8070</v>
      </c>
    </row>
    <row r="228" spans="1:5" x14ac:dyDescent="0.25">
      <c r="A228" s="493">
        <v>45173</v>
      </c>
      <c r="B228" s="294" t="s">
        <v>156</v>
      </c>
      <c r="C228" s="460"/>
      <c r="D228" s="294" t="s">
        <v>3920</v>
      </c>
      <c r="E228" s="304">
        <v>5200</v>
      </c>
    </row>
    <row r="229" spans="1:5" x14ac:dyDescent="0.25">
      <c r="A229" s="493">
        <v>45176</v>
      </c>
      <c r="B229" s="294" t="s">
        <v>8573</v>
      </c>
      <c r="C229" s="460"/>
      <c r="D229" s="294" t="s">
        <v>3920</v>
      </c>
      <c r="E229" s="304">
        <v>36070</v>
      </c>
    </row>
    <row r="230" spans="1:5" x14ac:dyDescent="0.25">
      <c r="A230" s="493">
        <v>45176</v>
      </c>
      <c r="B230" s="294" t="s">
        <v>8573</v>
      </c>
      <c r="C230" s="460"/>
      <c r="D230" s="294" t="s">
        <v>3920</v>
      </c>
      <c r="E230" s="304">
        <v>16000</v>
      </c>
    </row>
    <row r="231" spans="1:5" x14ac:dyDescent="0.25">
      <c r="A231" s="493">
        <v>45180</v>
      </c>
      <c r="B231" s="294" t="s">
        <v>9906</v>
      </c>
      <c r="C231" s="460"/>
      <c r="D231" s="294" t="s">
        <v>3920</v>
      </c>
      <c r="E231" s="304">
        <v>1150</v>
      </c>
    </row>
    <row r="232" spans="1:5" x14ac:dyDescent="0.25">
      <c r="A232" s="493">
        <v>45180</v>
      </c>
      <c r="B232" s="294" t="s">
        <v>9906</v>
      </c>
      <c r="C232" s="460"/>
      <c r="D232" s="294" t="s">
        <v>3920</v>
      </c>
      <c r="E232" s="304">
        <v>43410</v>
      </c>
    </row>
    <row r="233" spans="1:5" x14ac:dyDescent="0.25">
      <c r="A233" s="493">
        <v>45180</v>
      </c>
      <c r="B233" s="294" t="s">
        <v>8573</v>
      </c>
      <c r="C233" s="460"/>
      <c r="D233" s="294" t="s">
        <v>3920</v>
      </c>
      <c r="E233" s="304">
        <v>2980</v>
      </c>
    </row>
    <row r="234" spans="1:5" x14ac:dyDescent="0.25">
      <c r="A234" s="493">
        <v>45180</v>
      </c>
      <c r="B234" s="294" t="s">
        <v>8573</v>
      </c>
      <c r="C234" s="460"/>
      <c r="D234" s="294" t="s">
        <v>3920</v>
      </c>
      <c r="E234" s="304">
        <v>4150</v>
      </c>
    </row>
    <row r="235" spans="1:5" x14ac:dyDescent="0.25">
      <c r="A235" s="493">
        <v>45180</v>
      </c>
      <c r="B235" s="294" t="s">
        <v>8573</v>
      </c>
      <c r="C235" s="460"/>
      <c r="D235" s="294" t="s">
        <v>12165</v>
      </c>
      <c r="E235" s="304">
        <v>1600</v>
      </c>
    </row>
    <row r="236" spans="1:5" x14ac:dyDescent="0.25">
      <c r="A236" s="493">
        <v>45180</v>
      </c>
      <c r="B236" s="294" t="s">
        <v>8573</v>
      </c>
      <c r="C236" s="460"/>
      <c r="D236" s="294" t="s">
        <v>12166</v>
      </c>
      <c r="E236" s="304">
        <v>800</v>
      </c>
    </row>
    <row r="237" spans="1:5" x14ac:dyDescent="0.25">
      <c r="A237" s="493">
        <v>45180</v>
      </c>
      <c r="B237" s="294" t="s">
        <v>8573</v>
      </c>
      <c r="C237" s="460"/>
      <c r="D237" s="294" t="s">
        <v>12166</v>
      </c>
      <c r="E237" s="304">
        <v>500</v>
      </c>
    </row>
    <row r="238" spans="1:5" x14ac:dyDescent="0.25">
      <c r="A238" s="493">
        <v>45180</v>
      </c>
      <c r="B238" s="294" t="s">
        <v>8573</v>
      </c>
      <c r="C238" s="460"/>
      <c r="D238" s="294" t="s">
        <v>30</v>
      </c>
      <c r="E238" s="304">
        <v>1000</v>
      </c>
    </row>
    <row r="239" spans="1:5" x14ac:dyDescent="0.25">
      <c r="A239" s="493">
        <v>45181</v>
      </c>
      <c r="B239" s="294" t="s">
        <v>5162</v>
      </c>
      <c r="C239" s="460"/>
      <c r="D239" s="294" t="s">
        <v>3920</v>
      </c>
      <c r="E239" s="304">
        <v>5600</v>
      </c>
    </row>
    <row r="240" spans="1:5" x14ac:dyDescent="0.25">
      <c r="A240" s="493">
        <v>45181</v>
      </c>
      <c r="B240" s="294" t="s">
        <v>9906</v>
      </c>
      <c r="C240" s="460"/>
      <c r="D240" s="294" t="s">
        <v>3920</v>
      </c>
      <c r="E240" s="304">
        <v>12590</v>
      </c>
    </row>
    <row r="241" spans="1:5" x14ac:dyDescent="0.25">
      <c r="A241" s="493">
        <v>45182</v>
      </c>
      <c r="B241" s="294" t="s">
        <v>9904</v>
      </c>
      <c r="C241" s="460"/>
      <c r="D241" s="294" t="s">
        <v>3920</v>
      </c>
      <c r="E241" s="304">
        <v>82610</v>
      </c>
    </row>
    <row r="242" spans="1:5" x14ac:dyDescent="0.25">
      <c r="A242" s="493">
        <v>45187</v>
      </c>
      <c r="B242" s="294" t="s">
        <v>445</v>
      </c>
      <c r="C242" s="460"/>
      <c r="D242" s="294" t="s">
        <v>12227</v>
      </c>
      <c r="E242" s="304">
        <v>19000</v>
      </c>
    </row>
    <row r="243" spans="1:5" x14ac:dyDescent="0.25">
      <c r="A243" s="493">
        <v>45187</v>
      </c>
      <c r="B243" s="294" t="s">
        <v>445</v>
      </c>
      <c r="C243" s="460"/>
      <c r="D243" s="294" t="s">
        <v>3920</v>
      </c>
      <c r="E243" s="304">
        <v>10060</v>
      </c>
    </row>
    <row r="244" spans="1:5" x14ac:dyDescent="0.25">
      <c r="A244" s="493">
        <v>45187</v>
      </c>
      <c r="B244" s="294" t="s">
        <v>445</v>
      </c>
      <c r="C244" s="460"/>
      <c r="D244" s="294" t="s">
        <v>12229</v>
      </c>
      <c r="E244" s="304">
        <v>500</v>
      </c>
    </row>
    <row r="245" spans="1:5" x14ac:dyDescent="0.25">
      <c r="A245" s="493">
        <v>45188</v>
      </c>
      <c r="B245" s="294" t="s">
        <v>9906</v>
      </c>
      <c r="C245" s="460"/>
      <c r="D245" s="294" t="s">
        <v>12240</v>
      </c>
      <c r="E245" s="304">
        <v>10450</v>
      </c>
    </row>
    <row r="246" spans="1:5" x14ac:dyDescent="0.25">
      <c r="A246" s="493">
        <v>45188</v>
      </c>
      <c r="B246" s="294" t="s">
        <v>9906</v>
      </c>
      <c r="C246" s="460"/>
      <c r="D246" s="294" t="s">
        <v>4365</v>
      </c>
      <c r="E246" s="304">
        <v>9180</v>
      </c>
    </row>
    <row r="247" spans="1:5" x14ac:dyDescent="0.25">
      <c r="A247" s="493">
        <v>45190</v>
      </c>
      <c r="B247" s="294" t="s">
        <v>9906</v>
      </c>
      <c r="C247" s="460"/>
      <c r="D247" s="294" t="s">
        <v>12240</v>
      </c>
      <c r="E247" s="304">
        <v>1610</v>
      </c>
    </row>
    <row r="248" spans="1:5" x14ac:dyDescent="0.25">
      <c r="A248" s="493">
        <v>45192</v>
      </c>
      <c r="B248" s="294" t="s">
        <v>5162</v>
      </c>
      <c r="C248" s="460"/>
      <c r="D248" s="294" t="s">
        <v>3920</v>
      </c>
      <c r="E248" s="304">
        <v>12750</v>
      </c>
    </row>
    <row r="249" spans="1:5" x14ac:dyDescent="0.25">
      <c r="A249" s="493">
        <v>45194</v>
      </c>
      <c r="B249" s="294" t="s">
        <v>8928</v>
      </c>
      <c r="C249" s="460"/>
      <c r="D249" s="294" t="s">
        <v>3920</v>
      </c>
      <c r="E249" s="304">
        <v>20300</v>
      </c>
    </row>
    <row r="250" spans="1:5" x14ac:dyDescent="0.25">
      <c r="A250" s="493">
        <v>45196</v>
      </c>
      <c r="B250" s="294" t="s">
        <v>9906</v>
      </c>
      <c r="C250" s="460"/>
      <c r="D250" s="294" t="s">
        <v>3920</v>
      </c>
      <c r="E250" s="304">
        <v>10950</v>
      </c>
    </row>
    <row r="251" spans="1:5" x14ac:dyDescent="0.25">
      <c r="A251" s="493">
        <v>45197</v>
      </c>
      <c r="B251" s="294" t="s">
        <v>156</v>
      </c>
      <c r="C251" s="460"/>
      <c r="D251" s="294" t="s">
        <v>3920</v>
      </c>
      <c r="E251" s="304">
        <v>3700</v>
      </c>
    </row>
    <row r="252" spans="1:5" x14ac:dyDescent="0.25">
      <c r="A252" s="493">
        <v>45197</v>
      </c>
      <c r="B252" s="294" t="s">
        <v>5162</v>
      </c>
      <c r="C252" s="460"/>
      <c r="D252" s="294" t="s">
        <v>3920</v>
      </c>
      <c r="E252" s="304">
        <v>47744</v>
      </c>
    </row>
    <row r="253" spans="1:5" x14ac:dyDescent="0.25">
      <c r="A253" s="493">
        <v>45197</v>
      </c>
      <c r="B253" s="294" t="s">
        <v>5162</v>
      </c>
      <c r="C253" s="460"/>
      <c r="D253" s="294" t="s">
        <v>12312</v>
      </c>
      <c r="E253" s="304">
        <v>2000</v>
      </c>
    </row>
    <row r="254" spans="1:5" x14ac:dyDescent="0.25">
      <c r="A254" s="493">
        <v>45201</v>
      </c>
      <c r="B254" s="294" t="s">
        <v>445</v>
      </c>
      <c r="C254" s="460"/>
      <c r="D254" s="294" t="s">
        <v>12320</v>
      </c>
      <c r="E254" s="304">
        <v>44920</v>
      </c>
    </row>
    <row r="255" spans="1:5" x14ac:dyDescent="0.25">
      <c r="A255" s="493">
        <v>45201</v>
      </c>
      <c r="B255" s="294" t="s">
        <v>445</v>
      </c>
      <c r="C255" s="460"/>
      <c r="D255" s="294" t="s">
        <v>10173</v>
      </c>
      <c r="E255" s="304">
        <v>10230</v>
      </c>
    </row>
    <row r="256" spans="1:5" x14ac:dyDescent="0.25">
      <c r="A256" s="493">
        <v>45201</v>
      </c>
      <c r="B256" s="294" t="s">
        <v>445</v>
      </c>
      <c r="C256" s="460"/>
      <c r="D256" s="294" t="s">
        <v>12321</v>
      </c>
      <c r="E256" s="304">
        <v>3000</v>
      </c>
    </row>
    <row r="257" spans="1:5" x14ac:dyDescent="0.25">
      <c r="A257" s="493">
        <v>45201</v>
      </c>
      <c r="B257" s="294" t="s">
        <v>9904</v>
      </c>
      <c r="C257" s="460"/>
      <c r="D257" s="294" t="s">
        <v>12327</v>
      </c>
      <c r="E257" s="304">
        <v>-126</v>
      </c>
    </row>
    <row r="258" spans="1:5" x14ac:dyDescent="0.25">
      <c r="A258" s="493">
        <v>45201</v>
      </c>
      <c r="B258" s="294" t="s">
        <v>9904</v>
      </c>
      <c r="C258" s="460"/>
      <c r="D258" s="294" t="s">
        <v>12325</v>
      </c>
      <c r="E258" s="304">
        <v>18500</v>
      </c>
    </row>
    <row r="259" spans="1:5" x14ac:dyDescent="0.25">
      <c r="A259" s="493">
        <v>45201</v>
      </c>
      <c r="B259" s="294" t="s">
        <v>9904</v>
      </c>
      <c r="C259" s="460"/>
      <c r="D259" s="294" t="s">
        <v>12326</v>
      </c>
      <c r="E259" s="304">
        <v>5000</v>
      </c>
    </row>
    <row r="260" spans="1:5" x14ac:dyDescent="0.25">
      <c r="A260" s="493">
        <v>45202</v>
      </c>
      <c r="B260" s="294" t="s">
        <v>445</v>
      </c>
      <c r="C260" s="460"/>
      <c r="D260" s="294" t="s">
        <v>3920</v>
      </c>
      <c r="E260" s="304">
        <v>2220</v>
      </c>
    </row>
    <row r="261" spans="1:5" x14ac:dyDescent="0.25">
      <c r="A261" s="493">
        <v>45204</v>
      </c>
      <c r="B261" s="294" t="s">
        <v>9906</v>
      </c>
      <c r="C261" s="460"/>
      <c r="D261" s="294" t="s">
        <v>3920</v>
      </c>
      <c r="E261" s="304">
        <v>6465</v>
      </c>
    </row>
    <row r="262" spans="1:5" x14ac:dyDescent="0.25">
      <c r="A262" s="493">
        <v>45204</v>
      </c>
      <c r="B262" s="294" t="s">
        <v>9906</v>
      </c>
      <c r="C262" s="460"/>
      <c r="D262" s="294" t="s">
        <v>3920</v>
      </c>
      <c r="E262" s="304">
        <v>200</v>
      </c>
    </row>
    <row r="263" spans="1:5" x14ac:dyDescent="0.25">
      <c r="A263" s="493">
        <v>45208</v>
      </c>
      <c r="B263" s="294" t="s">
        <v>9904</v>
      </c>
      <c r="C263" s="460"/>
      <c r="D263" s="294" t="s">
        <v>11336</v>
      </c>
      <c r="E263" s="304">
        <v>40000</v>
      </c>
    </row>
    <row r="264" spans="1:5" x14ac:dyDescent="0.25">
      <c r="A264" s="493">
        <v>45209</v>
      </c>
      <c r="B264" s="294" t="s">
        <v>5162</v>
      </c>
      <c r="C264" s="460"/>
      <c r="D264" s="294" t="s">
        <v>3920</v>
      </c>
      <c r="E264" s="304">
        <v>15000</v>
      </c>
    </row>
    <row r="265" spans="1:5" x14ac:dyDescent="0.25">
      <c r="A265" s="493">
        <v>45209</v>
      </c>
      <c r="B265" s="294" t="s">
        <v>9904</v>
      </c>
      <c r="C265" s="460"/>
      <c r="D265" s="294" t="s">
        <v>11972</v>
      </c>
      <c r="E265" s="304">
        <v>80000</v>
      </c>
    </row>
    <row r="266" spans="1:5" x14ac:dyDescent="0.25">
      <c r="A266" s="493">
        <v>45209</v>
      </c>
      <c r="B266" s="294" t="s">
        <v>9904</v>
      </c>
      <c r="C266" s="460"/>
      <c r="D266" s="294" t="s">
        <v>3920</v>
      </c>
      <c r="E266" s="304">
        <v>11715</v>
      </c>
    </row>
    <row r="267" spans="1:5" x14ac:dyDescent="0.25">
      <c r="A267" s="493">
        <v>45209</v>
      </c>
      <c r="B267" s="294" t="s">
        <v>9904</v>
      </c>
      <c r="C267" s="460"/>
      <c r="D267" s="294" t="s">
        <v>12395</v>
      </c>
      <c r="E267" s="304">
        <v>1000</v>
      </c>
    </row>
    <row r="268" spans="1:5" x14ac:dyDescent="0.25">
      <c r="A268" s="493">
        <v>45210</v>
      </c>
      <c r="B268" s="294" t="s">
        <v>9906</v>
      </c>
      <c r="C268" s="460"/>
      <c r="D268" s="294" t="s">
        <v>3920</v>
      </c>
      <c r="E268" s="304">
        <v>10915</v>
      </c>
    </row>
    <row r="269" spans="1:5" x14ac:dyDescent="0.25">
      <c r="A269" s="493">
        <v>45212</v>
      </c>
      <c r="B269" s="294" t="s">
        <v>8928</v>
      </c>
      <c r="C269" s="460"/>
      <c r="D269" s="294" t="s">
        <v>3920</v>
      </c>
      <c r="E269" s="304">
        <v>7588</v>
      </c>
    </row>
    <row r="270" spans="1:5" x14ac:dyDescent="0.25">
      <c r="A270" s="493">
        <v>45213</v>
      </c>
      <c r="B270" s="294" t="s">
        <v>9904</v>
      </c>
      <c r="C270" s="460"/>
      <c r="D270" s="294" t="s">
        <v>12425</v>
      </c>
      <c r="E270" s="304">
        <v>10000</v>
      </c>
    </row>
    <row r="271" spans="1:5" x14ac:dyDescent="0.25">
      <c r="A271" s="493">
        <v>45214</v>
      </c>
      <c r="B271" s="294" t="s">
        <v>9904</v>
      </c>
      <c r="C271" s="460"/>
      <c r="D271" s="294" t="s">
        <v>12450</v>
      </c>
      <c r="E271" s="304">
        <v>20000</v>
      </c>
    </row>
    <row r="272" spans="1:5" x14ac:dyDescent="0.25">
      <c r="A272" s="493">
        <v>45214</v>
      </c>
      <c r="B272" s="294" t="s">
        <v>445</v>
      </c>
      <c r="C272" s="460"/>
      <c r="D272" s="294" t="s">
        <v>12454</v>
      </c>
      <c r="E272" s="304">
        <v>-20000</v>
      </c>
    </row>
    <row r="273" spans="1:5" x14ac:dyDescent="0.25">
      <c r="A273" s="493">
        <v>45218</v>
      </c>
      <c r="B273" s="294" t="s">
        <v>156</v>
      </c>
      <c r="C273" s="460"/>
      <c r="D273" s="294" t="s">
        <v>3920</v>
      </c>
      <c r="E273" s="304">
        <v>2500</v>
      </c>
    </row>
    <row r="274" spans="1:5" x14ac:dyDescent="0.25">
      <c r="A274" s="493">
        <v>45222</v>
      </c>
      <c r="B274" s="294" t="s">
        <v>8928</v>
      </c>
      <c r="C274" s="460"/>
      <c r="D274" s="294" t="s">
        <v>3920</v>
      </c>
      <c r="E274" s="304">
        <v>3070</v>
      </c>
    </row>
    <row r="275" spans="1:5" x14ac:dyDescent="0.25">
      <c r="A275" s="493">
        <v>45222</v>
      </c>
      <c r="B275" s="294" t="s">
        <v>8928</v>
      </c>
      <c r="C275" s="460"/>
      <c r="D275" s="294" t="s">
        <v>12483</v>
      </c>
      <c r="E275" s="304">
        <v>-1000</v>
      </c>
    </row>
    <row r="276" spans="1:5" x14ac:dyDescent="0.25">
      <c r="A276" s="493">
        <v>45222</v>
      </c>
      <c r="B276" s="294" t="s">
        <v>107</v>
      </c>
      <c r="C276" s="460"/>
      <c r="D276" s="294" t="s">
        <v>4385</v>
      </c>
      <c r="E276" s="304">
        <v>2080</v>
      </c>
    </row>
    <row r="277" spans="1:5" x14ac:dyDescent="0.25">
      <c r="A277" s="493">
        <v>45223</v>
      </c>
      <c r="B277" s="294" t="s">
        <v>107</v>
      </c>
      <c r="C277" s="460"/>
      <c r="D277" s="294" t="s">
        <v>12487</v>
      </c>
      <c r="E277" s="304">
        <v>2000</v>
      </c>
    </row>
    <row r="278" spans="1:5" x14ac:dyDescent="0.25">
      <c r="A278" s="493">
        <v>45223</v>
      </c>
      <c r="B278" s="294" t="s">
        <v>5162</v>
      </c>
      <c r="C278" s="460"/>
      <c r="D278" s="294" t="s">
        <v>12488</v>
      </c>
      <c r="E278" s="304">
        <v>-2000</v>
      </c>
    </row>
    <row r="279" spans="1:5" x14ac:dyDescent="0.25">
      <c r="A279" s="493">
        <v>45223</v>
      </c>
      <c r="B279" s="294" t="s">
        <v>107</v>
      </c>
      <c r="C279" s="460"/>
      <c r="D279" s="294" t="s">
        <v>12483</v>
      </c>
      <c r="E279" s="304">
        <v>-1000</v>
      </c>
    </row>
    <row r="280" spans="1:5" x14ac:dyDescent="0.25">
      <c r="A280" s="493">
        <v>45223</v>
      </c>
      <c r="B280" s="294" t="s">
        <v>5162</v>
      </c>
      <c r="C280" s="460"/>
      <c r="D280" s="294" t="s">
        <v>12483</v>
      </c>
      <c r="E280" s="304">
        <v>-1000</v>
      </c>
    </row>
    <row r="281" spans="1:5" x14ac:dyDescent="0.25">
      <c r="A281" s="493">
        <v>45225</v>
      </c>
      <c r="B281" s="294" t="s">
        <v>9904</v>
      </c>
      <c r="C281" s="460"/>
      <c r="D281" s="294" t="s">
        <v>3920</v>
      </c>
      <c r="E281" s="304">
        <v>95990</v>
      </c>
    </row>
    <row r="282" spans="1:5" x14ac:dyDescent="0.25">
      <c r="A282" s="493">
        <v>45225</v>
      </c>
      <c r="B282" s="294" t="s">
        <v>9904</v>
      </c>
      <c r="C282" s="460"/>
      <c r="D282" s="294" t="s">
        <v>11972</v>
      </c>
      <c r="E282" s="304">
        <v>20000</v>
      </c>
    </row>
    <row r="283" spans="1:5" x14ac:dyDescent="0.25">
      <c r="A283" s="493">
        <v>45225</v>
      </c>
      <c r="B283" s="294" t="s">
        <v>9904</v>
      </c>
      <c r="C283" s="460"/>
      <c r="D283" s="294" t="s">
        <v>12312</v>
      </c>
      <c r="E283" s="304">
        <v>7000</v>
      </c>
    </row>
    <row r="284" spans="1:5" x14ac:dyDescent="0.25">
      <c r="A284" s="493">
        <v>45225</v>
      </c>
      <c r="B284" s="294" t="s">
        <v>9904</v>
      </c>
      <c r="C284" s="460"/>
      <c r="D284" s="294" t="s">
        <v>12501</v>
      </c>
      <c r="E284" s="304">
        <v>10000</v>
      </c>
    </row>
    <row r="285" spans="1:5" x14ac:dyDescent="0.25">
      <c r="A285" s="493">
        <v>45225</v>
      </c>
      <c r="B285" s="294" t="s">
        <v>8573</v>
      </c>
      <c r="C285" s="460"/>
      <c r="D285" s="294" t="s">
        <v>12554</v>
      </c>
      <c r="E285" s="304">
        <v>10000</v>
      </c>
    </row>
    <row r="286" spans="1:5" x14ac:dyDescent="0.25">
      <c r="A286" s="493">
        <v>45225</v>
      </c>
      <c r="B286" s="294" t="s">
        <v>445</v>
      </c>
      <c r="C286" s="460"/>
      <c r="D286" s="294" t="s">
        <v>3557</v>
      </c>
      <c r="E286" s="304">
        <v>-20000</v>
      </c>
    </row>
    <row r="287" spans="1:5" x14ac:dyDescent="0.25">
      <c r="A287" s="493">
        <v>45225</v>
      </c>
      <c r="B287" s="294" t="s">
        <v>107</v>
      </c>
      <c r="C287" s="460"/>
      <c r="D287" s="294" t="s">
        <v>3920</v>
      </c>
      <c r="E287" s="304">
        <v>6000</v>
      </c>
    </row>
    <row r="288" spans="1:5" x14ac:dyDescent="0.25">
      <c r="A288" s="493">
        <v>45225</v>
      </c>
      <c r="B288" s="294" t="s">
        <v>9906</v>
      </c>
      <c r="C288" s="460"/>
      <c r="D288" s="294" t="s">
        <v>3920</v>
      </c>
      <c r="E288" s="304">
        <v>12420</v>
      </c>
    </row>
    <row r="289" spans="1:5" x14ac:dyDescent="0.25">
      <c r="A289" s="493">
        <v>45229</v>
      </c>
      <c r="B289" s="294" t="s">
        <v>156</v>
      </c>
      <c r="C289" s="460"/>
      <c r="D289" s="294" t="s">
        <v>3920</v>
      </c>
      <c r="E289" s="304">
        <v>3890</v>
      </c>
    </row>
    <row r="290" spans="1:5" x14ac:dyDescent="0.25">
      <c r="A290" s="493">
        <v>45232</v>
      </c>
      <c r="B290" s="294" t="s">
        <v>445</v>
      </c>
      <c r="C290" s="460"/>
      <c r="D290" s="294" t="s">
        <v>12566</v>
      </c>
      <c r="E290" s="304">
        <v>7440</v>
      </c>
    </row>
    <row r="291" spans="1:5" x14ac:dyDescent="0.25">
      <c r="A291" s="493">
        <v>45232</v>
      </c>
      <c r="B291" s="294" t="s">
        <v>445</v>
      </c>
      <c r="C291" s="460"/>
      <c r="D291" s="294" t="s">
        <v>12567</v>
      </c>
      <c r="E291" s="304">
        <v>500</v>
      </c>
    </row>
    <row r="292" spans="1:5" x14ac:dyDescent="0.25">
      <c r="A292" s="493">
        <v>45232</v>
      </c>
      <c r="B292" s="294" t="s">
        <v>445</v>
      </c>
      <c r="C292" s="460"/>
      <c r="D292" s="294" t="s">
        <v>12566</v>
      </c>
      <c r="E292" s="304">
        <v>14370</v>
      </c>
    </row>
    <row r="293" spans="1:5" x14ac:dyDescent="0.25">
      <c r="A293" s="493">
        <v>45232</v>
      </c>
      <c r="B293" s="294" t="s">
        <v>445</v>
      </c>
      <c r="C293" s="460"/>
      <c r="D293" s="294" t="s">
        <v>12566</v>
      </c>
      <c r="E293" s="304">
        <v>15360</v>
      </c>
    </row>
    <row r="294" spans="1:5" x14ac:dyDescent="0.25">
      <c r="A294" s="493">
        <v>45232</v>
      </c>
      <c r="B294" s="294" t="s">
        <v>445</v>
      </c>
      <c r="C294" s="460"/>
      <c r="D294" s="294" t="s">
        <v>12566</v>
      </c>
      <c r="E294" s="304">
        <v>18350</v>
      </c>
    </row>
    <row r="295" spans="1:5" x14ac:dyDescent="0.25">
      <c r="A295" s="493">
        <v>45232</v>
      </c>
      <c r="B295" s="294" t="s">
        <v>445</v>
      </c>
      <c r="C295" s="460"/>
      <c r="D295" s="294" t="s">
        <v>12566</v>
      </c>
      <c r="E295" s="304">
        <v>139900</v>
      </c>
    </row>
    <row r="296" spans="1:5" x14ac:dyDescent="0.25">
      <c r="A296" s="493">
        <v>45233</v>
      </c>
      <c r="B296" s="294" t="s">
        <v>9906</v>
      </c>
      <c r="C296" s="460"/>
      <c r="D296" s="294" t="s">
        <v>3920</v>
      </c>
      <c r="E296" s="304">
        <v>3000</v>
      </c>
    </row>
    <row r="297" spans="1:5" x14ac:dyDescent="0.25">
      <c r="A297" s="493">
        <v>45233</v>
      </c>
      <c r="B297" s="294" t="s">
        <v>156</v>
      </c>
      <c r="C297" s="460"/>
      <c r="D297" s="294" t="s">
        <v>12580</v>
      </c>
      <c r="E297" s="304">
        <v>-5000</v>
      </c>
    </row>
    <row r="298" spans="1:5" x14ac:dyDescent="0.25">
      <c r="A298" s="493">
        <v>45234</v>
      </c>
      <c r="B298" s="294" t="s">
        <v>9906</v>
      </c>
      <c r="C298" s="460"/>
      <c r="D298" s="294" t="s">
        <v>3920</v>
      </c>
      <c r="E298" s="304">
        <v>4880</v>
      </c>
    </row>
    <row r="299" spans="1:5" x14ac:dyDescent="0.25">
      <c r="A299" s="493">
        <v>45236</v>
      </c>
      <c r="B299" s="294" t="s">
        <v>156</v>
      </c>
      <c r="C299" s="460"/>
      <c r="D299" s="294" t="s">
        <v>3920</v>
      </c>
      <c r="E299" s="304">
        <v>4100</v>
      </c>
    </row>
    <row r="300" spans="1:5" x14ac:dyDescent="0.25">
      <c r="A300" s="493">
        <v>45237</v>
      </c>
      <c r="B300" s="294" t="s">
        <v>8928</v>
      </c>
      <c r="C300" s="460"/>
      <c r="D300" s="294" t="s">
        <v>3920</v>
      </c>
      <c r="E300" s="304">
        <v>8110</v>
      </c>
    </row>
    <row r="301" spans="1:5" x14ac:dyDescent="0.25">
      <c r="A301" s="493">
        <v>45237</v>
      </c>
      <c r="B301" s="294" t="s">
        <v>8928</v>
      </c>
      <c r="C301" s="460"/>
      <c r="D301" s="294" t="s">
        <v>12483</v>
      </c>
      <c r="E301" s="304">
        <v>-2500</v>
      </c>
    </row>
    <row r="302" spans="1:5" x14ac:dyDescent="0.25">
      <c r="A302" s="493">
        <v>45238</v>
      </c>
      <c r="B302" s="294" t="s">
        <v>8573</v>
      </c>
      <c r="C302" s="460"/>
      <c r="D302" s="294" t="s">
        <v>12621</v>
      </c>
      <c r="E302" s="304">
        <v>964</v>
      </c>
    </row>
    <row r="303" spans="1:5" x14ac:dyDescent="0.25">
      <c r="A303" s="493">
        <v>45241</v>
      </c>
      <c r="B303" s="294" t="s">
        <v>8928</v>
      </c>
      <c r="C303" s="460"/>
      <c r="D303" s="294" t="s">
        <v>12621</v>
      </c>
      <c r="E303" s="304">
        <v>1750</v>
      </c>
    </row>
    <row r="304" spans="1:5" x14ac:dyDescent="0.25">
      <c r="A304" s="493">
        <v>45241</v>
      </c>
      <c r="B304" s="294" t="s">
        <v>8928</v>
      </c>
      <c r="C304" s="460"/>
      <c r="D304" s="294" t="s">
        <v>12621</v>
      </c>
      <c r="E304" s="304">
        <v>8000</v>
      </c>
    </row>
    <row r="305" spans="1:5" x14ac:dyDescent="0.25">
      <c r="A305" s="493">
        <v>45243</v>
      </c>
      <c r="B305" s="294" t="s">
        <v>8573</v>
      </c>
      <c r="C305" s="460"/>
      <c r="D305" s="294" t="s">
        <v>12621</v>
      </c>
      <c r="E305" s="304">
        <v>1840</v>
      </c>
    </row>
    <row r="306" spans="1:5" x14ac:dyDescent="0.25">
      <c r="A306" s="493">
        <v>45243</v>
      </c>
      <c r="B306" s="294" t="s">
        <v>8573</v>
      </c>
      <c r="C306" s="460"/>
      <c r="D306" s="294" t="s">
        <v>9458</v>
      </c>
      <c r="E306" s="304">
        <v>50000</v>
      </c>
    </row>
    <row r="307" spans="1:5" x14ac:dyDescent="0.25">
      <c r="A307" s="493">
        <v>45243</v>
      </c>
      <c r="B307" s="294" t="s">
        <v>9904</v>
      </c>
      <c r="C307" s="460"/>
      <c r="D307" s="294" t="s">
        <v>3920</v>
      </c>
      <c r="E307" s="304">
        <v>55470</v>
      </c>
    </row>
    <row r="308" spans="1:5" x14ac:dyDescent="0.25">
      <c r="A308" s="493">
        <v>45243</v>
      </c>
      <c r="B308" s="294" t="s">
        <v>9904</v>
      </c>
      <c r="C308" s="460"/>
      <c r="D308" s="294" t="s">
        <v>12671</v>
      </c>
      <c r="E308" s="304">
        <v>7000</v>
      </c>
    </row>
    <row r="309" spans="1:5" x14ac:dyDescent="0.25">
      <c r="A309" s="493">
        <v>45244</v>
      </c>
      <c r="B309" s="294" t="s">
        <v>9906</v>
      </c>
      <c r="C309" s="460"/>
      <c r="D309" s="294" t="s">
        <v>3920</v>
      </c>
      <c r="E309" s="304">
        <v>22600</v>
      </c>
    </row>
    <row r="310" spans="1:5" x14ac:dyDescent="0.25">
      <c r="A310" s="493">
        <v>45244</v>
      </c>
      <c r="B310" s="294" t="s">
        <v>9906</v>
      </c>
      <c r="C310" s="460"/>
      <c r="D310" s="294" t="s">
        <v>3920</v>
      </c>
      <c r="E310" s="304">
        <v>3650</v>
      </c>
    </row>
    <row r="311" spans="1:5" x14ac:dyDescent="0.25">
      <c r="A311" s="493">
        <v>45248</v>
      </c>
      <c r="B311" s="294" t="s">
        <v>9906</v>
      </c>
      <c r="C311" s="460"/>
      <c r="D311" s="294" t="s">
        <v>3920</v>
      </c>
      <c r="E311" s="304">
        <v>8900</v>
      </c>
    </row>
    <row r="312" spans="1:5" x14ac:dyDescent="0.25">
      <c r="A312" s="493">
        <v>45254</v>
      </c>
      <c r="B312" s="294" t="s">
        <v>9906</v>
      </c>
      <c r="C312" s="460"/>
      <c r="D312" s="294" t="s">
        <v>3920</v>
      </c>
      <c r="E312" s="304">
        <v>22600</v>
      </c>
    </row>
    <row r="313" spans="1:5" x14ac:dyDescent="0.25">
      <c r="A313" s="493">
        <v>45254</v>
      </c>
      <c r="B313" s="294" t="s">
        <v>9906</v>
      </c>
      <c r="C313" s="460"/>
      <c r="D313" s="294" t="s">
        <v>3920</v>
      </c>
      <c r="E313" s="304">
        <v>8200</v>
      </c>
    </row>
    <row r="314" spans="1:5" x14ac:dyDescent="0.25">
      <c r="A314" s="493">
        <v>45254</v>
      </c>
      <c r="B314" s="294" t="s">
        <v>9906</v>
      </c>
      <c r="C314" s="460"/>
      <c r="D314" s="294" t="s">
        <v>3920</v>
      </c>
      <c r="E314" s="304">
        <v>3520</v>
      </c>
    </row>
    <row r="315" spans="1:5" x14ac:dyDescent="0.25">
      <c r="A315" s="493">
        <v>45257</v>
      </c>
      <c r="B315" s="294" t="s">
        <v>156</v>
      </c>
      <c r="C315" s="460"/>
      <c r="D315" s="294" t="s">
        <v>3920</v>
      </c>
      <c r="E315" s="304">
        <v>3500</v>
      </c>
    </row>
    <row r="316" spans="1:5" x14ac:dyDescent="0.25">
      <c r="A316" s="493">
        <v>45257</v>
      </c>
      <c r="B316" s="294" t="s">
        <v>156</v>
      </c>
      <c r="C316" s="460"/>
      <c r="D316" s="294" t="s">
        <v>12786</v>
      </c>
      <c r="E316" s="304">
        <v>1000</v>
      </c>
    </row>
    <row r="317" spans="1:5" x14ac:dyDescent="0.25">
      <c r="A317" s="493">
        <v>45257</v>
      </c>
      <c r="B317" s="294" t="s">
        <v>156</v>
      </c>
      <c r="C317" s="460"/>
      <c r="D317" s="294" t="s">
        <v>12787</v>
      </c>
      <c r="E317" s="304">
        <v>500</v>
      </c>
    </row>
    <row r="318" spans="1:5" x14ac:dyDescent="0.25">
      <c r="A318" s="493">
        <v>45257</v>
      </c>
      <c r="B318" s="294" t="s">
        <v>5162</v>
      </c>
      <c r="C318" s="460"/>
      <c r="D318" s="294" t="s">
        <v>3920</v>
      </c>
      <c r="E318" s="304">
        <v>12000</v>
      </c>
    </row>
    <row r="319" spans="1:5" x14ac:dyDescent="0.25">
      <c r="A319" s="493">
        <v>45260</v>
      </c>
      <c r="B319" s="294" t="s">
        <v>9906</v>
      </c>
      <c r="C319" s="460"/>
      <c r="D319" s="294" t="s">
        <v>12799</v>
      </c>
      <c r="E319" s="304">
        <v>-17000</v>
      </c>
    </row>
    <row r="320" spans="1:5" x14ac:dyDescent="0.25">
      <c r="A320" s="493">
        <v>45260</v>
      </c>
      <c r="B320" s="294" t="s">
        <v>445</v>
      </c>
      <c r="C320" s="460"/>
      <c r="D320" s="294" t="s">
        <v>12799</v>
      </c>
      <c r="E320" s="304">
        <v>-5000</v>
      </c>
    </row>
    <row r="321" spans="1:5" x14ac:dyDescent="0.25">
      <c r="A321" s="493">
        <v>45262</v>
      </c>
      <c r="B321" s="294" t="s">
        <v>9906</v>
      </c>
      <c r="C321" s="460"/>
      <c r="D321" s="294" t="s">
        <v>3920</v>
      </c>
      <c r="E321" s="304">
        <v>18700</v>
      </c>
    </row>
    <row r="322" spans="1:5" x14ac:dyDescent="0.25">
      <c r="A322" s="493">
        <v>45264</v>
      </c>
      <c r="B322" s="294" t="s">
        <v>8928</v>
      </c>
      <c r="C322" s="460"/>
      <c r="D322" s="294" t="s">
        <v>12811</v>
      </c>
      <c r="E322" s="304">
        <v>-2500</v>
      </c>
    </row>
    <row r="323" spans="1:5" x14ac:dyDescent="0.25">
      <c r="A323" s="493">
        <v>45266</v>
      </c>
      <c r="B323" s="294" t="s">
        <v>9906</v>
      </c>
      <c r="C323" s="460"/>
      <c r="D323" s="294" t="s">
        <v>3920</v>
      </c>
      <c r="E323" s="304">
        <v>15880</v>
      </c>
    </row>
    <row r="324" spans="1:5" x14ac:dyDescent="0.25">
      <c r="A324" s="493">
        <v>45266</v>
      </c>
      <c r="B324" s="294" t="s">
        <v>9906</v>
      </c>
      <c r="C324" s="460"/>
      <c r="D324" s="294" t="s">
        <v>3920</v>
      </c>
      <c r="E324" s="304">
        <v>13000</v>
      </c>
    </row>
    <row r="325" spans="1:5" x14ac:dyDescent="0.25">
      <c r="A325" s="493">
        <v>45266</v>
      </c>
      <c r="B325" s="294" t="s">
        <v>9904</v>
      </c>
      <c r="C325" s="460"/>
      <c r="D325" s="294" t="s">
        <v>3920</v>
      </c>
      <c r="E325" s="304">
        <v>96605</v>
      </c>
    </row>
    <row r="326" spans="1:5" x14ac:dyDescent="0.25">
      <c r="A326" s="493">
        <v>45266</v>
      </c>
      <c r="B326" s="294" t="s">
        <v>9904</v>
      </c>
      <c r="C326" s="460"/>
      <c r="D326" s="294" t="s">
        <v>12671</v>
      </c>
      <c r="E326" s="304">
        <v>7000</v>
      </c>
    </row>
    <row r="327" spans="1:5" x14ac:dyDescent="0.25">
      <c r="A327" s="493">
        <v>45271</v>
      </c>
      <c r="B327" s="294" t="s">
        <v>8928</v>
      </c>
      <c r="C327" s="460"/>
      <c r="D327" s="294" t="s">
        <v>3920</v>
      </c>
      <c r="E327" s="304">
        <v>2460</v>
      </c>
    </row>
    <row r="328" spans="1:5" x14ac:dyDescent="0.25">
      <c r="A328" s="493">
        <v>45271</v>
      </c>
      <c r="B328" s="294" t="s">
        <v>9906</v>
      </c>
      <c r="C328" s="460"/>
      <c r="D328" s="294" t="s">
        <v>3920</v>
      </c>
      <c r="E328" s="304">
        <v>14860</v>
      </c>
    </row>
    <row r="329" spans="1:5" x14ac:dyDescent="0.25">
      <c r="A329" s="493">
        <v>45278</v>
      </c>
      <c r="B329" s="294" t="s">
        <v>156</v>
      </c>
      <c r="C329" s="460"/>
      <c r="D329" s="294" t="s">
        <v>3920</v>
      </c>
      <c r="E329" s="304">
        <v>4120</v>
      </c>
    </row>
    <row r="330" spans="1:5" x14ac:dyDescent="0.25">
      <c r="A330" s="493">
        <v>45278</v>
      </c>
      <c r="B330" s="294" t="s">
        <v>9906</v>
      </c>
      <c r="C330" s="460"/>
      <c r="D330" s="294" t="s">
        <v>3920</v>
      </c>
      <c r="E330" s="304">
        <v>3450</v>
      </c>
    </row>
    <row r="331" spans="1:5" x14ac:dyDescent="0.25">
      <c r="A331" s="493">
        <v>45280</v>
      </c>
      <c r="B331" s="294" t="s">
        <v>9906</v>
      </c>
      <c r="C331" s="460"/>
      <c r="D331" s="294" t="s">
        <v>3920</v>
      </c>
      <c r="E331" s="304">
        <v>6080</v>
      </c>
    </row>
    <row r="332" spans="1:5" x14ac:dyDescent="0.25">
      <c r="A332" s="493">
        <v>45283</v>
      </c>
      <c r="B332" s="294" t="s">
        <v>9906</v>
      </c>
      <c r="C332" s="460"/>
      <c r="D332" s="294" t="s">
        <v>3920</v>
      </c>
      <c r="E332" s="304">
        <v>22320</v>
      </c>
    </row>
    <row r="333" spans="1:5" x14ac:dyDescent="0.25">
      <c r="A333" s="493">
        <v>45286</v>
      </c>
      <c r="B333" s="294" t="s">
        <v>445</v>
      </c>
      <c r="C333" s="460"/>
      <c r="D333" s="294" t="s">
        <v>3920</v>
      </c>
      <c r="E333" s="304">
        <v>18830</v>
      </c>
    </row>
    <row r="334" spans="1:5" x14ac:dyDescent="0.25">
      <c r="A334" s="493">
        <v>45286</v>
      </c>
      <c r="B334" s="294" t="s">
        <v>9904</v>
      </c>
      <c r="C334" s="460"/>
      <c r="D334" s="294" t="s">
        <v>3920</v>
      </c>
      <c r="E334" s="304">
        <v>24000</v>
      </c>
    </row>
    <row r="335" spans="1:5" x14ac:dyDescent="0.25">
      <c r="A335" s="493">
        <v>45294</v>
      </c>
      <c r="B335" s="294" t="s">
        <v>9904</v>
      </c>
      <c r="C335" s="460"/>
      <c r="D335" s="294" t="s">
        <v>3920</v>
      </c>
      <c r="E335" s="304">
        <v>24280</v>
      </c>
    </row>
    <row r="336" spans="1:5" x14ac:dyDescent="0.25">
      <c r="A336" s="493">
        <v>45294</v>
      </c>
      <c r="B336" s="294" t="s">
        <v>9904</v>
      </c>
      <c r="C336" s="460"/>
      <c r="D336" s="294" t="s">
        <v>13017</v>
      </c>
      <c r="E336" s="304">
        <v>1000</v>
      </c>
    </row>
    <row r="337" spans="1:5" x14ac:dyDescent="0.25">
      <c r="A337" s="493">
        <v>45287</v>
      </c>
      <c r="B337" s="294" t="s">
        <v>8928</v>
      </c>
      <c r="C337" s="460"/>
      <c r="D337" s="294" t="s">
        <v>3920</v>
      </c>
      <c r="E337" s="304">
        <v>2700</v>
      </c>
    </row>
    <row r="338" spans="1:5" x14ac:dyDescent="0.25">
      <c r="A338" s="493">
        <v>45290</v>
      </c>
      <c r="B338" s="294" t="s">
        <v>156</v>
      </c>
      <c r="C338" s="460"/>
      <c r="D338" s="294" t="s">
        <v>3920</v>
      </c>
      <c r="E338" s="304">
        <v>3800</v>
      </c>
    </row>
    <row r="339" spans="1:5" x14ac:dyDescent="0.25">
      <c r="A339" s="493">
        <v>45299</v>
      </c>
      <c r="B339" s="294" t="s">
        <v>5162</v>
      </c>
      <c r="C339" s="460"/>
      <c r="D339" s="294" t="s">
        <v>3920</v>
      </c>
      <c r="E339" s="304">
        <v>29500</v>
      </c>
    </row>
    <row r="340" spans="1:5" x14ac:dyDescent="0.25">
      <c r="A340" s="493">
        <v>45299</v>
      </c>
      <c r="B340" s="294" t="s">
        <v>5162</v>
      </c>
      <c r="C340" s="460"/>
      <c r="D340" s="294" t="s">
        <v>13080</v>
      </c>
      <c r="E340" s="304">
        <v>7000</v>
      </c>
    </row>
    <row r="341" spans="1:5" x14ac:dyDescent="0.25">
      <c r="A341" s="493">
        <v>45299</v>
      </c>
      <c r="B341" s="294" t="s">
        <v>5162</v>
      </c>
      <c r="C341" s="460"/>
      <c r="D341" s="294" t="s">
        <v>13081</v>
      </c>
      <c r="E341" s="304">
        <v>10000</v>
      </c>
    </row>
    <row r="342" spans="1:5" x14ac:dyDescent="0.25">
      <c r="A342" s="493">
        <v>45311</v>
      </c>
      <c r="B342" s="294" t="s">
        <v>5162</v>
      </c>
      <c r="C342" s="460"/>
      <c r="D342" s="294" t="s">
        <v>13081</v>
      </c>
      <c r="E342" s="304">
        <v>4760</v>
      </c>
    </row>
    <row r="343" spans="1:5" x14ac:dyDescent="0.25">
      <c r="A343" s="493">
        <v>45311</v>
      </c>
      <c r="B343" s="294" t="s">
        <v>9906</v>
      </c>
      <c r="C343" s="460"/>
      <c r="D343" s="294" t="s">
        <v>13180</v>
      </c>
      <c r="E343" s="304">
        <v>50000</v>
      </c>
    </row>
    <row r="344" spans="1:5" x14ac:dyDescent="0.25">
      <c r="A344" s="493">
        <v>45311</v>
      </c>
      <c r="B344" s="294" t="s">
        <v>9906</v>
      </c>
      <c r="C344" s="460"/>
      <c r="D344" s="294" t="s">
        <v>3920</v>
      </c>
      <c r="E344" s="304">
        <v>5050</v>
      </c>
    </row>
    <row r="345" spans="1:5" x14ac:dyDescent="0.25">
      <c r="A345" s="493">
        <v>45311</v>
      </c>
      <c r="B345" s="294" t="s">
        <v>9906</v>
      </c>
      <c r="C345" s="460"/>
      <c r="D345" s="294" t="s">
        <v>3920</v>
      </c>
      <c r="E345" s="304">
        <v>1197</v>
      </c>
    </row>
    <row r="346" spans="1:5" x14ac:dyDescent="0.25">
      <c r="A346" s="493">
        <v>45313</v>
      </c>
      <c r="B346" s="294" t="s">
        <v>156</v>
      </c>
      <c r="C346" s="460"/>
      <c r="D346" s="294" t="s">
        <v>3920</v>
      </c>
      <c r="E346" s="304">
        <v>9458</v>
      </c>
    </row>
    <row r="347" spans="1:5" x14ac:dyDescent="0.25">
      <c r="A347" s="493">
        <v>45315</v>
      </c>
      <c r="B347" s="294" t="s">
        <v>13179</v>
      </c>
      <c r="C347" s="460"/>
      <c r="D347" s="294" t="s">
        <v>3920</v>
      </c>
      <c r="E347" s="304">
        <v>125960</v>
      </c>
    </row>
    <row r="348" spans="1:5" x14ac:dyDescent="0.25">
      <c r="A348" s="493">
        <v>45315</v>
      </c>
      <c r="B348" s="294" t="s">
        <v>445</v>
      </c>
      <c r="C348" s="460"/>
      <c r="D348" s="294" t="s">
        <v>12326</v>
      </c>
      <c r="E348" s="304">
        <v>4000</v>
      </c>
    </row>
    <row r="349" spans="1:5" x14ac:dyDescent="0.25">
      <c r="A349" s="493">
        <v>45315</v>
      </c>
      <c r="B349" s="294" t="s">
        <v>445</v>
      </c>
      <c r="C349" s="460"/>
      <c r="D349" s="294" t="s">
        <v>3920</v>
      </c>
      <c r="E349" s="304">
        <v>10330</v>
      </c>
    </row>
    <row r="350" spans="1:5" x14ac:dyDescent="0.25">
      <c r="A350" s="493">
        <v>45315</v>
      </c>
      <c r="B350" s="294" t="s">
        <v>107</v>
      </c>
      <c r="C350" s="460"/>
      <c r="D350" s="294" t="s">
        <v>13017</v>
      </c>
      <c r="E350" s="304">
        <v>1000</v>
      </c>
    </row>
    <row r="351" spans="1:5" x14ac:dyDescent="0.25">
      <c r="A351" s="493">
        <v>45317</v>
      </c>
      <c r="B351" s="294" t="s">
        <v>9904</v>
      </c>
      <c r="C351" s="460"/>
      <c r="D351" s="294" t="s">
        <v>8217</v>
      </c>
      <c r="E351" s="304">
        <v>131538</v>
      </c>
    </row>
    <row r="352" spans="1:5" x14ac:dyDescent="0.25">
      <c r="A352" s="493">
        <v>45317</v>
      </c>
      <c r="B352" s="294" t="s">
        <v>9904</v>
      </c>
      <c r="C352" s="460"/>
      <c r="D352" s="294" t="s">
        <v>13247</v>
      </c>
      <c r="E352" s="304">
        <v>5000</v>
      </c>
    </row>
    <row r="353" spans="1:5" x14ac:dyDescent="0.25">
      <c r="A353" s="493">
        <v>45317</v>
      </c>
      <c r="B353" s="294" t="s">
        <v>9904</v>
      </c>
      <c r="C353" s="460"/>
      <c r="D353" s="294" t="s">
        <v>12326</v>
      </c>
      <c r="E353" s="304">
        <v>5000</v>
      </c>
    </row>
    <row r="354" spans="1:5" x14ac:dyDescent="0.25">
      <c r="A354" s="493">
        <v>45317</v>
      </c>
      <c r="B354" s="294" t="s">
        <v>9904</v>
      </c>
      <c r="C354" s="460"/>
      <c r="D354" s="294" t="s">
        <v>8217</v>
      </c>
      <c r="E354" s="304">
        <v>51921</v>
      </c>
    </row>
    <row r="355" spans="1:5" x14ac:dyDescent="0.25">
      <c r="A355" s="493">
        <v>45317</v>
      </c>
      <c r="B355" s="294" t="s">
        <v>9904</v>
      </c>
      <c r="C355" s="460"/>
      <c r="D355" s="294" t="s">
        <v>12326</v>
      </c>
      <c r="E355" s="304">
        <v>5000</v>
      </c>
    </row>
    <row r="356" spans="1:5" x14ac:dyDescent="0.25">
      <c r="A356" s="493">
        <v>45317</v>
      </c>
      <c r="B356" s="294" t="s">
        <v>9904</v>
      </c>
      <c r="C356" s="460"/>
      <c r="D356" s="294" t="s">
        <v>13248</v>
      </c>
      <c r="E356" s="304">
        <v>81</v>
      </c>
    </row>
    <row r="357" spans="1:5" x14ac:dyDescent="0.25">
      <c r="A357" s="493">
        <v>45317</v>
      </c>
      <c r="B357" s="294" t="s">
        <v>445</v>
      </c>
      <c r="C357" s="460"/>
      <c r="D357" s="294" t="s">
        <v>13259</v>
      </c>
      <c r="E357" s="304">
        <v>-10000</v>
      </c>
    </row>
    <row r="358" spans="1:5" x14ac:dyDescent="0.25">
      <c r="A358" s="493">
        <v>45317</v>
      </c>
      <c r="B358" s="294" t="s">
        <v>107</v>
      </c>
      <c r="C358" s="460"/>
      <c r="D358" s="294" t="s">
        <v>3920</v>
      </c>
      <c r="E358" s="304">
        <v>5500</v>
      </c>
    </row>
    <row r="359" spans="1:5" x14ac:dyDescent="0.25">
      <c r="A359" s="493">
        <v>45318</v>
      </c>
      <c r="B359" s="294" t="s">
        <v>13179</v>
      </c>
      <c r="C359" s="460"/>
      <c r="D359" s="294" t="s">
        <v>13272</v>
      </c>
      <c r="E359" s="304">
        <v>-35000</v>
      </c>
    </row>
    <row r="360" spans="1:5" x14ac:dyDescent="0.25">
      <c r="A360" s="493">
        <v>45322</v>
      </c>
      <c r="B360" s="294" t="s">
        <v>156</v>
      </c>
      <c r="C360" s="460"/>
      <c r="D360" s="294" t="s">
        <v>3920</v>
      </c>
      <c r="E360" s="304">
        <v>4200</v>
      </c>
    </row>
    <row r="361" spans="1:5" x14ac:dyDescent="0.25">
      <c r="A361" s="493">
        <v>45322</v>
      </c>
      <c r="B361" s="294" t="s">
        <v>5162</v>
      </c>
      <c r="C361" s="460"/>
      <c r="D361" s="294" t="s">
        <v>13309</v>
      </c>
      <c r="E361" s="304">
        <v>10000</v>
      </c>
    </row>
    <row r="362" spans="1:5" x14ac:dyDescent="0.25">
      <c r="A362" s="493">
        <v>45322</v>
      </c>
      <c r="B362" s="294" t="s">
        <v>5162</v>
      </c>
      <c r="C362" s="460"/>
      <c r="D362" s="294" t="s">
        <v>3920</v>
      </c>
      <c r="E362" s="304">
        <v>15000</v>
      </c>
    </row>
    <row r="363" spans="1:5" x14ac:dyDescent="0.25">
      <c r="A363" s="493">
        <v>45322</v>
      </c>
      <c r="B363" s="294" t="s">
        <v>5162</v>
      </c>
      <c r="C363" s="460"/>
      <c r="D363" s="294" t="s">
        <v>3920</v>
      </c>
      <c r="E363" s="304">
        <v>4000</v>
      </c>
    </row>
    <row r="364" spans="1:5" x14ac:dyDescent="0.25">
      <c r="A364" s="493">
        <v>45322</v>
      </c>
      <c r="B364" s="294" t="s">
        <v>8573</v>
      </c>
      <c r="C364" s="460"/>
      <c r="D364" s="294" t="s">
        <v>3920</v>
      </c>
      <c r="E364" s="304">
        <v>50000</v>
      </c>
    </row>
    <row r="365" spans="1:5" x14ac:dyDescent="0.25">
      <c r="A365" s="493">
        <v>45322</v>
      </c>
      <c r="B365" s="294" t="s">
        <v>8573</v>
      </c>
      <c r="C365" s="490"/>
      <c r="D365" s="294" t="s">
        <v>3920</v>
      </c>
      <c r="E365" s="491">
        <v>25000</v>
      </c>
    </row>
    <row r="366" spans="1:5" x14ac:dyDescent="0.25">
      <c r="A366" s="493">
        <v>45322</v>
      </c>
      <c r="B366" s="294" t="s">
        <v>8573</v>
      </c>
      <c r="C366" s="490"/>
      <c r="D366" s="294" t="s">
        <v>3920</v>
      </c>
      <c r="E366" s="491">
        <v>55000</v>
      </c>
    </row>
    <row r="367" spans="1:5" x14ac:dyDescent="0.25">
      <c r="A367" s="493">
        <v>45322</v>
      </c>
      <c r="B367" s="294" t="s">
        <v>8573</v>
      </c>
      <c r="C367" s="490"/>
      <c r="D367" s="294" t="s">
        <v>3920</v>
      </c>
      <c r="E367" s="491">
        <v>1200</v>
      </c>
    </row>
    <row r="368" spans="1:5" x14ac:dyDescent="0.25">
      <c r="A368" s="493">
        <v>45332</v>
      </c>
      <c r="B368" s="294" t="s">
        <v>156</v>
      </c>
      <c r="C368" s="460"/>
      <c r="D368" s="294" t="s">
        <v>3920</v>
      </c>
      <c r="E368" s="304">
        <v>3100</v>
      </c>
    </row>
    <row r="369" spans="1:13" x14ac:dyDescent="0.25">
      <c r="A369" s="493">
        <v>45332</v>
      </c>
      <c r="B369" s="294" t="s">
        <v>9906</v>
      </c>
      <c r="C369" s="460"/>
      <c r="D369" s="294" t="s">
        <v>3920</v>
      </c>
      <c r="E369" s="304">
        <v>15170</v>
      </c>
    </row>
    <row r="370" spans="1:13" x14ac:dyDescent="0.25">
      <c r="A370" s="493">
        <v>45334</v>
      </c>
      <c r="B370" s="294" t="s">
        <v>8928</v>
      </c>
      <c r="C370" s="460"/>
      <c r="D370" s="294" t="s">
        <v>3920</v>
      </c>
      <c r="E370" s="304">
        <v>7230</v>
      </c>
    </row>
    <row r="371" spans="1:13" x14ac:dyDescent="0.25">
      <c r="A371" s="493">
        <v>45337</v>
      </c>
      <c r="B371" s="294" t="s">
        <v>5162</v>
      </c>
      <c r="C371" s="460"/>
      <c r="D371" s="294" t="s">
        <v>3920</v>
      </c>
      <c r="E371" s="304">
        <v>2000</v>
      </c>
    </row>
    <row r="372" spans="1:13" x14ac:dyDescent="0.25">
      <c r="A372" s="493">
        <v>45341</v>
      </c>
      <c r="B372" s="294" t="s">
        <v>9904</v>
      </c>
      <c r="C372" s="460"/>
      <c r="D372" s="294" t="s">
        <v>3920</v>
      </c>
      <c r="E372" s="304">
        <v>128521</v>
      </c>
    </row>
    <row r="373" spans="1:13" x14ac:dyDescent="0.25">
      <c r="A373" s="493">
        <v>45341</v>
      </c>
      <c r="B373" s="294" t="s">
        <v>9904</v>
      </c>
      <c r="C373" s="460"/>
      <c r="D373" s="294" t="s">
        <v>3920</v>
      </c>
      <c r="E373" s="304">
        <v>114974</v>
      </c>
    </row>
    <row r="374" spans="1:13" x14ac:dyDescent="0.25">
      <c r="A374" s="493">
        <v>45341</v>
      </c>
      <c r="B374" s="294" t="s">
        <v>9904</v>
      </c>
      <c r="C374" s="460"/>
      <c r="D374" s="294" t="s">
        <v>13449</v>
      </c>
      <c r="E374" s="304">
        <v>1000</v>
      </c>
    </row>
    <row r="375" spans="1:13" x14ac:dyDescent="0.25">
      <c r="A375" s="493">
        <v>45341</v>
      </c>
      <c r="B375" s="294" t="s">
        <v>9904</v>
      </c>
      <c r="C375" s="460"/>
      <c r="D375" s="294" t="s">
        <v>13450</v>
      </c>
      <c r="E375" s="304">
        <v>1000</v>
      </c>
    </row>
    <row r="376" spans="1:13" x14ac:dyDescent="0.25">
      <c r="A376" s="493">
        <v>45341</v>
      </c>
      <c r="B376" s="294" t="s">
        <v>9904</v>
      </c>
      <c r="C376" s="460"/>
      <c r="D376" s="294" t="s">
        <v>13451</v>
      </c>
      <c r="E376" s="304">
        <v>3000</v>
      </c>
    </row>
    <row r="377" spans="1:13" x14ac:dyDescent="0.25">
      <c r="A377" s="493">
        <v>45341</v>
      </c>
      <c r="B377" s="294" t="s">
        <v>9904</v>
      </c>
      <c r="C377" s="460"/>
      <c r="D377" s="294" t="s">
        <v>13452</v>
      </c>
      <c r="E377" s="304">
        <v>500</v>
      </c>
    </row>
    <row r="378" spans="1:13" x14ac:dyDescent="0.25">
      <c r="A378" s="493">
        <v>45341</v>
      </c>
      <c r="B378" s="294" t="s">
        <v>9904</v>
      </c>
      <c r="C378" s="460"/>
      <c r="D378" s="294" t="s">
        <v>13451</v>
      </c>
      <c r="E378" s="304">
        <v>4000</v>
      </c>
    </row>
    <row r="379" spans="1:13" ht="38.25" x14ac:dyDescent="0.25">
      <c r="A379" s="654">
        <v>45341</v>
      </c>
      <c r="B379" s="655" t="s">
        <v>9904</v>
      </c>
      <c r="C379" s="490"/>
      <c r="D379" s="655" t="s">
        <v>3920</v>
      </c>
      <c r="E379" s="491">
        <v>5100</v>
      </c>
      <c r="G379" s="495" t="s">
        <v>10616</v>
      </c>
      <c r="H379" s="496" t="s">
        <v>10620</v>
      </c>
      <c r="I379" s="496" t="s">
        <v>10621</v>
      </c>
      <c r="J379" s="496" t="s">
        <v>10622</v>
      </c>
      <c r="K379" s="496" t="s">
        <v>9753</v>
      </c>
      <c r="L379" s="495" t="s">
        <v>9903</v>
      </c>
      <c r="M379" s="495" t="s">
        <v>2</v>
      </c>
    </row>
    <row r="380" spans="1:13" x14ac:dyDescent="0.25">
      <c r="A380" s="654">
        <v>45341</v>
      </c>
      <c r="B380" s="655" t="s">
        <v>445</v>
      </c>
      <c r="C380" s="490"/>
      <c r="D380" s="655" t="s">
        <v>13453</v>
      </c>
      <c r="E380" s="491">
        <v>-5100</v>
      </c>
      <c r="G380" s="294" t="s">
        <v>9904</v>
      </c>
      <c r="H380" s="304">
        <f ca="1">SUMIF(Cash!$C$5355:$E$53887,staff!G380,Cash!$E$5355:$E$53907)+78740+15000+177050+32000+50000+50000+10000+200000</f>
        <v>3089021</v>
      </c>
      <c r="I380" s="304">
        <f ca="1">SUMIF('Bilal bhai'!$B$542:$D$5543,staff!G380,'Bilal bhai'!$D$542:$D$5573)+100000</f>
        <v>100000</v>
      </c>
      <c r="J380" s="304">
        <f ca="1">SUMIF('Nadeem bhai'!$B$1030:$D$1099,staff!G380,'Nadeem bhai'!$D$1030:$D$1099)+25000+30000+70000+40000</f>
        <v>248000</v>
      </c>
      <c r="K380" s="304">
        <f ca="1">J380+I380+H380</f>
        <v>3437021</v>
      </c>
      <c r="L380" s="304">
        <f t="shared" ref="L380:L387" ca="1" si="0">SUMIF($B$2:$E$1841,G380,$E$2:$E$1841)</f>
        <v>3195116</v>
      </c>
      <c r="M380" s="304">
        <f ca="1">K380-L380</f>
        <v>241905</v>
      </c>
    </row>
    <row r="381" spans="1:13" x14ac:dyDescent="0.25">
      <c r="A381" s="654">
        <v>45341</v>
      </c>
      <c r="B381" s="294" t="s">
        <v>156</v>
      </c>
      <c r="C381" s="460"/>
      <c r="D381" s="294" t="s">
        <v>3920</v>
      </c>
      <c r="E381" s="304">
        <v>5670</v>
      </c>
      <c r="G381" s="294" t="s">
        <v>13179</v>
      </c>
      <c r="H381" s="304">
        <f ca="1">SUMIF(Cash!$C$5355:$E$53887,staff!G381,Cash!$E$5355:$E$53907)</f>
        <v>0</v>
      </c>
      <c r="I381" s="304">
        <f ca="1">SUMIF('Bilal bhai'!$B$542:$D$5543,staff!G381,'Bilal bhai'!$D$542:$D$5573)</f>
        <v>0</v>
      </c>
      <c r="J381" s="304">
        <f ca="1">SUMIF('Nadeem bhai'!$B$1030:$D$1099,staff!G381,'Nadeem bhai'!$D$1030:$D$1099)</f>
        <v>0</v>
      </c>
      <c r="K381" s="304"/>
      <c r="L381" s="304">
        <f t="shared" ca="1" si="0"/>
        <v>154200</v>
      </c>
      <c r="M381" s="304">
        <f ca="1">K381-L381+50000+102200+5000</f>
        <v>3000</v>
      </c>
    </row>
    <row r="382" spans="1:13" x14ac:dyDescent="0.25">
      <c r="A382" s="654">
        <v>45353</v>
      </c>
      <c r="B382" s="294" t="s">
        <v>9906</v>
      </c>
      <c r="C382" s="460"/>
      <c r="D382" s="294" t="s">
        <v>3920</v>
      </c>
      <c r="E382" s="304">
        <v>14460</v>
      </c>
      <c r="G382" s="294" t="s">
        <v>9906</v>
      </c>
      <c r="H382" s="304">
        <f ca="1">SUMIF(Cash!$C$5355:$E$53888,staff!G382,Cash!$E$5355:$E$53908)+3787+9000+5000+10000+5000+5000</f>
        <v>545687</v>
      </c>
      <c r="I382" s="304">
        <f ca="1">SUMIF('Bilal bhai'!$B$542:$D$5543,staff!G382,'Bilal bhai'!$D$542:$D$5573)</f>
        <v>0</v>
      </c>
      <c r="J382" s="304">
        <f ca="1">SUMIF('Nadeem bhai'!$B$1030:$D$1099,staff!G382,'Nadeem bhai'!$D$1030:$D$1099)</f>
        <v>0</v>
      </c>
      <c r="K382" s="304">
        <f t="shared" ref="K382:K390" ca="1" si="1">J382+I382+H382</f>
        <v>545687</v>
      </c>
      <c r="L382" s="304">
        <f t="shared" ca="1" si="0"/>
        <v>546597</v>
      </c>
      <c r="M382" s="304">
        <f t="shared" ref="M382:M387" ca="1" si="2">K382-L382</f>
        <v>-910</v>
      </c>
    </row>
    <row r="383" spans="1:13" x14ac:dyDescent="0.25">
      <c r="A383" s="654">
        <v>45353</v>
      </c>
      <c r="B383" s="294" t="s">
        <v>445</v>
      </c>
      <c r="C383" s="460"/>
      <c r="D383" s="294" t="s">
        <v>3920</v>
      </c>
      <c r="E383" s="304">
        <v>18480</v>
      </c>
      <c r="G383" s="294" t="s">
        <v>8928</v>
      </c>
      <c r="H383" s="304">
        <f ca="1">SUMIF(Cash!$C$5444:$E$53888,staff!G383,Cash!$E$5444:$E$53888)+19000+1000</f>
        <v>215500</v>
      </c>
      <c r="I383" s="304">
        <f ca="1">SUMIF('Bilal bhai'!$B$542:$D$5543,staff!G383,'Bilal bhai'!$D$542:$D$5573)</f>
        <v>0</v>
      </c>
      <c r="J383" s="304">
        <f ca="1">SUMIF('Nadeem bhai'!$B$1030:$D$1099,staff!G383,'Nadeem bhai'!$D$1030:$D$1099)</f>
        <v>0</v>
      </c>
      <c r="K383" s="304">
        <f t="shared" ca="1" si="1"/>
        <v>215500</v>
      </c>
      <c r="L383" s="304">
        <f t="shared" ca="1" si="0"/>
        <v>209933</v>
      </c>
      <c r="M383" s="304">
        <f ca="1">K383-L383</f>
        <v>5567</v>
      </c>
    </row>
    <row r="384" spans="1:13" x14ac:dyDescent="0.25">
      <c r="A384" s="654">
        <v>45353</v>
      </c>
      <c r="B384" s="294" t="s">
        <v>445</v>
      </c>
      <c r="C384" s="460"/>
      <c r="D384" s="294" t="s">
        <v>3920</v>
      </c>
      <c r="E384" s="304">
        <v>7700</v>
      </c>
      <c r="G384" s="294" t="s">
        <v>445</v>
      </c>
      <c r="H384" s="304">
        <f ca="1">SUMIF(Cash!$C$5355:$E$53888,staff!G384,Cash!$E$5355:$E$53908)+36480+9000+10000+5000+25000+5000+60000+80000+2000+117850+113800+100000+25000</f>
        <v>1049190</v>
      </c>
      <c r="I384" s="304">
        <f ca="1">SUMIF('Bilal bhai'!$B$542:$D$5543,staff!G384,'Bilal bhai'!$D$542:$D$5573)</f>
        <v>0</v>
      </c>
      <c r="J384" s="304">
        <f>5000+40000</f>
        <v>45000</v>
      </c>
      <c r="K384" s="304">
        <f t="shared" ca="1" si="1"/>
        <v>1094190</v>
      </c>
      <c r="L384" s="304">
        <f t="shared" ca="1" si="0"/>
        <v>1060278</v>
      </c>
      <c r="M384" s="304">
        <f ca="1">K384-L384</f>
        <v>33912</v>
      </c>
    </row>
    <row r="385" spans="1:13" x14ac:dyDescent="0.25">
      <c r="A385" s="654">
        <v>45353</v>
      </c>
      <c r="B385" s="294" t="s">
        <v>445</v>
      </c>
      <c r="C385" s="460"/>
      <c r="D385" s="294" t="s">
        <v>3920</v>
      </c>
      <c r="E385" s="304">
        <v>135454</v>
      </c>
      <c r="G385" s="294" t="s">
        <v>156</v>
      </c>
      <c r="H385" s="304">
        <f ca="1">SUMIF(Cash!$C$5355:$E$53888,staff!G385,Cash!$E$5355:$E$53908)+3680</f>
        <v>366280</v>
      </c>
      <c r="I385" s="304">
        <f ca="1">SUMIF('Bilal bhai'!$B$542:$D$5543,staff!G385,'Bilal bhai'!$D$542:$D$5573)</f>
        <v>3000</v>
      </c>
      <c r="J385" s="304">
        <f ca="1">SUMIF('Nadeem bhai'!$B$1030:$D$1099,staff!G385,'Nadeem bhai'!$D$1030:$D$1099)</f>
        <v>0</v>
      </c>
      <c r="K385" s="304">
        <f t="shared" ca="1" si="1"/>
        <v>369280</v>
      </c>
      <c r="L385" s="304">
        <f t="shared" ca="1" si="0"/>
        <v>367053</v>
      </c>
      <c r="M385" s="304">
        <f t="shared" ca="1" si="2"/>
        <v>2227</v>
      </c>
    </row>
    <row r="386" spans="1:13" x14ac:dyDescent="0.25">
      <c r="A386" s="658">
        <v>45353</v>
      </c>
      <c r="B386" s="294" t="s">
        <v>445</v>
      </c>
      <c r="C386" s="460"/>
      <c r="D386" s="294" t="s">
        <v>3920</v>
      </c>
      <c r="E386" s="304">
        <v>690</v>
      </c>
      <c r="G386" s="294" t="s">
        <v>8573</v>
      </c>
      <c r="H386" s="304">
        <f ca="1">SUMIF(Cash!$C$5355:$E$53888,staff!G386,Cash!$E$5355:$E$53908)+12950+40000+5000+5000</f>
        <v>784550</v>
      </c>
      <c r="I386" s="304">
        <f ca="1">SUMIF('Bilal bhai'!$B$542:$D$5543,staff!G386,'Bilal bhai'!$D$542:$D$5573)</f>
        <v>55000</v>
      </c>
      <c r="J386" s="304">
        <f ca="1">SUMIF('Nadeem bhai'!$B$1030:$D$1099,staff!G386,'Nadeem bhai'!$D$1030:$D$1099)</f>
        <v>0</v>
      </c>
      <c r="K386" s="304">
        <f t="shared" ca="1" si="1"/>
        <v>839550</v>
      </c>
      <c r="L386" s="304">
        <f t="shared" ca="1" si="0"/>
        <v>836354</v>
      </c>
      <c r="M386" s="304">
        <f t="shared" ca="1" si="2"/>
        <v>3196</v>
      </c>
    </row>
    <row r="387" spans="1:13" x14ac:dyDescent="0.25">
      <c r="A387" s="658">
        <v>45353</v>
      </c>
      <c r="B387" s="294" t="s">
        <v>445</v>
      </c>
      <c r="C387" s="460"/>
      <c r="D387" s="294" t="s">
        <v>3920</v>
      </c>
      <c r="E387" s="304">
        <v>61440</v>
      </c>
      <c r="G387" s="294" t="s">
        <v>629</v>
      </c>
      <c r="H387" s="304">
        <f ca="1">SUMIF(Cash!$C$6286:$E$53888,staff!G387,Cash!$E$6286:$E$53908)</f>
        <v>78000</v>
      </c>
      <c r="I387" s="304"/>
      <c r="J387" s="304">
        <f ca="1">SUMIF('Nadeem bhai'!$B$1030:$D$1099,staff!G387,'Nadeem bhai'!$D$1030:$D$1099)</f>
        <v>0</v>
      </c>
      <c r="K387" s="304">
        <f t="shared" ca="1" si="1"/>
        <v>78000</v>
      </c>
      <c r="L387" s="304">
        <f t="shared" ca="1" si="0"/>
        <v>74420</v>
      </c>
      <c r="M387" s="304">
        <f t="shared" ca="1" si="2"/>
        <v>3580</v>
      </c>
    </row>
    <row r="388" spans="1:13" x14ac:dyDescent="0.25">
      <c r="A388" s="658">
        <v>45356</v>
      </c>
      <c r="B388" s="294" t="s">
        <v>8573</v>
      </c>
      <c r="C388" s="460"/>
      <c r="D388" s="294" t="s">
        <v>3920</v>
      </c>
      <c r="E388" s="304">
        <v>12800</v>
      </c>
      <c r="G388" s="294" t="s">
        <v>10001</v>
      </c>
      <c r="H388" s="304"/>
      <c r="I388" s="304"/>
      <c r="J388" s="304"/>
      <c r="K388" s="304"/>
      <c r="L388" s="304"/>
      <c r="M388" s="304">
        <v>13500</v>
      </c>
    </row>
    <row r="389" spans="1:13" x14ac:dyDescent="0.25">
      <c r="A389" s="658">
        <v>45356</v>
      </c>
      <c r="B389" s="294" t="s">
        <v>156</v>
      </c>
      <c r="C389" s="460"/>
      <c r="D389" s="294" t="s">
        <v>13529</v>
      </c>
      <c r="E389" s="304">
        <v>-5000</v>
      </c>
      <c r="G389" s="294" t="s">
        <v>11595</v>
      </c>
      <c r="H389" s="304">
        <f ca="1">SUMIF(Cash!$C$6317:$E$53888,staff!G389,Cash!$E$6317:$E$53908)-5000-1000+5000+5000+5000+2000</f>
        <v>239500</v>
      </c>
      <c r="I389" s="304"/>
      <c r="J389" s="304">
        <f ca="1">SUMIF('Nadeem bhai'!$B$1030:$D$1099,staff!G389,'Nadeem bhai'!$D$1030:$D$1099)+5000+5000+5000+15000+1000</f>
        <v>31000</v>
      </c>
      <c r="K389" s="304">
        <f t="shared" ca="1" si="1"/>
        <v>270500</v>
      </c>
      <c r="L389" s="304">
        <f ca="1">SUMIF($B$2:$E$1841,G389,$E$2:$E$1841)</f>
        <v>257410</v>
      </c>
      <c r="M389" s="304">
        <f ca="1">K389-L389</f>
        <v>13090</v>
      </c>
    </row>
    <row r="390" spans="1:13" x14ac:dyDescent="0.25">
      <c r="A390" s="658">
        <v>45362</v>
      </c>
      <c r="B390" s="294" t="s">
        <v>156</v>
      </c>
      <c r="C390" s="460"/>
      <c r="D390" s="294" t="s">
        <v>3920</v>
      </c>
      <c r="E390" s="304">
        <v>2800</v>
      </c>
      <c r="G390" s="600" t="s">
        <v>3554</v>
      </c>
      <c r="H390" s="304"/>
      <c r="I390" s="304"/>
      <c r="J390" s="304">
        <f ca="1">SUMIF('Nadeem bhai'!$B$1030:$D$1099,staff!G390,'Nadeem bhai'!$D$1030:$D$1099)</f>
        <v>0</v>
      </c>
      <c r="K390" s="304">
        <f t="shared" ca="1" si="1"/>
        <v>0</v>
      </c>
      <c r="L390" s="304"/>
      <c r="M390" s="304">
        <v>10000</v>
      </c>
    </row>
    <row r="391" spans="1:13" x14ac:dyDescent="0.25">
      <c r="A391" s="658">
        <v>45362</v>
      </c>
      <c r="B391" s="294" t="s">
        <v>5162</v>
      </c>
      <c r="C391" s="460"/>
      <c r="D391" s="294" t="s">
        <v>3920</v>
      </c>
      <c r="E391" s="304">
        <v>19650</v>
      </c>
      <c r="G391" s="664" t="s">
        <v>10618</v>
      </c>
      <c r="H391" s="665"/>
      <c r="I391" s="665"/>
      <c r="J391" s="665"/>
      <c r="K391" s="665"/>
      <c r="L391" s="666"/>
      <c r="M391" s="502">
        <f ca="1">SUM(M380:M390)</f>
        <v>329067</v>
      </c>
    </row>
    <row r="392" spans="1:13" x14ac:dyDescent="0.25">
      <c r="A392" s="658">
        <v>45364</v>
      </c>
      <c r="B392" s="294" t="s">
        <v>13179</v>
      </c>
      <c r="C392" s="460"/>
      <c r="D392" s="294" t="s">
        <v>3920</v>
      </c>
      <c r="E392" s="304">
        <v>63240</v>
      </c>
    </row>
    <row r="393" spans="1:13" x14ac:dyDescent="0.25">
      <c r="A393" s="658">
        <v>45364</v>
      </c>
      <c r="B393" s="294" t="s">
        <v>9906</v>
      </c>
      <c r="C393" s="460"/>
      <c r="D393" s="294" t="s">
        <v>3920</v>
      </c>
      <c r="E393" s="304">
        <v>5280</v>
      </c>
    </row>
    <row r="394" spans="1:13" x14ac:dyDescent="0.25">
      <c r="A394" s="658">
        <v>45366</v>
      </c>
      <c r="B394" s="294" t="s">
        <v>445</v>
      </c>
      <c r="C394" s="460"/>
      <c r="D394" s="294" t="s">
        <v>3920</v>
      </c>
      <c r="E394" s="304">
        <v>2300</v>
      </c>
    </row>
    <row r="395" spans="1:13" x14ac:dyDescent="0.25">
      <c r="A395" s="658">
        <v>45366</v>
      </c>
      <c r="B395" s="294" t="s">
        <v>445</v>
      </c>
      <c r="C395" s="460"/>
      <c r="D395" s="294" t="s">
        <v>3920</v>
      </c>
      <c r="E395" s="304">
        <v>11790</v>
      </c>
    </row>
    <row r="396" spans="1:13" x14ac:dyDescent="0.25">
      <c r="A396" s="658">
        <v>45366</v>
      </c>
      <c r="B396" s="294" t="s">
        <v>445</v>
      </c>
      <c r="C396" s="460"/>
      <c r="D396" s="294" t="s">
        <v>3920</v>
      </c>
      <c r="E396" s="304">
        <v>193890</v>
      </c>
    </row>
    <row r="397" spans="1:13" x14ac:dyDescent="0.25">
      <c r="A397" s="658">
        <v>45366</v>
      </c>
      <c r="B397" s="294" t="s">
        <v>445</v>
      </c>
      <c r="C397" s="460"/>
      <c r="D397" s="294" t="s">
        <v>3920</v>
      </c>
      <c r="E397" s="304">
        <v>116460</v>
      </c>
    </row>
    <row r="398" spans="1:13" x14ac:dyDescent="0.25">
      <c r="A398" s="658">
        <v>45366</v>
      </c>
      <c r="B398" s="294" t="s">
        <v>445</v>
      </c>
      <c r="C398" s="490"/>
      <c r="D398" s="655" t="s">
        <v>12326</v>
      </c>
      <c r="E398" s="491">
        <v>5000</v>
      </c>
    </row>
    <row r="399" spans="1:13" x14ac:dyDescent="0.25">
      <c r="A399" s="658">
        <v>45369</v>
      </c>
      <c r="B399" s="294" t="s">
        <v>8573</v>
      </c>
      <c r="C399" s="460"/>
      <c r="D399" s="294" t="s">
        <v>13574</v>
      </c>
      <c r="E399" s="304">
        <v>10900</v>
      </c>
    </row>
    <row r="400" spans="1:13" x14ac:dyDescent="0.25">
      <c r="A400" s="658">
        <v>45376</v>
      </c>
      <c r="B400" s="294" t="s">
        <v>107</v>
      </c>
      <c r="C400" s="460"/>
      <c r="D400" s="294" t="s">
        <v>3920</v>
      </c>
      <c r="E400" s="304">
        <v>5000</v>
      </c>
    </row>
    <row r="401" spans="1:8" x14ac:dyDescent="0.25">
      <c r="A401" s="658">
        <v>45384</v>
      </c>
      <c r="B401" s="294" t="s">
        <v>445</v>
      </c>
      <c r="C401" s="460"/>
      <c r="D401" s="294" t="s">
        <v>3920</v>
      </c>
      <c r="E401" s="304">
        <v>95726</v>
      </c>
    </row>
    <row r="402" spans="1:8" x14ac:dyDescent="0.25">
      <c r="A402" s="658">
        <v>45384</v>
      </c>
      <c r="B402" s="294" t="s">
        <v>445</v>
      </c>
      <c r="C402" s="460"/>
      <c r="D402" s="294" t="s">
        <v>3920</v>
      </c>
      <c r="E402" s="304">
        <v>13040</v>
      </c>
    </row>
    <row r="403" spans="1:8" x14ac:dyDescent="0.25">
      <c r="A403" s="658">
        <v>45384</v>
      </c>
      <c r="B403" s="294" t="s">
        <v>445</v>
      </c>
      <c r="C403" s="460"/>
      <c r="D403" s="294" t="s">
        <v>3920</v>
      </c>
      <c r="E403" s="304">
        <v>3718</v>
      </c>
    </row>
    <row r="404" spans="1:8" x14ac:dyDescent="0.25">
      <c r="A404" s="658">
        <v>45384</v>
      </c>
      <c r="B404" s="294" t="s">
        <v>445</v>
      </c>
      <c r="C404" s="460"/>
      <c r="D404" s="294" t="s">
        <v>3920</v>
      </c>
      <c r="E404" s="304">
        <v>12700</v>
      </c>
    </row>
    <row r="405" spans="1:8" x14ac:dyDescent="0.25">
      <c r="A405" s="654">
        <v>45384</v>
      </c>
      <c r="B405" s="294" t="s">
        <v>445</v>
      </c>
      <c r="C405" s="490"/>
      <c r="D405" s="655" t="s">
        <v>12326</v>
      </c>
      <c r="E405" s="491">
        <v>15000</v>
      </c>
    </row>
    <row r="406" spans="1:8" x14ac:dyDescent="0.25">
      <c r="A406" s="654">
        <v>45400</v>
      </c>
      <c r="B406" s="294" t="s">
        <v>9906</v>
      </c>
      <c r="C406" s="460"/>
      <c r="D406" s="294" t="s">
        <v>3920</v>
      </c>
      <c r="E406" s="304">
        <v>4000</v>
      </c>
    </row>
    <row r="407" spans="1:8" x14ac:dyDescent="0.25">
      <c r="A407" s="658"/>
      <c r="B407" s="294"/>
      <c r="C407" s="460"/>
      <c r="D407" s="294"/>
      <c r="E407" s="304"/>
    </row>
    <row r="408" spans="1:8" x14ac:dyDescent="0.25">
      <c r="G408" s="277"/>
    </row>
    <row r="413" spans="1:8" x14ac:dyDescent="0.25">
      <c r="G413" s="277"/>
      <c r="H413" s="277"/>
    </row>
  </sheetData>
  <mergeCells count="1">
    <mergeCell ref="G391:L39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tabColor rgb="FFFF0000"/>
  </sheetPr>
  <dimension ref="A1:XFD11599"/>
  <sheetViews>
    <sheetView showGridLines="0" zoomScaleNormal="100" zoomScaleSheetLayoutView="100" workbookViewId="0">
      <pane ySplit="1" topLeftCell="A10863" activePane="bottomLeft" state="frozen"/>
      <selection pane="bottomLeft" activeCell="C10855" sqref="C10855"/>
    </sheetView>
  </sheetViews>
  <sheetFormatPr defaultColWidth="8.85546875" defaultRowHeight="18.75" x14ac:dyDescent="0.3"/>
  <cols>
    <col min="1" max="1" width="14.42578125" style="4" customWidth="1"/>
    <col min="2" max="2" width="21" style="4" customWidth="1"/>
    <col min="3" max="3" width="53.42578125" style="4" customWidth="1"/>
    <col min="4" max="4" width="12.7109375" style="52" customWidth="1"/>
    <col min="5" max="5" width="15.7109375" style="52" customWidth="1"/>
    <col min="6" max="6" width="15.42578125" style="52" customWidth="1"/>
    <col min="7" max="7" width="16.42578125" style="52" customWidth="1"/>
    <col min="8" max="8" width="23.28515625" style="52" customWidth="1"/>
    <col min="9" max="9" width="17.140625" style="52" customWidth="1"/>
    <col min="10" max="10" width="22.7109375" style="52" customWidth="1"/>
    <col min="11" max="11" width="17.28515625" style="4" customWidth="1"/>
    <col min="12" max="12" width="12.28515625" style="4" bestFit="1" customWidth="1"/>
    <col min="13" max="13" width="8.85546875" style="4"/>
    <col min="14" max="14" width="10.7109375" style="4" bestFit="1" customWidth="1"/>
    <col min="15" max="15" width="13.42578125" style="4" bestFit="1" customWidth="1"/>
    <col min="16" max="16384" width="8.85546875" style="4"/>
  </cols>
  <sheetData>
    <row r="1" spans="1:9" ht="37.5" x14ac:dyDescent="0.3">
      <c r="A1" s="55" t="s">
        <v>1</v>
      </c>
      <c r="B1" s="56" t="s">
        <v>337</v>
      </c>
      <c r="C1" s="56" t="s">
        <v>3</v>
      </c>
      <c r="D1" s="57" t="s">
        <v>336</v>
      </c>
      <c r="E1" s="57" t="s">
        <v>357</v>
      </c>
      <c r="F1" s="57" t="s">
        <v>356</v>
      </c>
      <c r="G1" s="295" t="s">
        <v>38</v>
      </c>
    </row>
    <row r="2" spans="1:9" x14ac:dyDescent="0.3">
      <c r="A2" s="772" t="s">
        <v>2</v>
      </c>
      <c r="B2" s="773"/>
      <c r="C2" s="773"/>
      <c r="D2" s="773"/>
      <c r="E2" s="774"/>
      <c r="F2" s="58">
        <v>258487</v>
      </c>
      <c r="G2" s="296"/>
    </row>
    <row r="3" spans="1:9" x14ac:dyDescent="0.3">
      <c r="A3" s="59">
        <v>42552</v>
      </c>
      <c r="B3" s="5" t="s">
        <v>119</v>
      </c>
      <c r="C3" s="5" t="s">
        <v>40</v>
      </c>
      <c r="D3" s="43">
        <v>40000</v>
      </c>
      <c r="E3" s="43"/>
      <c r="F3" s="43">
        <f t="shared" ref="F3:F66" si="0">F2-D3+E3</f>
        <v>218487</v>
      </c>
      <c r="G3" s="43"/>
    </row>
    <row r="4" spans="1:9" x14ac:dyDescent="0.3">
      <c r="A4" s="59">
        <v>42552</v>
      </c>
      <c r="B4" s="5" t="s">
        <v>120</v>
      </c>
      <c r="C4" s="5" t="s">
        <v>31</v>
      </c>
      <c r="D4" s="43">
        <v>5000</v>
      </c>
      <c r="E4" s="43"/>
      <c r="F4" s="43">
        <f t="shared" si="0"/>
        <v>213487</v>
      </c>
      <c r="G4" s="43"/>
    </row>
    <row r="5" spans="1:9" x14ac:dyDescent="0.3">
      <c r="A5" s="60">
        <v>42552</v>
      </c>
      <c r="B5" s="61" t="s">
        <v>122</v>
      </c>
      <c r="C5" s="61" t="s">
        <v>31</v>
      </c>
      <c r="D5" s="62">
        <v>15000</v>
      </c>
      <c r="E5" s="62"/>
      <c r="F5" s="43">
        <f t="shared" si="0"/>
        <v>198487</v>
      </c>
      <c r="G5" s="62"/>
    </row>
    <row r="6" spans="1:9" x14ac:dyDescent="0.3">
      <c r="A6" s="59">
        <v>42552</v>
      </c>
      <c r="B6" s="5" t="s">
        <v>123</v>
      </c>
      <c r="C6" s="5" t="s">
        <v>31</v>
      </c>
      <c r="D6" s="43">
        <v>1000</v>
      </c>
      <c r="E6" s="43"/>
      <c r="F6" s="43">
        <f t="shared" si="0"/>
        <v>197487</v>
      </c>
      <c r="G6" s="43"/>
    </row>
    <row r="7" spans="1:9" x14ac:dyDescent="0.3">
      <c r="A7" s="59">
        <v>42552</v>
      </c>
      <c r="B7" s="5" t="s">
        <v>125</v>
      </c>
      <c r="C7" s="5" t="s">
        <v>121</v>
      </c>
      <c r="D7" s="43">
        <v>10000</v>
      </c>
      <c r="E7" s="43"/>
      <c r="F7" s="43">
        <f t="shared" si="0"/>
        <v>187487</v>
      </c>
      <c r="G7" s="43"/>
    </row>
    <row r="8" spans="1:9" x14ac:dyDescent="0.3">
      <c r="A8" s="59">
        <v>42555</v>
      </c>
      <c r="B8" s="5" t="s">
        <v>5</v>
      </c>
      <c r="C8" s="5" t="s">
        <v>126</v>
      </c>
      <c r="D8" s="43">
        <v>150</v>
      </c>
      <c r="E8" s="43"/>
      <c r="F8" s="43">
        <f t="shared" si="0"/>
        <v>187337</v>
      </c>
      <c r="G8" s="43"/>
    </row>
    <row r="9" spans="1:9" x14ac:dyDescent="0.3">
      <c r="A9" s="59">
        <v>42555</v>
      </c>
      <c r="B9" s="5" t="s">
        <v>127</v>
      </c>
      <c r="C9" s="5" t="s">
        <v>128</v>
      </c>
      <c r="D9" s="43">
        <v>2000</v>
      </c>
      <c r="E9" s="43"/>
      <c r="F9" s="43">
        <f t="shared" si="0"/>
        <v>185337</v>
      </c>
      <c r="G9" s="43"/>
    </row>
    <row r="10" spans="1:9" x14ac:dyDescent="0.3">
      <c r="A10" s="59">
        <v>42555</v>
      </c>
      <c r="B10" s="5" t="s">
        <v>25</v>
      </c>
      <c r="C10" s="5" t="s">
        <v>129</v>
      </c>
      <c r="D10" s="43">
        <v>1400</v>
      </c>
      <c r="E10" s="43"/>
      <c r="F10" s="43">
        <f t="shared" si="0"/>
        <v>183937</v>
      </c>
      <c r="G10" s="43"/>
    </row>
    <row r="11" spans="1:9" x14ac:dyDescent="0.3">
      <c r="A11" s="59">
        <v>42555</v>
      </c>
      <c r="B11" s="5" t="s">
        <v>5</v>
      </c>
      <c r="C11" s="5" t="s">
        <v>31</v>
      </c>
      <c r="D11" s="43">
        <v>2000</v>
      </c>
      <c r="E11" s="43"/>
      <c r="F11" s="43">
        <f t="shared" si="0"/>
        <v>181937</v>
      </c>
      <c r="G11" s="43"/>
    </row>
    <row r="12" spans="1:9" x14ac:dyDescent="0.3">
      <c r="A12" s="59">
        <v>42555</v>
      </c>
      <c r="B12" s="5" t="s">
        <v>127</v>
      </c>
      <c r="C12" s="5" t="s">
        <v>130</v>
      </c>
      <c r="D12" s="43">
        <v>10000</v>
      </c>
      <c r="E12" s="43"/>
      <c r="F12" s="43">
        <f t="shared" si="0"/>
        <v>171937</v>
      </c>
      <c r="G12" s="43"/>
    </row>
    <row r="13" spans="1:9" x14ac:dyDescent="0.3">
      <c r="A13" s="59">
        <v>42523</v>
      </c>
      <c r="B13" s="5" t="s">
        <v>119</v>
      </c>
      <c r="C13" s="5" t="s">
        <v>23</v>
      </c>
      <c r="D13" s="43">
        <v>1060</v>
      </c>
      <c r="E13" s="43"/>
      <c r="F13" s="43">
        <f t="shared" si="0"/>
        <v>170877</v>
      </c>
      <c r="G13" s="43"/>
    </row>
    <row r="14" spans="1:9" x14ac:dyDescent="0.3">
      <c r="A14" s="59">
        <v>42523</v>
      </c>
      <c r="B14" s="63" t="s">
        <v>118</v>
      </c>
      <c r="C14" s="63" t="s">
        <v>131</v>
      </c>
      <c r="D14" s="64"/>
      <c r="E14" s="64">
        <v>166090</v>
      </c>
      <c r="F14" s="43">
        <f t="shared" si="0"/>
        <v>336967</v>
      </c>
      <c r="G14" s="297"/>
      <c r="I14" s="52">
        <f>SUM(I4:I13)</f>
        <v>0</v>
      </c>
    </row>
    <row r="15" spans="1:9" x14ac:dyDescent="0.3">
      <c r="A15" s="59">
        <v>42555</v>
      </c>
      <c r="B15" s="63" t="s">
        <v>118</v>
      </c>
      <c r="C15" s="63" t="s">
        <v>132</v>
      </c>
      <c r="D15" s="64">
        <v>336000</v>
      </c>
      <c r="E15" s="64"/>
      <c r="F15" s="43">
        <f t="shared" si="0"/>
        <v>967</v>
      </c>
      <c r="G15" s="43"/>
    </row>
    <row r="16" spans="1:9" x14ac:dyDescent="0.3">
      <c r="A16" s="59">
        <v>42555</v>
      </c>
      <c r="B16" s="63" t="s">
        <v>118</v>
      </c>
      <c r="C16" s="63" t="s">
        <v>338</v>
      </c>
      <c r="D16" s="64"/>
      <c r="E16" s="64">
        <v>200000</v>
      </c>
      <c r="F16" s="43">
        <f t="shared" si="0"/>
        <v>200967</v>
      </c>
      <c r="G16" s="297"/>
    </row>
    <row r="17" spans="1:7" x14ac:dyDescent="0.3">
      <c r="A17" s="59">
        <v>42555</v>
      </c>
      <c r="B17" s="5"/>
      <c r="C17" s="5" t="s">
        <v>133</v>
      </c>
      <c r="D17" s="43" t="e">
        <f>INDEX(B4:B8,MATCH(C17,B4:B8,0))</f>
        <v>#N/A</v>
      </c>
      <c r="E17" s="43"/>
      <c r="F17" s="43" t="e">
        <f t="shared" si="0"/>
        <v>#N/A</v>
      </c>
      <c r="G17" s="43"/>
    </row>
    <row r="18" spans="1:7" x14ac:dyDescent="0.3">
      <c r="A18" s="59">
        <v>42555</v>
      </c>
      <c r="B18" s="5" t="s">
        <v>134</v>
      </c>
      <c r="C18" s="5" t="s">
        <v>135</v>
      </c>
      <c r="D18" s="43">
        <v>12000</v>
      </c>
      <c r="E18" s="43"/>
      <c r="F18" s="43" t="e">
        <f t="shared" si="0"/>
        <v>#N/A</v>
      </c>
      <c r="G18" s="43"/>
    </row>
    <row r="19" spans="1:7" x14ac:dyDescent="0.3">
      <c r="A19" s="59">
        <v>42555</v>
      </c>
      <c r="B19" s="5" t="s">
        <v>37</v>
      </c>
      <c r="C19" s="5" t="s">
        <v>136</v>
      </c>
      <c r="D19" s="43">
        <v>5000</v>
      </c>
      <c r="E19" s="43"/>
      <c r="F19" s="43" t="e">
        <f t="shared" si="0"/>
        <v>#N/A</v>
      </c>
      <c r="G19" s="43"/>
    </row>
    <row r="20" spans="1:7" x14ac:dyDescent="0.3">
      <c r="A20" s="59">
        <v>42555</v>
      </c>
      <c r="B20" s="5" t="s">
        <v>19</v>
      </c>
      <c r="C20" s="5" t="s">
        <v>31</v>
      </c>
      <c r="D20" s="43">
        <v>1000</v>
      </c>
      <c r="E20" s="43"/>
      <c r="F20" s="43" t="e">
        <f t="shared" si="0"/>
        <v>#N/A</v>
      </c>
      <c r="G20" s="43"/>
    </row>
    <row r="21" spans="1:7" x14ac:dyDescent="0.3">
      <c r="A21" s="59">
        <v>42555</v>
      </c>
      <c r="B21" s="5" t="s">
        <v>137</v>
      </c>
      <c r="C21" s="5" t="s">
        <v>33</v>
      </c>
      <c r="D21" s="43">
        <v>16150</v>
      </c>
      <c r="E21" s="43"/>
      <c r="F21" s="43" t="e">
        <f t="shared" si="0"/>
        <v>#N/A</v>
      </c>
      <c r="G21" s="43"/>
    </row>
    <row r="22" spans="1:7" x14ac:dyDescent="0.3">
      <c r="A22" s="59">
        <v>42556</v>
      </c>
      <c r="B22" s="5" t="s">
        <v>95</v>
      </c>
      <c r="C22" s="5" t="s">
        <v>138</v>
      </c>
      <c r="D22" s="43">
        <v>1000</v>
      </c>
      <c r="E22" s="43"/>
      <c r="F22" s="43" t="e">
        <f t="shared" si="0"/>
        <v>#N/A</v>
      </c>
      <c r="G22" s="43"/>
    </row>
    <row r="23" spans="1:7" x14ac:dyDescent="0.3">
      <c r="A23" s="59">
        <v>42560</v>
      </c>
      <c r="B23" s="5" t="s">
        <v>119</v>
      </c>
      <c r="C23" s="5" t="s">
        <v>40</v>
      </c>
      <c r="D23" s="43">
        <v>2120</v>
      </c>
      <c r="E23" s="43"/>
      <c r="F23" s="43" t="e">
        <f t="shared" si="0"/>
        <v>#N/A</v>
      </c>
      <c r="G23" s="43"/>
    </row>
    <row r="24" spans="1:7" x14ac:dyDescent="0.3">
      <c r="A24" s="59">
        <v>42562</v>
      </c>
      <c r="B24" s="5" t="s">
        <v>25</v>
      </c>
      <c r="C24" s="5" t="s">
        <v>139</v>
      </c>
      <c r="D24" s="43">
        <v>30</v>
      </c>
      <c r="E24" s="43"/>
      <c r="F24" s="43" t="e">
        <f t="shared" si="0"/>
        <v>#N/A</v>
      </c>
      <c r="G24" s="43"/>
    </row>
    <row r="25" spans="1:7" x14ac:dyDescent="0.3">
      <c r="A25" s="59">
        <v>42562</v>
      </c>
      <c r="B25" s="5" t="s">
        <v>140</v>
      </c>
      <c r="C25" s="5" t="s">
        <v>141</v>
      </c>
      <c r="D25" s="43">
        <v>5000</v>
      </c>
      <c r="E25" s="43"/>
      <c r="F25" s="43" t="e">
        <f t="shared" si="0"/>
        <v>#N/A</v>
      </c>
      <c r="G25" s="43"/>
    </row>
    <row r="26" spans="1:7" x14ac:dyDescent="0.3">
      <c r="A26" s="59" t="s">
        <v>3990</v>
      </c>
      <c r="B26" s="5" t="s">
        <v>25</v>
      </c>
      <c r="C26" s="5" t="s">
        <v>142</v>
      </c>
      <c r="D26" s="43">
        <v>100</v>
      </c>
      <c r="E26" s="43"/>
      <c r="F26" s="43" t="e">
        <f t="shared" si="0"/>
        <v>#N/A</v>
      </c>
      <c r="G26" s="43"/>
    </row>
    <row r="27" spans="1:7" x14ac:dyDescent="0.3">
      <c r="A27" s="59">
        <v>42562</v>
      </c>
      <c r="B27" s="5" t="s">
        <v>19</v>
      </c>
      <c r="C27" s="5" t="s">
        <v>31</v>
      </c>
      <c r="D27" s="65">
        <v>200</v>
      </c>
      <c r="E27" s="43"/>
      <c r="F27" s="43" t="e">
        <f t="shared" si="0"/>
        <v>#N/A</v>
      </c>
      <c r="G27" s="43"/>
    </row>
    <row r="28" spans="1:7" x14ac:dyDescent="0.3">
      <c r="A28" s="59">
        <v>42562</v>
      </c>
      <c r="B28" s="5" t="s">
        <v>19</v>
      </c>
      <c r="C28" s="5" t="s">
        <v>31</v>
      </c>
      <c r="D28" s="43">
        <v>2000</v>
      </c>
      <c r="E28" s="43"/>
      <c r="F28" s="43" t="e">
        <f t="shared" si="0"/>
        <v>#N/A</v>
      </c>
      <c r="G28" s="43"/>
    </row>
    <row r="29" spans="1:7" x14ac:dyDescent="0.3">
      <c r="A29" s="59">
        <v>42562</v>
      </c>
      <c r="B29" s="5" t="s">
        <v>5</v>
      </c>
      <c r="C29" s="5" t="s">
        <v>33</v>
      </c>
      <c r="D29" s="43">
        <v>500</v>
      </c>
      <c r="E29" s="43"/>
      <c r="F29" s="43" t="e">
        <f t="shared" si="0"/>
        <v>#N/A</v>
      </c>
      <c r="G29" s="43"/>
    </row>
    <row r="30" spans="1:7" x14ac:dyDescent="0.3">
      <c r="A30" s="59">
        <v>42562</v>
      </c>
      <c r="B30" s="5" t="s">
        <v>5</v>
      </c>
      <c r="C30" s="66" t="s">
        <v>147</v>
      </c>
      <c r="D30" s="67">
        <v>2450</v>
      </c>
      <c r="E30" s="43"/>
      <c r="F30" s="43" t="e">
        <f t="shared" si="0"/>
        <v>#N/A</v>
      </c>
      <c r="G30" s="67"/>
    </row>
    <row r="31" spans="1:7" x14ac:dyDescent="0.3">
      <c r="A31" s="59">
        <v>42562</v>
      </c>
      <c r="B31" s="5" t="s">
        <v>5</v>
      </c>
      <c r="C31" s="66" t="s">
        <v>111</v>
      </c>
      <c r="D31" s="67">
        <v>18446</v>
      </c>
      <c r="E31" s="43"/>
      <c r="F31" s="43" t="e">
        <f t="shared" si="0"/>
        <v>#N/A</v>
      </c>
      <c r="G31" s="67"/>
    </row>
    <row r="32" spans="1:7" x14ac:dyDescent="0.3">
      <c r="A32" s="68">
        <v>42563</v>
      </c>
      <c r="B32" s="66" t="s">
        <v>25</v>
      </c>
      <c r="C32" s="66" t="s">
        <v>199</v>
      </c>
      <c r="D32" s="69">
        <v>500</v>
      </c>
      <c r="E32" s="43"/>
      <c r="F32" s="43" t="e">
        <f t="shared" si="0"/>
        <v>#N/A</v>
      </c>
      <c r="G32" s="67"/>
    </row>
    <row r="33" spans="1:7" x14ac:dyDescent="0.3">
      <c r="A33" s="59">
        <v>42563</v>
      </c>
      <c r="B33" s="5" t="s">
        <v>37</v>
      </c>
      <c r="C33" s="5" t="s">
        <v>31</v>
      </c>
      <c r="D33" s="43">
        <v>1020</v>
      </c>
      <c r="E33" s="43"/>
      <c r="F33" s="43" t="e">
        <f t="shared" si="0"/>
        <v>#N/A</v>
      </c>
      <c r="G33" s="43"/>
    </row>
    <row r="34" spans="1:7" x14ac:dyDescent="0.3">
      <c r="A34" s="59">
        <v>42563</v>
      </c>
      <c r="B34" s="5" t="s">
        <v>123</v>
      </c>
      <c r="C34" s="5" t="s">
        <v>31</v>
      </c>
      <c r="D34" s="43">
        <v>1000</v>
      </c>
      <c r="E34" s="43"/>
      <c r="F34" s="43" t="e">
        <f t="shared" si="0"/>
        <v>#N/A</v>
      </c>
      <c r="G34" s="43"/>
    </row>
    <row r="35" spans="1:7" x14ac:dyDescent="0.3">
      <c r="A35" s="59">
        <v>42563</v>
      </c>
      <c r="B35" s="5" t="s">
        <v>117</v>
      </c>
      <c r="C35" s="5" t="s">
        <v>33</v>
      </c>
      <c r="D35" s="43">
        <v>100</v>
      </c>
      <c r="E35" s="43"/>
      <c r="F35" s="43" t="e">
        <f t="shared" si="0"/>
        <v>#N/A</v>
      </c>
      <c r="G35" s="43"/>
    </row>
    <row r="36" spans="1:7" x14ac:dyDescent="0.3">
      <c r="A36" s="59">
        <v>42563</v>
      </c>
      <c r="B36" s="5" t="s">
        <v>25</v>
      </c>
      <c r="C36" s="5" t="s">
        <v>143</v>
      </c>
      <c r="D36" s="43">
        <v>35</v>
      </c>
      <c r="E36" s="43"/>
      <c r="F36" s="43" t="e">
        <f t="shared" si="0"/>
        <v>#N/A</v>
      </c>
      <c r="G36" s="43"/>
    </row>
    <row r="37" spans="1:7" x14ac:dyDescent="0.3">
      <c r="A37" s="59">
        <v>42563</v>
      </c>
      <c r="B37" s="5" t="s">
        <v>119</v>
      </c>
      <c r="C37" s="5" t="s">
        <v>31</v>
      </c>
      <c r="D37" s="43">
        <v>2000</v>
      </c>
      <c r="E37" s="43"/>
      <c r="F37" s="43" t="e">
        <f t="shared" si="0"/>
        <v>#N/A</v>
      </c>
      <c r="G37" s="43"/>
    </row>
    <row r="38" spans="1:7" x14ac:dyDescent="0.3">
      <c r="A38" s="59">
        <v>42563</v>
      </c>
      <c r="B38" s="5" t="s">
        <v>119</v>
      </c>
      <c r="C38" s="5" t="s">
        <v>144</v>
      </c>
      <c r="D38" s="43">
        <v>300</v>
      </c>
      <c r="E38" s="43"/>
      <c r="F38" s="43" t="e">
        <f t="shared" si="0"/>
        <v>#N/A</v>
      </c>
      <c r="G38" s="43"/>
    </row>
    <row r="39" spans="1:7" x14ac:dyDescent="0.3">
      <c r="A39" s="59">
        <v>42563</v>
      </c>
      <c r="B39" s="5" t="s">
        <v>25</v>
      </c>
      <c r="C39" s="5" t="s">
        <v>145</v>
      </c>
      <c r="D39" s="43">
        <v>420</v>
      </c>
      <c r="E39" s="43"/>
      <c r="F39" s="43" t="e">
        <f t="shared" si="0"/>
        <v>#N/A</v>
      </c>
      <c r="G39" s="43"/>
    </row>
    <row r="40" spans="1:7" x14ac:dyDescent="0.3">
      <c r="A40" s="59">
        <v>42563</v>
      </c>
      <c r="B40" s="5" t="s">
        <v>16</v>
      </c>
      <c r="C40" s="5" t="s">
        <v>31</v>
      </c>
      <c r="D40" s="43">
        <v>100</v>
      </c>
      <c r="E40" s="43"/>
      <c r="F40" s="43" t="e">
        <f t="shared" si="0"/>
        <v>#N/A</v>
      </c>
      <c r="G40" s="43"/>
    </row>
    <row r="41" spans="1:7" x14ac:dyDescent="0.3">
      <c r="A41" s="59">
        <v>42563</v>
      </c>
      <c r="B41" s="5" t="s">
        <v>39</v>
      </c>
      <c r="C41" s="5" t="s">
        <v>31</v>
      </c>
      <c r="D41" s="43">
        <v>5115</v>
      </c>
      <c r="E41" s="43"/>
      <c r="F41" s="43" t="e">
        <f t="shared" si="0"/>
        <v>#N/A</v>
      </c>
      <c r="G41" s="43"/>
    </row>
    <row r="42" spans="1:7" x14ac:dyDescent="0.3">
      <c r="A42" s="59">
        <v>42563</v>
      </c>
      <c r="B42" s="5" t="s">
        <v>5</v>
      </c>
      <c r="C42" s="5" t="s">
        <v>31</v>
      </c>
      <c r="D42" s="65">
        <v>8500</v>
      </c>
      <c r="E42" s="43"/>
      <c r="F42" s="43" t="e">
        <f t="shared" si="0"/>
        <v>#N/A</v>
      </c>
      <c r="G42" s="43"/>
    </row>
    <row r="43" spans="1:7" x14ac:dyDescent="0.3">
      <c r="A43" s="59">
        <v>42563</v>
      </c>
      <c r="B43" s="5" t="s">
        <v>16</v>
      </c>
      <c r="C43" s="5" t="s">
        <v>33</v>
      </c>
      <c r="D43" s="43">
        <v>500</v>
      </c>
      <c r="E43" s="43"/>
      <c r="F43" s="43" t="e">
        <f t="shared" si="0"/>
        <v>#N/A</v>
      </c>
      <c r="G43" s="43"/>
    </row>
    <row r="44" spans="1:7" x14ac:dyDescent="0.3">
      <c r="A44" s="70">
        <v>42564</v>
      </c>
      <c r="B44" s="761" t="s">
        <v>148</v>
      </c>
      <c r="C44" s="762"/>
      <c r="D44" s="71"/>
      <c r="E44" s="72">
        <v>500000</v>
      </c>
      <c r="F44" s="43" t="e">
        <f t="shared" si="0"/>
        <v>#N/A</v>
      </c>
      <c r="G44" s="65"/>
    </row>
    <row r="45" spans="1:7" x14ac:dyDescent="0.3">
      <c r="A45" s="59">
        <v>42563</v>
      </c>
      <c r="B45" s="5" t="s">
        <v>5</v>
      </c>
      <c r="C45" s="5" t="s">
        <v>146</v>
      </c>
      <c r="D45" s="65">
        <v>100000</v>
      </c>
      <c r="E45" s="43"/>
      <c r="F45" s="43" t="e">
        <f t="shared" si="0"/>
        <v>#N/A</v>
      </c>
      <c r="G45" s="43"/>
    </row>
    <row r="46" spans="1:7" x14ac:dyDescent="0.3">
      <c r="A46" s="59">
        <v>42564</v>
      </c>
      <c r="B46" s="5" t="s">
        <v>149</v>
      </c>
      <c r="C46" s="5" t="s">
        <v>31</v>
      </c>
      <c r="D46" s="65">
        <v>10000</v>
      </c>
      <c r="E46" s="65"/>
      <c r="F46" s="43" t="e">
        <f t="shared" si="0"/>
        <v>#N/A</v>
      </c>
      <c r="G46" s="65"/>
    </row>
    <row r="47" spans="1:7" x14ac:dyDescent="0.3">
      <c r="A47" s="59">
        <v>42564</v>
      </c>
      <c r="B47" s="5" t="s">
        <v>39</v>
      </c>
      <c r="C47" s="5" t="s">
        <v>150</v>
      </c>
      <c r="D47" s="65">
        <v>1560</v>
      </c>
      <c r="E47" s="65"/>
      <c r="F47" s="43" t="e">
        <f t="shared" si="0"/>
        <v>#N/A</v>
      </c>
      <c r="G47" s="65"/>
    </row>
    <row r="48" spans="1:7" x14ac:dyDescent="0.3">
      <c r="A48" s="59">
        <v>42564</v>
      </c>
      <c r="B48" s="5" t="s">
        <v>39</v>
      </c>
      <c r="C48" s="5" t="s">
        <v>151</v>
      </c>
      <c r="D48" s="65">
        <v>1050</v>
      </c>
      <c r="E48" s="65"/>
      <c r="F48" s="43" t="e">
        <f t="shared" si="0"/>
        <v>#N/A</v>
      </c>
      <c r="G48" s="65"/>
    </row>
    <row r="49" spans="1:7" x14ac:dyDescent="0.3">
      <c r="A49" s="59">
        <v>42564</v>
      </c>
      <c r="B49" s="5" t="s">
        <v>5</v>
      </c>
      <c r="C49" s="5" t="s">
        <v>152</v>
      </c>
      <c r="D49" s="65">
        <v>290</v>
      </c>
      <c r="E49" s="65"/>
      <c r="F49" s="43" t="e">
        <f t="shared" si="0"/>
        <v>#N/A</v>
      </c>
      <c r="G49" s="65"/>
    </row>
    <row r="50" spans="1:7" x14ac:dyDescent="0.3">
      <c r="A50" s="59">
        <v>42564</v>
      </c>
      <c r="B50" s="5" t="s">
        <v>118</v>
      </c>
      <c r="C50" s="5" t="s">
        <v>153</v>
      </c>
      <c r="D50" s="65">
        <v>400</v>
      </c>
      <c r="E50" s="65"/>
      <c r="F50" s="43" t="e">
        <f t="shared" si="0"/>
        <v>#N/A</v>
      </c>
      <c r="G50" s="65"/>
    </row>
    <row r="51" spans="1:7" x14ac:dyDescent="0.3">
      <c r="A51" s="59">
        <v>42564</v>
      </c>
      <c r="B51" s="5" t="s">
        <v>154</v>
      </c>
      <c r="C51" s="5" t="s">
        <v>31</v>
      </c>
      <c r="D51" s="65">
        <v>3110</v>
      </c>
      <c r="E51" s="65"/>
      <c r="F51" s="43" t="e">
        <f t="shared" si="0"/>
        <v>#N/A</v>
      </c>
      <c r="G51" s="65"/>
    </row>
    <row r="52" spans="1:7" x14ac:dyDescent="0.3">
      <c r="A52" s="59">
        <v>42565</v>
      </c>
      <c r="B52" s="5" t="s">
        <v>25</v>
      </c>
      <c r="C52" s="5" t="s">
        <v>155</v>
      </c>
      <c r="D52" s="65">
        <v>470</v>
      </c>
      <c r="E52" s="65"/>
      <c r="F52" s="43" t="e">
        <f t="shared" si="0"/>
        <v>#N/A</v>
      </c>
      <c r="G52" s="65"/>
    </row>
    <row r="53" spans="1:7" x14ac:dyDescent="0.3">
      <c r="A53" s="59">
        <v>42565</v>
      </c>
      <c r="B53" s="5" t="s">
        <v>39</v>
      </c>
      <c r="C53" s="5" t="s">
        <v>31</v>
      </c>
      <c r="D53" s="65">
        <v>12000</v>
      </c>
      <c r="E53" s="65"/>
      <c r="F53" s="43" t="e">
        <f t="shared" si="0"/>
        <v>#N/A</v>
      </c>
      <c r="G53" s="65"/>
    </row>
    <row r="54" spans="1:7" x14ac:dyDescent="0.3">
      <c r="A54" s="59">
        <v>42565</v>
      </c>
      <c r="B54" s="5" t="s">
        <v>282</v>
      </c>
      <c r="C54" s="5" t="s">
        <v>31</v>
      </c>
      <c r="D54" s="65">
        <v>15000</v>
      </c>
      <c r="E54" s="65"/>
      <c r="F54" s="43" t="e">
        <f t="shared" si="0"/>
        <v>#N/A</v>
      </c>
      <c r="G54" s="65"/>
    </row>
    <row r="55" spans="1:7" x14ac:dyDescent="0.3">
      <c r="A55" s="59">
        <v>42565</v>
      </c>
      <c r="B55" s="5" t="s">
        <v>156</v>
      </c>
      <c r="C55" s="5" t="s">
        <v>31</v>
      </c>
      <c r="D55" s="65">
        <v>1000</v>
      </c>
      <c r="E55" s="65"/>
      <c r="F55" s="43" t="e">
        <f t="shared" si="0"/>
        <v>#N/A</v>
      </c>
      <c r="G55" s="65"/>
    </row>
    <row r="56" spans="1:7" x14ac:dyDescent="0.3">
      <c r="A56" s="59">
        <v>42565</v>
      </c>
      <c r="B56" s="5" t="s">
        <v>106</v>
      </c>
      <c r="C56" s="5" t="s">
        <v>157</v>
      </c>
      <c r="D56" s="65">
        <v>500</v>
      </c>
      <c r="E56" s="65"/>
      <c r="F56" s="43" t="e">
        <f t="shared" si="0"/>
        <v>#N/A</v>
      </c>
      <c r="G56" s="65"/>
    </row>
    <row r="57" spans="1:7" x14ac:dyDescent="0.3">
      <c r="A57" s="59">
        <v>42565</v>
      </c>
      <c r="B57" s="5" t="s">
        <v>25</v>
      </c>
      <c r="C57" s="5" t="s">
        <v>158</v>
      </c>
      <c r="D57" s="65">
        <v>60</v>
      </c>
      <c r="E57" s="65"/>
      <c r="F57" s="43" t="e">
        <f t="shared" si="0"/>
        <v>#N/A</v>
      </c>
      <c r="G57" s="65"/>
    </row>
    <row r="58" spans="1:7" x14ac:dyDescent="0.3">
      <c r="A58" s="59">
        <v>42565</v>
      </c>
      <c r="B58" s="5" t="s">
        <v>19</v>
      </c>
      <c r="C58" s="5" t="s">
        <v>121</v>
      </c>
      <c r="D58" s="65">
        <v>2000</v>
      </c>
      <c r="E58" s="65"/>
      <c r="F58" s="43" t="e">
        <f t="shared" si="0"/>
        <v>#N/A</v>
      </c>
      <c r="G58" s="65"/>
    </row>
    <row r="59" spans="1:7" x14ac:dyDescent="0.3">
      <c r="A59" s="59">
        <v>42565</v>
      </c>
      <c r="B59" s="5" t="s">
        <v>117</v>
      </c>
      <c r="C59" s="5" t="s">
        <v>159</v>
      </c>
      <c r="D59" s="65">
        <v>925</v>
      </c>
      <c r="E59" s="65"/>
      <c r="F59" s="43" t="e">
        <f t="shared" si="0"/>
        <v>#N/A</v>
      </c>
      <c r="G59" s="65"/>
    </row>
    <row r="60" spans="1:7" x14ac:dyDescent="0.3">
      <c r="A60" s="59">
        <v>42565</v>
      </c>
      <c r="B60" s="5" t="s">
        <v>160</v>
      </c>
      <c r="C60" s="5" t="s">
        <v>203</v>
      </c>
      <c r="D60" s="65">
        <v>500</v>
      </c>
      <c r="E60" s="65"/>
      <c r="F60" s="43" t="e">
        <f t="shared" si="0"/>
        <v>#N/A</v>
      </c>
      <c r="G60" s="65"/>
    </row>
    <row r="61" spans="1:7" x14ac:dyDescent="0.3">
      <c r="A61" s="59">
        <v>42565</v>
      </c>
      <c r="B61" s="5" t="s">
        <v>162</v>
      </c>
      <c r="C61" s="5" t="s">
        <v>161</v>
      </c>
      <c r="D61" s="65">
        <v>3000</v>
      </c>
      <c r="E61" s="65"/>
      <c r="F61" s="43" t="e">
        <f t="shared" si="0"/>
        <v>#N/A</v>
      </c>
      <c r="G61" s="65"/>
    </row>
    <row r="62" spans="1:7" x14ac:dyDescent="0.3">
      <c r="A62" s="59">
        <v>42565</v>
      </c>
      <c r="B62" s="5" t="s">
        <v>120</v>
      </c>
      <c r="C62" s="5" t="s">
        <v>33</v>
      </c>
      <c r="D62" s="65">
        <v>2500</v>
      </c>
      <c r="E62" s="65"/>
      <c r="F62" s="43" t="e">
        <f t="shared" si="0"/>
        <v>#N/A</v>
      </c>
      <c r="G62" s="65"/>
    </row>
    <row r="63" spans="1:7" x14ac:dyDescent="0.3">
      <c r="A63" s="59">
        <v>42566</v>
      </c>
      <c r="B63" s="5" t="s">
        <v>39</v>
      </c>
      <c r="C63" s="5" t="s">
        <v>31</v>
      </c>
      <c r="D63" s="65">
        <v>5000</v>
      </c>
      <c r="E63" s="65"/>
      <c r="F63" s="43" t="e">
        <f t="shared" si="0"/>
        <v>#N/A</v>
      </c>
      <c r="G63" s="65"/>
    </row>
    <row r="64" spans="1:7" x14ac:dyDescent="0.3">
      <c r="A64" s="59">
        <v>42566</v>
      </c>
      <c r="B64" s="5" t="s">
        <v>5</v>
      </c>
      <c r="C64" s="5" t="s">
        <v>31</v>
      </c>
      <c r="D64" s="65">
        <v>1500</v>
      </c>
      <c r="E64" s="65"/>
      <c r="F64" s="43" t="e">
        <f t="shared" si="0"/>
        <v>#N/A</v>
      </c>
      <c r="G64" s="65"/>
    </row>
    <row r="65" spans="1:7" x14ac:dyDescent="0.3">
      <c r="A65" s="59">
        <v>42566</v>
      </c>
      <c r="B65" s="5" t="s">
        <v>42</v>
      </c>
      <c r="C65" s="5" t="s">
        <v>163</v>
      </c>
      <c r="D65" s="65">
        <v>890</v>
      </c>
      <c r="E65" s="65"/>
      <c r="F65" s="43" t="e">
        <f t="shared" si="0"/>
        <v>#N/A</v>
      </c>
      <c r="G65" s="65"/>
    </row>
    <row r="66" spans="1:7" x14ac:dyDescent="0.3">
      <c r="A66" s="59">
        <v>42566</v>
      </c>
      <c r="B66" s="5" t="s">
        <v>42</v>
      </c>
      <c r="C66" s="5" t="s">
        <v>31</v>
      </c>
      <c r="D66" s="65">
        <v>2000</v>
      </c>
      <c r="E66" s="65"/>
      <c r="F66" s="43" t="e">
        <f t="shared" si="0"/>
        <v>#N/A</v>
      </c>
      <c r="G66" s="65"/>
    </row>
    <row r="67" spans="1:7" x14ac:dyDescent="0.3">
      <c r="A67" s="59">
        <v>42566</v>
      </c>
      <c r="B67" s="5" t="s">
        <v>164</v>
      </c>
      <c r="C67" s="5" t="s">
        <v>31</v>
      </c>
      <c r="D67" s="65">
        <v>20000</v>
      </c>
      <c r="E67" s="65"/>
      <c r="F67" s="43" t="e">
        <f t="shared" ref="F67:F130" si="1">F66-D67+E67</f>
        <v>#N/A</v>
      </c>
      <c r="G67" s="65"/>
    </row>
    <row r="68" spans="1:7" x14ac:dyDescent="0.3">
      <c r="A68" s="59">
        <v>42566</v>
      </c>
      <c r="B68" s="5" t="s">
        <v>119</v>
      </c>
      <c r="C68" s="5" t="s">
        <v>31</v>
      </c>
      <c r="D68" s="65">
        <v>1000</v>
      </c>
      <c r="E68" s="65"/>
      <c r="F68" s="43" t="e">
        <f t="shared" si="1"/>
        <v>#N/A</v>
      </c>
      <c r="G68" s="65"/>
    </row>
    <row r="69" spans="1:7" x14ac:dyDescent="0.3">
      <c r="A69" s="59">
        <v>42566</v>
      </c>
      <c r="B69" s="5" t="s">
        <v>25</v>
      </c>
      <c r="C69" s="5" t="s">
        <v>166</v>
      </c>
      <c r="D69" s="65">
        <v>120</v>
      </c>
      <c r="E69" s="65"/>
      <c r="F69" s="43" t="e">
        <f t="shared" si="1"/>
        <v>#N/A</v>
      </c>
      <c r="G69" s="65"/>
    </row>
    <row r="70" spans="1:7" x14ac:dyDescent="0.3">
      <c r="A70" s="59">
        <v>42566</v>
      </c>
      <c r="B70" s="5" t="s">
        <v>27</v>
      </c>
      <c r="C70" s="5" t="s">
        <v>165</v>
      </c>
      <c r="D70" s="65">
        <v>2780</v>
      </c>
      <c r="E70" s="65"/>
      <c r="F70" s="43" t="e">
        <f t="shared" si="1"/>
        <v>#N/A</v>
      </c>
      <c r="G70" s="65"/>
    </row>
    <row r="71" spans="1:7" x14ac:dyDescent="0.3">
      <c r="A71" s="59">
        <v>42566</v>
      </c>
      <c r="B71" s="5" t="s">
        <v>53</v>
      </c>
      <c r="C71" s="5" t="s">
        <v>213</v>
      </c>
      <c r="D71" s="65">
        <v>590</v>
      </c>
      <c r="E71" s="65"/>
      <c r="F71" s="43" t="e">
        <f t="shared" si="1"/>
        <v>#N/A</v>
      </c>
      <c r="G71" s="65"/>
    </row>
    <row r="72" spans="1:7" x14ac:dyDescent="0.3">
      <c r="A72" s="59">
        <v>42566</v>
      </c>
      <c r="B72" s="5" t="s">
        <v>160</v>
      </c>
      <c r="C72" s="5" t="s">
        <v>204</v>
      </c>
      <c r="D72" s="65">
        <v>5000</v>
      </c>
      <c r="E72" s="65"/>
      <c r="F72" s="43" t="e">
        <f t="shared" si="1"/>
        <v>#N/A</v>
      </c>
      <c r="G72" s="65"/>
    </row>
    <row r="73" spans="1:7" x14ac:dyDescent="0.3">
      <c r="A73" s="59">
        <v>42566</v>
      </c>
      <c r="B73" s="5" t="s">
        <v>25</v>
      </c>
      <c r="C73" s="5" t="s">
        <v>205</v>
      </c>
      <c r="D73" s="65">
        <v>420</v>
      </c>
      <c r="E73" s="65"/>
      <c r="F73" s="43" t="e">
        <f t="shared" si="1"/>
        <v>#N/A</v>
      </c>
      <c r="G73" s="65"/>
    </row>
    <row r="74" spans="1:7" x14ac:dyDescent="0.3">
      <c r="A74" s="59">
        <v>42567</v>
      </c>
      <c r="B74" s="5" t="s">
        <v>102</v>
      </c>
      <c r="C74" s="5" t="s">
        <v>298</v>
      </c>
      <c r="D74" s="65">
        <v>1000</v>
      </c>
      <c r="E74" s="65"/>
      <c r="F74" s="43" t="e">
        <f t="shared" si="1"/>
        <v>#N/A</v>
      </c>
      <c r="G74" s="65"/>
    </row>
    <row r="75" spans="1:7" x14ac:dyDescent="0.3">
      <c r="A75" s="59">
        <v>42567</v>
      </c>
      <c r="B75" s="5" t="s">
        <v>37</v>
      </c>
      <c r="C75" s="5" t="s">
        <v>31</v>
      </c>
      <c r="D75" s="65">
        <v>2000</v>
      </c>
      <c r="E75" s="65"/>
      <c r="F75" s="43" t="e">
        <f t="shared" si="1"/>
        <v>#N/A</v>
      </c>
      <c r="G75" s="65"/>
    </row>
    <row r="76" spans="1:7" x14ac:dyDescent="0.3">
      <c r="A76" s="59">
        <v>42567</v>
      </c>
      <c r="B76" s="5" t="s">
        <v>120</v>
      </c>
      <c r="C76" s="5" t="s">
        <v>167</v>
      </c>
      <c r="D76" s="65">
        <v>2000</v>
      </c>
      <c r="E76" s="65"/>
      <c r="F76" s="43" t="e">
        <f t="shared" si="1"/>
        <v>#N/A</v>
      </c>
      <c r="G76" s="65"/>
    </row>
    <row r="77" spans="1:7" x14ac:dyDescent="0.3">
      <c r="A77" s="59">
        <v>42567</v>
      </c>
      <c r="B77" s="5" t="s">
        <v>25</v>
      </c>
      <c r="C77" s="5" t="s">
        <v>206</v>
      </c>
      <c r="D77" s="65">
        <v>360</v>
      </c>
      <c r="E77" s="65"/>
      <c r="F77" s="43" t="e">
        <f t="shared" si="1"/>
        <v>#N/A</v>
      </c>
      <c r="G77" s="65"/>
    </row>
    <row r="78" spans="1:7" x14ac:dyDescent="0.3">
      <c r="A78" s="59">
        <v>42567</v>
      </c>
      <c r="B78" s="5" t="s">
        <v>5</v>
      </c>
      <c r="C78" s="5" t="s">
        <v>168</v>
      </c>
      <c r="D78" s="65">
        <v>1400</v>
      </c>
      <c r="E78" s="65"/>
      <c r="F78" s="43" t="e">
        <f t="shared" si="1"/>
        <v>#N/A</v>
      </c>
      <c r="G78" s="65"/>
    </row>
    <row r="79" spans="1:7" x14ac:dyDescent="0.3">
      <c r="A79" s="59">
        <v>42567</v>
      </c>
      <c r="B79" s="5" t="s">
        <v>160</v>
      </c>
      <c r="C79" s="5" t="s">
        <v>207</v>
      </c>
      <c r="D79" s="65">
        <v>2000</v>
      </c>
      <c r="E79" s="65"/>
      <c r="F79" s="43" t="e">
        <f t="shared" si="1"/>
        <v>#N/A</v>
      </c>
      <c r="G79" s="65"/>
    </row>
    <row r="80" spans="1:7" x14ac:dyDescent="0.3">
      <c r="A80" s="59">
        <v>42567</v>
      </c>
      <c r="B80" s="5" t="s">
        <v>119</v>
      </c>
      <c r="C80" s="5" t="s">
        <v>55</v>
      </c>
      <c r="D80" s="65">
        <v>5000</v>
      </c>
      <c r="E80" s="65"/>
      <c r="F80" s="43" t="e">
        <f t="shared" si="1"/>
        <v>#N/A</v>
      </c>
      <c r="G80" s="65"/>
    </row>
    <row r="81" spans="1:7" x14ac:dyDescent="0.3">
      <c r="A81" s="59">
        <v>42567</v>
      </c>
      <c r="B81" s="5" t="s">
        <v>5</v>
      </c>
      <c r="C81" s="5" t="s">
        <v>169</v>
      </c>
      <c r="D81" s="65">
        <v>40200</v>
      </c>
      <c r="E81" s="65"/>
      <c r="F81" s="43" t="e">
        <f t="shared" si="1"/>
        <v>#N/A</v>
      </c>
      <c r="G81" s="65"/>
    </row>
    <row r="82" spans="1:7" x14ac:dyDescent="0.3">
      <c r="A82" s="59">
        <v>42567</v>
      </c>
      <c r="B82" s="5" t="s">
        <v>5</v>
      </c>
      <c r="C82" s="5" t="s">
        <v>187</v>
      </c>
      <c r="D82" s="65">
        <v>400</v>
      </c>
      <c r="E82" s="65"/>
      <c r="F82" s="43" t="e">
        <f t="shared" si="1"/>
        <v>#N/A</v>
      </c>
      <c r="G82" s="65"/>
    </row>
    <row r="83" spans="1:7" x14ac:dyDescent="0.3">
      <c r="A83" s="59">
        <v>42567</v>
      </c>
      <c r="B83" s="5" t="s">
        <v>5</v>
      </c>
      <c r="C83" s="5" t="s">
        <v>170</v>
      </c>
      <c r="D83" s="65">
        <v>1000</v>
      </c>
      <c r="E83" s="65"/>
      <c r="F83" s="43" t="e">
        <f t="shared" si="1"/>
        <v>#N/A</v>
      </c>
      <c r="G83" s="65"/>
    </row>
    <row r="84" spans="1:7" x14ac:dyDescent="0.3">
      <c r="A84" s="59">
        <v>42569</v>
      </c>
      <c r="B84" s="5" t="s">
        <v>25</v>
      </c>
      <c r="C84" s="5" t="s">
        <v>179</v>
      </c>
      <c r="D84" s="65">
        <v>670</v>
      </c>
      <c r="E84" s="65"/>
      <c r="F84" s="43" t="e">
        <f t="shared" si="1"/>
        <v>#N/A</v>
      </c>
      <c r="G84" s="65"/>
    </row>
    <row r="85" spans="1:7" x14ac:dyDescent="0.3">
      <c r="A85" s="59">
        <v>42569</v>
      </c>
      <c r="B85" s="5" t="s">
        <v>16</v>
      </c>
      <c r="C85" s="5" t="s">
        <v>188</v>
      </c>
      <c r="D85" s="65">
        <f>330-110</f>
        <v>220</v>
      </c>
      <c r="E85" s="65"/>
      <c r="F85" s="43" t="e">
        <f t="shared" si="1"/>
        <v>#N/A</v>
      </c>
      <c r="G85" s="65"/>
    </row>
    <row r="86" spans="1:7" x14ac:dyDescent="0.3">
      <c r="A86" s="59">
        <v>42569</v>
      </c>
      <c r="B86" s="5" t="s">
        <v>102</v>
      </c>
      <c r="C86" s="5" t="s">
        <v>171</v>
      </c>
      <c r="D86" s="65">
        <v>4400</v>
      </c>
      <c r="E86" s="65"/>
      <c r="F86" s="43" t="e">
        <f t="shared" si="1"/>
        <v>#N/A</v>
      </c>
      <c r="G86" s="65"/>
    </row>
    <row r="87" spans="1:7" x14ac:dyDescent="0.3">
      <c r="A87" s="59">
        <v>42569</v>
      </c>
      <c r="B87" s="5" t="s">
        <v>22</v>
      </c>
      <c r="C87" s="5" t="s">
        <v>40</v>
      </c>
      <c r="D87" s="65">
        <v>10000</v>
      </c>
      <c r="E87" s="65"/>
      <c r="F87" s="43" t="e">
        <f t="shared" si="1"/>
        <v>#N/A</v>
      </c>
      <c r="G87" s="65"/>
    </row>
    <row r="88" spans="1:7" x14ac:dyDescent="0.3">
      <c r="A88" s="59">
        <v>42569</v>
      </c>
      <c r="B88" s="5" t="s">
        <v>36</v>
      </c>
      <c r="C88" s="5" t="s">
        <v>31</v>
      </c>
      <c r="D88" s="65">
        <v>2000</v>
      </c>
      <c r="E88" s="65"/>
      <c r="F88" s="43" t="e">
        <f t="shared" si="1"/>
        <v>#N/A</v>
      </c>
      <c r="G88" s="65"/>
    </row>
    <row r="89" spans="1:7" x14ac:dyDescent="0.3">
      <c r="A89" s="59">
        <v>42569</v>
      </c>
      <c r="B89" s="5" t="s">
        <v>164</v>
      </c>
      <c r="C89" s="5" t="s">
        <v>172</v>
      </c>
      <c r="D89" s="65">
        <v>6000</v>
      </c>
      <c r="E89" s="65"/>
      <c r="F89" s="43" t="e">
        <f t="shared" si="1"/>
        <v>#N/A</v>
      </c>
      <c r="G89" s="65"/>
    </row>
    <row r="90" spans="1:7" x14ac:dyDescent="0.3">
      <c r="A90" s="59">
        <v>42569</v>
      </c>
      <c r="B90" s="73" t="s">
        <v>106</v>
      </c>
      <c r="C90" s="73" t="s">
        <v>185</v>
      </c>
      <c r="D90" s="58">
        <v>22800</v>
      </c>
      <c r="E90" s="65"/>
      <c r="F90" s="43" t="e">
        <f t="shared" si="1"/>
        <v>#N/A</v>
      </c>
      <c r="G90" s="65"/>
    </row>
    <row r="91" spans="1:7" x14ac:dyDescent="0.3">
      <c r="A91" s="59">
        <v>42569</v>
      </c>
      <c r="B91" s="5" t="s">
        <v>173</v>
      </c>
      <c r="C91" s="5" t="s">
        <v>174</v>
      </c>
      <c r="D91" s="65">
        <v>2383</v>
      </c>
      <c r="E91" s="65"/>
      <c r="F91" s="43" t="e">
        <f t="shared" si="1"/>
        <v>#N/A</v>
      </c>
      <c r="G91" s="65"/>
    </row>
    <row r="92" spans="1:7" x14ac:dyDescent="0.3">
      <c r="A92" s="59">
        <v>42569</v>
      </c>
      <c r="B92" s="5" t="s">
        <v>173</v>
      </c>
      <c r="C92" s="5" t="s">
        <v>174</v>
      </c>
      <c r="D92" s="65">
        <v>570</v>
      </c>
      <c r="E92" s="65"/>
      <c r="F92" s="43" t="e">
        <f t="shared" si="1"/>
        <v>#N/A</v>
      </c>
      <c r="G92" s="65"/>
    </row>
    <row r="93" spans="1:7" x14ac:dyDescent="0.3">
      <c r="A93" s="59">
        <v>42569</v>
      </c>
      <c r="B93" s="5" t="s">
        <v>160</v>
      </c>
      <c r="C93" s="5" t="s">
        <v>175</v>
      </c>
      <c r="D93" s="65">
        <v>10000</v>
      </c>
      <c r="E93" s="65"/>
      <c r="F93" s="43" t="e">
        <f t="shared" si="1"/>
        <v>#N/A</v>
      </c>
      <c r="G93" s="65"/>
    </row>
    <row r="94" spans="1:7" x14ac:dyDescent="0.3">
      <c r="A94" s="59">
        <v>42569</v>
      </c>
      <c r="B94" s="5" t="s">
        <v>176</v>
      </c>
      <c r="C94" s="5" t="s">
        <v>178</v>
      </c>
      <c r="D94" s="65">
        <v>8300</v>
      </c>
      <c r="E94" s="65"/>
      <c r="F94" s="43" t="e">
        <f t="shared" si="1"/>
        <v>#N/A</v>
      </c>
      <c r="G94" s="65"/>
    </row>
    <row r="95" spans="1:7" x14ac:dyDescent="0.3">
      <c r="A95" s="59">
        <v>42569</v>
      </c>
      <c r="B95" s="5" t="s">
        <v>164</v>
      </c>
      <c r="C95" s="5" t="s">
        <v>177</v>
      </c>
      <c r="D95" s="65">
        <v>1700</v>
      </c>
      <c r="E95" s="65"/>
      <c r="F95" s="43" t="e">
        <f t="shared" si="1"/>
        <v>#N/A</v>
      </c>
      <c r="G95" s="65"/>
    </row>
    <row r="96" spans="1:7" x14ac:dyDescent="0.3">
      <c r="A96" s="59">
        <v>42570</v>
      </c>
      <c r="B96" s="5" t="s">
        <v>123</v>
      </c>
      <c r="C96" s="5" t="s">
        <v>31</v>
      </c>
      <c r="D96" s="65">
        <v>500</v>
      </c>
      <c r="E96" s="65"/>
      <c r="F96" s="43" t="e">
        <f t="shared" si="1"/>
        <v>#N/A</v>
      </c>
      <c r="G96" s="65"/>
    </row>
    <row r="97" spans="1:7" x14ac:dyDescent="0.3">
      <c r="A97" s="59">
        <v>42570</v>
      </c>
      <c r="B97" s="5" t="s">
        <v>25</v>
      </c>
      <c r="C97" s="5" t="s">
        <v>180</v>
      </c>
      <c r="D97" s="65">
        <v>45</v>
      </c>
      <c r="E97" s="65"/>
      <c r="F97" s="43" t="e">
        <f t="shared" si="1"/>
        <v>#N/A</v>
      </c>
      <c r="G97" s="65"/>
    </row>
    <row r="98" spans="1:7" x14ac:dyDescent="0.3">
      <c r="A98" s="59">
        <v>42570</v>
      </c>
      <c r="B98" s="5" t="s">
        <v>117</v>
      </c>
      <c r="C98" s="5" t="s">
        <v>208</v>
      </c>
      <c r="D98" s="65">
        <v>150</v>
      </c>
      <c r="E98" s="65"/>
      <c r="F98" s="43" t="e">
        <f t="shared" si="1"/>
        <v>#N/A</v>
      </c>
      <c r="G98" s="65"/>
    </row>
    <row r="99" spans="1:7" x14ac:dyDescent="0.3">
      <c r="A99" s="59">
        <v>42570</v>
      </c>
      <c r="B99" s="5" t="s">
        <v>39</v>
      </c>
      <c r="C99" s="5" t="s">
        <v>31</v>
      </c>
      <c r="D99" s="65">
        <v>2000</v>
      </c>
      <c r="E99" s="65"/>
      <c r="F99" s="43" t="e">
        <f t="shared" si="1"/>
        <v>#N/A</v>
      </c>
      <c r="G99" s="65"/>
    </row>
    <row r="100" spans="1:7" x14ac:dyDescent="0.3">
      <c r="A100" s="59">
        <v>42570</v>
      </c>
      <c r="B100" s="5" t="s">
        <v>181</v>
      </c>
      <c r="C100" s="5" t="s">
        <v>182</v>
      </c>
      <c r="D100" s="65">
        <v>400</v>
      </c>
      <c r="E100" s="65"/>
      <c r="F100" s="43" t="e">
        <f t="shared" si="1"/>
        <v>#N/A</v>
      </c>
      <c r="G100" s="65"/>
    </row>
    <row r="101" spans="1:7" x14ac:dyDescent="0.3">
      <c r="A101" s="59">
        <v>42570</v>
      </c>
      <c r="B101" s="5" t="s">
        <v>5</v>
      </c>
      <c r="C101" s="5" t="s">
        <v>77</v>
      </c>
      <c r="D101" s="65">
        <v>300</v>
      </c>
      <c r="E101" s="65"/>
      <c r="F101" s="43" t="e">
        <f t="shared" si="1"/>
        <v>#N/A</v>
      </c>
      <c r="G101" s="65"/>
    </row>
    <row r="102" spans="1:7" x14ac:dyDescent="0.3">
      <c r="A102" s="59">
        <v>42570</v>
      </c>
      <c r="B102" s="5" t="s">
        <v>5</v>
      </c>
      <c r="C102" s="5" t="s">
        <v>183</v>
      </c>
      <c r="D102" s="65">
        <v>645</v>
      </c>
      <c r="E102" s="65"/>
      <c r="F102" s="43" t="e">
        <f t="shared" si="1"/>
        <v>#N/A</v>
      </c>
      <c r="G102" s="65"/>
    </row>
    <row r="103" spans="1:7" x14ac:dyDescent="0.3">
      <c r="A103" s="59">
        <v>42570</v>
      </c>
      <c r="B103" s="5" t="s">
        <v>160</v>
      </c>
      <c r="C103" s="5" t="s">
        <v>184</v>
      </c>
      <c r="D103" s="65">
        <v>2000</v>
      </c>
      <c r="E103" s="65"/>
      <c r="F103" s="43" t="e">
        <f t="shared" si="1"/>
        <v>#N/A</v>
      </c>
      <c r="G103" s="65"/>
    </row>
    <row r="104" spans="1:7" x14ac:dyDescent="0.3">
      <c r="A104" s="59">
        <v>42570</v>
      </c>
      <c r="B104" s="5" t="s">
        <v>164</v>
      </c>
      <c r="C104" s="5" t="s">
        <v>31</v>
      </c>
      <c r="D104" s="65">
        <v>20000</v>
      </c>
      <c r="E104" s="65"/>
      <c r="F104" s="43" t="e">
        <f t="shared" si="1"/>
        <v>#N/A</v>
      </c>
      <c r="G104" s="65"/>
    </row>
    <row r="105" spans="1:7" x14ac:dyDescent="0.3">
      <c r="A105" s="59">
        <v>42571</v>
      </c>
      <c r="B105" s="5" t="s">
        <v>25</v>
      </c>
      <c r="C105" s="5" t="s">
        <v>51</v>
      </c>
      <c r="D105" s="65">
        <v>15</v>
      </c>
      <c r="E105" s="65"/>
      <c r="F105" s="43" t="e">
        <f t="shared" si="1"/>
        <v>#N/A</v>
      </c>
      <c r="G105" s="65"/>
    </row>
    <row r="106" spans="1:7" x14ac:dyDescent="0.3">
      <c r="A106" s="59">
        <v>42571</v>
      </c>
      <c r="B106" s="5" t="s">
        <v>37</v>
      </c>
      <c r="C106" s="5" t="s">
        <v>186</v>
      </c>
      <c r="D106" s="65">
        <v>8000</v>
      </c>
      <c r="E106" s="65"/>
      <c r="F106" s="43" t="e">
        <f t="shared" si="1"/>
        <v>#N/A</v>
      </c>
      <c r="G106" s="65"/>
    </row>
    <row r="107" spans="1:7" x14ac:dyDescent="0.3">
      <c r="A107" s="59">
        <v>42571</v>
      </c>
      <c r="B107" s="5" t="s">
        <v>5</v>
      </c>
      <c r="C107" s="5" t="s">
        <v>78</v>
      </c>
      <c r="D107" s="65">
        <v>100</v>
      </c>
      <c r="E107" s="65"/>
      <c r="F107" s="43" t="e">
        <f t="shared" si="1"/>
        <v>#N/A</v>
      </c>
      <c r="G107" s="65"/>
    </row>
    <row r="108" spans="1:7" x14ac:dyDescent="0.3">
      <c r="A108" s="59">
        <v>42571</v>
      </c>
      <c r="B108" s="5" t="s">
        <v>5</v>
      </c>
      <c r="C108" s="5" t="s">
        <v>189</v>
      </c>
      <c r="D108" s="65">
        <v>4200</v>
      </c>
      <c r="E108" s="65"/>
      <c r="F108" s="43" t="e">
        <f t="shared" si="1"/>
        <v>#N/A</v>
      </c>
      <c r="G108" s="65"/>
    </row>
    <row r="109" spans="1:7" x14ac:dyDescent="0.3">
      <c r="A109" s="59">
        <v>42571</v>
      </c>
      <c r="B109" s="5" t="s">
        <v>5</v>
      </c>
      <c r="C109" s="5" t="s">
        <v>193</v>
      </c>
      <c r="D109" s="65">
        <v>650</v>
      </c>
      <c r="E109" s="65"/>
      <c r="F109" s="43" t="e">
        <f t="shared" si="1"/>
        <v>#N/A</v>
      </c>
      <c r="G109" s="65"/>
    </row>
    <row r="110" spans="1:7" x14ac:dyDescent="0.3">
      <c r="A110" s="59">
        <v>42571</v>
      </c>
      <c r="B110" s="5" t="s">
        <v>162</v>
      </c>
      <c r="C110" s="5" t="s">
        <v>31</v>
      </c>
      <c r="D110" s="65">
        <v>1000</v>
      </c>
      <c r="E110" s="65"/>
      <c r="F110" s="43" t="e">
        <f t="shared" si="1"/>
        <v>#N/A</v>
      </c>
      <c r="G110" s="65"/>
    </row>
    <row r="111" spans="1:7" x14ac:dyDescent="0.3">
      <c r="A111" s="59">
        <v>42571</v>
      </c>
      <c r="B111" s="5" t="s">
        <v>164</v>
      </c>
      <c r="C111" s="5" t="s">
        <v>190</v>
      </c>
      <c r="D111" s="65">
        <v>2590</v>
      </c>
      <c r="E111" s="65"/>
      <c r="F111" s="43" t="e">
        <f t="shared" si="1"/>
        <v>#N/A</v>
      </c>
      <c r="G111" s="65"/>
    </row>
    <row r="112" spans="1:7" x14ac:dyDescent="0.3">
      <c r="A112" s="59">
        <v>42571</v>
      </c>
      <c r="B112" s="5" t="s">
        <v>16</v>
      </c>
      <c r="C112" s="5" t="s">
        <v>191</v>
      </c>
      <c r="D112" s="65">
        <v>5000</v>
      </c>
      <c r="E112" s="65"/>
      <c r="F112" s="43" t="e">
        <f t="shared" si="1"/>
        <v>#N/A</v>
      </c>
      <c r="G112" s="65"/>
    </row>
    <row r="113" spans="1:7" x14ac:dyDescent="0.3">
      <c r="A113" s="59">
        <v>42571</v>
      </c>
      <c r="B113" s="5" t="s">
        <v>16</v>
      </c>
      <c r="C113" s="5" t="s">
        <v>33</v>
      </c>
      <c r="D113" s="65">
        <v>650</v>
      </c>
      <c r="E113" s="65"/>
      <c r="F113" s="43" t="e">
        <f t="shared" si="1"/>
        <v>#N/A</v>
      </c>
      <c r="G113" s="65"/>
    </row>
    <row r="114" spans="1:7" x14ac:dyDescent="0.3">
      <c r="A114" s="59">
        <v>42571</v>
      </c>
      <c r="B114" s="5" t="s">
        <v>160</v>
      </c>
      <c r="C114" s="5" t="s">
        <v>192</v>
      </c>
      <c r="D114" s="65">
        <v>1000</v>
      </c>
      <c r="E114" s="65"/>
      <c r="F114" s="43" t="e">
        <f t="shared" si="1"/>
        <v>#N/A</v>
      </c>
      <c r="G114" s="65"/>
    </row>
    <row r="115" spans="1:7" x14ac:dyDescent="0.3">
      <c r="A115" s="59">
        <v>42571</v>
      </c>
      <c r="B115" s="5" t="s">
        <v>25</v>
      </c>
      <c r="C115" s="5" t="s">
        <v>87</v>
      </c>
      <c r="D115" s="65">
        <v>50</v>
      </c>
      <c r="E115" s="65"/>
      <c r="F115" s="43" t="e">
        <f t="shared" si="1"/>
        <v>#N/A</v>
      </c>
      <c r="G115" s="65"/>
    </row>
    <row r="116" spans="1:7" x14ac:dyDescent="0.3">
      <c r="A116" s="59">
        <v>42571</v>
      </c>
      <c r="B116" s="5" t="s">
        <v>154</v>
      </c>
      <c r="C116" s="5" t="s">
        <v>194</v>
      </c>
      <c r="D116" s="65">
        <v>5200</v>
      </c>
      <c r="E116" s="65"/>
      <c r="F116" s="43" t="e">
        <f t="shared" si="1"/>
        <v>#N/A</v>
      </c>
      <c r="G116" s="65"/>
    </row>
    <row r="117" spans="1:7" x14ac:dyDescent="0.3">
      <c r="A117" s="59">
        <v>42571</v>
      </c>
      <c r="B117" s="5"/>
      <c r="C117" s="5" t="s">
        <v>212</v>
      </c>
      <c r="D117" s="65">
        <v>3650</v>
      </c>
      <c r="E117" s="65"/>
      <c r="F117" s="43" t="e">
        <f t="shared" si="1"/>
        <v>#N/A</v>
      </c>
      <c r="G117" s="65"/>
    </row>
    <row r="118" spans="1:7" x14ac:dyDescent="0.3">
      <c r="A118" s="59">
        <v>42572</v>
      </c>
      <c r="B118" s="5" t="s">
        <v>37</v>
      </c>
      <c r="C118" s="5" t="s">
        <v>31</v>
      </c>
      <c r="D118" s="65">
        <v>3000</v>
      </c>
      <c r="E118" s="65"/>
      <c r="F118" s="43" t="e">
        <f t="shared" si="1"/>
        <v>#N/A</v>
      </c>
      <c r="G118" s="65"/>
    </row>
    <row r="119" spans="1:7" x14ac:dyDescent="0.3">
      <c r="A119" s="59">
        <v>42572</v>
      </c>
      <c r="B119" s="5" t="s">
        <v>39</v>
      </c>
      <c r="C119" s="5" t="s">
        <v>31</v>
      </c>
      <c r="D119" s="65">
        <v>10000</v>
      </c>
      <c r="E119" s="65"/>
      <c r="F119" s="43" t="e">
        <f t="shared" si="1"/>
        <v>#N/A</v>
      </c>
      <c r="G119" s="65"/>
    </row>
    <row r="120" spans="1:7" x14ac:dyDescent="0.3">
      <c r="A120" s="59">
        <v>42572</v>
      </c>
      <c r="B120" s="5" t="s">
        <v>5</v>
      </c>
      <c r="C120" s="5" t="s">
        <v>195</v>
      </c>
      <c r="D120" s="65">
        <v>200</v>
      </c>
      <c r="E120" s="65"/>
      <c r="F120" s="43" t="e">
        <f t="shared" si="1"/>
        <v>#N/A</v>
      </c>
      <c r="G120" s="65"/>
    </row>
    <row r="121" spans="1:7" x14ac:dyDescent="0.3">
      <c r="A121" s="59">
        <v>42572</v>
      </c>
      <c r="B121" s="5" t="s">
        <v>196</v>
      </c>
      <c r="C121" s="5" t="s">
        <v>197</v>
      </c>
      <c r="D121" s="65">
        <v>35500</v>
      </c>
      <c r="E121" s="65"/>
      <c r="F121" s="43" t="e">
        <f t="shared" si="1"/>
        <v>#N/A</v>
      </c>
      <c r="G121" s="65"/>
    </row>
    <row r="122" spans="1:7" x14ac:dyDescent="0.3">
      <c r="A122" s="59">
        <v>42572</v>
      </c>
      <c r="B122" s="5" t="s">
        <v>156</v>
      </c>
      <c r="C122" s="5" t="s">
        <v>31</v>
      </c>
      <c r="D122" s="65">
        <v>1000</v>
      </c>
      <c r="E122" s="65"/>
      <c r="F122" s="43" t="e">
        <f t="shared" si="1"/>
        <v>#N/A</v>
      </c>
      <c r="G122" s="65"/>
    </row>
    <row r="123" spans="1:7" x14ac:dyDescent="0.3">
      <c r="A123" s="59">
        <v>42572</v>
      </c>
      <c r="B123" s="5" t="s">
        <v>45</v>
      </c>
      <c r="C123" s="5" t="s">
        <v>200</v>
      </c>
      <c r="D123" s="65">
        <v>520</v>
      </c>
      <c r="E123" s="65"/>
      <c r="F123" s="43" t="e">
        <f t="shared" si="1"/>
        <v>#N/A</v>
      </c>
      <c r="G123" s="65"/>
    </row>
    <row r="124" spans="1:7" x14ac:dyDescent="0.3">
      <c r="A124" s="59">
        <v>42572</v>
      </c>
      <c r="B124" s="5" t="s">
        <v>25</v>
      </c>
      <c r="C124" s="5" t="s">
        <v>215</v>
      </c>
      <c r="D124" s="65">
        <v>470</v>
      </c>
      <c r="E124" s="65"/>
      <c r="F124" s="43" t="e">
        <f t="shared" si="1"/>
        <v>#N/A</v>
      </c>
      <c r="G124" s="65"/>
    </row>
    <row r="125" spans="1:7" x14ac:dyDescent="0.3">
      <c r="A125" s="59">
        <v>42572</v>
      </c>
      <c r="B125" s="5" t="s">
        <v>5</v>
      </c>
      <c r="C125" s="5" t="s">
        <v>233</v>
      </c>
      <c r="D125" s="65">
        <v>2860</v>
      </c>
      <c r="E125" s="65"/>
      <c r="F125" s="43" t="e">
        <f t="shared" si="1"/>
        <v>#N/A</v>
      </c>
      <c r="G125" s="65"/>
    </row>
    <row r="126" spans="1:7" x14ac:dyDescent="0.3">
      <c r="A126" s="59">
        <v>42572</v>
      </c>
      <c r="B126" s="5" t="s">
        <v>118</v>
      </c>
      <c r="C126" s="5" t="s">
        <v>198</v>
      </c>
      <c r="D126" s="65">
        <v>540</v>
      </c>
      <c r="E126" s="65"/>
      <c r="F126" s="43" t="e">
        <f t="shared" si="1"/>
        <v>#N/A</v>
      </c>
      <c r="G126" s="65"/>
    </row>
    <row r="127" spans="1:7" x14ac:dyDescent="0.3">
      <c r="A127" s="59">
        <v>42572</v>
      </c>
      <c r="B127" s="5" t="s">
        <v>117</v>
      </c>
      <c r="C127" s="5" t="s">
        <v>209</v>
      </c>
      <c r="D127" s="65">
        <v>2330</v>
      </c>
      <c r="E127" s="65"/>
      <c r="F127" s="43" t="e">
        <f t="shared" si="1"/>
        <v>#N/A</v>
      </c>
      <c r="G127" s="65"/>
    </row>
    <row r="128" spans="1:7" x14ac:dyDescent="0.3">
      <c r="A128" s="59">
        <v>42572</v>
      </c>
      <c r="B128" s="5" t="s">
        <v>25</v>
      </c>
      <c r="C128" s="5" t="s">
        <v>214</v>
      </c>
      <c r="D128" s="65">
        <v>70</v>
      </c>
      <c r="E128" s="65"/>
      <c r="F128" s="43" t="e">
        <f t="shared" si="1"/>
        <v>#N/A</v>
      </c>
      <c r="G128" s="65"/>
    </row>
    <row r="129" spans="1:7" x14ac:dyDescent="0.3">
      <c r="A129" s="59">
        <v>42573</v>
      </c>
      <c r="B129" s="5" t="s">
        <v>101</v>
      </c>
      <c r="C129" s="5" t="s">
        <v>201</v>
      </c>
      <c r="D129" s="65">
        <v>20000</v>
      </c>
      <c r="E129" s="65"/>
      <c r="F129" s="43" t="e">
        <f t="shared" si="1"/>
        <v>#N/A</v>
      </c>
      <c r="G129" s="65"/>
    </row>
    <row r="130" spans="1:7" x14ac:dyDescent="0.3">
      <c r="A130" s="59">
        <v>42573</v>
      </c>
      <c r="B130" s="5" t="s">
        <v>5</v>
      </c>
      <c r="C130" s="5" t="s">
        <v>202</v>
      </c>
      <c r="D130" s="65">
        <v>9870</v>
      </c>
      <c r="E130" s="65"/>
      <c r="F130" s="43" t="e">
        <f t="shared" si="1"/>
        <v>#N/A</v>
      </c>
      <c r="G130" s="65"/>
    </row>
    <row r="131" spans="1:7" x14ac:dyDescent="0.3">
      <c r="A131" s="59">
        <v>42573</v>
      </c>
      <c r="B131" s="5" t="s">
        <v>25</v>
      </c>
      <c r="C131" s="5" t="s">
        <v>152</v>
      </c>
      <c r="D131" s="65">
        <v>100</v>
      </c>
      <c r="E131" s="65"/>
      <c r="F131" s="43" t="e">
        <f t="shared" ref="F131:F194" si="2">F130-D131+E131</f>
        <v>#N/A</v>
      </c>
      <c r="G131" s="65"/>
    </row>
    <row r="132" spans="1:7" x14ac:dyDescent="0.3">
      <c r="A132" s="59">
        <v>42573</v>
      </c>
      <c r="B132" s="5" t="s">
        <v>42</v>
      </c>
      <c r="C132" s="5" t="s">
        <v>31</v>
      </c>
      <c r="D132" s="65">
        <v>2000</v>
      </c>
      <c r="E132" s="65"/>
      <c r="F132" s="43" t="e">
        <f t="shared" si="2"/>
        <v>#N/A</v>
      </c>
      <c r="G132" s="65"/>
    </row>
    <row r="133" spans="1:7" x14ac:dyDescent="0.3">
      <c r="A133" s="59">
        <v>42574</v>
      </c>
      <c r="B133" s="5" t="s">
        <v>39</v>
      </c>
      <c r="C133" s="5" t="s">
        <v>210</v>
      </c>
      <c r="D133" s="65">
        <v>1000</v>
      </c>
      <c r="E133" s="65"/>
      <c r="F133" s="43" t="e">
        <f t="shared" si="2"/>
        <v>#N/A</v>
      </c>
      <c r="G133" s="65"/>
    </row>
    <row r="134" spans="1:7" x14ac:dyDescent="0.3">
      <c r="A134" s="59">
        <v>42574</v>
      </c>
      <c r="B134" s="5" t="s">
        <v>25</v>
      </c>
      <c r="C134" s="5" t="s">
        <v>211</v>
      </c>
      <c r="D134" s="65">
        <v>350</v>
      </c>
      <c r="E134" s="65"/>
      <c r="F134" s="43" t="e">
        <f t="shared" si="2"/>
        <v>#N/A</v>
      </c>
      <c r="G134" s="65"/>
    </row>
    <row r="135" spans="1:7" x14ac:dyDescent="0.3">
      <c r="A135" s="59">
        <v>42574</v>
      </c>
      <c r="B135" s="5" t="s">
        <v>216</v>
      </c>
      <c r="C135" s="5" t="s">
        <v>217</v>
      </c>
      <c r="D135" s="65">
        <v>390</v>
      </c>
      <c r="E135" s="65"/>
      <c r="F135" s="43" t="e">
        <f t="shared" si="2"/>
        <v>#N/A</v>
      </c>
      <c r="G135" s="65"/>
    </row>
    <row r="136" spans="1:7" x14ac:dyDescent="0.3">
      <c r="A136" s="59">
        <v>42574</v>
      </c>
      <c r="B136" s="5" t="s">
        <v>118</v>
      </c>
      <c r="C136" s="5" t="s">
        <v>218</v>
      </c>
      <c r="D136" s="65">
        <v>430</v>
      </c>
      <c r="E136" s="65"/>
      <c r="F136" s="43" t="e">
        <f t="shared" si="2"/>
        <v>#N/A</v>
      </c>
      <c r="G136" s="65"/>
    </row>
    <row r="137" spans="1:7" x14ac:dyDescent="0.3">
      <c r="A137" s="59">
        <v>42574</v>
      </c>
      <c r="B137" s="5" t="s">
        <v>119</v>
      </c>
      <c r="C137" s="5" t="s">
        <v>219</v>
      </c>
      <c r="D137" s="65">
        <v>20000</v>
      </c>
      <c r="E137" s="65"/>
      <c r="F137" s="43" t="e">
        <f t="shared" si="2"/>
        <v>#N/A</v>
      </c>
      <c r="G137" s="65"/>
    </row>
    <row r="138" spans="1:7" x14ac:dyDescent="0.3">
      <c r="A138" s="59">
        <v>42574</v>
      </c>
      <c r="B138" s="5" t="s">
        <v>120</v>
      </c>
      <c r="C138" s="5" t="s">
        <v>121</v>
      </c>
      <c r="D138" s="65">
        <v>5000</v>
      </c>
      <c r="E138" s="65"/>
      <c r="F138" s="43" t="e">
        <f t="shared" si="2"/>
        <v>#N/A</v>
      </c>
      <c r="G138" s="65"/>
    </row>
    <row r="139" spans="1:7" x14ac:dyDescent="0.3">
      <c r="A139" s="59">
        <v>42574</v>
      </c>
      <c r="B139" s="5" t="s">
        <v>39</v>
      </c>
      <c r="C139" s="5" t="s">
        <v>220</v>
      </c>
      <c r="D139" s="65">
        <v>1500</v>
      </c>
      <c r="E139" s="65"/>
      <c r="F139" s="43" t="e">
        <f t="shared" si="2"/>
        <v>#N/A</v>
      </c>
      <c r="G139" s="65"/>
    </row>
    <row r="140" spans="1:7" x14ac:dyDescent="0.3">
      <c r="A140" s="59">
        <v>42574</v>
      </c>
      <c r="B140" s="5" t="s">
        <v>39</v>
      </c>
      <c r="C140" s="5" t="s">
        <v>121</v>
      </c>
      <c r="D140" s="65">
        <v>2500</v>
      </c>
      <c r="E140" s="65"/>
      <c r="F140" s="43" t="e">
        <f t="shared" si="2"/>
        <v>#N/A</v>
      </c>
      <c r="G140" s="65"/>
    </row>
    <row r="141" spans="1:7" x14ac:dyDescent="0.3">
      <c r="A141" s="59">
        <v>42574</v>
      </c>
      <c r="B141" s="5" t="s">
        <v>162</v>
      </c>
      <c r="C141" s="5" t="s">
        <v>221</v>
      </c>
      <c r="D141" s="65">
        <v>80</v>
      </c>
      <c r="E141" s="65"/>
      <c r="F141" s="43" t="e">
        <f t="shared" si="2"/>
        <v>#N/A</v>
      </c>
      <c r="G141" s="65"/>
    </row>
    <row r="142" spans="1:7" x14ac:dyDescent="0.3">
      <c r="A142" s="59">
        <v>42574</v>
      </c>
      <c r="B142" s="5" t="s">
        <v>27</v>
      </c>
      <c r="C142" s="5" t="s">
        <v>77</v>
      </c>
      <c r="D142" s="65">
        <v>1010</v>
      </c>
      <c r="E142" s="65"/>
      <c r="F142" s="43" t="e">
        <f t="shared" si="2"/>
        <v>#N/A</v>
      </c>
      <c r="G142" s="65"/>
    </row>
    <row r="143" spans="1:7" x14ac:dyDescent="0.3">
      <c r="A143" s="59">
        <v>42574</v>
      </c>
      <c r="B143" s="5" t="s">
        <v>39</v>
      </c>
      <c r="C143" s="5" t="s">
        <v>31</v>
      </c>
      <c r="D143" s="65">
        <v>1000</v>
      </c>
      <c r="E143" s="65"/>
      <c r="F143" s="43" t="e">
        <f t="shared" si="2"/>
        <v>#N/A</v>
      </c>
      <c r="G143" s="65"/>
    </row>
    <row r="144" spans="1:7" x14ac:dyDescent="0.3">
      <c r="A144" s="59">
        <v>42574</v>
      </c>
      <c r="B144" s="5" t="s">
        <v>42</v>
      </c>
      <c r="C144" s="5" t="s">
        <v>31</v>
      </c>
      <c r="D144" s="65">
        <v>1000</v>
      </c>
      <c r="E144" s="65"/>
      <c r="F144" s="43" t="e">
        <f t="shared" si="2"/>
        <v>#N/A</v>
      </c>
      <c r="G144" s="65"/>
    </row>
    <row r="145" spans="1:7" x14ac:dyDescent="0.3">
      <c r="A145" s="59">
        <v>42574</v>
      </c>
      <c r="B145" s="5" t="s">
        <v>42</v>
      </c>
      <c r="C145" s="5" t="s">
        <v>222</v>
      </c>
      <c r="D145" s="65">
        <v>1320</v>
      </c>
      <c r="E145" s="65"/>
      <c r="F145" s="43" t="e">
        <f t="shared" si="2"/>
        <v>#N/A</v>
      </c>
      <c r="G145" s="65"/>
    </row>
    <row r="146" spans="1:7" x14ac:dyDescent="0.3">
      <c r="A146" s="59">
        <v>42574</v>
      </c>
      <c r="B146" s="5" t="s">
        <v>118</v>
      </c>
      <c r="C146" s="5" t="s">
        <v>166</v>
      </c>
      <c r="D146" s="43">
        <v>100</v>
      </c>
      <c r="E146" s="43"/>
      <c r="F146" s="43" t="e">
        <f t="shared" si="2"/>
        <v>#N/A</v>
      </c>
      <c r="G146" s="43"/>
    </row>
    <row r="147" spans="1:7" x14ac:dyDescent="0.3">
      <c r="A147" s="59">
        <v>42574</v>
      </c>
      <c r="B147" s="5" t="s">
        <v>160</v>
      </c>
      <c r="C147" s="5" t="s">
        <v>234</v>
      </c>
      <c r="D147" s="65">
        <v>4000</v>
      </c>
      <c r="E147" s="65"/>
      <c r="F147" s="43" t="e">
        <f t="shared" si="2"/>
        <v>#N/A</v>
      </c>
      <c r="G147" s="65"/>
    </row>
    <row r="148" spans="1:7" x14ac:dyDescent="0.3">
      <c r="A148" s="59">
        <v>42576</v>
      </c>
      <c r="B148" s="5" t="s">
        <v>106</v>
      </c>
      <c r="C148" s="5" t="s">
        <v>223</v>
      </c>
      <c r="D148" s="65">
        <v>500</v>
      </c>
      <c r="E148" s="65"/>
      <c r="F148" s="43" t="e">
        <f t="shared" si="2"/>
        <v>#N/A</v>
      </c>
      <c r="G148" s="65"/>
    </row>
    <row r="149" spans="1:7" x14ac:dyDescent="0.3">
      <c r="A149" s="59">
        <v>42576</v>
      </c>
      <c r="B149" s="5" t="s">
        <v>39</v>
      </c>
      <c r="C149" s="5" t="s">
        <v>31</v>
      </c>
      <c r="D149" s="65">
        <v>5000</v>
      </c>
      <c r="E149" s="65"/>
      <c r="F149" s="43" t="e">
        <f t="shared" si="2"/>
        <v>#N/A</v>
      </c>
      <c r="G149" s="65"/>
    </row>
    <row r="150" spans="1:7" x14ac:dyDescent="0.3">
      <c r="A150" s="59">
        <v>42576</v>
      </c>
      <c r="B150" s="5" t="s">
        <v>118</v>
      </c>
      <c r="C150" s="5" t="s">
        <v>224</v>
      </c>
      <c r="D150" s="65">
        <v>170</v>
      </c>
      <c r="E150" s="65"/>
      <c r="F150" s="43" t="e">
        <f t="shared" si="2"/>
        <v>#N/A</v>
      </c>
      <c r="G150" s="65"/>
    </row>
    <row r="151" spans="1:7" x14ac:dyDescent="0.3">
      <c r="A151" s="59">
        <v>42576</v>
      </c>
      <c r="B151" s="5" t="s">
        <v>25</v>
      </c>
      <c r="C151" s="5" t="s">
        <v>225</v>
      </c>
      <c r="D151" s="65">
        <v>140</v>
      </c>
      <c r="E151" s="65"/>
      <c r="F151" s="43" t="e">
        <f t="shared" si="2"/>
        <v>#N/A</v>
      </c>
      <c r="G151" s="65"/>
    </row>
    <row r="152" spans="1:7" x14ac:dyDescent="0.3">
      <c r="A152" s="59">
        <v>42576</v>
      </c>
      <c r="B152" s="5" t="s">
        <v>71</v>
      </c>
      <c r="C152" s="5" t="s">
        <v>226</v>
      </c>
      <c r="D152" s="65">
        <v>15000</v>
      </c>
      <c r="E152" s="65"/>
      <c r="F152" s="43" t="e">
        <f t="shared" si="2"/>
        <v>#N/A</v>
      </c>
      <c r="G152" s="65"/>
    </row>
    <row r="153" spans="1:7" x14ac:dyDescent="0.3">
      <c r="A153" s="59">
        <v>42576</v>
      </c>
      <c r="B153" s="5" t="s">
        <v>164</v>
      </c>
      <c r="C153" s="5" t="s">
        <v>80</v>
      </c>
      <c r="D153" s="65">
        <v>16400</v>
      </c>
      <c r="E153" s="65"/>
      <c r="F153" s="43" t="e">
        <f t="shared" si="2"/>
        <v>#N/A</v>
      </c>
      <c r="G153" s="65"/>
    </row>
    <row r="154" spans="1:7" x14ac:dyDescent="0.3">
      <c r="A154" s="59">
        <v>42576</v>
      </c>
      <c r="B154" s="5" t="s">
        <v>122</v>
      </c>
      <c r="C154" s="5" t="s">
        <v>280</v>
      </c>
      <c r="D154" s="65">
        <v>3250</v>
      </c>
      <c r="E154" s="65"/>
      <c r="F154" s="43" t="e">
        <f t="shared" si="2"/>
        <v>#N/A</v>
      </c>
      <c r="G154" s="65"/>
    </row>
    <row r="155" spans="1:7" x14ac:dyDescent="0.3">
      <c r="A155" s="59">
        <v>42576</v>
      </c>
      <c r="B155" s="5" t="s">
        <v>106</v>
      </c>
      <c r="C155" s="5" t="s">
        <v>236</v>
      </c>
      <c r="D155" s="65">
        <v>1000</v>
      </c>
      <c r="E155" s="65"/>
      <c r="F155" s="43" t="e">
        <f t="shared" si="2"/>
        <v>#N/A</v>
      </c>
      <c r="G155" s="65"/>
    </row>
    <row r="156" spans="1:7" x14ac:dyDescent="0.3">
      <c r="A156" s="59">
        <v>42576</v>
      </c>
      <c r="B156" s="5" t="s">
        <v>39</v>
      </c>
      <c r="C156" s="5" t="s">
        <v>31</v>
      </c>
      <c r="D156" s="65">
        <v>3000</v>
      </c>
      <c r="E156" s="65"/>
      <c r="F156" s="43" t="e">
        <f t="shared" si="2"/>
        <v>#N/A</v>
      </c>
      <c r="G156" s="65"/>
    </row>
    <row r="157" spans="1:7" x14ac:dyDescent="0.3">
      <c r="A157" s="59">
        <v>42576</v>
      </c>
      <c r="B157" s="5" t="s">
        <v>42</v>
      </c>
      <c r="C157" s="5" t="s">
        <v>77</v>
      </c>
      <c r="D157" s="65">
        <v>7500</v>
      </c>
      <c r="E157" s="65"/>
      <c r="F157" s="43" t="e">
        <f t="shared" si="2"/>
        <v>#N/A</v>
      </c>
      <c r="G157" s="65"/>
    </row>
    <row r="158" spans="1:7" x14ac:dyDescent="0.3">
      <c r="A158" s="59">
        <v>42576</v>
      </c>
      <c r="B158" s="5" t="s">
        <v>42</v>
      </c>
      <c r="C158" s="5" t="s">
        <v>227</v>
      </c>
      <c r="D158" s="65">
        <v>1000</v>
      </c>
      <c r="E158" s="65"/>
      <c r="F158" s="43" t="e">
        <f t="shared" si="2"/>
        <v>#N/A</v>
      </c>
      <c r="G158" s="65"/>
    </row>
    <row r="159" spans="1:7" x14ac:dyDescent="0.3">
      <c r="A159" s="59">
        <v>42576</v>
      </c>
      <c r="B159" s="5" t="s">
        <v>25</v>
      </c>
      <c r="C159" s="5" t="s">
        <v>228</v>
      </c>
      <c r="D159" s="65">
        <v>40</v>
      </c>
      <c r="E159" s="65"/>
      <c r="F159" s="43" t="e">
        <f t="shared" si="2"/>
        <v>#N/A</v>
      </c>
      <c r="G159" s="65"/>
    </row>
    <row r="160" spans="1:7" x14ac:dyDescent="0.3">
      <c r="A160" s="59">
        <v>42576</v>
      </c>
      <c r="B160" s="5" t="s">
        <v>5</v>
      </c>
      <c r="C160" s="5" t="s">
        <v>240</v>
      </c>
      <c r="D160" s="65">
        <v>3965</v>
      </c>
      <c r="E160" s="65"/>
      <c r="F160" s="43" t="e">
        <f t="shared" si="2"/>
        <v>#N/A</v>
      </c>
      <c r="G160" s="65"/>
    </row>
    <row r="161" spans="1:7" x14ac:dyDescent="0.3">
      <c r="A161" s="59">
        <v>42576</v>
      </c>
      <c r="B161" s="5" t="s">
        <v>160</v>
      </c>
      <c r="C161" s="5" t="s">
        <v>229</v>
      </c>
      <c r="D161" s="65">
        <v>1000</v>
      </c>
      <c r="E161" s="65"/>
      <c r="F161" s="43" t="e">
        <f t="shared" si="2"/>
        <v>#N/A</v>
      </c>
      <c r="G161" s="65"/>
    </row>
    <row r="162" spans="1:7" x14ac:dyDescent="0.3">
      <c r="A162" s="59">
        <v>42576</v>
      </c>
      <c r="B162" s="5" t="s">
        <v>230</v>
      </c>
      <c r="C162" s="5" t="s">
        <v>231</v>
      </c>
      <c r="D162" s="65">
        <v>50</v>
      </c>
      <c r="E162" s="65"/>
      <c r="F162" s="43" t="e">
        <f t="shared" si="2"/>
        <v>#N/A</v>
      </c>
      <c r="G162" s="65"/>
    </row>
    <row r="163" spans="1:7" x14ac:dyDescent="0.3">
      <c r="A163" s="59">
        <v>42576</v>
      </c>
      <c r="B163" s="5" t="s">
        <v>160</v>
      </c>
      <c r="C163" s="5" t="s">
        <v>232</v>
      </c>
      <c r="D163" s="65">
        <v>2000</v>
      </c>
      <c r="E163" s="65"/>
      <c r="F163" s="43" t="e">
        <f t="shared" si="2"/>
        <v>#N/A</v>
      </c>
      <c r="G163" s="65"/>
    </row>
    <row r="164" spans="1:7" x14ac:dyDescent="0.3">
      <c r="A164" s="59">
        <v>42576</v>
      </c>
      <c r="B164" s="5" t="s">
        <v>16</v>
      </c>
      <c r="C164" s="5" t="s">
        <v>9</v>
      </c>
      <c r="D164" s="65">
        <v>100</v>
      </c>
      <c r="E164" s="65"/>
      <c r="F164" s="43" t="e">
        <f t="shared" si="2"/>
        <v>#N/A</v>
      </c>
      <c r="G164" s="65"/>
    </row>
    <row r="165" spans="1:7" x14ac:dyDescent="0.3">
      <c r="A165" s="59">
        <v>42577</v>
      </c>
      <c r="B165" s="5" t="s">
        <v>25</v>
      </c>
      <c r="C165" s="5" t="s">
        <v>166</v>
      </c>
      <c r="D165" s="65">
        <v>100</v>
      </c>
      <c r="E165" s="65"/>
      <c r="F165" s="43" t="e">
        <f t="shared" si="2"/>
        <v>#N/A</v>
      </c>
      <c r="G165" s="65"/>
    </row>
    <row r="166" spans="1:7" x14ac:dyDescent="0.3">
      <c r="A166" s="59">
        <v>42577</v>
      </c>
      <c r="B166" s="5" t="s">
        <v>108</v>
      </c>
      <c r="C166" s="5" t="s">
        <v>241</v>
      </c>
      <c r="D166" s="65">
        <v>1200</v>
      </c>
      <c r="E166" s="65"/>
      <c r="F166" s="43" t="e">
        <f t="shared" si="2"/>
        <v>#N/A</v>
      </c>
      <c r="G166" s="65"/>
    </row>
    <row r="167" spans="1:7" x14ac:dyDescent="0.3">
      <c r="A167" s="59">
        <v>42577</v>
      </c>
      <c r="B167" s="5" t="s">
        <v>28</v>
      </c>
      <c r="C167" s="5" t="s">
        <v>31</v>
      </c>
      <c r="D167" s="65">
        <v>2000</v>
      </c>
      <c r="E167" s="65"/>
      <c r="F167" s="43" t="e">
        <f t="shared" si="2"/>
        <v>#N/A</v>
      </c>
      <c r="G167" s="65"/>
    </row>
    <row r="168" spans="1:7" x14ac:dyDescent="0.3">
      <c r="A168" s="59">
        <v>42577</v>
      </c>
      <c r="B168" s="5" t="s">
        <v>10</v>
      </c>
      <c r="C168" s="5" t="s">
        <v>235</v>
      </c>
      <c r="D168" s="65">
        <v>2000</v>
      </c>
      <c r="E168" s="65"/>
      <c r="F168" s="43" t="e">
        <f t="shared" si="2"/>
        <v>#N/A</v>
      </c>
      <c r="G168" s="65"/>
    </row>
    <row r="169" spans="1:7" x14ac:dyDescent="0.3">
      <c r="A169" s="70">
        <v>42577</v>
      </c>
      <c r="B169" s="761" t="s">
        <v>339</v>
      </c>
      <c r="C169" s="762"/>
      <c r="D169" s="71"/>
      <c r="E169" s="72">
        <v>200000</v>
      </c>
      <c r="F169" s="43" t="e">
        <f t="shared" si="2"/>
        <v>#N/A</v>
      </c>
      <c r="G169" s="65"/>
    </row>
    <row r="170" spans="1:7" x14ac:dyDescent="0.3">
      <c r="A170" s="70">
        <v>42577</v>
      </c>
      <c r="B170" s="761" t="s">
        <v>237</v>
      </c>
      <c r="C170" s="762"/>
      <c r="D170" s="71"/>
      <c r="E170" s="72">
        <v>54000</v>
      </c>
      <c r="F170" s="43" t="e">
        <f t="shared" si="2"/>
        <v>#N/A</v>
      </c>
      <c r="G170" s="65"/>
    </row>
    <row r="171" spans="1:7" x14ac:dyDescent="0.3">
      <c r="A171" s="59">
        <v>42577</v>
      </c>
      <c r="B171" s="5" t="s">
        <v>238</v>
      </c>
      <c r="C171" s="5" t="s">
        <v>239</v>
      </c>
      <c r="D171" s="65">
        <v>61348</v>
      </c>
      <c r="E171" s="43"/>
      <c r="F171" s="43" t="e">
        <f t="shared" si="2"/>
        <v>#N/A</v>
      </c>
      <c r="G171" s="43"/>
    </row>
    <row r="172" spans="1:7" x14ac:dyDescent="0.3">
      <c r="A172" s="59">
        <v>42577</v>
      </c>
      <c r="B172" s="5" t="s">
        <v>42</v>
      </c>
      <c r="C172" s="5" t="s">
        <v>77</v>
      </c>
      <c r="D172" s="65">
        <v>1000</v>
      </c>
      <c r="E172" s="65"/>
      <c r="F172" s="43" t="e">
        <f t="shared" si="2"/>
        <v>#N/A</v>
      </c>
      <c r="G172" s="65"/>
    </row>
    <row r="173" spans="1:7" x14ac:dyDescent="0.3">
      <c r="A173" s="59">
        <v>42577</v>
      </c>
      <c r="B173" s="5" t="s">
        <v>25</v>
      </c>
      <c r="C173" s="5" t="s">
        <v>242</v>
      </c>
      <c r="D173" s="43">
        <v>500</v>
      </c>
      <c r="E173" s="43"/>
      <c r="F173" s="43" t="e">
        <f t="shared" si="2"/>
        <v>#N/A</v>
      </c>
      <c r="G173" s="43"/>
    </row>
    <row r="174" spans="1:7" x14ac:dyDescent="0.3">
      <c r="A174" s="59">
        <v>42577</v>
      </c>
      <c r="B174" s="5" t="s">
        <v>162</v>
      </c>
      <c r="C174" s="5" t="s">
        <v>243</v>
      </c>
      <c r="D174" s="65">
        <v>1200</v>
      </c>
      <c r="E174" s="65"/>
      <c r="F174" s="43" t="e">
        <f t="shared" si="2"/>
        <v>#N/A</v>
      </c>
      <c r="G174" s="65"/>
    </row>
    <row r="175" spans="1:7" x14ac:dyDescent="0.3">
      <c r="A175" s="59">
        <v>42577</v>
      </c>
      <c r="B175" s="5" t="s">
        <v>25</v>
      </c>
      <c r="C175" s="5" t="s">
        <v>244</v>
      </c>
      <c r="D175" s="43">
        <v>860</v>
      </c>
      <c r="E175" s="43"/>
      <c r="F175" s="43" t="e">
        <f t="shared" si="2"/>
        <v>#N/A</v>
      </c>
      <c r="G175" s="43"/>
    </row>
    <row r="176" spans="1:7" x14ac:dyDescent="0.3">
      <c r="A176" s="59">
        <v>42577</v>
      </c>
      <c r="B176" s="5" t="s">
        <v>25</v>
      </c>
      <c r="C176" s="5" t="s">
        <v>245</v>
      </c>
      <c r="D176" s="43">
        <v>30</v>
      </c>
      <c r="E176" s="43"/>
      <c r="F176" s="43" t="e">
        <f t="shared" si="2"/>
        <v>#N/A</v>
      </c>
      <c r="G176" s="43"/>
    </row>
    <row r="177" spans="1:7" x14ac:dyDescent="0.3">
      <c r="A177" s="59">
        <v>42577</v>
      </c>
      <c r="B177" s="5" t="s">
        <v>106</v>
      </c>
      <c r="C177" s="5" t="s">
        <v>246</v>
      </c>
      <c r="D177" s="43">
        <v>1200</v>
      </c>
      <c r="E177" s="43"/>
      <c r="F177" s="43" t="e">
        <f t="shared" si="2"/>
        <v>#N/A</v>
      </c>
      <c r="G177" s="43"/>
    </row>
    <row r="178" spans="1:7" x14ac:dyDescent="0.3">
      <c r="A178" s="59">
        <v>42577</v>
      </c>
      <c r="B178" s="5" t="s">
        <v>247</v>
      </c>
      <c r="C178" s="5" t="s">
        <v>266</v>
      </c>
      <c r="D178" s="65">
        <v>510</v>
      </c>
      <c r="E178" s="65"/>
      <c r="F178" s="43" t="e">
        <f t="shared" si="2"/>
        <v>#N/A</v>
      </c>
      <c r="G178" s="43"/>
    </row>
    <row r="179" spans="1:7" x14ac:dyDescent="0.3">
      <c r="A179" s="59">
        <v>42577</v>
      </c>
      <c r="B179" s="5" t="s">
        <v>160</v>
      </c>
      <c r="C179" s="5" t="s">
        <v>229</v>
      </c>
      <c r="D179" s="43">
        <v>5000</v>
      </c>
      <c r="E179" s="43"/>
      <c r="F179" s="43" t="e">
        <f t="shared" si="2"/>
        <v>#N/A</v>
      </c>
      <c r="G179" s="43"/>
    </row>
    <row r="180" spans="1:7" x14ac:dyDescent="0.3">
      <c r="A180" s="59">
        <v>42578</v>
      </c>
      <c r="B180" s="5" t="s">
        <v>120</v>
      </c>
      <c r="C180" s="5" t="s">
        <v>250</v>
      </c>
      <c r="D180" s="65">
        <v>1000</v>
      </c>
      <c r="E180" s="65"/>
      <c r="F180" s="43" t="e">
        <f t="shared" si="2"/>
        <v>#N/A</v>
      </c>
      <c r="G180" s="65"/>
    </row>
    <row r="181" spans="1:7" x14ac:dyDescent="0.3">
      <c r="A181" s="59">
        <v>42578</v>
      </c>
      <c r="B181" s="5" t="s">
        <v>288</v>
      </c>
      <c r="C181" s="5" t="s">
        <v>289</v>
      </c>
      <c r="D181" s="65">
        <v>6800</v>
      </c>
      <c r="E181" s="65"/>
      <c r="F181" s="43" t="e">
        <f t="shared" si="2"/>
        <v>#N/A</v>
      </c>
      <c r="G181" s="65"/>
    </row>
    <row r="182" spans="1:7" x14ac:dyDescent="0.3">
      <c r="A182" s="59">
        <v>42578</v>
      </c>
      <c r="B182" s="5" t="s">
        <v>25</v>
      </c>
      <c r="C182" s="5" t="s">
        <v>248</v>
      </c>
      <c r="D182" s="43">
        <v>1400</v>
      </c>
      <c r="E182" s="43"/>
      <c r="F182" s="43" t="e">
        <f t="shared" si="2"/>
        <v>#N/A</v>
      </c>
      <c r="G182" s="43"/>
    </row>
    <row r="183" spans="1:7" x14ac:dyDescent="0.3">
      <c r="A183" s="59">
        <v>42578</v>
      </c>
      <c r="B183" s="5" t="s">
        <v>162</v>
      </c>
      <c r="C183" s="5" t="s">
        <v>249</v>
      </c>
      <c r="D183" s="43">
        <v>1000</v>
      </c>
      <c r="E183" s="43"/>
      <c r="F183" s="43" t="e">
        <f t="shared" si="2"/>
        <v>#N/A</v>
      </c>
      <c r="G183" s="43"/>
    </row>
    <row r="184" spans="1:7" x14ac:dyDescent="0.3">
      <c r="A184" s="59">
        <v>42578</v>
      </c>
      <c r="B184" s="5" t="s">
        <v>28</v>
      </c>
      <c r="C184" s="5" t="s">
        <v>31</v>
      </c>
      <c r="D184" s="43">
        <v>2000</v>
      </c>
      <c r="E184" s="43"/>
      <c r="F184" s="43" t="e">
        <f t="shared" si="2"/>
        <v>#N/A</v>
      </c>
      <c r="G184" s="43"/>
    </row>
    <row r="185" spans="1:7" x14ac:dyDescent="0.3">
      <c r="A185" s="59">
        <v>42579</v>
      </c>
      <c r="B185" s="5" t="s">
        <v>123</v>
      </c>
      <c r="C185" s="5" t="s">
        <v>77</v>
      </c>
      <c r="D185" s="43">
        <v>2000</v>
      </c>
      <c r="E185" s="43"/>
      <c r="F185" s="43" t="e">
        <f t="shared" si="2"/>
        <v>#N/A</v>
      </c>
      <c r="G185" s="43"/>
    </row>
    <row r="186" spans="1:7" x14ac:dyDescent="0.3">
      <c r="A186" s="59">
        <v>42579</v>
      </c>
      <c r="B186" s="5" t="s">
        <v>160</v>
      </c>
      <c r="C186" s="5" t="s">
        <v>251</v>
      </c>
      <c r="D186" s="43">
        <v>2000</v>
      </c>
      <c r="E186" s="43"/>
      <c r="F186" s="43" t="e">
        <f t="shared" si="2"/>
        <v>#N/A</v>
      </c>
      <c r="G186" s="43"/>
    </row>
    <row r="187" spans="1:7" x14ac:dyDescent="0.3">
      <c r="A187" s="59">
        <v>42579</v>
      </c>
      <c r="B187" s="5" t="s">
        <v>22</v>
      </c>
      <c r="C187" s="5" t="s">
        <v>31</v>
      </c>
      <c r="D187" s="43">
        <v>10000</v>
      </c>
      <c r="E187" s="43"/>
      <c r="F187" s="43" t="e">
        <f t="shared" si="2"/>
        <v>#N/A</v>
      </c>
      <c r="G187" s="43"/>
    </row>
    <row r="188" spans="1:7" x14ac:dyDescent="0.3">
      <c r="A188" s="59">
        <v>42579</v>
      </c>
      <c r="B188" s="5" t="s">
        <v>117</v>
      </c>
      <c r="C188" s="5" t="s">
        <v>257</v>
      </c>
      <c r="D188" s="43">
        <v>160</v>
      </c>
      <c r="E188" s="43"/>
      <c r="F188" s="43" t="e">
        <f t="shared" si="2"/>
        <v>#N/A</v>
      </c>
      <c r="G188" s="43"/>
    </row>
    <row r="189" spans="1:7" x14ac:dyDescent="0.3">
      <c r="A189" s="59">
        <v>42579</v>
      </c>
      <c r="B189" s="5" t="s">
        <v>284</v>
      </c>
      <c r="C189" s="5" t="s">
        <v>252</v>
      </c>
      <c r="D189" s="65">
        <v>2000</v>
      </c>
      <c r="E189" s="65"/>
      <c r="F189" s="43" t="e">
        <f t="shared" si="2"/>
        <v>#N/A</v>
      </c>
      <c r="G189" s="65"/>
    </row>
    <row r="190" spans="1:7" x14ac:dyDescent="0.3">
      <c r="A190" s="59">
        <v>42579</v>
      </c>
      <c r="B190" s="5" t="s">
        <v>120</v>
      </c>
      <c r="C190" s="5" t="s">
        <v>253</v>
      </c>
      <c r="D190" s="43">
        <v>16500</v>
      </c>
      <c r="E190" s="43"/>
      <c r="F190" s="43" t="e">
        <f t="shared" si="2"/>
        <v>#N/A</v>
      </c>
      <c r="G190" s="43"/>
    </row>
    <row r="191" spans="1:7" x14ac:dyDescent="0.3">
      <c r="A191" s="59">
        <v>42579</v>
      </c>
      <c r="B191" s="5" t="s">
        <v>42</v>
      </c>
      <c r="C191" s="5" t="s">
        <v>254</v>
      </c>
      <c r="D191" s="43">
        <v>1585</v>
      </c>
      <c r="E191" s="43"/>
      <c r="F191" s="43" t="e">
        <f t="shared" si="2"/>
        <v>#N/A</v>
      </c>
      <c r="G191" s="43"/>
    </row>
    <row r="192" spans="1:7" x14ac:dyDescent="0.3">
      <c r="A192" s="59">
        <v>42579</v>
      </c>
      <c r="B192" s="5" t="s">
        <v>160</v>
      </c>
      <c r="C192" s="5" t="s">
        <v>255</v>
      </c>
      <c r="D192" s="43">
        <v>500</v>
      </c>
      <c r="E192" s="43"/>
      <c r="F192" s="43" t="e">
        <f t="shared" si="2"/>
        <v>#N/A</v>
      </c>
      <c r="G192" s="43"/>
    </row>
    <row r="193" spans="1:7" x14ac:dyDescent="0.3">
      <c r="A193" s="59">
        <v>42579</v>
      </c>
      <c r="B193" s="5" t="s">
        <v>42</v>
      </c>
      <c r="C193" s="5" t="s">
        <v>256</v>
      </c>
      <c r="D193" s="43">
        <v>600</v>
      </c>
      <c r="E193" s="43"/>
      <c r="F193" s="43" t="e">
        <f t="shared" si="2"/>
        <v>#N/A</v>
      </c>
      <c r="G193" s="43"/>
    </row>
    <row r="194" spans="1:7" x14ac:dyDescent="0.3">
      <c r="A194" s="59">
        <v>42579</v>
      </c>
      <c r="B194" s="5" t="s">
        <v>5</v>
      </c>
      <c r="C194" s="5" t="s">
        <v>227</v>
      </c>
      <c r="D194" s="43">
        <v>18160</v>
      </c>
      <c r="E194" s="43"/>
      <c r="F194" s="43" t="e">
        <f t="shared" si="2"/>
        <v>#N/A</v>
      </c>
      <c r="G194" s="43"/>
    </row>
    <row r="195" spans="1:7" x14ac:dyDescent="0.3">
      <c r="A195" s="59">
        <v>42580</v>
      </c>
      <c r="B195" s="5" t="s">
        <v>29</v>
      </c>
      <c r="C195" s="5" t="s">
        <v>258</v>
      </c>
      <c r="D195" s="43">
        <v>1000</v>
      </c>
      <c r="E195" s="43"/>
      <c r="F195" s="43" t="e">
        <f t="shared" ref="F195:F258" si="3">F194-D195+E195</f>
        <v>#N/A</v>
      </c>
      <c r="G195" s="43"/>
    </row>
    <row r="196" spans="1:7" x14ac:dyDescent="0.3">
      <c r="A196" s="59">
        <v>42580</v>
      </c>
      <c r="B196" s="5" t="s">
        <v>29</v>
      </c>
      <c r="C196" s="5" t="s">
        <v>287</v>
      </c>
      <c r="D196" s="65">
        <v>1600</v>
      </c>
      <c r="E196" s="65"/>
      <c r="F196" s="43" t="e">
        <f t="shared" si="3"/>
        <v>#N/A</v>
      </c>
      <c r="G196" s="43"/>
    </row>
    <row r="197" spans="1:7" x14ac:dyDescent="0.3">
      <c r="A197" s="59">
        <v>42580</v>
      </c>
      <c r="B197" s="5" t="s">
        <v>42</v>
      </c>
      <c r="C197" s="5" t="s">
        <v>259</v>
      </c>
      <c r="D197" s="43">
        <v>1782</v>
      </c>
      <c r="E197" s="43"/>
      <c r="F197" s="43" t="e">
        <f t="shared" si="3"/>
        <v>#N/A</v>
      </c>
      <c r="G197" s="43"/>
    </row>
    <row r="198" spans="1:7" x14ac:dyDescent="0.3">
      <c r="A198" s="59">
        <v>42580</v>
      </c>
      <c r="B198" s="5" t="s">
        <v>160</v>
      </c>
      <c r="C198" s="5" t="s">
        <v>260</v>
      </c>
      <c r="D198" s="43">
        <v>1000</v>
      </c>
      <c r="E198" s="43"/>
      <c r="F198" s="43" t="e">
        <f t="shared" si="3"/>
        <v>#N/A</v>
      </c>
      <c r="G198" s="43"/>
    </row>
    <row r="199" spans="1:7" x14ac:dyDescent="0.3">
      <c r="A199" s="59">
        <v>42580</v>
      </c>
      <c r="B199" s="5" t="s">
        <v>117</v>
      </c>
      <c r="C199" s="5" t="s">
        <v>263</v>
      </c>
      <c r="D199" s="65">
        <v>70</v>
      </c>
      <c r="E199" s="43"/>
      <c r="F199" s="43" t="e">
        <f t="shared" si="3"/>
        <v>#N/A</v>
      </c>
      <c r="G199" s="43"/>
    </row>
    <row r="200" spans="1:7" x14ac:dyDescent="0.3">
      <c r="A200" s="59">
        <v>42580</v>
      </c>
      <c r="B200" s="5" t="s">
        <v>25</v>
      </c>
      <c r="C200" s="5" t="s">
        <v>265</v>
      </c>
      <c r="D200" s="43">
        <v>100</v>
      </c>
      <c r="E200" s="43"/>
      <c r="F200" s="43" t="e">
        <f t="shared" si="3"/>
        <v>#N/A</v>
      </c>
      <c r="G200" s="43"/>
    </row>
    <row r="201" spans="1:7" x14ac:dyDescent="0.3">
      <c r="A201" s="59">
        <v>42581</v>
      </c>
      <c r="B201" s="5" t="s">
        <v>261</v>
      </c>
      <c r="C201" s="5" t="s">
        <v>262</v>
      </c>
      <c r="D201" s="43">
        <v>480</v>
      </c>
      <c r="E201" s="43"/>
      <c r="F201" s="43" t="e">
        <f t="shared" si="3"/>
        <v>#N/A</v>
      </c>
      <c r="G201" s="43"/>
    </row>
    <row r="202" spans="1:7" x14ac:dyDescent="0.3">
      <c r="A202" s="59">
        <v>42581</v>
      </c>
      <c r="B202" s="5" t="s">
        <v>3358</v>
      </c>
      <c r="C202" s="5" t="s">
        <v>75</v>
      </c>
      <c r="D202" s="43">
        <v>15000</v>
      </c>
      <c r="E202" s="43"/>
      <c r="F202" s="43" t="e">
        <f t="shared" si="3"/>
        <v>#N/A</v>
      </c>
      <c r="G202" s="43"/>
    </row>
    <row r="203" spans="1:7" x14ac:dyDescent="0.3">
      <c r="A203" s="59">
        <v>42581</v>
      </c>
      <c r="B203" s="5" t="s">
        <v>117</v>
      </c>
      <c r="C203" s="5" t="s">
        <v>270</v>
      </c>
      <c r="D203" s="65">
        <v>80</v>
      </c>
      <c r="E203" s="43"/>
      <c r="F203" s="43" t="e">
        <f t="shared" si="3"/>
        <v>#N/A</v>
      </c>
      <c r="G203" s="43"/>
    </row>
    <row r="204" spans="1:7" x14ac:dyDescent="0.3">
      <c r="A204" s="59">
        <v>42581</v>
      </c>
      <c r="B204" s="5" t="s">
        <v>25</v>
      </c>
      <c r="C204" s="5" t="s">
        <v>264</v>
      </c>
      <c r="D204" s="43">
        <v>120</v>
      </c>
      <c r="E204" s="43"/>
      <c r="F204" s="43" t="e">
        <f t="shared" si="3"/>
        <v>#N/A</v>
      </c>
      <c r="G204" s="43"/>
    </row>
    <row r="205" spans="1:7" x14ac:dyDescent="0.3">
      <c r="A205" s="59">
        <v>42581</v>
      </c>
      <c r="B205" s="5" t="s">
        <v>28</v>
      </c>
      <c r="C205" s="5" t="s">
        <v>31</v>
      </c>
      <c r="D205" s="43">
        <v>13000</v>
      </c>
      <c r="E205" s="43"/>
      <c r="F205" s="43" t="e">
        <f t="shared" si="3"/>
        <v>#N/A</v>
      </c>
      <c r="G205" s="43"/>
    </row>
    <row r="206" spans="1:7" x14ac:dyDescent="0.3">
      <c r="A206" s="59">
        <v>42581</v>
      </c>
      <c r="B206" s="5" t="s">
        <v>247</v>
      </c>
      <c r="C206" s="5" t="s">
        <v>311</v>
      </c>
      <c r="D206" s="65">
        <v>280</v>
      </c>
      <c r="E206" s="65"/>
      <c r="F206" s="43" t="e">
        <f t="shared" si="3"/>
        <v>#N/A</v>
      </c>
      <c r="G206" s="65"/>
    </row>
    <row r="207" spans="1:7" x14ac:dyDescent="0.3">
      <c r="A207" s="59">
        <v>42581</v>
      </c>
      <c r="B207" s="5" t="s">
        <v>119</v>
      </c>
      <c r="C207" s="5" t="s">
        <v>23</v>
      </c>
      <c r="D207" s="43">
        <v>5000</v>
      </c>
      <c r="E207" s="43"/>
      <c r="F207" s="43" t="e">
        <f t="shared" si="3"/>
        <v>#N/A</v>
      </c>
      <c r="G207" s="43"/>
    </row>
    <row r="208" spans="1:7" x14ac:dyDescent="0.3">
      <c r="A208" s="59">
        <v>42581</v>
      </c>
      <c r="B208" s="5" t="s">
        <v>25</v>
      </c>
      <c r="C208" s="5" t="s">
        <v>273</v>
      </c>
      <c r="D208" s="43">
        <v>100</v>
      </c>
      <c r="E208" s="43"/>
      <c r="F208" s="43" t="e">
        <f t="shared" si="3"/>
        <v>#N/A</v>
      </c>
      <c r="G208" s="43"/>
    </row>
    <row r="209" spans="1:7" x14ac:dyDescent="0.3">
      <c r="A209" s="59">
        <v>42581</v>
      </c>
      <c r="B209" s="5" t="s">
        <v>71</v>
      </c>
      <c r="C209" s="5" t="s">
        <v>267</v>
      </c>
      <c r="D209" s="43">
        <v>200</v>
      </c>
      <c r="E209" s="43"/>
      <c r="F209" s="43" t="e">
        <f t="shared" si="3"/>
        <v>#N/A</v>
      </c>
      <c r="G209" s="43"/>
    </row>
    <row r="210" spans="1:7" x14ac:dyDescent="0.3">
      <c r="A210" s="59">
        <v>42581</v>
      </c>
      <c r="B210" s="5" t="s">
        <v>16</v>
      </c>
      <c r="C210" s="5" t="s">
        <v>268</v>
      </c>
      <c r="D210" s="65">
        <v>7210</v>
      </c>
      <c r="E210" s="65"/>
      <c r="F210" s="43" t="e">
        <f t="shared" si="3"/>
        <v>#N/A</v>
      </c>
      <c r="G210" s="65"/>
    </row>
    <row r="211" spans="1:7" x14ac:dyDescent="0.3">
      <c r="A211" s="59">
        <v>42581</v>
      </c>
      <c r="B211" s="5" t="s">
        <v>160</v>
      </c>
      <c r="C211" s="5" t="s">
        <v>269</v>
      </c>
      <c r="D211" s="43">
        <v>1000</v>
      </c>
      <c r="E211" s="43"/>
      <c r="F211" s="43" t="e">
        <f t="shared" si="3"/>
        <v>#N/A</v>
      </c>
      <c r="G211" s="43"/>
    </row>
    <row r="212" spans="1:7" x14ac:dyDescent="0.3">
      <c r="A212" s="59">
        <v>42581</v>
      </c>
      <c r="B212" s="5" t="s">
        <v>5</v>
      </c>
      <c r="C212" s="5" t="s">
        <v>274</v>
      </c>
      <c r="D212" s="43">
        <v>500</v>
      </c>
      <c r="E212" s="43"/>
      <c r="F212" s="43" t="e">
        <f t="shared" si="3"/>
        <v>#N/A</v>
      </c>
      <c r="G212" s="43"/>
    </row>
    <row r="213" spans="1:7" x14ac:dyDescent="0.3">
      <c r="A213" s="59">
        <v>42581</v>
      </c>
      <c r="B213" s="74" t="s">
        <v>5</v>
      </c>
      <c r="C213" s="75" t="s">
        <v>77</v>
      </c>
      <c r="D213" s="43">
        <v>8500</v>
      </c>
      <c r="E213" s="43"/>
      <c r="F213" s="43" t="e">
        <f t="shared" si="3"/>
        <v>#N/A</v>
      </c>
      <c r="G213" s="43"/>
    </row>
    <row r="214" spans="1:7" x14ac:dyDescent="0.3">
      <c r="A214" s="70">
        <v>42581</v>
      </c>
      <c r="B214" s="761" t="s">
        <v>271</v>
      </c>
      <c r="C214" s="762"/>
      <c r="D214" s="71"/>
      <c r="E214" s="72">
        <v>220000</v>
      </c>
      <c r="F214" s="43" t="e">
        <f t="shared" si="3"/>
        <v>#N/A</v>
      </c>
      <c r="G214" s="43"/>
    </row>
    <row r="215" spans="1:7" x14ac:dyDescent="0.3">
      <c r="A215" s="59">
        <v>42581</v>
      </c>
      <c r="B215" s="5" t="s">
        <v>5</v>
      </c>
      <c r="C215" s="5" t="s">
        <v>272</v>
      </c>
      <c r="D215" s="43">
        <v>1350</v>
      </c>
      <c r="E215" s="43"/>
      <c r="F215" s="43" t="e">
        <f t="shared" si="3"/>
        <v>#N/A</v>
      </c>
      <c r="G215" s="43"/>
    </row>
    <row r="216" spans="1:7" x14ac:dyDescent="0.3">
      <c r="A216" s="59">
        <v>42581</v>
      </c>
      <c r="B216" s="76" t="s">
        <v>160</v>
      </c>
      <c r="C216" s="75" t="s">
        <v>279</v>
      </c>
      <c r="D216" s="77">
        <v>710</v>
      </c>
      <c r="E216" s="77"/>
      <c r="F216" s="43" t="e">
        <f t="shared" si="3"/>
        <v>#N/A</v>
      </c>
      <c r="G216" s="77"/>
    </row>
    <row r="217" spans="1:7" x14ac:dyDescent="0.3">
      <c r="A217" s="79">
        <v>42583</v>
      </c>
      <c r="B217" s="73" t="s">
        <v>122</v>
      </c>
      <c r="C217" s="80" t="s">
        <v>278</v>
      </c>
      <c r="D217" s="81">
        <v>10350</v>
      </c>
      <c r="E217" s="82"/>
      <c r="F217" s="43" t="e">
        <f t="shared" si="3"/>
        <v>#N/A</v>
      </c>
      <c r="G217" s="58"/>
    </row>
    <row r="218" spans="1:7" x14ac:dyDescent="0.3">
      <c r="A218" s="79">
        <v>42583</v>
      </c>
      <c r="B218" s="73" t="s">
        <v>276</v>
      </c>
      <c r="C218" s="73" t="s">
        <v>277</v>
      </c>
      <c r="D218" s="81">
        <v>35030</v>
      </c>
      <c r="E218" s="58"/>
      <c r="F218" s="43" t="e">
        <f t="shared" si="3"/>
        <v>#N/A</v>
      </c>
      <c r="G218" s="58"/>
    </row>
    <row r="219" spans="1:7" x14ac:dyDescent="0.3">
      <c r="A219" s="79">
        <v>42583</v>
      </c>
      <c r="B219" s="73" t="s">
        <v>25</v>
      </c>
      <c r="C219" s="73" t="s">
        <v>275</v>
      </c>
      <c r="D219" s="81">
        <v>1750</v>
      </c>
      <c r="E219" s="58"/>
      <c r="F219" s="43" t="e">
        <f t="shared" si="3"/>
        <v>#N/A</v>
      </c>
      <c r="G219" s="58"/>
    </row>
    <row r="220" spans="1:7" x14ac:dyDescent="0.3">
      <c r="A220" s="79">
        <v>42583</v>
      </c>
      <c r="B220" s="5" t="s">
        <v>247</v>
      </c>
      <c r="C220" s="5" t="s">
        <v>310</v>
      </c>
      <c r="D220" s="65">
        <v>1040</v>
      </c>
      <c r="E220" s="43"/>
      <c r="F220" s="43" t="e">
        <f t="shared" si="3"/>
        <v>#N/A</v>
      </c>
      <c r="G220" s="43"/>
    </row>
    <row r="221" spans="1:7" x14ac:dyDescent="0.3">
      <c r="A221" s="79">
        <v>42583</v>
      </c>
      <c r="B221" s="5" t="s">
        <v>119</v>
      </c>
      <c r="C221" s="5" t="s">
        <v>281</v>
      </c>
      <c r="D221" s="65">
        <v>5000</v>
      </c>
      <c r="E221" s="65"/>
      <c r="F221" s="43" t="e">
        <f t="shared" si="3"/>
        <v>#N/A</v>
      </c>
      <c r="G221" s="65"/>
    </row>
    <row r="222" spans="1:7" x14ac:dyDescent="0.3">
      <c r="A222" s="79">
        <v>42583</v>
      </c>
      <c r="B222" s="5" t="s">
        <v>154</v>
      </c>
      <c r="C222" s="5" t="s">
        <v>286</v>
      </c>
      <c r="D222" s="65">
        <v>3000</v>
      </c>
      <c r="E222" s="65"/>
      <c r="F222" s="43" t="e">
        <f t="shared" si="3"/>
        <v>#N/A</v>
      </c>
      <c r="G222" s="65"/>
    </row>
    <row r="223" spans="1:7" x14ac:dyDescent="0.3">
      <c r="A223" s="79">
        <v>42583</v>
      </c>
      <c r="B223" s="5" t="s">
        <v>282</v>
      </c>
      <c r="C223" s="5" t="s">
        <v>31</v>
      </c>
      <c r="D223" s="65">
        <v>25000</v>
      </c>
      <c r="E223" s="65"/>
      <c r="F223" s="43" t="e">
        <f t="shared" si="3"/>
        <v>#N/A</v>
      </c>
      <c r="G223" s="65"/>
    </row>
    <row r="224" spans="1:7" x14ac:dyDescent="0.3">
      <c r="A224" s="79">
        <v>42583</v>
      </c>
      <c r="B224" s="83" t="s">
        <v>117</v>
      </c>
      <c r="C224" s="83" t="s">
        <v>283</v>
      </c>
      <c r="D224" s="84">
        <v>100</v>
      </c>
      <c r="E224" s="84"/>
      <c r="F224" s="43" t="e">
        <f t="shared" si="3"/>
        <v>#N/A</v>
      </c>
      <c r="G224" s="65"/>
    </row>
    <row r="225" spans="1:7" x14ac:dyDescent="0.3">
      <c r="A225" s="79">
        <v>42583</v>
      </c>
      <c r="B225" s="5" t="s">
        <v>284</v>
      </c>
      <c r="C225" s="5" t="s">
        <v>31</v>
      </c>
      <c r="D225" s="65">
        <v>1500</v>
      </c>
      <c r="E225" s="65"/>
      <c r="F225" s="43" t="e">
        <f t="shared" si="3"/>
        <v>#N/A</v>
      </c>
      <c r="G225" s="65"/>
    </row>
    <row r="226" spans="1:7" x14ac:dyDescent="0.3">
      <c r="A226" s="79">
        <v>42583</v>
      </c>
      <c r="B226" s="5" t="s">
        <v>284</v>
      </c>
      <c r="C226" s="5" t="s">
        <v>285</v>
      </c>
      <c r="D226" s="43">
        <v>1500</v>
      </c>
      <c r="E226" s="43"/>
      <c r="F226" s="43" t="e">
        <f t="shared" si="3"/>
        <v>#N/A</v>
      </c>
      <c r="G226" s="43"/>
    </row>
    <row r="227" spans="1:7" x14ac:dyDescent="0.3">
      <c r="A227" s="79">
        <v>42583</v>
      </c>
      <c r="B227" s="5" t="s">
        <v>230</v>
      </c>
      <c r="C227" s="5" t="s">
        <v>31</v>
      </c>
      <c r="D227" s="43">
        <v>1000</v>
      </c>
      <c r="E227" s="43"/>
      <c r="F227" s="43" t="e">
        <f t="shared" si="3"/>
        <v>#N/A</v>
      </c>
      <c r="G227" s="43"/>
    </row>
    <row r="228" spans="1:7" x14ac:dyDescent="0.3">
      <c r="A228" s="79">
        <v>42584</v>
      </c>
      <c r="B228" s="5" t="s">
        <v>118</v>
      </c>
      <c r="C228" s="5" t="s">
        <v>330</v>
      </c>
      <c r="D228" s="43">
        <f>720+70</f>
        <v>790</v>
      </c>
      <c r="E228" s="43"/>
      <c r="F228" s="43" t="e">
        <f t="shared" si="3"/>
        <v>#N/A</v>
      </c>
      <c r="G228" s="43"/>
    </row>
    <row r="229" spans="1:7" x14ac:dyDescent="0.3">
      <c r="A229" s="79">
        <v>42584</v>
      </c>
      <c r="B229" s="5" t="s">
        <v>71</v>
      </c>
      <c r="C229" s="5" t="s">
        <v>290</v>
      </c>
      <c r="D229" s="43">
        <v>400</v>
      </c>
      <c r="E229" s="43"/>
      <c r="F229" s="43" t="e">
        <f t="shared" si="3"/>
        <v>#N/A</v>
      </c>
      <c r="G229" s="43"/>
    </row>
    <row r="230" spans="1:7" x14ac:dyDescent="0.3">
      <c r="A230" s="79">
        <v>42584</v>
      </c>
      <c r="B230" s="5" t="s">
        <v>71</v>
      </c>
      <c r="C230" s="5" t="s">
        <v>291</v>
      </c>
      <c r="D230" s="43">
        <v>600</v>
      </c>
      <c r="E230" s="43"/>
      <c r="F230" s="43" t="e">
        <f t="shared" si="3"/>
        <v>#N/A</v>
      </c>
      <c r="G230" s="43"/>
    </row>
    <row r="231" spans="1:7" x14ac:dyDescent="0.3">
      <c r="A231" s="79">
        <v>42584</v>
      </c>
      <c r="B231" s="5" t="s">
        <v>39</v>
      </c>
      <c r="C231" s="5" t="s">
        <v>292</v>
      </c>
      <c r="D231" s="43">
        <v>2880</v>
      </c>
      <c r="E231" s="43"/>
      <c r="F231" s="43" t="e">
        <f t="shared" si="3"/>
        <v>#N/A</v>
      </c>
      <c r="G231" s="43"/>
    </row>
    <row r="232" spans="1:7" x14ac:dyDescent="0.3">
      <c r="A232" s="79">
        <v>42584</v>
      </c>
      <c r="B232" s="5" t="s">
        <v>293</v>
      </c>
      <c r="C232" s="5" t="s">
        <v>294</v>
      </c>
      <c r="D232" s="43">
        <v>3000</v>
      </c>
      <c r="E232" s="43"/>
      <c r="F232" s="43" t="e">
        <f t="shared" si="3"/>
        <v>#N/A</v>
      </c>
      <c r="G232" s="43"/>
    </row>
    <row r="233" spans="1:7" x14ac:dyDescent="0.3">
      <c r="A233" s="79">
        <v>42584</v>
      </c>
      <c r="B233" s="5" t="s">
        <v>261</v>
      </c>
      <c r="C233" s="5" t="s">
        <v>295</v>
      </c>
      <c r="D233" s="43">
        <v>200</v>
      </c>
      <c r="E233" s="43"/>
      <c r="F233" s="43" t="e">
        <f t="shared" si="3"/>
        <v>#N/A</v>
      </c>
      <c r="G233" s="43"/>
    </row>
    <row r="234" spans="1:7" x14ac:dyDescent="0.3">
      <c r="A234" s="79">
        <v>42584</v>
      </c>
      <c r="B234" s="5" t="s">
        <v>73</v>
      </c>
      <c r="C234" s="5" t="s">
        <v>328</v>
      </c>
      <c r="D234" s="65">
        <v>200</v>
      </c>
      <c r="E234" s="65"/>
      <c r="F234" s="43" t="e">
        <f t="shared" si="3"/>
        <v>#N/A</v>
      </c>
      <c r="G234" s="65"/>
    </row>
    <row r="235" spans="1:7" x14ac:dyDescent="0.3">
      <c r="A235" s="79">
        <v>42584</v>
      </c>
      <c r="B235" s="5" t="s">
        <v>160</v>
      </c>
      <c r="C235" s="5" t="s">
        <v>329</v>
      </c>
      <c r="D235" s="65">
        <v>300</v>
      </c>
      <c r="E235" s="65"/>
      <c r="F235" s="43" t="e">
        <f t="shared" si="3"/>
        <v>#N/A</v>
      </c>
      <c r="G235" s="65"/>
    </row>
    <row r="236" spans="1:7" x14ac:dyDescent="0.3">
      <c r="A236" s="79">
        <v>42584</v>
      </c>
      <c r="B236" s="5" t="s">
        <v>120</v>
      </c>
      <c r="C236" s="5" t="s">
        <v>31</v>
      </c>
      <c r="D236" s="43">
        <v>1000</v>
      </c>
      <c r="E236" s="43"/>
      <c r="F236" s="43" t="e">
        <f t="shared" si="3"/>
        <v>#N/A</v>
      </c>
      <c r="G236" s="43"/>
    </row>
    <row r="237" spans="1:7" x14ac:dyDescent="0.3">
      <c r="A237" s="79">
        <v>42584</v>
      </c>
      <c r="B237" s="5" t="s">
        <v>39</v>
      </c>
      <c r="C237" s="5" t="s">
        <v>31</v>
      </c>
      <c r="D237" s="43">
        <v>3000</v>
      </c>
      <c r="E237" s="43"/>
      <c r="F237" s="43" t="e">
        <f t="shared" si="3"/>
        <v>#N/A</v>
      </c>
      <c r="G237" s="43"/>
    </row>
    <row r="238" spans="1:7" x14ac:dyDescent="0.3">
      <c r="A238" s="79">
        <v>42584</v>
      </c>
      <c r="B238" s="5" t="s">
        <v>162</v>
      </c>
      <c r="C238" s="5" t="s">
        <v>296</v>
      </c>
      <c r="D238" s="43">
        <v>290</v>
      </c>
      <c r="E238" s="43"/>
      <c r="F238" s="43" t="e">
        <f t="shared" si="3"/>
        <v>#N/A</v>
      </c>
      <c r="G238" s="43"/>
    </row>
    <row r="239" spans="1:7" x14ac:dyDescent="0.3">
      <c r="A239" s="79">
        <v>42585</v>
      </c>
      <c r="B239" s="5" t="s">
        <v>304</v>
      </c>
      <c r="C239" s="5" t="s">
        <v>305</v>
      </c>
      <c r="D239" s="43">
        <v>7176</v>
      </c>
      <c r="E239" s="43"/>
      <c r="F239" s="43" t="e">
        <f t="shared" si="3"/>
        <v>#N/A</v>
      </c>
      <c r="G239" s="43"/>
    </row>
    <row r="240" spans="1:7" x14ac:dyDescent="0.3">
      <c r="A240" s="79">
        <v>42585</v>
      </c>
      <c r="B240" s="5" t="s">
        <v>25</v>
      </c>
      <c r="C240" s="5" t="s">
        <v>297</v>
      </c>
      <c r="D240" s="43">
        <v>95</v>
      </c>
      <c r="E240" s="43"/>
      <c r="F240" s="43" t="e">
        <f t="shared" si="3"/>
        <v>#N/A</v>
      </c>
      <c r="G240" s="43"/>
    </row>
    <row r="241" spans="1:7" x14ac:dyDescent="0.3">
      <c r="A241" s="79">
        <v>42585</v>
      </c>
      <c r="B241" s="5" t="s">
        <v>102</v>
      </c>
      <c r="C241" s="5" t="s">
        <v>299</v>
      </c>
      <c r="D241" s="43">
        <v>2000</v>
      </c>
      <c r="E241" s="43"/>
      <c r="F241" s="43" t="e">
        <f t="shared" si="3"/>
        <v>#N/A</v>
      </c>
      <c r="G241" s="43"/>
    </row>
    <row r="242" spans="1:7" x14ac:dyDescent="0.3">
      <c r="A242" s="79">
        <v>42585</v>
      </c>
      <c r="B242" s="5" t="s">
        <v>102</v>
      </c>
      <c r="C242" s="5" t="s">
        <v>300</v>
      </c>
      <c r="D242" s="43">
        <v>2400</v>
      </c>
      <c r="E242" s="43"/>
      <c r="F242" s="43" t="e">
        <f t="shared" si="3"/>
        <v>#N/A</v>
      </c>
      <c r="G242" s="43"/>
    </row>
    <row r="243" spans="1:7" x14ac:dyDescent="0.3">
      <c r="A243" s="79">
        <v>42585</v>
      </c>
      <c r="B243" s="5" t="s">
        <v>122</v>
      </c>
      <c r="C243" s="5" t="s">
        <v>306</v>
      </c>
      <c r="D243" s="43">
        <v>10450</v>
      </c>
      <c r="E243" s="43"/>
      <c r="F243" s="43" t="e">
        <f t="shared" si="3"/>
        <v>#N/A</v>
      </c>
      <c r="G243" s="43"/>
    </row>
    <row r="244" spans="1:7" x14ac:dyDescent="0.3">
      <c r="A244" s="79">
        <v>42585</v>
      </c>
      <c r="B244" s="5" t="s">
        <v>101</v>
      </c>
      <c r="C244" s="5" t="s">
        <v>258</v>
      </c>
      <c r="D244" s="43">
        <v>10000</v>
      </c>
      <c r="E244" s="43"/>
      <c r="F244" s="43" t="e">
        <f t="shared" si="3"/>
        <v>#N/A</v>
      </c>
      <c r="G244" s="43"/>
    </row>
    <row r="245" spans="1:7" x14ac:dyDescent="0.3">
      <c r="A245" s="79">
        <v>42585</v>
      </c>
      <c r="B245" s="85" t="s">
        <v>5</v>
      </c>
      <c r="C245" s="85" t="s">
        <v>301</v>
      </c>
      <c r="D245" s="86">
        <v>100</v>
      </c>
      <c r="E245" s="43"/>
      <c r="F245" s="43" t="e">
        <f t="shared" si="3"/>
        <v>#N/A</v>
      </c>
      <c r="G245" s="43"/>
    </row>
    <row r="246" spans="1:7" x14ac:dyDescent="0.3">
      <c r="A246" s="79">
        <v>42585</v>
      </c>
      <c r="B246" s="5" t="s">
        <v>302</v>
      </c>
      <c r="C246" s="5" t="s">
        <v>303</v>
      </c>
      <c r="D246" s="43">
        <v>4400</v>
      </c>
      <c r="E246" s="43"/>
      <c r="F246" s="43" t="e">
        <f t="shared" si="3"/>
        <v>#N/A</v>
      </c>
      <c r="G246" s="43"/>
    </row>
    <row r="247" spans="1:7" x14ac:dyDescent="0.3">
      <c r="A247" s="79">
        <v>42585</v>
      </c>
      <c r="B247" s="5" t="s">
        <v>66</v>
      </c>
      <c r="C247" s="5" t="s">
        <v>307</v>
      </c>
      <c r="D247" s="43">
        <v>420</v>
      </c>
      <c r="E247" s="43"/>
      <c r="F247" s="43" t="e">
        <f t="shared" si="3"/>
        <v>#N/A</v>
      </c>
      <c r="G247" s="43"/>
    </row>
    <row r="248" spans="1:7" x14ac:dyDescent="0.3">
      <c r="A248" s="79">
        <v>42585</v>
      </c>
      <c r="B248" s="5" t="s">
        <v>10</v>
      </c>
      <c r="C248" s="5" t="s">
        <v>308</v>
      </c>
      <c r="D248" s="43"/>
      <c r="E248" s="43">
        <v>40</v>
      </c>
      <c r="F248" s="43" t="e">
        <f t="shared" si="3"/>
        <v>#N/A</v>
      </c>
      <c r="G248" s="43"/>
    </row>
    <row r="249" spans="1:7" x14ac:dyDescent="0.3">
      <c r="A249" s="79">
        <v>42585</v>
      </c>
      <c r="B249" s="5" t="s">
        <v>102</v>
      </c>
      <c r="C249" s="5" t="s">
        <v>309</v>
      </c>
      <c r="D249" s="43">
        <v>12000</v>
      </c>
      <c r="E249" s="43"/>
      <c r="F249" s="43" t="e">
        <f t="shared" si="3"/>
        <v>#N/A</v>
      </c>
      <c r="G249" s="43"/>
    </row>
    <row r="250" spans="1:7" x14ac:dyDescent="0.3">
      <c r="A250" s="79">
        <v>42586</v>
      </c>
      <c r="B250" s="5" t="s">
        <v>164</v>
      </c>
      <c r="C250" s="5" t="s">
        <v>31</v>
      </c>
      <c r="D250" s="43">
        <v>5000</v>
      </c>
      <c r="E250" s="43"/>
      <c r="F250" s="43" t="e">
        <f t="shared" si="3"/>
        <v>#N/A</v>
      </c>
      <c r="G250" s="43"/>
    </row>
    <row r="251" spans="1:7" x14ac:dyDescent="0.3">
      <c r="A251" s="79">
        <v>42586</v>
      </c>
      <c r="B251" s="5" t="s">
        <v>120</v>
      </c>
      <c r="C251" s="5" t="s">
        <v>112</v>
      </c>
      <c r="D251" s="43">
        <v>3990</v>
      </c>
      <c r="E251" s="43"/>
      <c r="F251" s="43" t="e">
        <f t="shared" si="3"/>
        <v>#N/A</v>
      </c>
      <c r="G251" s="43"/>
    </row>
    <row r="252" spans="1:7" x14ac:dyDescent="0.3">
      <c r="A252" s="79">
        <v>42586</v>
      </c>
      <c r="B252" s="5" t="s">
        <v>74</v>
      </c>
      <c r="C252" s="5" t="s">
        <v>312</v>
      </c>
      <c r="D252" s="43">
        <v>3000</v>
      </c>
      <c r="E252" s="43"/>
      <c r="F252" s="43" t="e">
        <f t="shared" si="3"/>
        <v>#N/A</v>
      </c>
      <c r="G252" s="43"/>
    </row>
    <row r="253" spans="1:7" x14ac:dyDescent="0.3">
      <c r="A253" s="79">
        <v>42586</v>
      </c>
      <c r="B253" s="5" t="s">
        <v>42</v>
      </c>
      <c r="C253" s="5" t="s">
        <v>31</v>
      </c>
      <c r="D253" s="43">
        <v>1500</v>
      </c>
      <c r="E253" s="43"/>
      <c r="F253" s="43" t="e">
        <f t="shared" si="3"/>
        <v>#N/A</v>
      </c>
      <c r="G253" s="43"/>
    </row>
    <row r="254" spans="1:7" x14ac:dyDescent="0.3">
      <c r="A254" s="79">
        <v>42586</v>
      </c>
      <c r="B254" s="5" t="s">
        <v>42</v>
      </c>
      <c r="C254" s="5" t="s">
        <v>31</v>
      </c>
      <c r="D254" s="43">
        <v>1000</v>
      </c>
      <c r="E254" s="43"/>
      <c r="F254" s="43" t="e">
        <f t="shared" si="3"/>
        <v>#N/A</v>
      </c>
      <c r="G254" s="43"/>
    </row>
    <row r="255" spans="1:7" x14ac:dyDescent="0.3">
      <c r="A255" s="79">
        <v>42586</v>
      </c>
      <c r="B255" s="5" t="s">
        <v>29</v>
      </c>
      <c r="C255" s="5" t="s">
        <v>31</v>
      </c>
      <c r="D255" s="43">
        <v>2000</v>
      </c>
      <c r="E255" s="43"/>
      <c r="F255" s="43" t="e">
        <f t="shared" si="3"/>
        <v>#N/A</v>
      </c>
      <c r="G255" s="43"/>
    </row>
    <row r="256" spans="1:7" x14ac:dyDescent="0.3">
      <c r="A256" s="79">
        <v>42586</v>
      </c>
      <c r="B256" s="5" t="s">
        <v>120</v>
      </c>
      <c r="C256" s="5" t="s">
        <v>31</v>
      </c>
      <c r="D256" s="43">
        <v>2000</v>
      </c>
      <c r="E256" s="43"/>
      <c r="F256" s="43" t="e">
        <f t="shared" si="3"/>
        <v>#N/A</v>
      </c>
      <c r="G256" s="43"/>
    </row>
    <row r="257" spans="1:7" x14ac:dyDescent="0.3">
      <c r="A257" s="79">
        <v>42586</v>
      </c>
      <c r="B257" s="5" t="s">
        <v>154</v>
      </c>
      <c r="C257" s="5" t="s">
        <v>324</v>
      </c>
      <c r="D257" s="43">
        <v>40000</v>
      </c>
      <c r="E257" s="43"/>
      <c r="F257" s="43" t="e">
        <f t="shared" si="3"/>
        <v>#N/A</v>
      </c>
      <c r="G257" s="43"/>
    </row>
    <row r="258" spans="1:7" x14ac:dyDescent="0.3">
      <c r="A258" s="79">
        <v>42590</v>
      </c>
      <c r="B258" s="63" t="s">
        <v>154</v>
      </c>
      <c r="C258" s="63" t="s">
        <v>325</v>
      </c>
      <c r="D258" s="64"/>
      <c r="E258" s="64">
        <v>3500</v>
      </c>
      <c r="F258" s="43" t="e">
        <f t="shared" si="3"/>
        <v>#N/A</v>
      </c>
      <c r="G258" s="43"/>
    </row>
    <row r="259" spans="1:7" x14ac:dyDescent="0.3">
      <c r="A259" s="79">
        <v>42586</v>
      </c>
      <c r="B259" s="5" t="s">
        <v>154</v>
      </c>
      <c r="C259" s="5" t="s">
        <v>313</v>
      </c>
      <c r="D259" s="43">
        <v>600</v>
      </c>
      <c r="E259" s="43"/>
      <c r="F259" s="43" t="e">
        <f t="shared" ref="F259:F322" si="4">F258-D259+E259</f>
        <v>#N/A</v>
      </c>
      <c r="G259" s="43"/>
    </row>
    <row r="260" spans="1:7" x14ac:dyDescent="0.3">
      <c r="A260" s="79">
        <v>42586</v>
      </c>
      <c r="B260" s="5" t="s">
        <v>5</v>
      </c>
      <c r="C260" s="5" t="s">
        <v>31</v>
      </c>
      <c r="D260" s="43">
        <v>20000</v>
      </c>
      <c r="E260" s="43"/>
      <c r="F260" s="43" t="e">
        <f t="shared" si="4"/>
        <v>#N/A</v>
      </c>
      <c r="G260" s="43"/>
    </row>
    <row r="261" spans="1:7" x14ac:dyDescent="0.3">
      <c r="A261" s="79">
        <v>42586</v>
      </c>
      <c r="B261" s="63" t="s">
        <v>5</v>
      </c>
      <c r="C261" s="63" t="s">
        <v>314</v>
      </c>
      <c r="D261" s="64"/>
      <c r="E261" s="64">
        <v>4000</v>
      </c>
      <c r="F261" s="43" t="e">
        <f t="shared" si="4"/>
        <v>#N/A</v>
      </c>
      <c r="G261" s="43"/>
    </row>
    <row r="262" spans="1:7" x14ac:dyDescent="0.3">
      <c r="A262" s="79">
        <v>42587</v>
      </c>
      <c r="B262" s="5" t="s">
        <v>71</v>
      </c>
      <c r="C262" s="5" t="s">
        <v>315</v>
      </c>
      <c r="D262" s="43">
        <v>1500</v>
      </c>
      <c r="E262" s="43"/>
      <c r="F262" s="43" t="e">
        <f t="shared" si="4"/>
        <v>#N/A</v>
      </c>
      <c r="G262" s="43"/>
    </row>
    <row r="263" spans="1:7" x14ac:dyDescent="0.3">
      <c r="A263" s="79">
        <v>42587</v>
      </c>
      <c r="B263" s="5" t="s">
        <v>25</v>
      </c>
      <c r="C263" s="5" t="s">
        <v>139</v>
      </c>
      <c r="D263" s="43">
        <f>10+14</f>
        <v>24</v>
      </c>
      <c r="E263" s="43"/>
      <c r="F263" s="43" t="e">
        <f t="shared" si="4"/>
        <v>#N/A</v>
      </c>
      <c r="G263" s="43"/>
    </row>
    <row r="264" spans="1:7" x14ac:dyDescent="0.3">
      <c r="A264" s="79">
        <v>42587</v>
      </c>
      <c r="B264" s="5" t="s">
        <v>25</v>
      </c>
      <c r="C264" s="5" t="s">
        <v>316</v>
      </c>
      <c r="D264" s="43">
        <v>530</v>
      </c>
      <c r="E264" s="43"/>
      <c r="F264" s="43" t="e">
        <f t="shared" si="4"/>
        <v>#N/A</v>
      </c>
      <c r="G264" s="43"/>
    </row>
    <row r="265" spans="1:7" x14ac:dyDescent="0.3">
      <c r="A265" s="79">
        <v>42587</v>
      </c>
      <c r="B265" s="5" t="s">
        <v>25</v>
      </c>
      <c r="C265" s="5" t="s">
        <v>317</v>
      </c>
      <c r="D265" s="43">
        <f>220+120</f>
        <v>340</v>
      </c>
      <c r="E265" s="43"/>
      <c r="F265" s="43" t="e">
        <f t="shared" si="4"/>
        <v>#N/A</v>
      </c>
      <c r="G265" s="43"/>
    </row>
    <row r="266" spans="1:7" x14ac:dyDescent="0.3">
      <c r="A266" s="79">
        <v>42587</v>
      </c>
      <c r="B266" s="5" t="s">
        <v>114</v>
      </c>
      <c r="C266" s="5" t="s">
        <v>318</v>
      </c>
      <c r="D266" s="43">
        <v>18300</v>
      </c>
      <c r="E266" s="43"/>
      <c r="F266" s="43" t="e">
        <f t="shared" si="4"/>
        <v>#N/A</v>
      </c>
      <c r="G266" s="43"/>
    </row>
    <row r="267" spans="1:7" x14ac:dyDescent="0.3">
      <c r="A267" s="79">
        <v>42587</v>
      </c>
      <c r="B267" s="5" t="s">
        <v>25</v>
      </c>
      <c r="C267" s="5" t="s">
        <v>319</v>
      </c>
      <c r="D267" s="43">
        <v>1400</v>
      </c>
      <c r="E267" s="43"/>
      <c r="F267" s="43" t="e">
        <f t="shared" si="4"/>
        <v>#N/A</v>
      </c>
      <c r="G267" s="43"/>
    </row>
    <row r="268" spans="1:7" x14ac:dyDescent="0.3">
      <c r="A268" s="79">
        <v>42587</v>
      </c>
      <c r="B268" s="5" t="s">
        <v>22</v>
      </c>
      <c r="C268" s="5" t="s">
        <v>320</v>
      </c>
      <c r="D268" s="43">
        <v>10000</v>
      </c>
      <c r="E268" s="43"/>
      <c r="F268" s="43" t="e">
        <f t="shared" si="4"/>
        <v>#N/A</v>
      </c>
      <c r="G268" s="43"/>
    </row>
    <row r="269" spans="1:7" x14ac:dyDescent="0.3">
      <c r="A269" s="79">
        <v>42587</v>
      </c>
      <c r="B269" s="5" t="s">
        <v>106</v>
      </c>
      <c r="C269" s="5" t="s">
        <v>15</v>
      </c>
      <c r="D269" s="43">
        <v>500</v>
      </c>
      <c r="E269" s="43"/>
      <c r="F269" s="43" t="e">
        <f t="shared" si="4"/>
        <v>#N/A</v>
      </c>
      <c r="G269" s="43"/>
    </row>
    <row r="270" spans="1:7" x14ac:dyDescent="0.3">
      <c r="A270" s="79">
        <v>42587</v>
      </c>
      <c r="B270" s="87" t="s">
        <v>117</v>
      </c>
      <c r="C270" s="87" t="s">
        <v>321</v>
      </c>
      <c r="D270" s="88">
        <v>70</v>
      </c>
      <c r="E270" s="88"/>
      <c r="F270" s="43" t="e">
        <f t="shared" si="4"/>
        <v>#N/A</v>
      </c>
      <c r="G270" s="88"/>
    </row>
    <row r="271" spans="1:7" x14ac:dyDescent="0.3">
      <c r="A271" s="79">
        <v>42587</v>
      </c>
      <c r="B271" s="5" t="s">
        <v>322</v>
      </c>
      <c r="C271" s="5" t="s">
        <v>323</v>
      </c>
      <c r="D271" s="65">
        <v>9000</v>
      </c>
      <c r="E271" s="65"/>
      <c r="F271" s="43" t="e">
        <f t="shared" si="4"/>
        <v>#N/A</v>
      </c>
      <c r="G271" s="65"/>
    </row>
    <row r="272" spans="1:7" x14ac:dyDescent="0.3">
      <c r="A272" s="79">
        <v>42590</v>
      </c>
      <c r="B272" s="5" t="s">
        <v>154</v>
      </c>
      <c r="C272" s="5" t="s">
        <v>326</v>
      </c>
      <c r="D272" s="65">
        <v>5000</v>
      </c>
      <c r="E272" s="65"/>
      <c r="F272" s="43" t="e">
        <f t="shared" si="4"/>
        <v>#N/A</v>
      </c>
      <c r="G272" s="65"/>
    </row>
    <row r="273" spans="1:7" x14ac:dyDescent="0.3">
      <c r="A273" s="79">
        <v>42590</v>
      </c>
      <c r="B273" s="5" t="s">
        <v>162</v>
      </c>
      <c r="C273" s="5" t="s">
        <v>327</v>
      </c>
      <c r="D273" s="65">
        <v>3000</v>
      </c>
      <c r="E273" s="65"/>
      <c r="F273" s="43" t="e">
        <f t="shared" si="4"/>
        <v>#N/A</v>
      </c>
      <c r="G273" s="65"/>
    </row>
    <row r="274" spans="1:7" x14ac:dyDescent="0.3">
      <c r="A274" s="79">
        <v>42590</v>
      </c>
      <c r="B274" s="5" t="s">
        <v>120</v>
      </c>
      <c r="C274" s="5" t="s">
        <v>331</v>
      </c>
      <c r="D274" s="65">
        <v>1000</v>
      </c>
      <c r="E274" s="65"/>
      <c r="F274" s="43" t="e">
        <f t="shared" si="4"/>
        <v>#N/A</v>
      </c>
      <c r="G274" s="65"/>
    </row>
    <row r="275" spans="1:7" x14ac:dyDescent="0.3">
      <c r="A275" s="79">
        <v>42590</v>
      </c>
      <c r="B275" s="5" t="s">
        <v>25</v>
      </c>
      <c r="C275" s="5" t="s">
        <v>333</v>
      </c>
      <c r="D275" s="65">
        <f>360+180</f>
        <v>540</v>
      </c>
      <c r="E275" s="65"/>
      <c r="F275" s="43" t="e">
        <f t="shared" si="4"/>
        <v>#N/A</v>
      </c>
      <c r="G275" s="65"/>
    </row>
    <row r="276" spans="1:7" x14ac:dyDescent="0.3">
      <c r="A276" s="79">
        <v>42590</v>
      </c>
      <c r="B276" s="5" t="s">
        <v>28</v>
      </c>
      <c r="C276" s="5" t="s">
        <v>332</v>
      </c>
      <c r="D276" s="65">
        <v>10000</v>
      </c>
      <c r="E276" s="65"/>
      <c r="F276" s="43" t="e">
        <f t="shared" si="4"/>
        <v>#N/A</v>
      </c>
      <c r="G276" s="65"/>
    </row>
    <row r="277" spans="1:7" x14ac:dyDescent="0.3">
      <c r="A277" s="79">
        <v>42590</v>
      </c>
      <c r="B277" s="5" t="s">
        <v>5</v>
      </c>
      <c r="C277" s="5" t="s">
        <v>201</v>
      </c>
      <c r="D277" s="65">
        <v>1000</v>
      </c>
      <c r="E277" s="65"/>
      <c r="F277" s="43" t="e">
        <f t="shared" si="4"/>
        <v>#N/A</v>
      </c>
      <c r="G277" s="65"/>
    </row>
    <row r="278" spans="1:7" x14ac:dyDescent="0.3">
      <c r="A278" s="79">
        <v>42590</v>
      </c>
      <c r="B278" s="73" t="s">
        <v>25</v>
      </c>
      <c r="C278" s="73" t="s">
        <v>335</v>
      </c>
      <c r="D278" s="58">
        <v>234</v>
      </c>
      <c r="E278" s="58"/>
      <c r="F278" s="43" t="e">
        <f t="shared" si="4"/>
        <v>#N/A</v>
      </c>
      <c r="G278" s="65"/>
    </row>
    <row r="279" spans="1:7" x14ac:dyDescent="0.3">
      <c r="A279" s="79">
        <v>42590</v>
      </c>
      <c r="B279" s="5" t="s">
        <v>25</v>
      </c>
      <c r="C279" s="5" t="s">
        <v>334</v>
      </c>
      <c r="D279" s="65">
        <v>130</v>
      </c>
      <c r="E279" s="65"/>
      <c r="F279" s="43" t="e">
        <f t="shared" si="4"/>
        <v>#N/A</v>
      </c>
      <c r="G279" s="65"/>
    </row>
    <row r="280" spans="1:7" x14ac:dyDescent="0.3">
      <c r="A280" s="70">
        <v>42591</v>
      </c>
      <c r="B280" s="761" t="s">
        <v>271</v>
      </c>
      <c r="C280" s="762"/>
      <c r="D280" s="71"/>
      <c r="E280" s="72">
        <v>275000</v>
      </c>
      <c r="F280" s="43" t="e">
        <f t="shared" si="4"/>
        <v>#N/A</v>
      </c>
      <c r="G280" s="65"/>
    </row>
    <row r="281" spans="1:7" x14ac:dyDescent="0.3">
      <c r="A281" s="79">
        <v>42591</v>
      </c>
      <c r="B281" s="5" t="s">
        <v>340</v>
      </c>
      <c r="C281" s="5" t="s">
        <v>341</v>
      </c>
      <c r="D281" s="65">
        <v>100000</v>
      </c>
      <c r="E281" s="65"/>
      <c r="F281" s="43" t="e">
        <f t="shared" si="4"/>
        <v>#N/A</v>
      </c>
      <c r="G281" s="65"/>
    </row>
    <row r="282" spans="1:7" x14ac:dyDescent="0.3">
      <c r="A282" s="79">
        <v>42591</v>
      </c>
      <c r="B282" s="5" t="s">
        <v>106</v>
      </c>
      <c r="C282" s="5" t="s">
        <v>346</v>
      </c>
      <c r="D282" s="65">
        <v>46000</v>
      </c>
      <c r="E282" s="65"/>
      <c r="F282" s="43" t="e">
        <f t="shared" si="4"/>
        <v>#N/A</v>
      </c>
      <c r="G282" s="65"/>
    </row>
    <row r="283" spans="1:7" x14ac:dyDescent="0.3">
      <c r="A283" s="79">
        <v>42591</v>
      </c>
      <c r="B283" s="5" t="s">
        <v>120</v>
      </c>
      <c r="C283" s="5" t="s">
        <v>344</v>
      </c>
      <c r="D283" s="65">
        <v>1000</v>
      </c>
      <c r="E283" s="65"/>
      <c r="F283" s="43" t="e">
        <f t="shared" si="4"/>
        <v>#N/A</v>
      </c>
      <c r="G283" s="65"/>
    </row>
    <row r="284" spans="1:7" x14ac:dyDescent="0.3">
      <c r="A284" s="79">
        <v>42591</v>
      </c>
      <c r="B284" s="5" t="s">
        <v>29</v>
      </c>
      <c r="C284" s="5" t="s">
        <v>342</v>
      </c>
      <c r="D284" s="65">
        <v>2000</v>
      </c>
      <c r="E284" s="65"/>
      <c r="F284" s="43" t="e">
        <f t="shared" si="4"/>
        <v>#N/A</v>
      </c>
      <c r="G284" s="65"/>
    </row>
    <row r="285" spans="1:7" x14ac:dyDescent="0.3">
      <c r="A285" s="79">
        <v>42591</v>
      </c>
      <c r="B285" s="63" t="s">
        <v>5</v>
      </c>
      <c r="C285" s="63" t="s">
        <v>314</v>
      </c>
      <c r="D285" s="64"/>
      <c r="E285" s="64">
        <v>500</v>
      </c>
      <c r="F285" s="43" t="e">
        <f t="shared" si="4"/>
        <v>#N/A</v>
      </c>
      <c r="G285" s="65"/>
    </row>
    <row r="286" spans="1:7" x14ac:dyDescent="0.3">
      <c r="A286" s="79">
        <v>42591</v>
      </c>
      <c r="B286" s="63" t="s">
        <v>5</v>
      </c>
      <c r="C286" s="63" t="s">
        <v>314</v>
      </c>
      <c r="D286" s="64"/>
      <c r="E286" s="64">
        <v>700</v>
      </c>
      <c r="F286" s="43" t="e">
        <f t="shared" si="4"/>
        <v>#N/A</v>
      </c>
      <c r="G286" s="65"/>
    </row>
    <row r="287" spans="1:7" x14ac:dyDescent="0.3">
      <c r="A287" s="79">
        <v>42591</v>
      </c>
      <c r="B287" s="89"/>
      <c r="C287" s="89" t="s">
        <v>350</v>
      </c>
      <c r="D287" s="90">
        <v>5080</v>
      </c>
      <c r="E287" s="65"/>
      <c r="F287" s="43" t="e">
        <f t="shared" si="4"/>
        <v>#N/A</v>
      </c>
      <c r="G287" s="65"/>
    </row>
    <row r="288" spans="1:7" x14ac:dyDescent="0.3">
      <c r="A288" s="79">
        <v>42591</v>
      </c>
      <c r="B288" s="5" t="s">
        <v>25</v>
      </c>
      <c r="C288" s="5" t="s">
        <v>343</v>
      </c>
      <c r="D288" s="65">
        <v>400</v>
      </c>
      <c r="E288" s="65"/>
      <c r="F288" s="43" t="e">
        <f t="shared" si="4"/>
        <v>#N/A</v>
      </c>
      <c r="G288" s="65"/>
    </row>
    <row r="289" spans="1:7" x14ac:dyDescent="0.3">
      <c r="A289" s="79">
        <v>42591</v>
      </c>
      <c r="B289" s="5" t="s">
        <v>28</v>
      </c>
      <c r="C289" s="5" t="s">
        <v>31</v>
      </c>
      <c r="D289" s="65">
        <v>15000</v>
      </c>
      <c r="E289" s="43"/>
      <c r="F289" s="43" t="e">
        <f t="shared" si="4"/>
        <v>#N/A</v>
      </c>
      <c r="G289" s="43"/>
    </row>
    <row r="290" spans="1:7" x14ac:dyDescent="0.3">
      <c r="A290" s="79">
        <v>42591</v>
      </c>
      <c r="B290" s="63" t="s">
        <v>5</v>
      </c>
      <c r="C290" s="63" t="s">
        <v>345</v>
      </c>
      <c r="D290" s="64"/>
      <c r="E290" s="64">
        <v>1500</v>
      </c>
      <c r="F290" s="43" t="e">
        <f t="shared" si="4"/>
        <v>#N/A</v>
      </c>
      <c r="G290" s="43"/>
    </row>
    <row r="291" spans="1:7" x14ac:dyDescent="0.3">
      <c r="A291" s="79">
        <v>42591</v>
      </c>
      <c r="B291" s="63" t="s">
        <v>5</v>
      </c>
      <c r="C291" s="63" t="s">
        <v>345</v>
      </c>
      <c r="D291" s="64"/>
      <c r="E291" s="64">
        <v>1000</v>
      </c>
      <c r="F291" s="43" t="e">
        <f t="shared" si="4"/>
        <v>#N/A</v>
      </c>
      <c r="G291" s="43"/>
    </row>
    <row r="292" spans="1:7" x14ac:dyDescent="0.3">
      <c r="A292" s="79">
        <v>42591</v>
      </c>
      <c r="B292" s="5" t="s">
        <v>247</v>
      </c>
      <c r="C292" s="5" t="s">
        <v>348</v>
      </c>
      <c r="D292" s="43">
        <f>520+170</f>
        <v>690</v>
      </c>
      <c r="E292" s="43"/>
      <c r="F292" s="43" t="e">
        <f t="shared" si="4"/>
        <v>#N/A</v>
      </c>
      <c r="G292" s="43"/>
    </row>
    <row r="293" spans="1:7" x14ac:dyDescent="0.3">
      <c r="A293" s="79">
        <v>42591</v>
      </c>
      <c r="B293" s="5" t="s">
        <v>42</v>
      </c>
      <c r="C293" s="5" t="s">
        <v>33</v>
      </c>
      <c r="D293" s="65">
        <v>700</v>
      </c>
      <c r="E293" s="65"/>
      <c r="F293" s="43" t="e">
        <f t="shared" si="4"/>
        <v>#N/A</v>
      </c>
      <c r="G293" s="43"/>
    </row>
    <row r="294" spans="1:7" x14ac:dyDescent="0.3">
      <c r="A294" s="79">
        <v>42592</v>
      </c>
      <c r="B294" s="5" t="s">
        <v>122</v>
      </c>
      <c r="C294" s="5" t="s">
        <v>347</v>
      </c>
      <c r="D294" s="43">
        <v>5000</v>
      </c>
      <c r="E294" s="43"/>
      <c r="F294" s="43" t="e">
        <f t="shared" si="4"/>
        <v>#N/A</v>
      </c>
      <c r="G294" s="43"/>
    </row>
    <row r="295" spans="1:7" x14ac:dyDescent="0.3">
      <c r="A295" s="79">
        <v>42592</v>
      </c>
      <c r="B295" s="5" t="s">
        <v>16</v>
      </c>
      <c r="C295" s="5" t="s">
        <v>349</v>
      </c>
      <c r="D295" s="43">
        <v>500</v>
      </c>
      <c r="E295" s="43"/>
      <c r="F295" s="43" t="e">
        <f t="shared" si="4"/>
        <v>#N/A</v>
      </c>
      <c r="G295" s="43"/>
    </row>
    <row r="296" spans="1:7" ht="37.5" x14ac:dyDescent="0.3">
      <c r="A296" s="79">
        <v>42592</v>
      </c>
      <c r="B296" s="89" t="s">
        <v>302</v>
      </c>
      <c r="C296" s="91" t="s">
        <v>358</v>
      </c>
      <c r="D296" s="90">
        <v>500</v>
      </c>
      <c r="E296" s="43"/>
      <c r="F296" s="43" t="e">
        <f t="shared" si="4"/>
        <v>#N/A</v>
      </c>
      <c r="G296" s="43"/>
    </row>
    <row r="297" spans="1:7" x14ac:dyDescent="0.3">
      <c r="A297" s="79">
        <v>42592</v>
      </c>
      <c r="B297" s="5" t="s">
        <v>93</v>
      </c>
      <c r="C297" s="5" t="s">
        <v>351</v>
      </c>
      <c r="D297" s="43">
        <v>5000</v>
      </c>
      <c r="E297" s="43"/>
      <c r="F297" s="43" t="e">
        <f t="shared" si="4"/>
        <v>#N/A</v>
      </c>
      <c r="G297" s="43"/>
    </row>
    <row r="298" spans="1:7" x14ac:dyDescent="0.3">
      <c r="A298" s="79">
        <v>42592</v>
      </c>
      <c r="B298" s="5" t="s">
        <v>164</v>
      </c>
      <c r="C298" s="5" t="s">
        <v>294</v>
      </c>
      <c r="D298" s="43">
        <v>5600</v>
      </c>
      <c r="E298" s="43"/>
      <c r="F298" s="43" t="e">
        <f t="shared" si="4"/>
        <v>#N/A</v>
      </c>
      <c r="G298" s="43"/>
    </row>
    <row r="299" spans="1:7" x14ac:dyDescent="0.3">
      <c r="A299" s="79">
        <v>42592</v>
      </c>
      <c r="B299" s="5" t="s">
        <v>25</v>
      </c>
      <c r="C299" s="5" t="s">
        <v>352</v>
      </c>
      <c r="D299" s="43">
        <v>350</v>
      </c>
      <c r="E299" s="43"/>
      <c r="F299" s="43" t="e">
        <f t="shared" si="4"/>
        <v>#N/A</v>
      </c>
      <c r="G299" s="43"/>
    </row>
    <row r="300" spans="1:7" x14ac:dyDescent="0.3">
      <c r="A300" s="79">
        <v>42592</v>
      </c>
      <c r="B300" s="5" t="s">
        <v>230</v>
      </c>
      <c r="C300" s="5" t="s">
        <v>31</v>
      </c>
      <c r="D300" s="43">
        <v>500</v>
      </c>
      <c r="E300" s="43"/>
      <c r="F300" s="43" t="e">
        <f t="shared" si="4"/>
        <v>#N/A</v>
      </c>
      <c r="G300" s="43"/>
    </row>
    <row r="301" spans="1:7" x14ac:dyDescent="0.3">
      <c r="A301" s="79">
        <v>42592</v>
      </c>
      <c r="B301" s="5" t="s">
        <v>39</v>
      </c>
      <c r="C301" s="5" t="s">
        <v>353</v>
      </c>
      <c r="D301" s="43">
        <v>600</v>
      </c>
      <c r="E301" s="43"/>
      <c r="F301" s="43" t="e">
        <f t="shared" si="4"/>
        <v>#N/A</v>
      </c>
      <c r="G301" s="43"/>
    </row>
    <row r="302" spans="1:7" x14ac:dyDescent="0.3">
      <c r="A302" s="79">
        <v>42592</v>
      </c>
      <c r="B302" s="5" t="s">
        <v>354</v>
      </c>
      <c r="C302" s="5" t="s">
        <v>355</v>
      </c>
      <c r="D302" s="43">
        <v>50</v>
      </c>
      <c r="E302" s="43"/>
      <c r="F302" s="43" t="e">
        <f t="shared" si="4"/>
        <v>#N/A</v>
      </c>
      <c r="G302" s="43"/>
    </row>
    <row r="303" spans="1:7" x14ac:dyDescent="0.3">
      <c r="A303" s="79">
        <v>42593</v>
      </c>
      <c r="B303" s="5" t="s">
        <v>39</v>
      </c>
      <c r="C303" s="5" t="s">
        <v>359</v>
      </c>
      <c r="D303" s="43">
        <v>2940</v>
      </c>
      <c r="E303" s="43"/>
      <c r="F303" s="43" t="e">
        <f t="shared" si="4"/>
        <v>#N/A</v>
      </c>
      <c r="G303" s="43"/>
    </row>
    <row r="304" spans="1:7" x14ac:dyDescent="0.3">
      <c r="A304" s="79">
        <v>42593</v>
      </c>
      <c r="B304" s="5" t="s">
        <v>39</v>
      </c>
      <c r="C304" s="5" t="s">
        <v>31</v>
      </c>
      <c r="D304" s="43">
        <v>1000</v>
      </c>
      <c r="E304" s="43"/>
      <c r="F304" s="43" t="e">
        <f t="shared" si="4"/>
        <v>#N/A</v>
      </c>
      <c r="G304" s="43"/>
    </row>
    <row r="305" spans="1:11" x14ac:dyDescent="0.3">
      <c r="A305" s="79">
        <v>42593</v>
      </c>
      <c r="B305" s="5" t="s">
        <v>119</v>
      </c>
      <c r="C305" s="5" t="s">
        <v>360</v>
      </c>
      <c r="D305" s="43">
        <v>2000</v>
      </c>
      <c r="E305" s="43"/>
      <c r="F305" s="43" t="e">
        <f t="shared" si="4"/>
        <v>#N/A</v>
      </c>
      <c r="G305" s="43"/>
    </row>
    <row r="306" spans="1:11" x14ac:dyDescent="0.3">
      <c r="A306" s="79">
        <v>42593</v>
      </c>
      <c r="B306" s="5" t="s">
        <v>74</v>
      </c>
      <c r="C306" s="5" t="s">
        <v>361</v>
      </c>
      <c r="D306" s="43">
        <v>100</v>
      </c>
      <c r="E306" s="43"/>
      <c r="F306" s="43" t="e">
        <f t="shared" si="4"/>
        <v>#N/A</v>
      </c>
      <c r="G306" s="43"/>
    </row>
    <row r="307" spans="1:11" x14ac:dyDescent="0.3">
      <c r="A307" s="79">
        <v>42593</v>
      </c>
      <c r="B307" s="5" t="s">
        <v>154</v>
      </c>
      <c r="C307" s="5" t="s">
        <v>362</v>
      </c>
      <c r="D307" s="43">
        <v>2000</v>
      </c>
      <c r="E307" s="43"/>
      <c r="F307" s="43" t="e">
        <f t="shared" si="4"/>
        <v>#N/A</v>
      </c>
      <c r="G307" s="43"/>
    </row>
    <row r="308" spans="1:11" x14ac:dyDescent="0.3">
      <c r="A308" s="79">
        <v>42593</v>
      </c>
      <c r="B308" s="5" t="s">
        <v>154</v>
      </c>
      <c r="C308" s="5" t="s">
        <v>363</v>
      </c>
      <c r="D308" s="43">
        <v>25000</v>
      </c>
      <c r="E308" s="43"/>
      <c r="F308" s="43" t="e">
        <f t="shared" si="4"/>
        <v>#N/A</v>
      </c>
      <c r="G308" s="43"/>
    </row>
    <row r="309" spans="1:11" x14ac:dyDescent="0.3">
      <c r="A309" s="79">
        <v>42593</v>
      </c>
      <c r="B309" s="5" t="s">
        <v>4</v>
      </c>
      <c r="C309" s="5" t="s">
        <v>364</v>
      </c>
      <c r="D309" s="43">
        <v>15000</v>
      </c>
      <c r="E309" s="43"/>
      <c r="F309" s="43" t="e">
        <f t="shared" si="4"/>
        <v>#N/A</v>
      </c>
      <c r="G309" s="43"/>
      <c r="I309" s="768"/>
      <c r="J309" s="768"/>
      <c r="K309" s="768"/>
    </row>
    <row r="310" spans="1:11" x14ac:dyDescent="0.3">
      <c r="A310" s="79">
        <v>42593</v>
      </c>
      <c r="B310" s="5" t="s">
        <v>120</v>
      </c>
      <c r="C310" s="5" t="s">
        <v>377</v>
      </c>
      <c r="D310" s="43">
        <v>1000</v>
      </c>
      <c r="E310" s="43"/>
      <c r="F310" s="43" t="e">
        <f t="shared" si="4"/>
        <v>#N/A</v>
      </c>
      <c r="G310" s="43"/>
      <c r="I310" s="769"/>
      <c r="J310" s="770"/>
      <c r="K310" s="5"/>
    </row>
    <row r="311" spans="1:11" x14ac:dyDescent="0.3">
      <c r="A311" s="79">
        <v>42593</v>
      </c>
      <c r="B311" s="5" t="s">
        <v>53</v>
      </c>
      <c r="C311" s="5" t="s">
        <v>376</v>
      </c>
      <c r="D311" s="43">
        <v>2030</v>
      </c>
      <c r="E311" s="43"/>
      <c r="F311" s="43" t="e">
        <f t="shared" si="4"/>
        <v>#N/A</v>
      </c>
      <c r="G311" s="43"/>
      <c r="I311" s="769"/>
      <c r="J311" s="770"/>
      <c r="K311" s="43"/>
    </row>
    <row r="312" spans="1:11" ht="37.5" x14ac:dyDescent="0.3">
      <c r="A312" s="79">
        <v>42593</v>
      </c>
      <c r="B312" s="5" t="s">
        <v>120</v>
      </c>
      <c r="C312" s="92" t="s">
        <v>365</v>
      </c>
      <c r="D312" s="43">
        <v>1500</v>
      </c>
      <c r="E312" s="43"/>
      <c r="F312" s="43" t="e">
        <f t="shared" si="4"/>
        <v>#N/A</v>
      </c>
      <c r="G312" s="43"/>
      <c r="I312" s="771"/>
      <c r="J312" s="771"/>
      <c r="K312" s="43"/>
    </row>
    <row r="313" spans="1:11" x14ac:dyDescent="0.3">
      <c r="A313" s="79">
        <v>42593</v>
      </c>
      <c r="B313" s="5" t="s">
        <v>25</v>
      </c>
      <c r="C313" s="5" t="s">
        <v>366</v>
      </c>
      <c r="D313" s="43">
        <v>120</v>
      </c>
      <c r="E313" s="43"/>
      <c r="F313" s="43" t="e">
        <f t="shared" si="4"/>
        <v>#N/A</v>
      </c>
      <c r="G313" s="43"/>
      <c r="I313" s="771"/>
      <c r="J313" s="771"/>
      <c r="K313" s="43"/>
    </row>
    <row r="314" spans="1:11" x14ac:dyDescent="0.3">
      <c r="A314" s="79">
        <v>42593</v>
      </c>
      <c r="B314" s="5" t="s">
        <v>367</v>
      </c>
      <c r="C314" s="5" t="s">
        <v>368</v>
      </c>
      <c r="D314" s="43">
        <v>25000</v>
      </c>
      <c r="E314" s="43"/>
      <c r="F314" s="43" t="e">
        <f t="shared" si="4"/>
        <v>#N/A</v>
      </c>
      <c r="G314" s="43"/>
      <c r="I314" s="43"/>
      <c r="J314" s="43"/>
      <c r="K314" s="43"/>
    </row>
    <row r="315" spans="1:11" x14ac:dyDescent="0.3">
      <c r="A315" s="79">
        <v>42593</v>
      </c>
      <c r="B315" s="63"/>
      <c r="C315" s="63" t="s">
        <v>372</v>
      </c>
      <c r="D315" s="64"/>
      <c r="E315" s="64">
        <v>150000</v>
      </c>
      <c r="F315" s="43" t="e">
        <f t="shared" si="4"/>
        <v>#N/A</v>
      </c>
      <c r="G315" s="43"/>
      <c r="I315" s="43"/>
      <c r="J315" s="43"/>
      <c r="K315" s="43"/>
    </row>
    <row r="316" spans="1:11" ht="37.5" x14ac:dyDescent="0.3">
      <c r="A316" s="79">
        <v>42593</v>
      </c>
      <c r="B316" s="5" t="s">
        <v>160</v>
      </c>
      <c r="C316" s="92" t="s">
        <v>369</v>
      </c>
      <c r="D316" s="43">
        <v>20000</v>
      </c>
      <c r="E316" s="43"/>
      <c r="F316" s="43" t="e">
        <f t="shared" si="4"/>
        <v>#N/A</v>
      </c>
      <c r="G316" s="43"/>
      <c r="I316" s="43"/>
      <c r="J316" s="43"/>
      <c r="K316" s="43"/>
    </row>
    <row r="317" spans="1:11" x14ac:dyDescent="0.3">
      <c r="A317" s="79">
        <v>42594</v>
      </c>
      <c r="B317" s="5" t="s">
        <v>162</v>
      </c>
      <c r="C317" s="5" t="s">
        <v>370</v>
      </c>
      <c r="D317" s="43">
        <v>1000</v>
      </c>
      <c r="E317" s="43"/>
      <c r="F317" s="43" t="e">
        <f t="shared" si="4"/>
        <v>#N/A</v>
      </c>
      <c r="G317" s="43"/>
      <c r="I317" s="43"/>
      <c r="J317" s="43"/>
      <c r="K317" s="43"/>
    </row>
    <row r="318" spans="1:11" x14ac:dyDescent="0.3">
      <c r="A318" s="79">
        <v>42594</v>
      </c>
      <c r="B318" s="5" t="s">
        <v>173</v>
      </c>
      <c r="C318" s="5" t="s">
        <v>371</v>
      </c>
      <c r="D318" s="43">
        <v>240</v>
      </c>
      <c r="E318" s="43"/>
      <c r="F318" s="43" t="e">
        <f t="shared" si="4"/>
        <v>#N/A</v>
      </c>
      <c r="G318" s="43"/>
      <c r="I318" s="43"/>
      <c r="J318" s="43"/>
      <c r="K318" s="43"/>
    </row>
    <row r="319" spans="1:11" x14ac:dyDescent="0.3">
      <c r="A319" s="79">
        <v>42594</v>
      </c>
      <c r="B319" s="5" t="s">
        <v>119</v>
      </c>
      <c r="C319" s="5" t="s">
        <v>342</v>
      </c>
      <c r="D319" s="43">
        <v>1000</v>
      </c>
      <c r="E319" s="43"/>
      <c r="F319" s="43" t="e">
        <f t="shared" si="4"/>
        <v>#N/A</v>
      </c>
      <c r="G319" s="43"/>
      <c r="I319" s="771"/>
      <c r="J319" s="771"/>
      <c r="K319" s="43"/>
    </row>
    <row r="320" spans="1:11" x14ac:dyDescent="0.3">
      <c r="A320" s="79">
        <v>42594</v>
      </c>
      <c r="B320" s="5" t="s">
        <v>39</v>
      </c>
      <c r="C320" s="5" t="s">
        <v>373</v>
      </c>
      <c r="D320" s="43">
        <v>1000</v>
      </c>
      <c r="E320" s="43"/>
      <c r="F320" s="43" t="e">
        <f t="shared" si="4"/>
        <v>#N/A</v>
      </c>
      <c r="G320" s="43"/>
    </row>
    <row r="321" spans="1:7" ht="37.5" x14ac:dyDescent="0.3">
      <c r="A321" s="79">
        <v>42594</v>
      </c>
      <c r="B321" s="5" t="s">
        <v>22</v>
      </c>
      <c r="C321" s="92" t="s">
        <v>374</v>
      </c>
      <c r="D321" s="43">
        <v>6120</v>
      </c>
      <c r="E321" s="43"/>
      <c r="F321" s="43" t="e">
        <f t="shared" si="4"/>
        <v>#N/A</v>
      </c>
      <c r="G321" s="43"/>
    </row>
    <row r="322" spans="1:7" x14ac:dyDescent="0.3">
      <c r="A322" s="79">
        <v>42594</v>
      </c>
      <c r="B322" s="5" t="s">
        <v>118</v>
      </c>
      <c r="C322" s="5" t="s">
        <v>375</v>
      </c>
      <c r="D322" s="43">
        <v>860</v>
      </c>
      <c r="E322" s="43"/>
      <c r="F322" s="43" t="e">
        <f t="shared" si="4"/>
        <v>#N/A</v>
      </c>
      <c r="G322" s="43"/>
    </row>
    <row r="323" spans="1:7" x14ac:dyDescent="0.3">
      <c r="A323" s="79">
        <v>42594</v>
      </c>
      <c r="B323" s="5" t="s">
        <v>5</v>
      </c>
      <c r="C323" s="5" t="s">
        <v>380</v>
      </c>
      <c r="D323" s="43">
        <v>900</v>
      </c>
      <c r="E323" s="43"/>
      <c r="F323" s="43" t="e">
        <f t="shared" ref="F323:F386" si="5">F322-D323+E323</f>
        <v>#N/A</v>
      </c>
      <c r="G323" s="43"/>
    </row>
    <row r="324" spans="1:7" x14ac:dyDescent="0.3">
      <c r="A324" s="79">
        <v>42594</v>
      </c>
      <c r="B324" s="5" t="s">
        <v>378</v>
      </c>
      <c r="C324" s="5" t="s">
        <v>379</v>
      </c>
      <c r="D324" s="43">
        <v>1000</v>
      </c>
      <c r="E324" s="43"/>
      <c r="F324" s="43" t="e">
        <f t="shared" si="5"/>
        <v>#N/A</v>
      </c>
      <c r="G324" s="43"/>
    </row>
    <row r="325" spans="1:7" x14ac:dyDescent="0.3">
      <c r="A325" s="79">
        <v>42594</v>
      </c>
      <c r="B325" s="5" t="s">
        <v>118</v>
      </c>
      <c r="C325" s="5" t="s">
        <v>381</v>
      </c>
      <c r="D325" s="43">
        <v>30</v>
      </c>
      <c r="E325" s="43"/>
      <c r="F325" s="43" t="e">
        <f t="shared" si="5"/>
        <v>#N/A</v>
      </c>
      <c r="G325" s="43"/>
    </row>
    <row r="326" spans="1:7" x14ac:dyDescent="0.3">
      <c r="A326" s="79">
        <v>42594</v>
      </c>
      <c r="B326" s="5" t="s">
        <v>22</v>
      </c>
      <c r="C326" s="5" t="s">
        <v>438</v>
      </c>
      <c r="D326" s="43">
        <v>10000</v>
      </c>
      <c r="E326" s="43"/>
      <c r="F326" s="43" t="e">
        <f t="shared" si="5"/>
        <v>#N/A</v>
      </c>
      <c r="G326" s="43"/>
    </row>
    <row r="327" spans="1:7" x14ac:dyDescent="0.3">
      <c r="A327" s="79">
        <v>42594</v>
      </c>
      <c r="B327" s="5" t="s">
        <v>16</v>
      </c>
      <c r="C327" s="5" t="s">
        <v>382</v>
      </c>
      <c r="D327" s="43">
        <v>6000</v>
      </c>
      <c r="E327" s="43"/>
      <c r="F327" s="43" t="e">
        <f t="shared" si="5"/>
        <v>#N/A</v>
      </c>
      <c r="G327" s="43"/>
    </row>
    <row r="328" spans="1:7" x14ac:dyDescent="0.3">
      <c r="A328" s="79">
        <v>42594</v>
      </c>
      <c r="B328" s="5" t="s">
        <v>118</v>
      </c>
      <c r="C328" s="5" t="s">
        <v>383</v>
      </c>
      <c r="D328" s="43">
        <v>250</v>
      </c>
      <c r="E328" s="43"/>
      <c r="F328" s="43" t="e">
        <f t="shared" si="5"/>
        <v>#N/A</v>
      </c>
      <c r="G328" s="43"/>
    </row>
    <row r="329" spans="1:7" x14ac:dyDescent="0.3">
      <c r="A329" s="79">
        <v>42594</v>
      </c>
      <c r="B329" s="5" t="s">
        <v>5</v>
      </c>
      <c r="C329" s="5" t="s">
        <v>384</v>
      </c>
      <c r="D329" s="43">
        <v>570</v>
      </c>
      <c r="E329" s="43"/>
      <c r="F329" s="43" t="e">
        <f t="shared" si="5"/>
        <v>#N/A</v>
      </c>
      <c r="G329" s="43"/>
    </row>
    <row r="330" spans="1:7" x14ac:dyDescent="0.3">
      <c r="A330" s="79">
        <v>42594</v>
      </c>
      <c r="B330" s="5" t="s">
        <v>25</v>
      </c>
      <c r="C330" s="5" t="s">
        <v>386</v>
      </c>
      <c r="D330" s="43">
        <v>70</v>
      </c>
      <c r="E330" s="43"/>
      <c r="F330" s="43" t="e">
        <f t="shared" si="5"/>
        <v>#N/A</v>
      </c>
      <c r="G330" s="43"/>
    </row>
    <row r="331" spans="1:7" x14ac:dyDescent="0.3">
      <c r="A331" s="79">
        <v>42594</v>
      </c>
      <c r="B331" s="5" t="s">
        <v>117</v>
      </c>
      <c r="C331" s="5" t="s">
        <v>385</v>
      </c>
      <c r="D331" s="43">
        <v>750</v>
      </c>
      <c r="E331" s="43"/>
      <c r="F331" s="43" t="e">
        <f t="shared" si="5"/>
        <v>#N/A</v>
      </c>
      <c r="G331" s="43"/>
    </row>
    <row r="332" spans="1:7" x14ac:dyDescent="0.3">
      <c r="A332" s="79">
        <v>42594</v>
      </c>
      <c r="B332" s="5" t="s">
        <v>29</v>
      </c>
      <c r="C332" s="5" t="s">
        <v>258</v>
      </c>
      <c r="D332" s="43">
        <v>2000</v>
      </c>
      <c r="E332" s="43"/>
      <c r="F332" s="43" t="e">
        <f t="shared" si="5"/>
        <v>#N/A</v>
      </c>
      <c r="G332" s="43"/>
    </row>
    <row r="333" spans="1:7" x14ac:dyDescent="0.3">
      <c r="A333" s="79">
        <v>42595</v>
      </c>
      <c r="B333" s="5" t="s">
        <v>154</v>
      </c>
      <c r="C333" s="5" t="s">
        <v>387</v>
      </c>
      <c r="D333" s="43">
        <v>3383</v>
      </c>
      <c r="E333" s="43"/>
      <c r="F333" s="43" t="e">
        <f t="shared" si="5"/>
        <v>#N/A</v>
      </c>
      <c r="G333" s="43"/>
    </row>
    <row r="334" spans="1:7" x14ac:dyDescent="0.3">
      <c r="A334" s="79">
        <v>42595</v>
      </c>
      <c r="B334" s="5" t="s">
        <v>181</v>
      </c>
      <c r="C334" s="5" t="s">
        <v>388</v>
      </c>
      <c r="D334" s="43">
        <v>2900</v>
      </c>
      <c r="E334" s="43"/>
      <c r="F334" s="43" t="e">
        <f t="shared" si="5"/>
        <v>#N/A</v>
      </c>
      <c r="G334" s="43"/>
    </row>
    <row r="335" spans="1:7" x14ac:dyDescent="0.3">
      <c r="A335" s="79">
        <v>42595</v>
      </c>
      <c r="B335" s="5" t="s">
        <v>25</v>
      </c>
      <c r="C335" s="5" t="s">
        <v>389</v>
      </c>
      <c r="D335" s="43">
        <v>50</v>
      </c>
      <c r="E335" s="43"/>
      <c r="F335" s="43" t="e">
        <f t="shared" si="5"/>
        <v>#N/A</v>
      </c>
      <c r="G335" s="43"/>
    </row>
    <row r="336" spans="1:7" x14ac:dyDescent="0.3">
      <c r="A336" s="79">
        <v>42595</v>
      </c>
      <c r="B336" s="5" t="s">
        <v>5</v>
      </c>
      <c r="C336" s="5" t="s">
        <v>390</v>
      </c>
      <c r="D336" s="43">
        <v>8000</v>
      </c>
      <c r="E336" s="43"/>
      <c r="F336" s="43" t="e">
        <f t="shared" si="5"/>
        <v>#N/A</v>
      </c>
      <c r="G336" s="43"/>
    </row>
    <row r="337" spans="1:7" x14ac:dyDescent="0.3">
      <c r="A337" s="79">
        <v>42595</v>
      </c>
      <c r="B337" s="5" t="s">
        <v>39</v>
      </c>
      <c r="C337" s="5" t="s">
        <v>31</v>
      </c>
      <c r="D337" s="43">
        <v>1000</v>
      </c>
      <c r="E337" s="43"/>
      <c r="F337" s="43" t="e">
        <f t="shared" si="5"/>
        <v>#N/A</v>
      </c>
      <c r="G337" s="43"/>
    </row>
    <row r="338" spans="1:7" x14ac:dyDescent="0.3">
      <c r="A338" s="79">
        <v>42595</v>
      </c>
      <c r="B338" s="5" t="s">
        <v>5</v>
      </c>
      <c r="C338" s="5" t="s">
        <v>77</v>
      </c>
      <c r="D338" s="43">
        <v>2100</v>
      </c>
      <c r="E338" s="43"/>
      <c r="F338" s="43" t="e">
        <f t="shared" si="5"/>
        <v>#N/A</v>
      </c>
      <c r="G338" s="43"/>
    </row>
    <row r="339" spans="1:7" ht="37.5" x14ac:dyDescent="0.3">
      <c r="A339" s="79">
        <v>42595</v>
      </c>
      <c r="B339" s="5" t="s">
        <v>5</v>
      </c>
      <c r="C339" s="92" t="s">
        <v>392</v>
      </c>
      <c r="D339" s="43">
        <v>300</v>
      </c>
      <c r="E339" s="43"/>
      <c r="F339" s="43" t="e">
        <f t="shared" si="5"/>
        <v>#N/A</v>
      </c>
      <c r="G339" s="43"/>
    </row>
    <row r="340" spans="1:7" x14ac:dyDescent="0.3">
      <c r="A340" s="79">
        <v>42595</v>
      </c>
      <c r="B340" s="5" t="s">
        <v>25</v>
      </c>
      <c r="C340" s="5" t="s">
        <v>62</v>
      </c>
      <c r="D340" s="43">
        <v>190</v>
      </c>
      <c r="E340" s="43"/>
      <c r="F340" s="43" t="e">
        <f t="shared" si="5"/>
        <v>#N/A</v>
      </c>
      <c r="G340" s="43"/>
    </row>
    <row r="341" spans="1:7" x14ac:dyDescent="0.3">
      <c r="A341" s="79">
        <v>42595</v>
      </c>
      <c r="B341" s="5" t="s">
        <v>230</v>
      </c>
      <c r="C341" s="5" t="s">
        <v>77</v>
      </c>
      <c r="D341" s="43">
        <v>100</v>
      </c>
      <c r="E341" s="43"/>
      <c r="F341" s="43" t="e">
        <f t="shared" si="5"/>
        <v>#N/A</v>
      </c>
      <c r="G341" s="43"/>
    </row>
    <row r="342" spans="1:7" x14ac:dyDescent="0.3">
      <c r="A342" s="79">
        <v>42597</v>
      </c>
      <c r="B342" s="5" t="s">
        <v>160</v>
      </c>
      <c r="C342" s="5" t="s">
        <v>393</v>
      </c>
      <c r="D342" s="43">
        <v>3000</v>
      </c>
      <c r="E342" s="43"/>
      <c r="F342" s="43" t="e">
        <f t="shared" si="5"/>
        <v>#N/A</v>
      </c>
      <c r="G342" s="43"/>
    </row>
    <row r="343" spans="1:7" x14ac:dyDescent="0.3">
      <c r="A343" s="79">
        <v>42597</v>
      </c>
      <c r="B343" s="5" t="s">
        <v>164</v>
      </c>
      <c r="C343" s="5" t="s">
        <v>77</v>
      </c>
      <c r="D343" s="43">
        <v>10000</v>
      </c>
      <c r="E343" s="43"/>
      <c r="F343" s="43" t="e">
        <f t="shared" si="5"/>
        <v>#N/A</v>
      </c>
      <c r="G343" s="43"/>
    </row>
    <row r="344" spans="1:7" x14ac:dyDescent="0.3">
      <c r="A344" s="79">
        <v>42597</v>
      </c>
      <c r="B344" s="5" t="s">
        <v>25</v>
      </c>
      <c r="C344" s="5" t="s">
        <v>394</v>
      </c>
      <c r="D344" s="43">
        <v>45</v>
      </c>
      <c r="E344" s="43"/>
      <c r="F344" s="43" t="e">
        <f t="shared" si="5"/>
        <v>#N/A</v>
      </c>
      <c r="G344" s="43"/>
    </row>
    <row r="345" spans="1:7" x14ac:dyDescent="0.3">
      <c r="A345" s="79">
        <v>42597</v>
      </c>
      <c r="B345" s="5" t="s">
        <v>395</v>
      </c>
      <c r="C345" s="5" t="s">
        <v>396</v>
      </c>
      <c r="D345" s="43">
        <v>220</v>
      </c>
      <c r="E345" s="43"/>
      <c r="F345" s="43" t="e">
        <f t="shared" si="5"/>
        <v>#N/A</v>
      </c>
      <c r="G345" s="43"/>
    </row>
    <row r="346" spans="1:7" x14ac:dyDescent="0.3">
      <c r="A346" s="79">
        <v>42597</v>
      </c>
      <c r="B346" s="5" t="s">
        <v>127</v>
      </c>
      <c r="C346" s="5" t="s">
        <v>397</v>
      </c>
      <c r="D346" s="43">
        <v>2100</v>
      </c>
      <c r="E346" s="43"/>
      <c r="F346" s="43" t="e">
        <f t="shared" si="5"/>
        <v>#N/A</v>
      </c>
      <c r="G346" s="43"/>
    </row>
    <row r="347" spans="1:7" x14ac:dyDescent="0.3">
      <c r="A347" s="79">
        <v>42597</v>
      </c>
      <c r="B347" s="5" t="s">
        <v>127</v>
      </c>
      <c r="C347" s="5" t="s">
        <v>398</v>
      </c>
      <c r="D347" s="43">
        <v>2000</v>
      </c>
      <c r="E347" s="43"/>
      <c r="F347" s="43" t="e">
        <f t="shared" si="5"/>
        <v>#N/A</v>
      </c>
      <c r="G347" s="43"/>
    </row>
    <row r="348" spans="1:7" x14ac:dyDescent="0.3">
      <c r="A348" s="79">
        <v>42597</v>
      </c>
      <c r="B348" s="5" t="s">
        <v>4</v>
      </c>
      <c r="C348" s="5" t="s">
        <v>399</v>
      </c>
      <c r="D348" s="43">
        <v>10350</v>
      </c>
      <c r="E348" s="43"/>
      <c r="F348" s="43" t="e">
        <f t="shared" si="5"/>
        <v>#N/A</v>
      </c>
      <c r="G348" s="43"/>
    </row>
    <row r="349" spans="1:7" x14ac:dyDescent="0.3">
      <c r="A349" s="79">
        <v>42597</v>
      </c>
      <c r="B349" s="5" t="s">
        <v>120</v>
      </c>
      <c r="C349" s="5" t="s">
        <v>400</v>
      </c>
      <c r="D349" s="43">
        <v>200</v>
      </c>
      <c r="E349" s="43"/>
      <c r="F349" s="43" t="e">
        <f t="shared" si="5"/>
        <v>#N/A</v>
      </c>
      <c r="G349" s="43"/>
    </row>
    <row r="350" spans="1:7" x14ac:dyDescent="0.3">
      <c r="A350" s="79">
        <v>42597</v>
      </c>
      <c r="B350" s="5" t="s">
        <v>25</v>
      </c>
      <c r="C350" s="5" t="s">
        <v>401</v>
      </c>
      <c r="D350" s="43">
        <v>15</v>
      </c>
      <c r="E350" s="43"/>
      <c r="F350" s="43" t="e">
        <f t="shared" si="5"/>
        <v>#N/A</v>
      </c>
      <c r="G350" s="43"/>
    </row>
    <row r="351" spans="1:7" x14ac:dyDescent="0.3">
      <c r="A351" s="79">
        <v>42597</v>
      </c>
      <c r="B351" s="5" t="s">
        <v>25</v>
      </c>
      <c r="C351" s="5" t="s">
        <v>404</v>
      </c>
      <c r="D351" s="43">
        <f>132+90</f>
        <v>222</v>
      </c>
      <c r="E351" s="43"/>
      <c r="F351" s="43" t="e">
        <f t="shared" si="5"/>
        <v>#N/A</v>
      </c>
      <c r="G351" s="43"/>
    </row>
    <row r="352" spans="1:7" x14ac:dyDescent="0.3">
      <c r="A352" s="79">
        <v>42597</v>
      </c>
      <c r="B352" s="5" t="s">
        <v>402</v>
      </c>
      <c r="C352" s="5" t="s">
        <v>403</v>
      </c>
      <c r="D352" s="43">
        <v>15000</v>
      </c>
      <c r="E352" s="43"/>
      <c r="F352" s="43" t="e">
        <f t="shared" si="5"/>
        <v>#N/A</v>
      </c>
      <c r="G352" s="43"/>
    </row>
    <row r="353" spans="1:7" x14ac:dyDescent="0.3">
      <c r="A353" s="79">
        <v>42597</v>
      </c>
      <c r="B353" s="5" t="s">
        <v>5</v>
      </c>
      <c r="C353" s="5" t="s">
        <v>31</v>
      </c>
      <c r="D353" s="43">
        <v>1500</v>
      </c>
      <c r="E353" s="43"/>
      <c r="F353" s="43" t="e">
        <f t="shared" si="5"/>
        <v>#N/A</v>
      </c>
      <c r="G353" s="43"/>
    </row>
    <row r="354" spans="1:7" x14ac:dyDescent="0.3">
      <c r="A354" s="79">
        <v>42597</v>
      </c>
      <c r="B354" s="5" t="s">
        <v>76</v>
      </c>
      <c r="C354" s="5" t="s">
        <v>405</v>
      </c>
      <c r="D354" s="65">
        <v>1200</v>
      </c>
      <c r="E354" s="65"/>
      <c r="F354" s="43" t="e">
        <f t="shared" si="5"/>
        <v>#N/A</v>
      </c>
      <c r="G354" s="65"/>
    </row>
    <row r="355" spans="1:7" x14ac:dyDescent="0.3">
      <c r="A355" s="79">
        <v>42597</v>
      </c>
      <c r="B355" s="5" t="s">
        <v>160</v>
      </c>
      <c r="C355" s="5" t="s">
        <v>406</v>
      </c>
      <c r="D355" s="65">
        <v>3000</v>
      </c>
      <c r="E355" s="65"/>
      <c r="F355" s="43" t="e">
        <f t="shared" si="5"/>
        <v>#N/A</v>
      </c>
      <c r="G355" s="65"/>
    </row>
    <row r="356" spans="1:7" x14ac:dyDescent="0.3">
      <c r="A356" s="79">
        <v>42597</v>
      </c>
      <c r="B356" s="5" t="s">
        <v>29</v>
      </c>
      <c r="C356" s="5" t="s">
        <v>294</v>
      </c>
      <c r="D356" s="65">
        <v>30000</v>
      </c>
      <c r="E356" s="65"/>
      <c r="F356" s="43" t="e">
        <f t="shared" si="5"/>
        <v>#N/A</v>
      </c>
      <c r="G356" s="65"/>
    </row>
    <row r="357" spans="1:7" x14ac:dyDescent="0.3">
      <c r="A357" s="79">
        <v>42597</v>
      </c>
      <c r="B357" s="5" t="s">
        <v>39</v>
      </c>
      <c r="C357" s="5" t="s">
        <v>407</v>
      </c>
      <c r="D357" s="65">
        <v>1000</v>
      </c>
      <c r="E357" s="65"/>
      <c r="F357" s="43" t="e">
        <f t="shared" si="5"/>
        <v>#N/A</v>
      </c>
      <c r="G357" s="65"/>
    </row>
    <row r="358" spans="1:7" x14ac:dyDescent="0.3">
      <c r="A358" s="79">
        <v>42597</v>
      </c>
      <c r="B358" s="5" t="s">
        <v>24</v>
      </c>
      <c r="C358" s="5" t="s">
        <v>408</v>
      </c>
      <c r="D358" s="43">
        <v>700</v>
      </c>
      <c r="E358" s="43"/>
      <c r="F358" s="43" t="e">
        <f t="shared" si="5"/>
        <v>#N/A</v>
      </c>
      <c r="G358" s="43"/>
    </row>
    <row r="359" spans="1:7" x14ac:dyDescent="0.3">
      <c r="A359" s="70">
        <v>42598</v>
      </c>
      <c r="B359" s="761" t="s">
        <v>413</v>
      </c>
      <c r="C359" s="762"/>
      <c r="D359" s="71"/>
      <c r="E359" s="72">
        <v>100000</v>
      </c>
      <c r="F359" s="43" t="e">
        <f t="shared" si="5"/>
        <v>#N/A</v>
      </c>
      <c r="G359" s="65"/>
    </row>
    <row r="360" spans="1:7" x14ac:dyDescent="0.3">
      <c r="A360" s="79">
        <v>42598</v>
      </c>
      <c r="B360" s="5" t="s">
        <v>5</v>
      </c>
      <c r="C360" s="5" t="s">
        <v>31</v>
      </c>
      <c r="D360" s="43">
        <v>20000</v>
      </c>
      <c r="E360" s="43"/>
      <c r="F360" s="43" t="e">
        <f t="shared" si="5"/>
        <v>#N/A</v>
      </c>
      <c r="G360" s="43"/>
    </row>
    <row r="361" spans="1:7" x14ac:dyDescent="0.3">
      <c r="A361" s="79">
        <v>42598</v>
      </c>
      <c r="B361" s="5" t="s">
        <v>25</v>
      </c>
      <c r="C361" s="5" t="s">
        <v>409</v>
      </c>
      <c r="D361" s="43">
        <v>710</v>
      </c>
      <c r="E361" s="43"/>
      <c r="F361" s="43" t="e">
        <f t="shared" si="5"/>
        <v>#N/A</v>
      </c>
      <c r="G361" s="43"/>
    </row>
    <row r="362" spans="1:7" x14ac:dyDescent="0.3">
      <c r="A362" s="79">
        <v>42598</v>
      </c>
      <c r="B362" s="5" t="s">
        <v>160</v>
      </c>
      <c r="C362" s="5" t="s">
        <v>410</v>
      </c>
      <c r="D362" s="43">
        <v>3000</v>
      </c>
      <c r="E362" s="43"/>
      <c r="F362" s="43" t="e">
        <f t="shared" si="5"/>
        <v>#N/A</v>
      </c>
      <c r="G362" s="43"/>
    </row>
    <row r="363" spans="1:7" x14ac:dyDescent="0.3">
      <c r="A363" s="79">
        <v>42598</v>
      </c>
      <c r="B363" s="5" t="s">
        <v>25</v>
      </c>
      <c r="C363" s="5" t="s">
        <v>434</v>
      </c>
      <c r="D363" s="43">
        <v>400</v>
      </c>
      <c r="E363" s="43"/>
      <c r="F363" s="43" t="e">
        <f t="shared" si="5"/>
        <v>#N/A</v>
      </c>
      <c r="G363" s="43"/>
    </row>
    <row r="364" spans="1:7" x14ac:dyDescent="0.3">
      <c r="A364" s="79">
        <v>42598</v>
      </c>
      <c r="B364" s="5" t="s">
        <v>66</v>
      </c>
      <c r="C364" s="5" t="s">
        <v>411</v>
      </c>
      <c r="D364" s="43">
        <v>1670</v>
      </c>
      <c r="E364" s="43"/>
      <c r="F364" s="43" t="e">
        <f t="shared" si="5"/>
        <v>#N/A</v>
      </c>
      <c r="G364" s="43"/>
    </row>
    <row r="365" spans="1:7" x14ac:dyDescent="0.3">
      <c r="A365" s="79">
        <v>42598</v>
      </c>
      <c r="B365" s="5" t="s">
        <v>120</v>
      </c>
      <c r="C365" s="5" t="s">
        <v>31</v>
      </c>
      <c r="D365" s="43">
        <v>5000</v>
      </c>
      <c r="E365" s="43"/>
      <c r="F365" s="43" t="e">
        <f t="shared" si="5"/>
        <v>#N/A</v>
      </c>
      <c r="G365" s="43"/>
    </row>
    <row r="366" spans="1:7" x14ac:dyDescent="0.3">
      <c r="A366" s="79">
        <v>42598</v>
      </c>
      <c r="B366" s="5" t="s">
        <v>284</v>
      </c>
      <c r="C366" s="5" t="s">
        <v>412</v>
      </c>
      <c r="D366" s="43">
        <v>2000</v>
      </c>
      <c r="E366" s="43"/>
      <c r="F366" s="43" t="e">
        <f t="shared" si="5"/>
        <v>#N/A</v>
      </c>
      <c r="G366" s="43"/>
    </row>
    <row r="367" spans="1:7" x14ac:dyDescent="0.3">
      <c r="A367" s="79">
        <v>42598</v>
      </c>
      <c r="B367" s="5" t="s">
        <v>42</v>
      </c>
      <c r="C367" s="5" t="s">
        <v>31</v>
      </c>
      <c r="D367" s="43">
        <v>2000</v>
      </c>
      <c r="E367" s="43"/>
      <c r="F367" s="43" t="e">
        <f t="shared" si="5"/>
        <v>#N/A</v>
      </c>
      <c r="G367" s="43"/>
    </row>
    <row r="368" spans="1:7" x14ac:dyDescent="0.3">
      <c r="A368" s="79">
        <v>42598</v>
      </c>
      <c r="B368" s="5" t="s">
        <v>284</v>
      </c>
      <c r="C368" s="5" t="s">
        <v>414</v>
      </c>
      <c r="D368" s="43">
        <v>10000</v>
      </c>
      <c r="E368" s="43"/>
      <c r="F368" s="43" t="e">
        <f t="shared" si="5"/>
        <v>#N/A</v>
      </c>
      <c r="G368" s="43"/>
    </row>
    <row r="369" spans="1:7" x14ac:dyDescent="0.3">
      <c r="A369" s="79">
        <v>42598</v>
      </c>
      <c r="B369" s="5" t="s">
        <v>154</v>
      </c>
      <c r="C369" s="5" t="s">
        <v>415</v>
      </c>
      <c r="D369" s="43">
        <v>150</v>
      </c>
      <c r="E369" s="43"/>
      <c r="F369" s="43" t="e">
        <f t="shared" si="5"/>
        <v>#N/A</v>
      </c>
      <c r="G369" s="43"/>
    </row>
    <row r="370" spans="1:7" x14ac:dyDescent="0.3">
      <c r="A370" s="79">
        <v>42599</v>
      </c>
      <c r="B370" s="5" t="s">
        <v>25</v>
      </c>
      <c r="C370" s="5" t="s">
        <v>416</v>
      </c>
      <c r="D370" s="43">
        <v>1000</v>
      </c>
      <c r="E370" s="43"/>
      <c r="F370" s="43" t="e">
        <f t="shared" si="5"/>
        <v>#N/A</v>
      </c>
      <c r="G370" s="43"/>
    </row>
    <row r="371" spans="1:7" x14ac:dyDescent="0.3">
      <c r="A371" s="79">
        <v>42599</v>
      </c>
      <c r="B371" s="5" t="s">
        <v>25</v>
      </c>
      <c r="C371" s="5" t="s">
        <v>417</v>
      </c>
      <c r="D371" s="43">
        <v>805</v>
      </c>
      <c r="E371" s="43"/>
      <c r="F371" s="43" t="e">
        <f t="shared" si="5"/>
        <v>#N/A</v>
      </c>
      <c r="G371" s="43"/>
    </row>
    <row r="372" spans="1:7" x14ac:dyDescent="0.3">
      <c r="A372" s="79">
        <v>42599</v>
      </c>
      <c r="B372" s="5" t="s">
        <v>418</v>
      </c>
      <c r="C372" s="5" t="s">
        <v>419</v>
      </c>
      <c r="D372" s="43">
        <v>400</v>
      </c>
      <c r="E372" s="43"/>
      <c r="F372" s="43" t="e">
        <f t="shared" si="5"/>
        <v>#N/A</v>
      </c>
      <c r="G372" s="43"/>
    </row>
    <row r="373" spans="1:7" x14ac:dyDescent="0.3">
      <c r="A373" s="79">
        <v>42599</v>
      </c>
      <c r="B373" s="5" t="s">
        <v>402</v>
      </c>
      <c r="C373" s="5" t="s">
        <v>420</v>
      </c>
      <c r="D373" s="43">
        <v>10000</v>
      </c>
      <c r="E373" s="43"/>
      <c r="F373" s="43" t="e">
        <f t="shared" si="5"/>
        <v>#N/A</v>
      </c>
      <c r="G373" s="43"/>
    </row>
    <row r="374" spans="1:7" x14ac:dyDescent="0.3">
      <c r="A374" s="79">
        <v>42599</v>
      </c>
      <c r="B374" s="5" t="s">
        <v>25</v>
      </c>
      <c r="C374" s="5" t="s">
        <v>51</v>
      </c>
      <c r="D374" s="43">
        <v>30</v>
      </c>
      <c r="E374" s="43"/>
      <c r="F374" s="43" t="e">
        <f t="shared" si="5"/>
        <v>#N/A</v>
      </c>
      <c r="G374" s="43"/>
    </row>
    <row r="375" spans="1:7" x14ac:dyDescent="0.3">
      <c r="A375" s="79">
        <v>42599</v>
      </c>
      <c r="B375" s="5" t="s">
        <v>106</v>
      </c>
      <c r="C375" s="5" t="s">
        <v>421</v>
      </c>
      <c r="D375" s="43">
        <v>30000</v>
      </c>
      <c r="E375" s="43"/>
      <c r="F375" s="43" t="e">
        <f t="shared" si="5"/>
        <v>#N/A</v>
      </c>
      <c r="G375" s="43"/>
    </row>
    <row r="376" spans="1:7" x14ac:dyDescent="0.3">
      <c r="A376" s="79">
        <v>42599</v>
      </c>
      <c r="B376" s="5" t="s">
        <v>106</v>
      </c>
      <c r="C376" s="5" t="s">
        <v>421</v>
      </c>
      <c r="D376" s="43">
        <v>10000</v>
      </c>
      <c r="E376" s="43"/>
      <c r="F376" s="43" t="e">
        <f t="shared" si="5"/>
        <v>#N/A</v>
      </c>
      <c r="G376" s="43"/>
    </row>
    <row r="377" spans="1:7" x14ac:dyDescent="0.3">
      <c r="A377" s="79">
        <v>42599</v>
      </c>
      <c r="B377" s="5" t="s">
        <v>160</v>
      </c>
      <c r="C377" s="5" t="s">
        <v>422</v>
      </c>
      <c r="D377" s="43">
        <v>1000</v>
      </c>
      <c r="E377" s="43"/>
      <c r="F377" s="43" t="e">
        <f t="shared" si="5"/>
        <v>#N/A</v>
      </c>
      <c r="G377" s="43"/>
    </row>
    <row r="378" spans="1:7" x14ac:dyDescent="0.3">
      <c r="A378" s="79">
        <v>42599</v>
      </c>
      <c r="B378" s="5" t="s">
        <v>160</v>
      </c>
      <c r="C378" s="5" t="s">
        <v>423</v>
      </c>
      <c r="D378" s="43">
        <v>5000</v>
      </c>
      <c r="E378" s="43"/>
      <c r="F378" s="43" t="e">
        <f t="shared" si="5"/>
        <v>#N/A</v>
      </c>
      <c r="G378" s="43"/>
    </row>
    <row r="379" spans="1:7" x14ac:dyDescent="0.3">
      <c r="A379" s="79">
        <v>42600</v>
      </c>
      <c r="B379" s="5" t="s">
        <v>42</v>
      </c>
      <c r="C379" s="5" t="s">
        <v>31</v>
      </c>
      <c r="D379" s="43">
        <v>2000</v>
      </c>
      <c r="E379" s="43"/>
      <c r="F379" s="43" t="e">
        <f t="shared" si="5"/>
        <v>#N/A</v>
      </c>
      <c r="G379" s="43"/>
    </row>
    <row r="380" spans="1:7" x14ac:dyDescent="0.3">
      <c r="A380" s="79">
        <v>42600</v>
      </c>
      <c r="B380" s="63" t="s">
        <v>106</v>
      </c>
      <c r="C380" s="63" t="s">
        <v>424</v>
      </c>
      <c r="D380" s="64"/>
      <c r="E380" s="64">
        <v>27000</v>
      </c>
      <c r="F380" s="43" t="e">
        <f t="shared" si="5"/>
        <v>#N/A</v>
      </c>
      <c r="G380" s="64"/>
    </row>
    <row r="381" spans="1:7" x14ac:dyDescent="0.3">
      <c r="A381" s="79">
        <v>42600</v>
      </c>
      <c r="B381" s="5" t="s">
        <v>106</v>
      </c>
      <c r="C381" s="5" t="s">
        <v>31</v>
      </c>
      <c r="D381" s="43">
        <v>1000</v>
      </c>
      <c r="E381" s="43"/>
      <c r="F381" s="43" t="e">
        <f t="shared" si="5"/>
        <v>#N/A</v>
      </c>
      <c r="G381" s="58"/>
    </row>
    <row r="382" spans="1:7" x14ac:dyDescent="0.3">
      <c r="A382" s="79">
        <v>42600</v>
      </c>
      <c r="B382" s="5" t="s">
        <v>106</v>
      </c>
      <c r="C382" s="5" t="s">
        <v>31</v>
      </c>
      <c r="D382" s="43">
        <v>3000</v>
      </c>
      <c r="E382" s="43"/>
      <c r="F382" s="43" t="e">
        <f t="shared" si="5"/>
        <v>#N/A</v>
      </c>
      <c r="G382" s="43"/>
    </row>
    <row r="383" spans="1:7" x14ac:dyDescent="0.3">
      <c r="A383" s="79">
        <v>42600</v>
      </c>
      <c r="B383" s="5" t="s">
        <v>160</v>
      </c>
      <c r="C383" s="5" t="s">
        <v>425</v>
      </c>
      <c r="D383" s="43">
        <v>3000</v>
      </c>
      <c r="E383" s="43"/>
      <c r="F383" s="43" t="e">
        <f t="shared" si="5"/>
        <v>#N/A</v>
      </c>
      <c r="G383" s="43"/>
    </row>
    <row r="384" spans="1:7" x14ac:dyDescent="0.3">
      <c r="A384" s="79">
        <v>42600</v>
      </c>
      <c r="B384" s="5" t="s">
        <v>16</v>
      </c>
      <c r="C384" s="5" t="s">
        <v>31</v>
      </c>
      <c r="D384" s="43">
        <v>7000</v>
      </c>
      <c r="E384" s="43"/>
      <c r="F384" s="43" t="e">
        <f t="shared" si="5"/>
        <v>#N/A</v>
      </c>
      <c r="G384" s="43"/>
    </row>
    <row r="385" spans="1:7" x14ac:dyDescent="0.3">
      <c r="A385" s="79">
        <v>42600</v>
      </c>
      <c r="B385" s="5" t="s">
        <v>25</v>
      </c>
      <c r="C385" s="5" t="s">
        <v>433</v>
      </c>
      <c r="D385" s="43">
        <v>150</v>
      </c>
      <c r="E385" s="43"/>
      <c r="F385" s="43" t="e">
        <f t="shared" si="5"/>
        <v>#N/A</v>
      </c>
      <c r="G385" s="43"/>
    </row>
    <row r="386" spans="1:7" x14ac:dyDescent="0.3">
      <c r="A386" s="70">
        <v>42600</v>
      </c>
      <c r="B386" s="761" t="s">
        <v>448</v>
      </c>
      <c r="C386" s="762"/>
      <c r="D386" s="71"/>
      <c r="E386" s="72">
        <v>100000</v>
      </c>
      <c r="F386" s="43" t="e">
        <f t="shared" si="5"/>
        <v>#N/A</v>
      </c>
      <c r="G386" s="43"/>
    </row>
    <row r="387" spans="1:7" x14ac:dyDescent="0.3">
      <c r="A387" s="79">
        <v>42600</v>
      </c>
      <c r="B387" s="5" t="s">
        <v>4</v>
      </c>
      <c r="C387" s="5" t="s">
        <v>426</v>
      </c>
      <c r="D387" s="43">
        <v>10350</v>
      </c>
      <c r="E387" s="43"/>
      <c r="F387" s="43" t="e">
        <f t="shared" ref="F387:F450" si="6">F386-D387+E387</f>
        <v>#N/A</v>
      </c>
      <c r="G387" s="43"/>
    </row>
    <row r="388" spans="1:7" ht="56.25" x14ac:dyDescent="0.3">
      <c r="A388" s="79">
        <v>42600</v>
      </c>
      <c r="B388" s="5" t="s">
        <v>427</v>
      </c>
      <c r="C388" s="92" t="s">
        <v>428</v>
      </c>
      <c r="D388" s="43">
        <v>51050</v>
      </c>
      <c r="E388" s="43"/>
      <c r="F388" s="43" t="e">
        <f t="shared" si="6"/>
        <v>#N/A</v>
      </c>
      <c r="G388" s="43"/>
    </row>
    <row r="389" spans="1:7" x14ac:dyDescent="0.3">
      <c r="A389" s="79">
        <v>42601</v>
      </c>
      <c r="B389" s="5" t="s">
        <v>176</v>
      </c>
      <c r="C389" s="5" t="s">
        <v>429</v>
      </c>
      <c r="D389" s="43">
        <v>10350</v>
      </c>
      <c r="E389" s="43"/>
      <c r="F389" s="43" t="e">
        <f t="shared" si="6"/>
        <v>#N/A</v>
      </c>
      <c r="G389" s="43"/>
    </row>
    <row r="390" spans="1:7" ht="37.5" x14ac:dyDescent="0.3">
      <c r="A390" s="79">
        <v>42601</v>
      </c>
      <c r="B390" s="5" t="s">
        <v>230</v>
      </c>
      <c r="C390" s="92" t="s">
        <v>443</v>
      </c>
      <c r="D390" s="43">
        <v>150</v>
      </c>
      <c r="E390" s="43"/>
      <c r="F390" s="43" t="e">
        <f t="shared" si="6"/>
        <v>#N/A</v>
      </c>
      <c r="G390" s="43"/>
    </row>
    <row r="391" spans="1:7" x14ac:dyDescent="0.3">
      <c r="A391" s="79">
        <v>42601</v>
      </c>
      <c r="B391" s="5" t="s">
        <v>66</v>
      </c>
      <c r="C391" s="5" t="s">
        <v>430</v>
      </c>
      <c r="D391" s="43">
        <v>3900</v>
      </c>
      <c r="E391" s="43"/>
      <c r="F391" s="43" t="e">
        <f t="shared" si="6"/>
        <v>#N/A</v>
      </c>
      <c r="G391" s="43"/>
    </row>
    <row r="392" spans="1:7" x14ac:dyDescent="0.3">
      <c r="A392" s="79">
        <v>42601</v>
      </c>
      <c r="B392" s="5" t="s">
        <v>25</v>
      </c>
      <c r="C392" s="5" t="s">
        <v>431</v>
      </c>
      <c r="D392" s="43">
        <v>122</v>
      </c>
      <c r="E392" s="43"/>
      <c r="F392" s="43" t="e">
        <f t="shared" si="6"/>
        <v>#N/A</v>
      </c>
      <c r="G392" s="43"/>
    </row>
    <row r="393" spans="1:7" x14ac:dyDescent="0.3">
      <c r="A393" s="79">
        <v>42601</v>
      </c>
      <c r="B393" s="5" t="s">
        <v>25</v>
      </c>
      <c r="C393" s="5" t="s">
        <v>432</v>
      </c>
      <c r="D393" s="43">
        <v>800</v>
      </c>
      <c r="E393" s="43"/>
      <c r="F393" s="43" t="e">
        <f t="shared" si="6"/>
        <v>#N/A</v>
      </c>
      <c r="G393" s="43"/>
    </row>
    <row r="394" spans="1:7" x14ac:dyDescent="0.3">
      <c r="A394" s="79">
        <v>42601</v>
      </c>
      <c r="B394" s="5" t="s">
        <v>230</v>
      </c>
      <c r="C394" s="5" t="s">
        <v>442</v>
      </c>
      <c r="D394" s="43">
        <v>2600</v>
      </c>
      <c r="E394" s="43"/>
      <c r="F394" s="43" t="e">
        <f t="shared" si="6"/>
        <v>#N/A</v>
      </c>
      <c r="G394" s="43"/>
    </row>
    <row r="395" spans="1:7" x14ac:dyDescent="0.3">
      <c r="A395" s="79">
        <v>42602</v>
      </c>
      <c r="B395" s="5" t="s">
        <v>42</v>
      </c>
      <c r="C395" s="5" t="s">
        <v>436</v>
      </c>
      <c r="D395" s="43">
        <v>4000</v>
      </c>
      <c r="E395" s="43"/>
      <c r="F395" s="43" t="e">
        <f t="shared" si="6"/>
        <v>#N/A</v>
      </c>
      <c r="G395" s="43"/>
    </row>
    <row r="396" spans="1:7" x14ac:dyDescent="0.3">
      <c r="A396" s="79">
        <v>42602</v>
      </c>
      <c r="B396" s="5" t="s">
        <v>10</v>
      </c>
      <c r="C396" s="5" t="s">
        <v>435</v>
      </c>
      <c r="D396" s="43">
        <v>2000</v>
      </c>
      <c r="E396" s="43"/>
      <c r="F396" s="43" t="e">
        <f t="shared" si="6"/>
        <v>#N/A</v>
      </c>
      <c r="G396" s="43"/>
    </row>
    <row r="397" spans="1:7" x14ac:dyDescent="0.3">
      <c r="A397" s="79">
        <v>42602</v>
      </c>
      <c r="B397" s="5" t="s">
        <v>10</v>
      </c>
      <c r="C397" s="5" t="s">
        <v>437</v>
      </c>
      <c r="D397" s="43">
        <v>408</v>
      </c>
      <c r="E397" s="43"/>
      <c r="F397" s="43" t="e">
        <f t="shared" si="6"/>
        <v>#N/A</v>
      </c>
      <c r="G397" s="43"/>
    </row>
    <row r="398" spans="1:7" x14ac:dyDescent="0.3">
      <c r="A398" s="79">
        <v>42602</v>
      </c>
      <c r="B398" s="5" t="s">
        <v>22</v>
      </c>
      <c r="C398" s="5" t="s">
        <v>320</v>
      </c>
      <c r="D398" s="43">
        <v>10000</v>
      </c>
      <c r="E398" s="43"/>
      <c r="F398" s="43" t="e">
        <f t="shared" si="6"/>
        <v>#N/A</v>
      </c>
      <c r="G398" s="43"/>
    </row>
    <row r="399" spans="1:7" x14ac:dyDescent="0.3">
      <c r="A399" s="79">
        <v>42602</v>
      </c>
      <c r="B399" s="5" t="s">
        <v>160</v>
      </c>
      <c r="C399" s="5" t="s">
        <v>440</v>
      </c>
      <c r="D399" s="43">
        <v>8000</v>
      </c>
      <c r="E399" s="43"/>
      <c r="F399" s="43" t="e">
        <f t="shared" si="6"/>
        <v>#N/A</v>
      </c>
      <c r="G399" s="43"/>
    </row>
    <row r="400" spans="1:7" x14ac:dyDescent="0.3">
      <c r="A400" s="79">
        <v>42602</v>
      </c>
      <c r="B400" s="5" t="s">
        <v>439</v>
      </c>
      <c r="C400" s="5" t="s">
        <v>441</v>
      </c>
      <c r="D400" s="43">
        <v>5200</v>
      </c>
      <c r="E400" s="43"/>
      <c r="F400" s="43" t="e">
        <f t="shared" si="6"/>
        <v>#N/A</v>
      </c>
      <c r="G400" s="43"/>
    </row>
    <row r="401" spans="1:7" x14ac:dyDescent="0.3">
      <c r="A401" s="79">
        <v>42602</v>
      </c>
      <c r="B401" s="5" t="s">
        <v>16</v>
      </c>
      <c r="C401" s="5" t="s">
        <v>444</v>
      </c>
      <c r="D401" s="43">
        <v>2000</v>
      </c>
      <c r="E401" s="43"/>
      <c r="F401" s="43" t="e">
        <f t="shared" si="6"/>
        <v>#N/A</v>
      </c>
      <c r="G401" s="43"/>
    </row>
    <row r="402" spans="1:7" x14ac:dyDescent="0.3">
      <c r="A402" s="79">
        <v>42602</v>
      </c>
      <c r="B402" s="5" t="s">
        <v>247</v>
      </c>
      <c r="C402" s="5" t="s">
        <v>446</v>
      </c>
      <c r="D402" s="65">
        <v>2025</v>
      </c>
      <c r="E402" s="65"/>
      <c r="F402" s="43" t="e">
        <f t="shared" si="6"/>
        <v>#N/A</v>
      </c>
      <c r="G402" s="43"/>
    </row>
    <row r="403" spans="1:7" x14ac:dyDescent="0.3">
      <c r="A403" s="79">
        <v>42602</v>
      </c>
      <c r="B403" s="5" t="s">
        <v>119</v>
      </c>
      <c r="C403" s="5" t="s">
        <v>294</v>
      </c>
      <c r="D403" s="43">
        <v>500</v>
      </c>
      <c r="E403" s="43"/>
      <c r="F403" s="43" t="e">
        <f t="shared" si="6"/>
        <v>#N/A</v>
      </c>
      <c r="G403" s="43"/>
    </row>
    <row r="404" spans="1:7" x14ac:dyDescent="0.3">
      <c r="A404" s="79">
        <v>42604</v>
      </c>
      <c r="B404" s="5" t="s">
        <v>16</v>
      </c>
      <c r="C404" s="5" t="s">
        <v>31</v>
      </c>
      <c r="D404" s="43">
        <v>2000</v>
      </c>
      <c r="E404" s="43"/>
      <c r="F404" s="43" t="e">
        <f t="shared" si="6"/>
        <v>#N/A</v>
      </c>
      <c r="G404" s="43"/>
    </row>
    <row r="405" spans="1:7" x14ac:dyDescent="0.3">
      <c r="A405" s="79">
        <v>42604</v>
      </c>
      <c r="B405" s="5" t="s">
        <v>25</v>
      </c>
      <c r="C405" s="5" t="s">
        <v>447</v>
      </c>
      <c r="D405" s="43">
        <v>330</v>
      </c>
      <c r="E405" s="43"/>
      <c r="F405" s="43" t="e">
        <f t="shared" si="6"/>
        <v>#N/A</v>
      </c>
      <c r="G405" s="43"/>
    </row>
    <row r="406" spans="1:7" x14ac:dyDescent="0.3">
      <c r="A406" s="79">
        <v>42604</v>
      </c>
      <c r="B406" s="5" t="s">
        <v>230</v>
      </c>
      <c r="C406" s="5" t="s">
        <v>31</v>
      </c>
      <c r="D406" s="43">
        <v>1000</v>
      </c>
      <c r="E406" s="43"/>
      <c r="F406" s="43" t="e">
        <f t="shared" si="6"/>
        <v>#N/A</v>
      </c>
      <c r="G406" s="43"/>
    </row>
    <row r="407" spans="1:7" x14ac:dyDescent="0.3">
      <c r="A407" s="70">
        <v>42604</v>
      </c>
      <c r="B407" s="761" t="s">
        <v>457</v>
      </c>
      <c r="C407" s="762"/>
      <c r="D407" s="71"/>
      <c r="E407" s="72">
        <v>100000</v>
      </c>
      <c r="F407" s="43" t="e">
        <f t="shared" si="6"/>
        <v>#N/A</v>
      </c>
      <c r="G407" s="43"/>
    </row>
    <row r="408" spans="1:7" x14ac:dyDescent="0.3">
      <c r="A408" s="79">
        <v>42604</v>
      </c>
      <c r="B408" s="5" t="s">
        <v>25</v>
      </c>
      <c r="C408" s="5" t="s">
        <v>449</v>
      </c>
      <c r="D408" s="43">
        <v>350</v>
      </c>
      <c r="E408" s="43"/>
      <c r="F408" s="43" t="e">
        <f t="shared" si="6"/>
        <v>#N/A</v>
      </c>
      <c r="G408" s="43"/>
    </row>
    <row r="409" spans="1:7" ht="37.5" x14ac:dyDescent="0.3">
      <c r="A409" s="79">
        <v>42604</v>
      </c>
      <c r="B409" s="5" t="s">
        <v>102</v>
      </c>
      <c r="C409" s="92" t="s">
        <v>471</v>
      </c>
      <c r="D409" s="65">
        <v>4900</v>
      </c>
      <c r="E409" s="65"/>
      <c r="F409" s="43" t="e">
        <f t="shared" si="6"/>
        <v>#N/A</v>
      </c>
      <c r="G409" s="43"/>
    </row>
    <row r="410" spans="1:7" x14ac:dyDescent="0.3">
      <c r="A410" s="79">
        <v>42604</v>
      </c>
      <c r="B410" s="5" t="s">
        <v>119</v>
      </c>
      <c r="C410" s="5" t="s">
        <v>31</v>
      </c>
      <c r="D410" s="43">
        <v>5000</v>
      </c>
      <c r="E410" s="43"/>
      <c r="F410" s="43" t="e">
        <f t="shared" si="6"/>
        <v>#N/A</v>
      </c>
      <c r="G410" s="43"/>
    </row>
    <row r="411" spans="1:7" x14ac:dyDescent="0.3">
      <c r="A411" s="79">
        <v>42604</v>
      </c>
      <c r="B411" s="5" t="s">
        <v>118</v>
      </c>
      <c r="C411" s="5" t="s">
        <v>452</v>
      </c>
      <c r="D411" s="43">
        <v>50</v>
      </c>
      <c r="E411" s="43"/>
      <c r="F411" s="43" t="e">
        <f t="shared" si="6"/>
        <v>#N/A</v>
      </c>
      <c r="G411" s="43"/>
    </row>
    <row r="412" spans="1:7" x14ac:dyDescent="0.3">
      <c r="A412" s="79">
        <v>42604</v>
      </c>
      <c r="B412" s="5" t="s">
        <v>25</v>
      </c>
      <c r="C412" s="5" t="s">
        <v>454</v>
      </c>
      <c r="D412" s="43">
        <v>270</v>
      </c>
      <c r="E412" s="43"/>
      <c r="F412" s="43" t="e">
        <f t="shared" si="6"/>
        <v>#N/A</v>
      </c>
      <c r="G412" s="43"/>
    </row>
    <row r="413" spans="1:7" x14ac:dyDescent="0.3">
      <c r="A413" s="79">
        <v>42604</v>
      </c>
      <c r="B413" s="5" t="s">
        <v>39</v>
      </c>
      <c r="C413" s="5" t="s">
        <v>467</v>
      </c>
      <c r="D413" s="43">
        <v>4000</v>
      </c>
      <c r="E413" s="43"/>
      <c r="F413" s="43" t="e">
        <f t="shared" si="6"/>
        <v>#N/A</v>
      </c>
      <c r="G413" s="43"/>
    </row>
    <row r="414" spans="1:7" x14ac:dyDescent="0.3">
      <c r="A414" s="79">
        <v>42604</v>
      </c>
      <c r="B414" s="5" t="s">
        <v>104</v>
      </c>
      <c r="C414" s="5" t="s">
        <v>450</v>
      </c>
      <c r="D414" s="43">
        <v>450</v>
      </c>
      <c r="E414" s="43"/>
      <c r="F414" s="43" t="e">
        <f t="shared" si="6"/>
        <v>#N/A</v>
      </c>
      <c r="G414" s="43"/>
    </row>
    <row r="415" spans="1:7" x14ac:dyDescent="0.3">
      <c r="A415" s="79">
        <v>42605</v>
      </c>
      <c r="B415" s="5" t="s">
        <v>25</v>
      </c>
      <c r="C415" s="5" t="s">
        <v>451</v>
      </c>
      <c r="D415" s="43">
        <v>90</v>
      </c>
      <c r="E415" s="43"/>
      <c r="F415" s="43" t="e">
        <f t="shared" si="6"/>
        <v>#N/A</v>
      </c>
      <c r="G415" s="43"/>
    </row>
    <row r="416" spans="1:7" x14ac:dyDescent="0.3">
      <c r="A416" s="79">
        <v>42605</v>
      </c>
      <c r="B416" s="5" t="s">
        <v>25</v>
      </c>
      <c r="C416" s="5" t="s">
        <v>453</v>
      </c>
      <c r="D416" s="65">
        <v>1700</v>
      </c>
      <c r="E416" s="43"/>
      <c r="F416" s="43" t="e">
        <f t="shared" si="6"/>
        <v>#N/A</v>
      </c>
      <c r="G416" s="43"/>
    </row>
    <row r="417" spans="1:7" x14ac:dyDescent="0.3">
      <c r="A417" s="79">
        <v>42605</v>
      </c>
      <c r="B417" s="5" t="s">
        <v>25</v>
      </c>
      <c r="C417" s="5" t="s">
        <v>453</v>
      </c>
      <c r="D417" s="43">
        <v>582</v>
      </c>
      <c r="E417" s="43"/>
      <c r="F417" s="43" t="e">
        <f t="shared" si="6"/>
        <v>#N/A</v>
      </c>
      <c r="G417" s="43"/>
    </row>
    <row r="418" spans="1:7" x14ac:dyDescent="0.3">
      <c r="A418" s="79">
        <v>42605</v>
      </c>
      <c r="B418" s="5" t="s">
        <v>25</v>
      </c>
      <c r="C418" s="5" t="s">
        <v>453</v>
      </c>
      <c r="D418" s="43">
        <v>27</v>
      </c>
      <c r="E418" s="43"/>
      <c r="F418" s="43" t="e">
        <f t="shared" si="6"/>
        <v>#N/A</v>
      </c>
      <c r="G418" s="43"/>
    </row>
    <row r="419" spans="1:7" x14ac:dyDescent="0.3">
      <c r="A419" s="79">
        <v>42605</v>
      </c>
      <c r="B419" s="5" t="s">
        <v>42</v>
      </c>
      <c r="C419" s="5" t="s">
        <v>474</v>
      </c>
      <c r="D419" s="43">
        <v>5000</v>
      </c>
      <c r="E419" s="43"/>
      <c r="F419" s="43" t="e">
        <f t="shared" si="6"/>
        <v>#N/A</v>
      </c>
      <c r="G419" s="43"/>
    </row>
    <row r="420" spans="1:7" x14ac:dyDescent="0.3">
      <c r="A420" s="79">
        <v>42605</v>
      </c>
      <c r="B420" s="5" t="s">
        <v>122</v>
      </c>
      <c r="C420" s="5" t="s">
        <v>459</v>
      </c>
      <c r="D420" s="43">
        <v>8300</v>
      </c>
      <c r="E420" s="43"/>
      <c r="F420" s="43" t="e">
        <f t="shared" si="6"/>
        <v>#N/A</v>
      </c>
      <c r="G420" s="43"/>
    </row>
    <row r="421" spans="1:7" x14ac:dyDescent="0.3">
      <c r="A421" s="79">
        <v>42605</v>
      </c>
      <c r="B421" s="5" t="s">
        <v>5</v>
      </c>
      <c r="C421" s="5" t="s">
        <v>31</v>
      </c>
      <c r="D421" s="43">
        <v>2000</v>
      </c>
      <c r="E421" s="43"/>
      <c r="F421" s="43" t="e">
        <f t="shared" si="6"/>
        <v>#N/A</v>
      </c>
      <c r="G421" s="43"/>
    </row>
    <row r="422" spans="1:7" x14ac:dyDescent="0.3">
      <c r="A422" s="79">
        <v>42606</v>
      </c>
      <c r="B422" s="5" t="s">
        <v>164</v>
      </c>
      <c r="C422" s="5" t="s">
        <v>31</v>
      </c>
      <c r="D422" s="43">
        <v>5000</v>
      </c>
      <c r="E422" s="43"/>
      <c r="F422" s="43" t="e">
        <f t="shared" si="6"/>
        <v>#N/A</v>
      </c>
      <c r="G422" s="43"/>
    </row>
    <row r="423" spans="1:7" x14ac:dyDescent="0.3">
      <c r="A423" s="79">
        <v>42606</v>
      </c>
      <c r="B423" s="5" t="s">
        <v>455</v>
      </c>
      <c r="C423" s="5" t="s">
        <v>456</v>
      </c>
      <c r="D423" s="43">
        <v>2000</v>
      </c>
      <c r="E423" s="43"/>
      <c r="F423" s="43" t="e">
        <f t="shared" si="6"/>
        <v>#N/A</v>
      </c>
      <c r="G423" s="43"/>
    </row>
    <row r="424" spans="1:7" x14ac:dyDescent="0.3">
      <c r="A424" s="79">
        <v>42606</v>
      </c>
      <c r="B424" s="5" t="s">
        <v>5</v>
      </c>
      <c r="C424" s="5" t="s">
        <v>31</v>
      </c>
      <c r="D424" s="43">
        <v>7000</v>
      </c>
      <c r="E424" s="43"/>
      <c r="F424" s="43" t="e">
        <f t="shared" si="6"/>
        <v>#N/A</v>
      </c>
      <c r="G424" s="43"/>
    </row>
    <row r="425" spans="1:7" x14ac:dyDescent="0.3">
      <c r="A425" s="79">
        <v>42606</v>
      </c>
      <c r="B425" s="5" t="s">
        <v>160</v>
      </c>
      <c r="C425" s="5" t="s">
        <v>458</v>
      </c>
      <c r="D425" s="43">
        <v>4000</v>
      </c>
      <c r="E425" s="43"/>
      <c r="F425" s="43" t="e">
        <f t="shared" si="6"/>
        <v>#N/A</v>
      </c>
      <c r="G425" s="43"/>
    </row>
    <row r="426" spans="1:7" x14ac:dyDescent="0.3">
      <c r="A426" s="79">
        <v>42606</v>
      </c>
      <c r="B426" s="5" t="s">
        <v>230</v>
      </c>
      <c r="C426" s="5" t="s">
        <v>460</v>
      </c>
      <c r="D426" s="43">
        <v>400</v>
      </c>
      <c r="E426" s="43"/>
      <c r="F426" s="43" t="e">
        <f t="shared" si="6"/>
        <v>#N/A</v>
      </c>
      <c r="G426" s="43"/>
    </row>
    <row r="427" spans="1:7" x14ac:dyDescent="0.3">
      <c r="A427" s="79">
        <v>42606</v>
      </c>
      <c r="B427" s="5" t="s">
        <v>16</v>
      </c>
      <c r="C427" s="5" t="s">
        <v>31</v>
      </c>
      <c r="D427" s="43">
        <v>1500</v>
      </c>
      <c r="E427" s="43"/>
      <c r="F427" s="43" t="e">
        <f t="shared" si="6"/>
        <v>#N/A</v>
      </c>
      <c r="G427" s="43"/>
    </row>
    <row r="428" spans="1:7" x14ac:dyDescent="0.3">
      <c r="A428" s="79">
        <v>42606</v>
      </c>
      <c r="B428" s="5" t="s">
        <v>118</v>
      </c>
      <c r="C428" s="5" t="s">
        <v>461</v>
      </c>
      <c r="D428" s="43">
        <v>130</v>
      </c>
      <c r="E428" s="43"/>
      <c r="F428" s="43" t="e">
        <f t="shared" si="6"/>
        <v>#N/A</v>
      </c>
      <c r="G428" s="43"/>
    </row>
    <row r="429" spans="1:7" x14ac:dyDescent="0.3">
      <c r="A429" s="79">
        <v>42606</v>
      </c>
      <c r="B429" s="5" t="s">
        <v>106</v>
      </c>
      <c r="C429" s="5" t="s">
        <v>462</v>
      </c>
      <c r="D429" s="43">
        <v>35000</v>
      </c>
      <c r="E429" s="43"/>
      <c r="F429" s="43" t="e">
        <f t="shared" si="6"/>
        <v>#N/A</v>
      </c>
      <c r="G429" s="43"/>
    </row>
    <row r="430" spans="1:7" x14ac:dyDescent="0.3">
      <c r="A430" s="79">
        <v>42606</v>
      </c>
      <c r="B430" s="5" t="s">
        <v>106</v>
      </c>
      <c r="C430" s="5" t="s">
        <v>463</v>
      </c>
      <c r="D430" s="43">
        <v>10000</v>
      </c>
      <c r="E430" s="43"/>
      <c r="F430" s="43" t="e">
        <f t="shared" si="6"/>
        <v>#N/A</v>
      </c>
      <c r="G430" s="43"/>
    </row>
    <row r="431" spans="1:7" x14ac:dyDescent="0.3">
      <c r="A431" s="70">
        <v>42606</v>
      </c>
      <c r="B431" s="761" t="s">
        <v>464</v>
      </c>
      <c r="C431" s="762"/>
      <c r="D431" s="71"/>
      <c r="E431" s="72">
        <v>100000</v>
      </c>
      <c r="F431" s="43" t="e">
        <f t="shared" si="6"/>
        <v>#N/A</v>
      </c>
      <c r="G431" s="43"/>
    </row>
    <row r="432" spans="1:7" x14ac:dyDescent="0.3">
      <c r="A432" s="79">
        <v>42606</v>
      </c>
      <c r="B432" s="5" t="s">
        <v>106</v>
      </c>
      <c r="C432" s="5" t="s">
        <v>462</v>
      </c>
      <c r="D432" s="43">
        <v>52000</v>
      </c>
      <c r="E432" s="43"/>
      <c r="F432" s="43" t="e">
        <f t="shared" si="6"/>
        <v>#N/A</v>
      </c>
      <c r="G432" s="43"/>
    </row>
    <row r="433" spans="1:7" x14ac:dyDescent="0.3">
      <c r="A433" s="79">
        <v>42606</v>
      </c>
      <c r="B433" s="5" t="s">
        <v>164</v>
      </c>
      <c r="C433" s="5" t="s">
        <v>31</v>
      </c>
      <c r="D433" s="43">
        <v>20000</v>
      </c>
      <c r="E433" s="43"/>
      <c r="F433" s="43" t="e">
        <f t="shared" si="6"/>
        <v>#N/A</v>
      </c>
      <c r="G433" s="43"/>
    </row>
    <row r="434" spans="1:7" x14ac:dyDescent="0.3">
      <c r="A434" s="79">
        <v>42606</v>
      </c>
      <c r="B434" s="5" t="s">
        <v>106</v>
      </c>
      <c r="C434" s="5" t="s">
        <v>465</v>
      </c>
      <c r="D434" s="43">
        <v>1000</v>
      </c>
      <c r="E434" s="43"/>
      <c r="F434" s="43" t="e">
        <f t="shared" si="6"/>
        <v>#N/A</v>
      </c>
      <c r="G434" s="43"/>
    </row>
    <row r="435" spans="1:7" x14ac:dyDescent="0.3">
      <c r="A435" s="79">
        <v>42606</v>
      </c>
      <c r="B435" s="5" t="s">
        <v>39</v>
      </c>
      <c r="C435" s="5" t="s">
        <v>466</v>
      </c>
      <c r="D435" s="43">
        <v>220</v>
      </c>
      <c r="E435" s="43"/>
      <c r="F435" s="43" t="e">
        <f t="shared" si="6"/>
        <v>#N/A</v>
      </c>
      <c r="G435" s="43"/>
    </row>
    <row r="436" spans="1:7" x14ac:dyDescent="0.3">
      <c r="A436" s="79">
        <v>42606</v>
      </c>
      <c r="B436" s="5" t="s">
        <v>127</v>
      </c>
      <c r="C436" s="5" t="s">
        <v>33</v>
      </c>
      <c r="D436" s="43">
        <v>2100</v>
      </c>
      <c r="E436" s="43"/>
      <c r="F436" s="43" t="e">
        <f t="shared" si="6"/>
        <v>#N/A</v>
      </c>
      <c r="G436" s="43"/>
    </row>
    <row r="437" spans="1:7" ht="37.5" x14ac:dyDescent="0.3">
      <c r="A437" s="79">
        <v>42607</v>
      </c>
      <c r="B437" s="5" t="s">
        <v>39</v>
      </c>
      <c r="C437" s="92" t="s">
        <v>468</v>
      </c>
      <c r="D437" s="43">
        <v>1500</v>
      </c>
      <c r="E437" s="43"/>
      <c r="F437" s="43" t="e">
        <f t="shared" si="6"/>
        <v>#N/A</v>
      </c>
      <c r="G437" s="43"/>
    </row>
    <row r="438" spans="1:7" x14ac:dyDescent="0.3">
      <c r="A438" s="79">
        <v>42607</v>
      </c>
      <c r="B438" s="5" t="s">
        <v>25</v>
      </c>
      <c r="C438" s="92" t="s">
        <v>469</v>
      </c>
      <c r="D438" s="43">
        <v>100</v>
      </c>
      <c r="E438" s="43"/>
      <c r="F438" s="43" t="e">
        <f t="shared" si="6"/>
        <v>#N/A</v>
      </c>
      <c r="G438" s="43"/>
    </row>
    <row r="439" spans="1:7" ht="37.5" x14ac:dyDescent="0.3">
      <c r="A439" s="79">
        <v>42607</v>
      </c>
      <c r="B439" s="5" t="s">
        <v>5</v>
      </c>
      <c r="C439" s="92" t="s">
        <v>483</v>
      </c>
      <c r="D439" s="65">
        <v>3600</v>
      </c>
      <c r="E439" s="65"/>
      <c r="F439" s="43" t="e">
        <f t="shared" si="6"/>
        <v>#N/A</v>
      </c>
      <c r="G439" s="43"/>
    </row>
    <row r="440" spans="1:7" x14ac:dyDescent="0.3">
      <c r="A440" s="79">
        <v>42607</v>
      </c>
      <c r="B440" s="5" t="s">
        <v>25</v>
      </c>
      <c r="C440" s="92" t="s">
        <v>470</v>
      </c>
      <c r="D440" s="43">
        <v>790</v>
      </c>
      <c r="E440" s="43"/>
      <c r="F440" s="43" t="e">
        <f t="shared" si="6"/>
        <v>#N/A</v>
      </c>
      <c r="G440" s="43"/>
    </row>
    <row r="441" spans="1:7" x14ac:dyDescent="0.3">
      <c r="A441" s="79">
        <v>42607</v>
      </c>
      <c r="B441" s="5" t="s">
        <v>293</v>
      </c>
      <c r="C441" s="92" t="s">
        <v>472</v>
      </c>
      <c r="D441" s="43">
        <v>7000</v>
      </c>
      <c r="E441" s="43"/>
      <c r="F441" s="43" t="e">
        <f t="shared" si="6"/>
        <v>#N/A</v>
      </c>
      <c r="G441" s="43"/>
    </row>
    <row r="442" spans="1:7" x14ac:dyDescent="0.3">
      <c r="A442" s="79">
        <v>42607</v>
      </c>
      <c r="B442" s="5" t="s">
        <v>25</v>
      </c>
      <c r="C442" s="92" t="s">
        <v>473</v>
      </c>
      <c r="D442" s="43">
        <f>15+19</f>
        <v>34</v>
      </c>
      <c r="E442" s="43"/>
      <c r="F442" s="43" t="e">
        <f t="shared" si="6"/>
        <v>#N/A</v>
      </c>
      <c r="G442" s="43"/>
    </row>
    <row r="443" spans="1:7" x14ac:dyDescent="0.3">
      <c r="A443" s="79">
        <v>42607</v>
      </c>
      <c r="B443" s="5" t="s">
        <v>25</v>
      </c>
      <c r="C443" s="92" t="s">
        <v>475</v>
      </c>
      <c r="D443" s="43">
        <v>40</v>
      </c>
      <c r="E443" s="43"/>
      <c r="F443" s="43" t="e">
        <f t="shared" si="6"/>
        <v>#N/A</v>
      </c>
      <c r="G443" s="43"/>
    </row>
    <row r="444" spans="1:7" x14ac:dyDescent="0.3">
      <c r="A444" s="70">
        <v>42607</v>
      </c>
      <c r="B444" s="761" t="s">
        <v>498</v>
      </c>
      <c r="C444" s="762"/>
      <c r="D444" s="71"/>
      <c r="E444" s="72">
        <v>100000</v>
      </c>
      <c r="F444" s="43" t="e">
        <f t="shared" si="6"/>
        <v>#N/A</v>
      </c>
      <c r="G444" s="43"/>
    </row>
    <row r="445" spans="1:7" x14ac:dyDescent="0.3">
      <c r="A445" s="79">
        <v>42607</v>
      </c>
      <c r="B445" s="5" t="s">
        <v>127</v>
      </c>
      <c r="C445" s="92" t="s">
        <v>476</v>
      </c>
      <c r="D445" s="43">
        <v>17500</v>
      </c>
      <c r="E445" s="43"/>
      <c r="F445" s="43" t="e">
        <f t="shared" si="6"/>
        <v>#N/A</v>
      </c>
      <c r="G445" s="43"/>
    </row>
    <row r="446" spans="1:7" x14ac:dyDescent="0.3">
      <c r="A446" s="79">
        <v>42607</v>
      </c>
      <c r="B446" s="5" t="s">
        <v>25</v>
      </c>
      <c r="C446" s="92" t="s">
        <v>401</v>
      </c>
      <c r="D446" s="43">
        <v>295</v>
      </c>
      <c r="E446" s="43"/>
      <c r="F446" s="43" t="e">
        <f t="shared" si="6"/>
        <v>#N/A</v>
      </c>
      <c r="G446" s="43"/>
    </row>
    <row r="447" spans="1:7" x14ac:dyDescent="0.3">
      <c r="A447" s="79">
        <v>42607</v>
      </c>
      <c r="B447" s="5" t="s">
        <v>160</v>
      </c>
      <c r="C447" s="92" t="s">
        <v>477</v>
      </c>
      <c r="D447" s="43">
        <v>10000</v>
      </c>
      <c r="E447" s="43"/>
      <c r="F447" s="43" t="e">
        <f t="shared" si="6"/>
        <v>#N/A</v>
      </c>
      <c r="G447" s="43"/>
    </row>
    <row r="448" spans="1:7" x14ac:dyDescent="0.3">
      <c r="A448" s="79">
        <v>42607</v>
      </c>
      <c r="B448" s="5" t="s">
        <v>367</v>
      </c>
      <c r="C448" s="92" t="s">
        <v>478</v>
      </c>
      <c r="D448" s="43">
        <v>10000</v>
      </c>
      <c r="E448" s="43"/>
      <c r="F448" s="43" t="e">
        <f t="shared" si="6"/>
        <v>#N/A</v>
      </c>
      <c r="G448" s="43"/>
    </row>
    <row r="449" spans="1:7" x14ac:dyDescent="0.3">
      <c r="A449" s="79">
        <v>42608</v>
      </c>
      <c r="B449" s="5" t="s">
        <v>479</v>
      </c>
      <c r="C449" s="92" t="s">
        <v>480</v>
      </c>
      <c r="D449" s="43">
        <v>15000</v>
      </c>
      <c r="E449" s="43"/>
      <c r="F449" s="43" t="e">
        <f t="shared" si="6"/>
        <v>#N/A</v>
      </c>
      <c r="G449" s="43"/>
    </row>
    <row r="450" spans="1:7" x14ac:dyDescent="0.3">
      <c r="A450" s="79">
        <v>42608</v>
      </c>
      <c r="B450" s="5" t="s">
        <v>106</v>
      </c>
      <c r="C450" s="92" t="s">
        <v>481</v>
      </c>
      <c r="D450" s="43">
        <v>2000</v>
      </c>
      <c r="E450" s="43"/>
      <c r="F450" s="43" t="e">
        <f t="shared" si="6"/>
        <v>#N/A</v>
      </c>
      <c r="G450" s="43"/>
    </row>
    <row r="451" spans="1:7" x14ac:dyDescent="0.3">
      <c r="A451" s="79">
        <v>42608</v>
      </c>
      <c r="B451" s="5" t="s">
        <v>127</v>
      </c>
      <c r="C451" s="92" t="s">
        <v>482</v>
      </c>
      <c r="D451" s="43">
        <v>2000</v>
      </c>
      <c r="E451" s="43"/>
      <c r="F451" s="43" t="e">
        <f t="shared" ref="F451:F514" si="7">F450-D451+E451</f>
        <v>#N/A</v>
      </c>
      <c r="G451" s="43"/>
    </row>
    <row r="452" spans="1:7" x14ac:dyDescent="0.3">
      <c r="A452" s="79">
        <v>42608</v>
      </c>
      <c r="B452" s="5" t="s">
        <v>5</v>
      </c>
      <c r="C452" s="92" t="s">
        <v>31</v>
      </c>
      <c r="D452" s="43">
        <v>150</v>
      </c>
      <c r="E452" s="43"/>
      <c r="F452" s="43" t="e">
        <f t="shared" si="7"/>
        <v>#N/A</v>
      </c>
      <c r="G452" s="43"/>
    </row>
    <row r="453" spans="1:7" x14ac:dyDescent="0.3">
      <c r="A453" s="79">
        <v>42608</v>
      </c>
      <c r="B453" s="5" t="s">
        <v>103</v>
      </c>
      <c r="C453" s="92" t="s">
        <v>485</v>
      </c>
      <c r="D453" s="43">
        <v>340</v>
      </c>
      <c r="E453" s="43"/>
      <c r="F453" s="43" t="e">
        <f t="shared" si="7"/>
        <v>#N/A</v>
      </c>
      <c r="G453" s="43"/>
    </row>
    <row r="454" spans="1:7" x14ac:dyDescent="0.3">
      <c r="A454" s="79">
        <v>42608</v>
      </c>
      <c r="B454" s="5" t="s">
        <v>39</v>
      </c>
      <c r="C454" s="92" t="s">
        <v>484</v>
      </c>
      <c r="D454" s="43">
        <v>300</v>
      </c>
      <c r="E454" s="43"/>
      <c r="F454" s="43" t="e">
        <f t="shared" si="7"/>
        <v>#N/A</v>
      </c>
      <c r="G454" s="43"/>
    </row>
    <row r="455" spans="1:7" x14ac:dyDescent="0.3">
      <c r="A455" s="79">
        <v>42608</v>
      </c>
      <c r="B455" s="5" t="s">
        <v>247</v>
      </c>
      <c r="C455" s="92" t="s">
        <v>486</v>
      </c>
      <c r="D455" s="43">
        <v>500</v>
      </c>
      <c r="E455" s="43"/>
      <c r="F455" s="43" t="e">
        <f t="shared" si="7"/>
        <v>#N/A</v>
      </c>
      <c r="G455" s="43"/>
    </row>
    <row r="456" spans="1:7" x14ac:dyDescent="0.3">
      <c r="A456" s="79">
        <v>42608</v>
      </c>
      <c r="B456" s="5" t="s">
        <v>119</v>
      </c>
      <c r="C456" s="92" t="s">
        <v>201</v>
      </c>
      <c r="D456" s="65">
        <v>1000</v>
      </c>
      <c r="E456" s="65"/>
      <c r="F456" s="43" t="e">
        <f t="shared" si="7"/>
        <v>#N/A</v>
      </c>
      <c r="G456" s="65"/>
    </row>
    <row r="457" spans="1:7" x14ac:dyDescent="0.3">
      <c r="A457" s="79">
        <v>42608</v>
      </c>
      <c r="B457" s="5" t="s">
        <v>160</v>
      </c>
      <c r="C457" s="92" t="s">
        <v>425</v>
      </c>
      <c r="D457" s="43">
        <v>2000</v>
      </c>
      <c r="E457" s="43"/>
      <c r="F457" s="43" t="e">
        <f t="shared" si="7"/>
        <v>#N/A</v>
      </c>
      <c r="G457" s="43"/>
    </row>
    <row r="458" spans="1:7" x14ac:dyDescent="0.3">
      <c r="A458" s="79">
        <v>42609</v>
      </c>
      <c r="B458" s="5" t="s">
        <v>5</v>
      </c>
      <c r="C458" s="92" t="s">
        <v>487</v>
      </c>
      <c r="D458" s="43">
        <v>5000</v>
      </c>
      <c r="E458" s="62"/>
      <c r="F458" s="43" t="e">
        <f t="shared" si="7"/>
        <v>#N/A</v>
      </c>
      <c r="G458" s="43"/>
    </row>
    <row r="459" spans="1:7" x14ac:dyDescent="0.3">
      <c r="A459" s="79">
        <v>42609</v>
      </c>
      <c r="B459" s="5" t="s">
        <v>5</v>
      </c>
      <c r="C459" s="92" t="s">
        <v>488</v>
      </c>
      <c r="D459" s="43">
        <v>1200</v>
      </c>
      <c r="E459" s="43"/>
      <c r="F459" s="43" t="e">
        <f t="shared" si="7"/>
        <v>#N/A</v>
      </c>
      <c r="G459" s="43"/>
    </row>
    <row r="460" spans="1:7" x14ac:dyDescent="0.3">
      <c r="A460" s="79">
        <v>42609</v>
      </c>
      <c r="B460" s="5" t="s">
        <v>5</v>
      </c>
      <c r="C460" s="92" t="s">
        <v>489</v>
      </c>
      <c r="D460" s="43">
        <v>2000</v>
      </c>
      <c r="E460" s="43"/>
      <c r="F460" s="43" t="e">
        <f t="shared" si="7"/>
        <v>#N/A</v>
      </c>
      <c r="G460" s="43"/>
    </row>
    <row r="461" spans="1:7" x14ac:dyDescent="0.3">
      <c r="A461" s="79">
        <v>42609</v>
      </c>
      <c r="B461" s="5" t="s">
        <v>25</v>
      </c>
      <c r="C461" s="92" t="s">
        <v>490</v>
      </c>
      <c r="D461" s="43">
        <v>325</v>
      </c>
      <c r="E461" s="43"/>
      <c r="F461" s="43" t="e">
        <f t="shared" si="7"/>
        <v>#N/A</v>
      </c>
      <c r="G461" s="43"/>
    </row>
    <row r="462" spans="1:7" x14ac:dyDescent="0.3">
      <c r="A462" s="79">
        <v>42611</v>
      </c>
      <c r="B462" s="5" t="s">
        <v>122</v>
      </c>
      <c r="C462" s="92" t="s">
        <v>491</v>
      </c>
      <c r="D462" s="43">
        <v>5300</v>
      </c>
      <c r="E462" s="43"/>
      <c r="F462" s="43" t="e">
        <f t="shared" si="7"/>
        <v>#N/A</v>
      </c>
      <c r="G462" s="43"/>
    </row>
    <row r="463" spans="1:7" x14ac:dyDescent="0.3">
      <c r="A463" s="79">
        <v>42611</v>
      </c>
      <c r="B463" s="5" t="s">
        <v>5</v>
      </c>
      <c r="C463" s="92" t="s">
        <v>497</v>
      </c>
      <c r="D463" s="43">
        <v>12150</v>
      </c>
      <c r="E463" s="43"/>
      <c r="F463" s="43" t="e">
        <f t="shared" si="7"/>
        <v>#N/A</v>
      </c>
      <c r="G463" s="43"/>
    </row>
    <row r="464" spans="1:7" ht="93.75" x14ac:dyDescent="0.3">
      <c r="A464" s="79">
        <v>42611</v>
      </c>
      <c r="B464" s="5" t="s">
        <v>230</v>
      </c>
      <c r="C464" s="92" t="s">
        <v>492</v>
      </c>
      <c r="D464" s="43">
        <v>1400</v>
      </c>
      <c r="E464" s="43"/>
      <c r="F464" s="43" t="e">
        <f t="shared" si="7"/>
        <v>#N/A</v>
      </c>
      <c r="G464" s="43"/>
    </row>
    <row r="465" spans="1:7" ht="37.5" x14ac:dyDescent="0.3">
      <c r="A465" s="79">
        <v>42611</v>
      </c>
      <c r="B465" s="5" t="s">
        <v>181</v>
      </c>
      <c r="C465" s="92" t="s">
        <v>493</v>
      </c>
      <c r="D465" s="43">
        <v>80</v>
      </c>
      <c r="E465" s="43"/>
      <c r="F465" s="43" t="e">
        <f t="shared" si="7"/>
        <v>#N/A</v>
      </c>
      <c r="G465" s="43"/>
    </row>
    <row r="466" spans="1:7" x14ac:dyDescent="0.3">
      <c r="A466" s="79">
        <v>42611</v>
      </c>
      <c r="B466" s="5" t="s">
        <v>154</v>
      </c>
      <c r="C466" s="92" t="s">
        <v>444</v>
      </c>
      <c r="D466" s="43">
        <v>3000</v>
      </c>
      <c r="E466" s="43"/>
      <c r="F466" s="43" t="e">
        <f t="shared" si="7"/>
        <v>#N/A</v>
      </c>
      <c r="G466" s="43"/>
    </row>
    <row r="467" spans="1:7" x14ac:dyDescent="0.3">
      <c r="A467" s="79">
        <v>42611</v>
      </c>
      <c r="B467" s="5" t="s">
        <v>37</v>
      </c>
      <c r="C467" s="92" t="s">
        <v>31</v>
      </c>
      <c r="D467" s="43">
        <v>4000</v>
      </c>
      <c r="E467" s="43"/>
      <c r="F467" s="43" t="e">
        <f t="shared" si="7"/>
        <v>#N/A</v>
      </c>
      <c r="G467" s="43"/>
    </row>
    <row r="468" spans="1:7" x14ac:dyDescent="0.3">
      <c r="A468" s="79">
        <v>42611</v>
      </c>
      <c r="B468" s="5" t="s">
        <v>25</v>
      </c>
      <c r="C468" s="92" t="s">
        <v>494</v>
      </c>
      <c r="D468" s="43">
        <f>40+25</f>
        <v>65</v>
      </c>
      <c r="E468" s="43"/>
      <c r="F468" s="43" t="e">
        <f t="shared" si="7"/>
        <v>#N/A</v>
      </c>
      <c r="G468" s="43"/>
    </row>
    <row r="469" spans="1:7" x14ac:dyDescent="0.3">
      <c r="A469" s="79">
        <v>42611</v>
      </c>
      <c r="B469" s="5" t="s">
        <v>230</v>
      </c>
      <c r="C469" s="92" t="s">
        <v>518</v>
      </c>
      <c r="D469" s="65">
        <v>13960</v>
      </c>
      <c r="E469" s="65"/>
      <c r="F469" s="43" t="e">
        <f t="shared" si="7"/>
        <v>#N/A</v>
      </c>
      <c r="G469" s="43"/>
    </row>
    <row r="470" spans="1:7" x14ac:dyDescent="0.3">
      <c r="A470" s="79">
        <v>42611</v>
      </c>
      <c r="B470" s="5" t="s">
        <v>230</v>
      </c>
      <c r="C470" s="92" t="s">
        <v>519</v>
      </c>
      <c r="D470" s="65">
        <v>4950</v>
      </c>
      <c r="E470" s="65"/>
      <c r="F470" s="43" t="e">
        <f t="shared" si="7"/>
        <v>#N/A</v>
      </c>
      <c r="G470" s="43"/>
    </row>
    <row r="471" spans="1:7" x14ac:dyDescent="0.3">
      <c r="A471" s="79">
        <v>42611</v>
      </c>
      <c r="B471" s="5" t="s">
        <v>5</v>
      </c>
      <c r="C471" s="92" t="s">
        <v>31</v>
      </c>
      <c r="D471" s="43">
        <v>2000</v>
      </c>
      <c r="E471" s="43"/>
      <c r="F471" s="43" t="e">
        <f t="shared" si="7"/>
        <v>#N/A</v>
      </c>
      <c r="G471" s="43"/>
    </row>
    <row r="472" spans="1:7" x14ac:dyDescent="0.3">
      <c r="A472" s="79">
        <v>42611</v>
      </c>
      <c r="B472" s="5" t="s">
        <v>154</v>
      </c>
      <c r="C472" s="92" t="s">
        <v>31</v>
      </c>
      <c r="D472" s="43">
        <v>2910</v>
      </c>
      <c r="E472" s="43"/>
      <c r="F472" s="43" t="e">
        <f t="shared" si="7"/>
        <v>#N/A</v>
      </c>
      <c r="G472" s="43"/>
    </row>
    <row r="473" spans="1:7" ht="37.5" x14ac:dyDescent="0.3">
      <c r="A473" s="79">
        <v>42611</v>
      </c>
      <c r="B473" s="5" t="s">
        <v>25</v>
      </c>
      <c r="C473" s="92" t="s">
        <v>495</v>
      </c>
      <c r="D473" s="43">
        <v>70</v>
      </c>
      <c r="E473" s="43"/>
      <c r="F473" s="43" t="e">
        <f t="shared" si="7"/>
        <v>#N/A</v>
      </c>
      <c r="G473" s="43"/>
    </row>
    <row r="474" spans="1:7" x14ac:dyDescent="0.3">
      <c r="A474" s="79">
        <v>42611</v>
      </c>
      <c r="B474" s="5" t="s">
        <v>104</v>
      </c>
      <c r="C474" s="92" t="s">
        <v>496</v>
      </c>
      <c r="D474" s="43">
        <v>500</v>
      </c>
      <c r="E474" s="43"/>
      <c r="F474" s="43" t="e">
        <f t="shared" si="7"/>
        <v>#N/A</v>
      </c>
      <c r="G474" s="43"/>
    </row>
    <row r="475" spans="1:7" x14ac:dyDescent="0.3">
      <c r="A475" s="79">
        <v>42612</v>
      </c>
      <c r="B475" s="5" t="s">
        <v>25</v>
      </c>
      <c r="C475" s="92" t="s">
        <v>166</v>
      </c>
      <c r="D475" s="43">
        <v>100</v>
      </c>
      <c r="E475" s="43"/>
      <c r="F475" s="43" t="e">
        <f t="shared" si="7"/>
        <v>#N/A</v>
      </c>
      <c r="G475" s="43"/>
    </row>
    <row r="476" spans="1:7" x14ac:dyDescent="0.3">
      <c r="A476" s="70">
        <v>42612</v>
      </c>
      <c r="B476" s="761" t="s">
        <v>503</v>
      </c>
      <c r="C476" s="762"/>
      <c r="D476" s="71"/>
      <c r="E476" s="72">
        <v>100000</v>
      </c>
      <c r="F476" s="43" t="e">
        <f t="shared" si="7"/>
        <v>#N/A</v>
      </c>
      <c r="G476" s="43"/>
    </row>
    <row r="477" spans="1:7" x14ac:dyDescent="0.3">
      <c r="A477" s="79">
        <v>42612</v>
      </c>
      <c r="B477" s="5" t="s">
        <v>499</v>
      </c>
      <c r="C477" s="92" t="s">
        <v>500</v>
      </c>
      <c r="D477" s="43">
        <v>600</v>
      </c>
      <c r="E477" s="43"/>
      <c r="F477" s="43" t="e">
        <f t="shared" si="7"/>
        <v>#N/A</v>
      </c>
      <c r="G477" s="43"/>
    </row>
    <row r="478" spans="1:7" x14ac:dyDescent="0.3">
      <c r="A478" s="79">
        <v>42612</v>
      </c>
      <c r="B478" s="5" t="s">
        <v>42</v>
      </c>
      <c r="C478" s="92" t="s">
        <v>31</v>
      </c>
      <c r="D478" s="43">
        <v>1100</v>
      </c>
      <c r="E478" s="43"/>
      <c r="F478" s="43" t="e">
        <f t="shared" si="7"/>
        <v>#N/A</v>
      </c>
      <c r="G478" s="43"/>
    </row>
    <row r="479" spans="1:7" x14ac:dyDescent="0.3">
      <c r="A479" s="79">
        <v>42612</v>
      </c>
      <c r="B479" s="5" t="s">
        <v>164</v>
      </c>
      <c r="C479" s="92" t="s">
        <v>31</v>
      </c>
      <c r="D479" s="43">
        <v>10000</v>
      </c>
      <c r="E479" s="43"/>
      <c r="F479" s="43" t="e">
        <f t="shared" si="7"/>
        <v>#N/A</v>
      </c>
      <c r="G479" s="43"/>
    </row>
    <row r="480" spans="1:7" x14ac:dyDescent="0.3">
      <c r="A480" s="79">
        <v>42612</v>
      </c>
      <c r="B480" s="5" t="s">
        <v>5</v>
      </c>
      <c r="C480" s="92" t="s">
        <v>501</v>
      </c>
      <c r="D480" s="43">
        <v>4500</v>
      </c>
      <c r="E480" s="43"/>
      <c r="F480" s="43" t="e">
        <f t="shared" si="7"/>
        <v>#N/A</v>
      </c>
      <c r="G480" s="43"/>
    </row>
    <row r="481" spans="1:7" ht="37.5" x14ac:dyDescent="0.3">
      <c r="A481" s="79">
        <v>42612</v>
      </c>
      <c r="B481" s="5" t="s">
        <v>160</v>
      </c>
      <c r="C481" s="92" t="s">
        <v>393</v>
      </c>
      <c r="D481" s="43">
        <v>2000</v>
      </c>
      <c r="E481" s="43"/>
      <c r="F481" s="43" t="e">
        <f t="shared" si="7"/>
        <v>#N/A</v>
      </c>
      <c r="G481" s="43"/>
    </row>
    <row r="482" spans="1:7" ht="37.5" x14ac:dyDescent="0.3">
      <c r="A482" s="79">
        <v>42612</v>
      </c>
      <c r="B482" s="5" t="s">
        <v>402</v>
      </c>
      <c r="C482" s="92" t="s">
        <v>502</v>
      </c>
      <c r="D482" s="43">
        <v>7000</v>
      </c>
      <c r="E482" s="43"/>
      <c r="F482" s="43" t="e">
        <f t="shared" si="7"/>
        <v>#N/A</v>
      </c>
      <c r="G482" s="43"/>
    </row>
    <row r="483" spans="1:7" x14ac:dyDescent="0.3">
      <c r="A483" s="79">
        <v>42612</v>
      </c>
      <c r="B483" s="5" t="s">
        <v>5</v>
      </c>
      <c r="C483" s="92" t="s">
        <v>31</v>
      </c>
      <c r="D483" s="43">
        <v>4000</v>
      </c>
      <c r="E483" s="43"/>
      <c r="F483" s="43" t="e">
        <f t="shared" si="7"/>
        <v>#N/A</v>
      </c>
      <c r="G483" s="43"/>
    </row>
    <row r="484" spans="1:7" x14ac:dyDescent="0.3">
      <c r="A484" s="79">
        <v>42612</v>
      </c>
      <c r="B484" s="5" t="s">
        <v>104</v>
      </c>
      <c r="C484" s="92" t="s">
        <v>504</v>
      </c>
      <c r="D484" s="43">
        <v>400</v>
      </c>
      <c r="E484" s="43"/>
      <c r="F484" s="43" t="e">
        <f t="shared" si="7"/>
        <v>#N/A</v>
      </c>
      <c r="G484" s="43"/>
    </row>
    <row r="485" spans="1:7" x14ac:dyDescent="0.3">
      <c r="A485" s="79">
        <v>42612</v>
      </c>
      <c r="B485" s="5" t="s">
        <v>160</v>
      </c>
      <c r="C485" s="92" t="s">
        <v>505</v>
      </c>
      <c r="D485" s="43">
        <v>5000</v>
      </c>
      <c r="E485" s="43"/>
      <c r="F485" s="43" t="e">
        <f t="shared" si="7"/>
        <v>#N/A</v>
      </c>
      <c r="G485" s="43"/>
    </row>
    <row r="486" spans="1:7" x14ac:dyDescent="0.3">
      <c r="A486" s="79">
        <v>42612</v>
      </c>
      <c r="B486" s="5" t="s">
        <v>25</v>
      </c>
      <c r="C486" s="92" t="s">
        <v>506</v>
      </c>
      <c r="D486" s="43">
        <v>100</v>
      </c>
      <c r="E486" s="43"/>
      <c r="F486" s="43" t="e">
        <f t="shared" si="7"/>
        <v>#N/A</v>
      </c>
      <c r="G486" s="43"/>
    </row>
    <row r="487" spans="1:7" x14ac:dyDescent="0.3">
      <c r="A487" s="79">
        <v>42612</v>
      </c>
      <c r="B487" s="5" t="s">
        <v>25</v>
      </c>
      <c r="C487" s="92" t="s">
        <v>507</v>
      </c>
      <c r="D487" s="43">
        <v>350</v>
      </c>
      <c r="E487" s="43"/>
      <c r="F487" s="43" t="e">
        <f t="shared" si="7"/>
        <v>#N/A</v>
      </c>
      <c r="G487" s="43"/>
    </row>
    <row r="488" spans="1:7" x14ac:dyDescent="0.3">
      <c r="A488" s="79">
        <v>42612</v>
      </c>
      <c r="B488" s="5" t="s">
        <v>508</v>
      </c>
      <c r="C488" s="92" t="s">
        <v>509</v>
      </c>
      <c r="D488" s="43">
        <v>14900</v>
      </c>
      <c r="E488" s="43"/>
      <c r="F488" s="43" t="e">
        <f t="shared" si="7"/>
        <v>#N/A</v>
      </c>
      <c r="G488" s="43"/>
    </row>
    <row r="489" spans="1:7" x14ac:dyDescent="0.3">
      <c r="A489" s="79">
        <v>42612</v>
      </c>
      <c r="B489" s="5" t="s">
        <v>395</v>
      </c>
      <c r="C489" s="92" t="s">
        <v>510</v>
      </c>
      <c r="D489" s="43">
        <v>70</v>
      </c>
      <c r="E489" s="43"/>
      <c r="F489" s="43" t="e">
        <f t="shared" si="7"/>
        <v>#N/A</v>
      </c>
      <c r="G489" s="43"/>
    </row>
    <row r="490" spans="1:7" x14ac:dyDescent="0.3">
      <c r="A490" s="79">
        <v>42613</v>
      </c>
      <c r="B490" s="5" t="s">
        <v>73</v>
      </c>
      <c r="C490" s="92" t="s">
        <v>31</v>
      </c>
      <c r="D490" s="65">
        <v>200</v>
      </c>
      <c r="E490" s="43"/>
      <c r="F490" s="43" t="e">
        <f t="shared" si="7"/>
        <v>#N/A</v>
      </c>
      <c r="G490" s="43"/>
    </row>
    <row r="491" spans="1:7" x14ac:dyDescent="0.3">
      <c r="A491" s="79">
        <v>42613</v>
      </c>
      <c r="B491" s="5" t="s">
        <v>39</v>
      </c>
      <c r="C491" s="92" t="s">
        <v>511</v>
      </c>
      <c r="D491" s="43">
        <v>400</v>
      </c>
      <c r="E491" s="43"/>
      <c r="F491" s="43" t="e">
        <f t="shared" si="7"/>
        <v>#N/A</v>
      </c>
      <c r="G491" s="43"/>
    </row>
    <row r="492" spans="1:7" x14ac:dyDescent="0.3">
      <c r="A492" s="79">
        <v>42613</v>
      </c>
      <c r="B492" s="5" t="s">
        <v>122</v>
      </c>
      <c r="C492" s="92" t="s">
        <v>512</v>
      </c>
      <c r="D492" s="43">
        <v>5300</v>
      </c>
      <c r="E492" s="43"/>
      <c r="F492" s="43" t="e">
        <f t="shared" si="7"/>
        <v>#N/A</v>
      </c>
      <c r="G492" s="43"/>
    </row>
    <row r="493" spans="1:7" x14ac:dyDescent="0.3">
      <c r="A493" s="79">
        <v>42613</v>
      </c>
      <c r="B493" s="5" t="s">
        <v>39</v>
      </c>
      <c r="C493" s="92" t="s">
        <v>249</v>
      </c>
      <c r="D493" s="43">
        <v>2000</v>
      </c>
      <c r="E493" s="43"/>
      <c r="F493" s="43" t="e">
        <f t="shared" si="7"/>
        <v>#N/A</v>
      </c>
      <c r="G493" s="43"/>
    </row>
    <row r="494" spans="1:7" x14ac:dyDescent="0.3">
      <c r="A494" s="79">
        <v>42613</v>
      </c>
      <c r="B494" s="5" t="s">
        <v>42</v>
      </c>
      <c r="C494" s="92" t="s">
        <v>31</v>
      </c>
      <c r="D494" s="43">
        <v>3000</v>
      </c>
      <c r="E494" s="43"/>
      <c r="F494" s="43" t="e">
        <f t="shared" si="7"/>
        <v>#N/A</v>
      </c>
      <c r="G494" s="43"/>
    </row>
    <row r="495" spans="1:7" x14ac:dyDescent="0.3">
      <c r="A495" s="79">
        <v>42613</v>
      </c>
      <c r="B495" s="5" t="s">
        <v>25</v>
      </c>
      <c r="C495" s="92" t="s">
        <v>513</v>
      </c>
      <c r="D495" s="65">
        <v>600</v>
      </c>
      <c r="E495" s="65"/>
      <c r="F495" s="43" t="e">
        <f t="shared" si="7"/>
        <v>#N/A</v>
      </c>
      <c r="G495" s="43"/>
    </row>
    <row r="496" spans="1:7" x14ac:dyDescent="0.3">
      <c r="A496" s="79">
        <v>42613</v>
      </c>
      <c r="B496" s="5" t="s">
        <v>73</v>
      </c>
      <c r="C496" s="92" t="s">
        <v>514</v>
      </c>
      <c r="D496" s="65">
        <v>800</v>
      </c>
      <c r="E496" s="65"/>
      <c r="F496" s="43" t="e">
        <f t="shared" si="7"/>
        <v>#N/A</v>
      </c>
      <c r="G496" s="43"/>
    </row>
    <row r="497" spans="1:11" x14ac:dyDescent="0.3">
      <c r="A497" s="79">
        <v>42613</v>
      </c>
      <c r="B497" s="5" t="s">
        <v>154</v>
      </c>
      <c r="C497" s="92" t="s">
        <v>31</v>
      </c>
      <c r="D497" s="43">
        <v>43000</v>
      </c>
      <c r="E497" s="43"/>
      <c r="F497" s="43" t="e">
        <f t="shared" si="7"/>
        <v>#N/A</v>
      </c>
      <c r="G497" s="43"/>
    </row>
    <row r="498" spans="1:11" x14ac:dyDescent="0.3">
      <c r="A498" s="79">
        <v>42613</v>
      </c>
      <c r="B498" s="5" t="s">
        <v>25</v>
      </c>
      <c r="C498" s="92" t="s">
        <v>515</v>
      </c>
      <c r="D498" s="43">
        <v>770</v>
      </c>
      <c r="E498" s="43"/>
      <c r="F498" s="43" t="e">
        <f t="shared" si="7"/>
        <v>#N/A</v>
      </c>
      <c r="G498" s="43"/>
    </row>
    <row r="499" spans="1:11" x14ac:dyDescent="0.3">
      <c r="A499" s="79">
        <v>42613</v>
      </c>
      <c r="B499" s="5" t="s">
        <v>127</v>
      </c>
      <c r="C499" s="92" t="s">
        <v>516</v>
      </c>
      <c r="D499" s="43">
        <v>6700</v>
      </c>
      <c r="E499" s="43"/>
      <c r="F499" s="43" t="e">
        <f t="shared" si="7"/>
        <v>#N/A</v>
      </c>
      <c r="G499" s="43"/>
    </row>
    <row r="500" spans="1:11" ht="37.5" x14ac:dyDescent="0.3">
      <c r="A500" s="79">
        <v>42613</v>
      </c>
      <c r="B500" s="5" t="s">
        <v>25</v>
      </c>
      <c r="C500" s="92" t="s">
        <v>517</v>
      </c>
      <c r="D500" s="43">
        <v>140</v>
      </c>
      <c r="E500" s="43"/>
      <c r="F500" s="43" t="e">
        <f t="shared" si="7"/>
        <v>#N/A</v>
      </c>
      <c r="G500" s="43"/>
    </row>
    <row r="501" spans="1:11" x14ac:dyDescent="0.3">
      <c r="A501" s="79">
        <v>42613</v>
      </c>
      <c r="B501" s="5" t="s">
        <v>120</v>
      </c>
      <c r="C501" s="92" t="s">
        <v>31</v>
      </c>
      <c r="D501" s="43">
        <v>5000</v>
      </c>
      <c r="E501" s="43"/>
      <c r="F501" s="43" t="e">
        <f t="shared" si="7"/>
        <v>#N/A</v>
      </c>
      <c r="G501" s="43"/>
    </row>
    <row r="502" spans="1:11" x14ac:dyDescent="0.3">
      <c r="A502" s="79">
        <v>42613</v>
      </c>
      <c r="B502" s="5" t="s">
        <v>520</v>
      </c>
      <c r="C502" s="92" t="s">
        <v>521</v>
      </c>
      <c r="D502" s="65">
        <v>5000</v>
      </c>
      <c r="E502" s="65"/>
      <c r="F502" s="43" t="e">
        <f t="shared" si="7"/>
        <v>#N/A</v>
      </c>
      <c r="G502" s="43"/>
    </row>
    <row r="503" spans="1:11" x14ac:dyDescent="0.3">
      <c r="A503" s="70">
        <v>42614</v>
      </c>
      <c r="B503" s="761" t="s">
        <v>522</v>
      </c>
      <c r="C503" s="762"/>
      <c r="D503" s="71"/>
      <c r="E503" s="72">
        <v>2000</v>
      </c>
      <c r="F503" s="43" t="e">
        <f t="shared" si="7"/>
        <v>#N/A</v>
      </c>
      <c r="G503" s="43"/>
    </row>
    <row r="504" spans="1:11" x14ac:dyDescent="0.3">
      <c r="A504" s="79">
        <v>42614</v>
      </c>
      <c r="B504" s="5" t="s">
        <v>367</v>
      </c>
      <c r="C504" s="92" t="s">
        <v>523</v>
      </c>
      <c r="D504" s="43">
        <v>5000</v>
      </c>
      <c r="E504" s="43"/>
      <c r="F504" s="43" t="e">
        <f t="shared" si="7"/>
        <v>#N/A</v>
      </c>
      <c r="G504" s="43"/>
    </row>
    <row r="505" spans="1:11" x14ac:dyDescent="0.3">
      <c r="A505" s="79">
        <v>42614</v>
      </c>
      <c r="B505" s="5" t="s">
        <v>25</v>
      </c>
      <c r="C505" s="92" t="s">
        <v>524</v>
      </c>
      <c r="D505" s="43">
        <v>100</v>
      </c>
      <c r="E505" s="43"/>
      <c r="F505" s="43" t="e">
        <f t="shared" si="7"/>
        <v>#N/A</v>
      </c>
      <c r="G505" s="43"/>
    </row>
    <row r="506" spans="1:11" x14ac:dyDescent="0.3">
      <c r="A506" s="79">
        <v>42614</v>
      </c>
      <c r="B506" s="5" t="s">
        <v>25</v>
      </c>
      <c r="C506" s="92" t="s">
        <v>525</v>
      </c>
      <c r="D506" s="43">
        <v>160</v>
      </c>
      <c r="E506" s="43"/>
      <c r="F506" s="43" t="e">
        <f t="shared" si="7"/>
        <v>#N/A</v>
      </c>
      <c r="G506" s="43"/>
    </row>
    <row r="507" spans="1:11" x14ac:dyDescent="0.3">
      <c r="A507" s="79">
        <v>42614</v>
      </c>
      <c r="B507" s="5" t="s">
        <v>42</v>
      </c>
      <c r="C507" s="92" t="s">
        <v>526</v>
      </c>
      <c r="D507" s="43">
        <v>1000</v>
      </c>
      <c r="E507" s="43"/>
      <c r="F507" s="43" t="e">
        <f t="shared" si="7"/>
        <v>#N/A</v>
      </c>
      <c r="G507" s="43"/>
    </row>
    <row r="508" spans="1:11" x14ac:dyDescent="0.3">
      <c r="A508" s="79">
        <v>42614</v>
      </c>
      <c r="B508" s="5" t="s">
        <v>39</v>
      </c>
      <c r="C508" s="92" t="s">
        <v>527</v>
      </c>
      <c r="D508" s="43">
        <v>1000</v>
      </c>
      <c r="E508" s="43"/>
      <c r="F508" s="43" t="e">
        <f t="shared" si="7"/>
        <v>#N/A</v>
      </c>
      <c r="G508" s="43"/>
    </row>
    <row r="509" spans="1:11" x14ac:dyDescent="0.3">
      <c r="A509" s="70">
        <v>42614</v>
      </c>
      <c r="B509" s="761" t="s">
        <v>503</v>
      </c>
      <c r="C509" s="762"/>
      <c r="D509" s="71"/>
      <c r="E509" s="72">
        <v>100000</v>
      </c>
      <c r="F509" s="43" t="e">
        <f t="shared" si="7"/>
        <v>#N/A</v>
      </c>
      <c r="G509" s="43"/>
    </row>
    <row r="510" spans="1:11" x14ac:dyDescent="0.3">
      <c r="A510" s="79">
        <v>42614</v>
      </c>
      <c r="B510" s="5" t="s">
        <v>16</v>
      </c>
      <c r="C510" s="92" t="s">
        <v>530</v>
      </c>
      <c r="D510" s="65">
        <v>26000</v>
      </c>
      <c r="E510" s="65"/>
      <c r="F510" s="43" t="e">
        <f t="shared" si="7"/>
        <v>#N/A</v>
      </c>
      <c r="G510" s="43"/>
    </row>
    <row r="511" spans="1:11" x14ac:dyDescent="0.3">
      <c r="A511" s="79">
        <v>42614</v>
      </c>
      <c r="B511" s="5" t="s">
        <v>5</v>
      </c>
      <c r="C511" s="92" t="s">
        <v>444</v>
      </c>
      <c r="D511" s="43">
        <v>4000</v>
      </c>
      <c r="E511" s="43"/>
      <c r="F511" s="43" t="e">
        <f t="shared" si="7"/>
        <v>#N/A</v>
      </c>
      <c r="G511" s="43"/>
    </row>
    <row r="512" spans="1:11" ht="37.5" x14ac:dyDescent="0.3">
      <c r="A512" s="79">
        <v>42614</v>
      </c>
      <c r="B512" s="5" t="s">
        <v>427</v>
      </c>
      <c r="C512" s="92" t="s">
        <v>557</v>
      </c>
      <c r="D512" s="65">
        <v>15650</v>
      </c>
      <c r="E512" s="43"/>
      <c r="F512" s="43" t="e">
        <f t="shared" si="7"/>
        <v>#N/A</v>
      </c>
      <c r="G512" s="43"/>
      <c r="K512" s="93"/>
    </row>
    <row r="513" spans="1:11" ht="37.5" x14ac:dyDescent="0.3">
      <c r="A513" s="79">
        <v>42614</v>
      </c>
      <c r="B513" s="5" t="s">
        <v>105</v>
      </c>
      <c r="C513" s="92" t="s">
        <v>558</v>
      </c>
      <c r="D513" s="65">
        <v>10350</v>
      </c>
      <c r="E513" s="43"/>
      <c r="F513" s="43" t="e">
        <f t="shared" si="7"/>
        <v>#N/A</v>
      </c>
      <c r="G513" s="43"/>
      <c r="K513" s="93"/>
    </row>
    <row r="514" spans="1:11" ht="37.5" x14ac:dyDescent="0.3">
      <c r="A514" s="79">
        <v>42614</v>
      </c>
      <c r="B514" s="5" t="s">
        <v>5</v>
      </c>
      <c r="C514" s="92" t="s">
        <v>528</v>
      </c>
      <c r="D514" s="65">
        <v>4000</v>
      </c>
      <c r="E514" s="43"/>
      <c r="F514" s="43" t="e">
        <f t="shared" si="7"/>
        <v>#N/A</v>
      </c>
      <c r="G514" s="43"/>
    </row>
    <row r="515" spans="1:11" ht="37.5" x14ac:dyDescent="0.3">
      <c r="A515" s="79">
        <v>42614</v>
      </c>
      <c r="B515" s="5" t="s">
        <v>162</v>
      </c>
      <c r="C515" s="92" t="s">
        <v>531</v>
      </c>
      <c r="D515" s="65">
        <v>1000</v>
      </c>
      <c r="E515" s="43"/>
      <c r="F515" s="43" t="e">
        <f t="shared" ref="F515:F578" si="8">F514-D515+E515</f>
        <v>#N/A</v>
      </c>
      <c r="G515" s="43"/>
    </row>
    <row r="516" spans="1:11" x14ac:dyDescent="0.3">
      <c r="A516" s="79">
        <v>42615</v>
      </c>
      <c r="B516" s="5" t="s">
        <v>39</v>
      </c>
      <c r="C516" s="92" t="s">
        <v>529</v>
      </c>
      <c r="D516" s="43">
        <v>1000</v>
      </c>
      <c r="E516" s="43"/>
      <c r="F516" s="43" t="e">
        <f t="shared" si="8"/>
        <v>#N/A</v>
      </c>
      <c r="G516" s="43"/>
    </row>
    <row r="517" spans="1:11" x14ac:dyDescent="0.3">
      <c r="A517" s="79">
        <v>42615</v>
      </c>
      <c r="B517" s="5" t="s">
        <v>106</v>
      </c>
      <c r="C517" s="92" t="s">
        <v>31</v>
      </c>
      <c r="D517" s="43">
        <v>4000</v>
      </c>
      <c r="E517" s="43"/>
      <c r="F517" s="43" t="e">
        <f t="shared" si="8"/>
        <v>#N/A</v>
      </c>
      <c r="G517" s="43"/>
    </row>
    <row r="518" spans="1:11" x14ac:dyDescent="0.3">
      <c r="A518" s="79">
        <v>42615</v>
      </c>
      <c r="B518" s="5" t="s">
        <v>53</v>
      </c>
      <c r="C518" s="92" t="s">
        <v>79</v>
      </c>
      <c r="D518" s="65">
        <v>3430</v>
      </c>
      <c r="E518" s="65"/>
      <c r="F518" s="43" t="e">
        <f t="shared" si="8"/>
        <v>#N/A</v>
      </c>
      <c r="G518" s="43"/>
    </row>
    <row r="519" spans="1:11" x14ac:dyDescent="0.3">
      <c r="A519" s="70">
        <v>42616</v>
      </c>
      <c r="B519" s="761" t="s">
        <v>535</v>
      </c>
      <c r="C519" s="762"/>
      <c r="D519" s="71"/>
      <c r="E519" s="72">
        <v>100000</v>
      </c>
      <c r="F519" s="43" t="e">
        <f t="shared" si="8"/>
        <v>#N/A</v>
      </c>
      <c r="G519" s="43"/>
    </row>
    <row r="520" spans="1:11" x14ac:dyDescent="0.3">
      <c r="A520" s="79">
        <v>42616</v>
      </c>
      <c r="B520" s="5" t="s">
        <v>181</v>
      </c>
      <c r="C520" s="92" t="s">
        <v>294</v>
      </c>
      <c r="D520" s="43">
        <v>5000</v>
      </c>
      <c r="E520" s="43"/>
      <c r="F520" s="43" t="e">
        <f t="shared" si="8"/>
        <v>#N/A</v>
      </c>
      <c r="G520" s="43"/>
    </row>
    <row r="521" spans="1:11" x14ac:dyDescent="0.3">
      <c r="A521" s="79">
        <v>42616</v>
      </c>
      <c r="B521" s="5" t="s">
        <v>282</v>
      </c>
      <c r="C521" s="92" t="s">
        <v>294</v>
      </c>
      <c r="D521" s="43">
        <v>15000</v>
      </c>
      <c r="E521" s="43"/>
      <c r="F521" s="43" t="e">
        <f t="shared" si="8"/>
        <v>#N/A</v>
      </c>
      <c r="G521" s="43"/>
    </row>
    <row r="522" spans="1:11" x14ac:dyDescent="0.3">
      <c r="A522" s="79">
        <v>42616</v>
      </c>
      <c r="B522" s="5" t="s">
        <v>5</v>
      </c>
      <c r="C522" s="92" t="s">
        <v>31</v>
      </c>
      <c r="D522" s="43">
        <v>1500</v>
      </c>
      <c r="E522" s="43"/>
      <c r="F522" s="43" t="e">
        <f t="shared" si="8"/>
        <v>#N/A</v>
      </c>
      <c r="G522" s="43"/>
    </row>
    <row r="523" spans="1:11" x14ac:dyDescent="0.3">
      <c r="A523" s="79">
        <v>42616</v>
      </c>
      <c r="B523" s="5" t="s">
        <v>25</v>
      </c>
      <c r="C523" s="92" t="s">
        <v>532</v>
      </c>
      <c r="D523" s="43">
        <v>870</v>
      </c>
      <c r="E523" s="43"/>
      <c r="F523" s="43" t="e">
        <f t="shared" si="8"/>
        <v>#N/A</v>
      </c>
      <c r="G523" s="43"/>
    </row>
    <row r="524" spans="1:11" x14ac:dyDescent="0.3">
      <c r="A524" s="79">
        <v>42616</v>
      </c>
      <c r="B524" s="5" t="s">
        <v>160</v>
      </c>
      <c r="C524" s="92" t="s">
        <v>533</v>
      </c>
      <c r="D524" s="43">
        <v>6000</v>
      </c>
      <c r="E524" s="43"/>
      <c r="F524" s="43" t="e">
        <f t="shared" si="8"/>
        <v>#N/A</v>
      </c>
      <c r="G524" s="43"/>
    </row>
    <row r="525" spans="1:11" x14ac:dyDescent="0.3">
      <c r="A525" s="79">
        <v>42616</v>
      </c>
      <c r="B525" s="5" t="s">
        <v>119</v>
      </c>
      <c r="C525" s="92" t="s">
        <v>534</v>
      </c>
      <c r="D525" s="43">
        <v>2000</v>
      </c>
      <c r="E525" s="43"/>
      <c r="F525" s="43" t="e">
        <f t="shared" si="8"/>
        <v>#N/A</v>
      </c>
      <c r="G525" s="43"/>
    </row>
    <row r="526" spans="1:11" x14ac:dyDescent="0.3">
      <c r="A526" s="79">
        <v>42616</v>
      </c>
      <c r="B526" s="5" t="s">
        <v>25</v>
      </c>
      <c r="C526" s="92" t="s">
        <v>536</v>
      </c>
      <c r="D526" s="43">
        <v>55</v>
      </c>
      <c r="E526" s="43"/>
      <c r="F526" s="43" t="e">
        <f t="shared" si="8"/>
        <v>#N/A</v>
      </c>
      <c r="G526" s="43"/>
    </row>
    <row r="527" spans="1:11" x14ac:dyDescent="0.3">
      <c r="A527" s="79">
        <v>42616</v>
      </c>
      <c r="B527" s="5" t="s">
        <v>154</v>
      </c>
      <c r="C527" s="92" t="s">
        <v>539</v>
      </c>
      <c r="D527" s="43">
        <v>17000</v>
      </c>
      <c r="E527" s="43"/>
      <c r="F527" s="43" t="e">
        <f t="shared" si="8"/>
        <v>#N/A</v>
      </c>
      <c r="G527" s="43"/>
    </row>
    <row r="528" spans="1:11" x14ac:dyDescent="0.3">
      <c r="A528" s="79">
        <v>42616</v>
      </c>
      <c r="B528" s="5" t="s">
        <v>42</v>
      </c>
      <c r="C528" s="92" t="s">
        <v>294</v>
      </c>
      <c r="D528" s="43">
        <v>2000</v>
      </c>
      <c r="E528" s="43"/>
      <c r="F528" s="43" t="e">
        <f t="shared" si="8"/>
        <v>#N/A</v>
      </c>
      <c r="G528" s="43"/>
    </row>
    <row r="529" spans="1:7" x14ac:dyDescent="0.3">
      <c r="A529" s="79">
        <v>42617</v>
      </c>
      <c r="B529" s="5" t="s">
        <v>25</v>
      </c>
      <c r="C529" s="92" t="s">
        <v>166</v>
      </c>
      <c r="D529" s="43">
        <v>100</v>
      </c>
      <c r="E529" s="43"/>
      <c r="F529" s="43" t="e">
        <f t="shared" si="8"/>
        <v>#N/A</v>
      </c>
      <c r="G529" s="43"/>
    </row>
    <row r="530" spans="1:7" x14ac:dyDescent="0.3">
      <c r="A530" s="79">
        <v>42617</v>
      </c>
      <c r="B530" s="5" t="s">
        <v>25</v>
      </c>
      <c r="C530" s="92" t="s">
        <v>109</v>
      </c>
      <c r="D530" s="43">
        <v>140</v>
      </c>
      <c r="E530" s="43"/>
      <c r="F530" s="43" t="e">
        <f t="shared" si="8"/>
        <v>#N/A</v>
      </c>
      <c r="G530" s="43"/>
    </row>
    <row r="531" spans="1:7" ht="37.5" x14ac:dyDescent="0.3">
      <c r="A531" s="79">
        <v>42618</v>
      </c>
      <c r="B531" s="5" t="s">
        <v>123</v>
      </c>
      <c r="C531" s="92" t="s">
        <v>537</v>
      </c>
      <c r="D531" s="43">
        <v>150</v>
      </c>
      <c r="E531" s="43"/>
      <c r="F531" s="43" t="e">
        <f t="shared" si="8"/>
        <v>#N/A</v>
      </c>
      <c r="G531" s="43"/>
    </row>
    <row r="532" spans="1:7" x14ac:dyDescent="0.3">
      <c r="A532" s="79">
        <v>42618</v>
      </c>
      <c r="B532" s="5" t="s">
        <v>120</v>
      </c>
      <c r="C532" s="92" t="s">
        <v>538</v>
      </c>
      <c r="D532" s="43">
        <v>3500</v>
      </c>
      <c r="E532" s="43"/>
      <c r="F532" s="43" t="e">
        <f t="shared" si="8"/>
        <v>#N/A</v>
      </c>
      <c r="G532" s="43"/>
    </row>
    <row r="533" spans="1:7" x14ac:dyDescent="0.3">
      <c r="A533" s="79">
        <v>42618</v>
      </c>
      <c r="B533" s="5" t="s">
        <v>5</v>
      </c>
      <c r="C533" s="92" t="s">
        <v>489</v>
      </c>
      <c r="D533" s="43">
        <v>500</v>
      </c>
      <c r="E533" s="43"/>
      <c r="F533" s="43" t="e">
        <f t="shared" si="8"/>
        <v>#N/A</v>
      </c>
      <c r="G533" s="43"/>
    </row>
    <row r="534" spans="1:7" x14ac:dyDescent="0.3">
      <c r="A534" s="79">
        <v>42618</v>
      </c>
      <c r="B534" s="5" t="s">
        <v>106</v>
      </c>
      <c r="C534" s="92" t="s">
        <v>489</v>
      </c>
      <c r="D534" s="43">
        <v>1000</v>
      </c>
      <c r="E534" s="43"/>
      <c r="F534" s="43" t="e">
        <f t="shared" si="8"/>
        <v>#N/A</v>
      </c>
      <c r="G534" s="43"/>
    </row>
    <row r="535" spans="1:7" x14ac:dyDescent="0.3">
      <c r="A535" s="79">
        <v>42618</v>
      </c>
      <c r="B535" s="5" t="s">
        <v>4</v>
      </c>
      <c r="C535" s="92" t="s">
        <v>540</v>
      </c>
      <c r="D535" s="43">
        <v>2000</v>
      </c>
      <c r="E535" s="43"/>
      <c r="F535" s="43" t="e">
        <f t="shared" si="8"/>
        <v>#N/A</v>
      </c>
      <c r="G535" s="43"/>
    </row>
    <row r="536" spans="1:7" x14ac:dyDescent="0.3">
      <c r="A536" s="79">
        <v>42618</v>
      </c>
      <c r="B536" s="5" t="s">
        <v>25</v>
      </c>
      <c r="C536" s="92" t="s">
        <v>62</v>
      </c>
      <c r="D536" s="43">
        <v>180</v>
      </c>
      <c r="F536" s="43" t="e">
        <f t="shared" si="8"/>
        <v>#N/A</v>
      </c>
      <c r="G536" s="43"/>
    </row>
    <row r="537" spans="1:7" x14ac:dyDescent="0.3">
      <c r="A537" s="79">
        <v>42618</v>
      </c>
      <c r="B537" s="5" t="s">
        <v>541</v>
      </c>
      <c r="C537" s="92" t="s">
        <v>543</v>
      </c>
      <c r="D537" s="43">
        <v>500</v>
      </c>
      <c r="E537" s="43"/>
      <c r="F537" s="43" t="e">
        <f t="shared" si="8"/>
        <v>#N/A</v>
      </c>
      <c r="G537" s="43"/>
    </row>
    <row r="538" spans="1:7" x14ac:dyDescent="0.3">
      <c r="A538" s="79">
        <v>42618</v>
      </c>
      <c r="B538" s="5" t="s">
        <v>25</v>
      </c>
      <c r="C538" s="92" t="s">
        <v>542</v>
      </c>
      <c r="D538" s="43">
        <v>90</v>
      </c>
      <c r="E538" s="43"/>
      <c r="F538" s="43" t="e">
        <f t="shared" si="8"/>
        <v>#N/A</v>
      </c>
      <c r="G538" s="43"/>
    </row>
    <row r="539" spans="1:7" x14ac:dyDescent="0.3">
      <c r="A539" s="70">
        <v>42618</v>
      </c>
      <c r="B539" s="761" t="s">
        <v>545</v>
      </c>
      <c r="C539" s="762"/>
      <c r="D539" s="71"/>
      <c r="E539" s="72">
        <v>100000</v>
      </c>
      <c r="F539" s="43" t="e">
        <f t="shared" si="8"/>
        <v>#N/A</v>
      </c>
      <c r="G539" s="43"/>
    </row>
    <row r="540" spans="1:7" ht="37.5" x14ac:dyDescent="0.3">
      <c r="A540" s="79">
        <v>42619</v>
      </c>
      <c r="B540" s="5" t="s">
        <v>367</v>
      </c>
      <c r="C540" s="92" t="s">
        <v>544</v>
      </c>
      <c r="D540" s="43">
        <v>10000</v>
      </c>
      <c r="E540" s="43"/>
      <c r="F540" s="43" t="e">
        <f t="shared" si="8"/>
        <v>#N/A</v>
      </c>
      <c r="G540" s="43"/>
    </row>
    <row r="541" spans="1:7" x14ac:dyDescent="0.3">
      <c r="A541" s="79">
        <v>42619</v>
      </c>
      <c r="B541" s="5" t="s">
        <v>5</v>
      </c>
      <c r="C541" s="92" t="s">
        <v>77</v>
      </c>
      <c r="D541" s="43">
        <v>2000</v>
      </c>
      <c r="E541" s="43"/>
      <c r="F541" s="43" t="e">
        <f t="shared" si="8"/>
        <v>#N/A</v>
      </c>
      <c r="G541" s="43"/>
    </row>
    <row r="542" spans="1:7" x14ac:dyDescent="0.3">
      <c r="A542" s="79">
        <v>42619</v>
      </c>
      <c r="B542" s="5" t="s">
        <v>36</v>
      </c>
      <c r="C542" s="92" t="s">
        <v>578</v>
      </c>
      <c r="D542" s="65">
        <v>5000</v>
      </c>
      <c r="E542" s="43"/>
      <c r="F542" s="43" t="e">
        <f t="shared" si="8"/>
        <v>#N/A</v>
      </c>
      <c r="G542" s="43"/>
    </row>
    <row r="543" spans="1:7" x14ac:dyDescent="0.3">
      <c r="A543" s="79">
        <v>42619</v>
      </c>
      <c r="B543" s="5" t="s">
        <v>25</v>
      </c>
      <c r="C543" s="92" t="s">
        <v>546</v>
      </c>
      <c r="D543" s="43">
        <v>340</v>
      </c>
      <c r="E543" s="43"/>
      <c r="F543" s="43" t="e">
        <f t="shared" si="8"/>
        <v>#N/A</v>
      </c>
      <c r="G543" s="43"/>
    </row>
    <row r="544" spans="1:7" x14ac:dyDescent="0.3">
      <c r="A544" s="79">
        <v>42619</v>
      </c>
      <c r="B544" s="5" t="s">
        <v>550</v>
      </c>
      <c r="C544" s="92" t="s">
        <v>551</v>
      </c>
      <c r="D544" s="43">
        <v>1534</v>
      </c>
      <c r="E544" s="43"/>
      <c r="F544" s="43" t="e">
        <f t="shared" si="8"/>
        <v>#N/A</v>
      </c>
      <c r="G544" s="43"/>
    </row>
    <row r="545" spans="1:7" x14ac:dyDescent="0.3">
      <c r="A545" s="79">
        <v>42619</v>
      </c>
      <c r="B545" s="5" t="s">
        <v>553</v>
      </c>
      <c r="C545" s="92" t="s">
        <v>548</v>
      </c>
      <c r="D545" s="43">
        <v>40500</v>
      </c>
      <c r="E545" s="43"/>
      <c r="F545" s="43" t="e">
        <f t="shared" si="8"/>
        <v>#N/A</v>
      </c>
      <c r="G545" s="43"/>
    </row>
    <row r="546" spans="1:7" x14ac:dyDescent="0.3">
      <c r="A546" s="79">
        <v>42619</v>
      </c>
      <c r="B546" s="5" t="s">
        <v>547</v>
      </c>
      <c r="C546" s="92" t="s">
        <v>552</v>
      </c>
      <c r="D546" s="43">
        <v>7700</v>
      </c>
      <c r="E546" s="43"/>
      <c r="F546" s="43" t="e">
        <f t="shared" si="8"/>
        <v>#N/A</v>
      </c>
      <c r="G546" s="43"/>
    </row>
    <row r="547" spans="1:7" x14ac:dyDescent="0.3">
      <c r="A547" s="79">
        <v>42619</v>
      </c>
      <c r="B547" s="5" t="s">
        <v>106</v>
      </c>
      <c r="C547" s="92" t="s">
        <v>549</v>
      </c>
      <c r="D547" s="43">
        <v>6600</v>
      </c>
      <c r="E547" s="43"/>
      <c r="F547" s="43" t="e">
        <f t="shared" si="8"/>
        <v>#N/A</v>
      </c>
      <c r="G547" s="43"/>
    </row>
    <row r="548" spans="1:7" x14ac:dyDescent="0.3">
      <c r="A548" s="79">
        <v>42619</v>
      </c>
      <c r="B548" s="5" t="s">
        <v>106</v>
      </c>
      <c r="C548" s="92" t="s">
        <v>31</v>
      </c>
      <c r="D548" s="43">
        <v>15000</v>
      </c>
      <c r="E548" s="43"/>
      <c r="F548" s="43" t="e">
        <f t="shared" si="8"/>
        <v>#N/A</v>
      </c>
      <c r="G548" s="43"/>
    </row>
    <row r="549" spans="1:7" x14ac:dyDescent="0.3">
      <c r="A549" s="79">
        <v>42619</v>
      </c>
      <c r="B549" s="5" t="s">
        <v>164</v>
      </c>
      <c r="C549" s="92" t="s">
        <v>31</v>
      </c>
      <c r="D549" s="43">
        <v>5000</v>
      </c>
      <c r="E549" s="43"/>
      <c r="F549" s="43" t="e">
        <f t="shared" si="8"/>
        <v>#N/A</v>
      </c>
      <c r="G549" s="43"/>
    </row>
    <row r="550" spans="1:7" x14ac:dyDescent="0.3">
      <c r="A550" s="79">
        <v>42619</v>
      </c>
      <c r="B550" s="5" t="s">
        <v>120</v>
      </c>
      <c r="C550" s="92" t="s">
        <v>129</v>
      </c>
      <c r="D550" s="43">
        <v>1400</v>
      </c>
      <c r="E550" s="43"/>
      <c r="F550" s="43" t="e">
        <f t="shared" si="8"/>
        <v>#N/A</v>
      </c>
      <c r="G550" s="43"/>
    </row>
    <row r="551" spans="1:7" ht="37.5" x14ac:dyDescent="0.3">
      <c r="A551" s="79">
        <v>42620</v>
      </c>
      <c r="B551" s="5" t="s">
        <v>39</v>
      </c>
      <c r="C551" s="92" t="s">
        <v>563</v>
      </c>
      <c r="D551" s="65">
        <v>800</v>
      </c>
      <c r="E551" s="65"/>
      <c r="F551" s="43" t="e">
        <f t="shared" si="8"/>
        <v>#N/A</v>
      </c>
      <c r="G551" s="43"/>
    </row>
    <row r="552" spans="1:7" x14ac:dyDescent="0.3">
      <c r="A552" s="70">
        <v>42621</v>
      </c>
      <c r="B552" s="761" t="s">
        <v>559</v>
      </c>
      <c r="C552" s="762"/>
      <c r="D552" s="71"/>
      <c r="E552" s="72">
        <v>100000</v>
      </c>
      <c r="F552" s="43" t="e">
        <f t="shared" si="8"/>
        <v>#N/A</v>
      </c>
      <c r="G552" s="43"/>
    </row>
    <row r="553" spans="1:7" ht="56.25" x14ac:dyDescent="0.3">
      <c r="A553" s="79">
        <v>42620</v>
      </c>
      <c r="B553" s="5" t="s">
        <v>19</v>
      </c>
      <c r="C553" s="92" t="s">
        <v>556</v>
      </c>
      <c r="D553" s="65">
        <v>73000</v>
      </c>
      <c r="E553" s="65"/>
      <c r="F553" s="43" t="e">
        <f t="shared" si="8"/>
        <v>#N/A</v>
      </c>
      <c r="G553" s="43"/>
    </row>
    <row r="554" spans="1:7" x14ac:dyDescent="0.3">
      <c r="A554" s="79">
        <v>42620</v>
      </c>
      <c r="B554" s="5" t="s">
        <v>164</v>
      </c>
      <c r="C554" s="92" t="s">
        <v>554</v>
      </c>
      <c r="D554" s="43">
        <v>1500</v>
      </c>
      <c r="E554" s="43"/>
      <c r="F554" s="43" t="e">
        <f t="shared" si="8"/>
        <v>#N/A</v>
      </c>
      <c r="G554" s="43"/>
    </row>
    <row r="555" spans="1:7" ht="37.5" x14ac:dyDescent="0.3">
      <c r="A555" s="79">
        <v>42621</v>
      </c>
      <c r="B555" s="5" t="s">
        <v>4</v>
      </c>
      <c r="C555" s="92" t="s">
        <v>555</v>
      </c>
      <c r="D555" s="43">
        <v>6443</v>
      </c>
      <c r="E555" s="43"/>
      <c r="F555" s="43" t="e">
        <f t="shared" si="8"/>
        <v>#N/A</v>
      </c>
      <c r="G555" s="43"/>
    </row>
    <row r="556" spans="1:7" x14ac:dyDescent="0.3">
      <c r="A556" s="79">
        <v>42621</v>
      </c>
      <c r="B556" s="5" t="s">
        <v>5</v>
      </c>
      <c r="C556" s="92" t="s">
        <v>31</v>
      </c>
      <c r="D556" s="43">
        <v>20000</v>
      </c>
      <c r="E556" s="43"/>
      <c r="F556" s="43" t="e">
        <f t="shared" si="8"/>
        <v>#N/A</v>
      </c>
      <c r="G556" s="43"/>
    </row>
    <row r="557" spans="1:7" x14ac:dyDescent="0.3">
      <c r="A557" s="79">
        <v>42621</v>
      </c>
      <c r="B557" s="5" t="s">
        <v>122</v>
      </c>
      <c r="C557" s="92" t="s">
        <v>560</v>
      </c>
      <c r="D557" s="43">
        <v>15450</v>
      </c>
      <c r="E557" s="43"/>
      <c r="F557" s="43" t="e">
        <f t="shared" si="8"/>
        <v>#N/A</v>
      </c>
      <c r="G557" s="43"/>
    </row>
    <row r="558" spans="1:7" x14ac:dyDescent="0.3">
      <c r="A558" s="79">
        <v>42621</v>
      </c>
      <c r="B558" s="5" t="s">
        <v>42</v>
      </c>
      <c r="C558" s="92" t="s">
        <v>31</v>
      </c>
      <c r="D558" s="43">
        <v>2000</v>
      </c>
      <c r="E558" s="43"/>
      <c r="F558" s="43" t="e">
        <f t="shared" si="8"/>
        <v>#N/A</v>
      </c>
      <c r="G558" s="43"/>
    </row>
    <row r="559" spans="1:7" x14ac:dyDescent="0.3">
      <c r="A559" s="79">
        <v>42621</v>
      </c>
      <c r="B559" s="5" t="s">
        <v>113</v>
      </c>
      <c r="C559" s="92" t="s">
        <v>561</v>
      </c>
      <c r="D559" s="43">
        <v>18000</v>
      </c>
      <c r="E559" s="43"/>
      <c r="F559" s="43" t="e">
        <f t="shared" si="8"/>
        <v>#N/A</v>
      </c>
      <c r="G559" s="43"/>
    </row>
    <row r="560" spans="1:7" x14ac:dyDescent="0.3">
      <c r="A560" s="79">
        <v>42621</v>
      </c>
      <c r="B560" s="5" t="s">
        <v>25</v>
      </c>
      <c r="C560" s="92" t="s">
        <v>562</v>
      </c>
      <c r="D560" s="43">
        <v>340</v>
      </c>
      <c r="E560" s="43"/>
      <c r="F560" s="43" t="e">
        <f t="shared" si="8"/>
        <v>#N/A</v>
      </c>
      <c r="G560" s="43"/>
    </row>
    <row r="561" spans="1:7" x14ac:dyDescent="0.3">
      <c r="A561" s="79">
        <v>42621</v>
      </c>
      <c r="B561" s="5" t="s">
        <v>162</v>
      </c>
      <c r="C561" s="92" t="s">
        <v>31</v>
      </c>
      <c r="D561" s="43">
        <v>2000</v>
      </c>
      <c r="E561" s="43"/>
      <c r="F561" s="43" t="e">
        <f t="shared" si="8"/>
        <v>#N/A</v>
      </c>
      <c r="G561" s="43"/>
    </row>
    <row r="562" spans="1:7" ht="37.5" x14ac:dyDescent="0.3">
      <c r="A562" s="79">
        <v>42622</v>
      </c>
      <c r="B562" s="5" t="s">
        <v>160</v>
      </c>
      <c r="C562" s="92" t="s">
        <v>564</v>
      </c>
      <c r="D562" s="43">
        <v>10000</v>
      </c>
      <c r="E562" s="43"/>
      <c r="F562" s="43" t="e">
        <f t="shared" si="8"/>
        <v>#N/A</v>
      </c>
      <c r="G562" s="43"/>
    </row>
    <row r="563" spans="1:7" x14ac:dyDescent="0.3">
      <c r="A563" s="79">
        <v>42622</v>
      </c>
      <c r="B563" s="5" t="s">
        <v>37</v>
      </c>
      <c r="C563" s="92" t="s">
        <v>565</v>
      </c>
      <c r="D563" s="43">
        <v>750</v>
      </c>
      <c r="E563" s="43"/>
      <c r="F563" s="43" t="e">
        <f t="shared" si="8"/>
        <v>#N/A</v>
      </c>
      <c r="G563" s="43"/>
    </row>
    <row r="564" spans="1:7" x14ac:dyDescent="0.3">
      <c r="A564" s="94">
        <v>42622</v>
      </c>
      <c r="B564" s="95" t="s">
        <v>119</v>
      </c>
      <c r="C564" s="96" t="s">
        <v>566</v>
      </c>
      <c r="D564" s="97">
        <v>100</v>
      </c>
      <c r="E564" s="97"/>
      <c r="F564" s="43" t="e">
        <f t="shared" si="8"/>
        <v>#N/A</v>
      </c>
      <c r="G564" s="43"/>
    </row>
    <row r="565" spans="1:7" x14ac:dyDescent="0.3">
      <c r="A565" s="79">
        <v>42622</v>
      </c>
      <c r="B565" s="5" t="s">
        <v>42</v>
      </c>
      <c r="C565" s="92" t="s">
        <v>31</v>
      </c>
      <c r="D565" s="43">
        <v>1500</v>
      </c>
      <c r="E565" s="43"/>
      <c r="F565" s="43" t="e">
        <f t="shared" si="8"/>
        <v>#N/A</v>
      </c>
      <c r="G565" s="43"/>
    </row>
    <row r="566" spans="1:7" x14ac:dyDescent="0.3">
      <c r="A566" s="70">
        <v>42636</v>
      </c>
      <c r="B566" s="761" t="s">
        <v>570</v>
      </c>
      <c r="C566" s="762"/>
      <c r="D566" s="71"/>
      <c r="E566" s="72">
        <v>100000</v>
      </c>
      <c r="F566" s="43" t="e">
        <f t="shared" si="8"/>
        <v>#N/A</v>
      </c>
      <c r="G566" s="43"/>
    </row>
    <row r="567" spans="1:7" x14ac:dyDescent="0.3">
      <c r="A567" s="79">
        <v>42636</v>
      </c>
      <c r="B567" s="5" t="s">
        <v>127</v>
      </c>
      <c r="C567" s="92" t="s">
        <v>573</v>
      </c>
      <c r="D567" s="43">
        <v>12090</v>
      </c>
      <c r="E567" s="43"/>
      <c r="F567" s="43" t="e">
        <f t="shared" si="8"/>
        <v>#N/A</v>
      </c>
      <c r="G567" s="43"/>
    </row>
    <row r="568" spans="1:7" x14ac:dyDescent="0.3">
      <c r="A568" s="79">
        <v>42636</v>
      </c>
      <c r="B568" s="5" t="s">
        <v>10</v>
      </c>
      <c r="C568" s="92" t="s">
        <v>572</v>
      </c>
      <c r="D568" s="43">
        <v>3000</v>
      </c>
      <c r="E568" s="43"/>
      <c r="F568" s="43" t="e">
        <f t="shared" si="8"/>
        <v>#N/A</v>
      </c>
      <c r="G568" s="43"/>
    </row>
    <row r="569" spans="1:7" x14ac:dyDescent="0.3">
      <c r="A569" s="79">
        <v>42636</v>
      </c>
      <c r="B569" s="5" t="s">
        <v>127</v>
      </c>
      <c r="C569" s="92" t="s">
        <v>569</v>
      </c>
      <c r="D569" s="43">
        <v>500</v>
      </c>
      <c r="E569" s="43"/>
      <c r="F569" s="43" t="e">
        <f t="shared" si="8"/>
        <v>#N/A</v>
      </c>
      <c r="G569" s="43"/>
    </row>
    <row r="570" spans="1:7" x14ac:dyDescent="0.3">
      <c r="A570" s="79">
        <v>42636</v>
      </c>
      <c r="B570" s="5" t="s">
        <v>16</v>
      </c>
      <c r="C570" s="92" t="s">
        <v>31</v>
      </c>
      <c r="D570" s="43">
        <v>1500</v>
      </c>
      <c r="E570" s="43"/>
      <c r="F570" s="43" t="e">
        <f t="shared" si="8"/>
        <v>#N/A</v>
      </c>
      <c r="G570" s="43"/>
    </row>
    <row r="571" spans="1:7" x14ac:dyDescent="0.3">
      <c r="A571" s="79">
        <v>42636</v>
      </c>
      <c r="B571" s="5" t="s">
        <v>25</v>
      </c>
      <c r="C571" s="92" t="s">
        <v>417</v>
      </c>
      <c r="D571" s="43">
        <v>795</v>
      </c>
      <c r="E571" s="43"/>
      <c r="F571" s="43" t="e">
        <f t="shared" si="8"/>
        <v>#N/A</v>
      </c>
      <c r="G571" s="43"/>
    </row>
    <row r="572" spans="1:7" x14ac:dyDescent="0.3">
      <c r="A572" s="79">
        <v>42636</v>
      </c>
      <c r="B572" s="5" t="s">
        <v>589</v>
      </c>
      <c r="C572" s="92" t="s">
        <v>294</v>
      </c>
      <c r="D572" s="43">
        <v>3000</v>
      </c>
      <c r="E572" s="43"/>
      <c r="F572" s="43" t="e">
        <f t="shared" si="8"/>
        <v>#N/A</v>
      </c>
      <c r="G572" s="43"/>
    </row>
    <row r="573" spans="1:7" x14ac:dyDescent="0.3">
      <c r="A573" s="79">
        <v>42636</v>
      </c>
      <c r="B573" s="5" t="s">
        <v>160</v>
      </c>
      <c r="C573" s="92" t="s">
        <v>574</v>
      </c>
      <c r="D573" s="43">
        <v>10000</v>
      </c>
      <c r="E573" s="43"/>
      <c r="F573" s="43" t="e">
        <f t="shared" si="8"/>
        <v>#N/A</v>
      </c>
      <c r="G573" s="43"/>
    </row>
    <row r="574" spans="1:7" ht="37.5" x14ac:dyDescent="0.3">
      <c r="A574" s="79">
        <v>42636</v>
      </c>
      <c r="B574" s="5" t="s">
        <v>41</v>
      </c>
      <c r="C574" s="92" t="s">
        <v>625</v>
      </c>
      <c r="D574" s="65">
        <v>1420</v>
      </c>
      <c r="E574" s="43"/>
      <c r="F574" s="43" t="e">
        <f t="shared" si="8"/>
        <v>#N/A</v>
      </c>
      <c r="G574" s="43"/>
    </row>
    <row r="575" spans="1:7" x14ac:dyDescent="0.3">
      <c r="A575" s="79">
        <v>42637</v>
      </c>
      <c r="B575" s="5" t="s">
        <v>60</v>
      </c>
      <c r="C575" s="92" t="s">
        <v>571</v>
      </c>
      <c r="D575" s="43">
        <v>4000</v>
      </c>
      <c r="E575" s="43"/>
      <c r="F575" s="43" t="e">
        <f t="shared" si="8"/>
        <v>#N/A</v>
      </c>
      <c r="G575" s="43"/>
    </row>
    <row r="576" spans="1:7" x14ac:dyDescent="0.3">
      <c r="A576" s="79">
        <v>42637</v>
      </c>
      <c r="B576" s="5" t="s">
        <v>42</v>
      </c>
      <c r="C576" s="92" t="s">
        <v>43</v>
      </c>
      <c r="D576" s="43">
        <v>3000</v>
      </c>
      <c r="E576" s="43"/>
      <c r="F576" s="43" t="e">
        <f t="shared" si="8"/>
        <v>#N/A</v>
      </c>
      <c r="G576" s="43"/>
    </row>
    <row r="577" spans="1:7" x14ac:dyDescent="0.3">
      <c r="A577" s="79">
        <v>42637</v>
      </c>
      <c r="B577" s="5" t="s">
        <v>22</v>
      </c>
      <c r="C577" s="92" t="s">
        <v>575</v>
      </c>
      <c r="D577" s="43">
        <v>1500</v>
      </c>
      <c r="E577" s="43"/>
      <c r="F577" s="43" t="e">
        <f t="shared" si="8"/>
        <v>#N/A</v>
      </c>
      <c r="G577" s="43"/>
    </row>
    <row r="578" spans="1:7" x14ac:dyDescent="0.3">
      <c r="A578" s="79">
        <v>42637</v>
      </c>
      <c r="B578" s="5" t="s">
        <v>39</v>
      </c>
      <c r="C578" s="92" t="s">
        <v>576</v>
      </c>
      <c r="D578" s="43">
        <v>3500</v>
      </c>
      <c r="E578" s="43"/>
      <c r="F578" s="43" t="e">
        <f t="shared" si="8"/>
        <v>#N/A</v>
      </c>
      <c r="G578" s="43"/>
    </row>
    <row r="579" spans="1:7" x14ac:dyDescent="0.3">
      <c r="A579" s="79">
        <v>42637</v>
      </c>
      <c r="B579" s="5" t="s">
        <v>160</v>
      </c>
      <c r="C579" s="92" t="s">
        <v>579</v>
      </c>
      <c r="D579" s="43">
        <v>10000</v>
      </c>
      <c r="E579" s="43"/>
      <c r="F579" s="43" t="e">
        <f t="shared" ref="F579:F642" si="9">F578-D579+E579</f>
        <v>#N/A</v>
      </c>
      <c r="G579" s="43"/>
    </row>
    <row r="580" spans="1:7" x14ac:dyDescent="0.3">
      <c r="A580" s="79">
        <v>42637</v>
      </c>
      <c r="B580" s="5" t="s">
        <v>230</v>
      </c>
      <c r="C580" s="92" t="s">
        <v>294</v>
      </c>
      <c r="D580" s="43">
        <v>1000</v>
      </c>
      <c r="E580" s="43"/>
      <c r="F580" s="43" t="e">
        <f t="shared" si="9"/>
        <v>#N/A</v>
      </c>
      <c r="G580" s="43"/>
    </row>
    <row r="581" spans="1:7" x14ac:dyDescent="0.3">
      <c r="A581" s="79">
        <v>42637</v>
      </c>
      <c r="B581" s="5" t="s">
        <v>5</v>
      </c>
      <c r="C581" s="92" t="s">
        <v>294</v>
      </c>
      <c r="D581" s="43">
        <v>3000</v>
      </c>
      <c r="E581" s="43"/>
      <c r="F581" s="43" t="e">
        <f t="shared" si="9"/>
        <v>#N/A</v>
      </c>
      <c r="G581" s="43"/>
    </row>
    <row r="582" spans="1:7" x14ac:dyDescent="0.3">
      <c r="A582" s="79">
        <v>42637</v>
      </c>
      <c r="B582" s="5" t="s">
        <v>25</v>
      </c>
      <c r="C582" s="92" t="s">
        <v>577</v>
      </c>
      <c r="D582" s="43">
        <v>90</v>
      </c>
      <c r="E582" s="43"/>
      <c r="F582" s="43" t="e">
        <f t="shared" si="9"/>
        <v>#N/A</v>
      </c>
      <c r="G582" s="43"/>
    </row>
    <row r="583" spans="1:7" x14ac:dyDescent="0.3">
      <c r="A583" s="79">
        <v>42637</v>
      </c>
      <c r="B583" s="5" t="s">
        <v>39</v>
      </c>
      <c r="C583" s="92" t="s">
        <v>583</v>
      </c>
      <c r="D583" s="43">
        <v>1000</v>
      </c>
      <c r="E583" s="43"/>
      <c r="F583" s="43" t="e">
        <f t="shared" si="9"/>
        <v>#N/A</v>
      </c>
      <c r="G583" s="43"/>
    </row>
    <row r="584" spans="1:7" x14ac:dyDescent="0.3">
      <c r="A584" s="79">
        <v>42637</v>
      </c>
      <c r="B584" s="5" t="s">
        <v>5</v>
      </c>
      <c r="C584" s="92" t="s">
        <v>582</v>
      </c>
      <c r="D584" s="43">
        <v>3000</v>
      </c>
      <c r="E584" s="43"/>
      <c r="F584" s="43" t="e">
        <f t="shared" si="9"/>
        <v>#N/A</v>
      </c>
      <c r="G584" s="43"/>
    </row>
    <row r="585" spans="1:7" x14ac:dyDescent="0.3">
      <c r="A585" s="79">
        <v>42637</v>
      </c>
      <c r="B585" s="5" t="s">
        <v>580</v>
      </c>
      <c r="C585" s="92" t="s">
        <v>581</v>
      </c>
      <c r="D585" s="43">
        <v>10000</v>
      </c>
      <c r="E585" s="43"/>
      <c r="F585" s="43" t="e">
        <f t="shared" si="9"/>
        <v>#N/A</v>
      </c>
      <c r="G585" s="43"/>
    </row>
    <row r="586" spans="1:7" x14ac:dyDescent="0.3">
      <c r="A586" s="79">
        <v>42637</v>
      </c>
      <c r="B586" s="5" t="s">
        <v>127</v>
      </c>
      <c r="C586" s="92" t="s">
        <v>584</v>
      </c>
      <c r="D586" s="43">
        <v>3280</v>
      </c>
      <c r="E586" s="43"/>
      <c r="F586" s="43" t="e">
        <f t="shared" si="9"/>
        <v>#N/A</v>
      </c>
      <c r="G586" s="43"/>
    </row>
    <row r="587" spans="1:7" x14ac:dyDescent="0.3">
      <c r="A587" s="79">
        <v>42637</v>
      </c>
      <c r="B587" s="5" t="s">
        <v>160</v>
      </c>
      <c r="C587" s="92" t="s">
        <v>585</v>
      </c>
      <c r="D587" s="43">
        <v>15000</v>
      </c>
      <c r="E587" s="43"/>
      <c r="F587" s="43" t="e">
        <f t="shared" si="9"/>
        <v>#N/A</v>
      </c>
      <c r="G587" s="43"/>
    </row>
    <row r="588" spans="1:7" x14ac:dyDescent="0.3">
      <c r="A588" s="70">
        <v>42639</v>
      </c>
      <c r="B588" s="761" t="s">
        <v>657</v>
      </c>
      <c r="C588" s="762"/>
      <c r="D588" s="71"/>
      <c r="E588" s="72">
        <v>100000</v>
      </c>
      <c r="F588" s="43" t="e">
        <f t="shared" si="9"/>
        <v>#N/A</v>
      </c>
      <c r="G588" s="43"/>
    </row>
    <row r="589" spans="1:7" x14ac:dyDescent="0.3">
      <c r="A589" s="79">
        <v>42639</v>
      </c>
      <c r="B589" s="5" t="s">
        <v>541</v>
      </c>
      <c r="C589" s="92" t="s">
        <v>31</v>
      </c>
      <c r="D589" s="65">
        <v>11000</v>
      </c>
      <c r="E589" s="43"/>
      <c r="F589" s="43" t="e">
        <f t="shared" si="9"/>
        <v>#N/A</v>
      </c>
      <c r="G589" s="43"/>
    </row>
    <row r="590" spans="1:7" ht="37.5" x14ac:dyDescent="0.3">
      <c r="A590" s="79">
        <v>42639</v>
      </c>
      <c r="B590" s="5" t="s">
        <v>58</v>
      </c>
      <c r="C590" s="92" t="s">
        <v>586</v>
      </c>
      <c r="D590" s="43">
        <v>200</v>
      </c>
      <c r="E590" s="43"/>
      <c r="F590" s="43" t="e">
        <f t="shared" si="9"/>
        <v>#N/A</v>
      </c>
      <c r="G590" s="43"/>
    </row>
    <row r="591" spans="1:7" x14ac:dyDescent="0.3">
      <c r="A591" s="79">
        <v>42639</v>
      </c>
      <c r="B591" s="5" t="s">
        <v>587</v>
      </c>
      <c r="C591" s="92" t="s">
        <v>588</v>
      </c>
      <c r="D591" s="43">
        <v>100</v>
      </c>
      <c r="E591" s="43"/>
      <c r="F591" s="43" t="e">
        <f t="shared" si="9"/>
        <v>#N/A</v>
      </c>
      <c r="G591" s="43"/>
    </row>
    <row r="592" spans="1:7" x14ac:dyDescent="0.3">
      <c r="A592" s="79">
        <v>42639</v>
      </c>
      <c r="B592" s="5" t="s">
        <v>5</v>
      </c>
      <c r="C592" s="92" t="s">
        <v>591</v>
      </c>
      <c r="D592" s="43">
        <v>50</v>
      </c>
      <c r="E592" s="43"/>
      <c r="F592" s="43" t="e">
        <f t="shared" si="9"/>
        <v>#N/A</v>
      </c>
      <c r="G592" s="43"/>
    </row>
    <row r="593" spans="1:7" x14ac:dyDescent="0.3">
      <c r="A593" s="79">
        <v>42639</v>
      </c>
      <c r="B593" s="5" t="s">
        <v>5</v>
      </c>
      <c r="C593" s="92" t="s">
        <v>577</v>
      </c>
      <c r="D593" s="43">
        <v>90</v>
      </c>
      <c r="E593" s="43"/>
      <c r="F593" s="43" t="e">
        <f t="shared" si="9"/>
        <v>#N/A</v>
      </c>
      <c r="G593" s="43"/>
    </row>
    <row r="594" spans="1:7" x14ac:dyDescent="0.3">
      <c r="A594" s="79">
        <v>42639</v>
      </c>
      <c r="B594" s="5" t="s">
        <v>154</v>
      </c>
      <c r="C594" s="92" t="s">
        <v>31</v>
      </c>
      <c r="D594" s="43">
        <v>4500</v>
      </c>
      <c r="E594" s="43"/>
      <c r="F594" s="43" t="e">
        <f t="shared" si="9"/>
        <v>#N/A</v>
      </c>
      <c r="G594" s="43"/>
    </row>
    <row r="595" spans="1:7" x14ac:dyDescent="0.3">
      <c r="A595" s="79">
        <v>42639</v>
      </c>
      <c r="B595" s="5" t="s">
        <v>173</v>
      </c>
      <c r="C595" s="92"/>
      <c r="D595" s="43">
        <v>500</v>
      </c>
      <c r="E595" s="43"/>
      <c r="F595" s="43" t="e">
        <f t="shared" si="9"/>
        <v>#N/A</v>
      </c>
      <c r="G595" s="43"/>
    </row>
    <row r="596" spans="1:7" x14ac:dyDescent="0.3">
      <c r="A596" s="79">
        <v>42639</v>
      </c>
      <c r="B596" s="98" t="s">
        <v>181</v>
      </c>
      <c r="C596" s="99" t="s">
        <v>768</v>
      </c>
      <c r="D596" s="100">
        <v>2770</v>
      </c>
      <c r="E596" s="43"/>
      <c r="F596" s="43" t="e">
        <f t="shared" si="9"/>
        <v>#N/A</v>
      </c>
      <c r="G596" s="43"/>
    </row>
    <row r="597" spans="1:7" x14ac:dyDescent="0.3">
      <c r="A597" s="79">
        <v>42639</v>
      </c>
      <c r="B597" s="5" t="s">
        <v>123</v>
      </c>
      <c r="C597" s="92" t="s">
        <v>235</v>
      </c>
      <c r="D597" s="43">
        <v>1000</v>
      </c>
      <c r="E597" s="43"/>
      <c r="F597" s="43" t="e">
        <f t="shared" si="9"/>
        <v>#N/A</v>
      </c>
      <c r="G597" s="43"/>
    </row>
    <row r="598" spans="1:7" x14ac:dyDescent="0.3">
      <c r="A598" s="79">
        <v>42639</v>
      </c>
      <c r="B598" s="5" t="s">
        <v>123</v>
      </c>
      <c r="C598" s="92" t="s">
        <v>590</v>
      </c>
      <c r="D598" s="43">
        <v>1500</v>
      </c>
      <c r="E598" s="43"/>
      <c r="F598" s="43" t="e">
        <f t="shared" si="9"/>
        <v>#N/A</v>
      </c>
      <c r="G598" s="43"/>
    </row>
    <row r="599" spans="1:7" x14ac:dyDescent="0.3">
      <c r="A599" s="79">
        <v>42639</v>
      </c>
      <c r="B599" s="5" t="s">
        <v>5</v>
      </c>
      <c r="C599" s="92" t="s">
        <v>256</v>
      </c>
      <c r="D599" s="43">
        <v>50</v>
      </c>
      <c r="E599" s="43"/>
      <c r="F599" s="43" t="e">
        <f t="shared" si="9"/>
        <v>#N/A</v>
      </c>
      <c r="G599" s="43"/>
    </row>
    <row r="600" spans="1:7" x14ac:dyDescent="0.3">
      <c r="A600" s="79">
        <v>42639</v>
      </c>
      <c r="B600" s="98" t="s">
        <v>5</v>
      </c>
      <c r="C600" s="99" t="s">
        <v>33</v>
      </c>
      <c r="D600" s="100">
        <v>500</v>
      </c>
      <c r="E600" s="43"/>
      <c r="F600" s="43" t="e">
        <f t="shared" si="9"/>
        <v>#N/A</v>
      </c>
      <c r="G600" s="43"/>
    </row>
    <row r="601" spans="1:7" x14ac:dyDescent="0.3">
      <c r="A601" s="79">
        <v>42639</v>
      </c>
      <c r="B601" s="5" t="s">
        <v>5</v>
      </c>
      <c r="C601" s="92" t="s">
        <v>77</v>
      </c>
      <c r="D601" s="43">
        <v>250</v>
      </c>
      <c r="E601" s="43"/>
      <c r="F601" s="43" t="e">
        <f t="shared" si="9"/>
        <v>#N/A</v>
      </c>
      <c r="G601" s="43"/>
    </row>
    <row r="602" spans="1:7" x14ac:dyDescent="0.3">
      <c r="A602" s="70">
        <v>42639</v>
      </c>
      <c r="B602" s="761" t="s">
        <v>597</v>
      </c>
      <c r="C602" s="762"/>
      <c r="D602" s="71"/>
      <c r="E602" s="72">
        <v>500000</v>
      </c>
      <c r="F602" s="43" t="e">
        <f t="shared" si="9"/>
        <v>#N/A</v>
      </c>
      <c r="G602" s="43"/>
    </row>
    <row r="603" spans="1:7" x14ac:dyDescent="0.3">
      <c r="A603" s="79">
        <v>42639</v>
      </c>
      <c r="B603" s="5" t="s">
        <v>127</v>
      </c>
      <c r="C603" s="92" t="s">
        <v>33</v>
      </c>
      <c r="D603" s="43">
        <v>2500</v>
      </c>
      <c r="E603" s="43"/>
      <c r="F603" s="43" t="e">
        <f t="shared" si="9"/>
        <v>#N/A</v>
      </c>
      <c r="G603" s="43"/>
    </row>
    <row r="604" spans="1:7" x14ac:dyDescent="0.3">
      <c r="A604" s="79">
        <v>42639</v>
      </c>
      <c r="B604" s="5" t="s">
        <v>5</v>
      </c>
      <c r="C604" s="92" t="s">
        <v>599</v>
      </c>
      <c r="D604" s="43">
        <v>40000</v>
      </c>
      <c r="E604" s="43"/>
      <c r="F604" s="43" t="e">
        <f t="shared" si="9"/>
        <v>#N/A</v>
      </c>
      <c r="G604" s="43"/>
    </row>
    <row r="605" spans="1:7" x14ac:dyDescent="0.3">
      <c r="A605" s="79">
        <v>42639</v>
      </c>
      <c r="B605" s="5" t="s">
        <v>99</v>
      </c>
      <c r="C605" s="92" t="s">
        <v>598</v>
      </c>
      <c r="D605" s="43">
        <v>91115</v>
      </c>
      <c r="E605" s="43"/>
      <c r="F605" s="43" t="e">
        <f t="shared" si="9"/>
        <v>#N/A</v>
      </c>
      <c r="G605" s="43"/>
    </row>
    <row r="606" spans="1:7" x14ac:dyDescent="0.3">
      <c r="A606" s="79">
        <v>42639</v>
      </c>
      <c r="B606" s="5" t="s">
        <v>156</v>
      </c>
      <c r="C606" s="92" t="s">
        <v>7</v>
      </c>
      <c r="D606" s="43">
        <v>500</v>
      </c>
      <c r="E606" s="43"/>
      <c r="F606" s="43" t="e">
        <f t="shared" si="9"/>
        <v>#N/A</v>
      </c>
      <c r="G606" s="43"/>
    </row>
    <row r="607" spans="1:7" x14ac:dyDescent="0.3">
      <c r="A607" s="70">
        <v>42640</v>
      </c>
      <c r="B607" s="761" t="s">
        <v>592</v>
      </c>
      <c r="C607" s="762"/>
      <c r="D607" s="71"/>
      <c r="E607" s="72">
        <v>1500</v>
      </c>
      <c r="F607" s="43" t="e">
        <f t="shared" si="9"/>
        <v>#N/A</v>
      </c>
      <c r="G607" s="43"/>
    </row>
    <row r="608" spans="1:7" x14ac:dyDescent="0.3">
      <c r="A608" s="79">
        <v>42640</v>
      </c>
      <c r="B608" s="5" t="s">
        <v>164</v>
      </c>
      <c r="C608" s="92" t="s">
        <v>594</v>
      </c>
      <c r="D608" s="43">
        <v>10000</v>
      </c>
      <c r="E608" s="43"/>
      <c r="F608" s="43" t="e">
        <f t="shared" si="9"/>
        <v>#N/A</v>
      </c>
      <c r="G608" s="43"/>
    </row>
    <row r="609" spans="1:7" x14ac:dyDescent="0.3">
      <c r="A609" s="79">
        <v>42640</v>
      </c>
      <c r="B609" s="5" t="s">
        <v>16</v>
      </c>
      <c r="C609" s="92" t="s">
        <v>593</v>
      </c>
      <c r="D609" s="43">
        <v>15000</v>
      </c>
      <c r="E609" s="43"/>
      <c r="F609" s="43" t="e">
        <f t="shared" si="9"/>
        <v>#N/A</v>
      </c>
      <c r="G609" s="43"/>
    </row>
    <row r="610" spans="1:7" x14ac:dyDescent="0.3">
      <c r="A610" s="79">
        <v>42640</v>
      </c>
      <c r="B610" s="5" t="s">
        <v>36</v>
      </c>
      <c r="C610" s="92" t="s">
        <v>31</v>
      </c>
      <c r="D610" s="43">
        <v>1000</v>
      </c>
      <c r="E610" s="43"/>
      <c r="F610" s="43" t="e">
        <f t="shared" si="9"/>
        <v>#N/A</v>
      </c>
      <c r="G610" s="43"/>
    </row>
    <row r="611" spans="1:7" x14ac:dyDescent="0.3">
      <c r="A611" s="79">
        <v>42640</v>
      </c>
      <c r="B611" s="5" t="s">
        <v>25</v>
      </c>
      <c r="C611" s="92" t="s">
        <v>595</v>
      </c>
      <c r="D611" s="43">
        <v>477</v>
      </c>
      <c r="E611" s="43"/>
      <c r="F611" s="43" t="e">
        <f t="shared" si="9"/>
        <v>#N/A</v>
      </c>
      <c r="G611" s="43"/>
    </row>
    <row r="612" spans="1:7" x14ac:dyDescent="0.3">
      <c r="A612" s="79">
        <v>42640</v>
      </c>
      <c r="B612" s="5" t="s">
        <v>173</v>
      </c>
      <c r="C612" s="92" t="s">
        <v>596</v>
      </c>
      <c r="D612" s="43">
        <v>1800</v>
      </c>
      <c r="E612" s="43"/>
      <c r="F612" s="43" t="e">
        <f t="shared" si="9"/>
        <v>#N/A</v>
      </c>
      <c r="G612" s="43"/>
    </row>
    <row r="613" spans="1:7" x14ac:dyDescent="0.3">
      <c r="A613" s="79">
        <v>42640</v>
      </c>
      <c r="B613" s="5" t="s">
        <v>42</v>
      </c>
      <c r="C613" s="92" t="s">
        <v>31</v>
      </c>
      <c r="D613" s="43">
        <v>2000</v>
      </c>
      <c r="E613" s="43"/>
      <c r="F613" s="43" t="e">
        <f t="shared" si="9"/>
        <v>#N/A</v>
      </c>
      <c r="G613" s="43"/>
    </row>
    <row r="614" spans="1:7" x14ac:dyDescent="0.3">
      <c r="A614" s="79">
        <v>42640</v>
      </c>
      <c r="B614" s="5" t="s">
        <v>42</v>
      </c>
      <c r="C614" s="92" t="s">
        <v>31</v>
      </c>
      <c r="D614" s="43">
        <v>500</v>
      </c>
      <c r="E614" s="43"/>
      <c r="F614" s="43" t="e">
        <f t="shared" si="9"/>
        <v>#N/A</v>
      </c>
      <c r="G614" s="43"/>
    </row>
    <row r="615" spans="1:7" ht="37.5" x14ac:dyDescent="0.3">
      <c r="A615" s="79">
        <v>42640</v>
      </c>
      <c r="B615" s="5" t="s">
        <v>120</v>
      </c>
      <c r="C615" s="92" t="s">
        <v>600</v>
      </c>
      <c r="D615" s="43">
        <v>5000</v>
      </c>
      <c r="E615" s="43"/>
      <c r="F615" s="43" t="e">
        <f t="shared" si="9"/>
        <v>#N/A</v>
      </c>
      <c r="G615" s="43"/>
    </row>
    <row r="616" spans="1:7" x14ac:dyDescent="0.3">
      <c r="A616" s="79">
        <v>42640</v>
      </c>
      <c r="B616" s="5" t="s">
        <v>120</v>
      </c>
      <c r="C616" s="92" t="s">
        <v>601</v>
      </c>
      <c r="D616" s="43">
        <v>4750</v>
      </c>
      <c r="E616" s="43"/>
      <c r="F616" s="43" t="e">
        <f t="shared" si="9"/>
        <v>#N/A</v>
      </c>
      <c r="G616" s="43"/>
    </row>
    <row r="617" spans="1:7" x14ac:dyDescent="0.3">
      <c r="A617" s="79">
        <v>42640</v>
      </c>
      <c r="B617" s="5" t="s">
        <v>42</v>
      </c>
      <c r="C617" s="92" t="s">
        <v>31</v>
      </c>
      <c r="D617" s="43">
        <v>3000</v>
      </c>
      <c r="E617" s="43"/>
      <c r="F617" s="43" t="e">
        <f t="shared" si="9"/>
        <v>#N/A</v>
      </c>
      <c r="G617" s="43"/>
    </row>
    <row r="618" spans="1:7" x14ac:dyDescent="0.3">
      <c r="A618" s="79">
        <v>42640</v>
      </c>
      <c r="B618" s="5" t="s">
        <v>122</v>
      </c>
      <c r="C618" s="92" t="s">
        <v>619</v>
      </c>
      <c r="D618" s="65">
        <v>10000</v>
      </c>
      <c r="E618" s="43"/>
      <c r="F618" s="43" t="e">
        <f t="shared" si="9"/>
        <v>#N/A</v>
      </c>
      <c r="G618" s="43"/>
    </row>
    <row r="619" spans="1:7" x14ac:dyDescent="0.3">
      <c r="A619" s="79">
        <v>42640</v>
      </c>
      <c r="B619" s="5" t="s">
        <v>127</v>
      </c>
      <c r="C619" s="92" t="s">
        <v>602</v>
      </c>
      <c r="D619" s="43">
        <v>170</v>
      </c>
      <c r="E619" s="43"/>
      <c r="F619" s="43" t="e">
        <f t="shared" si="9"/>
        <v>#N/A</v>
      </c>
      <c r="G619" s="43"/>
    </row>
    <row r="620" spans="1:7" x14ac:dyDescent="0.3">
      <c r="A620" s="79">
        <v>42640</v>
      </c>
      <c r="B620" s="5" t="s">
        <v>427</v>
      </c>
      <c r="C620" s="92" t="s">
        <v>603</v>
      </c>
      <c r="D620" s="43">
        <v>20406</v>
      </c>
      <c r="E620" s="43"/>
      <c r="F620" s="43" t="e">
        <f t="shared" si="9"/>
        <v>#N/A</v>
      </c>
      <c r="G620" s="43"/>
    </row>
    <row r="621" spans="1:7" x14ac:dyDescent="0.3">
      <c r="A621" s="79">
        <v>42640</v>
      </c>
      <c r="B621" s="5" t="s">
        <v>39</v>
      </c>
      <c r="C621" s="92" t="s">
        <v>604</v>
      </c>
      <c r="D621" s="65">
        <v>2000</v>
      </c>
      <c r="E621" s="43"/>
      <c r="F621" s="43" t="e">
        <f t="shared" si="9"/>
        <v>#N/A</v>
      </c>
      <c r="G621" s="43"/>
    </row>
    <row r="622" spans="1:7" x14ac:dyDescent="0.3">
      <c r="A622" s="79">
        <v>42641</v>
      </c>
      <c r="B622" s="5" t="s">
        <v>120</v>
      </c>
      <c r="C622" s="92" t="s">
        <v>21</v>
      </c>
      <c r="D622" s="43">
        <v>7000</v>
      </c>
      <c r="E622" s="43"/>
      <c r="F622" s="43" t="e">
        <f t="shared" si="9"/>
        <v>#N/A</v>
      </c>
      <c r="G622" s="43"/>
    </row>
    <row r="623" spans="1:7" x14ac:dyDescent="0.3">
      <c r="A623" s="79">
        <v>42641</v>
      </c>
      <c r="B623" s="5" t="s">
        <v>25</v>
      </c>
      <c r="C623" s="92" t="s">
        <v>605</v>
      </c>
      <c r="D623" s="43">
        <v>100</v>
      </c>
      <c r="E623" s="43"/>
      <c r="F623" s="43" t="e">
        <f t="shared" si="9"/>
        <v>#N/A</v>
      </c>
      <c r="G623" s="43"/>
    </row>
    <row r="624" spans="1:7" x14ac:dyDescent="0.3">
      <c r="A624" s="79">
        <v>42641</v>
      </c>
      <c r="B624" s="5" t="s">
        <v>164</v>
      </c>
      <c r="C624" s="92" t="s">
        <v>294</v>
      </c>
      <c r="D624" s="43">
        <v>10000</v>
      </c>
      <c r="E624" s="43"/>
      <c r="F624" s="43" t="e">
        <f t="shared" si="9"/>
        <v>#N/A</v>
      </c>
      <c r="G624" s="43"/>
    </row>
    <row r="625" spans="1:7" x14ac:dyDescent="0.3">
      <c r="A625" s="79">
        <v>42641</v>
      </c>
      <c r="B625" s="5" t="s">
        <v>25</v>
      </c>
      <c r="C625" s="92" t="s">
        <v>606</v>
      </c>
      <c r="D625" s="43">
        <v>720</v>
      </c>
      <c r="E625" s="43"/>
      <c r="F625" s="43" t="e">
        <f t="shared" si="9"/>
        <v>#N/A</v>
      </c>
      <c r="G625" s="43"/>
    </row>
    <row r="626" spans="1:7" x14ac:dyDescent="0.3">
      <c r="A626" s="79">
        <v>42641</v>
      </c>
      <c r="B626" s="5" t="s">
        <v>60</v>
      </c>
      <c r="C626" s="92" t="s">
        <v>607</v>
      </c>
      <c r="D626" s="43">
        <v>1000</v>
      </c>
      <c r="E626" s="43"/>
      <c r="F626" s="43" t="e">
        <f t="shared" si="9"/>
        <v>#N/A</v>
      </c>
      <c r="G626" s="43"/>
    </row>
    <row r="627" spans="1:7" ht="37.5" x14ac:dyDescent="0.3">
      <c r="A627" s="79">
        <v>42641</v>
      </c>
      <c r="B627" s="5" t="s">
        <v>25</v>
      </c>
      <c r="C627" s="92" t="s">
        <v>610</v>
      </c>
      <c r="D627" s="43">
        <v>350</v>
      </c>
      <c r="E627" s="43"/>
      <c r="F627" s="43" t="e">
        <f t="shared" si="9"/>
        <v>#N/A</v>
      </c>
      <c r="G627" s="43"/>
    </row>
    <row r="628" spans="1:7" x14ac:dyDescent="0.3">
      <c r="A628" s="79">
        <v>42641</v>
      </c>
      <c r="B628" s="5" t="s">
        <v>160</v>
      </c>
      <c r="C628" s="92" t="s">
        <v>608</v>
      </c>
      <c r="D628" s="43">
        <v>3000</v>
      </c>
      <c r="E628" s="43"/>
      <c r="F628" s="43" t="e">
        <f t="shared" si="9"/>
        <v>#N/A</v>
      </c>
      <c r="G628" s="43"/>
    </row>
    <row r="629" spans="1:7" x14ac:dyDescent="0.3">
      <c r="A629" s="79">
        <v>42641</v>
      </c>
      <c r="B629" s="5" t="s">
        <v>127</v>
      </c>
      <c r="C629" s="92" t="s">
        <v>609</v>
      </c>
      <c r="D629" s="43">
        <v>1500</v>
      </c>
      <c r="E629" s="43"/>
      <c r="F629" s="43" t="e">
        <f t="shared" si="9"/>
        <v>#N/A</v>
      </c>
      <c r="G629" s="43"/>
    </row>
    <row r="630" spans="1:7" x14ac:dyDescent="0.3">
      <c r="A630" s="79">
        <v>42641</v>
      </c>
      <c r="B630" s="5" t="s">
        <v>25</v>
      </c>
      <c r="C630" s="92" t="s">
        <v>51</v>
      </c>
      <c r="D630" s="43">
        <v>80</v>
      </c>
      <c r="E630" s="43"/>
      <c r="F630" s="43" t="e">
        <f t="shared" si="9"/>
        <v>#N/A</v>
      </c>
      <c r="G630" s="43"/>
    </row>
    <row r="631" spans="1:7" x14ac:dyDescent="0.3">
      <c r="A631" s="79">
        <v>42642</v>
      </c>
      <c r="B631" s="5" t="s">
        <v>116</v>
      </c>
      <c r="C631" s="92" t="s">
        <v>611</v>
      </c>
      <c r="D631" s="65">
        <v>500</v>
      </c>
      <c r="E631" s="43"/>
      <c r="F631" s="43" t="e">
        <f t="shared" si="9"/>
        <v>#N/A</v>
      </c>
      <c r="G631" s="43"/>
    </row>
    <row r="632" spans="1:7" x14ac:dyDescent="0.3">
      <c r="A632" s="79">
        <v>42642</v>
      </c>
      <c r="B632" s="5" t="s">
        <v>25</v>
      </c>
      <c r="C632" s="92" t="s">
        <v>469</v>
      </c>
      <c r="D632" s="43">
        <v>100</v>
      </c>
      <c r="E632" s="43"/>
      <c r="F632" s="43" t="e">
        <f t="shared" si="9"/>
        <v>#N/A</v>
      </c>
      <c r="G632" s="43"/>
    </row>
    <row r="633" spans="1:7" x14ac:dyDescent="0.3">
      <c r="A633" s="79">
        <v>42642</v>
      </c>
      <c r="B633" s="5" t="s">
        <v>42</v>
      </c>
      <c r="C633" s="92" t="s">
        <v>474</v>
      </c>
      <c r="D633" s="43">
        <v>3000</v>
      </c>
      <c r="E633" s="43"/>
      <c r="F633" s="43" t="e">
        <f t="shared" si="9"/>
        <v>#N/A</v>
      </c>
      <c r="G633" s="43"/>
    </row>
    <row r="634" spans="1:7" x14ac:dyDescent="0.3">
      <c r="A634" s="79">
        <v>42642</v>
      </c>
      <c r="B634" s="5" t="s">
        <v>395</v>
      </c>
      <c r="C634" s="92" t="s">
        <v>612</v>
      </c>
      <c r="D634" s="43">
        <v>100</v>
      </c>
      <c r="E634" s="43"/>
      <c r="F634" s="43" t="e">
        <f t="shared" si="9"/>
        <v>#N/A</v>
      </c>
      <c r="G634" s="43"/>
    </row>
    <row r="635" spans="1:7" x14ac:dyDescent="0.3">
      <c r="A635" s="79">
        <v>42642</v>
      </c>
      <c r="B635" s="5" t="s">
        <v>686</v>
      </c>
      <c r="C635" s="92" t="s">
        <v>121</v>
      </c>
      <c r="D635" s="43">
        <v>5000</v>
      </c>
      <c r="E635" s="43"/>
      <c r="F635" s="43" t="e">
        <f t="shared" si="9"/>
        <v>#N/A</v>
      </c>
      <c r="G635" s="43"/>
    </row>
    <row r="636" spans="1:7" x14ac:dyDescent="0.3">
      <c r="A636" s="79">
        <v>42642</v>
      </c>
      <c r="B636" s="5" t="s">
        <v>686</v>
      </c>
      <c r="C636" s="92" t="s">
        <v>121</v>
      </c>
      <c r="D636" s="43">
        <v>2000</v>
      </c>
      <c r="E636" s="43"/>
      <c r="F636" s="43" t="e">
        <f t="shared" si="9"/>
        <v>#N/A</v>
      </c>
      <c r="G636" s="43"/>
    </row>
    <row r="637" spans="1:7" x14ac:dyDescent="0.3">
      <c r="A637" s="79">
        <v>42642</v>
      </c>
      <c r="B637" s="5" t="s">
        <v>613</v>
      </c>
      <c r="C637" s="92" t="s">
        <v>40</v>
      </c>
      <c r="D637" s="43">
        <v>51879</v>
      </c>
      <c r="E637" s="43"/>
      <c r="F637" s="43" t="e">
        <f t="shared" si="9"/>
        <v>#N/A</v>
      </c>
      <c r="G637" s="43"/>
    </row>
    <row r="638" spans="1:7" x14ac:dyDescent="0.3">
      <c r="A638" s="79">
        <v>42642</v>
      </c>
      <c r="B638" s="5" t="s">
        <v>10</v>
      </c>
      <c r="C638" s="92" t="s">
        <v>645</v>
      </c>
      <c r="D638" s="43">
        <v>470</v>
      </c>
      <c r="E638" s="43"/>
      <c r="F638" s="43" t="e">
        <f t="shared" si="9"/>
        <v>#N/A</v>
      </c>
      <c r="G638" s="43"/>
    </row>
    <row r="639" spans="1:7" x14ac:dyDescent="0.3">
      <c r="A639" s="79">
        <v>42643</v>
      </c>
      <c r="B639" s="5" t="s">
        <v>120</v>
      </c>
      <c r="C639" s="92" t="s">
        <v>33</v>
      </c>
      <c r="D639" s="43">
        <v>5000</v>
      </c>
      <c r="E639" s="43"/>
      <c r="F639" s="43" t="e">
        <f t="shared" si="9"/>
        <v>#N/A</v>
      </c>
      <c r="G639" s="43"/>
    </row>
    <row r="640" spans="1:7" x14ac:dyDescent="0.3">
      <c r="A640" s="79">
        <v>42643</v>
      </c>
      <c r="B640" s="5" t="s">
        <v>25</v>
      </c>
      <c r="C640" s="92" t="s">
        <v>614</v>
      </c>
      <c r="D640" s="43">
        <v>140</v>
      </c>
      <c r="E640" s="43"/>
      <c r="F640" s="43" t="e">
        <f t="shared" si="9"/>
        <v>#N/A</v>
      </c>
      <c r="G640" s="43"/>
    </row>
    <row r="641" spans="1:7" x14ac:dyDescent="0.3">
      <c r="A641" s="79">
        <v>42643</v>
      </c>
      <c r="B641" s="5" t="s">
        <v>127</v>
      </c>
      <c r="C641" s="92" t="s">
        <v>615</v>
      </c>
      <c r="D641" s="43">
        <v>1500</v>
      </c>
      <c r="E641" s="43"/>
      <c r="F641" s="43" t="e">
        <f t="shared" si="9"/>
        <v>#N/A</v>
      </c>
      <c r="G641" s="43"/>
    </row>
    <row r="642" spans="1:7" x14ac:dyDescent="0.3">
      <c r="A642" s="79">
        <v>42643</v>
      </c>
      <c r="B642" s="5" t="s">
        <v>104</v>
      </c>
      <c r="C642" s="92" t="s">
        <v>77</v>
      </c>
      <c r="D642" s="43">
        <v>500</v>
      </c>
      <c r="E642" s="43"/>
      <c r="F642" s="43" t="e">
        <f t="shared" si="9"/>
        <v>#N/A</v>
      </c>
      <c r="G642" s="43"/>
    </row>
    <row r="643" spans="1:7" x14ac:dyDescent="0.3">
      <c r="A643" s="79">
        <v>42643</v>
      </c>
      <c r="B643" s="5" t="s">
        <v>36</v>
      </c>
      <c r="C643" s="92" t="s">
        <v>31</v>
      </c>
      <c r="D643" s="43">
        <v>500</v>
      </c>
      <c r="E643" s="43"/>
      <c r="F643" s="43" t="e">
        <f t="shared" ref="F643:F706" si="10">F642-D643+E643</f>
        <v>#N/A</v>
      </c>
      <c r="G643" s="43"/>
    </row>
    <row r="644" spans="1:7" x14ac:dyDescent="0.3">
      <c r="A644" s="79">
        <v>42643</v>
      </c>
      <c r="B644" s="5" t="s">
        <v>39</v>
      </c>
      <c r="C644" s="92" t="s">
        <v>616</v>
      </c>
      <c r="D644" s="43">
        <v>100</v>
      </c>
      <c r="E644" s="43"/>
      <c r="F644" s="43" t="e">
        <f t="shared" si="10"/>
        <v>#N/A</v>
      </c>
      <c r="G644" s="43"/>
    </row>
    <row r="645" spans="1:7" x14ac:dyDescent="0.3">
      <c r="A645" s="79">
        <v>42643</v>
      </c>
      <c r="B645" s="5" t="s">
        <v>127</v>
      </c>
      <c r="C645" s="92" t="s">
        <v>33</v>
      </c>
      <c r="D645" s="43">
        <v>3000</v>
      </c>
      <c r="E645" s="43"/>
      <c r="F645" s="43" t="e">
        <f t="shared" si="10"/>
        <v>#N/A</v>
      </c>
      <c r="G645" s="43"/>
    </row>
    <row r="646" spans="1:7" x14ac:dyDescent="0.3">
      <c r="A646" s="79">
        <v>42643</v>
      </c>
      <c r="B646" s="5" t="s">
        <v>123</v>
      </c>
      <c r="C646" s="92" t="s">
        <v>617</v>
      </c>
      <c r="D646" s="65">
        <v>1200</v>
      </c>
      <c r="E646" s="43"/>
      <c r="F646" s="43" t="e">
        <f t="shared" si="10"/>
        <v>#N/A</v>
      </c>
      <c r="G646" s="43"/>
    </row>
    <row r="647" spans="1:7" ht="37.5" x14ac:dyDescent="0.3">
      <c r="A647" s="79">
        <v>42644</v>
      </c>
      <c r="B647" s="5" t="s">
        <v>22</v>
      </c>
      <c r="C647" s="92" t="s">
        <v>641</v>
      </c>
      <c r="D647" s="65">
        <v>4500</v>
      </c>
      <c r="E647" s="43"/>
      <c r="F647" s="43" t="e">
        <f t="shared" si="10"/>
        <v>#N/A</v>
      </c>
      <c r="G647" s="43"/>
    </row>
    <row r="648" spans="1:7" x14ac:dyDescent="0.3">
      <c r="A648" s="79">
        <v>42644</v>
      </c>
      <c r="B648" s="5" t="s">
        <v>395</v>
      </c>
      <c r="C648" s="92" t="s">
        <v>618</v>
      </c>
      <c r="D648" s="43">
        <v>100</v>
      </c>
      <c r="E648" s="43"/>
      <c r="F648" s="43" t="e">
        <f t="shared" si="10"/>
        <v>#N/A</v>
      </c>
      <c r="G648" s="43"/>
    </row>
    <row r="649" spans="1:7" x14ac:dyDescent="0.3">
      <c r="A649" s="79">
        <v>42644</v>
      </c>
      <c r="B649" s="5" t="s">
        <v>39</v>
      </c>
      <c r="C649" s="92" t="s">
        <v>620</v>
      </c>
      <c r="D649" s="43">
        <v>2000</v>
      </c>
      <c r="E649" s="43"/>
      <c r="F649" s="43" t="e">
        <f t="shared" si="10"/>
        <v>#N/A</v>
      </c>
      <c r="G649" s="43"/>
    </row>
    <row r="650" spans="1:7" x14ac:dyDescent="0.3">
      <c r="A650" s="79">
        <v>42644</v>
      </c>
      <c r="B650" s="5" t="s">
        <v>10</v>
      </c>
      <c r="C650" s="92" t="s">
        <v>621</v>
      </c>
      <c r="D650" s="43">
        <v>2000</v>
      </c>
      <c r="E650" s="43"/>
      <c r="F650" s="43" t="e">
        <f t="shared" si="10"/>
        <v>#N/A</v>
      </c>
      <c r="G650" s="43"/>
    </row>
    <row r="651" spans="1:7" x14ac:dyDescent="0.3">
      <c r="A651" s="79">
        <v>42644</v>
      </c>
      <c r="B651" s="5" t="s">
        <v>156</v>
      </c>
      <c r="C651" s="92" t="s">
        <v>31</v>
      </c>
      <c r="D651" s="43">
        <v>100</v>
      </c>
      <c r="E651" s="43"/>
      <c r="F651" s="43" t="e">
        <f t="shared" si="10"/>
        <v>#N/A</v>
      </c>
      <c r="G651" s="43"/>
    </row>
    <row r="652" spans="1:7" ht="56.25" x14ac:dyDescent="0.3">
      <c r="A652" s="79">
        <v>42644</v>
      </c>
      <c r="B652" s="5" t="s">
        <v>123</v>
      </c>
      <c r="C652" s="92" t="s">
        <v>631</v>
      </c>
      <c r="D652" s="65">
        <v>6220</v>
      </c>
      <c r="E652" s="65"/>
      <c r="F652" s="43" t="e">
        <f t="shared" si="10"/>
        <v>#N/A</v>
      </c>
      <c r="G652" s="65"/>
    </row>
    <row r="653" spans="1:7" x14ac:dyDescent="0.3">
      <c r="A653" s="79">
        <v>42644</v>
      </c>
      <c r="B653" s="5" t="s">
        <v>122</v>
      </c>
      <c r="C653" s="92" t="s">
        <v>622</v>
      </c>
      <c r="D653" s="43">
        <v>5200</v>
      </c>
      <c r="E653" s="43"/>
      <c r="F653" s="43" t="e">
        <f t="shared" si="10"/>
        <v>#N/A</v>
      </c>
      <c r="G653" s="43"/>
    </row>
    <row r="654" spans="1:7" x14ac:dyDescent="0.3">
      <c r="A654" s="79">
        <v>42644</v>
      </c>
      <c r="B654" s="5" t="s">
        <v>37</v>
      </c>
      <c r="C654" s="92" t="s">
        <v>623</v>
      </c>
      <c r="D654" s="43">
        <v>3000</v>
      </c>
      <c r="E654" s="43"/>
      <c r="F654" s="43" t="e">
        <f t="shared" si="10"/>
        <v>#N/A</v>
      </c>
      <c r="G654" s="43"/>
    </row>
    <row r="655" spans="1:7" x14ac:dyDescent="0.3">
      <c r="A655" s="79">
        <v>42644</v>
      </c>
      <c r="B655" s="5" t="s">
        <v>122</v>
      </c>
      <c r="C655" s="92" t="s">
        <v>627</v>
      </c>
      <c r="D655" s="65">
        <v>4850</v>
      </c>
      <c r="E655" s="43"/>
      <c r="F655" s="43" t="e">
        <f t="shared" si="10"/>
        <v>#N/A</v>
      </c>
      <c r="G655" s="43"/>
    </row>
    <row r="656" spans="1:7" x14ac:dyDescent="0.3">
      <c r="A656" s="79">
        <v>42644</v>
      </c>
      <c r="B656" s="5" t="s">
        <v>181</v>
      </c>
      <c r="C656" s="92" t="s">
        <v>624</v>
      </c>
      <c r="D656" s="43">
        <v>10000</v>
      </c>
      <c r="E656" s="43"/>
      <c r="F656" s="43" t="e">
        <f t="shared" si="10"/>
        <v>#N/A</v>
      </c>
      <c r="G656" s="43"/>
    </row>
    <row r="657" spans="1:7" x14ac:dyDescent="0.3">
      <c r="A657" s="79">
        <v>42644</v>
      </c>
      <c r="B657" s="5" t="s">
        <v>164</v>
      </c>
      <c r="C657" s="92" t="s">
        <v>294</v>
      </c>
      <c r="D657" s="43">
        <v>10000</v>
      </c>
      <c r="E657" s="43"/>
      <c r="F657" s="43" t="e">
        <f t="shared" si="10"/>
        <v>#N/A</v>
      </c>
      <c r="G657" s="43"/>
    </row>
    <row r="658" spans="1:7" x14ac:dyDescent="0.3">
      <c r="A658" s="79">
        <v>42644</v>
      </c>
      <c r="B658" s="5" t="s">
        <v>25</v>
      </c>
      <c r="C658" s="92" t="s">
        <v>626</v>
      </c>
      <c r="D658" s="43">
        <v>415</v>
      </c>
      <c r="E658" s="43"/>
      <c r="F658" s="43" t="e">
        <f t="shared" si="10"/>
        <v>#N/A</v>
      </c>
      <c r="G658" s="43"/>
    </row>
    <row r="659" spans="1:7" x14ac:dyDescent="0.3">
      <c r="A659" s="79">
        <v>42644</v>
      </c>
      <c r="B659" s="5" t="s">
        <v>160</v>
      </c>
      <c r="C659" s="92" t="s">
        <v>628</v>
      </c>
      <c r="D659" s="43">
        <v>1000</v>
      </c>
      <c r="E659" s="43"/>
      <c r="F659" s="43" t="e">
        <f t="shared" si="10"/>
        <v>#N/A</v>
      </c>
      <c r="G659" s="43"/>
    </row>
    <row r="660" spans="1:7" x14ac:dyDescent="0.3">
      <c r="A660" s="79">
        <v>42644</v>
      </c>
      <c r="B660" s="5" t="s">
        <v>284</v>
      </c>
      <c r="C660" s="92" t="s">
        <v>31</v>
      </c>
      <c r="D660" s="43">
        <v>1000</v>
      </c>
      <c r="E660" s="43"/>
      <c r="F660" s="43" t="e">
        <f t="shared" si="10"/>
        <v>#N/A</v>
      </c>
      <c r="G660" s="43"/>
    </row>
    <row r="661" spans="1:7" x14ac:dyDescent="0.3">
      <c r="A661" s="79">
        <v>42644</v>
      </c>
      <c r="B661" s="5" t="s">
        <v>284</v>
      </c>
      <c r="C661" s="92" t="s">
        <v>31</v>
      </c>
      <c r="D661" s="43">
        <v>2000</v>
      </c>
      <c r="E661" s="43"/>
      <c r="F661" s="43" t="e">
        <f t="shared" si="10"/>
        <v>#N/A</v>
      </c>
      <c r="G661" s="43"/>
    </row>
    <row r="662" spans="1:7" x14ac:dyDescent="0.3">
      <c r="A662" s="70">
        <v>42646</v>
      </c>
      <c r="B662" s="761" t="s">
        <v>630</v>
      </c>
      <c r="C662" s="762"/>
      <c r="D662" s="71"/>
      <c r="E662" s="72">
        <v>1800</v>
      </c>
      <c r="F662" s="43" t="e">
        <f t="shared" si="10"/>
        <v>#N/A</v>
      </c>
      <c r="G662" s="43"/>
    </row>
    <row r="663" spans="1:7" x14ac:dyDescent="0.3">
      <c r="A663" s="79">
        <v>42646</v>
      </c>
      <c r="B663" s="5" t="s">
        <v>37</v>
      </c>
      <c r="C663" s="92" t="s">
        <v>31</v>
      </c>
      <c r="D663" s="43">
        <v>1000</v>
      </c>
      <c r="E663" s="43"/>
      <c r="F663" s="43" t="e">
        <f t="shared" si="10"/>
        <v>#N/A</v>
      </c>
      <c r="G663" s="43"/>
    </row>
    <row r="664" spans="1:7" x14ac:dyDescent="0.3">
      <c r="A664" s="79">
        <v>42646</v>
      </c>
      <c r="B664" s="5" t="s">
        <v>395</v>
      </c>
      <c r="C664" s="92" t="s">
        <v>710</v>
      </c>
      <c r="D664" s="43">
        <v>100</v>
      </c>
      <c r="E664" s="43"/>
      <c r="F664" s="43" t="e">
        <f t="shared" si="10"/>
        <v>#N/A</v>
      </c>
      <c r="G664" s="43"/>
    </row>
    <row r="665" spans="1:7" x14ac:dyDescent="0.3">
      <c r="A665" s="79">
        <v>42646</v>
      </c>
      <c r="B665" s="5" t="s">
        <v>42</v>
      </c>
      <c r="C665" s="92" t="s">
        <v>31</v>
      </c>
      <c r="D665" s="43">
        <v>1500</v>
      </c>
      <c r="E665" s="43"/>
      <c r="F665" s="43" t="e">
        <f t="shared" si="10"/>
        <v>#N/A</v>
      </c>
      <c r="G665" s="43"/>
    </row>
    <row r="666" spans="1:7" x14ac:dyDescent="0.3">
      <c r="A666" s="79">
        <v>42646</v>
      </c>
      <c r="B666" s="5" t="s">
        <v>123</v>
      </c>
      <c r="C666" s="92" t="s">
        <v>632</v>
      </c>
      <c r="D666" s="65">
        <v>1000</v>
      </c>
      <c r="E666" s="43"/>
      <c r="F666" s="43" t="e">
        <f t="shared" si="10"/>
        <v>#N/A</v>
      </c>
      <c r="G666" s="43"/>
    </row>
    <row r="667" spans="1:7" x14ac:dyDescent="0.3">
      <c r="A667" s="79">
        <v>42646</v>
      </c>
      <c r="B667" s="5" t="s">
        <v>247</v>
      </c>
      <c r="C667" s="92" t="s">
        <v>453</v>
      </c>
      <c r="D667" s="65">
        <v>450</v>
      </c>
      <c r="E667" s="43"/>
      <c r="F667" s="43" t="e">
        <f t="shared" si="10"/>
        <v>#N/A</v>
      </c>
      <c r="G667" s="43"/>
    </row>
    <row r="668" spans="1:7" x14ac:dyDescent="0.3">
      <c r="A668" s="79">
        <v>42646</v>
      </c>
      <c r="B668" s="5" t="s">
        <v>42</v>
      </c>
      <c r="C668" s="92" t="s">
        <v>31</v>
      </c>
      <c r="D668" s="43">
        <v>1500</v>
      </c>
      <c r="E668" s="43"/>
      <c r="F668" s="43" t="e">
        <f t="shared" si="10"/>
        <v>#N/A</v>
      </c>
      <c r="G668" s="43"/>
    </row>
    <row r="669" spans="1:7" ht="37.5" x14ac:dyDescent="0.3">
      <c r="A669" s="79">
        <v>42646</v>
      </c>
      <c r="B669" s="5" t="s">
        <v>127</v>
      </c>
      <c r="C669" s="92" t="s">
        <v>633</v>
      </c>
      <c r="D669" s="43">
        <v>3713</v>
      </c>
      <c r="E669" s="43"/>
      <c r="F669" s="43" t="e">
        <f t="shared" si="10"/>
        <v>#N/A</v>
      </c>
      <c r="G669" s="43"/>
    </row>
    <row r="670" spans="1:7" x14ac:dyDescent="0.3">
      <c r="A670" s="79">
        <v>42646</v>
      </c>
      <c r="B670" s="5" t="s">
        <v>127</v>
      </c>
      <c r="C670" s="92" t="s">
        <v>85</v>
      </c>
      <c r="D670" s="43">
        <v>1000</v>
      </c>
      <c r="E670" s="43"/>
      <c r="F670" s="43" t="e">
        <f t="shared" si="10"/>
        <v>#N/A</v>
      </c>
      <c r="G670" s="43"/>
    </row>
    <row r="671" spans="1:7" x14ac:dyDescent="0.3">
      <c r="A671" s="79">
        <v>42646</v>
      </c>
      <c r="B671" s="5" t="s">
        <v>282</v>
      </c>
      <c r="C671" s="92" t="s">
        <v>634</v>
      </c>
      <c r="D671" s="43">
        <v>11950</v>
      </c>
      <c r="E671" s="43"/>
      <c r="F671" s="43" t="e">
        <f t="shared" si="10"/>
        <v>#N/A</v>
      </c>
      <c r="G671" s="43"/>
    </row>
    <row r="672" spans="1:7" x14ac:dyDescent="0.3">
      <c r="A672" s="79">
        <v>42646</v>
      </c>
      <c r="B672" s="5" t="s">
        <v>122</v>
      </c>
      <c r="C672" s="92" t="s">
        <v>639</v>
      </c>
      <c r="D672" s="65">
        <v>15450</v>
      </c>
      <c r="E672" s="43"/>
      <c r="F672" s="43" t="e">
        <f t="shared" si="10"/>
        <v>#N/A</v>
      </c>
      <c r="G672" s="43"/>
    </row>
    <row r="673" spans="1:7" x14ac:dyDescent="0.3">
      <c r="A673" s="79">
        <v>42646</v>
      </c>
      <c r="B673" s="5" t="s">
        <v>230</v>
      </c>
      <c r="C673" s="92" t="s">
        <v>640</v>
      </c>
      <c r="D673" s="65">
        <v>100</v>
      </c>
      <c r="E673" s="65"/>
      <c r="F673" s="43" t="e">
        <f t="shared" si="10"/>
        <v>#N/A</v>
      </c>
      <c r="G673" s="43"/>
    </row>
    <row r="674" spans="1:7" ht="37.5" x14ac:dyDescent="0.3">
      <c r="A674" s="79">
        <v>42646</v>
      </c>
      <c r="B674" s="5" t="s">
        <v>25</v>
      </c>
      <c r="C674" s="92" t="s">
        <v>638</v>
      </c>
      <c r="D674" s="65">
        <v>1800</v>
      </c>
      <c r="E674" s="65"/>
      <c r="F674" s="43" t="e">
        <f t="shared" si="10"/>
        <v>#N/A</v>
      </c>
      <c r="G674" s="43"/>
    </row>
    <row r="675" spans="1:7" x14ac:dyDescent="0.3">
      <c r="A675" s="79">
        <v>42646</v>
      </c>
      <c r="B675" s="5" t="s">
        <v>42</v>
      </c>
      <c r="C675" s="92" t="s">
        <v>31</v>
      </c>
      <c r="D675" s="65">
        <v>1080</v>
      </c>
      <c r="E675" s="65"/>
      <c r="F675" s="43" t="e">
        <f t="shared" si="10"/>
        <v>#N/A</v>
      </c>
      <c r="G675" s="43"/>
    </row>
    <row r="676" spans="1:7" x14ac:dyDescent="0.3">
      <c r="A676" s="79">
        <v>42646</v>
      </c>
      <c r="B676" s="5" t="s">
        <v>120</v>
      </c>
      <c r="C676" s="92" t="s">
        <v>635</v>
      </c>
      <c r="D676" s="43">
        <v>50000</v>
      </c>
      <c r="E676" s="43"/>
      <c r="F676" s="43" t="e">
        <f t="shared" si="10"/>
        <v>#N/A</v>
      </c>
      <c r="G676" s="43"/>
    </row>
    <row r="677" spans="1:7" x14ac:dyDescent="0.3">
      <c r="A677" s="79">
        <v>42646</v>
      </c>
      <c r="B677" s="5" t="s">
        <v>37</v>
      </c>
      <c r="C677" s="92" t="s">
        <v>636</v>
      </c>
      <c r="D677" s="43">
        <v>1200</v>
      </c>
      <c r="E677" s="43"/>
      <c r="F677" s="43" t="e">
        <f t="shared" si="10"/>
        <v>#N/A</v>
      </c>
      <c r="G677" s="43"/>
    </row>
    <row r="678" spans="1:7" x14ac:dyDescent="0.3">
      <c r="A678" s="79">
        <v>42647</v>
      </c>
      <c r="B678" s="5" t="s">
        <v>395</v>
      </c>
      <c r="C678" s="92" t="s">
        <v>637</v>
      </c>
      <c r="D678" s="43">
        <v>100</v>
      </c>
      <c r="E678" s="43"/>
      <c r="F678" s="43" t="e">
        <f t="shared" si="10"/>
        <v>#N/A</v>
      </c>
      <c r="G678" s="43"/>
    </row>
    <row r="679" spans="1:7" x14ac:dyDescent="0.3">
      <c r="A679" s="79">
        <v>42647</v>
      </c>
      <c r="B679" s="5" t="s">
        <v>42</v>
      </c>
      <c r="C679" s="92" t="s">
        <v>474</v>
      </c>
      <c r="D679" s="43">
        <v>1500</v>
      </c>
      <c r="E679" s="43"/>
      <c r="F679" s="43" t="e">
        <f t="shared" si="10"/>
        <v>#N/A</v>
      </c>
      <c r="G679" s="43"/>
    </row>
    <row r="680" spans="1:7" x14ac:dyDescent="0.3">
      <c r="A680" s="79">
        <v>42647</v>
      </c>
      <c r="B680" s="5" t="s">
        <v>25</v>
      </c>
      <c r="C680" s="92" t="s">
        <v>62</v>
      </c>
      <c r="D680" s="43">
        <v>190</v>
      </c>
      <c r="E680" s="43"/>
      <c r="F680" s="43" t="e">
        <f t="shared" si="10"/>
        <v>#N/A</v>
      </c>
      <c r="G680" s="43"/>
    </row>
    <row r="681" spans="1:7" x14ac:dyDescent="0.3">
      <c r="A681" s="79">
        <v>42647</v>
      </c>
      <c r="B681" s="5" t="s">
        <v>10</v>
      </c>
      <c r="C681" s="92" t="s">
        <v>642</v>
      </c>
      <c r="D681" s="65">
        <v>830</v>
      </c>
      <c r="E681" s="43"/>
      <c r="F681" s="43" t="e">
        <f t="shared" si="10"/>
        <v>#N/A</v>
      </c>
      <c r="G681" s="43"/>
    </row>
    <row r="682" spans="1:7" x14ac:dyDescent="0.3">
      <c r="A682" s="79">
        <v>42648</v>
      </c>
      <c r="B682" s="5" t="s">
        <v>284</v>
      </c>
      <c r="C682" s="92" t="s">
        <v>643</v>
      </c>
      <c r="D682" s="43">
        <v>2000</v>
      </c>
      <c r="E682" s="43"/>
      <c r="F682" s="43" t="e">
        <f t="shared" si="10"/>
        <v>#N/A</v>
      </c>
      <c r="G682" s="43"/>
    </row>
    <row r="683" spans="1:7" x14ac:dyDescent="0.3">
      <c r="A683" s="79">
        <v>42648</v>
      </c>
      <c r="B683" s="5" t="s">
        <v>35</v>
      </c>
      <c r="C683" s="92" t="s">
        <v>644</v>
      </c>
      <c r="D683" s="43">
        <v>100</v>
      </c>
      <c r="E683" s="43"/>
      <c r="F683" s="43" t="e">
        <f t="shared" si="10"/>
        <v>#N/A</v>
      </c>
      <c r="G683" s="43"/>
    </row>
    <row r="684" spans="1:7" x14ac:dyDescent="0.3">
      <c r="A684" s="79">
        <v>42648</v>
      </c>
      <c r="B684" s="5" t="s">
        <v>395</v>
      </c>
      <c r="C684" s="92" t="s">
        <v>618</v>
      </c>
      <c r="D684" s="43">
        <v>100</v>
      </c>
      <c r="E684" s="43"/>
      <c r="F684" s="43" t="e">
        <f t="shared" si="10"/>
        <v>#N/A</v>
      </c>
      <c r="G684" s="43"/>
    </row>
    <row r="685" spans="1:7" x14ac:dyDescent="0.3">
      <c r="A685" s="79">
        <v>42648</v>
      </c>
      <c r="B685" s="5" t="s">
        <v>42</v>
      </c>
      <c r="C685" s="92" t="s">
        <v>646</v>
      </c>
      <c r="D685" s="43">
        <v>2000</v>
      </c>
      <c r="E685" s="43"/>
      <c r="F685" s="43" t="e">
        <f t="shared" si="10"/>
        <v>#N/A</v>
      </c>
      <c r="G685" s="43"/>
    </row>
    <row r="686" spans="1:7" ht="37.5" x14ac:dyDescent="0.3">
      <c r="A686" s="79">
        <v>42648</v>
      </c>
      <c r="B686" s="5" t="s">
        <v>587</v>
      </c>
      <c r="C686" s="92" t="s">
        <v>647</v>
      </c>
      <c r="D686" s="43">
        <v>1700</v>
      </c>
      <c r="E686" s="43"/>
      <c r="F686" s="43" t="e">
        <f t="shared" si="10"/>
        <v>#N/A</v>
      </c>
      <c r="G686" s="43"/>
    </row>
    <row r="687" spans="1:7" ht="56.25" x14ac:dyDescent="0.3">
      <c r="A687" s="79">
        <v>42648</v>
      </c>
      <c r="B687" s="5" t="s">
        <v>230</v>
      </c>
      <c r="C687" s="92" t="s">
        <v>658</v>
      </c>
      <c r="D687" s="65">
        <v>1200</v>
      </c>
      <c r="E687" s="65"/>
      <c r="F687" s="43" t="e">
        <f t="shared" si="10"/>
        <v>#N/A</v>
      </c>
      <c r="G687" s="43"/>
    </row>
    <row r="688" spans="1:7" x14ac:dyDescent="0.3">
      <c r="A688" s="79">
        <v>42648</v>
      </c>
      <c r="B688" s="5" t="s">
        <v>247</v>
      </c>
      <c r="C688" s="92" t="s">
        <v>648</v>
      </c>
      <c r="D688" s="43">
        <v>630</v>
      </c>
      <c r="E688" s="43"/>
      <c r="F688" s="43" t="e">
        <f t="shared" si="10"/>
        <v>#N/A</v>
      </c>
      <c r="G688" s="43"/>
    </row>
    <row r="689" spans="1:7" x14ac:dyDescent="0.3">
      <c r="A689" s="79">
        <v>42648</v>
      </c>
      <c r="B689" s="5" t="s">
        <v>247</v>
      </c>
      <c r="C689" s="92" t="s">
        <v>666</v>
      </c>
      <c r="D689" s="65">
        <v>560</v>
      </c>
      <c r="E689" s="43"/>
      <c r="F689" s="43" t="e">
        <f t="shared" si="10"/>
        <v>#N/A</v>
      </c>
      <c r="G689" s="43"/>
    </row>
    <row r="690" spans="1:7" x14ac:dyDescent="0.3">
      <c r="A690" s="79">
        <v>42648</v>
      </c>
      <c r="B690" s="5" t="s">
        <v>649</v>
      </c>
      <c r="C690" s="92" t="s">
        <v>650</v>
      </c>
      <c r="D690" s="43">
        <v>1400</v>
      </c>
      <c r="E690" s="43"/>
      <c r="F690" s="43" t="e">
        <f t="shared" si="10"/>
        <v>#N/A</v>
      </c>
      <c r="G690" s="43"/>
    </row>
    <row r="691" spans="1:7" x14ac:dyDescent="0.3">
      <c r="A691" s="79">
        <v>42648</v>
      </c>
      <c r="B691" s="5" t="s">
        <v>25</v>
      </c>
      <c r="C691" s="92" t="s">
        <v>651</v>
      </c>
      <c r="D691" s="43">
        <v>50</v>
      </c>
      <c r="E691" s="43"/>
      <c r="F691" s="43" t="e">
        <f t="shared" si="10"/>
        <v>#N/A</v>
      </c>
      <c r="G691" s="43"/>
    </row>
    <row r="692" spans="1:7" x14ac:dyDescent="0.3">
      <c r="A692" s="79">
        <v>42648</v>
      </c>
      <c r="B692" s="5" t="s">
        <v>520</v>
      </c>
      <c r="C692" s="92" t="s">
        <v>652</v>
      </c>
      <c r="D692" s="43">
        <v>10000</v>
      </c>
      <c r="E692" s="43"/>
      <c r="F692" s="43" t="e">
        <f t="shared" si="10"/>
        <v>#N/A</v>
      </c>
      <c r="G692" s="43"/>
    </row>
    <row r="693" spans="1:7" x14ac:dyDescent="0.3">
      <c r="A693" s="79">
        <v>42649</v>
      </c>
      <c r="B693" s="5" t="s">
        <v>37</v>
      </c>
      <c r="C693" s="92" t="s">
        <v>653</v>
      </c>
      <c r="D693" s="65">
        <v>22300</v>
      </c>
      <c r="E693" s="65"/>
      <c r="F693" s="43" t="e">
        <f t="shared" si="10"/>
        <v>#N/A</v>
      </c>
      <c r="G693" s="43"/>
    </row>
    <row r="694" spans="1:7" x14ac:dyDescent="0.3">
      <c r="A694" s="79">
        <v>42649</v>
      </c>
      <c r="B694" s="5" t="s">
        <v>127</v>
      </c>
      <c r="C694" s="92" t="s">
        <v>654</v>
      </c>
      <c r="D694" s="43">
        <v>260</v>
      </c>
      <c r="E694" s="43"/>
      <c r="F694" s="43" t="e">
        <f t="shared" si="10"/>
        <v>#N/A</v>
      </c>
      <c r="G694" s="43"/>
    </row>
    <row r="695" spans="1:7" ht="37.5" x14ac:dyDescent="0.3">
      <c r="A695" s="79">
        <v>42649</v>
      </c>
      <c r="B695" s="5" t="s">
        <v>39</v>
      </c>
      <c r="C695" s="92" t="s">
        <v>655</v>
      </c>
      <c r="D695" s="43">
        <v>100</v>
      </c>
      <c r="E695" s="43"/>
      <c r="F695" s="43" t="e">
        <f t="shared" si="10"/>
        <v>#N/A</v>
      </c>
      <c r="G695" s="43"/>
    </row>
    <row r="696" spans="1:7" ht="37.5" x14ac:dyDescent="0.3">
      <c r="A696" s="79">
        <v>42649</v>
      </c>
      <c r="B696" s="5" t="s">
        <v>39</v>
      </c>
      <c r="C696" s="92" t="s">
        <v>656</v>
      </c>
      <c r="D696" s="43">
        <v>6000</v>
      </c>
      <c r="E696" s="43"/>
      <c r="F696" s="43" t="e">
        <f t="shared" si="10"/>
        <v>#N/A</v>
      </c>
      <c r="G696" s="43"/>
    </row>
    <row r="697" spans="1:7" x14ac:dyDescent="0.3">
      <c r="A697" s="79">
        <v>42649</v>
      </c>
      <c r="B697" s="5" t="s">
        <v>25</v>
      </c>
      <c r="C697" s="92" t="s">
        <v>62</v>
      </c>
      <c r="D697" s="43">
        <v>70</v>
      </c>
      <c r="E697" s="43"/>
      <c r="F697" s="43" t="e">
        <f t="shared" si="10"/>
        <v>#N/A</v>
      </c>
      <c r="G697" s="43"/>
    </row>
    <row r="698" spans="1:7" x14ac:dyDescent="0.3">
      <c r="A698" s="79">
        <v>42649</v>
      </c>
      <c r="B698" s="5" t="s">
        <v>230</v>
      </c>
      <c r="C698" s="92" t="s">
        <v>77</v>
      </c>
      <c r="D698" s="43">
        <v>500</v>
      </c>
      <c r="E698" s="43"/>
      <c r="F698" s="43" t="e">
        <f t="shared" si="10"/>
        <v>#N/A</v>
      </c>
      <c r="G698" s="43"/>
    </row>
    <row r="699" spans="1:7" x14ac:dyDescent="0.3">
      <c r="A699" s="79">
        <v>42649</v>
      </c>
      <c r="B699" s="5" t="s">
        <v>156</v>
      </c>
      <c r="C699" s="92" t="s">
        <v>31</v>
      </c>
      <c r="D699" s="43">
        <v>3000</v>
      </c>
      <c r="E699" s="43"/>
      <c r="F699" s="43" t="e">
        <f t="shared" si="10"/>
        <v>#N/A</v>
      </c>
      <c r="G699" s="43"/>
    </row>
    <row r="700" spans="1:7" x14ac:dyDescent="0.3">
      <c r="A700" s="79">
        <v>42649</v>
      </c>
      <c r="B700" s="5" t="s">
        <v>127</v>
      </c>
      <c r="C700" s="92" t="s">
        <v>115</v>
      </c>
      <c r="D700" s="43">
        <v>4830</v>
      </c>
      <c r="E700" s="43"/>
      <c r="F700" s="43" t="e">
        <f t="shared" si="10"/>
        <v>#N/A</v>
      </c>
      <c r="G700" s="43"/>
    </row>
    <row r="701" spans="1:7" x14ac:dyDescent="0.3">
      <c r="A701" s="79">
        <v>42650</v>
      </c>
      <c r="B701" s="5" t="s">
        <v>16</v>
      </c>
      <c r="C701" s="92" t="s">
        <v>659</v>
      </c>
      <c r="D701" s="65">
        <v>6000</v>
      </c>
      <c r="E701" s="43"/>
      <c r="F701" s="43" t="e">
        <f t="shared" si="10"/>
        <v>#N/A</v>
      </c>
      <c r="G701" s="43"/>
    </row>
    <row r="702" spans="1:7" x14ac:dyDescent="0.3">
      <c r="A702" s="79">
        <v>42650</v>
      </c>
      <c r="B702" s="5" t="s">
        <v>10</v>
      </c>
      <c r="C702" s="92" t="s">
        <v>660</v>
      </c>
      <c r="D702" s="65">
        <v>2000</v>
      </c>
      <c r="E702" s="43"/>
      <c r="F702" s="43" t="e">
        <f t="shared" si="10"/>
        <v>#N/A</v>
      </c>
      <c r="G702" s="43"/>
    </row>
    <row r="703" spans="1:7" x14ac:dyDescent="0.3">
      <c r="A703" s="79">
        <v>42650</v>
      </c>
      <c r="B703" s="5" t="s">
        <v>25</v>
      </c>
      <c r="C703" s="92" t="s">
        <v>661</v>
      </c>
      <c r="D703" s="43">
        <v>860</v>
      </c>
      <c r="E703" s="43"/>
      <c r="F703" s="43" t="e">
        <f t="shared" si="10"/>
        <v>#N/A</v>
      </c>
      <c r="G703" s="43"/>
    </row>
    <row r="704" spans="1:7" x14ac:dyDescent="0.3">
      <c r="A704" s="79">
        <v>42650</v>
      </c>
      <c r="B704" s="5" t="s">
        <v>103</v>
      </c>
      <c r="C704" s="92" t="s">
        <v>730</v>
      </c>
      <c r="D704" s="43">
        <v>4300</v>
      </c>
      <c r="E704" s="43"/>
      <c r="F704" s="43" t="e">
        <f t="shared" si="10"/>
        <v>#N/A</v>
      </c>
      <c r="G704" s="43"/>
    </row>
    <row r="705" spans="1:7" x14ac:dyDescent="0.3">
      <c r="A705" s="79">
        <v>42651</v>
      </c>
      <c r="B705" s="5"/>
      <c r="C705" s="92"/>
      <c r="D705" s="43">
        <v>1000</v>
      </c>
      <c r="E705" s="43"/>
      <c r="F705" s="43" t="e">
        <f t="shared" si="10"/>
        <v>#N/A</v>
      </c>
      <c r="G705" s="43"/>
    </row>
    <row r="706" spans="1:7" x14ac:dyDescent="0.3">
      <c r="A706" s="79">
        <v>42651</v>
      </c>
      <c r="B706" s="5" t="s">
        <v>37</v>
      </c>
      <c r="C706" s="92" t="s">
        <v>77</v>
      </c>
      <c r="D706" s="43">
        <v>1000</v>
      </c>
      <c r="E706" s="43"/>
      <c r="F706" s="43" t="e">
        <f t="shared" si="10"/>
        <v>#N/A</v>
      </c>
      <c r="G706" s="43"/>
    </row>
    <row r="707" spans="1:7" x14ac:dyDescent="0.3">
      <c r="A707" s="79">
        <v>42651</v>
      </c>
      <c r="B707" s="5" t="s">
        <v>120</v>
      </c>
      <c r="C707" s="92" t="s">
        <v>31</v>
      </c>
      <c r="D707" s="43">
        <v>10000</v>
      </c>
      <c r="E707" s="43"/>
      <c r="F707" s="43" t="e">
        <f t="shared" ref="F707:F770" si="11">F706-D707+E707</f>
        <v>#N/A</v>
      </c>
      <c r="G707" s="43"/>
    </row>
    <row r="708" spans="1:7" x14ac:dyDescent="0.3">
      <c r="A708" s="79">
        <v>42651</v>
      </c>
      <c r="B708" s="5" t="s">
        <v>39</v>
      </c>
      <c r="C708" s="92" t="s">
        <v>662</v>
      </c>
      <c r="D708" s="43">
        <v>5000</v>
      </c>
      <c r="E708" s="43"/>
      <c r="F708" s="43" t="e">
        <f t="shared" si="11"/>
        <v>#N/A</v>
      </c>
      <c r="G708" s="43"/>
    </row>
    <row r="709" spans="1:7" x14ac:dyDescent="0.3">
      <c r="A709" s="79">
        <v>42651</v>
      </c>
      <c r="B709" s="74" t="s">
        <v>164</v>
      </c>
      <c r="C709" s="101" t="s">
        <v>31</v>
      </c>
      <c r="D709" s="43">
        <v>5000</v>
      </c>
      <c r="E709" s="43"/>
      <c r="F709" s="43" t="e">
        <f t="shared" si="11"/>
        <v>#N/A</v>
      </c>
      <c r="G709" s="43"/>
    </row>
    <row r="710" spans="1:7" x14ac:dyDescent="0.3">
      <c r="A710" s="70">
        <v>42651</v>
      </c>
      <c r="B710" s="761" t="s">
        <v>663</v>
      </c>
      <c r="C710" s="762"/>
      <c r="D710" s="71"/>
      <c r="E710" s="72">
        <v>50000</v>
      </c>
      <c r="F710" s="43" t="e">
        <f t="shared" si="11"/>
        <v>#N/A</v>
      </c>
      <c r="G710" s="43"/>
    </row>
    <row r="711" spans="1:7" x14ac:dyDescent="0.3">
      <c r="A711" s="79">
        <v>42651</v>
      </c>
      <c r="B711" s="5" t="s">
        <v>5</v>
      </c>
      <c r="C711" s="92" t="s">
        <v>682</v>
      </c>
      <c r="D711" s="65">
        <v>19795</v>
      </c>
      <c r="E711" s="43"/>
      <c r="F711" s="43" t="e">
        <f t="shared" si="11"/>
        <v>#N/A</v>
      </c>
      <c r="G711" s="43"/>
    </row>
    <row r="712" spans="1:7" ht="37.5" x14ac:dyDescent="0.3">
      <c r="A712" s="79">
        <v>42651</v>
      </c>
      <c r="B712" s="5" t="s">
        <v>587</v>
      </c>
      <c r="C712" s="92" t="s">
        <v>665</v>
      </c>
      <c r="D712" s="43">
        <f>32000+150+100</f>
        <v>32250</v>
      </c>
      <c r="E712" s="43"/>
      <c r="F712" s="43" t="e">
        <f t="shared" si="11"/>
        <v>#N/A</v>
      </c>
      <c r="G712" s="43"/>
    </row>
    <row r="713" spans="1:7" x14ac:dyDescent="0.3">
      <c r="A713" s="79">
        <v>42651</v>
      </c>
      <c r="B713" s="5" t="s">
        <v>25</v>
      </c>
      <c r="C713" s="92" t="s">
        <v>87</v>
      </c>
      <c r="D713" s="43">
        <v>170</v>
      </c>
      <c r="E713" s="43"/>
      <c r="F713" s="43" t="e">
        <f t="shared" si="11"/>
        <v>#N/A</v>
      </c>
      <c r="G713" s="43"/>
    </row>
    <row r="714" spans="1:7" x14ac:dyDescent="0.3">
      <c r="A714" s="79">
        <v>42651</v>
      </c>
      <c r="B714" s="5" t="s">
        <v>25</v>
      </c>
      <c r="C714" s="92" t="s">
        <v>664</v>
      </c>
      <c r="D714" s="43">
        <v>500</v>
      </c>
      <c r="E714" s="43"/>
      <c r="F714" s="43" t="e">
        <f t="shared" si="11"/>
        <v>#N/A</v>
      </c>
      <c r="G714" s="43"/>
    </row>
    <row r="715" spans="1:7" x14ac:dyDescent="0.3">
      <c r="A715" s="79">
        <v>42651</v>
      </c>
      <c r="B715" s="5" t="s">
        <v>25</v>
      </c>
      <c r="C715" s="92" t="s">
        <v>667</v>
      </c>
      <c r="D715" s="43">
        <v>95</v>
      </c>
      <c r="E715" s="43"/>
      <c r="F715" s="43" t="e">
        <f t="shared" si="11"/>
        <v>#N/A</v>
      </c>
      <c r="G715" s="43"/>
    </row>
    <row r="716" spans="1:7" x14ac:dyDescent="0.3">
      <c r="A716" s="79">
        <v>42651</v>
      </c>
      <c r="B716" s="5" t="s">
        <v>25</v>
      </c>
      <c r="C716" s="92" t="s">
        <v>51</v>
      </c>
      <c r="D716" s="43">
        <v>90</v>
      </c>
      <c r="E716" s="43"/>
      <c r="F716" s="43" t="e">
        <f t="shared" si="11"/>
        <v>#N/A</v>
      </c>
      <c r="G716" s="43"/>
    </row>
    <row r="717" spans="1:7" x14ac:dyDescent="0.3">
      <c r="A717" s="79">
        <v>42651</v>
      </c>
      <c r="B717" s="5" t="s">
        <v>25</v>
      </c>
      <c r="C717" s="92" t="s">
        <v>447</v>
      </c>
      <c r="D717" s="43">
        <v>330</v>
      </c>
      <c r="E717" s="43"/>
      <c r="F717" s="43" t="e">
        <f t="shared" si="11"/>
        <v>#N/A</v>
      </c>
      <c r="G717" s="43"/>
    </row>
    <row r="718" spans="1:7" x14ac:dyDescent="0.3">
      <c r="A718" s="79">
        <v>42651</v>
      </c>
      <c r="B718" s="5" t="s">
        <v>25</v>
      </c>
      <c r="C718" s="92" t="s">
        <v>668</v>
      </c>
      <c r="D718" s="43">
        <v>200</v>
      </c>
      <c r="E718" s="43"/>
      <c r="F718" s="43" t="e">
        <f t="shared" si="11"/>
        <v>#N/A</v>
      </c>
      <c r="G718" s="43"/>
    </row>
    <row r="719" spans="1:7" x14ac:dyDescent="0.3">
      <c r="A719" s="79">
        <v>42651</v>
      </c>
      <c r="B719" s="5" t="s">
        <v>116</v>
      </c>
      <c r="C719" s="92" t="s">
        <v>669</v>
      </c>
      <c r="D719" s="65">
        <v>15000</v>
      </c>
      <c r="E719" s="43"/>
      <c r="F719" s="43" t="e">
        <f t="shared" si="11"/>
        <v>#N/A</v>
      </c>
      <c r="G719" s="43"/>
    </row>
    <row r="720" spans="1:7" x14ac:dyDescent="0.3">
      <c r="A720" s="79">
        <v>42653</v>
      </c>
      <c r="B720" s="5" t="s">
        <v>395</v>
      </c>
      <c r="C720" s="92" t="s">
        <v>670</v>
      </c>
      <c r="D720" s="43">
        <v>100</v>
      </c>
      <c r="E720" s="43"/>
      <c r="F720" s="43" t="e">
        <f t="shared" si="11"/>
        <v>#N/A</v>
      </c>
      <c r="G720" s="43"/>
    </row>
    <row r="721" spans="1:7" x14ac:dyDescent="0.3">
      <c r="A721" s="79">
        <v>42653</v>
      </c>
      <c r="B721" s="5" t="s">
        <v>25</v>
      </c>
      <c r="C721" s="92" t="s">
        <v>469</v>
      </c>
      <c r="D721" s="43">
        <v>100</v>
      </c>
      <c r="E721" s="43"/>
      <c r="F721" s="43" t="e">
        <f t="shared" si="11"/>
        <v>#N/A</v>
      </c>
      <c r="G721" s="43"/>
    </row>
    <row r="722" spans="1:7" x14ac:dyDescent="0.3">
      <c r="A722" s="79">
        <v>42653</v>
      </c>
      <c r="B722" s="5" t="s">
        <v>42</v>
      </c>
      <c r="C722" s="92" t="s">
        <v>31</v>
      </c>
      <c r="D722" s="43">
        <v>2585</v>
      </c>
      <c r="E722" s="43"/>
      <c r="F722" s="43" t="e">
        <f t="shared" si="11"/>
        <v>#N/A</v>
      </c>
      <c r="G722" s="43"/>
    </row>
    <row r="723" spans="1:7" x14ac:dyDescent="0.3">
      <c r="A723" s="79">
        <v>42653</v>
      </c>
      <c r="B723" s="5" t="s">
        <v>120</v>
      </c>
      <c r="C723" s="92" t="s">
        <v>31</v>
      </c>
      <c r="D723" s="43">
        <v>2000</v>
      </c>
      <c r="E723" s="43"/>
      <c r="F723" s="43" t="e">
        <f t="shared" si="11"/>
        <v>#N/A</v>
      </c>
      <c r="G723" s="43"/>
    </row>
    <row r="724" spans="1:7" x14ac:dyDescent="0.3">
      <c r="A724" s="79">
        <v>42653</v>
      </c>
      <c r="B724" s="5" t="s">
        <v>25</v>
      </c>
      <c r="C724" s="92" t="s">
        <v>605</v>
      </c>
      <c r="D724" s="43">
        <v>40</v>
      </c>
      <c r="E724" s="43"/>
      <c r="F724" s="43" t="e">
        <f t="shared" si="11"/>
        <v>#N/A</v>
      </c>
      <c r="G724" s="43"/>
    </row>
    <row r="725" spans="1:7" x14ac:dyDescent="0.3">
      <c r="A725" s="79">
        <v>42653</v>
      </c>
      <c r="B725" s="5" t="s">
        <v>39</v>
      </c>
      <c r="C725" s="92" t="s">
        <v>671</v>
      </c>
      <c r="D725" s="43">
        <v>1000</v>
      </c>
      <c r="E725" s="43"/>
      <c r="F725" s="43" t="e">
        <f t="shared" si="11"/>
        <v>#N/A</v>
      </c>
      <c r="G725" s="43"/>
    </row>
    <row r="726" spans="1:7" x14ac:dyDescent="0.3">
      <c r="A726" s="79">
        <v>42653</v>
      </c>
      <c r="B726" s="5" t="s">
        <v>164</v>
      </c>
      <c r="C726" s="92" t="s">
        <v>671</v>
      </c>
      <c r="D726" s="43">
        <v>10000</v>
      </c>
      <c r="E726" s="43"/>
      <c r="F726" s="43" t="e">
        <f t="shared" si="11"/>
        <v>#N/A</v>
      </c>
      <c r="G726" s="43"/>
    </row>
    <row r="727" spans="1:7" x14ac:dyDescent="0.3">
      <c r="A727" s="70">
        <v>42656</v>
      </c>
      <c r="B727" s="761" t="s">
        <v>687</v>
      </c>
      <c r="C727" s="762"/>
      <c r="D727" s="71"/>
      <c r="E727" s="72">
        <v>50000</v>
      </c>
      <c r="F727" s="43" t="e">
        <f t="shared" si="11"/>
        <v>#N/A</v>
      </c>
      <c r="G727" s="43"/>
    </row>
    <row r="728" spans="1:7" x14ac:dyDescent="0.3">
      <c r="A728" s="79">
        <v>42656</v>
      </c>
      <c r="B728" s="5" t="s">
        <v>25</v>
      </c>
      <c r="C728" s="92" t="s">
        <v>672</v>
      </c>
      <c r="D728" s="43">
        <v>120</v>
      </c>
      <c r="E728" s="43"/>
      <c r="F728" s="43" t="e">
        <f t="shared" si="11"/>
        <v>#N/A</v>
      </c>
      <c r="G728" s="43"/>
    </row>
    <row r="729" spans="1:7" x14ac:dyDescent="0.3">
      <c r="A729" s="79">
        <v>42656</v>
      </c>
      <c r="B729" s="5" t="s">
        <v>427</v>
      </c>
      <c r="C729" s="92" t="s">
        <v>673</v>
      </c>
      <c r="D729" s="43">
        <v>20406</v>
      </c>
      <c r="E729" s="43"/>
      <c r="F729" s="43" t="e">
        <f t="shared" si="11"/>
        <v>#N/A</v>
      </c>
      <c r="G729" s="43"/>
    </row>
    <row r="730" spans="1:7" x14ac:dyDescent="0.3">
      <c r="A730" s="79">
        <v>42656</v>
      </c>
      <c r="B730" s="5"/>
      <c r="C730" s="92" t="s">
        <v>674</v>
      </c>
      <c r="D730" s="43">
        <v>1000</v>
      </c>
      <c r="E730" s="43"/>
      <c r="F730" s="43" t="e">
        <f t="shared" si="11"/>
        <v>#N/A</v>
      </c>
      <c r="G730" s="43"/>
    </row>
    <row r="731" spans="1:7" x14ac:dyDescent="0.3">
      <c r="A731" s="79">
        <v>42656</v>
      </c>
      <c r="B731" s="5" t="s">
        <v>25</v>
      </c>
      <c r="C731" s="92" t="s">
        <v>675</v>
      </c>
      <c r="D731" s="43">
        <v>100</v>
      </c>
      <c r="E731" s="43"/>
      <c r="F731" s="43" t="e">
        <f t="shared" si="11"/>
        <v>#N/A</v>
      </c>
      <c r="G731" s="43"/>
    </row>
    <row r="732" spans="1:7" x14ac:dyDescent="0.3">
      <c r="A732" s="79">
        <v>42656</v>
      </c>
      <c r="B732" s="5" t="s">
        <v>107</v>
      </c>
      <c r="C732" s="92" t="s">
        <v>676</v>
      </c>
      <c r="D732" s="43">
        <v>1450</v>
      </c>
      <c r="E732" s="43"/>
      <c r="F732" s="43" t="e">
        <f t="shared" si="11"/>
        <v>#N/A</v>
      </c>
      <c r="G732" s="43"/>
    </row>
    <row r="733" spans="1:7" x14ac:dyDescent="0.3">
      <c r="A733" s="79">
        <v>42656</v>
      </c>
      <c r="B733" s="5" t="s">
        <v>25</v>
      </c>
      <c r="C733" s="92" t="s">
        <v>677</v>
      </c>
      <c r="D733" s="43">
        <v>30</v>
      </c>
      <c r="E733" s="43"/>
      <c r="F733" s="43" t="e">
        <f t="shared" si="11"/>
        <v>#N/A</v>
      </c>
      <c r="G733" s="43"/>
    </row>
    <row r="734" spans="1:7" x14ac:dyDescent="0.3">
      <c r="A734" s="79">
        <v>42656</v>
      </c>
      <c r="B734" s="5" t="s">
        <v>107</v>
      </c>
      <c r="C734" s="92" t="s">
        <v>678</v>
      </c>
      <c r="D734" s="43">
        <v>100</v>
      </c>
      <c r="E734" s="43"/>
      <c r="F734" s="43" t="e">
        <f t="shared" si="11"/>
        <v>#N/A</v>
      </c>
      <c r="G734" s="43"/>
    </row>
    <row r="735" spans="1:7" x14ac:dyDescent="0.3">
      <c r="A735" s="79">
        <v>42656</v>
      </c>
      <c r="B735" s="5" t="s">
        <v>10</v>
      </c>
      <c r="C735" s="92" t="s">
        <v>77</v>
      </c>
      <c r="D735" s="43">
        <v>1000</v>
      </c>
      <c r="E735" s="43"/>
      <c r="F735" s="43" t="e">
        <f t="shared" si="11"/>
        <v>#N/A</v>
      </c>
      <c r="G735" s="43"/>
    </row>
    <row r="736" spans="1:7" x14ac:dyDescent="0.3">
      <c r="A736" s="79">
        <v>42656</v>
      </c>
      <c r="B736" s="5" t="s">
        <v>25</v>
      </c>
      <c r="C736" s="92" t="s">
        <v>679</v>
      </c>
      <c r="D736" s="43">
        <v>400</v>
      </c>
      <c r="E736" s="43"/>
      <c r="F736" s="43" t="e">
        <f t="shared" si="11"/>
        <v>#N/A</v>
      </c>
      <c r="G736" s="43"/>
    </row>
    <row r="737" spans="1:8" x14ac:dyDescent="0.3">
      <c r="A737" s="79">
        <v>42656</v>
      </c>
      <c r="B737" s="5" t="s">
        <v>22</v>
      </c>
      <c r="C737" s="92" t="s">
        <v>680</v>
      </c>
      <c r="D737" s="65">
        <v>3000</v>
      </c>
      <c r="E737" s="43"/>
      <c r="F737" s="43" t="e">
        <f t="shared" si="11"/>
        <v>#N/A</v>
      </c>
      <c r="G737" s="43"/>
    </row>
    <row r="738" spans="1:8" x14ac:dyDescent="0.3">
      <c r="A738" s="79">
        <v>42656</v>
      </c>
      <c r="B738" s="5" t="s">
        <v>22</v>
      </c>
      <c r="C738" s="92" t="s">
        <v>681</v>
      </c>
      <c r="D738" s="65">
        <v>2000</v>
      </c>
      <c r="E738" s="43"/>
      <c r="F738" s="43" t="e">
        <f t="shared" si="11"/>
        <v>#N/A</v>
      </c>
      <c r="G738" s="43"/>
      <c r="H738" s="102"/>
    </row>
    <row r="739" spans="1:8" x14ac:dyDescent="0.3">
      <c r="A739" s="79">
        <v>42656</v>
      </c>
      <c r="B739" s="5" t="s">
        <v>683</v>
      </c>
      <c r="C739" s="92" t="s">
        <v>684</v>
      </c>
      <c r="D739" s="43">
        <v>1290</v>
      </c>
      <c r="E739" s="43"/>
      <c r="F739" s="43" t="e">
        <f t="shared" si="11"/>
        <v>#N/A</v>
      </c>
      <c r="G739" s="43"/>
    </row>
    <row r="740" spans="1:8" x14ac:dyDescent="0.3">
      <c r="A740" s="79">
        <v>42656</v>
      </c>
      <c r="B740" s="5" t="s">
        <v>5</v>
      </c>
      <c r="C740" s="92" t="s">
        <v>31</v>
      </c>
      <c r="D740" s="43">
        <v>200</v>
      </c>
      <c r="E740" s="43"/>
      <c r="F740" s="43" t="e">
        <f t="shared" si="11"/>
        <v>#N/A</v>
      </c>
      <c r="G740" s="43"/>
    </row>
    <row r="741" spans="1:8" x14ac:dyDescent="0.3">
      <c r="A741" s="79">
        <v>42656</v>
      </c>
      <c r="B741" s="5" t="s">
        <v>127</v>
      </c>
      <c r="C741" s="92" t="s">
        <v>111</v>
      </c>
      <c r="D741" s="43">
        <v>1685</v>
      </c>
      <c r="E741" s="43"/>
      <c r="F741" s="43" t="e">
        <f t="shared" si="11"/>
        <v>#N/A</v>
      </c>
      <c r="G741" s="43"/>
    </row>
    <row r="742" spans="1:8" x14ac:dyDescent="0.3">
      <c r="A742" s="79">
        <v>42656</v>
      </c>
      <c r="B742" s="5" t="s">
        <v>699</v>
      </c>
      <c r="C742" s="92" t="s">
        <v>700</v>
      </c>
      <c r="D742" s="43">
        <v>1000</v>
      </c>
      <c r="E742" s="43"/>
      <c r="F742" s="43" t="e">
        <f t="shared" si="11"/>
        <v>#N/A</v>
      </c>
      <c r="G742" s="43"/>
    </row>
    <row r="743" spans="1:8" x14ac:dyDescent="0.3">
      <c r="A743" s="79">
        <v>42656</v>
      </c>
      <c r="B743" s="5" t="s">
        <v>302</v>
      </c>
      <c r="C743" s="92" t="s">
        <v>685</v>
      </c>
      <c r="D743" s="43">
        <v>1000</v>
      </c>
      <c r="E743" s="43"/>
      <c r="F743" s="43" t="e">
        <f t="shared" si="11"/>
        <v>#N/A</v>
      </c>
      <c r="G743" s="43"/>
    </row>
    <row r="744" spans="1:8" x14ac:dyDescent="0.3">
      <c r="A744" s="79">
        <v>42656</v>
      </c>
      <c r="B744" s="5" t="s">
        <v>5</v>
      </c>
      <c r="C744" s="92" t="s">
        <v>31</v>
      </c>
      <c r="D744" s="43">
        <v>12000</v>
      </c>
      <c r="E744" s="43"/>
      <c r="F744" s="43" t="e">
        <f t="shared" si="11"/>
        <v>#N/A</v>
      </c>
      <c r="G744" s="43"/>
    </row>
    <row r="745" spans="1:8" x14ac:dyDescent="0.3">
      <c r="A745" s="79">
        <v>42656</v>
      </c>
      <c r="B745" s="5" t="s">
        <v>120</v>
      </c>
      <c r="C745" s="92" t="s">
        <v>31</v>
      </c>
      <c r="D745" s="43">
        <v>1000</v>
      </c>
      <c r="E745" s="43"/>
      <c r="F745" s="43" t="e">
        <f t="shared" si="11"/>
        <v>#N/A</v>
      </c>
      <c r="G745" s="43"/>
    </row>
    <row r="746" spans="1:8" x14ac:dyDescent="0.3">
      <c r="A746" s="79">
        <v>42657</v>
      </c>
      <c r="B746" s="5" t="s">
        <v>42</v>
      </c>
      <c r="C746" s="92" t="s">
        <v>474</v>
      </c>
      <c r="D746" s="43">
        <v>3000</v>
      </c>
      <c r="E746" s="43"/>
      <c r="F746" s="43" t="e">
        <f t="shared" si="11"/>
        <v>#N/A</v>
      </c>
      <c r="G746" s="43"/>
    </row>
    <row r="747" spans="1:8" x14ac:dyDescent="0.3">
      <c r="A747" s="79">
        <v>42657</v>
      </c>
      <c r="B747" s="5" t="s">
        <v>156</v>
      </c>
      <c r="C747" s="92" t="s">
        <v>31</v>
      </c>
      <c r="D747" s="43">
        <v>1000</v>
      </c>
      <c r="E747" s="43"/>
      <c r="F747" s="43" t="e">
        <f t="shared" si="11"/>
        <v>#N/A</v>
      </c>
      <c r="G747" s="43"/>
    </row>
    <row r="748" spans="1:8" x14ac:dyDescent="0.3">
      <c r="A748" s="70">
        <v>42657</v>
      </c>
      <c r="B748" s="761" t="s">
        <v>688</v>
      </c>
      <c r="C748" s="762"/>
      <c r="D748" s="71"/>
      <c r="E748" s="72">
        <v>50000</v>
      </c>
      <c r="F748" s="43" t="e">
        <f t="shared" si="11"/>
        <v>#N/A</v>
      </c>
      <c r="G748" s="43"/>
    </row>
    <row r="749" spans="1:8" x14ac:dyDescent="0.3">
      <c r="A749" s="79">
        <v>42657</v>
      </c>
      <c r="B749" s="5" t="s">
        <v>25</v>
      </c>
      <c r="C749" s="92" t="s">
        <v>469</v>
      </c>
      <c r="D749" s="43">
        <v>100</v>
      </c>
      <c r="E749" s="43"/>
      <c r="F749" s="43" t="e">
        <f t="shared" si="11"/>
        <v>#N/A</v>
      </c>
      <c r="G749" s="43"/>
    </row>
    <row r="750" spans="1:8" x14ac:dyDescent="0.3">
      <c r="A750" s="79">
        <v>42657</v>
      </c>
      <c r="B750" s="5" t="s">
        <v>120</v>
      </c>
      <c r="C750" s="92" t="s">
        <v>31</v>
      </c>
      <c r="D750" s="43">
        <v>5000</v>
      </c>
      <c r="E750" s="43"/>
      <c r="F750" s="43" t="e">
        <f t="shared" si="11"/>
        <v>#N/A</v>
      </c>
      <c r="G750" s="43"/>
    </row>
    <row r="751" spans="1:8" x14ac:dyDescent="0.3">
      <c r="A751" s="79">
        <v>42657</v>
      </c>
      <c r="B751" s="5" t="s">
        <v>164</v>
      </c>
      <c r="C751" s="92" t="s">
        <v>31</v>
      </c>
      <c r="D751" s="43">
        <v>10000</v>
      </c>
      <c r="E751" s="43"/>
      <c r="F751" s="43" t="e">
        <f t="shared" si="11"/>
        <v>#N/A</v>
      </c>
      <c r="G751" s="43"/>
    </row>
    <row r="752" spans="1:8" x14ac:dyDescent="0.3">
      <c r="A752" s="79">
        <v>42657</v>
      </c>
      <c r="B752" s="5" t="s">
        <v>4</v>
      </c>
      <c r="C752" s="92" t="s">
        <v>31</v>
      </c>
      <c r="D752" s="43">
        <v>2000</v>
      </c>
      <c r="E752" s="43"/>
      <c r="F752" s="43" t="e">
        <f t="shared" si="11"/>
        <v>#N/A</v>
      </c>
      <c r="G752" s="43"/>
    </row>
    <row r="753" spans="1:7" x14ac:dyDescent="0.3">
      <c r="A753" s="79">
        <v>42657</v>
      </c>
      <c r="B753" s="5" t="s">
        <v>160</v>
      </c>
      <c r="C753" s="92" t="s">
        <v>689</v>
      </c>
      <c r="D753" s="43">
        <v>10000</v>
      </c>
      <c r="E753" s="43"/>
      <c r="F753" s="43" t="e">
        <f t="shared" si="11"/>
        <v>#N/A</v>
      </c>
      <c r="G753" s="43"/>
    </row>
    <row r="754" spans="1:7" x14ac:dyDescent="0.3">
      <c r="A754" s="79">
        <v>42657</v>
      </c>
      <c r="B754" s="5" t="s">
        <v>160</v>
      </c>
      <c r="C754" s="92" t="s">
        <v>28</v>
      </c>
      <c r="D754" s="43">
        <v>5000</v>
      </c>
      <c r="E754" s="43"/>
      <c r="F754" s="43" t="e">
        <f t="shared" si="11"/>
        <v>#N/A</v>
      </c>
      <c r="G754" s="43"/>
    </row>
    <row r="755" spans="1:7" ht="37.5" x14ac:dyDescent="0.3">
      <c r="A755" s="79">
        <v>42657</v>
      </c>
      <c r="B755" s="5" t="s">
        <v>120</v>
      </c>
      <c r="C755" s="92" t="s">
        <v>697</v>
      </c>
      <c r="D755" s="65">
        <v>4210</v>
      </c>
      <c r="E755" s="43"/>
      <c r="F755" s="43" t="e">
        <f t="shared" si="11"/>
        <v>#N/A</v>
      </c>
      <c r="G755" s="43"/>
    </row>
    <row r="756" spans="1:7" ht="37.5" x14ac:dyDescent="0.3">
      <c r="A756" s="79">
        <v>42657</v>
      </c>
      <c r="B756" s="5" t="s">
        <v>181</v>
      </c>
      <c r="C756" s="92" t="s">
        <v>690</v>
      </c>
      <c r="D756" s="43">
        <v>2000</v>
      </c>
      <c r="E756" s="43"/>
      <c r="F756" s="43" t="e">
        <f t="shared" si="11"/>
        <v>#N/A</v>
      </c>
      <c r="G756" s="43"/>
    </row>
    <row r="757" spans="1:7" x14ac:dyDescent="0.3">
      <c r="A757" s="79">
        <v>42657</v>
      </c>
      <c r="B757" s="5" t="s">
        <v>691</v>
      </c>
      <c r="C757" s="92" t="s">
        <v>692</v>
      </c>
      <c r="D757" s="43">
        <v>5120</v>
      </c>
      <c r="E757" s="43"/>
      <c r="F757" s="43" t="e">
        <f t="shared" si="11"/>
        <v>#N/A</v>
      </c>
      <c r="G757" s="43"/>
    </row>
    <row r="758" spans="1:7" x14ac:dyDescent="0.3">
      <c r="A758" s="79">
        <v>42657</v>
      </c>
      <c r="B758" s="5" t="s">
        <v>122</v>
      </c>
      <c r="C758" s="92" t="s">
        <v>702</v>
      </c>
      <c r="D758" s="65">
        <v>10500</v>
      </c>
      <c r="E758" s="43"/>
      <c r="F758" s="43" t="e">
        <f t="shared" si="11"/>
        <v>#N/A</v>
      </c>
      <c r="G758" s="43"/>
    </row>
    <row r="759" spans="1:7" x14ac:dyDescent="0.3">
      <c r="A759" s="79">
        <v>42657</v>
      </c>
      <c r="B759" s="5" t="s">
        <v>693</v>
      </c>
      <c r="C759" s="92" t="s">
        <v>694</v>
      </c>
      <c r="D759" s="43">
        <v>164</v>
      </c>
      <c r="E759" s="43"/>
      <c r="F759" s="43" t="e">
        <f t="shared" si="11"/>
        <v>#N/A</v>
      </c>
      <c r="G759" s="43"/>
    </row>
    <row r="760" spans="1:7" x14ac:dyDescent="0.3">
      <c r="A760" s="79">
        <v>42660</v>
      </c>
      <c r="B760" s="761" t="s">
        <v>724</v>
      </c>
      <c r="C760" s="762"/>
      <c r="D760" s="71"/>
      <c r="E760" s="72">
        <v>50000</v>
      </c>
      <c r="F760" s="43" t="e">
        <f t="shared" si="11"/>
        <v>#N/A</v>
      </c>
      <c r="G760" s="43"/>
    </row>
    <row r="761" spans="1:7" x14ac:dyDescent="0.3">
      <c r="A761" s="79">
        <v>42657</v>
      </c>
      <c r="B761" s="5" t="s">
        <v>695</v>
      </c>
      <c r="C761" s="92" t="s">
        <v>696</v>
      </c>
      <c r="D761" s="43">
        <v>7500</v>
      </c>
      <c r="E761" s="43"/>
      <c r="F761" s="43" t="e">
        <f t="shared" si="11"/>
        <v>#N/A</v>
      </c>
      <c r="G761" s="43"/>
    </row>
    <row r="762" spans="1:7" x14ac:dyDescent="0.3">
      <c r="A762" s="79">
        <v>42658</v>
      </c>
      <c r="B762" s="5" t="s">
        <v>302</v>
      </c>
      <c r="C762" s="92" t="s">
        <v>698</v>
      </c>
      <c r="D762" s="43">
        <v>600</v>
      </c>
      <c r="E762" s="43"/>
      <c r="F762" s="43" t="e">
        <f t="shared" si="11"/>
        <v>#N/A</v>
      </c>
      <c r="G762" s="43"/>
    </row>
    <row r="763" spans="1:7" x14ac:dyDescent="0.3">
      <c r="A763" s="79">
        <v>42658</v>
      </c>
      <c r="B763" s="5" t="s">
        <v>4</v>
      </c>
      <c r="C763" s="92" t="s">
        <v>294</v>
      </c>
      <c r="D763" s="43">
        <v>1000</v>
      </c>
      <c r="E763" s="43"/>
      <c r="F763" s="43" t="e">
        <f t="shared" si="11"/>
        <v>#N/A</v>
      </c>
      <c r="G763" s="43"/>
    </row>
    <row r="764" spans="1:7" x14ac:dyDescent="0.3">
      <c r="A764" s="79">
        <v>42658</v>
      </c>
      <c r="B764" s="5" t="s">
        <v>5</v>
      </c>
      <c r="C764" s="92" t="s">
        <v>31</v>
      </c>
      <c r="D764" s="43">
        <v>3000</v>
      </c>
      <c r="E764" s="43"/>
      <c r="F764" s="43" t="e">
        <f t="shared" si="11"/>
        <v>#N/A</v>
      </c>
      <c r="G764" s="43"/>
    </row>
    <row r="765" spans="1:7" x14ac:dyDescent="0.3">
      <c r="A765" s="79">
        <v>42658</v>
      </c>
      <c r="B765" s="5" t="s">
        <v>127</v>
      </c>
      <c r="C765" s="92" t="s">
        <v>701</v>
      </c>
      <c r="D765" s="43">
        <v>1000</v>
      </c>
      <c r="E765" s="43"/>
      <c r="F765" s="43" t="e">
        <f t="shared" si="11"/>
        <v>#N/A</v>
      </c>
      <c r="G765" s="43"/>
    </row>
    <row r="766" spans="1:7" x14ac:dyDescent="0.3">
      <c r="A766" s="79">
        <v>42658</v>
      </c>
      <c r="B766" s="5" t="s">
        <v>25</v>
      </c>
      <c r="C766" s="92" t="s">
        <v>704</v>
      </c>
      <c r="D766" s="43">
        <v>230</v>
      </c>
      <c r="E766" s="43"/>
      <c r="F766" s="43" t="e">
        <f t="shared" si="11"/>
        <v>#N/A</v>
      </c>
      <c r="G766" s="43"/>
    </row>
    <row r="767" spans="1:7" ht="37.5" x14ac:dyDescent="0.3">
      <c r="A767" s="79">
        <v>42658</v>
      </c>
      <c r="B767" s="5" t="s">
        <v>16</v>
      </c>
      <c r="C767" s="92" t="s">
        <v>703</v>
      </c>
      <c r="D767" s="43">
        <v>1000</v>
      </c>
      <c r="E767" s="43"/>
      <c r="F767" s="43" t="e">
        <f t="shared" si="11"/>
        <v>#N/A</v>
      </c>
      <c r="G767" s="43"/>
    </row>
    <row r="768" spans="1:7" x14ac:dyDescent="0.3">
      <c r="A768" s="79">
        <v>42658</v>
      </c>
      <c r="B768" s="5" t="s">
        <v>395</v>
      </c>
      <c r="C768" s="92" t="s">
        <v>705</v>
      </c>
      <c r="D768" s="43">
        <v>100</v>
      </c>
      <c r="E768" s="43"/>
      <c r="F768" s="43" t="e">
        <f t="shared" si="11"/>
        <v>#N/A</v>
      </c>
      <c r="G768" s="43"/>
    </row>
    <row r="769" spans="1:7" x14ac:dyDescent="0.3">
      <c r="A769" s="79">
        <v>42660</v>
      </c>
      <c r="B769" s="5" t="s">
        <v>16</v>
      </c>
      <c r="C769" s="92" t="s">
        <v>31</v>
      </c>
      <c r="D769" s="65">
        <v>150</v>
      </c>
      <c r="E769" s="65"/>
      <c r="F769" s="43" t="e">
        <f t="shared" si="11"/>
        <v>#N/A</v>
      </c>
      <c r="G769" s="43"/>
    </row>
    <row r="770" spans="1:7" x14ac:dyDescent="0.3">
      <c r="A770" s="79">
        <v>42660</v>
      </c>
      <c r="B770" s="5" t="s">
        <v>25</v>
      </c>
      <c r="C770" s="92" t="s">
        <v>706</v>
      </c>
      <c r="D770" s="43">
        <v>200</v>
      </c>
      <c r="E770" s="43"/>
      <c r="F770" s="43" t="e">
        <f t="shared" si="11"/>
        <v>#N/A</v>
      </c>
      <c r="G770" s="43"/>
    </row>
    <row r="771" spans="1:7" x14ac:dyDescent="0.3">
      <c r="A771" s="79">
        <v>42660</v>
      </c>
      <c r="B771" s="5" t="s">
        <v>5</v>
      </c>
      <c r="C771" s="92" t="s">
        <v>501</v>
      </c>
      <c r="D771" s="43">
        <v>2000</v>
      </c>
      <c r="E771" s="43"/>
      <c r="F771" s="43" t="e">
        <f t="shared" ref="F771:F834" si="12">F770-D771+E771</f>
        <v>#N/A</v>
      </c>
      <c r="G771" s="43"/>
    </row>
    <row r="772" spans="1:7" x14ac:dyDescent="0.3">
      <c r="A772" s="79">
        <v>42660</v>
      </c>
      <c r="B772" s="5" t="s">
        <v>10</v>
      </c>
      <c r="C772" s="92" t="s">
        <v>31</v>
      </c>
      <c r="D772" s="43">
        <v>500</v>
      </c>
      <c r="E772" s="43"/>
      <c r="F772" s="43" t="e">
        <f t="shared" si="12"/>
        <v>#N/A</v>
      </c>
      <c r="G772" s="43"/>
    </row>
    <row r="773" spans="1:7" x14ac:dyDescent="0.3">
      <c r="A773" s="79">
        <v>42660</v>
      </c>
      <c r="B773" s="5" t="s">
        <v>120</v>
      </c>
      <c r="C773" s="92" t="s">
        <v>31</v>
      </c>
      <c r="D773" s="43">
        <v>500</v>
      </c>
      <c r="E773" s="43"/>
      <c r="F773" s="43" t="e">
        <f t="shared" si="12"/>
        <v>#N/A</v>
      </c>
      <c r="G773" s="43"/>
    </row>
    <row r="774" spans="1:7" x14ac:dyDescent="0.3">
      <c r="A774" s="79">
        <v>42660</v>
      </c>
      <c r="B774" s="5" t="s">
        <v>230</v>
      </c>
      <c r="C774" s="92" t="s">
        <v>31</v>
      </c>
      <c r="D774" s="43">
        <v>500</v>
      </c>
      <c r="E774" s="43"/>
      <c r="F774" s="43" t="e">
        <f t="shared" si="12"/>
        <v>#N/A</v>
      </c>
      <c r="G774" s="43"/>
    </row>
    <row r="775" spans="1:7" x14ac:dyDescent="0.3">
      <c r="A775" s="79">
        <v>42660</v>
      </c>
      <c r="B775" s="5" t="s">
        <v>25</v>
      </c>
      <c r="C775" s="92" t="s">
        <v>707</v>
      </c>
      <c r="D775" s="43">
        <f>180+100+200</f>
        <v>480</v>
      </c>
      <c r="E775" s="43"/>
      <c r="F775" s="43" t="e">
        <f t="shared" si="12"/>
        <v>#N/A</v>
      </c>
      <c r="G775" s="43"/>
    </row>
    <row r="776" spans="1:7" x14ac:dyDescent="0.3">
      <c r="A776" s="79">
        <v>42660</v>
      </c>
      <c r="B776" s="5" t="s">
        <v>683</v>
      </c>
      <c r="C776" s="92" t="s">
        <v>708</v>
      </c>
      <c r="D776" s="43">
        <v>250</v>
      </c>
      <c r="E776" s="43"/>
      <c r="F776" s="43" t="e">
        <f t="shared" si="12"/>
        <v>#N/A</v>
      </c>
      <c r="G776" s="43"/>
    </row>
    <row r="777" spans="1:7" x14ac:dyDescent="0.3">
      <c r="A777" s="79">
        <v>42660</v>
      </c>
      <c r="B777" s="5" t="s">
        <v>5</v>
      </c>
      <c r="C777" s="92" t="s">
        <v>44</v>
      </c>
      <c r="D777" s="43">
        <v>8000</v>
      </c>
      <c r="E777" s="43"/>
      <c r="F777" s="43" t="e">
        <f t="shared" si="12"/>
        <v>#N/A</v>
      </c>
      <c r="G777" s="43"/>
    </row>
    <row r="778" spans="1:7" x14ac:dyDescent="0.3">
      <c r="A778" s="79">
        <v>42660</v>
      </c>
      <c r="B778" s="5" t="s">
        <v>120</v>
      </c>
      <c r="C778" s="92" t="s">
        <v>709</v>
      </c>
      <c r="D778" s="43">
        <v>6000</v>
      </c>
      <c r="E778" s="43"/>
      <c r="F778" s="43" t="e">
        <f t="shared" si="12"/>
        <v>#N/A</v>
      </c>
      <c r="G778" s="43"/>
    </row>
    <row r="779" spans="1:7" x14ac:dyDescent="0.3">
      <c r="A779" s="79">
        <v>42660</v>
      </c>
      <c r="B779" s="5" t="s">
        <v>25</v>
      </c>
      <c r="C779" s="92" t="s">
        <v>711</v>
      </c>
      <c r="D779" s="43">
        <v>120</v>
      </c>
      <c r="E779" s="43"/>
      <c r="F779" s="43" t="e">
        <f t="shared" si="12"/>
        <v>#N/A</v>
      </c>
      <c r="G779" s="43"/>
    </row>
    <row r="780" spans="1:7" ht="37.5" x14ac:dyDescent="0.3">
      <c r="A780" s="79">
        <v>42660</v>
      </c>
      <c r="B780" s="5" t="s">
        <v>683</v>
      </c>
      <c r="C780" s="92" t="s">
        <v>740</v>
      </c>
      <c r="D780" s="65">
        <v>4800</v>
      </c>
      <c r="E780" s="43"/>
      <c r="F780" s="43" t="e">
        <f t="shared" si="12"/>
        <v>#N/A</v>
      </c>
      <c r="G780" s="43"/>
    </row>
    <row r="781" spans="1:7" x14ac:dyDescent="0.3">
      <c r="A781" s="79">
        <v>42661</v>
      </c>
      <c r="B781" s="5" t="s">
        <v>25</v>
      </c>
      <c r="C781" s="92" t="s">
        <v>712</v>
      </c>
      <c r="D781" s="43">
        <v>710</v>
      </c>
      <c r="E781" s="43"/>
      <c r="F781" s="43" t="e">
        <f t="shared" si="12"/>
        <v>#N/A</v>
      </c>
      <c r="G781" s="43"/>
    </row>
    <row r="782" spans="1:7" x14ac:dyDescent="0.3">
      <c r="A782" s="79">
        <v>42661</v>
      </c>
      <c r="B782" s="5" t="s">
        <v>154</v>
      </c>
      <c r="C782" s="92" t="s">
        <v>294</v>
      </c>
      <c r="D782" s="43">
        <v>2000</v>
      </c>
      <c r="E782" s="43"/>
      <c r="F782" s="43" t="e">
        <f t="shared" si="12"/>
        <v>#N/A</v>
      </c>
      <c r="G782" s="43"/>
    </row>
    <row r="783" spans="1:7" x14ac:dyDescent="0.3">
      <c r="A783" s="79">
        <v>42661</v>
      </c>
      <c r="B783" s="5" t="s">
        <v>25</v>
      </c>
      <c r="C783" s="92" t="s">
        <v>713</v>
      </c>
      <c r="D783" s="43">
        <v>15</v>
      </c>
      <c r="E783" s="43"/>
      <c r="F783" s="43" t="e">
        <f t="shared" si="12"/>
        <v>#N/A</v>
      </c>
      <c r="G783" s="43"/>
    </row>
    <row r="784" spans="1:7" ht="37.5" x14ac:dyDescent="0.3">
      <c r="A784" s="79">
        <v>42661</v>
      </c>
      <c r="B784" s="5" t="s">
        <v>499</v>
      </c>
      <c r="C784" s="92" t="s">
        <v>714</v>
      </c>
      <c r="D784" s="43">
        <v>350</v>
      </c>
      <c r="E784" s="43"/>
      <c r="F784" s="43" t="e">
        <f t="shared" si="12"/>
        <v>#N/A</v>
      </c>
      <c r="G784" s="43"/>
    </row>
    <row r="785" spans="1:7" x14ac:dyDescent="0.3">
      <c r="A785" s="79">
        <v>42661</v>
      </c>
      <c r="B785" s="5" t="s">
        <v>16</v>
      </c>
      <c r="C785" s="92" t="s">
        <v>77</v>
      </c>
      <c r="D785" s="43">
        <v>7000</v>
      </c>
      <c r="E785" s="43"/>
      <c r="F785" s="43" t="e">
        <f t="shared" si="12"/>
        <v>#N/A</v>
      </c>
      <c r="G785" s="43"/>
    </row>
    <row r="786" spans="1:7" x14ac:dyDescent="0.3">
      <c r="A786" s="79">
        <v>42661</v>
      </c>
      <c r="B786" s="761" t="s">
        <v>723</v>
      </c>
      <c r="C786" s="762"/>
      <c r="D786" s="71"/>
      <c r="E786" s="72">
        <v>50000</v>
      </c>
      <c r="F786" s="43" t="e">
        <f t="shared" si="12"/>
        <v>#N/A</v>
      </c>
      <c r="G786" s="43"/>
    </row>
    <row r="787" spans="1:7" x14ac:dyDescent="0.3">
      <c r="A787" s="79">
        <v>42661</v>
      </c>
      <c r="B787" s="5" t="s">
        <v>122</v>
      </c>
      <c r="C787" s="92" t="s">
        <v>718</v>
      </c>
      <c r="D787" s="43">
        <v>10000</v>
      </c>
      <c r="E787" s="43"/>
      <c r="F787" s="43" t="e">
        <f t="shared" si="12"/>
        <v>#N/A</v>
      </c>
      <c r="G787" s="43"/>
    </row>
    <row r="788" spans="1:7" x14ac:dyDescent="0.3">
      <c r="A788" s="79">
        <v>42661</v>
      </c>
      <c r="B788" s="5" t="s">
        <v>719</v>
      </c>
      <c r="C788" s="92" t="s">
        <v>725</v>
      </c>
      <c r="D788" s="43">
        <v>5000</v>
      </c>
      <c r="E788" s="43"/>
      <c r="F788" s="43" t="e">
        <f t="shared" si="12"/>
        <v>#N/A</v>
      </c>
      <c r="G788" s="43"/>
    </row>
    <row r="789" spans="1:7" ht="37.5" x14ac:dyDescent="0.3">
      <c r="A789" s="79">
        <v>42661</v>
      </c>
      <c r="B789" s="5" t="s">
        <v>719</v>
      </c>
      <c r="C789" s="92" t="s">
        <v>726</v>
      </c>
      <c r="D789" s="43">
        <v>4000</v>
      </c>
      <c r="E789" s="43"/>
      <c r="F789" s="43" t="e">
        <f t="shared" si="12"/>
        <v>#N/A</v>
      </c>
      <c r="G789" s="43"/>
    </row>
    <row r="790" spans="1:7" x14ac:dyDescent="0.3">
      <c r="A790" s="79">
        <v>42661</v>
      </c>
      <c r="B790" s="5" t="s">
        <v>4</v>
      </c>
      <c r="C790" s="92" t="s">
        <v>31</v>
      </c>
      <c r="D790" s="43">
        <v>5000</v>
      </c>
      <c r="E790" s="43"/>
      <c r="F790" s="43" t="e">
        <f t="shared" si="12"/>
        <v>#N/A</v>
      </c>
      <c r="G790" s="43"/>
    </row>
    <row r="791" spans="1:7" x14ac:dyDescent="0.3">
      <c r="A791" s="79">
        <v>42661</v>
      </c>
      <c r="B791" s="5" t="s">
        <v>37</v>
      </c>
      <c r="C791" s="92" t="s">
        <v>715</v>
      </c>
      <c r="D791" s="65">
        <v>230</v>
      </c>
      <c r="E791" s="43"/>
      <c r="F791" s="43" t="e">
        <f t="shared" si="12"/>
        <v>#N/A</v>
      </c>
      <c r="G791" s="43"/>
    </row>
    <row r="792" spans="1:7" x14ac:dyDescent="0.3">
      <c r="A792" s="79">
        <v>42661</v>
      </c>
      <c r="B792" s="5" t="s">
        <v>160</v>
      </c>
      <c r="C792" s="92" t="s">
        <v>716</v>
      </c>
      <c r="D792" s="43">
        <v>1000</v>
      </c>
      <c r="E792" s="43"/>
      <c r="F792" s="43" t="e">
        <f t="shared" si="12"/>
        <v>#N/A</v>
      </c>
      <c r="G792" s="43"/>
    </row>
    <row r="793" spans="1:7" x14ac:dyDescent="0.3">
      <c r="A793" s="79">
        <v>42661</v>
      </c>
      <c r="B793" s="5" t="s">
        <v>120</v>
      </c>
      <c r="C793" s="92" t="s">
        <v>33</v>
      </c>
      <c r="D793" s="43">
        <v>2500</v>
      </c>
      <c r="E793" s="43"/>
      <c r="F793" s="43" t="e">
        <f t="shared" si="12"/>
        <v>#N/A</v>
      </c>
      <c r="G793" s="43"/>
    </row>
    <row r="794" spans="1:7" x14ac:dyDescent="0.3">
      <c r="A794" s="79">
        <v>42661</v>
      </c>
      <c r="B794" s="5" t="s">
        <v>25</v>
      </c>
      <c r="C794" s="92" t="s">
        <v>717</v>
      </c>
      <c r="D794" s="43">
        <v>100</v>
      </c>
      <c r="E794" s="43"/>
      <c r="F794" s="43" t="e">
        <f t="shared" si="12"/>
        <v>#N/A</v>
      </c>
      <c r="G794" s="43"/>
    </row>
    <row r="795" spans="1:7" x14ac:dyDescent="0.3">
      <c r="A795" s="79">
        <v>42662</v>
      </c>
      <c r="B795" s="5" t="s">
        <v>120</v>
      </c>
      <c r="C795" s="92" t="s">
        <v>96</v>
      </c>
      <c r="D795" s="43">
        <v>3000</v>
      </c>
      <c r="E795" s="43"/>
      <c r="F795" s="43" t="e">
        <f t="shared" si="12"/>
        <v>#N/A</v>
      </c>
      <c r="G795" s="43"/>
    </row>
    <row r="796" spans="1:7" x14ac:dyDescent="0.3">
      <c r="A796" s="79">
        <v>42662</v>
      </c>
      <c r="B796" s="5" t="s">
        <v>116</v>
      </c>
      <c r="C796" s="92" t="s">
        <v>720</v>
      </c>
      <c r="D796" s="43">
        <v>2000</v>
      </c>
      <c r="E796" s="43"/>
      <c r="F796" s="43" t="e">
        <f t="shared" si="12"/>
        <v>#N/A</v>
      </c>
      <c r="G796" s="43"/>
    </row>
    <row r="797" spans="1:7" x14ac:dyDescent="0.3">
      <c r="A797" s="79">
        <v>42662</v>
      </c>
      <c r="B797" s="5" t="s">
        <v>395</v>
      </c>
      <c r="C797" s="92" t="s">
        <v>618</v>
      </c>
      <c r="D797" s="43">
        <v>100</v>
      </c>
      <c r="E797" s="43"/>
      <c r="F797" s="43" t="e">
        <f t="shared" si="12"/>
        <v>#N/A</v>
      </c>
      <c r="G797" s="43"/>
    </row>
    <row r="798" spans="1:7" x14ac:dyDescent="0.3">
      <c r="A798" s="79">
        <v>42662</v>
      </c>
      <c r="B798" s="5" t="s">
        <v>499</v>
      </c>
      <c r="C798" s="92" t="s">
        <v>721</v>
      </c>
      <c r="D798" s="65">
        <v>560</v>
      </c>
      <c r="E798" s="65"/>
      <c r="F798" s="43" t="e">
        <f t="shared" si="12"/>
        <v>#N/A</v>
      </c>
      <c r="G798" s="43"/>
    </row>
    <row r="799" spans="1:7" x14ac:dyDescent="0.3">
      <c r="A799" s="79">
        <v>42662</v>
      </c>
      <c r="B799" s="5" t="s">
        <v>25</v>
      </c>
      <c r="C799" s="92" t="s">
        <v>722</v>
      </c>
      <c r="D799" s="43">
        <v>60</v>
      </c>
      <c r="E799" s="43"/>
      <c r="F799" s="43" t="e">
        <f t="shared" si="12"/>
        <v>#N/A</v>
      </c>
      <c r="G799" s="43"/>
    </row>
    <row r="800" spans="1:7" x14ac:dyDescent="0.3">
      <c r="A800" s="79">
        <v>42662</v>
      </c>
      <c r="B800" s="5" t="s">
        <v>10</v>
      </c>
      <c r="C800" s="92" t="s">
        <v>235</v>
      </c>
      <c r="D800" s="43">
        <v>1500</v>
      </c>
      <c r="E800" s="43"/>
      <c r="F800" s="43" t="e">
        <f t="shared" si="12"/>
        <v>#N/A</v>
      </c>
      <c r="G800" s="43"/>
    </row>
    <row r="801" spans="1:7" x14ac:dyDescent="0.3">
      <c r="A801" s="79">
        <v>42662</v>
      </c>
      <c r="B801" s="5" t="s">
        <v>25</v>
      </c>
      <c r="C801" s="92" t="s">
        <v>727</v>
      </c>
      <c r="D801" s="43">
        <v>120</v>
      </c>
      <c r="E801" s="43"/>
      <c r="F801" s="43" t="e">
        <f t="shared" si="12"/>
        <v>#N/A</v>
      </c>
      <c r="G801" s="43"/>
    </row>
    <row r="802" spans="1:7" x14ac:dyDescent="0.3">
      <c r="A802" s="79">
        <v>42662</v>
      </c>
      <c r="B802" s="5" t="s">
        <v>541</v>
      </c>
      <c r="C802" s="92" t="s">
        <v>728</v>
      </c>
      <c r="D802" s="43">
        <v>2500</v>
      </c>
      <c r="E802" s="43"/>
      <c r="F802" s="43" t="e">
        <f t="shared" si="12"/>
        <v>#N/A</v>
      </c>
      <c r="G802" s="43"/>
    </row>
    <row r="803" spans="1:7" x14ac:dyDescent="0.3">
      <c r="A803" s="79">
        <v>42662</v>
      </c>
      <c r="B803" s="5" t="s">
        <v>541</v>
      </c>
      <c r="C803" s="92" t="s">
        <v>729</v>
      </c>
      <c r="D803" s="43">
        <v>2500</v>
      </c>
      <c r="E803" s="43"/>
      <c r="F803" s="43" t="e">
        <f t="shared" si="12"/>
        <v>#N/A</v>
      </c>
      <c r="G803" s="43"/>
    </row>
    <row r="804" spans="1:7" x14ac:dyDescent="0.3">
      <c r="A804" s="94">
        <v>42663</v>
      </c>
      <c r="B804" s="73" t="s">
        <v>395</v>
      </c>
      <c r="C804" s="103" t="s">
        <v>731</v>
      </c>
      <c r="D804" s="58">
        <v>50</v>
      </c>
      <c r="E804" s="43"/>
      <c r="F804" s="43" t="e">
        <f t="shared" si="12"/>
        <v>#N/A</v>
      </c>
      <c r="G804" s="43"/>
    </row>
    <row r="805" spans="1:7" x14ac:dyDescent="0.3">
      <c r="A805" s="79">
        <v>42663</v>
      </c>
      <c r="B805" s="5" t="s">
        <v>25</v>
      </c>
      <c r="C805" s="92" t="s">
        <v>732</v>
      </c>
      <c r="D805" s="43">
        <v>120</v>
      </c>
      <c r="E805" s="43"/>
      <c r="F805" s="43" t="e">
        <f t="shared" si="12"/>
        <v>#N/A</v>
      </c>
      <c r="G805" s="43"/>
    </row>
    <row r="806" spans="1:7" x14ac:dyDescent="0.3">
      <c r="A806" s="79">
        <v>42663</v>
      </c>
      <c r="B806" s="5" t="s">
        <v>164</v>
      </c>
      <c r="C806" s="92" t="s">
        <v>733</v>
      </c>
      <c r="D806" s="43">
        <v>1000</v>
      </c>
      <c r="E806" s="43"/>
      <c r="F806" s="43" t="e">
        <f t="shared" si="12"/>
        <v>#N/A</v>
      </c>
      <c r="G806" s="43"/>
    </row>
    <row r="807" spans="1:7" x14ac:dyDescent="0.3">
      <c r="A807" s="79">
        <v>42663</v>
      </c>
      <c r="B807" s="73" t="s">
        <v>247</v>
      </c>
      <c r="C807" s="104" t="s">
        <v>766</v>
      </c>
      <c r="D807" s="58">
        <v>625</v>
      </c>
      <c r="E807" s="43"/>
      <c r="F807" s="43" t="e">
        <f t="shared" si="12"/>
        <v>#N/A</v>
      </c>
      <c r="G807" s="43"/>
    </row>
    <row r="808" spans="1:7" ht="56.25" x14ac:dyDescent="0.3">
      <c r="A808" s="79">
        <v>42663</v>
      </c>
      <c r="B808" s="5" t="s">
        <v>230</v>
      </c>
      <c r="C808" s="92" t="s">
        <v>739</v>
      </c>
      <c r="D808" s="65">
        <v>800</v>
      </c>
      <c r="E808" s="43"/>
      <c r="F808" s="43" t="e">
        <f t="shared" si="12"/>
        <v>#N/A</v>
      </c>
      <c r="G808" s="43"/>
    </row>
    <row r="809" spans="1:7" x14ac:dyDescent="0.3">
      <c r="A809" s="79">
        <v>42663</v>
      </c>
      <c r="B809" s="5" t="s">
        <v>25</v>
      </c>
      <c r="C809" s="92" t="s">
        <v>524</v>
      </c>
      <c r="D809" s="43">
        <v>1400</v>
      </c>
      <c r="E809" s="43"/>
      <c r="F809" s="43" t="e">
        <f t="shared" si="12"/>
        <v>#N/A</v>
      </c>
      <c r="G809" s="43"/>
    </row>
    <row r="810" spans="1:7" x14ac:dyDescent="0.3">
      <c r="A810" s="79">
        <v>42663</v>
      </c>
      <c r="B810" s="5" t="s">
        <v>25</v>
      </c>
      <c r="C810" s="92" t="s">
        <v>734</v>
      </c>
      <c r="D810" s="43">
        <v>150</v>
      </c>
      <c r="E810" s="43"/>
      <c r="F810" s="43" t="e">
        <f t="shared" si="12"/>
        <v>#N/A</v>
      </c>
      <c r="G810" s="43"/>
    </row>
    <row r="811" spans="1:7" x14ac:dyDescent="0.3">
      <c r="A811" s="79">
        <v>42663</v>
      </c>
      <c r="B811" s="5" t="s">
        <v>160</v>
      </c>
      <c r="C811" s="92" t="s">
        <v>735</v>
      </c>
      <c r="D811" s="43">
        <v>3000</v>
      </c>
      <c r="E811" s="43"/>
      <c r="F811" s="43" t="e">
        <f t="shared" si="12"/>
        <v>#N/A</v>
      </c>
      <c r="G811" s="43"/>
    </row>
    <row r="812" spans="1:7" x14ac:dyDescent="0.3">
      <c r="A812" s="79">
        <v>42663</v>
      </c>
      <c r="B812" s="5" t="s">
        <v>160</v>
      </c>
      <c r="C812" s="92" t="s">
        <v>736</v>
      </c>
      <c r="D812" s="43">
        <v>3000</v>
      </c>
      <c r="E812" s="43"/>
      <c r="F812" s="43" t="e">
        <f t="shared" si="12"/>
        <v>#N/A</v>
      </c>
      <c r="G812" s="43"/>
    </row>
    <row r="813" spans="1:7" x14ac:dyDescent="0.3">
      <c r="A813" s="79">
        <v>42664</v>
      </c>
      <c r="B813" s="5" t="s">
        <v>25</v>
      </c>
      <c r="C813" s="92" t="s">
        <v>109</v>
      </c>
      <c r="D813" s="43">
        <v>70</v>
      </c>
      <c r="E813" s="43"/>
      <c r="F813" s="43" t="e">
        <f t="shared" si="12"/>
        <v>#N/A</v>
      </c>
      <c r="G813" s="43"/>
    </row>
    <row r="814" spans="1:7" x14ac:dyDescent="0.3">
      <c r="A814" s="79">
        <v>42664</v>
      </c>
      <c r="B814" s="5" t="s">
        <v>156</v>
      </c>
      <c r="C814" s="92" t="s">
        <v>31</v>
      </c>
      <c r="D814" s="43">
        <v>1000</v>
      </c>
      <c r="E814" s="43"/>
      <c r="F814" s="43" t="e">
        <f t="shared" si="12"/>
        <v>#N/A</v>
      </c>
      <c r="G814" s="43"/>
    </row>
    <row r="815" spans="1:7" x14ac:dyDescent="0.3">
      <c r="A815" s="79">
        <v>42664</v>
      </c>
      <c r="B815" s="105" t="s">
        <v>27</v>
      </c>
      <c r="C815" s="106" t="s">
        <v>747</v>
      </c>
      <c r="D815" s="64"/>
      <c r="E815" s="64">
        <v>20000</v>
      </c>
      <c r="F815" s="43" t="e">
        <f t="shared" si="12"/>
        <v>#N/A</v>
      </c>
      <c r="G815" s="43"/>
    </row>
    <row r="816" spans="1:7" x14ac:dyDescent="0.3">
      <c r="A816" s="79">
        <v>42664</v>
      </c>
      <c r="B816" s="5" t="s">
        <v>5</v>
      </c>
      <c r="C816" s="92" t="s">
        <v>31</v>
      </c>
      <c r="D816" s="43">
        <v>2000</v>
      </c>
      <c r="E816" s="43"/>
      <c r="F816" s="43" t="e">
        <f t="shared" si="12"/>
        <v>#N/A</v>
      </c>
      <c r="G816" s="43"/>
    </row>
    <row r="817" spans="1:10" x14ac:dyDescent="0.3">
      <c r="A817" s="79">
        <v>42664</v>
      </c>
      <c r="B817" s="5" t="s">
        <v>42</v>
      </c>
      <c r="C817" s="92" t="s">
        <v>31</v>
      </c>
      <c r="D817" s="43">
        <v>2000</v>
      </c>
      <c r="E817" s="43"/>
      <c r="F817" s="43" t="e">
        <f t="shared" si="12"/>
        <v>#N/A</v>
      </c>
      <c r="G817" s="43"/>
    </row>
    <row r="818" spans="1:10" x14ac:dyDescent="0.3">
      <c r="A818" s="79">
        <v>42665</v>
      </c>
      <c r="B818" s="761" t="s">
        <v>752</v>
      </c>
      <c r="C818" s="762"/>
      <c r="D818" s="71"/>
      <c r="E818" s="72">
        <v>50000</v>
      </c>
      <c r="F818" s="43" t="e">
        <f t="shared" si="12"/>
        <v>#N/A</v>
      </c>
      <c r="G818" s="43"/>
    </row>
    <row r="819" spans="1:10" ht="37.5" x14ac:dyDescent="0.3">
      <c r="A819" s="79">
        <v>42665</v>
      </c>
      <c r="B819" s="5" t="s">
        <v>230</v>
      </c>
      <c r="C819" s="92" t="s">
        <v>737</v>
      </c>
      <c r="D819" s="43">
        <v>4800</v>
      </c>
      <c r="E819" s="43"/>
      <c r="F819" s="43" t="e">
        <f t="shared" si="12"/>
        <v>#N/A</v>
      </c>
      <c r="G819" s="43"/>
    </row>
    <row r="820" spans="1:10" x14ac:dyDescent="0.3">
      <c r="A820" s="79">
        <v>42665</v>
      </c>
      <c r="B820" s="5" t="s">
        <v>230</v>
      </c>
      <c r="C820" s="92" t="s">
        <v>738</v>
      </c>
      <c r="D820" s="65">
        <v>10500</v>
      </c>
      <c r="E820" s="43"/>
      <c r="F820" s="43" t="e">
        <f t="shared" si="12"/>
        <v>#N/A</v>
      </c>
      <c r="G820" s="43"/>
    </row>
    <row r="821" spans="1:10" ht="37.5" x14ac:dyDescent="0.3">
      <c r="A821" s="79">
        <v>42665</v>
      </c>
      <c r="B821" s="5" t="s">
        <v>719</v>
      </c>
      <c r="C821" s="92" t="s">
        <v>726</v>
      </c>
      <c r="D821" s="43">
        <v>4000</v>
      </c>
      <c r="E821" s="43"/>
      <c r="F821" s="43" t="e">
        <f t="shared" si="12"/>
        <v>#N/A</v>
      </c>
      <c r="G821" s="43"/>
    </row>
    <row r="822" spans="1:10" x14ac:dyDescent="0.3">
      <c r="A822" s="79">
        <v>42665</v>
      </c>
      <c r="B822" s="5" t="s">
        <v>230</v>
      </c>
      <c r="C822" s="92" t="s">
        <v>31</v>
      </c>
      <c r="D822" s="43">
        <v>1000</v>
      </c>
      <c r="E822" s="43"/>
      <c r="F822" s="43" t="e">
        <f t="shared" si="12"/>
        <v>#N/A</v>
      </c>
      <c r="G822" s="43"/>
    </row>
    <row r="823" spans="1:10" x14ac:dyDescent="0.3">
      <c r="A823" s="79">
        <v>42665</v>
      </c>
      <c r="B823" s="5" t="s">
        <v>5</v>
      </c>
      <c r="C823" s="92" t="s">
        <v>31</v>
      </c>
      <c r="D823" s="43">
        <v>7500</v>
      </c>
      <c r="E823" s="43"/>
      <c r="F823" s="43" t="e">
        <f t="shared" si="12"/>
        <v>#N/A</v>
      </c>
      <c r="G823" s="43"/>
    </row>
    <row r="824" spans="1:10" x14ac:dyDescent="0.3">
      <c r="A824" s="79">
        <v>42665</v>
      </c>
      <c r="B824" s="5" t="s">
        <v>25</v>
      </c>
      <c r="C824" s="92" t="s">
        <v>734</v>
      </c>
      <c r="D824" s="43">
        <v>120</v>
      </c>
      <c r="E824" s="43"/>
      <c r="F824" s="43" t="e">
        <f t="shared" si="12"/>
        <v>#N/A</v>
      </c>
      <c r="G824" s="43"/>
      <c r="I824" s="102"/>
      <c r="J824" s="102"/>
    </row>
    <row r="825" spans="1:10" x14ac:dyDescent="0.3">
      <c r="A825" s="79">
        <v>42665</v>
      </c>
      <c r="B825" s="5" t="s">
        <v>61</v>
      </c>
      <c r="C825" s="92"/>
      <c r="D825" s="65">
        <v>100</v>
      </c>
      <c r="E825" s="43"/>
      <c r="F825" s="43" t="e">
        <f t="shared" si="12"/>
        <v>#N/A</v>
      </c>
      <c r="G825" s="43"/>
    </row>
    <row r="826" spans="1:10" x14ac:dyDescent="0.3">
      <c r="A826" s="79">
        <v>42665</v>
      </c>
      <c r="B826" s="5" t="s">
        <v>70</v>
      </c>
      <c r="C826" s="92" t="s">
        <v>741</v>
      </c>
      <c r="D826" s="43">
        <v>1290</v>
      </c>
      <c r="E826" s="43"/>
      <c r="F826" s="43" t="e">
        <f t="shared" si="12"/>
        <v>#N/A</v>
      </c>
      <c r="G826" s="43"/>
    </row>
    <row r="827" spans="1:10" x14ac:dyDescent="0.3">
      <c r="A827" s="79">
        <v>42665</v>
      </c>
      <c r="B827" s="5" t="s">
        <v>5</v>
      </c>
      <c r="C827" s="92" t="s">
        <v>31</v>
      </c>
      <c r="D827" s="43">
        <v>3500</v>
      </c>
      <c r="E827" s="43"/>
      <c r="F827" s="43" t="e">
        <f t="shared" si="12"/>
        <v>#N/A</v>
      </c>
      <c r="G827" s="43"/>
    </row>
    <row r="828" spans="1:10" x14ac:dyDescent="0.3">
      <c r="A828" s="79">
        <v>42665</v>
      </c>
      <c r="B828" s="5" t="s">
        <v>164</v>
      </c>
      <c r="C828" s="92" t="s">
        <v>748</v>
      </c>
      <c r="D828" s="43">
        <v>5000</v>
      </c>
      <c r="E828" s="43"/>
      <c r="F828" s="43" t="e">
        <f t="shared" si="12"/>
        <v>#N/A</v>
      </c>
      <c r="G828" s="43"/>
    </row>
    <row r="829" spans="1:10" x14ac:dyDescent="0.3">
      <c r="A829" s="79">
        <v>42665</v>
      </c>
      <c r="B829" s="5" t="s">
        <v>25</v>
      </c>
      <c r="C829" s="92" t="s">
        <v>744</v>
      </c>
      <c r="D829" s="43">
        <f>350+50</f>
        <v>400</v>
      </c>
      <c r="E829" s="43"/>
      <c r="F829" s="43" t="e">
        <f t="shared" si="12"/>
        <v>#N/A</v>
      </c>
      <c r="G829" s="43"/>
    </row>
    <row r="830" spans="1:10" x14ac:dyDescent="0.3">
      <c r="A830" s="79">
        <v>42665</v>
      </c>
      <c r="B830" s="5" t="s">
        <v>122</v>
      </c>
      <c r="C830" s="92" t="s">
        <v>6</v>
      </c>
      <c r="D830" s="43">
        <v>3180</v>
      </c>
      <c r="E830" s="43"/>
      <c r="F830" s="43" t="e">
        <f t="shared" si="12"/>
        <v>#N/A</v>
      </c>
      <c r="G830" s="43"/>
    </row>
    <row r="831" spans="1:10" x14ac:dyDescent="0.3">
      <c r="A831" s="79">
        <v>42665</v>
      </c>
      <c r="B831" s="5" t="s">
        <v>160</v>
      </c>
      <c r="C831" s="92" t="s">
        <v>742</v>
      </c>
      <c r="D831" s="43">
        <v>3000</v>
      </c>
      <c r="E831" s="43"/>
      <c r="F831" s="43" t="e">
        <f t="shared" si="12"/>
        <v>#N/A</v>
      </c>
      <c r="G831" s="43"/>
    </row>
    <row r="832" spans="1:10" x14ac:dyDescent="0.3">
      <c r="A832" s="79">
        <v>42665</v>
      </c>
      <c r="B832" s="5" t="s">
        <v>60</v>
      </c>
      <c r="C832" s="92" t="s">
        <v>743</v>
      </c>
      <c r="D832" s="43">
        <v>1000</v>
      </c>
      <c r="E832" s="43"/>
      <c r="F832" s="43" t="e">
        <f t="shared" si="12"/>
        <v>#N/A</v>
      </c>
      <c r="G832" s="43"/>
    </row>
    <row r="833" spans="1:7" x14ac:dyDescent="0.3">
      <c r="A833" s="79">
        <v>42665</v>
      </c>
      <c r="B833" s="5" t="s">
        <v>120</v>
      </c>
      <c r="C833" s="92" t="s">
        <v>31</v>
      </c>
      <c r="D833" s="65">
        <v>5000</v>
      </c>
      <c r="E833" s="43"/>
      <c r="F833" s="43" t="e">
        <f t="shared" si="12"/>
        <v>#N/A</v>
      </c>
      <c r="G833" s="43"/>
    </row>
    <row r="834" spans="1:7" x14ac:dyDescent="0.3">
      <c r="A834" s="79">
        <v>42665</v>
      </c>
      <c r="B834" s="5" t="s">
        <v>127</v>
      </c>
      <c r="C834" s="92" t="s">
        <v>256</v>
      </c>
      <c r="D834" s="65">
        <v>2000</v>
      </c>
      <c r="E834" s="43"/>
      <c r="F834" s="43" t="e">
        <f t="shared" si="12"/>
        <v>#N/A</v>
      </c>
      <c r="G834" s="43"/>
    </row>
    <row r="835" spans="1:7" x14ac:dyDescent="0.3">
      <c r="A835" s="79">
        <v>42665</v>
      </c>
      <c r="B835" s="73" t="s">
        <v>247</v>
      </c>
      <c r="C835" s="103" t="s">
        <v>771</v>
      </c>
      <c r="D835" s="58">
        <v>365</v>
      </c>
      <c r="E835" s="43"/>
      <c r="F835" s="43" t="e">
        <f t="shared" ref="F835:F898" si="13">F834-D835+E835</f>
        <v>#N/A</v>
      </c>
      <c r="G835" s="43"/>
    </row>
    <row r="836" spans="1:7" x14ac:dyDescent="0.3">
      <c r="A836" s="79">
        <v>42665</v>
      </c>
      <c r="B836" s="73" t="s">
        <v>247</v>
      </c>
      <c r="C836" s="103" t="s">
        <v>770</v>
      </c>
      <c r="D836" s="58">
        <v>165</v>
      </c>
      <c r="E836" s="43"/>
      <c r="F836" s="43" t="e">
        <f t="shared" si="13"/>
        <v>#N/A</v>
      </c>
      <c r="G836" s="43"/>
    </row>
    <row r="837" spans="1:7" ht="37.5" x14ac:dyDescent="0.3">
      <c r="A837" s="79">
        <v>42665</v>
      </c>
      <c r="B837" s="5" t="s">
        <v>541</v>
      </c>
      <c r="C837" s="92" t="s">
        <v>754</v>
      </c>
      <c r="D837" s="65">
        <v>8000</v>
      </c>
      <c r="E837" s="43"/>
      <c r="F837" s="43" t="e">
        <f t="shared" si="13"/>
        <v>#N/A</v>
      </c>
      <c r="G837" s="43"/>
    </row>
    <row r="838" spans="1:7" x14ac:dyDescent="0.3">
      <c r="A838" s="79">
        <v>42665</v>
      </c>
      <c r="B838" s="5" t="s">
        <v>541</v>
      </c>
      <c r="C838" s="92" t="s">
        <v>753</v>
      </c>
      <c r="D838" s="43">
        <v>200</v>
      </c>
      <c r="E838" s="43"/>
      <c r="F838" s="43" t="e">
        <f t="shared" si="13"/>
        <v>#N/A</v>
      </c>
      <c r="G838" s="43"/>
    </row>
    <row r="839" spans="1:7" x14ac:dyDescent="0.3">
      <c r="A839" s="79">
        <v>42667</v>
      </c>
      <c r="B839" s="5" t="s">
        <v>37</v>
      </c>
      <c r="C839" s="92" t="s">
        <v>745</v>
      </c>
      <c r="D839" s="43">
        <v>300</v>
      </c>
      <c r="E839" s="43"/>
      <c r="F839" s="43" t="e">
        <f t="shared" si="13"/>
        <v>#N/A</v>
      </c>
      <c r="G839" s="43"/>
    </row>
    <row r="840" spans="1:7" x14ac:dyDescent="0.3">
      <c r="A840" s="79">
        <v>42667</v>
      </c>
      <c r="B840" s="5" t="s">
        <v>37</v>
      </c>
      <c r="C840" s="92" t="s">
        <v>31</v>
      </c>
      <c r="D840" s="43">
        <v>200</v>
      </c>
      <c r="E840" s="43"/>
      <c r="F840" s="43" t="e">
        <f t="shared" si="13"/>
        <v>#N/A</v>
      </c>
      <c r="G840" s="43"/>
    </row>
    <row r="841" spans="1:7" x14ac:dyDescent="0.3">
      <c r="A841" s="79">
        <v>42667</v>
      </c>
      <c r="B841" s="5" t="s">
        <v>42</v>
      </c>
      <c r="C841" s="92" t="s">
        <v>31</v>
      </c>
      <c r="D841" s="43">
        <v>2000</v>
      </c>
      <c r="E841" s="43"/>
      <c r="F841" s="43" t="e">
        <f t="shared" si="13"/>
        <v>#N/A</v>
      </c>
      <c r="G841" s="43"/>
    </row>
    <row r="842" spans="1:7" x14ac:dyDescent="0.3">
      <c r="A842" s="79">
        <v>42667</v>
      </c>
      <c r="B842" s="5" t="s">
        <v>120</v>
      </c>
      <c r="C842" s="92" t="s">
        <v>31</v>
      </c>
      <c r="D842" s="43">
        <v>2000</v>
      </c>
      <c r="E842" s="43"/>
      <c r="F842" s="43" t="e">
        <f t="shared" si="13"/>
        <v>#N/A</v>
      </c>
      <c r="G842" s="43"/>
    </row>
    <row r="843" spans="1:7" x14ac:dyDescent="0.3">
      <c r="A843" s="79">
        <v>42667</v>
      </c>
      <c r="B843" s="5" t="s">
        <v>25</v>
      </c>
      <c r="C843" s="92" t="s">
        <v>746</v>
      </c>
      <c r="D843" s="43">
        <v>100</v>
      </c>
      <c r="E843" s="43"/>
      <c r="F843" s="43" t="e">
        <f t="shared" si="13"/>
        <v>#N/A</v>
      </c>
      <c r="G843" s="43"/>
    </row>
    <row r="844" spans="1:7" x14ac:dyDescent="0.3">
      <c r="A844" s="79">
        <v>42667</v>
      </c>
      <c r="B844" s="761" t="s">
        <v>751</v>
      </c>
      <c r="C844" s="762"/>
      <c r="D844" s="71"/>
      <c r="E844" s="72">
        <v>50000</v>
      </c>
      <c r="F844" s="43" t="e">
        <f t="shared" si="13"/>
        <v>#N/A</v>
      </c>
      <c r="G844" s="43"/>
    </row>
    <row r="845" spans="1:7" x14ac:dyDescent="0.3">
      <c r="A845" s="79">
        <v>42667</v>
      </c>
      <c r="B845" s="5" t="s">
        <v>39</v>
      </c>
      <c r="C845" s="92" t="s">
        <v>750</v>
      </c>
      <c r="D845" s="43">
        <v>15000</v>
      </c>
      <c r="E845" s="43"/>
      <c r="F845" s="43" t="e">
        <f t="shared" si="13"/>
        <v>#N/A</v>
      </c>
      <c r="G845" s="43"/>
    </row>
    <row r="846" spans="1:7" x14ac:dyDescent="0.3">
      <c r="A846" s="79">
        <v>42667</v>
      </c>
      <c r="B846" s="5" t="s">
        <v>164</v>
      </c>
      <c r="C846" s="92" t="s">
        <v>749</v>
      </c>
      <c r="D846" s="43">
        <v>20000</v>
      </c>
      <c r="E846" s="43"/>
      <c r="F846" s="43" t="e">
        <f t="shared" si="13"/>
        <v>#N/A</v>
      </c>
      <c r="G846" s="43"/>
    </row>
    <row r="847" spans="1:7" x14ac:dyDescent="0.3">
      <c r="A847" s="79">
        <v>42667</v>
      </c>
      <c r="B847" s="5" t="s">
        <v>5</v>
      </c>
      <c r="C847" s="92" t="s">
        <v>31</v>
      </c>
      <c r="D847" s="43">
        <v>2000</v>
      </c>
      <c r="E847" s="43"/>
      <c r="F847" s="43" t="e">
        <f t="shared" si="13"/>
        <v>#N/A</v>
      </c>
      <c r="G847" s="43"/>
    </row>
    <row r="848" spans="1:7" x14ac:dyDescent="0.3">
      <c r="A848" s="79">
        <v>42667</v>
      </c>
      <c r="B848" s="5" t="s">
        <v>16</v>
      </c>
      <c r="C848" s="92" t="s">
        <v>31</v>
      </c>
      <c r="D848" s="43">
        <v>1000</v>
      </c>
      <c r="E848" s="43"/>
      <c r="F848" s="43" t="e">
        <f t="shared" si="13"/>
        <v>#N/A</v>
      </c>
      <c r="G848" s="43"/>
    </row>
    <row r="849" spans="1:7" x14ac:dyDescent="0.3">
      <c r="A849" s="79">
        <v>42667</v>
      </c>
      <c r="B849" s="5" t="s">
        <v>4</v>
      </c>
      <c r="C849" s="92" t="s">
        <v>540</v>
      </c>
      <c r="D849" s="43">
        <v>5000</v>
      </c>
      <c r="E849" s="43"/>
      <c r="F849" s="43" t="e">
        <f t="shared" si="13"/>
        <v>#N/A</v>
      </c>
      <c r="G849" s="43"/>
    </row>
    <row r="850" spans="1:7" x14ac:dyDescent="0.3">
      <c r="A850" s="79">
        <v>42667</v>
      </c>
      <c r="B850" s="5" t="s">
        <v>57</v>
      </c>
      <c r="C850" s="92" t="s">
        <v>756</v>
      </c>
      <c r="D850" s="43">
        <v>1000</v>
      </c>
      <c r="E850" s="43"/>
      <c r="F850" s="43" t="e">
        <f t="shared" si="13"/>
        <v>#N/A</v>
      </c>
      <c r="G850" s="43"/>
    </row>
    <row r="851" spans="1:7" x14ac:dyDescent="0.3">
      <c r="A851" s="79">
        <v>42668</v>
      </c>
      <c r="B851" s="761" t="s">
        <v>755</v>
      </c>
      <c r="C851" s="762"/>
      <c r="D851" s="71"/>
      <c r="E851" s="72">
        <v>5000</v>
      </c>
      <c r="F851" s="43" t="e">
        <f t="shared" si="13"/>
        <v>#N/A</v>
      </c>
      <c r="G851" s="43"/>
    </row>
    <row r="852" spans="1:7" x14ac:dyDescent="0.3">
      <c r="A852" s="79">
        <v>42668</v>
      </c>
      <c r="B852" s="5" t="s">
        <v>37</v>
      </c>
      <c r="C852" s="92" t="s">
        <v>13</v>
      </c>
      <c r="D852" s="43">
        <v>1000</v>
      </c>
      <c r="E852" s="43"/>
      <c r="F852" s="43" t="e">
        <f t="shared" si="13"/>
        <v>#N/A</v>
      </c>
      <c r="G852" s="43"/>
    </row>
    <row r="853" spans="1:7" x14ac:dyDescent="0.3">
      <c r="A853" s="79">
        <v>42668</v>
      </c>
      <c r="B853" s="5" t="s">
        <v>42</v>
      </c>
      <c r="C853" s="92" t="s">
        <v>31</v>
      </c>
      <c r="D853" s="43">
        <v>3000</v>
      </c>
      <c r="E853" s="43"/>
      <c r="F853" s="43" t="e">
        <f t="shared" si="13"/>
        <v>#N/A</v>
      </c>
      <c r="G853" s="43"/>
    </row>
    <row r="854" spans="1:7" x14ac:dyDescent="0.3">
      <c r="A854" s="79">
        <v>42668</v>
      </c>
      <c r="B854" s="5" t="s">
        <v>86</v>
      </c>
      <c r="C854" s="92" t="s">
        <v>757</v>
      </c>
      <c r="D854" s="43">
        <v>300</v>
      </c>
      <c r="E854" s="43"/>
      <c r="F854" s="43" t="e">
        <f t="shared" si="13"/>
        <v>#N/A</v>
      </c>
      <c r="G854" s="43"/>
    </row>
    <row r="855" spans="1:7" x14ac:dyDescent="0.3">
      <c r="A855" s="79">
        <v>42668</v>
      </c>
      <c r="B855" s="5" t="s">
        <v>116</v>
      </c>
      <c r="C855" s="92" t="s">
        <v>758</v>
      </c>
      <c r="D855" s="43">
        <v>3000</v>
      </c>
      <c r="E855" s="43"/>
      <c r="F855" s="43" t="e">
        <f t="shared" si="13"/>
        <v>#N/A</v>
      </c>
      <c r="G855" s="43"/>
    </row>
    <row r="856" spans="1:7" x14ac:dyDescent="0.3">
      <c r="A856" s="79">
        <v>42668</v>
      </c>
      <c r="B856" s="5" t="s">
        <v>116</v>
      </c>
      <c r="C856" s="92" t="s">
        <v>758</v>
      </c>
      <c r="D856" s="43">
        <v>3000</v>
      </c>
      <c r="E856" s="43"/>
      <c r="F856" s="43" t="e">
        <f t="shared" si="13"/>
        <v>#N/A</v>
      </c>
      <c r="G856" s="43"/>
    </row>
    <row r="857" spans="1:7" x14ac:dyDescent="0.3">
      <c r="A857" s="79">
        <v>42668</v>
      </c>
      <c r="B857" s="5" t="s">
        <v>5</v>
      </c>
      <c r="C857" s="92" t="s">
        <v>759</v>
      </c>
      <c r="D857" s="43">
        <v>4000</v>
      </c>
      <c r="E857" s="43"/>
      <c r="F857" s="43" t="e">
        <f t="shared" si="13"/>
        <v>#N/A</v>
      </c>
      <c r="G857" s="43"/>
    </row>
    <row r="858" spans="1:7" x14ac:dyDescent="0.3">
      <c r="A858" s="79">
        <v>42668</v>
      </c>
      <c r="B858" s="5" t="s">
        <v>395</v>
      </c>
      <c r="C858" s="92" t="s">
        <v>30</v>
      </c>
      <c r="D858" s="43">
        <v>50</v>
      </c>
      <c r="E858" s="43"/>
      <c r="F858" s="43" t="e">
        <f t="shared" si="13"/>
        <v>#N/A</v>
      </c>
      <c r="G858" s="43"/>
    </row>
    <row r="859" spans="1:7" x14ac:dyDescent="0.3">
      <c r="A859" s="79">
        <v>42669</v>
      </c>
      <c r="B859" s="5" t="s">
        <v>25</v>
      </c>
      <c r="C859" s="92" t="s">
        <v>760</v>
      </c>
      <c r="D859" s="43">
        <v>30</v>
      </c>
      <c r="E859" s="43"/>
      <c r="F859" s="43" t="e">
        <f t="shared" si="13"/>
        <v>#N/A</v>
      </c>
      <c r="G859" s="43"/>
    </row>
    <row r="860" spans="1:7" x14ac:dyDescent="0.3">
      <c r="A860" s="79">
        <v>42669</v>
      </c>
      <c r="B860" s="761" t="s">
        <v>778</v>
      </c>
      <c r="C860" s="762"/>
      <c r="D860" s="71"/>
      <c r="E860" s="72">
        <v>50000</v>
      </c>
      <c r="F860" s="43" t="e">
        <f t="shared" si="13"/>
        <v>#N/A</v>
      </c>
      <c r="G860" s="43"/>
    </row>
    <row r="861" spans="1:7" x14ac:dyDescent="0.3">
      <c r="A861" s="79">
        <v>42669</v>
      </c>
      <c r="B861" s="5" t="s">
        <v>116</v>
      </c>
      <c r="C861" s="92" t="s">
        <v>761</v>
      </c>
      <c r="D861" s="43">
        <v>1000</v>
      </c>
      <c r="E861" s="43"/>
      <c r="F861" s="43" t="e">
        <f t="shared" si="13"/>
        <v>#N/A</v>
      </c>
      <c r="G861" s="43"/>
    </row>
    <row r="862" spans="1:7" x14ac:dyDescent="0.3">
      <c r="A862" s="79">
        <v>42669</v>
      </c>
      <c r="B862" s="5" t="s">
        <v>42</v>
      </c>
      <c r="C862" s="92" t="s">
        <v>762</v>
      </c>
      <c r="D862" s="43">
        <v>3000</v>
      </c>
      <c r="E862" s="43"/>
      <c r="F862" s="43" t="e">
        <f t="shared" si="13"/>
        <v>#N/A</v>
      </c>
      <c r="G862" s="43"/>
    </row>
    <row r="863" spans="1:7" x14ac:dyDescent="0.3">
      <c r="A863" s="79">
        <v>42669</v>
      </c>
      <c r="B863" s="5" t="s">
        <v>5</v>
      </c>
      <c r="C863" s="92" t="s">
        <v>31</v>
      </c>
      <c r="D863" s="43">
        <v>3000</v>
      </c>
      <c r="E863" s="43"/>
      <c r="F863" s="43" t="e">
        <f t="shared" si="13"/>
        <v>#N/A</v>
      </c>
      <c r="G863" s="43"/>
    </row>
    <row r="864" spans="1:7" x14ac:dyDescent="0.3">
      <c r="A864" s="79">
        <v>42669</v>
      </c>
      <c r="B864" s="5" t="s">
        <v>5</v>
      </c>
      <c r="C864" s="92" t="s">
        <v>763</v>
      </c>
      <c r="D864" s="65">
        <v>1530</v>
      </c>
      <c r="E864" s="43"/>
      <c r="F864" s="43" t="e">
        <f t="shared" si="13"/>
        <v>#N/A</v>
      </c>
      <c r="G864" s="43"/>
    </row>
    <row r="865" spans="1:7" x14ac:dyDescent="0.3">
      <c r="A865" s="79">
        <v>42669</v>
      </c>
      <c r="B865" s="5" t="s">
        <v>164</v>
      </c>
      <c r="C865" s="92" t="s">
        <v>31</v>
      </c>
      <c r="D865" s="43">
        <v>20000</v>
      </c>
      <c r="E865" s="43"/>
      <c r="F865" s="43" t="e">
        <f t="shared" si="13"/>
        <v>#N/A</v>
      </c>
      <c r="G865" s="43"/>
    </row>
    <row r="866" spans="1:7" x14ac:dyDescent="0.3">
      <c r="A866" s="79">
        <v>42669</v>
      </c>
      <c r="B866" s="5" t="s">
        <v>34</v>
      </c>
      <c r="C866" s="92" t="s">
        <v>764</v>
      </c>
      <c r="D866" s="43">
        <v>380</v>
      </c>
      <c r="E866" s="43"/>
      <c r="F866" s="43" t="e">
        <f t="shared" si="13"/>
        <v>#N/A</v>
      </c>
      <c r="G866" s="43"/>
    </row>
    <row r="867" spans="1:7" x14ac:dyDescent="0.3">
      <c r="A867" s="79">
        <v>42669</v>
      </c>
      <c r="B867" s="5" t="s">
        <v>25</v>
      </c>
      <c r="C867" s="92" t="s">
        <v>765</v>
      </c>
      <c r="D867" s="43">
        <v>96</v>
      </c>
      <c r="E867" s="43"/>
      <c r="F867" s="43" t="e">
        <f t="shared" si="13"/>
        <v>#N/A</v>
      </c>
      <c r="G867" s="43"/>
    </row>
    <row r="868" spans="1:7" x14ac:dyDescent="0.3">
      <c r="A868" s="79">
        <v>42670</v>
      </c>
      <c r="B868" s="5" t="s">
        <v>42</v>
      </c>
      <c r="C868" s="92" t="s">
        <v>767</v>
      </c>
      <c r="D868" s="43">
        <v>1000</v>
      </c>
      <c r="E868" s="43"/>
      <c r="F868" s="43" t="e">
        <f t="shared" si="13"/>
        <v>#N/A</v>
      </c>
      <c r="G868" s="43"/>
    </row>
    <row r="869" spans="1:7" x14ac:dyDescent="0.3">
      <c r="A869" s="79">
        <v>42670</v>
      </c>
      <c r="B869" s="5" t="s">
        <v>34</v>
      </c>
      <c r="C869" s="92" t="s">
        <v>31</v>
      </c>
      <c r="D869" s="65">
        <v>380</v>
      </c>
      <c r="E869" s="43"/>
      <c r="F869" s="43" t="e">
        <f t="shared" si="13"/>
        <v>#N/A</v>
      </c>
      <c r="G869" s="43"/>
    </row>
    <row r="870" spans="1:7" x14ac:dyDescent="0.3">
      <c r="A870" s="79">
        <v>42670</v>
      </c>
      <c r="B870" s="5" t="s">
        <v>5</v>
      </c>
      <c r="C870" s="92" t="s">
        <v>501</v>
      </c>
      <c r="D870" s="43">
        <v>2000</v>
      </c>
      <c r="E870" s="43"/>
      <c r="F870" s="43" t="e">
        <f t="shared" si="13"/>
        <v>#N/A</v>
      </c>
      <c r="G870" s="43"/>
    </row>
    <row r="871" spans="1:7" ht="37.5" x14ac:dyDescent="0.3">
      <c r="A871" s="79">
        <v>42670</v>
      </c>
      <c r="B871" s="5" t="s">
        <v>827</v>
      </c>
      <c r="C871" s="92" t="s">
        <v>826</v>
      </c>
      <c r="D871" s="65">
        <v>11500</v>
      </c>
      <c r="E871" s="65"/>
      <c r="F871" s="43" t="e">
        <f t="shared" si="13"/>
        <v>#N/A</v>
      </c>
      <c r="G871" s="43"/>
    </row>
    <row r="872" spans="1:7" ht="37.5" x14ac:dyDescent="0.3">
      <c r="A872" s="79">
        <v>42670</v>
      </c>
      <c r="B872" s="5" t="s">
        <v>181</v>
      </c>
      <c r="C872" s="92" t="s">
        <v>769</v>
      </c>
      <c r="D872" s="43">
        <v>700</v>
      </c>
      <c r="E872" s="43"/>
      <c r="F872" s="43" t="e">
        <f t="shared" si="13"/>
        <v>#N/A</v>
      </c>
      <c r="G872" s="43"/>
    </row>
    <row r="873" spans="1:7" x14ac:dyDescent="0.3">
      <c r="A873" s="79">
        <v>42670</v>
      </c>
      <c r="B873" s="5" t="s">
        <v>16</v>
      </c>
      <c r="C873" s="92" t="s">
        <v>31</v>
      </c>
      <c r="D873" s="43">
        <v>150</v>
      </c>
      <c r="E873" s="43"/>
      <c r="F873" s="43" t="e">
        <f t="shared" si="13"/>
        <v>#N/A</v>
      </c>
      <c r="G873" s="43"/>
    </row>
    <row r="874" spans="1:7" x14ac:dyDescent="0.3">
      <c r="A874" s="79">
        <v>42670</v>
      </c>
      <c r="B874" s="5" t="s">
        <v>247</v>
      </c>
      <c r="C874" s="92" t="s">
        <v>31</v>
      </c>
      <c r="D874" s="65">
        <v>2050</v>
      </c>
      <c r="E874" s="43"/>
      <c r="F874" s="43" t="e">
        <f t="shared" si="13"/>
        <v>#N/A</v>
      </c>
      <c r="G874" s="43"/>
    </row>
    <row r="875" spans="1:7" x14ac:dyDescent="0.3">
      <c r="A875" s="79">
        <v>42670</v>
      </c>
      <c r="B875" s="5" t="s">
        <v>16</v>
      </c>
      <c r="C875" s="92" t="s">
        <v>31</v>
      </c>
      <c r="D875" s="43">
        <v>100</v>
      </c>
      <c r="E875" s="43"/>
      <c r="F875" s="43" t="e">
        <f t="shared" si="13"/>
        <v>#N/A</v>
      </c>
      <c r="G875" s="43"/>
    </row>
    <row r="876" spans="1:7" x14ac:dyDescent="0.3">
      <c r="A876" s="79">
        <v>42670</v>
      </c>
      <c r="B876" s="5" t="s">
        <v>230</v>
      </c>
      <c r="C876" s="92" t="s">
        <v>774</v>
      </c>
      <c r="D876" s="43">
        <v>300</v>
      </c>
      <c r="E876" s="43"/>
      <c r="F876" s="43" t="e">
        <f t="shared" si="13"/>
        <v>#N/A</v>
      </c>
      <c r="G876" s="43"/>
    </row>
    <row r="877" spans="1:7" x14ac:dyDescent="0.3">
      <c r="A877" s="79">
        <v>42670</v>
      </c>
      <c r="B877" s="5" t="s">
        <v>25</v>
      </c>
      <c r="C877" s="92" t="s">
        <v>772</v>
      </c>
      <c r="D877" s="43">
        <v>300</v>
      </c>
      <c r="E877" s="43"/>
      <c r="F877" s="43" t="e">
        <f t="shared" si="13"/>
        <v>#N/A</v>
      </c>
      <c r="G877" s="43"/>
    </row>
    <row r="878" spans="1:7" x14ac:dyDescent="0.3">
      <c r="A878" s="79">
        <v>42671</v>
      </c>
      <c r="B878" s="5" t="s">
        <v>37</v>
      </c>
      <c r="C878" s="92" t="s">
        <v>31</v>
      </c>
      <c r="D878" s="43">
        <v>500</v>
      </c>
      <c r="E878" s="43"/>
      <c r="F878" s="43" t="e">
        <f t="shared" si="13"/>
        <v>#N/A</v>
      </c>
      <c r="G878" s="43"/>
    </row>
    <row r="879" spans="1:7" x14ac:dyDescent="0.3">
      <c r="A879" s="79">
        <v>42671</v>
      </c>
      <c r="B879" s="5" t="s">
        <v>39</v>
      </c>
      <c r="C879" s="92" t="s">
        <v>31</v>
      </c>
      <c r="D879" s="43">
        <v>500</v>
      </c>
      <c r="E879" s="43"/>
      <c r="F879" s="43" t="e">
        <f t="shared" si="13"/>
        <v>#N/A</v>
      </c>
      <c r="G879" s="43"/>
    </row>
    <row r="880" spans="1:7" x14ac:dyDescent="0.3">
      <c r="A880" s="79">
        <v>42671</v>
      </c>
      <c r="B880" s="761" t="s">
        <v>779</v>
      </c>
      <c r="C880" s="762"/>
      <c r="D880" s="71"/>
      <c r="E880" s="72">
        <v>50000</v>
      </c>
      <c r="F880" s="43" t="e">
        <f t="shared" si="13"/>
        <v>#N/A</v>
      </c>
      <c r="G880" s="43"/>
    </row>
    <row r="881" spans="1:7" x14ac:dyDescent="0.3">
      <c r="A881" s="79">
        <v>42671</v>
      </c>
      <c r="B881" s="5" t="s">
        <v>116</v>
      </c>
      <c r="C881" s="92" t="s">
        <v>773</v>
      </c>
      <c r="D881" s="43">
        <v>10000</v>
      </c>
      <c r="E881" s="43"/>
      <c r="F881" s="43" t="e">
        <f t="shared" si="13"/>
        <v>#N/A</v>
      </c>
      <c r="G881" s="43"/>
    </row>
    <row r="882" spans="1:7" x14ac:dyDescent="0.3">
      <c r="A882" s="79">
        <v>42671</v>
      </c>
      <c r="B882" s="5" t="s">
        <v>164</v>
      </c>
      <c r="C882" s="92" t="s">
        <v>294</v>
      </c>
      <c r="D882" s="43">
        <v>20000</v>
      </c>
      <c r="E882" s="43"/>
      <c r="F882" s="43" t="e">
        <f t="shared" si="13"/>
        <v>#N/A</v>
      </c>
      <c r="G882" s="43"/>
    </row>
    <row r="883" spans="1:7" x14ac:dyDescent="0.3">
      <c r="A883" s="79">
        <v>42671</v>
      </c>
      <c r="B883" s="5" t="s">
        <v>25</v>
      </c>
      <c r="C883" s="92"/>
      <c r="D883" s="43">
        <v>70</v>
      </c>
      <c r="E883" s="43"/>
      <c r="F883" s="43" t="e">
        <f t="shared" si="13"/>
        <v>#N/A</v>
      </c>
      <c r="G883" s="43"/>
    </row>
    <row r="884" spans="1:7" x14ac:dyDescent="0.3">
      <c r="A884" s="79">
        <v>42671</v>
      </c>
      <c r="B884" s="5" t="s">
        <v>25</v>
      </c>
      <c r="C884" s="92"/>
      <c r="D884" s="43">
        <v>80</v>
      </c>
      <c r="E884" s="43"/>
      <c r="F884" s="43" t="e">
        <f t="shared" si="13"/>
        <v>#N/A</v>
      </c>
      <c r="G884" s="43"/>
    </row>
    <row r="885" spans="1:7" ht="37.5" x14ac:dyDescent="0.3">
      <c r="A885" s="79">
        <v>42671</v>
      </c>
      <c r="B885" s="5" t="s">
        <v>25</v>
      </c>
      <c r="C885" s="92" t="s">
        <v>775</v>
      </c>
      <c r="D885" s="43">
        <v>350</v>
      </c>
      <c r="E885" s="43"/>
      <c r="F885" s="43" t="e">
        <f t="shared" si="13"/>
        <v>#N/A</v>
      </c>
      <c r="G885" s="43"/>
    </row>
    <row r="886" spans="1:7" x14ac:dyDescent="0.3">
      <c r="A886" s="79">
        <v>42672</v>
      </c>
      <c r="B886" s="5" t="s">
        <v>16</v>
      </c>
      <c r="C886" s="92" t="s">
        <v>31</v>
      </c>
      <c r="D886" s="43">
        <v>1500</v>
      </c>
      <c r="E886" s="43"/>
      <c r="F886" s="43" t="e">
        <f t="shared" si="13"/>
        <v>#N/A</v>
      </c>
      <c r="G886" s="43"/>
    </row>
    <row r="887" spans="1:7" x14ac:dyDescent="0.3">
      <c r="A887" s="79">
        <v>42672</v>
      </c>
      <c r="B887" s="5" t="s">
        <v>42</v>
      </c>
      <c r="C887" s="92" t="s">
        <v>31</v>
      </c>
      <c r="D887" s="43">
        <v>3000</v>
      </c>
      <c r="E887" s="43"/>
      <c r="F887" s="43" t="e">
        <f t="shared" si="13"/>
        <v>#N/A</v>
      </c>
      <c r="G887" s="43"/>
    </row>
    <row r="888" spans="1:7" x14ac:dyDescent="0.3">
      <c r="A888" s="79">
        <v>42672</v>
      </c>
      <c r="B888" s="5" t="s">
        <v>25</v>
      </c>
      <c r="C888" s="92" t="s">
        <v>776</v>
      </c>
      <c r="D888" s="43">
        <v>895</v>
      </c>
      <c r="E888" s="43"/>
      <c r="F888" s="43" t="e">
        <f t="shared" si="13"/>
        <v>#N/A</v>
      </c>
      <c r="G888" s="43"/>
    </row>
    <row r="889" spans="1:7" x14ac:dyDescent="0.3">
      <c r="A889" s="79">
        <v>42672</v>
      </c>
      <c r="B889" s="5" t="s">
        <v>27</v>
      </c>
      <c r="C889" s="92" t="s">
        <v>31</v>
      </c>
      <c r="D889" s="43">
        <v>12000</v>
      </c>
      <c r="E889" s="43"/>
      <c r="F889" s="43" t="e">
        <f t="shared" si="13"/>
        <v>#N/A</v>
      </c>
      <c r="G889" s="43"/>
    </row>
    <row r="890" spans="1:7" x14ac:dyDescent="0.3">
      <c r="A890" s="79">
        <v>42672</v>
      </c>
      <c r="B890" s="5" t="s">
        <v>777</v>
      </c>
      <c r="C890" s="92" t="s">
        <v>294</v>
      </c>
      <c r="D890" s="43">
        <v>1500</v>
      </c>
      <c r="E890" s="43"/>
      <c r="F890" s="43" t="e">
        <f t="shared" si="13"/>
        <v>#N/A</v>
      </c>
      <c r="G890" s="43"/>
    </row>
    <row r="891" spans="1:7" x14ac:dyDescent="0.3">
      <c r="A891" s="79">
        <v>42675</v>
      </c>
      <c r="B891" s="5" t="s">
        <v>284</v>
      </c>
      <c r="C891" s="92" t="s">
        <v>31</v>
      </c>
      <c r="D891" s="43">
        <v>500</v>
      </c>
      <c r="E891" s="43"/>
      <c r="F891" s="43" t="e">
        <f t="shared" si="13"/>
        <v>#N/A</v>
      </c>
      <c r="G891" s="43"/>
    </row>
    <row r="892" spans="1:7" x14ac:dyDescent="0.3">
      <c r="A892" s="79"/>
      <c r="B892" s="761" t="s">
        <v>779</v>
      </c>
      <c r="C892" s="762"/>
      <c r="D892" s="71"/>
      <c r="E892" s="72">
        <v>50000</v>
      </c>
      <c r="F892" s="43" t="e">
        <f t="shared" si="13"/>
        <v>#N/A</v>
      </c>
      <c r="G892" s="43"/>
    </row>
    <row r="893" spans="1:7" x14ac:dyDescent="0.3">
      <c r="A893" s="79">
        <v>42675</v>
      </c>
      <c r="B893" s="5" t="s">
        <v>42</v>
      </c>
      <c r="C893" s="92" t="s">
        <v>31</v>
      </c>
      <c r="D893" s="43">
        <v>5000</v>
      </c>
      <c r="E893" s="43"/>
      <c r="F893" s="43" t="e">
        <f t="shared" si="13"/>
        <v>#N/A</v>
      </c>
      <c r="G893" s="43"/>
    </row>
    <row r="894" spans="1:7" x14ac:dyDescent="0.3">
      <c r="A894" s="79">
        <v>42675</v>
      </c>
      <c r="B894" s="5" t="s">
        <v>120</v>
      </c>
      <c r="C894" s="92" t="s">
        <v>808</v>
      </c>
      <c r="D894" s="65">
        <v>10000</v>
      </c>
      <c r="E894" s="43"/>
      <c r="F894" s="43" t="e">
        <f t="shared" si="13"/>
        <v>#N/A</v>
      </c>
      <c r="G894" s="43"/>
    </row>
    <row r="895" spans="1:7" x14ac:dyDescent="0.3">
      <c r="A895" s="79">
        <v>42675</v>
      </c>
      <c r="B895" s="5" t="s">
        <v>427</v>
      </c>
      <c r="C895" s="92" t="s">
        <v>31</v>
      </c>
      <c r="D895" s="43">
        <v>10000</v>
      </c>
      <c r="E895" s="43"/>
      <c r="F895" s="43" t="e">
        <f t="shared" si="13"/>
        <v>#N/A</v>
      </c>
      <c r="G895" s="43"/>
    </row>
    <row r="896" spans="1:7" x14ac:dyDescent="0.3">
      <c r="A896" s="79">
        <v>42675</v>
      </c>
      <c r="B896" s="5" t="s">
        <v>42</v>
      </c>
      <c r="C896" s="92" t="s">
        <v>780</v>
      </c>
      <c r="D896" s="43">
        <v>5000</v>
      </c>
      <c r="E896" s="43"/>
      <c r="F896" s="43" t="e">
        <f t="shared" si="13"/>
        <v>#N/A</v>
      </c>
      <c r="G896" s="43"/>
    </row>
    <row r="897" spans="1:11" x14ac:dyDescent="0.3">
      <c r="A897" s="79">
        <v>42675</v>
      </c>
      <c r="B897" s="5" t="s">
        <v>27</v>
      </c>
      <c r="C897" s="92" t="s">
        <v>31</v>
      </c>
      <c r="D897" s="43">
        <v>4000</v>
      </c>
      <c r="E897" s="43"/>
      <c r="F897" s="43" t="e">
        <f t="shared" si="13"/>
        <v>#N/A</v>
      </c>
      <c r="G897" s="43"/>
    </row>
    <row r="898" spans="1:11" x14ac:dyDescent="0.3">
      <c r="A898" s="79">
        <v>42675</v>
      </c>
      <c r="B898" s="5" t="s">
        <v>230</v>
      </c>
      <c r="C898" s="92" t="s">
        <v>31</v>
      </c>
      <c r="D898" s="65">
        <v>2000</v>
      </c>
      <c r="E898" s="43"/>
      <c r="F898" s="43" t="e">
        <f t="shared" si="13"/>
        <v>#N/A</v>
      </c>
      <c r="G898" s="43"/>
    </row>
    <row r="899" spans="1:11" x14ac:dyDescent="0.3">
      <c r="A899" s="79">
        <v>42675</v>
      </c>
      <c r="B899" s="5" t="s">
        <v>160</v>
      </c>
      <c r="C899" s="92" t="s">
        <v>781</v>
      </c>
      <c r="D899" s="43">
        <v>1000</v>
      </c>
      <c r="E899" s="43"/>
      <c r="F899" s="43" t="e">
        <f t="shared" ref="F899:F962" si="14">F898-D899+E899</f>
        <v>#N/A</v>
      </c>
      <c r="G899" s="43"/>
    </row>
    <row r="900" spans="1:11" x14ac:dyDescent="0.3">
      <c r="A900" s="79">
        <v>42675</v>
      </c>
      <c r="B900" s="5" t="s">
        <v>25</v>
      </c>
      <c r="C900" s="92" t="s">
        <v>783</v>
      </c>
      <c r="D900" s="43">
        <v>280</v>
      </c>
      <c r="E900" s="43"/>
      <c r="F900" s="43" t="e">
        <f t="shared" si="14"/>
        <v>#N/A</v>
      </c>
      <c r="G900" s="43"/>
    </row>
    <row r="901" spans="1:11" x14ac:dyDescent="0.3">
      <c r="A901" s="79">
        <v>42676</v>
      </c>
      <c r="B901" s="5" t="s">
        <v>120</v>
      </c>
      <c r="C901" s="92" t="s">
        <v>782</v>
      </c>
      <c r="D901" s="43">
        <v>1000</v>
      </c>
      <c r="E901" s="43"/>
      <c r="F901" s="43" t="e">
        <f t="shared" si="14"/>
        <v>#N/A</v>
      </c>
      <c r="G901" s="43"/>
    </row>
    <row r="902" spans="1:11" x14ac:dyDescent="0.3">
      <c r="A902" s="79">
        <v>42676</v>
      </c>
      <c r="B902" s="5" t="s">
        <v>42</v>
      </c>
      <c r="C902" s="92" t="s">
        <v>31</v>
      </c>
      <c r="D902" s="43">
        <v>4000</v>
      </c>
      <c r="E902" s="43"/>
      <c r="F902" s="43" t="e">
        <f t="shared" si="14"/>
        <v>#N/A</v>
      </c>
      <c r="G902" s="43"/>
      <c r="K902" s="52"/>
    </row>
    <row r="903" spans="1:11" x14ac:dyDescent="0.3">
      <c r="A903" s="79">
        <v>42676</v>
      </c>
      <c r="B903" s="5" t="s">
        <v>120</v>
      </c>
      <c r="C903" s="92" t="s">
        <v>129</v>
      </c>
      <c r="D903" s="43">
        <v>1400</v>
      </c>
      <c r="E903" s="43"/>
      <c r="F903" s="43" t="e">
        <f t="shared" si="14"/>
        <v>#N/A</v>
      </c>
      <c r="G903" s="43"/>
    </row>
    <row r="904" spans="1:11" x14ac:dyDescent="0.3">
      <c r="A904" s="79">
        <v>42676</v>
      </c>
      <c r="B904" s="5" t="s">
        <v>25</v>
      </c>
      <c r="C904" s="92" t="s">
        <v>784</v>
      </c>
      <c r="D904" s="43">
        <v>30</v>
      </c>
      <c r="E904" s="43"/>
      <c r="F904" s="43" t="e">
        <f t="shared" si="14"/>
        <v>#N/A</v>
      </c>
      <c r="G904" s="43"/>
      <c r="K904" s="52"/>
    </row>
    <row r="905" spans="1:11" x14ac:dyDescent="0.3">
      <c r="A905" s="79">
        <v>42676</v>
      </c>
      <c r="B905" s="5" t="s">
        <v>25</v>
      </c>
      <c r="C905" s="92" t="s">
        <v>785</v>
      </c>
      <c r="D905" s="43">
        <v>200</v>
      </c>
      <c r="E905" s="43"/>
      <c r="F905" s="43" t="e">
        <f t="shared" si="14"/>
        <v>#N/A</v>
      </c>
      <c r="G905" s="43"/>
      <c r="K905" s="52"/>
    </row>
    <row r="906" spans="1:11" x14ac:dyDescent="0.3">
      <c r="A906" s="79">
        <v>42676</v>
      </c>
      <c r="B906" s="5" t="s">
        <v>25</v>
      </c>
      <c r="C906" s="92" t="s">
        <v>786</v>
      </c>
      <c r="D906" s="43">
        <v>190</v>
      </c>
      <c r="E906" s="43"/>
      <c r="F906" s="43" t="e">
        <f t="shared" si="14"/>
        <v>#N/A</v>
      </c>
      <c r="G906" s="43"/>
      <c r="K906" s="52"/>
    </row>
    <row r="907" spans="1:11" x14ac:dyDescent="0.3">
      <c r="A907" s="79">
        <v>42676</v>
      </c>
      <c r="B907" s="5" t="s">
        <v>16</v>
      </c>
      <c r="C907" s="92" t="s">
        <v>31</v>
      </c>
      <c r="D907" s="43">
        <v>500</v>
      </c>
      <c r="E907" s="43"/>
      <c r="F907" s="43" t="e">
        <f t="shared" si="14"/>
        <v>#N/A</v>
      </c>
      <c r="G907" s="43"/>
      <c r="K907" s="52"/>
    </row>
    <row r="908" spans="1:11" x14ac:dyDescent="0.3">
      <c r="A908" s="79">
        <v>42676</v>
      </c>
      <c r="B908" s="5" t="s">
        <v>25</v>
      </c>
      <c r="C908" s="92" t="s">
        <v>51</v>
      </c>
      <c r="D908" s="43">
        <v>130</v>
      </c>
      <c r="E908" s="43"/>
      <c r="F908" s="43" t="e">
        <f t="shared" si="14"/>
        <v>#N/A</v>
      </c>
      <c r="G908" s="43"/>
      <c r="K908" s="93"/>
    </row>
    <row r="909" spans="1:11" x14ac:dyDescent="0.3">
      <c r="A909" s="79">
        <v>42676</v>
      </c>
      <c r="B909" s="5" t="s">
        <v>61</v>
      </c>
      <c r="C909" s="92" t="s">
        <v>256</v>
      </c>
      <c r="D909" s="43">
        <v>100</v>
      </c>
      <c r="E909" s="43"/>
      <c r="F909" s="43" t="e">
        <f t="shared" si="14"/>
        <v>#N/A</v>
      </c>
      <c r="G909" s="43"/>
    </row>
    <row r="910" spans="1:11" x14ac:dyDescent="0.3">
      <c r="A910" s="79">
        <v>42676</v>
      </c>
      <c r="B910" s="5" t="s">
        <v>27</v>
      </c>
      <c r="C910" s="92" t="s">
        <v>31</v>
      </c>
      <c r="D910" s="43">
        <v>3000</v>
      </c>
      <c r="E910" s="43"/>
      <c r="F910" s="43" t="e">
        <f t="shared" si="14"/>
        <v>#N/A</v>
      </c>
      <c r="G910" s="43"/>
    </row>
    <row r="911" spans="1:11" x14ac:dyDescent="0.3">
      <c r="A911" s="79">
        <v>42676</v>
      </c>
      <c r="B911" s="107" t="s">
        <v>162</v>
      </c>
      <c r="C911" s="108" t="s">
        <v>787</v>
      </c>
      <c r="D911" s="109">
        <v>2500</v>
      </c>
      <c r="E911" s="43"/>
      <c r="F911" s="43" t="e">
        <f t="shared" si="14"/>
        <v>#N/A</v>
      </c>
      <c r="G911" s="43"/>
    </row>
    <row r="912" spans="1:11" x14ac:dyDescent="0.3">
      <c r="A912" s="79">
        <v>42677</v>
      </c>
      <c r="B912" s="761" t="s">
        <v>788</v>
      </c>
      <c r="C912" s="762"/>
      <c r="D912" s="71"/>
      <c r="E912" s="72">
        <v>50000</v>
      </c>
      <c r="F912" s="43" t="e">
        <f t="shared" si="14"/>
        <v>#N/A</v>
      </c>
      <c r="G912" s="43"/>
    </row>
    <row r="913" spans="1:7" x14ac:dyDescent="0.3">
      <c r="A913" s="79">
        <v>42677</v>
      </c>
      <c r="B913" s="5" t="s">
        <v>120</v>
      </c>
      <c r="C913" s="92" t="s">
        <v>96</v>
      </c>
      <c r="D913" s="43">
        <v>7000</v>
      </c>
      <c r="E913" s="43"/>
      <c r="F913" s="43" t="e">
        <f t="shared" si="14"/>
        <v>#N/A</v>
      </c>
      <c r="G913" s="43"/>
    </row>
    <row r="914" spans="1:7" x14ac:dyDescent="0.3">
      <c r="A914" s="79">
        <v>42677</v>
      </c>
      <c r="B914" s="5" t="s">
        <v>5</v>
      </c>
      <c r="C914" s="92" t="s">
        <v>31</v>
      </c>
      <c r="D914" s="43">
        <v>4000</v>
      </c>
      <c r="E914" s="43"/>
      <c r="F914" s="43" t="e">
        <f t="shared" si="14"/>
        <v>#N/A</v>
      </c>
      <c r="G914" s="43"/>
    </row>
    <row r="915" spans="1:7" x14ac:dyDescent="0.3">
      <c r="A915" s="79">
        <v>42677</v>
      </c>
      <c r="B915" s="5" t="s">
        <v>122</v>
      </c>
      <c r="C915" s="92" t="s">
        <v>789</v>
      </c>
      <c r="D915" s="65">
        <v>3000</v>
      </c>
      <c r="E915" s="65"/>
      <c r="F915" s="43" t="e">
        <f t="shared" si="14"/>
        <v>#N/A</v>
      </c>
      <c r="G915" s="43"/>
    </row>
    <row r="916" spans="1:7" x14ac:dyDescent="0.3">
      <c r="A916" s="79">
        <v>42677</v>
      </c>
      <c r="B916" s="44" t="s">
        <v>777</v>
      </c>
      <c r="C916" s="92" t="s">
        <v>790</v>
      </c>
      <c r="D916" s="43">
        <v>2000</v>
      </c>
      <c r="E916" s="43"/>
      <c r="F916" s="43" t="e">
        <f t="shared" si="14"/>
        <v>#N/A</v>
      </c>
      <c r="G916" s="43"/>
    </row>
    <row r="917" spans="1:7" x14ac:dyDescent="0.3">
      <c r="A917" s="79">
        <v>42677</v>
      </c>
      <c r="B917" s="5" t="s">
        <v>691</v>
      </c>
      <c r="C917" s="92" t="s">
        <v>792</v>
      </c>
      <c r="D917" s="43">
        <v>280</v>
      </c>
      <c r="E917" s="43"/>
      <c r="F917" s="43" t="e">
        <f t="shared" si="14"/>
        <v>#N/A</v>
      </c>
      <c r="G917" s="43"/>
    </row>
    <row r="918" spans="1:7" x14ac:dyDescent="0.3">
      <c r="A918" s="79">
        <v>42677</v>
      </c>
      <c r="B918" s="5" t="s">
        <v>791</v>
      </c>
      <c r="C918" s="92" t="s">
        <v>792</v>
      </c>
      <c r="D918" s="43">
        <v>125</v>
      </c>
      <c r="E918" s="43"/>
      <c r="F918" s="43" t="e">
        <f t="shared" si="14"/>
        <v>#N/A</v>
      </c>
      <c r="G918" s="43"/>
    </row>
    <row r="919" spans="1:7" x14ac:dyDescent="0.3">
      <c r="A919" s="79">
        <v>42677</v>
      </c>
      <c r="B919" s="5" t="s">
        <v>25</v>
      </c>
      <c r="C919" s="92" t="s">
        <v>793</v>
      </c>
      <c r="D919" s="43">
        <f>80+150</f>
        <v>230</v>
      </c>
      <c r="E919" s="43"/>
      <c r="F919" s="43" t="e">
        <f t="shared" si="14"/>
        <v>#N/A</v>
      </c>
      <c r="G919" s="43"/>
    </row>
    <row r="920" spans="1:7" x14ac:dyDescent="0.3">
      <c r="A920" s="79">
        <v>42677</v>
      </c>
      <c r="B920" s="5" t="s">
        <v>120</v>
      </c>
      <c r="C920" s="92" t="s">
        <v>31</v>
      </c>
      <c r="D920" s="43">
        <v>100</v>
      </c>
      <c r="E920" s="43"/>
      <c r="F920" s="43" t="e">
        <f t="shared" si="14"/>
        <v>#N/A</v>
      </c>
      <c r="G920" s="43"/>
    </row>
    <row r="921" spans="1:7" x14ac:dyDescent="0.3">
      <c r="A921" s="79">
        <v>42677</v>
      </c>
      <c r="B921" s="5" t="s">
        <v>691</v>
      </c>
      <c r="C921" s="92" t="s">
        <v>813</v>
      </c>
      <c r="D921" s="43">
        <v>140</v>
      </c>
      <c r="E921" s="43"/>
      <c r="F921" s="43" t="e">
        <f t="shared" si="14"/>
        <v>#N/A</v>
      </c>
      <c r="G921" s="43"/>
    </row>
    <row r="922" spans="1:7" x14ac:dyDescent="0.3">
      <c r="A922" s="79">
        <v>42678</v>
      </c>
      <c r="B922" s="5" t="s">
        <v>116</v>
      </c>
      <c r="C922" s="92" t="s">
        <v>794</v>
      </c>
      <c r="D922" s="43">
        <v>8000</v>
      </c>
      <c r="E922" s="43"/>
      <c r="F922" s="43" t="e">
        <f t="shared" si="14"/>
        <v>#N/A</v>
      </c>
      <c r="G922" s="43"/>
    </row>
    <row r="923" spans="1:7" x14ac:dyDescent="0.3">
      <c r="A923" s="79">
        <v>42678</v>
      </c>
      <c r="B923" s="5" t="s">
        <v>25</v>
      </c>
      <c r="C923" s="92" t="s">
        <v>796</v>
      </c>
      <c r="D923" s="65">
        <v>200</v>
      </c>
      <c r="E923" s="43"/>
      <c r="F923" s="43" t="e">
        <f t="shared" si="14"/>
        <v>#N/A</v>
      </c>
      <c r="G923" s="43"/>
    </row>
    <row r="924" spans="1:7" x14ac:dyDescent="0.3">
      <c r="A924" s="79">
        <v>42678</v>
      </c>
      <c r="B924" s="5" t="s">
        <v>230</v>
      </c>
      <c r="C924" s="92" t="s">
        <v>795</v>
      </c>
      <c r="D924" s="65">
        <v>1600</v>
      </c>
      <c r="E924" s="43"/>
      <c r="F924" s="43" t="e">
        <f t="shared" si="14"/>
        <v>#N/A</v>
      </c>
      <c r="G924" s="43"/>
    </row>
    <row r="925" spans="1:7" x14ac:dyDescent="0.3">
      <c r="A925" s="79">
        <v>42678</v>
      </c>
      <c r="B925" s="5" t="s">
        <v>5</v>
      </c>
      <c r="C925" s="92" t="s">
        <v>31</v>
      </c>
      <c r="D925" s="43">
        <v>5000</v>
      </c>
      <c r="E925" s="43"/>
      <c r="F925" s="43" t="e">
        <f t="shared" si="14"/>
        <v>#N/A</v>
      </c>
      <c r="G925" s="43"/>
    </row>
    <row r="926" spans="1:7" x14ac:dyDescent="0.3">
      <c r="A926" s="79">
        <v>42678</v>
      </c>
      <c r="B926" s="5" t="s">
        <v>25</v>
      </c>
      <c r="C926" s="92" t="s">
        <v>797</v>
      </c>
      <c r="D926" s="43">
        <v>720</v>
      </c>
      <c r="E926" s="43"/>
      <c r="F926" s="43" t="e">
        <f t="shared" si="14"/>
        <v>#N/A</v>
      </c>
      <c r="G926" s="43"/>
    </row>
    <row r="927" spans="1:7" x14ac:dyDescent="0.3">
      <c r="A927" s="79">
        <v>42678</v>
      </c>
      <c r="B927" s="5" t="s">
        <v>156</v>
      </c>
      <c r="C927" s="92" t="s">
        <v>235</v>
      </c>
      <c r="D927" s="43">
        <v>1500</v>
      </c>
      <c r="E927" s="43"/>
      <c r="F927" s="43" t="e">
        <f t="shared" si="14"/>
        <v>#N/A</v>
      </c>
      <c r="G927" s="43"/>
    </row>
    <row r="928" spans="1:7" x14ac:dyDescent="0.3">
      <c r="A928" s="79">
        <v>42679</v>
      </c>
      <c r="B928" s="5" t="s">
        <v>116</v>
      </c>
      <c r="C928" s="92" t="s">
        <v>798</v>
      </c>
      <c r="D928" s="43">
        <v>1000</v>
      </c>
      <c r="E928" s="43"/>
      <c r="F928" s="43" t="e">
        <f t="shared" si="14"/>
        <v>#N/A</v>
      </c>
      <c r="G928" s="43"/>
    </row>
    <row r="929" spans="1:10" x14ac:dyDescent="0.3">
      <c r="A929" s="79">
        <v>42679</v>
      </c>
      <c r="B929" s="5" t="s">
        <v>25</v>
      </c>
      <c r="C929" s="92" t="s">
        <v>799</v>
      </c>
      <c r="D929" s="43">
        <v>475</v>
      </c>
      <c r="E929" s="43"/>
      <c r="F929" s="43" t="e">
        <f t="shared" si="14"/>
        <v>#N/A</v>
      </c>
      <c r="G929" s="43"/>
    </row>
    <row r="930" spans="1:10" x14ac:dyDescent="0.3">
      <c r="A930" s="79">
        <v>42679</v>
      </c>
      <c r="B930" s="5" t="s">
        <v>25</v>
      </c>
      <c r="C930" s="92" t="s">
        <v>800</v>
      </c>
      <c r="D930" s="43">
        <v>400</v>
      </c>
      <c r="E930" s="43"/>
      <c r="F930" s="43" t="e">
        <f t="shared" si="14"/>
        <v>#N/A</v>
      </c>
      <c r="G930" s="43"/>
    </row>
    <row r="931" spans="1:10" x14ac:dyDescent="0.3">
      <c r="A931" s="79">
        <v>42679</v>
      </c>
      <c r="B931" s="5" t="s">
        <v>25</v>
      </c>
      <c r="C931" s="92" t="s">
        <v>801</v>
      </c>
      <c r="D931" s="43">
        <v>2500</v>
      </c>
      <c r="E931" s="43"/>
      <c r="F931" s="43" t="e">
        <f t="shared" si="14"/>
        <v>#N/A</v>
      </c>
      <c r="G931" s="43"/>
    </row>
    <row r="932" spans="1:10" x14ac:dyDescent="0.3">
      <c r="A932" s="79">
        <v>42679</v>
      </c>
      <c r="B932" s="5" t="s">
        <v>802</v>
      </c>
      <c r="C932" s="92" t="s">
        <v>803</v>
      </c>
      <c r="D932" s="43">
        <v>2500</v>
      </c>
      <c r="E932" s="43"/>
      <c r="F932" s="43" t="e">
        <f t="shared" si="14"/>
        <v>#N/A</v>
      </c>
      <c r="G932" s="43"/>
    </row>
    <row r="933" spans="1:10" x14ac:dyDescent="0.3">
      <c r="A933" s="79">
        <v>42679</v>
      </c>
      <c r="B933" s="5" t="s">
        <v>122</v>
      </c>
      <c r="C933" s="92" t="s">
        <v>804</v>
      </c>
      <c r="D933" s="43">
        <v>5240</v>
      </c>
      <c r="E933" s="43"/>
      <c r="F933" s="43" t="e">
        <f t="shared" si="14"/>
        <v>#N/A</v>
      </c>
      <c r="G933" s="43"/>
    </row>
    <row r="934" spans="1:10" x14ac:dyDescent="0.3">
      <c r="A934" s="79">
        <v>42681</v>
      </c>
      <c r="B934" s="5" t="s">
        <v>25</v>
      </c>
      <c r="C934" s="92" t="s">
        <v>805</v>
      </c>
      <c r="D934" s="43">
        <v>375</v>
      </c>
      <c r="E934" s="43"/>
      <c r="F934" s="43" t="e">
        <f t="shared" si="14"/>
        <v>#N/A</v>
      </c>
      <c r="G934" s="43"/>
    </row>
    <row r="935" spans="1:10" x14ac:dyDescent="0.3">
      <c r="A935" s="79">
        <v>42681</v>
      </c>
      <c r="B935" s="5" t="s">
        <v>25</v>
      </c>
      <c r="C935" s="92" t="s">
        <v>806</v>
      </c>
      <c r="D935" s="43">
        <v>500</v>
      </c>
      <c r="E935" s="43"/>
      <c r="F935" s="43" t="e">
        <f t="shared" si="14"/>
        <v>#N/A</v>
      </c>
      <c r="G935" s="43"/>
    </row>
    <row r="936" spans="1:10" x14ac:dyDescent="0.3">
      <c r="A936" s="79">
        <v>42681</v>
      </c>
      <c r="B936" s="5" t="s">
        <v>181</v>
      </c>
      <c r="C936" s="92" t="s">
        <v>807</v>
      </c>
      <c r="D936" s="65">
        <v>1000</v>
      </c>
      <c r="E936" s="43"/>
      <c r="F936" s="43" t="e">
        <f t="shared" si="14"/>
        <v>#N/A</v>
      </c>
      <c r="G936" s="43"/>
    </row>
    <row r="937" spans="1:10" x14ac:dyDescent="0.3">
      <c r="A937" s="79">
        <v>42682</v>
      </c>
      <c r="B937" s="5" t="s">
        <v>25</v>
      </c>
      <c r="C937" s="92" t="s">
        <v>812</v>
      </c>
      <c r="D937" s="65">
        <v>100</v>
      </c>
      <c r="E937" s="43"/>
      <c r="F937" s="43" t="e">
        <f t="shared" si="14"/>
        <v>#N/A</v>
      </c>
      <c r="G937" s="43"/>
      <c r="H937" s="102"/>
      <c r="I937" s="102"/>
      <c r="J937" s="102"/>
    </row>
    <row r="938" spans="1:10" x14ac:dyDescent="0.3">
      <c r="A938" s="79">
        <v>42683</v>
      </c>
      <c r="B938" s="5" t="s">
        <v>25</v>
      </c>
      <c r="C938" s="92" t="s">
        <v>811</v>
      </c>
      <c r="D938" s="65">
        <v>100</v>
      </c>
      <c r="E938" s="65"/>
      <c r="F938" s="43" t="e">
        <f t="shared" si="14"/>
        <v>#N/A</v>
      </c>
      <c r="G938" s="65"/>
    </row>
    <row r="939" spans="1:10" x14ac:dyDescent="0.3">
      <c r="A939" s="79">
        <v>42684</v>
      </c>
      <c r="B939" s="5" t="s">
        <v>25</v>
      </c>
      <c r="C939" s="92" t="s">
        <v>809</v>
      </c>
      <c r="D939" s="43">
        <v>420</v>
      </c>
      <c r="E939" s="43"/>
      <c r="F939" s="43" t="e">
        <f t="shared" si="14"/>
        <v>#N/A</v>
      </c>
      <c r="G939" s="43"/>
    </row>
    <row r="940" spans="1:10" x14ac:dyDescent="0.3">
      <c r="A940" s="79">
        <v>42684</v>
      </c>
      <c r="B940" s="5" t="s">
        <v>25</v>
      </c>
      <c r="C940" s="92" t="s">
        <v>810</v>
      </c>
      <c r="D940" s="43">
        <v>480</v>
      </c>
      <c r="E940" s="43"/>
      <c r="F940" s="43" t="e">
        <f t="shared" si="14"/>
        <v>#N/A</v>
      </c>
      <c r="G940" s="43"/>
    </row>
    <row r="941" spans="1:10" ht="37.5" x14ac:dyDescent="0.3">
      <c r="A941" s="79">
        <v>42684</v>
      </c>
      <c r="B941" s="5" t="s">
        <v>25</v>
      </c>
      <c r="C941" s="92" t="s">
        <v>814</v>
      </c>
      <c r="D941" s="43">
        <v>40</v>
      </c>
      <c r="E941" s="43"/>
      <c r="F941" s="43" t="e">
        <f t="shared" si="14"/>
        <v>#N/A</v>
      </c>
      <c r="G941" s="43"/>
    </row>
    <row r="942" spans="1:10" x14ac:dyDescent="0.3">
      <c r="A942" s="79">
        <v>42684</v>
      </c>
      <c r="B942" s="761" t="s">
        <v>818</v>
      </c>
      <c r="C942" s="762"/>
      <c r="D942" s="71"/>
      <c r="E942" s="72">
        <v>25000</v>
      </c>
      <c r="F942" s="43" t="e">
        <f t="shared" si="14"/>
        <v>#N/A</v>
      </c>
      <c r="G942" s="43"/>
    </row>
    <row r="943" spans="1:10" x14ac:dyDescent="0.3">
      <c r="A943" s="79">
        <v>42684</v>
      </c>
      <c r="B943" s="5" t="s">
        <v>719</v>
      </c>
      <c r="C943" s="92" t="s">
        <v>539</v>
      </c>
      <c r="D943" s="43">
        <v>15000</v>
      </c>
      <c r="E943" s="43"/>
      <c r="F943" s="43" t="e">
        <f t="shared" si="14"/>
        <v>#N/A</v>
      </c>
      <c r="G943" s="43"/>
    </row>
    <row r="944" spans="1:10" x14ac:dyDescent="0.3">
      <c r="A944" s="79">
        <v>42684</v>
      </c>
      <c r="B944" s="761" t="s">
        <v>820</v>
      </c>
      <c r="C944" s="762"/>
      <c r="D944" s="71"/>
      <c r="E944" s="72">
        <v>35000</v>
      </c>
      <c r="F944" s="43" t="e">
        <f t="shared" si="14"/>
        <v>#N/A</v>
      </c>
      <c r="G944" s="43"/>
    </row>
    <row r="945" spans="1:10" x14ac:dyDescent="0.3">
      <c r="A945" s="79">
        <v>42684</v>
      </c>
      <c r="B945" s="5" t="s">
        <v>122</v>
      </c>
      <c r="C945" s="92" t="s">
        <v>815</v>
      </c>
      <c r="D945" s="43">
        <v>5000</v>
      </c>
      <c r="E945" s="43"/>
      <c r="F945" s="43" t="e">
        <f t="shared" si="14"/>
        <v>#N/A</v>
      </c>
      <c r="G945" s="43"/>
    </row>
    <row r="946" spans="1:10" x14ac:dyDescent="0.3">
      <c r="A946" s="79">
        <v>42684</v>
      </c>
      <c r="B946" s="5" t="s">
        <v>816</v>
      </c>
      <c r="C946" s="92" t="s">
        <v>817</v>
      </c>
      <c r="D946" s="43">
        <v>4500</v>
      </c>
      <c r="E946" s="43"/>
      <c r="F946" s="43" t="e">
        <f t="shared" si="14"/>
        <v>#N/A</v>
      </c>
      <c r="G946" s="43"/>
    </row>
    <row r="947" spans="1:10" x14ac:dyDescent="0.3">
      <c r="A947" s="79">
        <v>42684</v>
      </c>
      <c r="B947" s="5" t="s">
        <v>25</v>
      </c>
      <c r="C947" s="92" t="s">
        <v>734</v>
      </c>
      <c r="D947" s="43">
        <v>50</v>
      </c>
      <c r="E947" s="43"/>
      <c r="F947" s="43" t="e">
        <f t="shared" si="14"/>
        <v>#N/A</v>
      </c>
      <c r="G947" s="43"/>
    </row>
    <row r="948" spans="1:10" x14ac:dyDescent="0.3">
      <c r="A948" s="79">
        <v>42682</v>
      </c>
      <c r="B948" s="5" t="s">
        <v>395</v>
      </c>
      <c r="C948" s="92" t="s">
        <v>33</v>
      </c>
      <c r="D948" s="43">
        <v>100</v>
      </c>
      <c r="E948" s="43"/>
      <c r="F948" s="43" t="e">
        <f t="shared" si="14"/>
        <v>#N/A</v>
      </c>
      <c r="G948" s="43"/>
    </row>
    <row r="949" spans="1:10" x14ac:dyDescent="0.3">
      <c r="A949" s="79">
        <v>42684</v>
      </c>
      <c r="B949" s="5" t="s">
        <v>395</v>
      </c>
      <c r="C949" s="92" t="s">
        <v>33</v>
      </c>
      <c r="D949" s="65">
        <v>100</v>
      </c>
      <c r="E949" s="43"/>
      <c r="F949" s="43" t="e">
        <f t="shared" si="14"/>
        <v>#N/A</v>
      </c>
      <c r="G949" s="43"/>
    </row>
    <row r="950" spans="1:10" x14ac:dyDescent="0.3">
      <c r="A950" s="79">
        <v>42684</v>
      </c>
      <c r="B950" s="5" t="s">
        <v>247</v>
      </c>
      <c r="C950" s="92" t="s">
        <v>819</v>
      </c>
      <c r="D950" s="43">
        <v>240</v>
      </c>
      <c r="E950" s="43"/>
      <c r="F950" s="43" t="e">
        <f t="shared" si="14"/>
        <v>#N/A</v>
      </c>
      <c r="G950" s="43"/>
    </row>
    <row r="951" spans="1:10" x14ac:dyDescent="0.3">
      <c r="A951" s="79">
        <v>42684</v>
      </c>
      <c r="B951" s="5" t="s">
        <v>5</v>
      </c>
      <c r="C951" s="92" t="s">
        <v>31</v>
      </c>
      <c r="D951" s="43">
        <v>18213</v>
      </c>
      <c r="E951" s="43"/>
      <c r="F951" s="43" t="e">
        <f t="shared" si="14"/>
        <v>#N/A</v>
      </c>
      <c r="G951" s="43"/>
    </row>
    <row r="952" spans="1:10" x14ac:dyDescent="0.3">
      <c r="A952" s="79">
        <v>42684</v>
      </c>
      <c r="B952" s="5" t="s">
        <v>116</v>
      </c>
      <c r="C952" s="92" t="s">
        <v>821</v>
      </c>
      <c r="D952" s="43">
        <v>1000</v>
      </c>
      <c r="E952" s="43"/>
      <c r="F952" s="43" t="e">
        <f t="shared" si="14"/>
        <v>#N/A</v>
      </c>
      <c r="G952" s="43"/>
    </row>
    <row r="953" spans="1:10" ht="37.5" x14ac:dyDescent="0.3">
      <c r="A953" s="79">
        <v>42684</v>
      </c>
      <c r="B953" s="5" t="s">
        <v>230</v>
      </c>
      <c r="C953" s="92" t="s">
        <v>822</v>
      </c>
      <c r="D953" s="43">
        <v>1000</v>
      </c>
      <c r="E953" s="43"/>
      <c r="F953" s="43" t="e">
        <f t="shared" si="14"/>
        <v>#N/A</v>
      </c>
      <c r="G953" s="43"/>
    </row>
    <row r="954" spans="1:10" x14ac:dyDescent="0.3">
      <c r="A954" s="79">
        <v>42684</v>
      </c>
      <c r="B954" s="5" t="s">
        <v>322</v>
      </c>
      <c r="C954" s="92" t="s">
        <v>823</v>
      </c>
      <c r="D954" s="43">
        <v>15827</v>
      </c>
      <c r="E954" s="43"/>
      <c r="F954" s="43" t="e">
        <f t="shared" si="14"/>
        <v>#N/A</v>
      </c>
      <c r="G954" s="43"/>
    </row>
    <row r="955" spans="1:10" x14ac:dyDescent="0.3">
      <c r="A955" s="79">
        <v>42685</v>
      </c>
      <c r="B955" s="5" t="s">
        <v>25</v>
      </c>
      <c r="C955" s="92" t="s">
        <v>824</v>
      </c>
      <c r="D955" s="43">
        <v>30</v>
      </c>
      <c r="E955" s="43"/>
      <c r="F955" s="43" t="e">
        <f t="shared" si="14"/>
        <v>#N/A</v>
      </c>
      <c r="G955" s="43"/>
    </row>
    <row r="956" spans="1:10" x14ac:dyDescent="0.3">
      <c r="A956" s="79">
        <v>42685</v>
      </c>
      <c r="B956" s="5" t="s">
        <v>16</v>
      </c>
      <c r="C956" s="92" t="s">
        <v>31</v>
      </c>
      <c r="D956" s="43">
        <v>1000</v>
      </c>
      <c r="E956" s="43"/>
      <c r="F956" s="43" t="e">
        <f t="shared" si="14"/>
        <v>#N/A</v>
      </c>
      <c r="G956" s="43"/>
    </row>
    <row r="957" spans="1:10" x14ac:dyDescent="0.3">
      <c r="A957" s="79">
        <v>42685</v>
      </c>
      <c r="B957" s="761" t="s">
        <v>841</v>
      </c>
      <c r="C957" s="762"/>
      <c r="D957" s="71"/>
      <c r="E957" s="72">
        <v>50000</v>
      </c>
      <c r="F957" s="43" t="e">
        <f t="shared" si="14"/>
        <v>#N/A</v>
      </c>
      <c r="G957" s="43"/>
    </row>
    <row r="958" spans="1:10" s="114" customFormat="1" ht="37.5" x14ac:dyDescent="0.3">
      <c r="A958" s="79">
        <v>42685</v>
      </c>
      <c r="B958" s="110" t="s">
        <v>230</v>
      </c>
      <c r="C958" s="111" t="s">
        <v>828</v>
      </c>
      <c r="D958" s="112">
        <v>10000</v>
      </c>
      <c r="E958" s="82"/>
      <c r="F958" s="43" t="e">
        <f t="shared" si="14"/>
        <v>#N/A</v>
      </c>
      <c r="G958" s="58"/>
      <c r="H958" s="113"/>
      <c r="I958" s="113"/>
      <c r="J958" s="113"/>
    </row>
    <row r="959" spans="1:10" x14ac:dyDescent="0.3">
      <c r="A959" s="79">
        <v>42685</v>
      </c>
      <c r="B959" s="5" t="s">
        <v>25</v>
      </c>
      <c r="C959" s="92" t="s">
        <v>825</v>
      </c>
      <c r="D959" s="43">
        <v>800</v>
      </c>
      <c r="E959" s="43"/>
      <c r="F959" s="43" t="e">
        <f t="shared" si="14"/>
        <v>#N/A</v>
      </c>
      <c r="G959" s="43"/>
    </row>
    <row r="960" spans="1:10" x14ac:dyDescent="0.3">
      <c r="A960" s="79">
        <v>42686</v>
      </c>
      <c r="B960" s="5" t="s">
        <v>156</v>
      </c>
      <c r="C960" s="92" t="s">
        <v>31</v>
      </c>
      <c r="D960" s="43">
        <v>1000</v>
      </c>
      <c r="E960" s="43"/>
      <c r="F960" s="43" t="e">
        <f t="shared" si="14"/>
        <v>#N/A</v>
      </c>
      <c r="G960" s="43"/>
    </row>
    <row r="961" spans="1:10" x14ac:dyDescent="0.3">
      <c r="A961" s="79">
        <v>42686</v>
      </c>
      <c r="B961" s="5" t="s">
        <v>16</v>
      </c>
      <c r="C961" s="92" t="s">
        <v>31</v>
      </c>
      <c r="D961" s="43">
        <v>1000</v>
      </c>
      <c r="E961" s="43"/>
      <c r="F961" s="43" t="e">
        <f t="shared" si="14"/>
        <v>#N/A</v>
      </c>
      <c r="G961" s="43"/>
    </row>
    <row r="962" spans="1:10" x14ac:dyDescent="0.3">
      <c r="A962" s="79">
        <v>42686</v>
      </c>
      <c r="B962" s="5" t="s">
        <v>120</v>
      </c>
      <c r="C962" s="92" t="s">
        <v>842</v>
      </c>
      <c r="D962" s="65">
        <v>35000</v>
      </c>
      <c r="E962" s="43"/>
      <c r="F962" s="43" t="e">
        <f t="shared" si="14"/>
        <v>#N/A</v>
      </c>
      <c r="G962" s="43"/>
    </row>
    <row r="963" spans="1:10" x14ac:dyDescent="0.3">
      <c r="A963" s="79">
        <v>42686</v>
      </c>
      <c r="B963" s="5" t="s">
        <v>25</v>
      </c>
      <c r="C963" s="92" t="s">
        <v>829</v>
      </c>
      <c r="D963" s="43">
        <v>100</v>
      </c>
      <c r="E963" s="43"/>
      <c r="F963" s="43" t="e">
        <f t="shared" ref="F963:F1026" si="15">F962-D963+E963</f>
        <v>#N/A</v>
      </c>
      <c r="G963" s="43"/>
    </row>
    <row r="964" spans="1:10" x14ac:dyDescent="0.3">
      <c r="A964" s="79">
        <v>42688</v>
      </c>
      <c r="B964" s="761" t="s">
        <v>830</v>
      </c>
      <c r="C964" s="762"/>
      <c r="D964" s="71"/>
      <c r="E964" s="72">
        <v>25000</v>
      </c>
      <c r="F964" s="43" t="e">
        <f t="shared" si="15"/>
        <v>#N/A</v>
      </c>
      <c r="G964" s="43"/>
    </row>
    <row r="965" spans="1:10" x14ac:dyDescent="0.3">
      <c r="A965" s="79">
        <v>42688</v>
      </c>
      <c r="B965" s="5" t="s">
        <v>16</v>
      </c>
      <c r="C965" s="92" t="s">
        <v>831</v>
      </c>
      <c r="D965" s="43">
        <v>21150</v>
      </c>
      <c r="E965" s="43"/>
      <c r="F965" s="43" t="e">
        <f t="shared" si="15"/>
        <v>#N/A</v>
      </c>
      <c r="G965" s="43"/>
    </row>
    <row r="966" spans="1:10" x14ac:dyDescent="0.3">
      <c r="A966" s="79">
        <v>42688</v>
      </c>
      <c r="B966" s="5" t="s">
        <v>61</v>
      </c>
      <c r="C966" s="92" t="s">
        <v>832</v>
      </c>
      <c r="D966" s="43">
        <v>100</v>
      </c>
      <c r="E966" s="43"/>
      <c r="F966" s="43" t="e">
        <f t="shared" si="15"/>
        <v>#N/A</v>
      </c>
      <c r="G966" s="43"/>
    </row>
    <row r="967" spans="1:10" x14ac:dyDescent="0.3">
      <c r="A967" s="79">
        <v>42688</v>
      </c>
      <c r="B967" s="5" t="s">
        <v>230</v>
      </c>
      <c r="C967" s="92" t="s">
        <v>833</v>
      </c>
      <c r="D967" s="43">
        <v>700</v>
      </c>
      <c r="E967" s="43"/>
      <c r="F967" s="43" t="e">
        <f t="shared" si="15"/>
        <v>#N/A</v>
      </c>
      <c r="G967" s="43"/>
    </row>
    <row r="968" spans="1:10" x14ac:dyDescent="0.3">
      <c r="A968" s="79">
        <v>42688</v>
      </c>
      <c r="B968" s="5" t="s">
        <v>61</v>
      </c>
      <c r="C968" s="92" t="s">
        <v>33</v>
      </c>
      <c r="D968" s="65">
        <v>70</v>
      </c>
      <c r="E968" s="43"/>
      <c r="F968" s="43" t="e">
        <f t="shared" si="15"/>
        <v>#N/A</v>
      </c>
      <c r="G968" s="43"/>
    </row>
    <row r="969" spans="1:10" x14ac:dyDescent="0.3">
      <c r="A969" s="79">
        <v>42688</v>
      </c>
      <c r="B969" s="5" t="s">
        <v>230</v>
      </c>
      <c r="C969" s="92" t="s">
        <v>834</v>
      </c>
      <c r="D969" s="65">
        <v>350</v>
      </c>
      <c r="E969" s="43"/>
      <c r="F969" s="43" t="e">
        <f t="shared" si="15"/>
        <v>#N/A</v>
      </c>
      <c r="G969" s="43"/>
    </row>
    <row r="970" spans="1:10" x14ac:dyDescent="0.3">
      <c r="A970" s="79">
        <v>42688</v>
      </c>
      <c r="B970" s="5" t="s">
        <v>34</v>
      </c>
      <c r="C970" s="92" t="s">
        <v>837</v>
      </c>
      <c r="D970" s="65">
        <v>1900</v>
      </c>
      <c r="E970" s="43"/>
      <c r="F970" s="43" t="e">
        <f t="shared" si="15"/>
        <v>#N/A</v>
      </c>
      <c r="G970" s="43"/>
    </row>
    <row r="971" spans="1:10" x14ac:dyDescent="0.3">
      <c r="A971" s="79">
        <v>42688</v>
      </c>
      <c r="B971" s="5" t="s">
        <v>247</v>
      </c>
      <c r="C971" s="92" t="s">
        <v>835</v>
      </c>
      <c r="D971" s="43">
        <v>440</v>
      </c>
      <c r="E971" s="43"/>
      <c r="F971" s="43" t="e">
        <f t="shared" si="15"/>
        <v>#N/A</v>
      </c>
      <c r="G971" s="43"/>
    </row>
    <row r="972" spans="1:10" x14ac:dyDescent="0.3">
      <c r="A972" s="79">
        <v>42688</v>
      </c>
      <c r="B972" s="5" t="s">
        <v>25</v>
      </c>
      <c r="C972" s="92" t="s">
        <v>836</v>
      </c>
      <c r="D972" s="43">
        <v>90</v>
      </c>
      <c r="E972" s="43"/>
      <c r="F972" s="43" t="e">
        <f t="shared" si="15"/>
        <v>#N/A</v>
      </c>
      <c r="G972" s="43"/>
    </row>
    <row r="973" spans="1:10" x14ac:dyDescent="0.3">
      <c r="A973" s="79">
        <v>42688</v>
      </c>
      <c r="B973" s="5" t="s">
        <v>25</v>
      </c>
      <c r="C973" s="92" t="s">
        <v>846</v>
      </c>
      <c r="D973" s="43">
        <v>60</v>
      </c>
      <c r="E973" s="43"/>
      <c r="F973" s="43" t="e">
        <f t="shared" si="15"/>
        <v>#N/A</v>
      </c>
      <c r="G973" s="43"/>
    </row>
    <row r="974" spans="1:10" ht="37.5" x14ac:dyDescent="0.3">
      <c r="A974" s="79">
        <v>42689</v>
      </c>
      <c r="B974" s="5" t="s">
        <v>230</v>
      </c>
      <c r="C974" s="92" t="s">
        <v>890</v>
      </c>
      <c r="D974" s="65">
        <v>2000</v>
      </c>
      <c r="E974" s="43"/>
      <c r="F974" s="43" t="e">
        <f t="shared" si="15"/>
        <v>#N/A</v>
      </c>
      <c r="G974" s="43"/>
    </row>
    <row r="975" spans="1:10" x14ac:dyDescent="0.3">
      <c r="A975" s="79">
        <v>42689</v>
      </c>
      <c r="B975" s="761" t="s">
        <v>838</v>
      </c>
      <c r="C975" s="762"/>
      <c r="D975" s="71"/>
      <c r="E975" s="72">
        <v>50000</v>
      </c>
      <c r="F975" s="43" t="e">
        <f t="shared" si="15"/>
        <v>#N/A</v>
      </c>
      <c r="G975" s="43"/>
    </row>
    <row r="976" spans="1:10" x14ac:dyDescent="0.3">
      <c r="A976" s="79">
        <v>42689</v>
      </c>
      <c r="B976" s="5" t="s">
        <v>839</v>
      </c>
      <c r="C976" s="92" t="s">
        <v>840</v>
      </c>
      <c r="D976" s="43">
        <v>13800</v>
      </c>
      <c r="E976" s="43"/>
      <c r="F976" s="43" t="e">
        <f t="shared" si="15"/>
        <v>#N/A</v>
      </c>
      <c r="G976" s="43"/>
      <c r="I976" s="102"/>
      <c r="J976" s="102"/>
    </row>
    <row r="977" spans="1:10" x14ac:dyDescent="0.3">
      <c r="A977" s="79">
        <v>42689</v>
      </c>
      <c r="B977" s="5" t="s">
        <v>25</v>
      </c>
      <c r="C977" s="92" t="s">
        <v>734</v>
      </c>
      <c r="D977" s="43">
        <v>70</v>
      </c>
      <c r="E977" s="43"/>
      <c r="F977" s="43" t="e">
        <f t="shared" si="15"/>
        <v>#N/A</v>
      </c>
      <c r="G977" s="43"/>
      <c r="I977" s="102"/>
      <c r="J977" s="102"/>
    </row>
    <row r="978" spans="1:10" x14ac:dyDescent="0.3">
      <c r="A978" s="79">
        <v>42689</v>
      </c>
      <c r="B978" s="5" t="s">
        <v>230</v>
      </c>
      <c r="C978" s="92" t="s">
        <v>860</v>
      </c>
      <c r="D978" s="65">
        <v>33480</v>
      </c>
      <c r="E978" s="43"/>
      <c r="F978" s="43" t="e">
        <f t="shared" si="15"/>
        <v>#N/A</v>
      </c>
      <c r="G978" s="43"/>
      <c r="I978" s="102"/>
      <c r="J978" s="102"/>
    </row>
    <row r="979" spans="1:10" x14ac:dyDescent="0.3">
      <c r="A979" s="79">
        <v>42689</v>
      </c>
      <c r="B979" s="5" t="s">
        <v>691</v>
      </c>
      <c r="C979" s="101" t="s">
        <v>852</v>
      </c>
      <c r="D979" s="43">
        <v>6300</v>
      </c>
      <c r="E979" s="43"/>
      <c r="F979" s="43" t="e">
        <f t="shared" si="15"/>
        <v>#N/A</v>
      </c>
      <c r="G979" s="43"/>
    </row>
    <row r="980" spans="1:10" x14ac:dyDescent="0.3">
      <c r="A980" s="79">
        <v>42690</v>
      </c>
      <c r="B980" s="5" t="s">
        <v>27</v>
      </c>
      <c r="C980" s="101" t="s">
        <v>31</v>
      </c>
      <c r="D980" s="43">
        <v>500</v>
      </c>
      <c r="E980" s="43"/>
      <c r="F980" s="43" t="e">
        <f t="shared" si="15"/>
        <v>#N/A</v>
      </c>
      <c r="G980" s="43"/>
    </row>
    <row r="981" spans="1:10" x14ac:dyDescent="0.3">
      <c r="A981" s="79">
        <v>42690</v>
      </c>
      <c r="B981" s="5" t="s">
        <v>25</v>
      </c>
      <c r="C981" s="101" t="s">
        <v>848</v>
      </c>
      <c r="D981" s="43">
        <v>180</v>
      </c>
      <c r="E981" s="43"/>
      <c r="F981" s="43" t="e">
        <f t="shared" si="15"/>
        <v>#N/A</v>
      </c>
      <c r="G981" s="43"/>
    </row>
    <row r="982" spans="1:10" x14ac:dyDescent="0.3">
      <c r="A982" s="79">
        <v>42690</v>
      </c>
      <c r="B982" s="5" t="s">
        <v>25</v>
      </c>
      <c r="C982" s="101" t="s">
        <v>845</v>
      </c>
      <c r="D982" s="43">
        <v>50</v>
      </c>
      <c r="E982" s="43"/>
      <c r="F982" s="43" t="e">
        <f t="shared" si="15"/>
        <v>#N/A</v>
      </c>
      <c r="G982" s="43"/>
    </row>
    <row r="983" spans="1:10" x14ac:dyDescent="0.3">
      <c r="A983" s="79">
        <v>42690</v>
      </c>
      <c r="B983" s="5" t="s">
        <v>116</v>
      </c>
      <c r="C983" s="101" t="s">
        <v>843</v>
      </c>
      <c r="D983" s="43">
        <v>1000</v>
      </c>
      <c r="E983" s="43"/>
      <c r="F983" s="43" t="e">
        <f t="shared" si="15"/>
        <v>#N/A</v>
      </c>
      <c r="G983" s="43"/>
    </row>
    <row r="984" spans="1:10" x14ac:dyDescent="0.3">
      <c r="A984" s="79">
        <v>42691</v>
      </c>
      <c r="B984" s="761" t="s">
        <v>841</v>
      </c>
      <c r="C984" s="762"/>
      <c r="D984" s="71"/>
      <c r="E984" s="72">
        <v>50000</v>
      </c>
      <c r="F984" s="43" t="e">
        <f t="shared" si="15"/>
        <v>#N/A</v>
      </c>
      <c r="G984" s="43"/>
    </row>
    <row r="985" spans="1:10" x14ac:dyDescent="0.3">
      <c r="A985" s="79">
        <v>42691</v>
      </c>
      <c r="B985" s="5" t="s">
        <v>4</v>
      </c>
      <c r="C985" s="92" t="s">
        <v>31</v>
      </c>
      <c r="D985" s="43">
        <v>3000</v>
      </c>
      <c r="E985" s="43"/>
      <c r="F985" s="43" t="e">
        <f t="shared" si="15"/>
        <v>#N/A</v>
      </c>
      <c r="G985" s="43"/>
    </row>
    <row r="986" spans="1:10" x14ac:dyDescent="0.3">
      <c r="A986" s="79">
        <v>42691</v>
      </c>
      <c r="B986" s="5" t="s">
        <v>160</v>
      </c>
      <c r="C986" s="92" t="s">
        <v>844</v>
      </c>
      <c r="D986" s="43">
        <v>3500</v>
      </c>
      <c r="E986" s="43"/>
      <c r="F986" s="43" t="e">
        <f t="shared" si="15"/>
        <v>#N/A</v>
      </c>
      <c r="G986" s="43"/>
    </row>
    <row r="987" spans="1:10" x14ac:dyDescent="0.3">
      <c r="A987" s="79">
        <v>42691</v>
      </c>
      <c r="B987" s="5" t="s">
        <v>693</v>
      </c>
      <c r="C987" s="92" t="s">
        <v>401</v>
      </c>
      <c r="D987" s="43">
        <v>450</v>
      </c>
      <c r="E987" s="43"/>
      <c r="F987" s="43" t="e">
        <f t="shared" si="15"/>
        <v>#N/A</v>
      </c>
      <c r="G987" s="43"/>
    </row>
    <row r="988" spans="1:10" x14ac:dyDescent="0.3">
      <c r="A988" s="79">
        <v>42691</v>
      </c>
      <c r="B988" s="5" t="s">
        <v>42</v>
      </c>
      <c r="C988" s="92" t="s">
        <v>31</v>
      </c>
      <c r="D988" s="43">
        <v>3000</v>
      </c>
      <c r="E988" s="43"/>
      <c r="F988" s="43" t="e">
        <f t="shared" si="15"/>
        <v>#N/A</v>
      </c>
      <c r="G988" s="43"/>
    </row>
    <row r="989" spans="1:10" x14ac:dyDescent="0.3">
      <c r="A989" s="79">
        <v>42691</v>
      </c>
      <c r="B989" s="5" t="s">
        <v>104</v>
      </c>
      <c r="C989" s="92" t="s">
        <v>31</v>
      </c>
      <c r="D989" s="43">
        <v>1000</v>
      </c>
      <c r="E989" s="43"/>
      <c r="F989" s="43" t="e">
        <f t="shared" si="15"/>
        <v>#N/A</v>
      </c>
      <c r="G989" s="43"/>
    </row>
    <row r="990" spans="1:10" x14ac:dyDescent="0.3">
      <c r="A990" s="79">
        <v>42691</v>
      </c>
      <c r="B990" s="5" t="s">
        <v>25</v>
      </c>
      <c r="C990" s="92" t="s">
        <v>847</v>
      </c>
      <c r="D990" s="43">
        <v>720</v>
      </c>
      <c r="E990" s="43"/>
      <c r="F990" s="43" t="e">
        <f t="shared" si="15"/>
        <v>#N/A</v>
      </c>
      <c r="G990" s="43"/>
    </row>
    <row r="991" spans="1:10" x14ac:dyDescent="0.3">
      <c r="A991" s="79">
        <v>42691</v>
      </c>
      <c r="B991" s="5" t="s">
        <v>27</v>
      </c>
      <c r="C991" s="92" t="s">
        <v>31</v>
      </c>
      <c r="D991" s="43">
        <v>8000</v>
      </c>
      <c r="E991" s="43"/>
      <c r="F991" s="43" t="e">
        <f t="shared" si="15"/>
        <v>#N/A</v>
      </c>
      <c r="G991" s="43"/>
    </row>
    <row r="992" spans="1:10" x14ac:dyDescent="0.3">
      <c r="A992" s="79">
        <v>42691</v>
      </c>
      <c r="B992" s="5" t="s">
        <v>120</v>
      </c>
      <c r="C992" s="92" t="s">
        <v>849</v>
      </c>
      <c r="D992" s="43">
        <v>750</v>
      </c>
      <c r="E992" s="43"/>
      <c r="F992" s="43" t="e">
        <f t="shared" si="15"/>
        <v>#N/A</v>
      </c>
      <c r="G992" s="43"/>
    </row>
    <row r="993" spans="1:10" x14ac:dyDescent="0.3">
      <c r="A993" s="79">
        <v>42691</v>
      </c>
      <c r="B993" s="5" t="s">
        <v>120</v>
      </c>
      <c r="C993" s="92" t="s">
        <v>31</v>
      </c>
      <c r="D993" s="43">
        <v>50</v>
      </c>
      <c r="E993" s="43"/>
      <c r="F993" s="43" t="e">
        <f t="shared" si="15"/>
        <v>#N/A</v>
      </c>
      <c r="G993" s="43"/>
    </row>
    <row r="994" spans="1:10" x14ac:dyDescent="0.3">
      <c r="A994" s="79">
        <v>42691</v>
      </c>
      <c r="B994" s="5" t="s">
        <v>25</v>
      </c>
      <c r="C994" s="92" t="s">
        <v>850</v>
      </c>
      <c r="D994" s="43">
        <v>1000</v>
      </c>
      <c r="E994" s="43"/>
      <c r="F994" s="43" t="e">
        <f t="shared" si="15"/>
        <v>#N/A</v>
      </c>
      <c r="G994" s="43"/>
    </row>
    <row r="995" spans="1:10" x14ac:dyDescent="0.3">
      <c r="A995" s="79">
        <v>42691</v>
      </c>
      <c r="B995" s="5" t="s">
        <v>164</v>
      </c>
      <c r="C995" s="92" t="s">
        <v>733</v>
      </c>
      <c r="D995" s="43">
        <v>1000</v>
      </c>
      <c r="E995" s="43"/>
      <c r="F995" s="43" t="e">
        <f t="shared" si="15"/>
        <v>#N/A</v>
      </c>
      <c r="G995" s="43"/>
    </row>
    <row r="996" spans="1:10" x14ac:dyDescent="0.3">
      <c r="A996" s="79">
        <v>42691</v>
      </c>
      <c r="B996" s="5" t="s">
        <v>693</v>
      </c>
      <c r="C996" s="92" t="s">
        <v>851</v>
      </c>
      <c r="D996" s="65">
        <v>70</v>
      </c>
      <c r="E996" s="43"/>
      <c r="F996" s="43" t="e">
        <f t="shared" si="15"/>
        <v>#N/A</v>
      </c>
      <c r="G996" s="43"/>
    </row>
    <row r="997" spans="1:10" x14ac:dyDescent="0.3">
      <c r="A997" s="79">
        <v>42691</v>
      </c>
      <c r="B997" s="5" t="s">
        <v>27</v>
      </c>
      <c r="C997" s="92" t="s">
        <v>31</v>
      </c>
      <c r="D997" s="43">
        <v>2000</v>
      </c>
      <c r="E997" s="43"/>
      <c r="F997" s="43" t="e">
        <f t="shared" si="15"/>
        <v>#N/A</v>
      </c>
      <c r="G997" s="43"/>
    </row>
    <row r="998" spans="1:10" x14ac:dyDescent="0.3">
      <c r="A998" s="79">
        <v>42691</v>
      </c>
      <c r="B998" s="5" t="s">
        <v>777</v>
      </c>
      <c r="C998" s="92" t="s">
        <v>31</v>
      </c>
      <c r="D998" s="43">
        <v>1500</v>
      </c>
      <c r="E998" s="43"/>
      <c r="F998" s="43" t="e">
        <f t="shared" si="15"/>
        <v>#N/A</v>
      </c>
      <c r="G998" s="43"/>
    </row>
    <row r="999" spans="1:10" x14ac:dyDescent="0.3">
      <c r="A999" s="79">
        <v>42691</v>
      </c>
      <c r="B999" s="5" t="s">
        <v>116</v>
      </c>
      <c r="C999" s="92" t="s">
        <v>539</v>
      </c>
      <c r="D999" s="65">
        <v>2475</v>
      </c>
      <c r="E999" s="43"/>
      <c r="F999" s="43" t="e">
        <f t="shared" si="15"/>
        <v>#N/A</v>
      </c>
      <c r="G999" s="43"/>
    </row>
    <row r="1000" spans="1:10" x14ac:dyDescent="0.3">
      <c r="A1000" s="79">
        <v>42691</v>
      </c>
      <c r="B1000" s="5" t="s">
        <v>25</v>
      </c>
      <c r="C1000" s="92" t="s">
        <v>746</v>
      </c>
      <c r="D1000" s="43">
        <v>80</v>
      </c>
      <c r="E1000" s="43"/>
      <c r="F1000" s="43" t="e">
        <f t="shared" si="15"/>
        <v>#N/A</v>
      </c>
      <c r="G1000" s="43"/>
    </row>
    <row r="1001" spans="1:10" x14ac:dyDescent="0.3">
      <c r="A1001" s="79">
        <v>42691</v>
      </c>
      <c r="B1001" s="761" t="s">
        <v>997</v>
      </c>
      <c r="C1001" s="762"/>
      <c r="D1001" s="71"/>
      <c r="E1001" s="72">
        <v>15000</v>
      </c>
      <c r="F1001" s="43" t="e">
        <f t="shared" si="15"/>
        <v>#N/A</v>
      </c>
      <c r="G1001" s="43"/>
    </row>
    <row r="1002" spans="1:10" x14ac:dyDescent="0.3">
      <c r="A1002" s="79">
        <v>42691</v>
      </c>
      <c r="B1002" s="5" t="s">
        <v>25</v>
      </c>
      <c r="C1002" s="92" t="s">
        <v>853</v>
      </c>
      <c r="D1002" s="43">
        <v>80</v>
      </c>
      <c r="E1002" s="43"/>
      <c r="F1002" s="43" t="e">
        <f t="shared" si="15"/>
        <v>#N/A</v>
      </c>
      <c r="G1002" s="43"/>
    </row>
    <row r="1003" spans="1:10" x14ac:dyDescent="0.3">
      <c r="A1003" s="79">
        <v>42692</v>
      </c>
      <c r="B1003" s="5" t="s">
        <v>154</v>
      </c>
      <c r="C1003" s="92" t="s">
        <v>31</v>
      </c>
      <c r="D1003" s="43">
        <v>5000</v>
      </c>
      <c r="E1003" s="43"/>
      <c r="F1003" s="43" t="e">
        <f t="shared" si="15"/>
        <v>#N/A</v>
      </c>
      <c r="G1003" s="43"/>
    </row>
    <row r="1004" spans="1:10" x14ac:dyDescent="0.3">
      <c r="A1004" s="79">
        <v>42692</v>
      </c>
      <c r="B1004" s="5" t="s">
        <v>120</v>
      </c>
      <c r="C1004" s="92" t="s">
        <v>864</v>
      </c>
      <c r="D1004" s="43">
        <v>200</v>
      </c>
      <c r="E1004" s="43"/>
      <c r="F1004" s="43" t="e">
        <f t="shared" si="15"/>
        <v>#N/A</v>
      </c>
      <c r="G1004" s="43"/>
    </row>
    <row r="1005" spans="1:10" x14ac:dyDescent="0.3">
      <c r="A1005" s="79">
        <v>42692</v>
      </c>
      <c r="B1005" s="5" t="s">
        <v>27</v>
      </c>
      <c r="C1005" s="92" t="s">
        <v>31</v>
      </c>
      <c r="D1005" s="43">
        <v>5000</v>
      </c>
      <c r="E1005" s="43"/>
      <c r="F1005" s="43" t="e">
        <f t="shared" si="15"/>
        <v>#N/A</v>
      </c>
      <c r="G1005" s="43"/>
    </row>
    <row r="1006" spans="1:10" ht="37.5" x14ac:dyDescent="0.3">
      <c r="A1006" s="79">
        <v>42692</v>
      </c>
      <c r="B1006" s="5" t="s">
        <v>104</v>
      </c>
      <c r="C1006" s="92" t="s">
        <v>854</v>
      </c>
      <c r="D1006" s="43">
        <v>500</v>
      </c>
      <c r="E1006" s="43"/>
      <c r="F1006" s="43" t="e">
        <f t="shared" si="15"/>
        <v>#N/A</v>
      </c>
      <c r="G1006" s="43"/>
    </row>
    <row r="1007" spans="1:10" x14ac:dyDescent="0.3">
      <c r="A1007" s="79">
        <v>42692</v>
      </c>
      <c r="B1007" s="5" t="s">
        <v>104</v>
      </c>
      <c r="C1007" s="92" t="s">
        <v>31</v>
      </c>
      <c r="D1007" s="65">
        <v>500</v>
      </c>
      <c r="E1007" s="43"/>
      <c r="F1007" s="43" t="e">
        <f t="shared" si="15"/>
        <v>#N/A</v>
      </c>
      <c r="G1007" s="43"/>
    </row>
    <row r="1008" spans="1:10" s="114" customFormat="1" x14ac:dyDescent="0.3">
      <c r="A1008" s="79">
        <v>42692</v>
      </c>
      <c r="B1008" s="5" t="s">
        <v>27</v>
      </c>
      <c r="C1008" s="92" t="s">
        <v>873</v>
      </c>
      <c r="D1008" s="43">
        <v>1000</v>
      </c>
      <c r="E1008" s="43"/>
      <c r="F1008" s="43" t="e">
        <f t="shared" si="15"/>
        <v>#N/A</v>
      </c>
      <c r="G1008" s="43"/>
      <c r="H1008" s="113"/>
      <c r="I1008" s="52"/>
      <c r="J1008" s="52"/>
    </row>
    <row r="1009" spans="1:10" x14ac:dyDescent="0.3">
      <c r="A1009" s="79">
        <v>42692</v>
      </c>
      <c r="B1009" s="761" t="s">
        <v>841</v>
      </c>
      <c r="C1009" s="762"/>
      <c r="D1009" s="71"/>
      <c r="E1009" s="72">
        <v>25000</v>
      </c>
      <c r="F1009" s="43" t="e">
        <f t="shared" si="15"/>
        <v>#N/A</v>
      </c>
      <c r="G1009" s="43"/>
      <c r="I1009" s="113"/>
    </row>
    <row r="1010" spans="1:10" x14ac:dyDescent="0.3">
      <c r="A1010" s="79">
        <v>42692</v>
      </c>
      <c r="B1010" s="761" t="s">
        <v>841</v>
      </c>
      <c r="C1010" s="762"/>
      <c r="D1010" s="71"/>
      <c r="E1010" s="72">
        <v>20000</v>
      </c>
      <c r="F1010" s="43" t="e">
        <f t="shared" si="15"/>
        <v>#N/A</v>
      </c>
      <c r="G1010" s="43"/>
      <c r="J1010" s="113"/>
    </row>
    <row r="1011" spans="1:10" x14ac:dyDescent="0.3">
      <c r="A1011" s="79">
        <v>42692</v>
      </c>
      <c r="B1011" s="115" t="s">
        <v>230</v>
      </c>
      <c r="C1011" s="116" t="s">
        <v>859</v>
      </c>
      <c r="D1011" s="112">
        <v>40850</v>
      </c>
      <c r="E1011" s="58"/>
      <c r="F1011" s="43" t="e">
        <f t="shared" si="15"/>
        <v>#N/A</v>
      </c>
      <c r="G1011" s="58"/>
    </row>
    <row r="1012" spans="1:10" x14ac:dyDescent="0.3">
      <c r="A1012" s="79">
        <v>42692</v>
      </c>
      <c r="B1012" s="115" t="s">
        <v>25</v>
      </c>
      <c r="C1012" s="116" t="s">
        <v>734</v>
      </c>
      <c r="D1012" s="112">
        <v>80</v>
      </c>
      <c r="E1012" s="58"/>
      <c r="F1012" s="43" t="e">
        <f t="shared" si="15"/>
        <v>#N/A</v>
      </c>
      <c r="G1012" s="58"/>
    </row>
    <row r="1013" spans="1:10" x14ac:dyDescent="0.3">
      <c r="A1013" s="79">
        <v>42693</v>
      </c>
      <c r="B1013" s="5" t="s">
        <v>4</v>
      </c>
      <c r="C1013" s="101" t="s">
        <v>31</v>
      </c>
      <c r="D1013" s="43">
        <v>1000</v>
      </c>
      <c r="E1013" s="43"/>
      <c r="F1013" s="43" t="e">
        <f t="shared" si="15"/>
        <v>#N/A</v>
      </c>
      <c r="G1013" s="43"/>
    </row>
    <row r="1014" spans="1:10" x14ac:dyDescent="0.3">
      <c r="A1014" s="79">
        <v>42693</v>
      </c>
      <c r="B1014" s="5" t="s">
        <v>25</v>
      </c>
      <c r="C1014" s="101" t="s">
        <v>746</v>
      </c>
      <c r="D1014" s="43">
        <v>80</v>
      </c>
      <c r="E1014" s="43"/>
      <c r="F1014" s="43" t="e">
        <f t="shared" si="15"/>
        <v>#N/A</v>
      </c>
      <c r="G1014" s="43"/>
    </row>
    <row r="1015" spans="1:10" x14ac:dyDescent="0.3">
      <c r="A1015" s="79">
        <v>42693</v>
      </c>
      <c r="B1015" s="5" t="s">
        <v>855</v>
      </c>
      <c r="C1015" s="92" t="s">
        <v>31</v>
      </c>
      <c r="D1015" s="43">
        <v>2000</v>
      </c>
      <c r="E1015" s="43"/>
      <c r="F1015" s="43" t="e">
        <f t="shared" si="15"/>
        <v>#N/A</v>
      </c>
      <c r="G1015" s="43"/>
    </row>
    <row r="1016" spans="1:10" x14ac:dyDescent="0.3">
      <c r="A1016" s="79">
        <v>42693</v>
      </c>
      <c r="B1016" s="5" t="s">
        <v>693</v>
      </c>
      <c r="C1016" s="92" t="s">
        <v>856</v>
      </c>
      <c r="D1016" s="43">
        <v>150</v>
      </c>
      <c r="E1016" s="43"/>
      <c r="F1016" s="43" t="e">
        <f t="shared" si="15"/>
        <v>#N/A</v>
      </c>
      <c r="G1016" s="43"/>
    </row>
    <row r="1017" spans="1:10" ht="37.5" x14ac:dyDescent="0.3">
      <c r="A1017" s="79">
        <v>42693</v>
      </c>
      <c r="B1017" s="5" t="s">
        <v>25</v>
      </c>
      <c r="C1017" s="92" t="s">
        <v>857</v>
      </c>
      <c r="D1017" s="43">
        <v>500</v>
      </c>
      <c r="E1017" s="43"/>
      <c r="F1017" s="43" t="e">
        <f t="shared" si="15"/>
        <v>#N/A</v>
      </c>
      <c r="G1017" s="43"/>
    </row>
    <row r="1018" spans="1:10" x14ac:dyDescent="0.3">
      <c r="A1018" s="79">
        <v>42693</v>
      </c>
      <c r="B1018" s="5" t="s">
        <v>25</v>
      </c>
      <c r="C1018" s="92" t="s">
        <v>746</v>
      </c>
      <c r="D1018" s="43">
        <v>80</v>
      </c>
      <c r="E1018" s="43"/>
      <c r="F1018" s="43" t="e">
        <f t="shared" si="15"/>
        <v>#N/A</v>
      </c>
      <c r="G1018" s="43"/>
    </row>
    <row r="1019" spans="1:10" x14ac:dyDescent="0.3">
      <c r="A1019" s="79">
        <v>42695</v>
      </c>
      <c r="B1019" s="5" t="s">
        <v>25</v>
      </c>
      <c r="C1019" s="92" t="s">
        <v>858</v>
      </c>
      <c r="D1019" s="43">
        <v>150</v>
      </c>
      <c r="E1019" s="43"/>
      <c r="F1019" s="43" t="e">
        <f t="shared" si="15"/>
        <v>#N/A</v>
      </c>
      <c r="G1019" s="43"/>
    </row>
    <row r="1020" spans="1:10" x14ac:dyDescent="0.3">
      <c r="A1020" s="79">
        <v>42696</v>
      </c>
      <c r="B1020" s="5" t="s">
        <v>230</v>
      </c>
      <c r="C1020" s="92" t="s">
        <v>863</v>
      </c>
      <c r="D1020" s="43">
        <v>300</v>
      </c>
      <c r="E1020" s="43"/>
      <c r="F1020" s="43" t="e">
        <f t="shared" si="15"/>
        <v>#N/A</v>
      </c>
      <c r="G1020" s="43"/>
    </row>
    <row r="1021" spans="1:10" x14ac:dyDescent="0.3">
      <c r="A1021" s="79">
        <v>42696</v>
      </c>
      <c r="B1021" s="761" t="s">
        <v>882</v>
      </c>
      <c r="C1021" s="762"/>
      <c r="D1021" s="71"/>
      <c r="E1021" s="72">
        <v>50000</v>
      </c>
      <c r="F1021" s="43" t="e">
        <f t="shared" si="15"/>
        <v>#N/A</v>
      </c>
      <c r="G1021" s="43"/>
    </row>
    <row r="1022" spans="1:10" x14ac:dyDescent="0.3">
      <c r="A1022" s="79">
        <v>42697</v>
      </c>
      <c r="B1022" s="5" t="s">
        <v>5</v>
      </c>
      <c r="C1022" s="92" t="s">
        <v>31</v>
      </c>
      <c r="D1022" s="43">
        <v>6000</v>
      </c>
      <c r="E1022" s="43"/>
      <c r="F1022" s="43" t="e">
        <f t="shared" si="15"/>
        <v>#N/A</v>
      </c>
      <c r="G1022" s="43"/>
    </row>
    <row r="1023" spans="1:10" x14ac:dyDescent="0.3">
      <c r="A1023" s="79">
        <v>42697</v>
      </c>
      <c r="B1023" s="5" t="s">
        <v>230</v>
      </c>
      <c r="C1023" s="92" t="s">
        <v>77</v>
      </c>
      <c r="D1023" s="65">
        <v>800</v>
      </c>
      <c r="E1023" s="43"/>
      <c r="F1023" s="43" t="e">
        <f t="shared" si="15"/>
        <v>#N/A</v>
      </c>
      <c r="G1023" s="43"/>
    </row>
    <row r="1024" spans="1:10" x14ac:dyDescent="0.3">
      <c r="A1024" s="79">
        <v>42697</v>
      </c>
      <c r="B1024" s="5" t="s">
        <v>25</v>
      </c>
      <c r="C1024" s="92" t="s">
        <v>865</v>
      </c>
      <c r="D1024" s="43">
        <v>1000</v>
      </c>
      <c r="E1024" s="43"/>
      <c r="F1024" s="43" t="e">
        <f t="shared" si="15"/>
        <v>#N/A</v>
      </c>
      <c r="G1024" s="43"/>
    </row>
    <row r="1025" spans="1:7" x14ac:dyDescent="0.3">
      <c r="A1025" s="79">
        <v>42697</v>
      </c>
      <c r="B1025" s="5" t="s">
        <v>25</v>
      </c>
      <c r="C1025" s="92" t="s">
        <v>866</v>
      </c>
      <c r="D1025" s="43">
        <v>1400</v>
      </c>
      <c r="E1025" s="43"/>
      <c r="F1025" s="43" t="e">
        <f t="shared" si="15"/>
        <v>#N/A</v>
      </c>
      <c r="G1025" s="43"/>
    </row>
    <row r="1026" spans="1:7" x14ac:dyDescent="0.3">
      <c r="A1026" s="79">
        <v>42697</v>
      </c>
      <c r="B1026" s="5" t="s">
        <v>247</v>
      </c>
      <c r="C1026" s="92" t="s">
        <v>867</v>
      </c>
      <c r="D1026" s="43">
        <v>1575</v>
      </c>
      <c r="E1026" s="43"/>
      <c r="F1026" s="43" t="e">
        <f t="shared" si="15"/>
        <v>#N/A</v>
      </c>
      <c r="G1026" s="43"/>
    </row>
    <row r="1027" spans="1:7" x14ac:dyDescent="0.3">
      <c r="A1027" s="79">
        <v>42697</v>
      </c>
      <c r="B1027" s="5" t="s">
        <v>25</v>
      </c>
      <c r="C1027" s="92" t="s">
        <v>868</v>
      </c>
      <c r="D1027" s="43">
        <v>90</v>
      </c>
      <c r="E1027" s="43"/>
      <c r="F1027" s="43" t="e">
        <f t="shared" ref="F1027:F1090" si="16">F1026-D1027+E1027</f>
        <v>#N/A</v>
      </c>
      <c r="G1027" s="43"/>
    </row>
    <row r="1028" spans="1:7" x14ac:dyDescent="0.3">
      <c r="A1028" s="79">
        <v>42697</v>
      </c>
      <c r="B1028" s="5" t="s">
        <v>25</v>
      </c>
      <c r="C1028" s="92" t="s">
        <v>869</v>
      </c>
      <c r="D1028" s="43">
        <v>170</v>
      </c>
      <c r="E1028" s="43"/>
      <c r="F1028" s="43" t="e">
        <f t="shared" si="16"/>
        <v>#N/A</v>
      </c>
      <c r="G1028" s="43"/>
    </row>
    <row r="1029" spans="1:7" x14ac:dyDescent="0.3">
      <c r="A1029" s="79">
        <v>42697</v>
      </c>
      <c r="B1029" s="5" t="s">
        <v>25</v>
      </c>
      <c r="C1029" s="92" t="s">
        <v>870</v>
      </c>
      <c r="D1029" s="43">
        <v>210</v>
      </c>
      <c r="E1029" s="43"/>
      <c r="F1029" s="43" t="e">
        <f t="shared" si="16"/>
        <v>#N/A</v>
      </c>
      <c r="G1029" s="43"/>
    </row>
    <row r="1030" spans="1:7" x14ac:dyDescent="0.3">
      <c r="A1030" s="79">
        <v>42697</v>
      </c>
      <c r="B1030" s="5" t="s">
        <v>42</v>
      </c>
      <c r="C1030" s="92" t="s">
        <v>767</v>
      </c>
      <c r="D1030" s="43">
        <v>2000</v>
      </c>
      <c r="E1030" s="43"/>
      <c r="F1030" s="43" t="e">
        <f t="shared" si="16"/>
        <v>#N/A</v>
      </c>
      <c r="G1030" s="43"/>
    </row>
    <row r="1031" spans="1:7" x14ac:dyDescent="0.3">
      <c r="A1031" s="79">
        <v>42697</v>
      </c>
      <c r="B1031" s="5" t="s">
        <v>395</v>
      </c>
      <c r="C1031" s="92" t="s">
        <v>876</v>
      </c>
      <c r="D1031" s="65">
        <v>150</v>
      </c>
      <c r="E1031" s="43"/>
      <c r="F1031" s="43" t="e">
        <f t="shared" si="16"/>
        <v>#N/A</v>
      </c>
      <c r="G1031" s="43"/>
    </row>
    <row r="1032" spans="1:7" x14ac:dyDescent="0.3">
      <c r="A1032" s="79">
        <v>42697</v>
      </c>
      <c r="B1032" s="5" t="s">
        <v>395</v>
      </c>
      <c r="C1032" s="92" t="s">
        <v>877</v>
      </c>
      <c r="D1032" s="65">
        <v>50</v>
      </c>
      <c r="E1032" s="43"/>
      <c r="F1032" s="43" t="e">
        <f t="shared" si="16"/>
        <v>#N/A</v>
      </c>
      <c r="G1032" s="43"/>
    </row>
    <row r="1033" spans="1:7" x14ac:dyDescent="0.3">
      <c r="A1033" s="79">
        <v>42697</v>
      </c>
      <c r="B1033" s="5" t="s">
        <v>395</v>
      </c>
      <c r="C1033" s="92" t="s">
        <v>30</v>
      </c>
      <c r="D1033" s="65">
        <v>100</v>
      </c>
      <c r="E1033" s="43"/>
      <c r="F1033" s="43" t="e">
        <f t="shared" si="16"/>
        <v>#N/A</v>
      </c>
      <c r="G1033" s="43"/>
    </row>
    <row r="1034" spans="1:7" x14ac:dyDescent="0.3">
      <c r="A1034" s="79">
        <v>42697</v>
      </c>
      <c r="B1034" s="5" t="s">
        <v>395</v>
      </c>
      <c r="C1034" s="92" t="s">
        <v>878</v>
      </c>
      <c r="D1034" s="65">
        <v>150</v>
      </c>
      <c r="E1034" s="43"/>
      <c r="F1034" s="43" t="e">
        <f t="shared" si="16"/>
        <v>#N/A</v>
      </c>
      <c r="G1034" s="43"/>
    </row>
    <row r="1035" spans="1:7" x14ac:dyDescent="0.3">
      <c r="A1035" s="79">
        <v>42697</v>
      </c>
      <c r="B1035" s="5" t="s">
        <v>395</v>
      </c>
      <c r="C1035" s="92" t="s">
        <v>879</v>
      </c>
      <c r="D1035" s="65">
        <v>200</v>
      </c>
      <c r="E1035" s="43"/>
      <c r="F1035" s="43" t="e">
        <f t="shared" si="16"/>
        <v>#N/A</v>
      </c>
      <c r="G1035" s="43"/>
    </row>
    <row r="1036" spans="1:7" x14ac:dyDescent="0.3">
      <c r="A1036" s="79">
        <v>42697</v>
      </c>
      <c r="B1036" s="5" t="s">
        <v>395</v>
      </c>
      <c r="C1036" s="92" t="s">
        <v>856</v>
      </c>
      <c r="D1036" s="65">
        <v>250</v>
      </c>
      <c r="E1036" s="43"/>
      <c r="F1036" s="43" t="e">
        <f t="shared" si="16"/>
        <v>#N/A</v>
      </c>
      <c r="G1036" s="43"/>
    </row>
    <row r="1037" spans="1:7" x14ac:dyDescent="0.3">
      <c r="A1037" s="79">
        <v>42697</v>
      </c>
      <c r="B1037" s="5" t="s">
        <v>16</v>
      </c>
      <c r="C1037" s="92" t="s">
        <v>871</v>
      </c>
      <c r="D1037" s="43">
        <v>1400</v>
      </c>
      <c r="E1037" s="43"/>
      <c r="F1037" s="43" t="e">
        <f t="shared" si="16"/>
        <v>#N/A</v>
      </c>
      <c r="G1037" s="43"/>
    </row>
    <row r="1038" spans="1:7" x14ac:dyDescent="0.3">
      <c r="A1038" s="79">
        <v>42697</v>
      </c>
      <c r="B1038" s="5" t="s">
        <v>116</v>
      </c>
      <c r="C1038" s="92" t="s">
        <v>872</v>
      </c>
      <c r="D1038" s="65">
        <v>1140</v>
      </c>
      <c r="E1038" s="43"/>
      <c r="F1038" s="43" t="e">
        <f t="shared" si="16"/>
        <v>#N/A</v>
      </c>
      <c r="G1038" s="43"/>
    </row>
    <row r="1039" spans="1:7" x14ac:dyDescent="0.3">
      <c r="A1039" s="79">
        <v>42697</v>
      </c>
      <c r="B1039" s="5" t="s">
        <v>25</v>
      </c>
      <c r="C1039" s="92" t="s">
        <v>909</v>
      </c>
      <c r="D1039" s="65">
        <v>185</v>
      </c>
      <c r="E1039" s="43"/>
      <c r="F1039" s="43" t="e">
        <f t="shared" si="16"/>
        <v>#N/A</v>
      </c>
      <c r="G1039" s="43"/>
    </row>
    <row r="1040" spans="1:7" x14ac:dyDescent="0.3">
      <c r="A1040" s="79">
        <v>42697</v>
      </c>
      <c r="B1040" s="5" t="s">
        <v>160</v>
      </c>
      <c r="C1040" s="92" t="s">
        <v>874</v>
      </c>
      <c r="D1040" s="43">
        <v>1500</v>
      </c>
      <c r="E1040" s="43"/>
      <c r="F1040" s="43" t="e">
        <f t="shared" si="16"/>
        <v>#N/A</v>
      </c>
      <c r="G1040" s="43"/>
    </row>
    <row r="1041" spans="1:10" x14ac:dyDescent="0.3">
      <c r="A1041" s="79">
        <v>42698</v>
      </c>
      <c r="B1041" s="5" t="s">
        <v>25</v>
      </c>
      <c r="C1041" s="92" t="s">
        <v>875</v>
      </c>
      <c r="D1041" s="43">
        <v>2000</v>
      </c>
      <c r="E1041" s="43"/>
      <c r="F1041" s="43" t="e">
        <f t="shared" si="16"/>
        <v>#N/A</v>
      </c>
      <c r="G1041" s="43"/>
    </row>
    <row r="1042" spans="1:10" x14ac:dyDescent="0.3">
      <c r="A1042" s="79">
        <v>42698</v>
      </c>
      <c r="B1042" s="5" t="s">
        <v>10</v>
      </c>
      <c r="C1042" s="92" t="s">
        <v>235</v>
      </c>
      <c r="D1042" s="43">
        <v>1000</v>
      </c>
      <c r="E1042" s="43"/>
      <c r="F1042" s="43" t="e">
        <f t="shared" si="16"/>
        <v>#N/A</v>
      </c>
      <c r="G1042" s="43"/>
    </row>
    <row r="1043" spans="1:10" x14ac:dyDescent="0.3">
      <c r="A1043" s="79">
        <v>42698</v>
      </c>
      <c r="B1043" s="5" t="s">
        <v>25</v>
      </c>
      <c r="C1043" s="92" t="s">
        <v>885</v>
      </c>
      <c r="D1043" s="43">
        <v>15</v>
      </c>
      <c r="E1043" s="43"/>
      <c r="F1043" s="43" t="e">
        <f t="shared" si="16"/>
        <v>#N/A</v>
      </c>
      <c r="G1043" s="43"/>
    </row>
    <row r="1044" spans="1:10" x14ac:dyDescent="0.3">
      <c r="A1044" s="79">
        <v>42698</v>
      </c>
      <c r="B1044" s="5" t="s">
        <v>499</v>
      </c>
      <c r="C1044" s="92" t="s">
        <v>880</v>
      </c>
      <c r="D1044" s="43">
        <v>500</v>
      </c>
      <c r="E1044" s="43"/>
      <c r="F1044" s="43" t="e">
        <f t="shared" si="16"/>
        <v>#N/A</v>
      </c>
      <c r="G1044" s="43"/>
    </row>
    <row r="1045" spans="1:10" x14ac:dyDescent="0.3">
      <c r="A1045" s="79">
        <v>42698</v>
      </c>
      <c r="B1045" s="5" t="s">
        <v>25</v>
      </c>
      <c r="C1045" s="92" t="s">
        <v>881</v>
      </c>
      <c r="D1045" s="43">
        <v>180</v>
      </c>
      <c r="E1045" s="43"/>
      <c r="F1045" s="43" t="e">
        <f t="shared" si="16"/>
        <v>#N/A</v>
      </c>
      <c r="G1045" s="43"/>
    </row>
    <row r="1046" spans="1:10" x14ac:dyDescent="0.3">
      <c r="A1046" s="79">
        <v>42699</v>
      </c>
      <c r="B1046" s="5" t="s">
        <v>4</v>
      </c>
      <c r="C1046" s="92" t="s">
        <v>31</v>
      </c>
      <c r="D1046" s="43">
        <v>1000</v>
      </c>
      <c r="E1046" s="43"/>
      <c r="F1046" s="43" t="e">
        <f t="shared" si="16"/>
        <v>#N/A</v>
      </c>
      <c r="G1046" s="43"/>
      <c r="I1046" s="102"/>
    </row>
    <row r="1047" spans="1:10" x14ac:dyDescent="0.3">
      <c r="A1047" s="79">
        <v>42699</v>
      </c>
      <c r="B1047" s="5" t="s">
        <v>25</v>
      </c>
      <c r="C1047" s="92" t="s">
        <v>605</v>
      </c>
      <c r="D1047" s="43">
        <v>100</v>
      </c>
      <c r="E1047" s="43"/>
      <c r="F1047" s="43" t="e">
        <f t="shared" si="16"/>
        <v>#N/A</v>
      </c>
      <c r="G1047" s="43"/>
      <c r="I1047" s="102"/>
      <c r="J1047" s="102"/>
    </row>
    <row r="1048" spans="1:10" x14ac:dyDescent="0.3">
      <c r="A1048" s="79">
        <v>42699</v>
      </c>
      <c r="B1048" s="5" t="s">
        <v>116</v>
      </c>
      <c r="C1048" s="92" t="s">
        <v>883</v>
      </c>
      <c r="D1048" s="43">
        <v>1000</v>
      </c>
      <c r="E1048" s="43"/>
      <c r="F1048" s="43" t="e">
        <f t="shared" si="16"/>
        <v>#N/A</v>
      </c>
      <c r="G1048" s="43"/>
      <c r="I1048" s="102"/>
      <c r="J1048" s="102"/>
    </row>
    <row r="1049" spans="1:10" x14ac:dyDescent="0.3">
      <c r="A1049" s="79">
        <v>42699</v>
      </c>
      <c r="B1049" s="5" t="s">
        <v>42</v>
      </c>
      <c r="C1049" s="92" t="s">
        <v>884</v>
      </c>
      <c r="D1049" s="43">
        <v>1000</v>
      </c>
      <c r="E1049" s="43"/>
      <c r="F1049" s="43" t="e">
        <f t="shared" si="16"/>
        <v>#N/A</v>
      </c>
      <c r="G1049" s="43"/>
      <c r="I1049" s="102"/>
      <c r="J1049" s="102"/>
    </row>
    <row r="1050" spans="1:10" x14ac:dyDescent="0.3">
      <c r="A1050" s="79">
        <v>42699</v>
      </c>
      <c r="B1050" s="5" t="s">
        <v>4</v>
      </c>
      <c r="C1050" s="92" t="s">
        <v>77</v>
      </c>
      <c r="D1050" s="43">
        <v>2000</v>
      </c>
      <c r="E1050" s="43"/>
      <c r="F1050" s="43" t="e">
        <f t="shared" si="16"/>
        <v>#N/A</v>
      </c>
      <c r="G1050" s="43"/>
      <c r="I1050" s="102"/>
      <c r="J1050" s="102"/>
    </row>
    <row r="1051" spans="1:10" x14ac:dyDescent="0.3">
      <c r="A1051" s="79">
        <v>42699</v>
      </c>
      <c r="B1051" s="5" t="s">
        <v>39</v>
      </c>
      <c r="C1051" s="92" t="s">
        <v>893</v>
      </c>
      <c r="D1051" s="43">
        <v>4500</v>
      </c>
      <c r="E1051" s="43"/>
      <c r="F1051" s="43" t="e">
        <f t="shared" si="16"/>
        <v>#N/A</v>
      </c>
      <c r="G1051" s="43"/>
      <c r="I1051" s="102"/>
      <c r="J1051" s="102"/>
    </row>
    <row r="1052" spans="1:10" x14ac:dyDescent="0.3">
      <c r="A1052" s="79">
        <v>42699</v>
      </c>
      <c r="B1052" s="5" t="s">
        <v>230</v>
      </c>
      <c r="C1052" s="92" t="s">
        <v>671</v>
      </c>
      <c r="D1052" s="65">
        <v>500</v>
      </c>
      <c r="E1052" s="43"/>
      <c r="F1052" s="43" t="e">
        <f t="shared" si="16"/>
        <v>#N/A</v>
      </c>
      <c r="G1052" s="43"/>
      <c r="I1052" s="102"/>
      <c r="J1052" s="102"/>
    </row>
    <row r="1053" spans="1:10" x14ac:dyDescent="0.3">
      <c r="A1053" s="79">
        <v>42699</v>
      </c>
      <c r="B1053" s="5" t="s">
        <v>154</v>
      </c>
      <c r="C1053" s="92" t="s">
        <v>886</v>
      </c>
      <c r="D1053" s="43">
        <v>2000</v>
      </c>
      <c r="E1053" s="43"/>
      <c r="F1053" s="43" t="e">
        <f t="shared" si="16"/>
        <v>#N/A</v>
      </c>
      <c r="G1053" s="43"/>
      <c r="I1053" s="102"/>
      <c r="J1053" s="102"/>
    </row>
    <row r="1054" spans="1:10" x14ac:dyDescent="0.3">
      <c r="A1054" s="79">
        <v>42700</v>
      </c>
      <c r="B1054" s="5" t="s">
        <v>16</v>
      </c>
      <c r="C1054" s="92" t="s">
        <v>887</v>
      </c>
      <c r="D1054" s="43">
        <v>1000</v>
      </c>
      <c r="E1054" s="43"/>
      <c r="F1054" s="43" t="e">
        <f t="shared" si="16"/>
        <v>#N/A</v>
      </c>
      <c r="G1054" s="43"/>
      <c r="I1054" s="102"/>
      <c r="J1054" s="102"/>
    </row>
    <row r="1055" spans="1:10" x14ac:dyDescent="0.3">
      <c r="A1055" s="79">
        <v>42700</v>
      </c>
      <c r="B1055" s="5" t="s">
        <v>230</v>
      </c>
      <c r="C1055" s="92" t="s">
        <v>77</v>
      </c>
      <c r="D1055" s="43">
        <v>200</v>
      </c>
      <c r="E1055" s="43"/>
      <c r="F1055" s="43" t="e">
        <f t="shared" si="16"/>
        <v>#N/A</v>
      </c>
      <c r="G1055" s="43"/>
      <c r="I1055" s="102"/>
      <c r="J1055" s="102"/>
    </row>
    <row r="1056" spans="1:10" x14ac:dyDescent="0.3">
      <c r="A1056" s="79">
        <v>42700</v>
      </c>
      <c r="B1056" s="5" t="s">
        <v>777</v>
      </c>
      <c r="C1056" s="92" t="s">
        <v>888</v>
      </c>
      <c r="D1056" s="43">
        <v>4500</v>
      </c>
      <c r="E1056" s="43"/>
      <c r="F1056" s="43" t="e">
        <f t="shared" si="16"/>
        <v>#N/A</v>
      </c>
      <c r="G1056" s="43"/>
      <c r="I1056" s="102"/>
      <c r="J1056" s="102"/>
    </row>
    <row r="1057" spans="1:10" x14ac:dyDescent="0.3">
      <c r="A1057" s="79">
        <v>42700</v>
      </c>
      <c r="B1057" s="5" t="s">
        <v>777</v>
      </c>
      <c r="C1057" s="92" t="s">
        <v>888</v>
      </c>
      <c r="D1057" s="43">
        <v>1500</v>
      </c>
      <c r="E1057" s="43"/>
      <c r="F1057" s="43" t="e">
        <f t="shared" si="16"/>
        <v>#N/A</v>
      </c>
      <c r="G1057" s="43"/>
      <c r="I1057" s="102"/>
      <c r="J1057" s="102"/>
    </row>
    <row r="1058" spans="1:10" x14ac:dyDescent="0.3">
      <c r="A1058" s="79">
        <v>42700</v>
      </c>
      <c r="B1058" s="5" t="s">
        <v>27</v>
      </c>
      <c r="C1058" s="92" t="s">
        <v>889</v>
      </c>
      <c r="D1058" s="65">
        <v>550</v>
      </c>
      <c r="E1058" s="43"/>
      <c r="F1058" s="43" t="e">
        <f t="shared" si="16"/>
        <v>#N/A</v>
      </c>
      <c r="G1058" s="43"/>
      <c r="I1058" s="102"/>
      <c r="J1058" s="102"/>
    </row>
    <row r="1059" spans="1:10" x14ac:dyDescent="0.3">
      <c r="A1059" s="79">
        <v>42700</v>
      </c>
      <c r="B1059" s="5" t="s">
        <v>160</v>
      </c>
      <c r="C1059" s="92" t="s">
        <v>891</v>
      </c>
      <c r="D1059" s="43">
        <v>5000</v>
      </c>
      <c r="E1059" s="43"/>
      <c r="F1059" s="43" t="e">
        <f t="shared" si="16"/>
        <v>#N/A</v>
      </c>
      <c r="G1059" s="43"/>
      <c r="I1059" s="102"/>
      <c r="J1059" s="102"/>
    </row>
    <row r="1060" spans="1:10" x14ac:dyDescent="0.3">
      <c r="A1060" s="79">
        <v>42702</v>
      </c>
      <c r="B1060" s="761" t="s">
        <v>895</v>
      </c>
      <c r="C1060" s="762"/>
      <c r="D1060" s="71"/>
      <c r="E1060" s="72">
        <v>50000</v>
      </c>
      <c r="F1060" s="43" t="e">
        <f t="shared" si="16"/>
        <v>#N/A</v>
      </c>
      <c r="G1060" s="43"/>
      <c r="I1060" s="102"/>
      <c r="J1060" s="102"/>
    </row>
    <row r="1061" spans="1:10" x14ac:dyDescent="0.3">
      <c r="A1061" s="79">
        <v>42702</v>
      </c>
      <c r="B1061" s="5" t="s">
        <v>120</v>
      </c>
      <c r="C1061" s="92" t="s">
        <v>294</v>
      </c>
      <c r="D1061" s="43">
        <v>25000</v>
      </c>
      <c r="E1061" s="43"/>
      <c r="F1061" s="43" t="e">
        <f t="shared" si="16"/>
        <v>#N/A</v>
      </c>
      <c r="G1061" s="43"/>
      <c r="J1061" s="102"/>
    </row>
    <row r="1062" spans="1:10" x14ac:dyDescent="0.3">
      <c r="A1062" s="79">
        <v>42702</v>
      </c>
      <c r="B1062" s="5" t="s">
        <v>25</v>
      </c>
      <c r="C1062" s="92" t="s">
        <v>892</v>
      </c>
      <c r="D1062" s="43">
        <f>50+24</f>
        <v>74</v>
      </c>
      <c r="E1062" s="43"/>
      <c r="F1062" s="43" t="e">
        <f t="shared" si="16"/>
        <v>#N/A</v>
      </c>
      <c r="G1062" s="43"/>
    </row>
    <row r="1063" spans="1:10" x14ac:dyDescent="0.3">
      <c r="A1063" s="79">
        <v>42702</v>
      </c>
      <c r="B1063" s="5" t="s">
        <v>25</v>
      </c>
      <c r="C1063" s="92" t="s">
        <v>894</v>
      </c>
      <c r="D1063" s="43">
        <v>500</v>
      </c>
      <c r="E1063" s="43"/>
      <c r="F1063" s="43" t="e">
        <f t="shared" si="16"/>
        <v>#N/A</v>
      </c>
      <c r="G1063" s="43"/>
    </row>
    <row r="1064" spans="1:10" x14ac:dyDescent="0.3">
      <c r="A1064" s="79">
        <v>42702</v>
      </c>
      <c r="B1064" s="5" t="s">
        <v>104</v>
      </c>
      <c r="C1064" s="92" t="s">
        <v>31</v>
      </c>
      <c r="D1064" s="43">
        <v>1000</v>
      </c>
      <c r="E1064" s="43"/>
      <c r="F1064" s="43" t="e">
        <f t="shared" si="16"/>
        <v>#N/A</v>
      </c>
      <c r="G1064" s="43"/>
    </row>
    <row r="1065" spans="1:10" x14ac:dyDescent="0.3">
      <c r="A1065" s="79">
        <v>42702</v>
      </c>
      <c r="B1065" s="5" t="s">
        <v>896</v>
      </c>
      <c r="C1065" s="92" t="s">
        <v>897</v>
      </c>
      <c r="D1065" s="43">
        <v>4500</v>
      </c>
      <c r="E1065" s="43"/>
      <c r="F1065" s="43" t="e">
        <f t="shared" si="16"/>
        <v>#N/A</v>
      </c>
      <c r="G1065" s="43"/>
    </row>
    <row r="1066" spans="1:10" x14ac:dyDescent="0.3">
      <c r="A1066" s="79">
        <v>42702</v>
      </c>
      <c r="B1066" s="5" t="s">
        <v>25</v>
      </c>
      <c r="C1066" s="92" t="s">
        <v>917</v>
      </c>
      <c r="D1066" s="43">
        <v>120</v>
      </c>
      <c r="E1066" s="43"/>
      <c r="F1066" s="43" t="e">
        <f t="shared" si="16"/>
        <v>#N/A</v>
      </c>
      <c r="G1066" s="43"/>
    </row>
    <row r="1067" spans="1:10" ht="37.5" x14ac:dyDescent="0.3">
      <c r="A1067" s="79">
        <v>42702</v>
      </c>
      <c r="B1067" s="5" t="s">
        <v>230</v>
      </c>
      <c r="C1067" s="92" t="s">
        <v>898</v>
      </c>
      <c r="D1067" s="43">
        <v>1000</v>
      </c>
      <c r="E1067" s="43"/>
      <c r="F1067" s="43" t="e">
        <f t="shared" si="16"/>
        <v>#N/A</v>
      </c>
      <c r="G1067" s="43"/>
    </row>
    <row r="1068" spans="1:10" x14ac:dyDescent="0.3">
      <c r="A1068" s="79">
        <v>42702</v>
      </c>
      <c r="B1068" s="5" t="s">
        <v>899</v>
      </c>
      <c r="C1068" s="5" t="s">
        <v>900</v>
      </c>
      <c r="D1068" s="43">
        <v>3250</v>
      </c>
      <c r="E1068" s="43"/>
      <c r="F1068" s="43" t="e">
        <f t="shared" si="16"/>
        <v>#N/A</v>
      </c>
      <c r="G1068" s="43"/>
    </row>
    <row r="1069" spans="1:10" x14ac:dyDescent="0.3">
      <c r="A1069" s="79">
        <v>42702</v>
      </c>
      <c r="B1069" s="5" t="s">
        <v>25</v>
      </c>
      <c r="C1069" s="5" t="s">
        <v>906</v>
      </c>
      <c r="D1069" s="43">
        <v>25</v>
      </c>
      <c r="E1069" s="43"/>
      <c r="F1069" s="43" t="e">
        <f t="shared" si="16"/>
        <v>#N/A</v>
      </c>
      <c r="G1069" s="43"/>
    </row>
    <row r="1070" spans="1:10" x14ac:dyDescent="0.3">
      <c r="A1070" s="79">
        <v>42703</v>
      </c>
      <c r="B1070" s="5" t="s">
        <v>4</v>
      </c>
      <c r="C1070" s="5" t="s">
        <v>31</v>
      </c>
      <c r="D1070" s="43">
        <v>500</v>
      </c>
      <c r="E1070" s="43"/>
      <c r="F1070" s="43" t="e">
        <f t="shared" si="16"/>
        <v>#N/A</v>
      </c>
      <c r="G1070" s="43"/>
    </row>
    <row r="1071" spans="1:10" x14ac:dyDescent="0.3">
      <c r="A1071" s="79">
        <v>42703</v>
      </c>
      <c r="B1071" s="5" t="s">
        <v>160</v>
      </c>
      <c r="C1071" s="5" t="s">
        <v>901</v>
      </c>
      <c r="D1071" s="43">
        <v>2000</v>
      </c>
      <c r="E1071" s="43"/>
      <c r="F1071" s="43" t="e">
        <f t="shared" si="16"/>
        <v>#N/A</v>
      </c>
      <c r="G1071" s="43"/>
    </row>
    <row r="1072" spans="1:10" x14ac:dyDescent="0.3">
      <c r="A1072" s="79">
        <v>42703</v>
      </c>
      <c r="B1072" s="5" t="s">
        <v>27</v>
      </c>
      <c r="C1072" s="5" t="s">
        <v>77</v>
      </c>
      <c r="D1072" s="43">
        <v>20</v>
      </c>
      <c r="E1072" s="43"/>
      <c r="F1072" s="43" t="e">
        <f t="shared" si="16"/>
        <v>#N/A</v>
      </c>
      <c r="G1072" s="43"/>
    </row>
    <row r="1073" spans="1:7" x14ac:dyDescent="0.3">
      <c r="A1073" s="79">
        <v>42703</v>
      </c>
      <c r="B1073" s="5" t="s">
        <v>541</v>
      </c>
      <c r="C1073" s="5" t="s">
        <v>31</v>
      </c>
      <c r="D1073" s="43">
        <v>5000</v>
      </c>
      <c r="E1073" s="43"/>
      <c r="F1073" s="43" t="e">
        <f t="shared" si="16"/>
        <v>#N/A</v>
      </c>
      <c r="G1073" s="43"/>
    </row>
    <row r="1074" spans="1:7" x14ac:dyDescent="0.3">
      <c r="A1074" s="79">
        <v>42703</v>
      </c>
      <c r="B1074" s="5" t="s">
        <v>116</v>
      </c>
      <c r="C1074" s="5" t="s">
        <v>903</v>
      </c>
      <c r="D1074" s="43">
        <v>3000</v>
      </c>
      <c r="E1074" s="43"/>
      <c r="F1074" s="43" t="e">
        <f t="shared" si="16"/>
        <v>#N/A</v>
      </c>
      <c r="G1074" s="43"/>
    </row>
    <row r="1075" spans="1:7" x14ac:dyDescent="0.3">
      <c r="A1075" s="79">
        <v>42703</v>
      </c>
      <c r="B1075" s="761" t="s">
        <v>919</v>
      </c>
      <c r="C1075" s="762"/>
      <c r="D1075" s="71"/>
      <c r="E1075" s="72">
        <v>50000</v>
      </c>
      <c r="F1075" s="43" t="e">
        <f t="shared" si="16"/>
        <v>#N/A</v>
      </c>
      <c r="G1075" s="43"/>
    </row>
    <row r="1076" spans="1:7" x14ac:dyDescent="0.3">
      <c r="A1076" s="79">
        <v>42705</v>
      </c>
      <c r="B1076" s="5" t="s">
        <v>160</v>
      </c>
      <c r="C1076" s="5" t="s">
        <v>991</v>
      </c>
      <c r="D1076" s="43">
        <v>25000</v>
      </c>
      <c r="E1076" s="43"/>
      <c r="F1076" s="43" t="e">
        <f t="shared" si="16"/>
        <v>#N/A</v>
      </c>
      <c r="G1076" s="43"/>
    </row>
    <row r="1077" spans="1:7" x14ac:dyDescent="0.3">
      <c r="A1077" s="79">
        <v>42705</v>
      </c>
      <c r="B1077" s="5" t="s">
        <v>902</v>
      </c>
      <c r="C1077" s="5" t="s">
        <v>905</v>
      </c>
      <c r="D1077" s="65">
        <v>1630</v>
      </c>
      <c r="E1077" s="43"/>
      <c r="F1077" s="43" t="e">
        <f t="shared" si="16"/>
        <v>#N/A</v>
      </c>
      <c r="G1077" s="43"/>
    </row>
    <row r="1078" spans="1:7" x14ac:dyDescent="0.3">
      <c r="A1078" s="79">
        <v>42705</v>
      </c>
      <c r="B1078" s="5" t="s">
        <v>25</v>
      </c>
      <c r="C1078" s="5" t="s">
        <v>904</v>
      </c>
      <c r="D1078" s="43">
        <v>850</v>
      </c>
      <c r="E1078" s="43"/>
      <c r="F1078" s="43" t="e">
        <f t="shared" si="16"/>
        <v>#N/A</v>
      </c>
      <c r="G1078" s="43"/>
    </row>
    <row r="1079" spans="1:7" x14ac:dyDescent="0.3">
      <c r="A1079" s="79">
        <v>42705</v>
      </c>
      <c r="B1079" s="5" t="s">
        <v>25</v>
      </c>
      <c r="C1079" s="5" t="s">
        <v>907</v>
      </c>
      <c r="D1079" s="43">
        <v>140</v>
      </c>
      <c r="E1079" s="43"/>
      <c r="F1079" s="43" t="e">
        <f t="shared" si="16"/>
        <v>#N/A</v>
      </c>
      <c r="G1079" s="43"/>
    </row>
    <row r="1080" spans="1:7" x14ac:dyDescent="0.3">
      <c r="A1080" s="79">
        <v>42705</v>
      </c>
      <c r="B1080" s="5" t="s">
        <v>53</v>
      </c>
      <c r="C1080" s="5" t="s">
        <v>908</v>
      </c>
      <c r="D1080" s="43">
        <v>150</v>
      </c>
      <c r="E1080" s="43"/>
      <c r="F1080" s="43" t="e">
        <f t="shared" si="16"/>
        <v>#N/A</v>
      </c>
      <c r="G1080" s="43"/>
    </row>
    <row r="1081" spans="1:7" x14ac:dyDescent="0.3">
      <c r="A1081" s="79">
        <v>42705</v>
      </c>
      <c r="B1081" s="5" t="s">
        <v>395</v>
      </c>
      <c r="C1081" s="5" t="s">
        <v>910</v>
      </c>
      <c r="D1081" s="65">
        <v>200</v>
      </c>
      <c r="E1081" s="43"/>
      <c r="F1081" s="43" t="e">
        <f t="shared" si="16"/>
        <v>#N/A</v>
      </c>
      <c r="G1081" s="43"/>
    </row>
    <row r="1082" spans="1:7" x14ac:dyDescent="0.3">
      <c r="A1082" s="79">
        <v>42705</v>
      </c>
      <c r="F1082" s="43" t="e">
        <f t="shared" si="16"/>
        <v>#N/A</v>
      </c>
      <c r="G1082" s="43"/>
    </row>
    <row r="1083" spans="1:7" x14ac:dyDescent="0.3">
      <c r="A1083" s="79">
        <v>42705</v>
      </c>
      <c r="B1083" s="359" t="s">
        <v>920</v>
      </c>
      <c r="C1083" s="360"/>
      <c r="D1083" s="71"/>
      <c r="E1083" s="72">
        <v>50000</v>
      </c>
      <c r="F1083" s="43" t="e">
        <f t="shared" si="16"/>
        <v>#N/A</v>
      </c>
      <c r="G1083" s="43"/>
    </row>
    <row r="1084" spans="1:7" x14ac:dyDescent="0.3">
      <c r="A1084" s="79">
        <v>42705</v>
      </c>
      <c r="B1084" s="5" t="s">
        <v>27</v>
      </c>
      <c r="C1084" s="5" t="s">
        <v>31</v>
      </c>
      <c r="D1084" s="65">
        <v>3500</v>
      </c>
      <c r="E1084" s="43"/>
      <c r="F1084" s="43" t="e">
        <f t="shared" si="16"/>
        <v>#N/A</v>
      </c>
      <c r="G1084" s="43"/>
    </row>
    <row r="1085" spans="1:7" x14ac:dyDescent="0.3">
      <c r="A1085" s="79">
        <v>42705</v>
      </c>
      <c r="B1085" s="107" t="s">
        <v>70</v>
      </c>
      <c r="C1085" s="107"/>
      <c r="D1085" s="65">
        <v>1000</v>
      </c>
      <c r="E1085" s="43"/>
      <c r="F1085" s="43" t="e">
        <f t="shared" si="16"/>
        <v>#N/A</v>
      </c>
      <c r="G1085" s="43"/>
    </row>
    <row r="1086" spans="1:7" x14ac:dyDescent="0.3">
      <c r="A1086" s="79">
        <v>42705</v>
      </c>
      <c r="B1086" s="5" t="s">
        <v>445</v>
      </c>
      <c r="C1086" s="5" t="s">
        <v>923</v>
      </c>
      <c r="D1086" s="65">
        <v>13600</v>
      </c>
      <c r="E1086" s="43"/>
      <c r="F1086" s="43" t="e">
        <f t="shared" si="16"/>
        <v>#N/A</v>
      </c>
      <c r="G1086" s="43"/>
    </row>
    <row r="1087" spans="1:7" x14ac:dyDescent="0.3">
      <c r="A1087" s="79">
        <v>42705</v>
      </c>
      <c r="B1087" s="5" t="s">
        <v>445</v>
      </c>
      <c r="C1087" s="5" t="s">
        <v>924</v>
      </c>
      <c r="D1087" s="65">
        <v>19740</v>
      </c>
      <c r="E1087" s="43"/>
      <c r="F1087" s="43" t="e">
        <f t="shared" si="16"/>
        <v>#N/A</v>
      </c>
      <c r="G1087" s="43"/>
    </row>
    <row r="1088" spans="1:7" x14ac:dyDescent="0.3">
      <c r="A1088" s="79">
        <v>42705</v>
      </c>
      <c r="B1088" s="5" t="s">
        <v>911</v>
      </c>
      <c r="C1088" s="5" t="s">
        <v>55</v>
      </c>
      <c r="D1088" s="65">
        <v>20000</v>
      </c>
      <c r="E1088" s="43"/>
      <c r="F1088" s="43" t="e">
        <f t="shared" si="16"/>
        <v>#N/A</v>
      </c>
      <c r="G1088" s="43"/>
    </row>
    <row r="1089" spans="1:7" x14ac:dyDescent="0.3">
      <c r="A1089" s="79">
        <v>42705</v>
      </c>
      <c r="B1089" s="5" t="s">
        <v>282</v>
      </c>
      <c r="C1089" s="5" t="s">
        <v>40</v>
      </c>
      <c r="D1089" s="43">
        <v>10000</v>
      </c>
      <c r="E1089" s="43"/>
      <c r="F1089" s="43" t="e">
        <f t="shared" si="16"/>
        <v>#N/A</v>
      </c>
      <c r="G1089" s="43"/>
    </row>
    <row r="1090" spans="1:7" x14ac:dyDescent="0.3">
      <c r="A1090" s="79">
        <v>42706</v>
      </c>
      <c r="B1090" s="761" t="s">
        <v>918</v>
      </c>
      <c r="C1090" s="762"/>
      <c r="D1090" s="71"/>
      <c r="E1090" s="72">
        <v>25000</v>
      </c>
      <c r="F1090" s="43" t="e">
        <f t="shared" si="16"/>
        <v>#N/A</v>
      </c>
      <c r="G1090" s="43"/>
    </row>
    <row r="1091" spans="1:7" x14ac:dyDescent="0.3">
      <c r="A1091" s="79">
        <v>42706</v>
      </c>
      <c r="B1091" s="5" t="s">
        <v>912</v>
      </c>
      <c r="C1091" s="5" t="s">
        <v>40</v>
      </c>
      <c r="D1091" s="43">
        <v>20000</v>
      </c>
      <c r="E1091" s="43"/>
      <c r="F1091" s="43" t="e">
        <f t="shared" ref="F1091:F1154" si="17">F1090-D1091+E1091</f>
        <v>#N/A</v>
      </c>
      <c r="G1091" s="43"/>
    </row>
    <row r="1092" spans="1:7" x14ac:dyDescent="0.3">
      <c r="A1092" s="79">
        <v>42706</v>
      </c>
      <c r="B1092" s="5" t="s">
        <v>230</v>
      </c>
      <c r="C1092" s="5" t="s">
        <v>30</v>
      </c>
      <c r="D1092" s="65">
        <v>50</v>
      </c>
      <c r="E1092" s="43"/>
      <c r="F1092" s="43" t="e">
        <f t="shared" si="17"/>
        <v>#N/A</v>
      </c>
      <c r="G1092" s="43"/>
    </row>
    <row r="1093" spans="1:7" x14ac:dyDescent="0.3">
      <c r="A1093" s="79">
        <v>42706</v>
      </c>
      <c r="B1093" s="5" t="s">
        <v>25</v>
      </c>
      <c r="C1093" s="5" t="s">
        <v>913</v>
      </c>
      <c r="D1093" s="43">
        <v>1500</v>
      </c>
      <c r="E1093" s="43"/>
      <c r="F1093" s="43" t="e">
        <f t="shared" si="17"/>
        <v>#N/A</v>
      </c>
      <c r="G1093" s="43"/>
    </row>
    <row r="1094" spans="1:7" x14ac:dyDescent="0.3">
      <c r="A1094" s="79">
        <v>42706</v>
      </c>
      <c r="B1094" s="5" t="s">
        <v>777</v>
      </c>
      <c r="C1094" s="5" t="s">
        <v>914</v>
      </c>
      <c r="D1094" s="43">
        <v>3000</v>
      </c>
      <c r="E1094" s="43"/>
      <c r="F1094" s="43" t="e">
        <f t="shared" si="17"/>
        <v>#N/A</v>
      </c>
      <c r="G1094" s="43"/>
    </row>
    <row r="1095" spans="1:7" ht="37.5" x14ac:dyDescent="0.3">
      <c r="A1095" s="117">
        <v>42706</v>
      </c>
      <c r="B1095" s="98" t="s">
        <v>120</v>
      </c>
      <c r="C1095" s="99" t="s">
        <v>1028</v>
      </c>
      <c r="D1095" s="100"/>
      <c r="E1095" s="100"/>
      <c r="F1095" s="43" t="e">
        <f t="shared" si="17"/>
        <v>#N/A</v>
      </c>
      <c r="G1095" s="100"/>
    </row>
    <row r="1096" spans="1:7" ht="56.25" x14ac:dyDescent="0.3">
      <c r="A1096" s="79">
        <v>42706</v>
      </c>
      <c r="B1096" s="5" t="s">
        <v>915</v>
      </c>
      <c r="C1096" s="92" t="s">
        <v>916</v>
      </c>
      <c r="D1096" s="43">
        <v>820</v>
      </c>
      <c r="E1096" s="43"/>
      <c r="F1096" s="43" t="e">
        <f t="shared" si="17"/>
        <v>#N/A</v>
      </c>
      <c r="G1096" s="43"/>
    </row>
    <row r="1097" spans="1:7" x14ac:dyDescent="0.3">
      <c r="A1097" s="79">
        <v>42706</v>
      </c>
      <c r="B1097" s="5" t="s">
        <v>230</v>
      </c>
      <c r="C1097" s="5" t="s">
        <v>1018</v>
      </c>
      <c r="D1097" s="65">
        <v>3000</v>
      </c>
      <c r="E1097" s="43"/>
      <c r="F1097" s="43" t="e">
        <f t="shared" si="17"/>
        <v>#N/A</v>
      </c>
      <c r="G1097" s="43"/>
    </row>
    <row r="1098" spans="1:7" x14ac:dyDescent="0.3">
      <c r="A1098" s="79">
        <v>42706</v>
      </c>
      <c r="B1098" s="5" t="s">
        <v>230</v>
      </c>
      <c r="C1098" s="5" t="s">
        <v>974</v>
      </c>
      <c r="D1098" s="65">
        <v>7000</v>
      </c>
      <c r="E1098" s="43"/>
      <c r="F1098" s="43" t="e">
        <f t="shared" si="17"/>
        <v>#N/A</v>
      </c>
      <c r="G1098" s="43"/>
    </row>
    <row r="1099" spans="1:7" x14ac:dyDescent="0.3">
      <c r="A1099" s="79">
        <v>42706</v>
      </c>
      <c r="B1099" s="5" t="s">
        <v>230</v>
      </c>
      <c r="C1099" s="5" t="s">
        <v>975</v>
      </c>
      <c r="D1099" s="65">
        <v>500</v>
      </c>
      <c r="E1099" s="43"/>
      <c r="F1099" s="43" t="e">
        <f t="shared" si="17"/>
        <v>#N/A</v>
      </c>
      <c r="G1099" s="43"/>
    </row>
    <row r="1100" spans="1:7" x14ac:dyDescent="0.3">
      <c r="A1100" s="79">
        <v>42706</v>
      </c>
      <c r="B1100" s="5" t="s">
        <v>230</v>
      </c>
      <c r="C1100" s="5" t="s">
        <v>976</v>
      </c>
      <c r="D1100" s="65">
        <v>500</v>
      </c>
      <c r="E1100" s="43"/>
      <c r="F1100" s="43" t="e">
        <f t="shared" si="17"/>
        <v>#N/A</v>
      </c>
      <c r="G1100" s="43"/>
    </row>
    <row r="1101" spans="1:7" x14ac:dyDescent="0.3">
      <c r="A1101" s="79">
        <v>42706</v>
      </c>
      <c r="B1101" s="5" t="s">
        <v>230</v>
      </c>
      <c r="C1101" s="5" t="s">
        <v>977</v>
      </c>
      <c r="D1101" s="65">
        <v>100</v>
      </c>
      <c r="E1101" s="43"/>
      <c r="F1101" s="43" t="e">
        <f t="shared" si="17"/>
        <v>#N/A</v>
      </c>
      <c r="G1101" s="43"/>
    </row>
    <row r="1102" spans="1:7" x14ac:dyDescent="0.3">
      <c r="A1102" s="79">
        <v>42706</v>
      </c>
      <c r="B1102" s="5" t="s">
        <v>230</v>
      </c>
      <c r="C1102" s="5" t="s">
        <v>978</v>
      </c>
      <c r="D1102" s="65">
        <v>100</v>
      </c>
      <c r="E1102" s="43"/>
      <c r="F1102" s="43" t="e">
        <f t="shared" si="17"/>
        <v>#N/A</v>
      </c>
      <c r="G1102" s="43"/>
    </row>
    <row r="1103" spans="1:7" x14ac:dyDescent="0.3">
      <c r="A1103" s="79">
        <v>42706</v>
      </c>
      <c r="B1103" s="5" t="s">
        <v>541</v>
      </c>
      <c r="C1103" s="5" t="s">
        <v>922</v>
      </c>
      <c r="D1103" s="43">
        <v>5000</v>
      </c>
      <c r="E1103" s="43"/>
      <c r="F1103" s="43" t="e">
        <f t="shared" si="17"/>
        <v>#N/A</v>
      </c>
      <c r="G1103" s="43"/>
    </row>
    <row r="1104" spans="1:7" x14ac:dyDescent="0.3">
      <c r="A1104" s="79">
        <v>42706</v>
      </c>
      <c r="B1104" s="5" t="s">
        <v>25</v>
      </c>
      <c r="C1104" s="5" t="s">
        <v>921</v>
      </c>
      <c r="D1104" s="43">
        <v>50</v>
      </c>
      <c r="E1104" s="43"/>
      <c r="F1104" s="43" t="e">
        <f t="shared" si="17"/>
        <v>#N/A</v>
      </c>
      <c r="G1104" s="43"/>
    </row>
    <row r="1105" spans="1:7" x14ac:dyDescent="0.3">
      <c r="A1105" s="79">
        <v>42707</v>
      </c>
      <c r="B1105" s="5" t="s">
        <v>247</v>
      </c>
      <c r="C1105" s="5" t="s">
        <v>1006</v>
      </c>
      <c r="D1105" s="65">
        <v>140</v>
      </c>
      <c r="E1105" s="65"/>
      <c r="F1105" s="43" t="e">
        <f t="shared" si="17"/>
        <v>#N/A</v>
      </c>
      <c r="G1105" s="43"/>
    </row>
    <row r="1106" spans="1:7" x14ac:dyDescent="0.3">
      <c r="A1106" s="79">
        <v>42707</v>
      </c>
      <c r="B1106" s="5" t="s">
        <v>116</v>
      </c>
      <c r="C1106" s="5" t="s">
        <v>669</v>
      </c>
      <c r="D1106" s="43">
        <v>2000</v>
      </c>
      <c r="E1106" s="43"/>
      <c r="F1106" s="43" t="e">
        <f t="shared" si="17"/>
        <v>#N/A</v>
      </c>
      <c r="G1106" s="43"/>
    </row>
    <row r="1107" spans="1:7" x14ac:dyDescent="0.3">
      <c r="A1107" s="79">
        <v>42707</v>
      </c>
      <c r="B1107" s="5" t="s">
        <v>445</v>
      </c>
      <c r="C1107" s="5" t="s">
        <v>31</v>
      </c>
      <c r="D1107" s="43">
        <v>660</v>
      </c>
      <c r="E1107" s="43"/>
      <c r="F1107" s="43" t="e">
        <f t="shared" si="17"/>
        <v>#N/A</v>
      </c>
      <c r="G1107" s="43"/>
    </row>
    <row r="1108" spans="1:7" x14ac:dyDescent="0.3">
      <c r="A1108" s="79">
        <v>42707</v>
      </c>
      <c r="B1108" s="5" t="s">
        <v>25</v>
      </c>
      <c r="C1108" s="5" t="s">
        <v>925</v>
      </c>
      <c r="D1108" s="43">
        <v>40</v>
      </c>
      <c r="E1108" s="43"/>
      <c r="F1108" s="43" t="e">
        <f t="shared" si="17"/>
        <v>#N/A</v>
      </c>
      <c r="G1108" s="43"/>
    </row>
    <row r="1109" spans="1:7" x14ac:dyDescent="0.3">
      <c r="A1109" s="79">
        <v>42707</v>
      </c>
      <c r="B1109" s="5" t="s">
        <v>25</v>
      </c>
      <c r="C1109" s="5" t="s">
        <v>931</v>
      </c>
      <c r="D1109" s="43">
        <v>70</v>
      </c>
      <c r="E1109" s="43"/>
      <c r="F1109" s="43" t="e">
        <f t="shared" si="17"/>
        <v>#N/A</v>
      </c>
      <c r="G1109" s="43"/>
    </row>
    <row r="1110" spans="1:7" x14ac:dyDescent="0.3">
      <c r="A1110" s="79">
        <v>42709</v>
      </c>
      <c r="B1110" s="5" t="s">
        <v>60</v>
      </c>
      <c r="C1110" s="5" t="s">
        <v>31</v>
      </c>
      <c r="D1110" s="43">
        <v>1500</v>
      </c>
      <c r="E1110" s="43"/>
      <c r="F1110" s="43" t="e">
        <f t="shared" si="17"/>
        <v>#N/A</v>
      </c>
      <c r="G1110" s="43"/>
    </row>
    <row r="1111" spans="1:7" x14ac:dyDescent="0.3">
      <c r="A1111" s="79">
        <v>42709</v>
      </c>
      <c r="B1111" s="5" t="s">
        <v>230</v>
      </c>
      <c r="C1111" s="5" t="s">
        <v>926</v>
      </c>
      <c r="D1111" s="43">
        <v>100</v>
      </c>
      <c r="E1111" s="43"/>
      <c r="F1111" s="43" t="e">
        <f t="shared" si="17"/>
        <v>#N/A</v>
      </c>
      <c r="G1111" s="43"/>
    </row>
    <row r="1112" spans="1:7" ht="37.5" x14ac:dyDescent="0.3">
      <c r="A1112" s="79">
        <v>42709</v>
      </c>
      <c r="B1112" s="5" t="s">
        <v>25</v>
      </c>
      <c r="C1112" s="92" t="s">
        <v>927</v>
      </c>
      <c r="D1112" s="43">
        <v>500</v>
      </c>
      <c r="E1112" s="43"/>
      <c r="F1112" s="43" t="e">
        <f t="shared" si="17"/>
        <v>#N/A</v>
      </c>
      <c r="G1112" s="43"/>
    </row>
    <row r="1113" spans="1:7" ht="37.5" x14ac:dyDescent="0.3">
      <c r="A1113" s="79">
        <v>42709</v>
      </c>
      <c r="B1113" s="5" t="s">
        <v>230</v>
      </c>
      <c r="C1113" s="92" t="s">
        <v>934</v>
      </c>
      <c r="D1113" s="65">
        <v>2200</v>
      </c>
      <c r="E1113" s="43"/>
      <c r="F1113" s="43" t="e">
        <f t="shared" si="17"/>
        <v>#N/A</v>
      </c>
      <c r="G1113" s="43"/>
    </row>
    <row r="1114" spans="1:7" x14ac:dyDescent="0.3">
      <c r="A1114" s="79">
        <v>42709</v>
      </c>
      <c r="B1114" s="5" t="s">
        <v>839</v>
      </c>
      <c r="C1114" s="5" t="s">
        <v>928</v>
      </c>
      <c r="D1114" s="43">
        <v>300</v>
      </c>
      <c r="E1114" s="43"/>
      <c r="F1114" s="43" t="e">
        <f t="shared" si="17"/>
        <v>#N/A</v>
      </c>
      <c r="G1114" s="43"/>
    </row>
    <row r="1115" spans="1:7" x14ac:dyDescent="0.3">
      <c r="A1115" s="79">
        <v>42709</v>
      </c>
      <c r="B1115" s="5" t="s">
        <v>25</v>
      </c>
      <c r="C1115" s="5" t="s">
        <v>932</v>
      </c>
      <c r="D1115" s="43">
        <v>250</v>
      </c>
      <c r="E1115" s="43"/>
      <c r="F1115" s="43" t="e">
        <f t="shared" si="17"/>
        <v>#N/A</v>
      </c>
      <c r="G1115" s="43"/>
    </row>
    <row r="1116" spans="1:7" x14ac:dyDescent="0.3">
      <c r="A1116" s="79">
        <v>42710</v>
      </c>
      <c r="B1116" s="5" t="s">
        <v>10</v>
      </c>
      <c r="C1116" s="5" t="s">
        <v>988</v>
      </c>
      <c r="D1116" s="43">
        <v>1000</v>
      </c>
      <c r="E1116" s="43"/>
      <c r="F1116" s="43" t="e">
        <f t="shared" si="17"/>
        <v>#N/A</v>
      </c>
      <c r="G1116" s="43"/>
    </row>
    <row r="1117" spans="1:7" x14ac:dyDescent="0.3">
      <c r="A1117" s="79">
        <v>42711</v>
      </c>
      <c r="B1117" s="5" t="s">
        <v>25</v>
      </c>
      <c r="C1117" s="5" t="s">
        <v>929</v>
      </c>
      <c r="D1117" s="43">
        <v>45</v>
      </c>
      <c r="E1117" s="43"/>
      <c r="F1117" s="43" t="e">
        <f t="shared" si="17"/>
        <v>#N/A</v>
      </c>
      <c r="G1117" s="43"/>
    </row>
    <row r="1118" spans="1:7" x14ac:dyDescent="0.3">
      <c r="A1118" s="79">
        <v>42711</v>
      </c>
      <c r="B1118" s="5" t="s">
        <v>25</v>
      </c>
      <c r="C1118" s="5" t="s">
        <v>930</v>
      </c>
      <c r="D1118" s="43">
        <v>50</v>
      </c>
      <c r="E1118" s="43"/>
      <c r="F1118" s="43" t="e">
        <f t="shared" si="17"/>
        <v>#N/A</v>
      </c>
      <c r="G1118" s="43"/>
    </row>
    <row r="1119" spans="1:7" x14ac:dyDescent="0.3">
      <c r="A1119" s="79">
        <v>42711</v>
      </c>
      <c r="B1119" s="5" t="s">
        <v>25</v>
      </c>
      <c r="C1119" s="5" t="s">
        <v>605</v>
      </c>
      <c r="D1119" s="43">
        <v>20</v>
      </c>
      <c r="E1119" s="43"/>
      <c r="F1119" s="43" t="e">
        <f t="shared" si="17"/>
        <v>#N/A</v>
      </c>
      <c r="G1119" s="43"/>
    </row>
    <row r="1120" spans="1:7" x14ac:dyDescent="0.3">
      <c r="A1120" s="79">
        <v>42711</v>
      </c>
      <c r="B1120" s="5" t="s">
        <v>116</v>
      </c>
      <c r="C1120" s="5" t="s">
        <v>933</v>
      </c>
      <c r="D1120" s="43">
        <v>100</v>
      </c>
      <c r="E1120" s="43"/>
      <c r="F1120" s="43" t="e">
        <f t="shared" si="17"/>
        <v>#N/A</v>
      </c>
      <c r="G1120" s="43"/>
    </row>
    <row r="1121" spans="1:7" x14ac:dyDescent="0.3">
      <c r="A1121" s="79">
        <v>42711</v>
      </c>
      <c r="B1121" s="761" t="s">
        <v>935</v>
      </c>
      <c r="C1121" s="762"/>
      <c r="D1121" s="71"/>
      <c r="E1121" s="72">
        <v>15000</v>
      </c>
      <c r="F1121" s="43" t="e">
        <f t="shared" si="17"/>
        <v>#N/A</v>
      </c>
      <c r="G1121" s="43"/>
    </row>
    <row r="1122" spans="1:7" x14ac:dyDescent="0.3">
      <c r="A1122" s="79">
        <v>42711</v>
      </c>
      <c r="B1122" s="359" t="s">
        <v>936</v>
      </c>
      <c r="C1122" s="360"/>
      <c r="D1122" s="71"/>
      <c r="E1122" s="72">
        <v>2418</v>
      </c>
      <c r="F1122" s="43" t="e">
        <f t="shared" si="17"/>
        <v>#N/A</v>
      </c>
      <c r="G1122" s="43"/>
    </row>
    <row r="1123" spans="1:7" x14ac:dyDescent="0.3">
      <c r="A1123" s="79">
        <v>42711</v>
      </c>
      <c r="B1123" s="5" t="s">
        <v>568</v>
      </c>
      <c r="C1123" s="5" t="s">
        <v>31</v>
      </c>
      <c r="D1123" s="65">
        <v>500</v>
      </c>
      <c r="E1123" s="43"/>
      <c r="F1123" s="43" t="e">
        <f t="shared" si="17"/>
        <v>#N/A</v>
      </c>
      <c r="G1123" s="43"/>
    </row>
    <row r="1124" spans="1:7" x14ac:dyDescent="0.3">
      <c r="A1124" s="79">
        <v>42711</v>
      </c>
      <c r="B1124" s="5" t="s">
        <v>5</v>
      </c>
      <c r="C1124" s="5" t="s">
        <v>31</v>
      </c>
      <c r="D1124" s="43">
        <v>8000</v>
      </c>
      <c r="E1124" s="43"/>
      <c r="F1124" s="43" t="e">
        <f t="shared" si="17"/>
        <v>#N/A</v>
      </c>
      <c r="G1124" s="43"/>
    </row>
    <row r="1125" spans="1:7" x14ac:dyDescent="0.3">
      <c r="A1125" s="79">
        <v>42711</v>
      </c>
      <c r="B1125" s="5" t="s">
        <v>25</v>
      </c>
      <c r="C1125" s="5" t="s">
        <v>937</v>
      </c>
      <c r="D1125" s="43">
        <v>1000</v>
      </c>
      <c r="E1125" s="43"/>
      <c r="F1125" s="43" t="e">
        <f t="shared" si="17"/>
        <v>#N/A</v>
      </c>
      <c r="G1125" s="43"/>
    </row>
    <row r="1126" spans="1:7" ht="37.5" x14ac:dyDescent="0.3">
      <c r="A1126" s="79">
        <v>42711</v>
      </c>
      <c r="B1126" s="5" t="s">
        <v>230</v>
      </c>
      <c r="C1126" s="92" t="s">
        <v>942</v>
      </c>
      <c r="D1126" s="65">
        <v>2200</v>
      </c>
      <c r="E1126" s="43"/>
      <c r="F1126" s="43" t="e">
        <f t="shared" si="17"/>
        <v>#N/A</v>
      </c>
      <c r="G1126" s="43"/>
    </row>
    <row r="1127" spans="1:7" x14ac:dyDescent="0.3">
      <c r="A1127" s="79">
        <v>42711</v>
      </c>
      <c r="B1127" s="5" t="s">
        <v>649</v>
      </c>
      <c r="C1127" s="5" t="s">
        <v>40</v>
      </c>
      <c r="D1127" s="65">
        <v>1400</v>
      </c>
      <c r="E1127" s="65"/>
      <c r="F1127" s="43" t="e">
        <f t="shared" si="17"/>
        <v>#N/A</v>
      </c>
      <c r="G1127" s="43"/>
    </row>
    <row r="1128" spans="1:7" ht="37.5" x14ac:dyDescent="0.3">
      <c r="A1128" s="79">
        <v>42711</v>
      </c>
      <c r="B1128" s="5" t="s">
        <v>4</v>
      </c>
      <c r="C1128" s="92" t="s">
        <v>941</v>
      </c>
      <c r="D1128" s="65">
        <v>250</v>
      </c>
      <c r="E1128" s="65"/>
      <c r="F1128" s="43" t="e">
        <f t="shared" si="17"/>
        <v>#N/A</v>
      </c>
      <c r="G1128" s="43"/>
    </row>
    <row r="1129" spans="1:7" x14ac:dyDescent="0.3">
      <c r="A1129" s="79">
        <v>42712</v>
      </c>
      <c r="B1129" s="5" t="s">
        <v>395</v>
      </c>
      <c r="C1129" s="5" t="s">
        <v>856</v>
      </c>
      <c r="D1129" s="43">
        <v>200</v>
      </c>
      <c r="E1129" s="43"/>
      <c r="F1129" s="43" t="e">
        <f t="shared" si="17"/>
        <v>#N/A</v>
      </c>
      <c r="G1129" s="43"/>
    </row>
    <row r="1130" spans="1:7" x14ac:dyDescent="0.3">
      <c r="A1130" s="79">
        <v>42712</v>
      </c>
      <c r="B1130" s="5" t="s">
        <v>39</v>
      </c>
      <c r="C1130" s="5" t="s">
        <v>31</v>
      </c>
      <c r="D1130" s="43">
        <v>1720</v>
      </c>
      <c r="E1130" s="43"/>
      <c r="F1130" s="43" t="e">
        <f t="shared" si="17"/>
        <v>#N/A</v>
      </c>
      <c r="G1130" s="43"/>
    </row>
    <row r="1131" spans="1:7" x14ac:dyDescent="0.3">
      <c r="A1131" s="79">
        <v>42712</v>
      </c>
      <c r="B1131" s="761" t="s">
        <v>950</v>
      </c>
      <c r="C1131" s="762"/>
      <c r="D1131" s="71"/>
      <c r="E1131" s="72">
        <v>25000</v>
      </c>
      <c r="F1131" s="43" t="e">
        <f t="shared" si="17"/>
        <v>#N/A</v>
      </c>
      <c r="G1131" s="43"/>
    </row>
    <row r="1132" spans="1:7" x14ac:dyDescent="0.3">
      <c r="A1132" s="79">
        <v>42712</v>
      </c>
      <c r="B1132" s="5" t="s">
        <v>25</v>
      </c>
      <c r="C1132" s="5" t="s">
        <v>938</v>
      </c>
      <c r="D1132" s="43">
        <v>490</v>
      </c>
      <c r="E1132" s="43"/>
      <c r="F1132" s="43" t="e">
        <f t="shared" si="17"/>
        <v>#N/A</v>
      </c>
      <c r="G1132" s="43"/>
    </row>
    <row r="1133" spans="1:7" x14ac:dyDescent="0.3">
      <c r="A1133" s="79">
        <v>42712</v>
      </c>
      <c r="B1133" s="5" t="s">
        <v>25</v>
      </c>
      <c r="C1133" s="5" t="s">
        <v>939</v>
      </c>
      <c r="D1133" s="43">
        <v>370</v>
      </c>
      <c r="E1133" s="43"/>
      <c r="F1133" s="43" t="e">
        <f t="shared" si="17"/>
        <v>#N/A</v>
      </c>
      <c r="G1133" s="43"/>
    </row>
    <row r="1134" spans="1:7" x14ac:dyDescent="0.3">
      <c r="A1134" s="79">
        <v>42712</v>
      </c>
      <c r="B1134" s="5" t="s">
        <v>777</v>
      </c>
      <c r="C1134" s="5" t="s">
        <v>940</v>
      </c>
      <c r="D1134" s="43">
        <v>1500</v>
      </c>
      <c r="E1134" s="43"/>
      <c r="F1134" s="43" t="e">
        <f t="shared" si="17"/>
        <v>#N/A</v>
      </c>
      <c r="G1134" s="43"/>
    </row>
    <row r="1135" spans="1:7" x14ac:dyDescent="0.3">
      <c r="A1135" s="79">
        <v>42712</v>
      </c>
      <c r="B1135" s="5" t="s">
        <v>777</v>
      </c>
      <c r="C1135" s="5" t="s">
        <v>40</v>
      </c>
      <c r="D1135" s="43">
        <v>1500</v>
      </c>
      <c r="E1135" s="43"/>
      <c r="F1135" s="43" t="e">
        <f t="shared" si="17"/>
        <v>#N/A</v>
      </c>
      <c r="G1135" s="43"/>
    </row>
    <row r="1136" spans="1:7" x14ac:dyDescent="0.3">
      <c r="A1136" s="79">
        <v>42712</v>
      </c>
      <c r="B1136" s="5" t="s">
        <v>27</v>
      </c>
      <c r="C1136" s="5" t="s">
        <v>31</v>
      </c>
      <c r="D1136" s="43">
        <v>16000</v>
      </c>
      <c r="E1136" s="43"/>
      <c r="F1136" s="43" t="e">
        <f t="shared" si="17"/>
        <v>#N/A</v>
      </c>
      <c r="G1136" s="43"/>
    </row>
    <row r="1137" spans="1:7" x14ac:dyDescent="0.3">
      <c r="A1137" s="79">
        <v>42712</v>
      </c>
      <c r="B1137" s="5" t="s">
        <v>154</v>
      </c>
      <c r="C1137" s="5" t="s">
        <v>31</v>
      </c>
      <c r="D1137" s="43">
        <v>2000</v>
      </c>
      <c r="E1137" s="43"/>
      <c r="F1137" s="43" t="e">
        <f t="shared" si="17"/>
        <v>#N/A</v>
      </c>
      <c r="G1137" s="43"/>
    </row>
    <row r="1138" spans="1:7" x14ac:dyDescent="0.3">
      <c r="A1138" s="79">
        <v>42712</v>
      </c>
      <c r="B1138" s="5" t="s">
        <v>16</v>
      </c>
      <c r="C1138" s="5" t="s">
        <v>31</v>
      </c>
      <c r="D1138" s="43">
        <v>500</v>
      </c>
      <c r="E1138" s="43"/>
      <c r="F1138" s="43" t="e">
        <f t="shared" si="17"/>
        <v>#N/A</v>
      </c>
      <c r="G1138" s="43"/>
    </row>
    <row r="1139" spans="1:7" x14ac:dyDescent="0.3">
      <c r="A1139" s="79">
        <v>42712</v>
      </c>
      <c r="B1139" s="5" t="s">
        <v>4</v>
      </c>
      <c r="C1139" s="5" t="s">
        <v>943</v>
      </c>
      <c r="D1139" s="43">
        <v>100</v>
      </c>
      <c r="E1139" s="43"/>
      <c r="F1139" s="43" t="e">
        <f t="shared" si="17"/>
        <v>#N/A</v>
      </c>
      <c r="G1139" s="43"/>
    </row>
    <row r="1140" spans="1:7" x14ac:dyDescent="0.3">
      <c r="A1140" s="79">
        <v>42712</v>
      </c>
      <c r="B1140" s="5" t="s">
        <v>945</v>
      </c>
      <c r="C1140" s="5" t="s">
        <v>944</v>
      </c>
      <c r="D1140" s="43">
        <v>240</v>
      </c>
      <c r="E1140" s="43"/>
      <c r="F1140" s="43" t="e">
        <f t="shared" si="17"/>
        <v>#N/A</v>
      </c>
      <c r="G1140" s="43"/>
    </row>
    <row r="1141" spans="1:7" x14ac:dyDescent="0.3">
      <c r="A1141" s="79">
        <v>42712</v>
      </c>
      <c r="B1141" s="5" t="s">
        <v>691</v>
      </c>
      <c r="C1141" s="5" t="s">
        <v>946</v>
      </c>
      <c r="D1141" s="65">
        <v>2350</v>
      </c>
      <c r="E1141" s="43"/>
      <c r="F1141" s="43" t="e">
        <f t="shared" si="17"/>
        <v>#N/A</v>
      </c>
      <c r="G1141" s="43"/>
    </row>
    <row r="1142" spans="1:7" x14ac:dyDescent="0.3">
      <c r="A1142" s="79">
        <v>42712</v>
      </c>
      <c r="B1142" s="5" t="s">
        <v>25</v>
      </c>
      <c r="C1142" s="5" t="s">
        <v>947</v>
      </c>
      <c r="D1142" s="43">
        <v>90</v>
      </c>
      <c r="E1142" s="43"/>
      <c r="F1142" s="43" t="e">
        <f t="shared" si="17"/>
        <v>#N/A</v>
      </c>
      <c r="G1142" s="43"/>
    </row>
    <row r="1143" spans="1:7" x14ac:dyDescent="0.3">
      <c r="A1143" s="79">
        <v>42712</v>
      </c>
      <c r="B1143" s="5" t="s">
        <v>230</v>
      </c>
      <c r="C1143" s="5" t="s">
        <v>956</v>
      </c>
      <c r="D1143" s="65">
        <v>1000</v>
      </c>
      <c r="E1143" s="43"/>
      <c r="F1143" s="43" t="e">
        <f t="shared" si="17"/>
        <v>#N/A</v>
      </c>
      <c r="G1143" s="43"/>
    </row>
    <row r="1144" spans="1:7" ht="37.5" x14ac:dyDescent="0.3">
      <c r="A1144" s="79">
        <v>42712</v>
      </c>
      <c r="B1144" s="5" t="s">
        <v>53</v>
      </c>
      <c r="C1144" s="92" t="s">
        <v>948</v>
      </c>
      <c r="D1144" s="43">
        <v>150</v>
      </c>
      <c r="E1144" s="43"/>
      <c r="F1144" s="43" t="e">
        <f t="shared" si="17"/>
        <v>#N/A</v>
      </c>
      <c r="G1144" s="43"/>
    </row>
    <row r="1145" spans="1:7" x14ac:dyDescent="0.3">
      <c r="A1145" s="79">
        <v>42713</v>
      </c>
      <c r="B1145" s="5" t="s">
        <v>154</v>
      </c>
      <c r="C1145" s="5" t="s">
        <v>31</v>
      </c>
      <c r="D1145" s="43">
        <v>5000</v>
      </c>
      <c r="E1145" s="43"/>
      <c r="F1145" s="43" t="e">
        <f t="shared" si="17"/>
        <v>#N/A</v>
      </c>
      <c r="G1145" s="43"/>
    </row>
    <row r="1146" spans="1:7" ht="37.5" x14ac:dyDescent="0.3">
      <c r="A1146" s="79">
        <v>42713</v>
      </c>
      <c r="B1146" s="5" t="s">
        <v>25</v>
      </c>
      <c r="C1146" s="92" t="s">
        <v>954</v>
      </c>
      <c r="D1146" s="65">
        <v>200</v>
      </c>
      <c r="E1146" s="43"/>
      <c r="F1146" s="43" t="e">
        <f t="shared" si="17"/>
        <v>#N/A</v>
      </c>
      <c r="G1146" s="43"/>
    </row>
    <row r="1147" spans="1:7" x14ac:dyDescent="0.3">
      <c r="A1147" s="79">
        <v>42713</v>
      </c>
      <c r="B1147" s="5" t="s">
        <v>25</v>
      </c>
      <c r="C1147" s="5" t="s">
        <v>953</v>
      </c>
      <c r="D1147" s="65">
        <v>40</v>
      </c>
      <c r="E1147" s="43"/>
      <c r="F1147" s="43" t="e">
        <f t="shared" si="17"/>
        <v>#N/A</v>
      </c>
      <c r="G1147" s="43"/>
    </row>
    <row r="1148" spans="1:7" x14ac:dyDescent="0.3">
      <c r="A1148" s="79">
        <v>42713</v>
      </c>
      <c r="B1148" s="5" t="s">
        <v>25</v>
      </c>
      <c r="C1148" s="5" t="s">
        <v>952</v>
      </c>
      <c r="D1148" s="65">
        <v>90</v>
      </c>
      <c r="E1148" s="43"/>
      <c r="F1148" s="43" t="e">
        <f t="shared" si="17"/>
        <v>#N/A</v>
      </c>
      <c r="G1148" s="43"/>
    </row>
    <row r="1149" spans="1:7" x14ac:dyDescent="0.3">
      <c r="A1149" s="79">
        <v>42713</v>
      </c>
      <c r="B1149" s="5" t="s">
        <v>25</v>
      </c>
      <c r="C1149" s="5" t="s">
        <v>955</v>
      </c>
      <c r="D1149" s="65">
        <v>50</v>
      </c>
      <c r="E1149" s="43"/>
      <c r="F1149" s="43" t="e">
        <f t="shared" si="17"/>
        <v>#N/A</v>
      </c>
      <c r="G1149" s="43"/>
    </row>
    <row r="1150" spans="1:7" ht="37.5" x14ac:dyDescent="0.3">
      <c r="A1150" s="117">
        <v>42714</v>
      </c>
      <c r="B1150" s="98" t="s">
        <v>120</v>
      </c>
      <c r="C1150" s="99" t="s">
        <v>1029</v>
      </c>
      <c r="D1150" s="100"/>
      <c r="E1150" s="100"/>
      <c r="F1150" s="43" t="e">
        <f t="shared" si="17"/>
        <v>#N/A</v>
      </c>
      <c r="G1150" s="100"/>
    </row>
    <row r="1151" spans="1:7" x14ac:dyDescent="0.3">
      <c r="A1151" s="79">
        <v>42714</v>
      </c>
      <c r="B1151" s="5" t="s">
        <v>116</v>
      </c>
      <c r="C1151" s="5" t="s">
        <v>31</v>
      </c>
      <c r="D1151" s="43">
        <v>2000</v>
      </c>
      <c r="E1151" s="43"/>
      <c r="F1151" s="43" t="e">
        <f t="shared" si="17"/>
        <v>#N/A</v>
      </c>
      <c r="G1151" s="43"/>
    </row>
    <row r="1152" spans="1:7" x14ac:dyDescent="0.3">
      <c r="A1152" s="79">
        <v>42714</v>
      </c>
      <c r="B1152" s="5" t="s">
        <v>164</v>
      </c>
      <c r="C1152" s="5" t="s">
        <v>949</v>
      </c>
      <c r="D1152" s="43">
        <v>2000</v>
      </c>
      <c r="E1152" s="43"/>
      <c r="F1152" s="43" t="e">
        <f t="shared" si="17"/>
        <v>#N/A</v>
      </c>
      <c r="G1152" s="43"/>
    </row>
    <row r="1153" spans="1:10" x14ac:dyDescent="0.3">
      <c r="A1153" s="79">
        <v>42714</v>
      </c>
      <c r="B1153" s="5" t="s">
        <v>156</v>
      </c>
      <c r="C1153" s="5" t="s">
        <v>31</v>
      </c>
      <c r="D1153" s="43">
        <v>2000</v>
      </c>
      <c r="E1153" s="43"/>
      <c r="F1153" s="43" t="e">
        <f t="shared" si="17"/>
        <v>#N/A</v>
      </c>
      <c r="G1153" s="43"/>
    </row>
    <row r="1154" spans="1:10" x14ac:dyDescent="0.3">
      <c r="A1154" s="79">
        <v>42714</v>
      </c>
      <c r="B1154" s="5" t="s">
        <v>27</v>
      </c>
      <c r="C1154" s="5" t="s">
        <v>951</v>
      </c>
      <c r="D1154" s="43">
        <v>100</v>
      </c>
      <c r="E1154" s="43"/>
      <c r="F1154" s="43" t="e">
        <f t="shared" si="17"/>
        <v>#N/A</v>
      </c>
      <c r="G1154" s="43"/>
    </row>
    <row r="1155" spans="1:10" x14ac:dyDescent="0.3">
      <c r="A1155" s="79">
        <v>42714</v>
      </c>
      <c r="B1155" s="5" t="s">
        <v>25</v>
      </c>
      <c r="C1155" s="5" t="s">
        <v>957</v>
      </c>
      <c r="D1155" s="43">
        <v>70</v>
      </c>
      <c r="E1155" s="43"/>
      <c r="F1155" s="43" t="e">
        <f t="shared" ref="F1155:F1218" si="18">F1154-D1155+E1155</f>
        <v>#N/A</v>
      </c>
      <c r="G1155" s="43"/>
    </row>
    <row r="1156" spans="1:10" x14ac:dyDescent="0.3">
      <c r="A1156" s="79">
        <v>42714</v>
      </c>
      <c r="B1156" s="5" t="s">
        <v>230</v>
      </c>
      <c r="C1156" s="5" t="s">
        <v>969</v>
      </c>
      <c r="D1156" s="65">
        <v>100</v>
      </c>
      <c r="E1156" s="43"/>
      <c r="F1156" s="43" t="e">
        <f t="shared" si="18"/>
        <v>#N/A</v>
      </c>
      <c r="G1156" s="43"/>
    </row>
    <row r="1157" spans="1:10" x14ac:dyDescent="0.3">
      <c r="A1157" s="79">
        <v>42714</v>
      </c>
      <c r="B1157" s="5" t="s">
        <v>25</v>
      </c>
      <c r="C1157" s="5" t="s">
        <v>958</v>
      </c>
      <c r="D1157" s="43">
        <v>80</v>
      </c>
      <c r="E1157" s="43"/>
      <c r="F1157" s="43" t="e">
        <f t="shared" si="18"/>
        <v>#N/A</v>
      </c>
      <c r="G1157" s="43"/>
      <c r="H1157" s="102"/>
      <c r="I1157" s="102"/>
      <c r="J1157" s="102"/>
    </row>
    <row r="1158" spans="1:10" x14ac:dyDescent="0.3">
      <c r="A1158" s="79">
        <v>42714</v>
      </c>
      <c r="B1158" s="761" t="s">
        <v>968</v>
      </c>
      <c r="C1158" s="762"/>
      <c r="D1158" s="71"/>
      <c r="E1158" s="72">
        <v>50000</v>
      </c>
      <c r="F1158" s="43" t="e">
        <f t="shared" si="18"/>
        <v>#N/A</v>
      </c>
      <c r="G1158" s="43"/>
    </row>
    <row r="1159" spans="1:10" x14ac:dyDescent="0.3">
      <c r="A1159" s="79">
        <v>42714</v>
      </c>
      <c r="B1159" s="110" t="s">
        <v>777</v>
      </c>
      <c r="C1159" s="116" t="s">
        <v>990</v>
      </c>
      <c r="D1159" s="112">
        <v>3000</v>
      </c>
      <c r="E1159" s="118"/>
      <c r="F1159" s="43" t="e">
        <f t="shared" si="18"/>
        <v>#N/A</v>
      </c>
      <c r="G1159" s="65"/>
    </row>
    <row r="1160" spans="1:10" x14ac:dyDescent="0.3">
      <c r="A1160" s="79">
        <v>42717</v>
      </c>
      <c r="B1160" s="5" t="s">
        <v>395</v>
      </c>
      <c r="C1160" s="5" t="s">
        <v>971</v>
      </c>
      <c r="D1160" s="65">
        <v>200</v>
      </c>
      <c r="E1160" s="43"/>
      <c r="F1160" s="43" t="e">
        <f t="shared" si="18"/>
        <v>#N/A</v>
      </c>
      <c r="G1160" s="43"/>
    </row>
    <row r="1161" spans="1:10" x14ac:dyDescent="0.3">
      <c r="A1161" s="79">
        <v>42717</v>
      </c>
      <c r="B1161" s="5" t="s">
        <v>156</v>
      </c>
      <c r="C1161" s="5" t="s">
        <v>987</v>
      </c>
      <c r="D1161" s="43">
        <v>1000</v>
      </c>
      <c r="E1161" s="43"/>
      <c r="F1161" s="43" t="e">
        <f t="shared" si="18"/>
        <v>#N/A</v>
      </c>
      <c r="G1161" s="43"/>
    </row>
    <row r="1162" spans="1:10" x14ac:dyDescent="0.3">
      <c r="A1162" s="79">
        <v>42717</v>
      </c>
      <c r="B1162" s="5" t="s">
        <v>42</v>
      </c>
      <c r="C1162" s="5" t="s">
        <v>31</v>
      </c>
      <c r="D1162" s="43">
        <v>2000</v>
      </c>
      <c r="E1162" s="43"/>
      <c r="F1162" s="43" t="e">
        <f t="shared" si="18"/>
        <v>#N/A</v>
      </c>
      <c r="G1162" s="43"/>
    </row>
    <row r="1163" spans="1:10" x14ac:dyDescent="0.3">
      <c r="A1163" s="79">
        <v>42717</v>
      </c>
      <c r="B1163" s="5" t="s">
        <v>960</v>
      </c>
      <c r="C1163" s="5" t="s">
        <v>959</v>
      </c>
      <c r="D1163" s="43">
        <v>5000</v>
      </c>
      <c r="E1163" s="43"/>
      <c r="F1163" s="43" t="e">
        <f t="shared" si="18"/>
        <v>#N/A</v>
      </c>
      <c r="G1163" s="43"/>
    </row>
    <row r="1164" spans="1:10" x14ac:dyDescent="0.3">
      <c r="A1164" s="79">
        <v>42717</v>
      </c>
      <c r="B1164" s="5" t="s">
        <v>961</v>
      </c>
      <c r="C1164" s="5" t="s">
        <v>40</v>
      </c>
      <c r="D1164" s="43">
        <v>15000</v>
      </c>
      <c r="E1164" s="43"/>
      <c r="F1164" s="43" t="e">
        <f t="shared" si="18"/>
        <v>#N/A</v>
      </c>
      <c r="G1164" s="43"/>
    </row>
    <row r="1165" spans="1:10" x14ac:dyDescent="0.3">
      <c r="A1165" s="79">
        <v>42717</v>
      </c>
      <c r="B1165" s="5" t="s">
        <v>282</v>
      </c>
      <c r="C1165" s="5" t="s">
        <v>962</v>
      </c>
      <c r="D1165" s="43">
        <v>15000</v>
      </c>
      <c r="E1165" s="43"/>
      <c r="F1165" s="43" t="e">
        <f t="shared" si="18"/>
        <v>#N/A</v>
      </c>
      <c r="G1165" s="43"/>
    </row>
    <row r="1166" spans="1:10" x14ac:dyDescent="0.3">
      <c r="A1166" s="79">
        <v>42717</v>
      </c>
      <c r="B1166" s="5" t="s">
        <v>164</v>
      </c>
      <c r="C1166" s="5" t="s">
        <v>31</v>
      </c>
      <c r="D1166" s="43">
        <v>20000</v>
      </c>
      <c r="E1166" s="43"/>
      <c r="F1166" s="43" t="e">
        <f t="shared" si="18"/>
        <v>#N/A</v>
      </c>
      <c r="G1166" s="43"/>
    </row>
    <row r="1167" spans="1:10" x14ac:dyDescent="0.3">
      <c r="A1167" s="79">
        <v>42719</v>
      </c>
      <c r="B1167" s="5" t="s">
        <v>25</v>
      </c>
      <c r="C1167" s="5" t="s">
        <v>965</v>
      </c>
      <c r="D1167" s="43">
        <v>70</v>
      </c>
      <c r="E1167" s="43"/>
      <c r="F1167" s="43" t="e">
        <f t="shared" si="18"/>
        <v>#N/A</v>
      </c>
      <c r="G1167" s="43"/>
    </row>
    <row r="1168" spans="1:10" x14ac:dyDescent="0.3">
      <c r="A1168" s="79">
        <v>42717</v>
      </c>
      <c r="B1168" s="5" t="s">
        <v>68</v>
      </c>
      <c r="C1168" s="5" t="s">
        <v>963</v>
      </c>
      <c r="D1168" s="43">
        <v>200</v>
      </c>
      <c r="E1168" s="43"/>
      <c r="F1168" s="43" t="e">
        <f t="shared" si="18"/>
        <v>#N/A</v>
      </c>
      <c r="G1168" s="43"/>
    </row>
    <row r="1169" spans="1:7" x14ac:dyDescent="0.3">
      <c r="A1169" s="79"/>
      <c r="B1169" s="761" t="s">
        <v>967</v>
      </c>
      <c r="C1169" s="762"/>
      <c r="D1169" s="71"/>
      <c r="E1169" s="72">
        <v>50000</v>
      </c>
      <c r="F1169" s="43" t="e">
        <f t="shared" si="18"/>
        <v>#N/A</v>
      </c>
      <c r="G1169" s="43"/>
    </row>
    <row r="1170" spans="1:7" x14ac:dyDescent="0.3">
      <c r="A1170" s="79">
        <v>42718</v>
      </c>
      <c r="B1170" s="5" t="s">
        <v>16</v>
      </c>
      <c r="C1170" s="5" t="s">
        <v>964</v>
      </c>
      <c r="D1170" s="65">
        <v>500</v>
      </c>
      <c r="E1170" s="43"/>
      <c r="F1170" s="43" t="e">
        <f t="shared" si="18"/>
        <v>#N/A</v>
      </c>
      <c r="G1170" s="43"/>
    </row>
    <row r="1171" spans="1:7" ht="37.5" x14ac:dyDescent="0.3">
      <c r="A1171" s="79">
        <v>42719</v>
      </c>
      <c r="B1171" s="5" t="s">
        <v>25</v>
      </c>
      <c r="C1171" s="92" t="s">
        <v>966</v>
      </c>
      <c r="D1171" s="43">
        <v>360</v>
      </c>
      <c r="E1171" s="43"/>
      <c r="F1171" s="43" t="e">
        <f t="shared" si="18"/>
        <v>#N/A</v>
      </c>
      <c r="G1171" s="43"/>
    </row>
    <row r="1172" spans="1:7" x14ac:dyDescent="0.3">
      <c r="A1172" s="79">
        <v>42718</v>
      </c>
      <c r="B1172" s="5" t="s">
        <v>154</v>
      </c>
      <c r="C1172" s="5" t="s">
        <v>31</v>
      </c>
      <c r="D1172" s="43">
        <v>2000</v>
      </c>
      <c r="E1172" s="43"/>
      <c r="F1172" s="43" t="e">
        <f t="shared" si="18"/>
        <v>#N/A</v>
      </c>
      <c r="G1172" s="43"/>
    </row>
    <row r="1173" spans="1:7" x14ac:dyDescent="0.3">
      <c r="A1173" s="79">
        <v>42718</v>
      </c>
      <c r="B1173" s="5" t="s">
        <v>230</v>
      </c>
      <c r="C1173" s="5" t="s">
        <v>973</v>
      </c>
      <c r="D1173" s="43">
        <v>7170</v>
      </c>
      <c r="E1173" s="43"/>
      <c r="F1173" s="43" t="e">
        <f t="shared" si="18"/>
        <v>#N/A</v>
      </c>
      <c r="G1173" s="43"/>
    </row>
    <row r="1174" spans="1:7" x14ac:dyDescent="0.3">
      <c r="A1174" s="79">
        <v>42718</v>
      </c>
      <c r="B1174" s="5" t="s">
        <v>120</v>
      </c>
      <c r="C1174" s="5" t="s">
        <v>972</v>
      </c>
      <c r="D1174" s="43">
        <v>150</v>
      </c>
      <c r="E1174" s="43"/>
      <c r="F1174" s="43" t="e">
        <f t="shared" si="18"/>
        <v>#N/A</v>
      </c>
      <c r="G1174" s="43"/>
    </row>
    <row r="1175" spans="1:7" x14ac:dyDescent="0.3">
      <c r="A1175" s="79">
        <v>42718</v>
      </c>
      <c r="B1175" s="5" t="s">
        <v>395</v>
      </c>
      <c r="C1175" s="5" t="s">
        <v>964</v>
      </c>
      <c r="D1175" s="43">
        <v>100</v>
      </c>
      <c r="E1175" s="43"/>
      <c r="F1175" s="43" t="e">
        <f t="shared" si="18"/>
        <v>#N/A</v>
      </c>
      <c r="G1175" s="43"/>
    </row>
    <row r="1176" spans="1:7" x14ac:dyDescent="0.3">
      <c r="A1176" s="79">
        <v>42719</v>
      </c>
      <c r="B1176" s="5" t="s">
        <v>160</v>
      </c>
      <c r="C1176" s="5" t="s">
        <v>970</v>
      </c>
      <c r="D1176" s="43">
        <v>10000</v>
      </c>
      <c r="E1176" s="43"/>
      <c r="F1176" s="43" t="e">
        <f t="shared" si="18"/>
        <v>#N/A</v>
      </c>
      <c r="G1176" s="43"/>
    </row>
    <row r="1177" spans="1:7" x14ac:dyDescent="0.3">
      <c r="A1177" s="79">
        <v>42719</v>
      </c>
      <c r="B1177" s="5" t="s">
        <v>395</v>
      </c>
      <c r="C1177" s="5" t="s">
        <v>964</v>
      </c>
      <c r="D1177" s="65">
        <v>100</v>
      </c>
      <c r="E1177" s="43"/>
      <c r="F1177" s="43" t="e">
        <f t="shared" si="18"/>
        <v>#N/A</v>
      </c>
      <c r="G1177" s="43"/>
    </row>
    <row r="1178" spans="1:7" x14ac:dyDescent="0.3">
      <c r="A1178" s="79">
        <v>42719</v>
      </c>
      <c r="B1178" s="5" t="s">
        <v>116</v>
      </c>
      <c r="C1178" s="5" t="s">
        <v>979</v>
      </c>
      <c r="D1178" s="43">
        <v>500</v>
      </c>
      <c r="E1178" s="43"/>
      <c r="F1178" s="43" t="e">
        <f t="shared" si="18"/>
        <v>#N/A</v>
      </c>
      <c r="G1178" s="43"/>
    </row>
    <row r="1179" spans="1:7" x14ac:dyDescent="0.3">
      <c r="A1179" s="79">
        <v>42719</v>
      </c>
      <c r="B1179" s="5" t="s">
        <v>116</v>
      </c>
      <c r="C1179" s="5" t="s">
        <v>980</v>
      </c>
      <c r="D1179" s="43">
        <v>200</v>
      </c>
      <c r="E1179" s="43"/>
      <c r="F1179" s="43" t="e">
        <f t="shared" si="18"/>
        <v>#N/A</v>
      </c>
      <c r="G1179" s="43"/>
    </row>
    <row r="1180" spans="1:7" x14ac:dyDescent="0.3">
      <c r="A1180" s="79">
        <v>42719</v>
      </c>
      <c r="B1180" s="5" t="s">
        <v>120</v>
      </c>
      <c r="C1180" s="5" t="s">
        <v>31</v>
      </c>
      <c r="D1180" s="43">
        <v>15000</v>
      </c>
      <c r="E1180" s="43"/>
      <c r="F1180" s="43" t="e">
        <f t="shared" si="18"/>
        <v>#N/A</v>
      </c>
      <c r="G1180" s="43"/>
    </row>
    <row r="1181" spans="1:7" x14ac:dyDescent="0.3">
      <c r="A1181" s="79">
        <v>42719</v>
      </c>
      <c r="B1181" s="5" t="s">
        <v>25</v>
      </c>
      <c r="C1181" s="5" t="s">
        <v>957</v>
      </c>
      <c r="D1181" s="43">
        <v>70</v>
      </c>
      <c r="E1181" s="43"/>
      <c r="F1181" s="43" t="e">
        <f t="shared" si="18"/>
        <v>#N/A</v>
      </c>
      <c r="G1181" s="43"/>
    </row>
    <row r="1182" spans="1:7" x14ac:dyDescent="0.3">
      <c r="A1182" s="79">
        <v>42719</v>
      </c>
      <c r="B1182" s="5" t="s">
        <v>25</v>
      </c>
      <c r="C1182" s="5" t="s">
        <v>981</v>
      </c>
      <c r="D1182" s="43">
        <v>30</v>
      </c>
      <c r="E1182" s="43"/>
      <c r="F1182" s="43" t="e">
        <f t="shared" si="18"/>
        <v>#N/A</v>
      </c>
      <c r="G1182" s="43"/>
    </row>
    <row r="1183" spans="1:7" x14ac:dyDescent="0.3">
      <c r="A1183" s="79">
        <v>42719</v>
      </c>
      <c r="B1183" s="5" t="s">
        <v>25</v>
      </c>
      <c r="C1183" s="5" t="s">
        <v>982</v>
      </c>
      <c r="D1183" s="43">
        <v>795</v>
      </c>
      <c r="E1183" s="43"/>
      <c r="F1183" s="43" t="e">
        <f t="shared" si="18"/>
        <v>#N/A</v>
      </c>
      <c r="G1183" s="43"/>
    </row>
    <row r="1184" spans="1:7" x14ac:dyDescent="0.3">
      <c r="A1184" s="79">
        <v>42719</v>
      </c>
      <c r="B1184" s="5" t="s">
        <v>777</v>
      </c>
      <c r="C1184" s="5" t="s">
        <v>983</v>
      </c>
      <c r="D1184" s="43">
        <v>3000</v>
      </c>
      <c r="E1184" s="43"/>
      <c r="F1184" s="43" t="e">
        <f t="shared" si="18"/>
        <v>#N/A</v>
      </c>
      <c r="G1184" s="43"/>
    </row>
    <row r="1185" spans="1:10" ht="37.5" x14ac:dyDescent="0.3">
      <c r="A1185" s="79">
        <v>42720</v>
      </c>
      <c r="B1185" s="5" t="s">
        <v>76</v>
      </c>
      <c r="C1185" s="92" t="s">
        <v>1017</v>
      </c>
      <c r="D1185" s="65">
        <v>2330</v>
      </c>
      <c r="E1185" s="43"/>
      <c r="F1185" s="43" t="e">
        <f t="shared" si="18"/>
        <v>#N/A</v>
      </c>
      <c r="G1185" s="43"/>
    </row>
    <row r="1186" spans="1:10" x14ac:dyDescent="0.3">
      <c r="A1186" s="79">
        <v>42720</v>
      </c>
      <c r="B1186" s="5" t="s">
        <v>27</v>
      </c>
      <c r="C1186" s="5" t="s">
        <v>31</v>
      </c>
      <c r="D1186" s="43">
        <v>3000</v>
      </c>
      <c r="E1186" s="43"/>
      <c r="F1186" s="43" t="e">
        <f t="shared" si="18"/>
        <v>#N/A</v>
      </c>
      <c r="G1186" s="43"/>
    </row>
    <row r="1187" spans="1:10" x14ac:dyDescent="0.3">
      <c r="A1187" s="79">
        <v>42720</v>
      </c>
      <c r="B1187" s="5" t="s">
        <v>116</v>
      </c>
      <c r="C1187" s="5" t="s">
        <v>31</v>
      </c>
      <c r="D1187" s="43">
        <v>600</v>
      </c>
      <c r="E1187" s="43"/>
      <c r="F1187" s="43" t="e">
        <f t="shared" si="18"/>
        <v>#N/A</v>
      </c>
      <c r="G1187" s="43"/>
    </row>
    <row r="1188" spans="1:10" x14ac:dyDescent="0.3">
      <c r="A1188" s="79">
        <v>42719</v>
      </c>
      <c r="B1188" s="5" t="s">
        <v>25</v>
      </c>
      <c r="C1188" s="5" t="s">
        <v>984</v>
      </c>
      <c r="D1188" s="43">
        <v>90</v>
      </c>
      <c r="E1188" s="43"/>
      <c r="F1188" s="43" t="e">
        <f t="shared" si="18"/>
        <v>#N/A</v>
      </c>
      <c r="G1188" s="43"/>
    </row>
    <row r="1189" spans="1:10" x14ac:dyDescent="0.3">
      <c r="A1189" s="79">
        <v>42720</v>
      </c>
      <c r="B1189" s="5" t="s">
        <v>230</v>
      </c>
      <c r="C1189" s="5" t="s">
        <v>999</v>
      </c>
      <c r="D1189" s="65">
        <v>300</v>
      </c>
      <c r="E1189" s="43"/>
      <c r="F1189" s="43" t="e">
        <f t="shared" si="18"/>
        <v>#N/A</v>
      </c>
      <c r="G1189" s="43"/>
    </row>
    <row r="1190" spans="1:10" x14ac:dyDescent="0.3">
      <c r="A1190" s="79">
        <v>42720</v>
      </c>
      <c r="B1190" s="5" t="s">
        <v>230</v>
      </c>
      <c r="C1190" s="5" t="s">
        <v>1000</v>
      </c>
      <c r="D1190" s="65">
        <v>100</v>
      </c>
      <c r="E1190" s="65"/>
      <c r="F1190" s="43" t="e">
        <f t="shared" si="18"/>
        <v>#N/A</v>
      </c>
      <c r="G1190" s="65"/>
      <c r="H1190" s="102"/>
      <c r="I1190" s="102"/>
      <c r="J1190" s="102"/>
    </row>
    <row r="1191" spans="1:10" x14ac:dyDescent="0.3">
      <c r="A1191" s="79">
        <v>42720</v>
      </c>
      <c r="B1191" s="5" t="s">
        <v>16</v>
      </c>
      <c r="C1191" s="5" t="s">
        <v>986</v>
      </c>
      <c r="D1191" s="65">
        <v>500</v>
      </c>
      <c r="E1191" s="43"/>
      <c r="F1191" s="43" t="e">
        <f t="shared" si="18"/>
        <v>#N/A</v>
      </c>
      <c r="G1191" s="43"/>
    </row>
    <row r="1192" spans="1:10" ht="37.5" x14ac:dyDescent="0.3">
      <c r="A1192" s="79">
        <v>42721</v>
      </c>
      <c r="B1192" s="5" t="s">
        <v>181</v>
      </c>
      <c r="C1192" s="92" t="s">
        <v>989</v>
      </c>
      <c r="D1192" s="43">
        <v>200</v>
      </c>
      <c r="E1192" s="43"/>
      <c r="F1192" s="43" t="e">
        <f t="shared" si="18"/>
        <v>#N/A</v>
      </c>
      <c r="G1192" s="43"/>
    </row>
    <row r="1193" spans="1:10" x14ac:dyDescent="0.3">
      <c r="A1193" s="79">
        <v>42721</v>
      </c>
      <c r="B1193" s="5" t="s">
        <v>992</v>
      </c>
      <c r="C1193" s="92"/>
      <c r="D1193" s="43">
        <v>500</v>
      </c>
      <c r="E1193" s="43"/>
      <c r="F1193" s="43" t="e">
        <f t="shared" si="18"/>
        <v>#N/A</v>
      </c>
      <c r="G1193" s="43"/>
    </row>
    <row r="1194" spans="1:10" x14ac:dyDescent="0.3">
      <c r="A1194" s="79">
        <v>42721</v>
      </c>
      <c r="B1194" s="5" t="s">
        <v>993</v>
      </c>
      <c r="C1194" s="92" t="s">
        <v>1002</v>
      </c>
      <c r="D1194" s="43">
        <v>250</v>
      </c>
      <c r="E1194" s="43"/>
      <c r="F1194" s="43" t="e">
        <f t="shared" si="18"/>
        <v>#N/A</v>
      </c>
      <c r="G1194" s="43"/>
    </row>
    <row r="1195" spans="1:10" x14ac:dyDescent="0.3">
      <c r="A1195" s="79">
        <v>42723</v>
      </c>
      <c r="B1195" s="761" t="s">
        <v>998</v>
      </c>
      <c r="C1195" s="762"/>
      <c r="D1195" s="71"/>
      <c r="E1195" s="72">
        <v>50000</v>
      </c>
      <c r="F1195" s="43" t="e">
        <f t="shared" si="18"/>
        <v>#N/A</v>
      </c>
      <c r="G1195" s="43"/>
    </row>
    <row r="1196" spans="1:10" x14ac:dyDescent="0.3">
      <c r="A1196" s="79">
        <v>42723</v>
      </c>
      <c r="B1196" s="5" t="s">
        <v>445</v>
      </c>
      <c r="C1196" s="92" t="s">
        <v>996</v>
      </c>
      <c r="D1196" s="43">
        <v>12000</v>
      </c>
      <c r="E1196" s="43"/>
      <c r="F1196" s="43" t="e">
        <f t="shared" si="18"/>
        <v>#N/A</v>
      </c>
      <c r="G1196" s="43"/>
    </row>
    <row r="1197" spans="1:10" x14ac:dyDescent="0.3">
      <c r="A1197" s="79">
        <v>42723</v>
      </c>
      <c r="B1197" s="5" t="s">
        <v>4</v>
      </c>
      <c r="C1197" s="92" t="s">
        <v>31</v>
      </c>
      <c r="D1197" s="43">
        <v>1000</v>
      </c>
      <c r="E1197" s="43"/>
      <c r="F1197" s="43" t="e">
        <f t="shared" si="18"/>
        <v>#N/A</v>
      </c>
      <c r="G1197" s="43"/>
    </row>
    <row r="1198" spans="1:10" x14ac:dyDescent="0.3">
      <c r="A1198" s="79">
        <v>42723</v>
      </c>
      <c r="B1198" s="5" t="s">
        <v>25</v>
      </c>
      <c r="C1198" s="92" t="s">
        <v>995</v>
      </c>
      <c r="D1198" s="43">
        <v>780</v>
      </c>
      <c r="E1198" s="43"/>
      <c r="F1198" s="43" t="e">
        <f t="shared" si="18"/>
        <v>#N/A</v>
      </c>
      <c r="G1198" s="43"/>
    </row>
    <row r="1199" spans="1:10" x14ac:dyDescent="0.3">
      <c r="A1199" s="79">
        <v>42723</v>
      </c>
      <c r="B1199" s="5" t="s">
        <v>25</v>
      </c>
      <c r="C1199" s="92" t="s">
        <v>994</v>
      </c>
      <c r="D1199" s="43">
        <f>120+25</f>
        <v>145</v>
      </c>
      <c r="E1199" s="43"/>
      <c r="F1199" s="43" t="e">
        <f t="shared" si="18"/>
        <v>#N/A</v>
      </c>
      <c r="G1199" s="43"/>
    </row>
    <row r="1200" spans="1:10" x14ac:dyDescent="0.3">
      <c r="A1200" s="79">
        <v>42723</v>
      </c>
      <c r="B1200" s="5" t="s">
        <v>16</v>
      </c>
      <c r="C1200" s="92" t="s">
        <v>710</v>
      </c>
      <c r="D1200" s="65">
        <v>1000</v>
      </c>
      <c r="E1200" s="43"/>
      <c r="F1200" s="43" t="e">
        <f t="shared" si="18"/>
        <v>#N/A</v>
      </c>
      <c r="G1200" s="43"/>
    </row>
    <row r="1201" spans="1:7" x14ac:dyDescent="0.3">
      <c r="A1201" s="79">
        <v>42723</v>
      </c>
      <c r="B1201" s="5" t="s">
        <v>68</v>
      </c>
      <c r="C1201" s="92" t="s">
        <v>31</v>
      </c>
      <c r="D1201" s="43">
        <v>1000</v>
      </c>
      <c r="E1201" s="43"/>
      <c r="F1201" s="43" t="e">
        <f t="shared" si="18"/>
        <v>#N/A</v>
      </c>
      <c r="G1201" s="43"/>
    </row>
    <row r="1202" spans="1:7" x14ac:dyDescent="0.3">
      <c r="A1202" s="79">
        <v>42723</v>
      </c>
      <c r="B1202" s="5" t="s">
        <v>120</v>
      </c>
      <c r="C1202" s="92" t="s">
        <v>33</v>
      </c>
      <c r="D1202" s="43">
        <v>2000</v>
      </c>
      <c r="E1202" s="43"/>
      <c r="F1202" s="43" t="e">
        <f t="shared" si="18"/>
        <v>#N/A</v>
      </c>
      <c r="G1202" s="43"/>
    </row>
    <row r="1203" spans="1:7" ht="37.5" x14ac:dyDescent="0.3">
      <c r="A1203" s="79">
        <v>42723</v>
      </c>
      <c r="B1203" s="5" t="s">
        <v>230</v>
      </c>
      <c r="C1203" s="92" t="s">
        <v>1001</v>
      </c>
      <c r="D1203" s="43">
        <v>300</v>
      </c>
      <c r="E1203" s="43"/>
      <c r="F1203" s="43" t="e">
        <f t="shared" si="18"/>
        <v>#N/A</v>
      </c>
      <c r="G1203" s="43"/>
    </row>
    <row r="1204" spans="1:7" x14ac:dyDescent="0.3">
      <c r="A1204" s="79">
        <v>42723</v>
      </c>
      <c r="B1204" s="5" t="s">
        <v>120</v>
      </c>
      <c r="C1204" s="92" t="s">
        <v>31</v>
      </c>
      <c r="D1204" s="43">
        <v>15000</v>
      </c>
      <c r="E1204" s="43"/>
      <c r="F1204" s="43" t="e">
        <f t="shared" si="18"/>
        <v>#N/A</v>
      </c>
      <c r="G1204" s="43"/>
    </row>
    <row r="1205" spans="1:7" x14ac:dyDescent="0.3">
      <c r="A1205" s="79">
        <v>42724</v>
      </c>
      <c r="B1205" s="5" t="s">
        <v>164</v>
      </c>
      <c r="C1205" s="92" t="s">
        <v>31</v>
      </c>
      <c r="D1205" s="43">
        <v>15000</v>
      </c>
      <c r="E1205" s="43"/>
      <c r="F1205" s="43" t="e">
        <f t="shared" si="18"/>
        <v>#N/A</v>
      </c>
      <c r="G1205" s="43"/>
    </row>
    <row r="1206" spans="1:7" x14ac:dyDescent="0.3">
      <c r="A1206" s="79">
        <v>42724</v>
      </c>
      <c r="B1206" s="5" t="s">
        <v>1003</v>
      </c>
      <c r="C1206" s="92" t="s">
        <v>1004</v>
      </c>
      <c r="D1206" s="43">
        <v>500</v>
      </c>
      <c r="E1206" s="43"/>
      <c r="F1206" s="43" t="e">
        <f t="shared" si="18"/>
        <v>#N/A</v>
      </c>
      <c r="G1206" s="43"/>
    </row>
    <row r="1207" spans="1:7" x14ac:dyDescent="0.3">
      <c r="A1207" s="79">
        <v>42724</v>
      </c>
      <c r="B1207" s="5" t="s">
        <v>25</v>
      </c>
      <c r="C1207" s="92" t="s">
        <v>1005</v>
      </c>
      <c r="D1207" s="43">
        <v>100</v>
      </c>
      <c r="E1207" s="43"/>
      <c r="F1207" s="43" t="e">
        <f t="shared" si="18"/>
        <v>#N/A</v>
      </c>
      <c r="G1207" s="43"/>
    </row>
    <row r="1208" spans="1:7" x14ac:dyDescent="0.3">
      <c r="A1208" s="79">
        <v>42724</v>
      </c>
      <c r="B1208" s="5" t="s">
        <v>25</v>
      </c>
      <c r="C1208" s="92" t="s">
        <v>605</v>
      </c>
      <c r="D1208" s="43">
        <v>50</v>
      </c>
      <c r="E1208" s="43"/>
      <c r="F1208" s="43" t="e">
        <f t="shared" si="18"/>
        <v>#N/A</v>
      </c>
      <c r="G1208" s="43"/>
    </row>
    <row r="1209" spans="1:7" x14ac:dyDescent="0.3">
      <c r="A1209" s="79">
        <v>42724</v>
      </c>
      <c r="B1209" s="107" t="s">
        <v>247</v>
      </c>
      <c r="C1209" s="108" t="s">
        <v>33</v>
      </c>
      <c r="D1209" s="109">
        <v>50</v>
      </c>
      <c r="E1209" s="43"/>
      <c r="F1209" s="43" t="e">
        <f t="shared" si="18"/>
        <v>#N/A</v>
      </c>
      <c r="G1209" s="43"/>
    </row>
    <row r="1210" spans="1:7" x14ac:dyDescent="0.3">
      <c r="A1210" s="79">
        <v>42725</v>
      </c>
      <c r="B1210" s="761" t="s">
        <v>1021</v>
      </c>
      <c r="C1210" s="762"/>
      <c r="D1210" s="71"/>
      <c r="E1210" s="72">
        <v>50000</v>
      </c>
      <c r="F1210" s="43" t="e">
        <f t="shared" si="18"/>
        <v>#N/A</v>
      </c>
      <c r="G1210" s="43"/>
    </row>
    <row r="1211" spans="1:7" x14ac:dyDescent="0.3">
      <c r="A1211" s="79">
        <v>42725</v>
      </c>
      <c r="B1211" s="5" t="s">
        <v>961</v>
      </c>
      <c r="C1211" s="92" t="s">
        <v>1007</v>
      </c>
      <c r="D1211" s="43">
        <v>10000</v>
      </c>
      <c r="E1211" s="43"/>
      <c r="F1211" s="43" t="e">
        <f t="shared" si="18"/>
        <v>#N/A</v>
      </c>
      <c r="G1211" s="43"/>
    </row>
    <row r="1212" spans="1:7" x14ac:dyDescent="0.3">
      <c r="A1212" s="79">
        <v>42725</v>
      </c>
      <c r="B1212" s="5" t="s">
        <v>4</v>
      </c>
      <c r="C1212" s="92" t="s">
        <v>539</v>
      </c>
      <c r="D1212" s="43">
        <v>3000</v>
      </c>
      <c r="E1212" s="43"/>
      <c r="F1212" s="43" t="e">
        <f t="shared" si="18"/>
        <v>#N/A</v>
      </c>
      <c r="G1212" s="43"/>
    </row>
    <row r="1213" spans="1:7" x14ac:dyDescent="0.3">
      <c r="A1213" s="79">
        <v>42725</v>
      </c>
      <c r="B1213" s="5" t="s">
        <v>127</v>
      </c>
      <c r="C1213" s="92" t="s">
        <v>1008</v>
      </c>
      <c r="D1213" s="43">
        <v>1500</v>
      </c>
      <c r="E1213" s="43"/>
      <c r="F1213" s="43" t="e">
        <f t="shared" si="18"/>
        <v>#N/A</v>
      </c>
      <c r="G1213" s="43"/>
    </row>
    <row r="1214" spans="1:7" x14ac:dyDescent="0.3">
      <c r="A1214" s="79">
        <v>42725</v>
      </c>
      <c r="B1214" s="5" t="s">
        <v>1009</v>
      </c>
      <c r="C1214" s="92" t="s">
        <v>1010</v>
      </c>
      <c r="D1214" s="43">
        <v>100</v>
      </c>
      <c r="E1214" s="43"/>
      <c r="F1214" s="43" t="e">
        <f t="shared" si="18"/>
        <v>#N/A</v>
      </c>
      <c r="G1214" s="43"/>
    </row>
    <row r="1215" spans="1:7" x14ac:dyDescent="0.3">
      <c r="A1215" s="79">
        <v>42725</v>
      </c>
      <c r="B1215" s="5" t="s">
        <v>156</v>
      </c>
      <c r="C1215" s="92" t="s">
        <v>31</v>
      </c>
      <c r="D1215" s="43">
        <v>1000</v>
      </c>
      <c r="E1215" s="43"/>
      <c r="F1215" s="43" t="e">
        <f t="shared" si="18"/>
        <v>#N/A</v>
      </c>
      <c r="G1215" s="43"/>
    </row>
    <row r="1216" spans="1:7" x14ac:dyDescent="0.3">
      <c r="A1216" s="79">
        <v>42725</v>
      </c>
      <c r="B1216" s="5" t="s">
        <v>1011</v>
      </c>
      <c r="C1216" s="92" t="s">
        <v>31</v>
      </c>
      <c r="D1216" s="43">
        <v>10000</v>
      </c>
      <c r="E1216" s="43"/>
      <c r="F1216" s="43" t="e">
        <f t="shared" si="18"/>
        <v>#N/A</v>
      </c>
      <c r="G1216" s="43"/>
    </row>
    <row r="1217" spans="1:11" x14ac:dyDescent="0.3">
      <c r="A1217" s="79">
        <v>42725</v>
      </c>
      <c r="B1217" s="5" t="s">
        <v>445</v>
      </c>
      <c r="C1217" s="92" t="s">
        <v>31</v>
      </c>
      <c r="D1217" s="43">
        <v>4000</v>
      </c>
      <c r="E1217" s="43"/>
      <c r="F1217" s="43" t="e">
        <f t="shared" si="18"/>
        <v>#N/A</v>
      </c>
      <c r="G1217" s="43"/>
    </row>
    <row r="1218" spans="1:11" x14ac:dyDescent="0.3">
      <c r="A1218" s="79">
        <v>42725</v>
      </c>
      <c r="B1218" s="761" t="s">
        <v>1013</v>
      </c>
      <c r="C1218" s="762"/>
      <c r="D1218" s="71"/>
      <c r="E1218" s="72">
        <v>250</v>
      </c>
      <c r="F1218" s="43" t="e">
        <f t="shared" si="18"/>
        <v>#N/A</v>
      </c>
      <c r="G1218" s="43"/>
    </row>
    <row r="1219" spans="1:11" x14ac:dyDescent="0.3">
      <c r="A1219" s="79">
        <v>42724</v>
      </c>
      <c r="B1219" s="5" t="s">
        <v>25</v>
      </c>
      <c r="C1219" s="92" t="s">
        <v>957</v>
      </c>
      <c r="D1219" s="43">
        <v>70</v>
      </c>
      <c r="E1219" s="43"/>
      <c r="F1219" s="43" t="e">
        <f t="shared" ref="F1219:F1282" si="19">F1218-D1219+E1219</f>
        <v>#N/A</v>
      </c>
      <c r="G1219" s="43"/>
    </row>
    <row r="1220" spans="1:11" x14ac:dyDescent="0.3">
      <c r="A1220" s="79">
        <v>42725</v>
      </c>
      <c r="B1220" s="5" t="s">
        <v>160</v>
      </c>
      <c r="C1220" s="92" t="s">
        <v>1012</v>
      </c>
      <c r="D1220" s="43">
        <v>5000</v>
      </c>
      <c r="E1220" s="43"/>
      <c r="F1220" s="43" t="e">
        <f t="shared" si="19"/>
        <v>#N/A</v>
      </c>
      <c r="G1220" s="43"/>
    </row>
    <row r="1221" spans="1:11" x14ac:dyDescent="0.3">
      <c r="A1221" s="79">
        <v>42725</v>
      </c>
      <c r="B1221" s="5" t="s">
        <v>160</v>
      </c>
      <c r="C1221" s="92" t="s">
        <v>70</v>
      </c>
      <c r="D1221" s="43">
        <v>3000</v>
      </c>
      <c r="E1221" s="43"/>
      <c r="F1221" s="43" t="e">
        <f t="shared" si="19"/>
        <v>#N/A</v>
      </c>
      <c r="G1221" s="43"/>
    </row>
    <row r="1222" spans="1:11" x14ac:dyDescent="0.3">
      <c r="A1222" s="79">
        <v>42724</v>
      </c>
      <c r="B1222" s="5" t="s">
        <v>25</v>
      </c>
      <c r="C1222" s="92" t="s">
        <v>1014</v>
      </c>
      <c r="D1222" s="43">
        <v>530</v>
      </c>
      <c r="E1222" s="43"/>
      <c r="F1222" s="43" t="e">
        <f t="shared" si="19"/>
        <v>#N/A</v>
      </c>
      <c r="G1222" s="43"/>
    </row>
    <row r="1223" spans="1:11" x14ac:dyDescent="0.3">
      <c r="A1223" s="79">
        <v>42725</v>
      </c>
      <c r="B1223" s="5" t="s">
        <v>27</v>
      </c>
      <c r="C1223" s="92" t="s">
        <v>31</v>
      </c>
      <c r="D1223" s="43">
        <v>1000</v>
      </c>
      <c r="E1223" s="43"/>
      <c r="F1223" s="43" t="e">
        <f t="shared" si="19"/>
        <v>#N/A</v>
      </c>
      <c r="G1223" s="43"/>
    </row>
    <row r="1224" spans="1:11" x14ac:dyDescent="0.3">
      <c r="A1224" s="79">
        <v>42725</v>
      </c>
      <c r="B1224" s="5" t="s">
        <v>541</v>
      </c>
      <c r="C1224" s="92" t="s">
        <v>1015</v>
      </c>
      <c r="D1224" s="43">
        <v>5000</v>
      </c>
      <c r="E1224" s="43"/>
      <c r="F1224" s="43" t="e">
        <f t="shared" si="19"/>
        <v>#N/A</v>
      </c>
      <c r="G1224" s="43"/>
    </row>
    <row r="1225" spans="1:11" x14ac:dyDescent="0.3">
      <c r="A1225" s="79">
        <v>42725</v>
      </c>
      <c r="B1225" s="5" t="s">
        <v>247</v>
      </c>
      <c r="C1225" s="92" t="s">
        <v>51</v>
      </c>
      <c r="D1225" s="43">
        <v>140</v>
      </c>
      <c r="E1225" s="43"/>
      <c r="F1225" s="43" t="e">
        <f t="shared" si="19"/>
        <v>#N/A</v>
      </c>
      <c r="G1225" s="43"/>
    </row>
    <row r="1226" spans="1:11" x14ac:dyDescent="0.3">
      <c r="A1226" s="79">
        <v>42724</v>
      </c>
      <c r="B1226" s="5" t="s">
        <v>25</v>
      </c>
      <c r="C1226" s="92" t="s">
        <v>1016</v>
      </c>
      <c r="D1226" s="43">
        <v>190</v>
      </c>
      <c r="E1226" s="43"/>
      <c r="F1226" s="43" t="e">
        <f t="shared" si="19"/>
        <v>#N/A</v>
      </c>
      <c r="G1226" s="43"/>
    </row>
    <row r="1227" spans="1:11" ht="37.5" x14ac:dyDescent="0.3">
      <c r="A1227" s="79">
        <v>42726</v>
      </c>
      <c r="B1227" s="5" t="s">
        <v>1019</v>
      </c>
      <c r="C1227" s="92" t="s">
        <v>1020</v>
      </c>
      <c r="D1227" s="43">
        <v>200</v>
      </c>
      <c r="E1227" s="43"/>
      <c r="F1227" s="43" t="e">
        <f t="shared" si="19"/>
        <v>#N/A</v>
      </c>
      <c r="G1227" s="43"/>
    </row>
    <row r="1228" spans="1:11" ht="37.5" x14ac:dyDescent="0.3">
      <c r="A1228" s="79">
        <v>42724</v>
      </c>
      <c r="B1228" s="5" t="s">
        <v>25</v>
      </c>
      <c r="C1228" s="92" t="s">
        <v>1024</v>
      </c>
      <c r="D1228" s="43">
        <v>40</v>
      </c>
      <c r="E1228" s="43"/>
      <c r="F1228" s="43" t="e">
        <f t="shared" si="19"/>
        <v>#N/A</v>
      </c>
      <c r="G1228" s="43"/>
    </row>
    <row r="1229" spans="1:11" x14ac:dyDescent="0.3">
      <c r="A1229" s="79">
        <v>42727</v>
      </c>
      <c r="B1229" s="761" t="s">
        <v>1139</v>
      </c>
      <c r="C1229" s="762"/>
      <c r="D1229" s="71"/>
      <c r="E1229" s="72">
        <v>25000</v>
      </c>
      <c r="F1229" s="43" t="e">
        <f t="shared" si="19"/>
        <v>#N/A</v>
      </c>
      <c r="G1229" s="43"/>
    </row>
    <row r="1230" spans="1:11" x14ac:dyDescent="0.3">
      <c r="A1230" s="79">
        <v>42727</v>
      </c>
      <c r="B1230" s="5" t="s">
        <v>60</v>
      </c>
      <c r="C1230" s="92" t="s">
        <v>31</v>
      </c>
      <c r="D1230" s="43">
        <v>2000</v>
      </c>
      <c r="E1230" s="43"/>
      <c r="F1230" s="43" t="e">
        <f t="shared" si="19"/>
        <v>#N/A</v>
      </c>
      <c r="G1230" s="43"/>
    </row>
    <row r="1231" spans="1:11" x14ac:dyDescent="0.3">
      <c r="A1231" s="79">
        <v>42727</v>
      </c>
      <c r="B1231" s="5" t="s">
        <v>160</v>
      </c>
      <c r="C1231" s="92" t="s">
        <v>1022</v>
      </c>
      <c r="D1231" s="43">
        <v>5000</v>
      </c>
      <c r="E1231" s="43"/>
      <c r="F1231" s="43" t="e">
        <f t="shared" si="19"/>
        <v>#N/A</v>
      </c>
      <c r="G1231" s="43"/>
      <c r="K1231" s="52"/>
    </row>
    <row r="1232" spans="1:11" x14ac:dyDescent="0.3">
      <c r="A1232" s="79">
        <v>42727</v>
      </c>
      <c r="B1232" s="5" t="s">
        <v>230</v>
      </c>
      <c r="C1232" s="92" t="s">
        <v>30</v>
      </c>
      <c r="D1232" s="65">
        <v>100</v>
      </c>
      <c r="E1232" s="43"/>
      <c r="F1232" s="43" t="e">
        <f t="shared" si="19"/>
        <v>#N/A</v>
      </c>
      <c r="G1232" s="43"/>
      <c r="K1232" s="52"/>
    </row>
    <row r="1233" spans="1:11" x14ac:dyDescent="0.3">
      <c r="A1233" s="79">
        <v>42727</v>
      </c>
      <c r="B1233" s="107" t="s">
        <v>1023</v>
      </c>
      <c r="C1233" s="108" t="s">
        <v>798</v>
      </c>
      <c r="D1233" s="109">
        <v>4000</v>
      </c>
      <c r="E1233" s="43"/>
      <c r="F1233" s="43" t="e">
        <f t="shared" si="19"/>
        <v>#N/A</v>
      </c>
      <c r="G1233" s="43"/>
      <c r="K1233" s="52"/>
    </row>
    <row r="1234" spans="1:11" x14ac:dyDescent="0.3">
      <c r="A1234" s="79">
        <v>42728</v>
      </c>
      <c r="B1234" s="761" t="s">
        <v>1025</v>
      </c>
      <c r="C1234" s="762"/>
      <c r="D1234" s="71"/>
      <c r="E1234" s="72">
        <v>200000</v>
      </c>
      <c r="F1234" s="43" t="e">
        <f t="shared" si="19"/>
        <v>#N/A</v>
      </c>
      <c r="G1234" s="43"/>
      <c r="K1234" s="52"/>
    </row>
    <row r="1235" spans="1:11" x14ac:dyDescent="0.3">
      <c r="A1235" s="79">
        <v>42728</v>
      </c>
      <c r="B1235" s="5" t="s">
        <v>120</v>
      </c>
      <c r="C1235" s="92" t="s">
        <v>31</v>
      </c>
      <c r="D1235" s="43">
        <v>5000</v>
      </c>
      <c r="E1235" s="43"/>
      <c r="F1235" s="43" t="e">
        <f t="shared" si="19"/>
        <v>#N/A</v>
      </c>
      <c r="G1235" s="43"/>
      <c r="K1235" s="52"/>
    </row>
    <row r="1236" spans="1:11" ht="37.5" x14ac:dyDescent="0.3">
      <c r="A1236" s="79">
        <v>42728</v>
      </c>
      <c r="B1236" s="5" t="s">
        <v>230</v>
      </c>
      <c r="C1236" s="92" t="s">
        <v>1093</v>
      </c>
      <c r="D1236" s="65">
        <v>30000</v>
      </c>
      <c r="E1236" s="43"/>
      <c r="F1236" s="43" t="e">
        <f t="shared" si="19"/>
        <v>#N/A</v>
      </c>
      <c r="G1236" s="43"/>
      <c r="K1236" s="52"/>
    </row>
    <row r="1237" spans="1:11" x14ac:dyDescent="0.3">
      <c r="A1237" s="79">
        <v>42728</v>
      </c>
      <c r="B1237" s="5" t="s">
        <v>27</v>
      </c>
      <c r="C1237" s="92" t="s">
        <v>31</v>
      </c>
      <c r="D1237" s="43">
        <v>10000</v>
      </c>
      <c r="E1237" s="43"/>
      <c r="F1237" s="43" t="e">
        <f t="shared" si="19"/>
        <v>#N/A</v>
      </c>
      <c r="G1237" s="43"/>
      <c r="K1237" s="52"/>
    </row>
    <row r="1238" spans="1:11" x14ac:dyDescent="0.3">
      <c r="A1238" s="79">
        <v>42728</v>
      </c>
      <c r="B1238" s="5" t="s">
        <v>42</v>
      </c>
      <c r="C1238" s="92" t="s">
        <v>31</v>
      </c>
      <c r="D1238" s="43">
        <v>500</v>
      </c>
      <c r="E1238" s="43"/>
      <c r="F1238" s="43" t="e">
        <f t="shared" si="19"/>
        <v>#N/A</v>
      </c>
      <c r="G1238" s="43"/>
      <c r="K1238" s="52"/>
    </row>
    <row r="1239" spans="1:11" x14ac:dyDescent="0.3">
      <c r="A1239" s="79">
        <v>42728</v>
      </c>
      <c r="B1239" s="5" t="s">
        <v>116</v>
      </c>
      <c r="C1239" s="92" t="s">
        <v>31</v>
      </c>
      <c r="D1239" s="43">
        <v>3500</v>
      </c>
      <c r="E1239" s="43"/>
      <c r="F1239" s="43" t="e">
        <f t="shared" si="19"/>
        <v>#N/A</v>
      </c>
      <c r="G1239" s="43"/>
      <c r="K1239" s="93"/>
    </row>
    <row r="1240" spans="1:11" x14ac:dyDescent="0.3">
      <c r="A1240" s="79">
        <v>42728</v>
      </c>
      <c r="B1240" s="5" t="s">
        <v>116</v>
      </c>
      <c r="C1240" s="92" t="s">
        <v>1026</v>
      </c>
      <c r="D1240" s="43">
        <v>4400</v>
      </c>
      <c r="E1240" s="43"/>
      <c r="F1240" s="43" t="e">
        <f t="shared" si="19"/>
        <v>#N/A</v>
      </c>
      <c r="G1240" s="43"/>
    </row>
    <row r="1241" spans="1:11" x14ac:dyDescent="0.3">
      <c r="A1241" s="79">
        <v>42728</v>
      </c>
      <c r="B1241" s="5" t="s">
        <v>230</v>
      </c>
      <c r="C1241" s="92" t="s">
        <v>1027</v>
      </c>
      <c r="D1241" s="65">
        <v>1700</v>
      </c>
      <c r="E1241" s="43"/>
      <c r="F1241" s="43" t="e">
        <f t="shared" si="19"/>
        <v>#N/A</v>
      </c>
      <c r="G1241" s="43"/>
      <c r="K1241" s="93"/>
    </row>
    <row r="1242" spans="1:11" ht="37.5" x14ac:dyDescent="0.3">
      <c r="A1242" s="79">
        <v>42728</v>
      </c>
      <c r="B1242" s="5" t="s">
        <v>1030</v>
      </c>
      <c r="C1242" s="92" t="s">
        <v>1053</v>
      </c>
      <c r="D1242" s="43">
        <v>16500</v>
      </c>
      <c r="E1242" s="43"/>
      <c r="F1242" s="43" t="e">
        <f t="shared" si="19"/>
        <v>#N/A</v>
      </c>
      <c r="G1242" s="43"/>
    </row>
    <row r="1243" spans="1:11" x14ac:dyDescent="0.3">
      <c r="A1243" s="79">
        <v>42724</v>
      </c>
      <c r="B1243" s="5" t="s">
        <v>25</v>
      </c>
      <c r="C1243" s="92" t="s">
        <v>1031</v>
      </c>
      <c r="D1243" s="43">
        <f>440+50+50</f>
        <v>540</v>
      </c>
      <c r="E1243" s="43"/>
      <c r="F1243" s="43" t="e">
        <f t="shared" si="19"/>
        <v>#N/A</v>
      </c>
      <c r="G1243" s="43"/>
    </row>
    <row r="1244" spans="1:11" x14ac:dyDescent="0.3">
      <c r="A1244" s="79">
        <v>42728</v>
      </c>
      <c r="B1244" s="5" t="s">
        <v>164</v>
      </c>
      <c r="C1244" s="5" t="s">
        <v>31</v>
      </c>
      <c r="D1244" s="43">
        <v>20000</v>
      </c>
      <c r="E1244" s="43"/>
      <c r="F1244" s="43" t="e">
        <f t="shared" si="19"/>
        <v>#N/A</v>
      </c>
      <c r="G1244" s="43"/>
    </row>
    <row r="1245" spans="1:11" x14ac:dyDescent="0.3">
      <c r="A1245" s="79">
        <v>42730</v>
      </c>
      <c r="B1245" s="5" t="s">
        <v>961</v>
      </c>
      <c r="C1245" s="92" t="s">
        <v>294</v>
      </c>
      <c r="D1245" s="43">
        <v>10000</v>
      </c>
      <c r="E1245" s="43"/>
      <c r="F1245" s="43" t="e">
        <f t="shared" si="19"/>
        <v>#N/A</v>
      </c>
      <c r="G1245" s="43"/>
    </row>
    <row r="1246" spans="1:11" x14ac:dyDescent="0.3">
      <c r="A1246" s="79">
        <v>42730</v>
      </c>
      <c r="B1246" s="5" t="s">
        <v>154</v>
      </c>
      <c r="C1246" s="92" t="s">
        <v>31</v>
      </c>
      <c r="D1246" s="43">
        <v>5000</v>
      </c>
      <c r="E1246" s="43"/>
      <c r="F1246" s="43" t="e">
        <f t="shared" si="19"/>
        <v>#N/A</v>
      </c>
      <c r="G1246" s="43"/>
    </row>
    <row r="1247" spans="1:11" x14ac:dyDescent="0.3">
      <c r="A1247" s="79">
        <v>42730</v>
      </c>
      <c r="B1247" s="5" t="s">
        <v>1032</v>
      </c>
      <c r="C1247" s="92" t="s">
        <v>1033</v>
      </c>
      <c r="D1247" s="43">
        <v>600</v>
      </c>
      <c r="E1247" s="43"/>
      <c r="F1247" s="43" t="e">
        <f t="shared" si="19"/>
        <v>#N/A</v>
      </c>
      <c r="G1247" s="43"/>
    </row>
    <row r="1248" spans="1:11" x14ac:dyDescent="0.3">
      <c r="A1248" s="79">
        <v>42730</v>
      </c>
      <c r="B1248" s="5" t="s">
        <v>777</v>
      </c>
      <c r="C1248" s="92" t="s">
        <v>790</v>
      </c>
      <c r="D1248" s="43">
        <v>3000</v>
      </c>
      <c r="E1248" s="43"/>
      <c r="F1248" s="43" t="e">
        <f t="shared" si="19"/>
        <v>#N/A</v>
      </c>
      <c r="G1248" s="43"/>
    </row>
    <row r="1249" spans="1:7" x14ac:dyDescent="0.3">
      <c r="A1249" s="79">
        <v>42730</v>
      </c>
      <c r="B1249" s="5" t="s">
        <v>911</v>
      </c>
      <c r="C1249" s="92" t="s">
        <v>31</v>
      </c>
      <c r="D1249" s="43">
        <v>20000</v>
      </c>
      <c r="E1249" s="43"/>
      <c r="F1249" s="43" t="e">
        <f t="shared" si="19"/>
        <v>#N/A</v>
      </c>
      <c r="G1249" s="43"/>
    </row>
    <row r="1250" spans="1:7" x14ac:dyDescent="0.3">
      <c r="A1250" s="79">
        <v>42730</v>
      </c>
      <c r="B1250" s="5" t="s">
        <v>247</v>
      </c>
      <c r="C1250" s="92" t="s">
        <v>1034</v>
      </c>
      <c r="D1250" s="43">
        <v>960</v>
      </c>
      <c r="E1250" s="43"/>
      <c r="F1250" s="43" t="e">
        <f t="shared" si="19"/>
        <v>#N/A</v>
      </c>
      <c r="G1250" s="43"/>
    </row>
    <row r="1251" spans="1:7" x14ac:dyDescent="0.3">
      <c r="A1251" s="79">
        <v>42730</v>
      </c>
      <c r="B1251" s="5" t="s">
        <v>60</v>
      </c>
      <c r="C1251" s="92" t="s">
        <v>31</v>
      </c>
      <c r="D1251" s="43">
        <v>7000</v>
      </c>
      <c r="E1251" s="43"/>
      <c r="F1251" s="43" t="e">
        <f t="shared" si="19"/>
        <v>#N/A</v>
      </c>
      <c r="G1251" s="43"/>
    </row>
    <row r="1252" spans="1:7" x14ac:dyDescent="0.3">
      <c r="A1252" s="79">
        <v>42730</v>
      </c>
      <c r="B1252" s="5" t="s">
        <v>961</v>
      </c>
      <c r="C1252" s="92" t="s">
        <v>40</v>
      </c>
      <c r="D1252" s="43">
        <v>20000</v>
      </c>
      <c r="E1252" s="43"/>
      <c r="F1252" s="43" t="e">
        <f t="shared" si="19"/>
        <v>#N/A</v>
      </c>
      <c r="G1252" s="43"/>
    </row>
    <row r="1253" spans="1:7" x14ac:dyDescent="0.3">
      <c r="A1253" s="79">
        <v>42730</v>
      </c>
      <c r="B1253" s="5" t="s">
        <v>445</v>
      </c>
      <c r="C1253" s="92" t="s">
        <v>1054</v>
      </c>
      <c r="D1253" s="43">
        <v>18000</v>
      </c>
      <c r="E1253" s="43"/>
      <c r="F1253" s="43" t="e">
        <f t="shared" si="19"/>
        <v>#N/A</v>
      </c>
      <c r="G1253" s="43"/>
    </row>
    <row r="1254" spans="1:7" x14ac:dyDescent="0.3">
      <c r="A1254" s="79">
        <v>42724</v>
      </c>
      <c r="B1254" s="5" t="s">
        <v>25</v>
      </c>
      <c r="C1254" s="92" t="s">
        <v>1039</v>
      </c>
      <c r="D1254" s="43">
        <v>20</v>
      </c>
      <c r="E1254" s="43"/>
      <c r="F1254" s="43" t="e">
        <f t="shared" si="19"/>
        <v>#N/A</v>
      </c>
      <c r="G1254" s="43"/>
    </row>
    <row r="1255" spans="1:7" x14ac:dyDescent="0.3">
      <c r="A1255" s="79">
        <v>42731</v>
      </c>
      <c r="B1255" s="5" t="s">
        <v>16</v>
      </c>
      <c r="C1255" s="92" t="s">
        <v>1035</v>
      </c>
      <c r="D1255" s="65">
        <v>500</v>
      </c>
      <c r="E1255" s="43"/>
      <c r="F1255" s="43" t="e">
        <f t="shared" si="19"/>
        <v>#N/A</v>
      </c>
      <c r="G1255" s="43"/>
    </row>
    <row r="1256" spans="1:7" x14ac:dyDescent="0.3">
      <c r="A1256" s="79">
        <v>42731</v>
      </c>
      <c r="B1256" s="5" t="s">
        <v>53</v>
      </c>
      <c r="C1256" s="92" t="s">
        <v>1036</v>
      </c>
      <c r="D1256" s="65">
        <v>200</v>
      </c>
      <c r="E1256" s="43"/>
      <c r="F1256" s="43" t="e">
        <f t="shared" si="19"/>
        <v>#N/A</v>
      </c>
      <c r="G1256" s="43"/>
    </row>
    <row r="1257" spans="1:7" ht="56.25" x14ac:dyDescent="0.3">
      <c r="A1257" s="79">
        <v>42731</v>
      </c>
      <c r="B1257" s="5" t="s">
        <v>367</v>
      </c>
      <c r="C1257" s="92" t="s">
        <v>1055</v>
      </c>
      <c r="D1257" s="43">
        <v>20000</v>
      </c>
      <c r="E1257" s="43"/>
      <c r="F1257" s="43" t="e">
        <f t="shared" si="19"/>
        <v>#N/A</v>
      </c>
      <c r="G1257" s="43"/>
    </row>
    <row r="1258" spans="1:7" x14ac:dyDescent="0.3">
      <c r="A1258" s="79"/>
      <c r="B1258" s="761" t="s">
        <v>1025</v>
      </c>
      <c r="C1258" s="762"/>
      <c r="D1258" s="71"/>
      <c r="E1258" s="72">
        <v>97000</v>
      </c>
      <c r="F1258" s="43" t="e">
        <f t="shared" si="19"/>
        <v>#N/A</v>
      </c>
      <c r="G1258" s="43"/>
    </row>
    <row r="1259" spans="1:7" x14ac:dyDescent="0.3">
      <c r="A1259" s="79">
        <v>42731</v>
      </c>
      <c r="B1259" s="5" t="s">
        <v>16</v>
      </c>
      <c r="C1259" s="92" t="s">
        <v>31</v>
      </c>
      <c r="D1259" s="43">
        <v>5000</v>
      </c>
      <c r="E1259" s="43"/>
      <c r="F1259" s="43" t="e">
        <f t="shared" si="19"/>
        <v>#N/A</v>
      </c>
      <c r="G1259" s="43"/>
    </row>
    <row r="1260" spans="1:7" x14ac:dyDescent="0.3">
      <c r="A1260" s="79">
        <v>42732</v>
      </c>
      <c r="B1260" s="5" t="s">
        <v>164</v>
      </c>
      <c r="C1260" s="92" t="s">
        <v>31</v>
      </c>
      <c r="D1260" s="43">
        <v>10000</v>
      </c>
      <c r="E1260" s="43"/>
      <c r="F1260" s="43" t="e">
        <f t="shared" si="19"/>
        <v>#N/A</v>
      </c>
      <c r="G1260" s="43"/>
    </row>
    <row r="1261" spans="1:7" x14ac:dyDescent="0.3">
      <c r="A1261" s="79">
        <v>42732</v>
      </c>
      <c r="B1261" s="5" t="s">
        <v>164</v>
      </c>
      <c r="C1261" s="92" t="s">
        <v>31</v>
      </c>
      <c r="D1261" s="43">
        <v>20000</v>
      </c>
      <c r="E1261" s="43"/>
      <c r="F1261" s="43" t="e">
        <f t="shared" si="19"/>
        <v>#N/A</v>
      </c>
      <c r="G1261" s="43"/>
    </row>
    <row r="1262" spans="1:7" ht="37.5" x14ac:dyDescent="0.3">
      <c r="A1262" s="79">
        <v>42732</v>
      </c>
      <c r="B1262" s="5" t="s">
        <v>25</v>
      </c>
      <c r="C1262" s="92" t="s">
        <v>1037</v>
      </c>
      <c r="D1262" s="43">
        <v>27015</v>
      </c>
      <c r="E1262" s="43"/>
      <c r="F1262" s="43" t="e">
        <f t="shared" si="19"/>
        <v>#N/A</v>
      </c>
      <c r="G1262" s="43"/>
    </row>
    <row r="1263" spans="1:7" x14ac:dyDescent="0.3">
      <c r="A1263" s="79">
        <v>42732</v>
      </c>
      <c r="B1263" s="107" t="s">
        <v>86</v>
      </c>
      <c r="C1263" s="108" t="s">
        <v>1038</v>
      </c>
      <c r="D1263" s="109">
        <v>300</v>
      </c>
      <c r="E1263" s="43"/>
      <c r="F1263" s="43" t="e">
        <f t="shared" si="19"/>
        <v>#N/A</v>
      </c>
      <c r="G1263" s="43"/>
    </row>
    <row r="1264" spans="1:7" x14ac:dyDescent="0.3">
      <c r="A1264" s="79">
        <v>42732</v>
      </c>
      <c r="B1264" s="5" t="s">
        <v>25</v>
      </c>
      <c r="C1264" s="92" t="s">
        <v>507</v>
      </c>
      <c r="D1264" s="43">
        <v>340</v>
      </c>
      <c r="E1264" s="43"/>
      <c r="F1264" s="43" t="e">
        <f t="shared" si="19"/>
        <v>#N/A</v>
      </c>
      <c r="G1264" s="43"/>
    </row>
    <row r="1265" spans="1:11" x14ac:dyDescent="0.3">
      <c r="A1265" s="79">
        <v>42732</v>
      </c>
      <c r="B1265" s="5" t="s">
        <v>86</v>
      </c>
      <c r="C1265" s="92" t="s">
        <v>1040</v>
      </c>
      <c r="D1265" s="43">
        <v>400</v>
      </c>
      <c r="E1265" s="43"/>
      <c r="F1265" s="43" t="e">
        <f t="shared" si="19"/>
        <v>#N/A</v>
      </c>
      <c r="G1265" s="43"/>
    </row>
    <row r="1266" spans="1:11" ht="37.5" x14ac:dyDescent="0.3">
      <c r="A1266" s="79">
        <v>42732</v>
      </c>
      <c r="B1266" s="5" t="s">
        <v>25</v>
      </c>
      <c r="C1266" s="92" t="s">
        <v>1045</v>
      </c>
      <c r="D1266" s="43">
        <v>100</v>
      </c>
      <c r="E1266" s="43"/>
      <c r="F1266" s="43" t="e">
        <f t="shared" si="19"/>
        <v>#N/A</v>
      </c>
      <c r="G1266" s="43"/>
    </row>
    <row r="1267" spans="1:11" x14ac:dyDescent="0.3">
      <c r="A1267" s="79">
        <v>42732</v>
      </c>
      <c r="B1267" s="5" t="s">
        <v>230</v>
      </c>
      <c r="C1267" s="92" t="s">
        <v>1041</v>
      </c>
      <c r="D1267" s="43">
        <v>1500</v>
      </c>
      <c r="E1267" s="43"/>
      <c r="F1267" s="43" t="e">
        <f t="shared" si="19"/>
        <v>#N/A</v>
      </c>
      <c r="G1267" s="43"/>
    </row>
    <row r="1268" spans="1:11" x14ac:dyDescent="0.3">
      <c r="A1268" s="79">
        <v>42733</v>
      </c>
      <c r="B1268" s="5" t="s">
        <v>1042</v>
      </c>
      <c r="C1268" s="92" t="s">
        <v>1043</v>
      </c>
      <c r="D1268" s="43">
        <v>10000</v>
      </c>
      <c r="E1268" s="43"/>
      <c r="F1268" s="43" t="e">
        <f t="shared" si="19"/>
        <v>#N/A</v>
      </c>
      <c r="G1268" s="43"/>
    </row>
    <row r="1269" spans="1:11" x14ac:dyDescent="0.3">
      <c r="A1269" s="79">
        <v>42733</v>
      </c>
      <c r="B1269" s="5" t="s">
        <v>4</v>
      </c>
      <c r="C1269" s="92" t="s">
        <v>31</v>
      </c>
      <c r="D1269" s="65">
        <v>5000</v>
      </c>
      <c r="E1269" s="43"/>
      <c r="F1269" s="43" t="e">
        <f t="shared" si="19"/>
        <v>#N/A</v>
      </c>
      <c r="G1269" s="43"/>
    </row>
    <row r="1270" spans="1:11" x14ac:dyDescent="0.3">
      <c r="A1270" s="79">
        <v>42733</v>
      </c>
      <c r="B1270" s="5" t="s">
        <v>27</v>
      </c>
      <c r="C1270" s="92" t="s">
        <v>31</v>
      </c>
      <c r="D1270" s="65">
        <v>5000</v>
      </c>
      <c r="E1270" s="43"/>
      <c r="F1270" s="43" t="e">
        <f t="shared" si="19"/>
        <v>#N/A</v>
      </c>
      <c r="G1270" s="43"/>
    </row>
    <row r="1271" spans="1:11" x14ac:dyDescent="0.3">
      <c r="A1271" s="79">
        <v>42733</v>
      </c>
      <c r="B1271" s="5" t="s">
        <v>25</v>
      </c>
      <c r="C1271" s="92" t="s">
        <v>1052</v>
      </c>
      <c r="D1271" s="43">
        <v>30</v>
      </c>
      <c r="E1271" s="43"/>
      <c r="F1271" s="43" t="e">
        <f t="shared" si="19"/>
        <v>#N/A</v>
      </c>
      <c r="G1271" s="43"/>
    </row>
    <row r="1272" spans="1:11" x14ac:dyDescent="0.3">
      <c r="A1272" s="79">
        <v>42733</v>
      </c>
      <c r="B1272" s="5" t="s">
        <v>27</v>
      </c>
      <c r="C1272" s="92" t="s">
        <v>1044</v>
      </c>
      <c r="D1272" s="43">
        <v>15000</v>
      </c>
      <c r="E1272" s="43"/>
      <c r="F1272" s="43" t="e">
        <f t="shared" si="19"/>
        <v>#N/A</v>
      </c>
      <c r="G1272" s="43"/>
    </row>
    <row r="1273" spans="1:11" x14ac:dyDescent="0.3">
      <c r="A1273" s="79">
        <v>42733</v>
      </c>
      <c r="B1273" s="761" t="s">
        <v>1025</v>
      </c>
      <c r="C1273" s="762"/>
      <c r="D1273" s="71"/>
      <c r="E1273" s="72">
        <v>100000</v>
      </c>
      <c r="F1273" s="43" t="e">
        <f t="shared" si="19"/>
        <v>#N/A</v>
      </c>
      <c r="G1273" s="43"/>
    </row>
    <row r="1274" spans="1:11" x14ac:dyDescent="0.3">
      <c r="A1274" s="79">
        <v>42733</v>
      </c>
      <c r="B1274" s="5" t="s">
        <v>164</v>
      </c>
      <c r="C1274" s="92" t="s">
        <v>31</v>
      </c>
      <c r="D1274" s="43">
        <v>35000</v>
      </c>
      <c r="E1274" s="43"/>
      <c r="F1274" s="43" t="e">
        <f t="shared" si="19"/>
        <v>#N/A</v>
      </c>
      <c r="G1274" s="43"/>
    </row>
    <row r="1275" spans="1:11" ht="37.5" x14ac:dyDescent="0.3">
      <c r="A1275" s="79">
        <v>42733</v>
      </c>
      <c r="B1275" s="5" t="s">
        <v>230</v>
      </c>
      <c r="C1275" s="92" t="s">
        <v>1046</v>
      </c>
      <c r="D1275" s="43">
        <v>2400</v>
      </c>
      <c r="E1275" s="43"/>
      <c r="F1275" s="43" t="e">
        <f t="shared" si="19"/>
        <v>#N/A</v>
      </c>
      <c r="G1275" s="43"/>
    </row>
    <row r="1276" spans="1:11" ht="37.5" x14ac:dyDescent="0.3">
      <c r="A1276" s="79">
        <v>42733</v>
      </c>
      <c r="B1276" s="5" t="s">
        <v>230</v>
      </c>
      <c r="C1276" s="92" t="s">
        <v>1048</v>
      </c>
      <c r="D1276" s="65">
        <v>5000</v>
      </c>
      <c r="E1276" s="43"/>
      <c r="F1276" s="43" t="e">
        <f t="shared" si="19"/>
        <v>#N/A</v>
      </c>
      <c r="G1276" s="43"/>
    </row>
    <row r="1277" spans="1:11" x14ac:dyDescent="0.3">
      <c r="A1277" s="79">
        <v>42733</v>
      </c>
      <c r="B1277" s="5" t="s">
        <v>160</v>
      </c>
      <c r="C1277" s="92" t="s">
        <v>12</v>
      </c>
      <c r="D1277" s="43">
        <v>5000</v>
      </c>
      <c r="E1277" s="43"/>
      <c r="F1277" s="43" t="e">
        <f t="shared" si="19"/>
        <v>#N/A</v>
      </c>
      <c r="G1277" s="43"/>
    </row>
    <row r="1278" spans="1:11" x14ac:dyDescent="0.3">
      <c r="A1278" s="79">
        <v>42733</v>
      </c>
      <c r="B1278" s="5" t="s">
        <v>27</v>
      </c>
      <c r="C1278" s="92" t="s">
        <v>31</v>
      </c>
      <c r="D1278" s="43">
        <v>2000</v>
      </c>
      <c r="E1278" s="43"/>
      <c r="F1278" s="43" t="e">
        <f t="shared" si="19"/>
        <v>#N/A</v>
      </c>
      <c r="G1278" s="43"/>
    </row>
    <row r="1279" spans="1:11" x14ac:dyDescent="0.3">
      <c r="A1279" s="79">
        <v>42733</v>
      </c>
      <c r="B1279" s="5" t="s">
        <v>160</v>
      </c>
      <c r="C1279" s="92" t="s">
        <v>68</v>
      </c>
      <c r="D1279" s="43">
        <v>3500</v>
      </c>
      <c r="E1279" s="43"/>
      <c r="F1279" s="43" t="e">
        <f t="shared" si="19"/>
        <v>#N/A</v>
      </c>
      <c r="G1279" s="43"/>
    </row>
    <row r="1280" spans="1:11" x14ac:dyDescent="0.3">
      <c r="A1280" s="79">
        <v>42734</v>
      </c>
      <c r="B1280" s="5" t="s">
        <v>160</v>
      </c>
      <c r="C1280" s="92" t="s">
        <v>1047</v>
      </c>
      <c r="D1280" s="43">
        <v>3000</v>
      </c>
      <c r="E1280" s="43"/>
      <c r="F1280" s="43" t="e">
        <f t="shared" si="19"/>
        <v>#N/A</v>
      </c>
      <c r="G1280" s="43"/>
      <c r="K1280" s="52"/>
    </row>
    <row r="1281" spans="1:7" x14ac:dyDescent="0.3">
      <c r="A1281" s="79">
        <v>42734</v>
      </c>
      <c r="B1281" s="5" t="s">
        <v>567</v>
      </c>
      <c r="C1281" s="92" t="s">
        <v>1051</v>
      </c>
      <c r="D1281" s="65">
        <v>40000</v>
      </c>
      <c r="E1281" s="43"/>
      <c r="F1281" s="43" t="e">
        <f t="shared" si="19"/>
        <v>#N/A</v>
      </c>
      <c r="G1281" s="43"/>
    </row>
    <row r="1282" spans="1:7" x14ac:dyDescent="0.3">
      <c r="A1282" s="79">
        <v>42735</v>
      </c>
      <c r="B1282" s="5" t="s">
        <v>156</v>
      </c>
      <c r="C1282" s="92" t="s">
        <v>1050</v>
      </c>
      <c r="D1282" s="43">
        <v>1500</v>
      </c>
      <c r="E1282" s="43"/>
      <c r="F1282" s="43" t="e">
        <f t="shared" si="19"/>
        <v>#N/A</v>
      </c>
      <c r="G1282" s="43"/>
    </row>
    <row r="1283" spans="1:7" x14ac:dyDescent="0.3">
      <c r="A1283" s="79">
        <v>42735</v>
      </c>
      <c r="B1283" s="5" t="s">
        <v>25</v>
      </c>
      <c r="C1283" s="92" t="s">
        <v>1117</v>
      </c>
      <c r="D1283" s="43">
        <v>1400</v>
      </c>
      <c r="E1283" s="43"/>
      <c r="F1283" s="43" t="e">
        <f t="shared" ref="F1283:F1346" si="20">F1282-D1283+E1283</f>
        <v>#N/A</v>
      </c>
      <c r="G1283" s="43"/>
    </row>
    <row r="1284" spans="1:7" x14ac:dyDescent="0.3">
      <c r="A1284" s="79">
        <v>42737</v>
      </c>
      <c r="B1284" s="5" t="s">
        <v>25</v>
      </c>
      <c r="C1284" s="92" t="s">
        <v>1056</v>
      </c>
      <c r="D1284" s="43">
        <v>90</v>
      </c>
      <c r="E1284" s="43"/>
      <c r="F1284" s="43" t="e">
        <f t="shared" si="20"/>
        <v>#N/A</v>
      </c>
      <c r="G1284" s="43"/>
    </row>
    <row r="1285" spans="1:7" x14ac:dyDescent="0.3">
      <c r="A1285" s="79">
        <v>42738</v>
      </c>
      <c r="B1285" s="761" t="s">
        <v>1025</v>
      </c>
      <c r="C1285" s="762"/>
      <c r="D1285" s="71"/>
      <c r="E1285" s="72">
        <v>200000</v>
      </c>
      <c r="F1285" s="43" t="e">
        <f t="shared" si="20"/>
        <v>#N/A</v>
      </c>
      <c r="G1285" s="43"/>
    </row>
    <row r="1286" spans="1:7" x14ac:dyDescent="0.3">
      <c r="A1286" s="79">
        <v>42738</v>
      </c>
      <c r="B1286" s="5" t="s">
        <v>1057</v>
      </c>
      <c r="C1286" s="92" t="s">
        <v>1058</v>
      </c>
      <c r="D1286" s="43">
        <v>60000</v>
      </c>
      <c r="E1286" s="43"/>
      <c r="F1286" s="43" t="e">
        <f t="shared" si="20"/>
        <v>#N/A</v>
      </c>
      <c r="G1286" s="43"/>
    </row>
    <row r="1287" spans="1:7" x14ac:dyDescent="0.3">
      <c r="A1287" s="79">
        <v>42738</v>
      </c>
      <c r="B1287" s="5" t="s">
        <v>181</v>
      </c>
      <c r="C1287" s="92" t="s">
        <v>40</v>
      </c>
      <c r="D1287" s="43">
        <v>10000</v>
      </c>
      <c r="E1287" s="43"/>
      <c r="F1287" s="43" t="e">
        <f t="shared" si="20"/>
        <v>#N/A</v>
      </c>
      <c r="G1287" s="43"/>
    </row>
    <row r="1288" spans="1:7" x14ac:dyDescent="0.3">
      <c r="A1288" s="79">
        <v>42738</v>
      </c>
      <c r="B1288" s="119" t="s">
        <v>230</v>
      </c>
      <c r="C1288" s="120" t="s">
        <v>31</v>
      </c>
      <c r="D1288" s="121">
        <v>1000</v>
      </c>
      <c r="E1288" s="43"/>
      <c r="F1288" s="43" t="e">
        <f t="shared" si="20"/>
        <v>#N/A</v>
      </c>
      <c r="G1288" s="43"/>
    </row>
    <row r="1289" spans="1:7" x14ac:dyDescent="0.3">
      <c r="A1289" s="79">
        <v>42738</v>
      </c>
      <c r="B1289" s="5" t="s">
        <v>1059</v>
      </c>
      <c r="C1289" s="92" t="s">
        <v>1060</v>
      </c>
      <c r="D1289" s="43">
        <v>1200</v>
      </c>
      <c r="E1289" s="43"/>
      <c r="F1289" s="43" t="e">
        <f t="shared" si="20"/>
        <v>#N/A</v>
      </c>
      <c r="G1289" s="43"/>
    </row>
    <row r="1290" spans="1:7" ht="37.5" x14ac:dyDescent="0.3">
      <c r="A1290" s="79">
        <v>42738</v>
      </c>
      <c r="B1290" s="5" t="s">
        <v>1061</v>
      </c>
      <c r="C1290" s="92" t="s">
        <v>1062</v>
      </c>
      <c r="D1290" s="43">
        <v>100000</v>
      </c>
      <c r="E1290" s="43"/>
      <c r="F1290" s="43" t="e">
        <f t="shared" si="20"/>
        <v>#N/A</v>
      </c>
      <c r="G1290" s="43"/>
    </row>
    <row r="1291" spans="1:7" x14ac:dyDescent="0.3">
      <c r="A1291" s="79">
        <v>42738</v>
      </c>
      <c r="B1291" s="5" t="s">
        <v>445</v>
      </c>
      <c r="C1291" s="92" t="s">
        <v>1076</v>
      </c>
      <c r="D1291" s="43">
        <v>2600</v>
      </c>
      <c r="E1291" s="43"/>
      <c r="F1291" s="43" t="e">
        <f t="shared" si="20"/>
        <v>#N/A</v>
      </c>
      <c r="G1291" s="43"/>
    </row>
    <row r="1292" spans="1:7" x14ac:dyDescent="0.3">
      <c r="A1292" s="79">
        <v>42738</v>
      </c>
      <c r="B1292" s="5" t="s">
        <v>445</v>
      </c>
      <c r="C1292" s="92" t="s">
        <v>31</v>
      </c>
      <c r="D1292" s="43">
        <v>400</v>
      </c>
      <c r="E1292" s="43"/>
      <c r="F1292" s="43" t="e">
        <f t="shared" si="20"/>
        <v>#N/A</v>
      </c>
      <c r="G1292" s="43"/>
    </row>
    <row r="1293" spans="1:7" x14ac:dyDescent="0.3">
      <c r="A1293" s="79">
        <v>42738</v>
      </c>
      <c r="B1293" s="5" t="s">
        <v>777</v>
      </c>
      <c r="C1293" s="92" t="s">
        <v>40</v>
      </c>
      <c r="D1293" s="43">
        <v>1500</v>
      </c>
      <c r="E1293" s="43"/>
      <c r="F1293" s="43" t="e">
        <f t="shared" si="20"/>
        <v>#N/A</v>
      </c>
      <c r="G1293" s="43"/>
    </row>
    <row r="1294" spans="1:7" ht="37.5" x14ac:dyDescent="0.3">
      <c r="A1294" s="79">
        <v>42738</v>
      </c>
      <c r="B1294" s="5" t="s">
        <v>1063</v>
      </c>
      <c r="C1294" s="92" t="s">
        <v>1064</v>
      </c>
      <c r="D1294" s="43">
        <v>1500</v>
      </c>
      <c r="E1294" s="43"/>
      <c r="F1294" s="43" t="e">
        <f t="shared" si="20"/>
        <v>#N/A</v>
      </c>
      <c r="G1294" s="43"/>
    </row>
    <row r="1295" spans="1:7" x14ac:dyDescent="0.3">
      <c r="A1295" s="79">
        <v>42738</v>
      </c>
      <c r="B1295" s="5" t="s">
        <v>27</v>
      </c>
      <c r="C1295" s="92" t="s">
        <v>31</v>
      </c>
      <c r="D1295" s="43">
        <v>1000</v>
      </c>
      <c r="E1295" s="43"/>
      <c r="F1295" s="43" t="e">
        <f t="shared" si="20"/>
        <v>#N/A</v>
      </c>
      <c r="G1295" s="43"/>
    </row>
    <row r="1296" spans="1:7" x14ac:dyDescent="0.3">
      <c r="A1296" s="79">
        <v>42738</v>
      </c>
      <c r="B1296" s="5" t="s">
        <v>16</v>
      </c>
      <c r="C1296" s="92" t="s">
        <v>1065</v>
      </c>
      <c r="D1296" s="65">
        <v>3000</v>
      </c>
      <c r="E1296" s="43"/>
      <c r="F1296" s="43" t="e">
        <f t="shared" si="20"/>
        <v>#N/A</v>
      </c>
      <c r="G1296" s="43"/>
    </row>
    <row r="1297" spans="1:7" x14ac:dyDescent="0.3">
      <c r="A1297" s="79">
        <v>42738</v>
      </c>
      <c r="B1297" s="761" t="s">
        <v>1025</v>
      </c>
      <c r="C1297" s="762"/>
      <c r="D1297" s="71"/>
      <c r="E1297" s="72">
        <v>100000</v>
      </c>
      <c r="F1297" s="43" t="e">
        <f t="shared" si="20"/>
        <v>#N/A</v>
      </c>
      <c r="G1297" s="43"/>
    </row>
    <row r="1298" spans="1:7" ht="56.25" x14ac:dyDescent="0.3">
      <c r="A1298" s="79">
        <v>42738</v>
      </c>
      <c r="B1298" s="5" t="s">
        <v>19</v>
      </c>
      <c r="C1298" s="92" t="s">
        <v>1081</v>
      </c>
      <c r="D1298" s="65">
        <v>2850</v>
      </c>
      <c r="E1298" s="43"/>
      <c r="F1298" s="43" t="e">
        <f t="shared" si="20"/>
        <v>#N/A</v>
      </c>
      <c r="G1298" s="43"/>
    </row>
    <row r="1299" spans="1:7" x14ac:dyDescent="0.3">
      <c r="A1299" s="79">
        <v>42738</v>
      </c>
      <c r="B1299" s="5" t="s">
        <v>120</v>
      </c>
      <c r="C1299" s="92" t="s">
        <v>31</v>
      </c>
      <c r="D1299" s="43">
        <v>5000</v>
      </c>
      <c r="E1299" s="43"/>
      <c r="F1299" s="43" t="e">
        <f t="shared" si="20"/>
        <v>#N/A</v>
      </c>
      <c r="G1299" s="43"/>
    </row>
    <row r="1300" spans="1:7" x14ac:dyDescent="0.3">
      <c r="A1300" s="79">
        <v>42738</v>
      </c>
      <c r="B1300" s="5" t="s">
        <v>1066</v>
      </c>
      <c r="C1300" s="92" t="s">
        <v>1067</v>
      </c>
      <c r="D1300" s="43">
        <v>8000</v>
      </c>
      <c r="E1300" s="43"/>
      <c r="F1300" s="43" t="e">
        <f t="shared" si="20"/>
        <v>#N/A</v>
      </c>
      <c r="G1300" s="43"/>
    </row>
    <row r="1301" spans="1:7" x14ac:dyDescent="0.3">
      <c r="A1301" s="79">
        <v>42738</v>
      </c>
      <c r="B1301" s="5" t="s">
        <v>1068</v>
      </c>
      <c r="C1301" s="92" t="s">
        <v>40</v>
      </c>
      <c r="D1301" s="43">
        <v>50000</v>
      </c>
      <c r="E1301" s="43"/>
      <c r="F1301" s="43" t="e">
        <f t="shared" si="20"/>
        <v>#N/A</v>
      </c>
      <c r="G1301" s="43"/>
    </row>
    <row r="1302" spans="1:7" x14ac:dyDescent="0.3">
      <c r="A1302" s="79">
        <v>42738</v>
      </c>
      <c r="B1302" s="5" t="s">
        <v>1069</v>
      </c>
      <c r="C1302" s="92" t="s">
        <v>1070</v>
      </c>
      <c r="D1302" s="43">
        <v>7600</v>
      </c>
      <c r="E1302" s="43"/>
      <c r="F1302" s="43" t="e">
        <f t="shared" si="20"/>
        <v>#N/A</v>
      </c>
      <c r="G1302" s="43"/>
    </row>
    <row r="1303" spans="1:7" ht="37.5" x14ac:dyDescent="0.3">
      <c r="A1303" s="79">
        <v>42738</v>
      </c>
      <c r="B1303" s="5" t="s">
        <v>25</v>
      </c>
      <c r="C1303" s="92" t="s">
        <v>1071</v>
      </c>
      <c r="D1303" s="43">
        <v>150</v>
      </c>
      <c r="E1303" s="43"/>
      <c r="F1303" s="43" t="e">
        <f t="shared" si="20"/>
        <v>#N/A</v>
      </c>
      <c r="G1303" s="43"/>
    </row>
    <row r="1304" spans="1:7" ht="56.25" x14ac:dyDescent="0.3">
      <c r="A1304" s="79">
        <v>42738</v>
      </c>
      <c r="B1304" s="5" t="s">
        <v>230</v>
      </c>
      <c r="C1304" s="92" t="s">
        <v>1079</v>
      </c>
      <c r="D1304" s="43">
        <v>800</v>
      </c>
      <c r="E1304" s="43"/>
      <c r="F1304" s="43" t="e">
        <f t="shared" si="20"/>
        <v>#N/A</v>
      </c>
      <c r="G1304" s="43"/>
    </row>
    <row r="1305" spans="1:7" x14ac:dyDescent="0.3">
      <c r="A1305" s="79">
        <v>42739</v>
      </c>
      <c r="B1305" s="5" t="s">
        <v>16</v>
      </c>
      <c r="C1305" s="92" t="s">
        <v>1072</v>
      </c>
      <c r="D1305" s="43">
        <v>100</v>
      </c>
      <c r="E1305" s="43"/>
      <c r="F1305" s="43" t="e">
        <f t="shared" si="20"/>
        <v>#N/A</v>
      </c>
      <c r="G1305" s="43"/>
    </row>
    <row r="1306" spans="1:7" x14ac:dyDescent="0.3">
      <c r="A1306" s="79">
        <v>42739</v>
      </c>
      <c r="B1306" s="5" t="s">
        <v>120</v>
      </c>
      <c r="C1306" s="92" t="s">
        <v>1074</v>
      </c>
      <c r="D1306" s="43">
        <v>3155</v>
      </c>
      <c r="E1306" s="43"/>
      <c r="F1306" s="43" t="e">
        <f t="shared" si="20"/>
        <v>#N/A</v>
      </c>
      <c r="G1306" s="43"/>
    </row>
    <row r="1307" spans="1:7" x14ac:dyDescent="0.3">
      <c r="A1307" s="79">
        <v>42739</v>
      </c>
      <c r="B1307" s="5" t="s">
        <v>25</v>
      </c>
      <c r="C1307" s="92" t="s">
        <v>1075</v>
      </c>
      <c r="D1307" s="43">
        <v>1000</v>
      </c>
      <c r="E1307" s="43"/>
      <c r="F1307" s="43" t="e">
        <f t="shared" si="20"/>
        <v>#N/A</v>
      </c>
      <c r="G1307" s="43"/>
    </row>
    <row r="1308" spans="1:7" x14ac:dyDescent="0.3">
      <c r="A1308" s="79">
        <v>42739</v>
      </c>
      <c r="B1308" s="5" t="s">
        <v>961</v>
      </c>
      <c r="C1308" s="92" t="s">
        <v>40</v>
      </c>
      <c r="D1308" s="43">
        <v>5000</v>
      </c>
      <c r="E1308" s="43"/>
      <c r="F1308" s="43" t="e">
        <f t="shared" si="20"/>
        <v>#N/A</v>
      </c>
      <c r="G1308" s="43"/>
    </row>
    <row r="1309" spans="1:7" x14ac:dyDescent="0.3">
      <c r="A1309" s="79">
        <v>42739</v>
      </c>
      <c r="B1309" s="5" t="s">
        <v>10</v>
      </c>
      <c r="C1309" s="92" t="s">
        <v>40</v>
      </c>
      <c r="D1309" s="43">
        <v>2000</v>
      </c>
      <c r="E1309" s="43"/>
      <c r="F1309" s="43" t="e">
        <f t="shared" si="20"/>
        <v>#N/A</v>
      </c>
      <c r="G1309" s="43"/>
    </row>
    <row r="1310" spans="1:7" x14ac:dyDescent="0.3">
      <c r="A1310" s="79">
        <v>42739</v>
      </c>
      <c r="B1310" s="5" t="s">
        <v>16</v>
      </c>
      <c r="C1310" s="92" t="s">
        <v>1073</v>
      </c>
      <c r="D1310" s="65">
        <v>500</v>
      </c>
      <c r="E1310" s="65"/>
      <c r="F1310" s="43" t="e">
        <f t="shared" si="20"/>
        <v>#N/A</v>
      </c>
      <c r="G1310" s="43"/>
    </row>
    <row r="1311" spans="1:7" ht="37.5" x14ac:dyDescent="0.3">
      <c r="A1311" s="79">
        <v>42739</v>
      </c>
      <c r="B1311" s="5" t="s">
        <v>60</v>
      </c>
      <c r="C1311" s="92" t="s">
        <v>1077</v>
      </c>
      <c r="D1311" s="65">
        <v>20000</v>
      </c>
      <c r="E1311" s="65"/>
      <c r="F1311" s="43" t="e">
        <f t="shared" si="20"/>
        <v>#N/A</v>
      </c>
      <c r="G1311" s="43"/>
    </row>
    <row r="1312" spans="1:7" x14ac:dyDescent="0.3">
      <c r="A1312" s="79">
        <v>42739</v>
      </c>
      <c r="B1312" s="761" t="s">
        <v>1025</v>
      </c>
      <c r="C1312" s="762"/>
      <c r="D1312" s="71"/>
      <c r="E1312" s="72">
        <v>100000</v>
      </c>
      <c r="F1312" s="43" t="e">
        <f t="shared" si="20"/>
        <v>#N/A</v>
      </c>
      <c r="G1312" s="43"/>
    </row>
    <row r="1313" spans="1:7" x14ac:dyDescent="0.3">
      <c r="A1313" s="79">
        <v>42739</v>
      </c>
      <c r="B1313" s="5" t="s">
        <v>16</v>
      </c>
      <c r="C1313" s="92" t="s">
        <v>31</v>
      </c>
      <c r="D1313" s="43">
        <v>500</v>
      </c>
      <c r="E1313" s="43"/>
      <c r="F1313" s="43" t="e">
        <f t="shared" si="20"/>
        <v>#N/A</v>
      </c>
      <c r="G1313" s="43"/>
    </row>
    <row r="1314" spans="1:7" x14ac:dyDescent="0.3">
      <c r="A1314" s="79">
        <v>42739</v>
      </c>
      <c r="B1314" s="5" t="s">
        <v>25</v>
      </c>
      <c r="C1314" s="92" t="s">
        <v>1078</v>
      </c>
      <c r="D1314" s="43">
        <v>800</v>
      </c>
      <c r="E1314" s="43"/>
      <c r="F1314" s="43" t="e">
        <f t="shared" si="20"/>
        <v>#N/A</v>
      </c>
      <c r="G1314" s="43"/>
    </row>
    <row r="1315" spans="1:7" x14ac:dyDescent="0.3">
      <c r="A1315" s="79">
        <v>42739</v>
      </c>
      <c r="B1315" s="5" t="s">
        <v>4</v>
      </c>
      <c r="C1315" s="92" t="s">
        <v>31</v>
      </c>
      <c r="D1315" s="43">
        <v>3000</v>
      </c>
      <c r="E1315" s="43"/>
      <c r="F1315" s="43" t="e">
        <f t="shared" si="20"/>
        <v>#N/A</v>
      </c>
      <c r="G1315" s="43"/>
    </row>
    <row r="1316" spans="1:7" x14ac:dyDescent="0.3">
      <c r="A1316" s="79">
        <v>42739</v>
      </c>
      <c r="B1316" s="5" t="s">
        <v>568</v>
      </c>
      <c r="C1316" s="92" t="s">
        <v>1089</v>
      </c>
      <c r="D1316" s="65">
        <v>3500</v>
      </c>
      <c r="E1316" s="43"/>
      <c r="F1316" s="43" t="e">
        <f t="shared" si="20"/>
        <v>#N/A</v>
      </c>
      <c r="G1316" s="43"/>
    </row>
    <row r="1317" spans="1:7" x14ac:dyDescent="0.3">
      <c r="A1317" s="79">
        <v>42739</v>
      </c>
      <c r="B1317" s="5" t="s">
        <v>25</v>
      </c>
      <c r="C1317" s="92" t="s">
        <v>1080</v>
      </c>
      <c r="D1317" s="43">
        <v>50</v>
      </c>
      <c r="E1317" s="43"/>
      <c r="F1317" s="43" t="e">
        <f t="shared" si="20"/>
        <v>#N/A</v>
      </c>
      <c r="G1317" s="43"/>
    </row>
    <row r="1318" spans="1:7" x14ac:dyDescent="0.3">
      <c r="A1318" s="79">
        <v>42739</v>
      </c>
      <c r="B1318" s="5" t="s">
        <v>961</v>
      </c>
      <c r="C1318" s="92" t="s">
        <v>40</v>
      </c>
      <c r="D1318" s="43">
        <v>50000</v>
      </c>
      <c r="E1318" s="43"/>
      <c r="F1318" s="43" t="e">
        <f t="shared" si="20"/>
        <v>#N/A</v>
      </c>
      <c r="G1318" s="43"/>
    </row>
    <row r="1319" spans="1:7" ht="37.5" x14ac:dyDescent="0.3">
      <c r="A1319" s="79">
        <v>42740</v>
      </c>
      <c r="B1319" s="5" t="s">
        <v>25</v>
      </c>
      <c r="C1319" s="92" t="s">
        <v>1082</v>
      </c>
      <c r="D1319" s="43">
        <v>950</v>
      </c>
      <c r="E1319" s="43"/>
      <c r="F1319" s="43" t="e">
        <f t="shared" si="20"/>
        <v>#N/A</v>
      </c>
      <c r="G1319" s="43"/>
    </row>
    <row r="1320" spans="1:7" x14ac:dyDescent="0.3">
      <c r="A1320" s="79">
        <v>42740</v>
      </c>
      <c r="B1320" s="5" t="s">
        <v>120</v>
      </c>
      <c r="C1320" s="92" t="s">
        <v>31</v>
      </c>
      <c r="D1320" s="43">
        <v>50000</v>
      </c>
      <c r="E1320" s="43"/>
      <c r="F1320" s="43" t="e">
        <f t="shared" si="20"/>
        <v>#N/A</v>
      </c>
      <c r="G1320" s="43"/>
    </row>
    <row r="1321" spans="1:7" x14ac:dyDescent="0.3">
      <c r="A1321" s="79">
        <v>42740</v>
      </c>
      <c r="B1321" s="761" t="s">
        <v>1097</v>
      </c>
      <c r="C1321" s="762"/>
      <c r="D1321" s="71"/>
      <c r="E1321" s="72">
        <v>100000</v>
      </c>
      <c r="F1321" s="43" t="e">
        <f t="shared" si="20"/>
        <v>#N/A</v>
      </c>
      <c r="G1321" s="43"/>
    </row>
    <row r="1322" spans="1:7" x14ac:dyDescent="0.3">
      <c r="A1322" s="79">
        <v>42740</v>
      </c>
      <c r="B1322" s="5" t="s">
        <v>1083</v>
      </c>
      <c r="C1322" s="92" t="s">
        <v>40</v>
      </c>
      <c r="D1322" s="43">
        <v>50000</v>
      </c>
      <c r="E1322" s="43"/>
      <c r="F1322" s="43" t="e">
        <f t="shared" si="20"/>
        <v>#N/A</v>
      </c>
      <c r="G1322" s="43"/>
    </row>
    <row r="1323" spans="1:7" x14ac:dyDescent="0.3">
      <c r="A1323" s="79">
        <v>42740</v>
      </c>
      <c r="B1323" s="5" t="s">
        <v>27</v>
      </c>
      <c r="C1323" s="92" t="s">
        <v>31</v>
      </c>
      <c r="D1323" s="65">
        <v>11000</v>
      </c>
      <c r="E1323" s="43"/>
      <c r="F1323" s="43" t="e">
        <f t="shared" si="20"/>
        <v>#N/A</v>
      </c>
      <c r="G1323" s="43"/>
    </row>
    <row r="1324" spans="1:7" x14ac:dyDescent="0.3">
      <c r="A1324" s="79">
        <v>42740</v>
      </c>
      <c r="B1324" s="5" t="s">
        <v>1084</v>
      </c>
      <c r="C1324" s="92" t="s">
        <v>1274</v>
      </c>
      <c r="D1324" s="65">
        <v>220</v>
      </c>
      <c r="E1324" s="43"/>
      <c r="F1324" s="43" t="e">
        <f t="shared" si="20"/>
        <v>#N/A</v>
      </c>
      <c r="G1324" s="43"/>
    </row>
    <row r="1325" spans="1:7" x14ac:dyDescent="0.3">
      <c r="A1325" s="79">
        <v>42740</v>
      </c>
      <c r="B1325" s="5" t="s">
        <v>992</v>
      </c>
      <c r="C1325" s="92" t="s">
        <v>1085</v>
      </c>
      <c r="D1325" s="43">
        <v>2600</v>
      </c>
      <c r="E1325" s="43"/>
      <c r="F1325" s="43" t="e">
        <f t="shared" si="20"/>
        <v>#N/A</v>
      </c>
      <c r="G1325" s="43"/>
    </row>
    <row r="1326" spans="1:7" x14ac:dyDescent="0.3">
      <c r="A1326" s="79">
        <v>42741</v>
      </c>
      <c r="B1326" s="5" t="s">
        <v>1086</v>
      </c>
      <c r="C1326" s="92" t="s">
        <v>1087</v>
      </c>
      <c r="D1326" s="43">
        <v>6492</v>
      </c>
      <c r="E1326" s="43"/>
      <c r="F1326" s="43" t="e">
        <f t="shared" si="20"/>
        <v>#N/A</v>
      </c>
      <c r="G1326" s="43"/>
    </row>
    <row r="1327" spans="1:7" x14ac:dyDescent="0.3">
      <c r="A1327" s="79">
        <v>42741</v>
      </c>
      <c r="B1327" s="5" t="s">
        <v>445</v>
      </c>
      <c r="C1327" s="92" t="s">
        <v>31</v>
      </c>
      <c r="D1327" s="65">
        <v>10000</v>
      </c>
      <c r="E1327" s="43"/>
      <c r="F1327" s="43" t="e">
        <f t="shared" si="20"/>
        <v>#N/A</v>
      </c>
      <c r="G1327" s="43"/>
    </row>
    <row r="1328" spans="1:7" x14ac:dyDescent="0.3">
      <c r="A1328" s="79">
        <v>42741</v>
      </c>
      <c r="B1328" s="5" t="s">
        <v>104</v>
      </c>
      <c r="C1328" s="92" t="s">
        <v>1094</v>
      </c>
      <c r="D1328" s="65">
        <v>10000</v>
      </c>
      <c r="E1328" s="43"/>
      <c r="F1328" s="43" t="e">
        <f t="shared" si="20"/>
        <v>#N/A</v>
      </c>
      <c r="G1328" s="43"/>
    </row>
    <row r="1329" spans="1:7" ht="37.5" x14ac:dyDescent="0.3">
      <c r="A1329" s="79">
        <v>42741</v>
      </c>
      <c r="B1329" s="5" t="s">
        <v>1095</v>
      </c>
      <c r="C1329" s="92" t="s">
        <v>1096</v>
      </c>
      <c r="D1329" s="65">
        <v>4000</v>
      </c>
      <c r="E1329" s="43"/>
      <c r="F1329" s="43" t="e">
        <f t="shared" si="20"/>
        <v>#N/A</v>
      </c>
      <c r="G1329" s="43"/>
    </row>
    <row r="1330" spans="1:7" x14ac:dyDescent="0.3">
      <c r="A1330" s="79">
        <v>42741</v>
      </c>
      <c r="B1330" s="5" t="s">
        <v>54</v>
      </c>
      <c r="C1330" s="92" t="s">
        <v>1088</v>
      </c>
      <c r="D1330" s="43">
        <v>400</v>
      </c>
      <c r="E1330" s="43"/>
      <c r="F1330" s="43" t="e">
        <f t="shared" si="20"/>
        <v>#N/A</v>
      </c>
      <c r="G1330" s="43"/>
    </row>
    <row r="1331" spans="1:7" x14ac:dyDescent="0.3">
      <c r="A1331" s="79">
        <v>42741</v>
      </c>
      <c r="B1331" s="5" t="s">
        <v>27</v>
      </c>
      <c r="C1331" s="92" t="s">
        <v>31</v>
      </c>
      <c r="D1331" s="43">
        <v>2000</v>
      </c>
      <c r="E1331" s="43"/>
      <c r="F1331" s="43" t="e">
        <f t="shared" si="20"/>
        <v>#N/A</v>
      </c>
      <c r="G1331" s="43"/>
    </row>
    <row r="1332" spans="1:7" x14ac:dyDescent="0.3">
      <c r="A1332" s="79">
        <v>42741</v>
      </c>
      <c r="B1332" s="107" t="s">
        <v>247</v>
      </c>
      <c r="C1332" s="108" t="s">
        <v>31</v>
      </c>
      <c r="D1332" s="109">
        <v>500</v>
      </c>
      <c r="E1332" s="43"/>
      <c r="F1332" s="43" t="e">
        <f t="shared" si="20"/>
        <v>#N/A</v>
      </c>
      <c r="G1332" s="43"/>
    </row>
    <row r="1333" spans="1:7" x14ac:dyDescent="0.3">
      <c r="A1333" s="79">
        <v>42741</v>
      </c>
      <c r="B1333" s="5" t="s">
        <v>855</v>
      </c>
      <c r="C1333" s="92" t="s">
        <v>31</v>
      </c>
      <c r="D1333" s="43">
        <v>3600</v>
      </c>
      <c r="E1333" s="43"/>
      <c r="F1333" s="43" t="e">
        <f t="shared" si="20"/>
        <v>#N/A</v>
      </c>
      <c r="G1333" s="43"/>
    </row>
    <row r="1334" spans="1:7" x14ac:dyDescent="0.3">
      <c r="A1334" s="79">
        <v>42741</v>
      </c>
      <c r="B1334" s="5" t="s">
        <v>855</v>
      </c>
      <c r="C1334" s="92" t="s">
        <v>31</v>
      </c>
      <c r="D1334" s="43">
        <v>1000</v>
      </c>
      <c r="E1334" s="43"/>
      <c r="F1334" s="43" t="e">
        <f t="shared" si="20"/>
        <v>#N/A</v>
      </c>
      <c r="G1334" s="43"/>
    </row>
    <row r="1335" spans="1:7" x14ac:dyDescent="0.3">
      <c r="A1335" s="79">
        <v>42741</v>
      </c>
      <c r="B1335" s="5" t="s">
        <v>247</v>
      </c>
      <c r="C1335" s="92" t="s">
        <v>1090</v>
      </c>
      <c r="D1335" s="43">
        <v>140</v>
      </c>
      <c r="E1335" s="43"/>
      <c r="F1335" s="43" t="e">
        <f t="shared" si="20"/>
        <v>#N/A</v>
      </c>
      <c r="G1335" s="43"/>
    </row>
    <row r="1336" spans="1:7" x14ac:dyDescent="0.3">
      <c r="A1336" s="79">
        <v>42741</v>
      </c>
      <c r="B1336" s="107" t="s">
        <v>247</v>
      </c>
      <c r="C1336" s="108" t="s">
        <v>30</v>
      </c>
      <c r="D1336" s="109">
        <v>50</v>
      </c>
      <c r="E1336" s="43"/>
      <c r="F1336" s="43" t="e">
        <f t="shared" si="20"/>
        <v>#N/A</v>
      </c>
      <c r="G1336" s="43"/>
    </row>
    <row r="1337" spans="1:7" x14ac:dyDescent="0.3">
      <c r="A1337" s="79">
        <v>42741</v>
      </c>
      <c r="B1337" s="5" t="s">
        <v>53</v>
      </c>
      <c r="C1337" s="92" t="s">
        <v>1090</v>
      </c>
      <c r="D1337" s="43">
        <v>140</v>
      </c>
      <c r="E1337" s="43"/>
      <c r="F1337" s="43" t="e">
        <f t="shared" si="20"/>
        <v>#N/A</v>
      </c>
      <c r="G1337" s="43"/>
    </row>
    <row r="1338" spans="1:7" x14ac:dyDescent="0.3">
      <c r="A1338" s="79">
        <v>42741</v>
      </c>
      <c r="B1338" s="5" t="s">
        <v>25</v>
      </c>
      <c r="C1338" s="92" t="s">
        <v>1092</v>
      </c>
      <c r="D1338" s="43">
        <v>50</v>
      </c>
      <c r="E1338" s="43"/>
      <c r="F1338" s="43" t="e">
        <f t="shared" si="20"/>
        <v>#N/A</v>
      </c>
      <c r="G1338" s="43"/>
    </row>
    <row r="1339" spans="1:7" ht="37.5" x14ac:dyDescent="0.3">
      <c r="A1339" s="79">
        <v>42741</v>
      </c>
      <c r="B1339" s="5" t="s">
        <v>230</v>
      </c>
      <c r="C1339" s="92" t="s">
        <v>1091</v>
      </c>
      <c r="D1339" s="43">
        <v>100</v>
      </c>
      <c r="E1339" s="43"/>
      <c r="F1339" s="43" t="e">
        <f t="shared" si="20"/>
        <v>#N/A</v>
      </c>
      <c r="G1339" s="43"/>
    </row>
    <row r="1340" spans="1:7" x14ac:dyDescent="0.3">
      <c r="A1340" s="79">
        <v>42742</v>
      </c>
      <c r="B1340" s="5" t="s">
        <v>16</v>
      </c>
      <c r="C1340" s="92" t="s">
        <v>964</v>
      </c>
      <c r="D1340" s="43">
        <v>360</v>
      </c>
      <c r="E1340" s="43"/>
      <c r="F1340" s="43" t="e">
        <f t="shared" si="20"/>
        <v>#N/A</v>
      </c>
      <c r="G1340" s="43"/>
    </row>
    <row r="1341" spans="1:7" x14ac:dyDescent="0.3">
      <c r="A1341" s="79">
        <v>42742</v>
      </c>
      <c r="B1341" s="5" t="s">
        <v>116</v>
      </c>
      <c r="C1341" s="92" t="s">
        <v>1111</v>
      </c>
      <c r="D1341" s="43">
        <v>140</v>
      </c>
      <c r="E1341" s="43"/>
      <c r="F1341" s="43" t="e">
        <f t="shared" si="20"/>
        <v>#N/A</v>
      </c>
      <c r="G1341" s="43"/>
    </row>
    <row r="1342" spans="1:7" x14ac:dyDescent="0.3">
      <c r="A1342" s="79">
        <v>42742</v>
      </c>
      <c r="B1342" s="5" t="s">
        <v>116</v>
      </c>
      <c r="C1342" s="92" t="s">
        <v>31</v>
      </c>
      <c r="D1342" s="43">
        <v>360</v>
      </c>
      <c r="E1342" s="43"/>
      <c r="F1342" s="43" t="e">
        <f t="shared" si="20"/>
        <v>#N/A</v>
      </c>
      <c r="G1342" s="43"/>
    </row>
    <row r="1343" spans="1:7" x14ac:dyDescent="0.3">
      <c r="A1343" s="79">
        <v>42742</v>
      </c>
      <c r="B1343" s="5" t="s">
        <v>16</v>
      </c>
      <c r="C1343" s="92" t="s">
        <v>31</v>
      </c>
      <c r="D1343" s="43">
        <v>140</v>
      </c>
      <c r="E1343" s="43"/>
      <c r="F1343" s="43" t="e">
        <f t="shared" si="20"/>
        <v>#N/A</v>
      </c>
      <c r="G1343" s="43"/>
    </row>
    <row r="1344" spans="1:7" x14ac:dyDescent="0.3">
      <c r="A1344" s="79">
        <v>42742</v>
      </c>
      <c r="B1344" s="5" t="s">
        <v>25</v>
      </c>
      <c r="C1344" s="101" t="s">
        <v>1104</v>
      </c>
      <c r="D1344" s="43">
        <v>225</v>
      </c>
      <c r="E1344" s="43"/>
      <c r="F1344" s="43" t="e">
        <f t="shared" si="20"/>
        <v>#N/A</v>
      </c>
      <c r="G1344" s="43"/>
    </row>
    <row r="1345" spans="1:7" x14ac:dyDescent="0.3">
      <c r="A1345" s="79">
        <v>42744</v>
      </c>
      <c r="B1345" s="761" t="s">
        <v>1098</v>
      </c>
      <c r="C1345" s="762"/>
      <c r="D1345" s="71"/>
      <c r="E1345" s="72">
        <v>50000</v>
      </c>
      <c r="F1345" s="43" t="e">
        <f t="shared" si="20"/>
        <v>#N/A</v>
      </c>
      <c r="G1345" s="43"/>
    </row>
    <row r="1346" spans="1:7" x14ac:dyDescent="0.3">
      <c r="A1346" s="79">
        <v>42744</v>
      </c>
      <c r="B1346" s="5" t="s">
        <v>719</v>
      </c>
      <c r="C1346" s="92" t="s">
        <v>1099</v>
      </c>
      <c r="D1346" s="43">
        <v>2000</v>
      </c>
      <c r="E1346" s="43"/>
      <c r="F1346" s="43" t="e">
        <f t="shared" si="20"/>
        <v>#N/A</v>
      </c>
      <c r="G1346" s="43"/>
    </row>
    <row r="1347" spans="1:7" x14ac:dyDescent="0.3">
      <c r="A1347" s="79">
        <v>42744</v>
      </c>
      <c r="B1347" s="5" t="s">
        <v>93</v>
      </c>
      <c r="C1347" s="92" t="s">
        <v>1100</v>
      </c>
      <c r="D1347" s="43">
        <v>1900</v>
      </c>
      <c r="E1347" s="43"/>
      <c r="F1347" s="43" t="e">
        <f t="shared" ref="F1347:F1410" si="21">F1346-D1347+E1347</f>
        <v>#N/A</v>
      </c>
      <c r="G1347" s="43"/>
    </row>
    <row r="1348" spans="1:7" x14ac:dyDescent="0.3">
      <c r="A1348" s="79">
        <v>42744</v>
      </c>
      <c r="B1348" s="5" t="s">
        <v>25</v>
      </c>
      <c r="C1348" s="92" t="s">
        <v>1101</v>
      </c>
      <c r="D1348" s="43">
        <v>2400</v>
      </c>
      <c r="E1348" s="43"/>
      <c r="F1348" s="43" t="e">
        <f t="shared" si="21"/>
        <v>#N/A</v>
      </c>
      <c r="G1348" s="43"/>
    </row>
    <row r="1349" spans="1:7" x14ac:dyDescent="0.3">
      <c r="A1349" s="79">
        <v>42744</v>
      </c>
      <c r="B1349" s="5" t="s">
        <v>445</v>
      </c>
      <c r="C1349" s="92" t="s">
        <v>1102</v>
      </c>
      <c r="D1349" s="43">
        <v>10000</v>
      </c>
      <c r="E1349" s="43"/>
      <c r="F1349" s="43" t="e">
        <f t="shared" si="21"/>
        <v>#N/A</v>
      </c>
      <c r="G1349" s="43"/>
    </row>
    <row r="1350" spans="1:7" x14ac:dyDescent="0.3">
      <c r="A1350" s="79">
        <v>42744</v>
      </c>
      <c r="B1350" s="5" t="s">
        <v>120</v>
      </c>
      <c r="C1350" s="92" t="s">
        <v>31</v>
      </c>
      <c r="D1350" s="43">
        <v>10000</v>
      </c>
      <c r="E1350" s="43"/>
      <c r="F1350" s="43" t="e">
        <f t="shared" si="21"/>
        <v>#N/A</v>
      </c>
      <c r="G1350" s="43"/>
    </row>
    <row r="1351" spans="1:7" x14ac:dyDescent="0.3">
      <c r="A1351" s="79">
        <v>42744</v>
      </c>
      <c r="B1351" s="107" t="s">
        <v>16</v>
      </c>
      <c r="C1351" s="108" t="s">
        <v>1103</v>
      </c>
      <c r="D1351" s="109">
        <v>13000</v>
      </c>
      <c r="E1351" s="43"/>
      <c r="F1351" s="43" t="e">
        <f t="shared" si="21"/>
        <v>#N/A</v>
      </c>
      <c r="G1351" s="43"/>
    </row>
    <row r="1352" spans="1:7" x14ac:dyDescent="0.3">
      <c r="A1352" s="79">
        <v>42744</v>
      </c>
      <c r="B1352" s="5" t="s">
        <v>25</v>
      </c>
      <c r="C1352" s="92" t="s">
        <v>1105</v>
      </c>
      <c r="D1352" s="43">
        <v>70</v>
      </c>
      <c r="E1352" s="43"/>
      <c r="F1352" s="43" t="e">
        <f t="shared" si="21"/>
        <v>#N/A</v>
      </c>
      <c r="G1352" s="43"/>
    </row>
    <row r="1353" spans="1:7" ht="56.25" x14ac:dyDescent="0.3">
      <c r="A1353" s="79">
        <v>42744</v>
      </c>
      <c r="B1353" s="5" t="s">
        <v>230</v>
      </c>
      <c r="C1353" s="92" t="s">
        <v>1106</v>
      </c>
      <c r="D1353" s="43">
        <v>150</v>
      </c>
      <c r="E1353" s="43"/>
      <c r="F1353" s="43" t="e">
        <f t="shared" si="21"/>
        <v>#N/A</v>
      </c>
      <c r="G1353" s="43"/>
    </row>
    <row r="1354" spans="1:7" ht="75" x14ac:dyDescent="0.3">
      <c r="A1354" s="79">
        <v>42744</v>
      </c>
      <c r="B1354" s="5" t="s">
        <v>230</v>
      </c>
      <c r="C1354" s="92" t="s">
        <v>1109</v>
      </c>
      <c r="D1354" s="43">
        <v>100</v>
      </c>
      <c r="E1354" s="43"/>
      <c r="F1354" s="43" t="e">
        <f t="shared" si="21"/>
        <v>#N/A</v>
      </c>
      <c r="G1354" s="43"/>
    </row>
    <row r="1355" spans="1:7" ht="37.5" x14ac:dyDescent="0.3">
      <c r="A1355" s="79">
        <v>42744</v>
      </c>
      <c r="B1355" s="5" t="s">
        <v>25</v>
      </c>
      <c r="C1355" s="92" t="s">
        <v>1108</v>
      </c>
      <c r="D1355" s="65">
        <v>100</v>
      </c>
      <c r="E1355" s="43"/>
      <c r="F1355" s="43" t="e">
        <f t="shared" si="21"/>
        <v>#N/A</v>
      </c>
      <c r="G1355" s="43"/>
    </row>
    <row r="1356" spans="1:7" x14ac:dyDescent="0.3">
      <c r="A1356" s="79">
        <v>42744</v>
      </c>
      <c r="B1356" s="5" t="s">
        <v>27</v>
      </c>
      <c r="C1356" s="92" t="s">
        <v>31</v>
      </c>
      <c r="D1356" s="43">
        <v>6000</v>
      </c>
      <c r="E1356" s="43"/>
      <c r="F1356" s="43" t="e">
        <f t="shared" si="21"/>
        <v>#N/A</v>
      </c>
      <c r="G1356" s="43"/>
    </row>
    <row r="1357" spans="1:7" x14ac:dyDescent="0.3">
      <c r="A1357" s="79">
        <v>42744</v>
      </c>
      <c r="B1357" s="5" t="s">
        <v>10</v>
      </c>
      <c r="C1357" s="92" t="s">
        <v>31</v>
      </c>
      <c r="D1357" s="43">
        <v>500</v>
      </c>
      <c r="E1357" s="43"/>
      <c r="F1357" s="43" t="e">
        <f t="shared" si="21"/>
        <v>#N/A</v>
      </c>
      <c r="G1357" s="43"/>
    </row>
    <row r="1358" spans="1:7" x14ac:dyDescent="0.3">
      <c r="A1358" s="79">
        <v>42744</v>
      </c>
      <c r="B1358" s="107" t="s">
        <v>120</v>
      </c>
      <c r="C1358" s="108" t="s">
        <v>1107</v>
      </c>
      <c r="D1358" s="109">
        <v>3000</v>
      </c>
      <c r="E1358" s="43"/>
      <c r="F1358" s="43" t="e">
        <f t="shared" si="21"/>
        <v>#N/A</v>
      </c>
      <c r="G1358" s="43"/>
    </row>
    <row r="1359" spans="1:7" ht="37.5" x14ac:dyDescent="0.3">
      <c r="A1359" s="79">
        <v>42744</v>
      </c>
      <c r="B1359" s="5" t="s">
        <v>568</v>
      </c>
      <c r="C1359" s="92" t="s">
        <v>1110</v>
      </c>
      <c r="D1359" s="43">
        <v>50</v>
      </c>
      <c r="E1359" s="43"/>
      <c r="F1359" s="43" t="e">
        <f t="shared" si="21"/>
        <v>#N/A</v>
      </c>
      <c r="G1359" s="43"/>
    </row>
    <row r="1360" spans="1:7" x14ac:dyDescent="0.3">
      <c r="A1360" s="79">
        <v>42746</v>
      </c>
      <c r="B1360" s="5" t="s">
        <v>25</v>
      </c>
      <c r="C1360" s="92" t="s">
        <v>1114</v>
      </c>
      <c r="D1360" s="43">
        <v>140</v>
      </c>
      <c r="E1360" s="43"/>
      <c r="F1360" s="43" t="e">
        <f t="shared" si="21"/>
        <v>#N/A</v>
      </c>
      <c r="G1360" s="43"/>
    </row>
    <row r="1361" spans="1:7" x14ac:dyDescent="0.3">
      <c r="A1361" s="79">
        <v>42746</v>
      </c>
      <c r="B1361" s="5" t="s">
        <v>25</v>
      </c>
      <c r="C1361" s="92" t="s">
        <v>1115</v>
      </c>
      <c r="D1361" s="43">
        <v>134</v>
      </c>
      <c r="E1361" s="43"/>
      <c r="F1361" s="43" t="e">
        <f t="shared" si="21"/>
        <v>#N/A</v>
      </c>
      <c r="G1361" s="43"/>
    </row>
    <row r="1362" spans="1:7" x14ac:dyDescent="0.3">
      <c r="A1362" s="79">
        <v>42747</v>
      </c>
      <c r="B1362" s="5" t="s">
        <v>16</v>
      </c>
      <c r="C1362" s="92" t="s">
        <v>1112</v>
      </c>
      <c r="D1362" s="43">
        <v>300</v>
      </c>
      <c r="E1362" s="43"/>
      <c r="F1362" s="43" t="e">
        <f t="shared" si="21"/>
        <v>#N/A</v>
      </c>
      <c r="G1362" s="43"/>
    </row>
    <row r="1363" spans="1:7" x14ac:dyDescent="0.3">
      <c r="A1363" s="79">
        <v>42747</v>
      </c>
      <c r="B1363" s="5" t="s">
        <v>25</v>
      </c>
      <c r="C1363" s="92" t="s">
        <v>1113</v>
      </c>
      <c r="D1363" s="43">
        <v>350</v>
      </c>
      <c r="E1363" s="43"/>
      <c r="F1363" s="43" t="e">
        <f t="shared" si="21"/>
        <v>#N/A</v>
      </c>
      <c r="G1363" s="43"/>
    </row>
    <row r="1364" spans="1:7" x14ac:dyDescent="0.3">
      <c r="A1364" s="79">
        <v>42748</v>
      </c>
      <c r="B1364" s="5" t="s">
        <v>961</v>
      </c>
      <c r="C1364" s="92" t="s">
        <v>40</v>
      </c>
      <c r="D1364" s="43">
        <v>1000</v>
      </c>
      <c r="E1364" s="43"/>
      <c r="F1364" s="43" t="e">
        <f t="shared" si="21"/>
        <v>#N/A</v>
      </c>
      <c r="G1364" s="43"/>
    </row>
    <row r="1365" spans="1:7" x14ac:dyDescent="0.3">
      <c r="A1365" s="79">
        <v>42748</v>
      </c>
      <c r="B1365" s="5" t="s">
        <v>16</v>
      </c>
      <c r="C1365" s="92" t="s">
        <v>1116</v>
      </c>
      <c r="D1365" s="43">
        <v>100</v>
      </c>
      <c r="E1365" s="43"/>
      <c r="F1365" s="43" t="e">
        <f t="shared" si="21"/>
        <v>#N/A</v>
      </c>
      <c r="G1365" s="43"/>
    </row>
    <row r="1366" spans="1:7" x14ac:dyDescent="0.3">
      <c r="A1366" s="79">
        <v>42748</v>
      </c>
      <c r="B1366" s="761" t="s">
        <v>1119</v>
      </c>
      <c r="C1366" s="762"/>
      <c r="D1366" s="71"/>
      <c r="E1366" s="72">
        <v>50000</v>
      </c>
      <c r="F1366" s="43" t="e">
        <f t="shared" si="21"/>
        <v>#N/A</v>
      </c>
      <c r="G1366" s="43"/>
    </row>
    <row r="1367" spans="1:7" x14ac:dyDescent="0.3">
      <c r="A1367" s="79">
        <v>42748</v>
      </c>
      <c r="B1367" s="107" t="s">
        <v>58</v>
      </c>
      <c r="C1367" s="108" t="s">
        <v>1118</v>
      </c>
      <c r="D1367" s="109">
        <v>1000</v>
      </c>
      <c r="E1367" s="43"/>
      <c r="F1367" s="43" t="e">
        <f t="shared" si="21"/>
        <v>#N/A</v>
      </c>
      <c r="G1367" s="43"/>
    </row>
    <row r="1368" spans="1:7" ht="37.5" x14ac:dyDescent="0.3">
      <c r="A1368" s="79">
        <v>42748</v>
      </c>
      <c r="B1368" s="5" t="s">
        <v>1003</v>
      </c>
      <c r="C1368" s="92" t="s">
        <v>1120</v>
      </c>
      <c r="D1368" s="43">
        <v>3000</v>
      </c>
      <c r="E1368" s="43"/>
      <c r="F1368" s="43" t="e">
        <f t="shared" si="21"/>
        <v>#N/A</v>
      </c>
      <c r="G1368" s="43"/>
    </row>
    <row r="1369" spans="1:7" x14ac:dyDescent="0.3">
      <c r="A1369" s="79">
        <v>42748</v>
      </c>
      <c r="B1369" s="5" t="s">
        <v>25</v>
      </c>
      <c r="C1369" s="92" t="s">
        <v>51</v>
      </c>
      <c r="D1369" s="43">
        <v>39</v>
      </c>
      <c r="E1369" s="43"/>
      <c r="F1369" s="43" t="e">
        <f t="shared" si="21"/>
        <v>#N/A</v>
      </c>
      <c r="G1369" s="43"/>
    </row>
    <row r="1370" spans="1:7" x14ac:dyDescent="0.3">
      <c r="A1370" s="79">
        <v>42748</v>
      </c>
      <c r="B1370" s="5" t="s">
        <v>27</v>
      </c>
      <c r="C1370" s="92" t="s">
        <v>31</v>
      </c>
      <c r="D1370" s="43">
        <v>5000</v>
      </c>
      <c r="E1370" s="43"/>
      <c r="F1370" s="43" t="e">
        <f t="shared" si="21"/>
        <v>#N/A</v>
      </c>
      <c r="G1370" s="43"/>
    </row>
    <row r="1371" spans="1:7" x14ac:dyDescent="0.3">
      <c r="A1371" s="79">
        <v>42748</v>
      </c>
      <c r="B1371" s="5" t="s">
        <v>160</v>
      </c>
      <c r="C1371" s="92" t="s">
        <v>41</v>
      </c>
      <c r="D1371" s="43">
        <v>1000</v>
      </c>
      <c r="E1371" s="43"/>
      <c r="F1371" s="43" t="e">
        <f t="shared" si="21"/>
        <v>#N/A</v>
      </c>
      <c r="G1371" s="43"/>
    </row>
    <row r="1372" spans="1:7" x14ac:dyDescent="0.3">
      <c r="A1372" s="79">
        <v>42748</v>
      </c>
      <c r="B1372" s="5" t="s">
        <v>164</v>
      </c>
      <c r="C1372" s="92" t="s">
        <v>31</v>
      </c>
      <c r="D1372" s="43">
        <v>10000</v>
      </c>
      <c r="E1372" s="43"/>
      <c r="F1372" s="43" t="e">
        <f t="shared" si="21"/>
        <v>#N/A</v>
      </c>
      <c r="G1372" s="43"/>
    </row>
    <row r="1373" spans="1:7" x14ac:dyDescent="0.3">
      <c r="A1373" s="79">
        <v>42748</v>
      </c>
      <c r="B1373" s="5" t="s">
        <v>1003</v>
      </c>
      <c r="C1373" s="92" t="s">
        <v>1121</v>
      </c>
      <c r="D1373" s="43">
        <v>600</v>
      </c>
      <c r="E1373" s="43"/>
      <c r="F1373" s="43" t="e">
        <f t="shared" si="21"/>
        <v>#N/A</v>
      </c>
      <c r="G1373" s="43"/>
    </row>
    <row r="1374" spans="1:7" x14ac:dyDescent="0.3">
      <c r="A1374" s="79">
        <v>42751</v>
      </c>
      <c r="B1374" s="5" t="s">
        <v>445</v>
      </c>
      <c r="C1374" s="92" t="s">
        <v>31</v>
      </c>
      <c r="D1374" s="43">
        <v>5000</v>
      </c>
      <c r="E1374" s="43"/>
      <c r="F1374" s="43" t="e">
        <f t="shared" si="21"/>
        <v>#N/A</v>
      </c>
      <c r="G1374" s="43"/>
    </row>
    <row r="1375" spans="1:7" ht="56.25" x14ac:dyDescent="0.3">
      <c r="A1375" s="79">
        <v>42751</v>
      </c>
      <c r="B1375" s="5" t="s">
        <v>230</v>
      </c>
      <c r="C1375" s="92" t="s">
        <v>1132</v>
      </c>
      <c r="D1375" s="65">
        <v>6700</v>
      </c>
      <c r="E1375" s="43"/>
      <c r="F1375" s="43" t="e">
        <f t="shared" si="21"/>
        <v>#N/A</v>
      </c>
      <c r="G1375" s="43"/>
    </row>
    <row r="1376" spans="1:7" x14ac:dyDescent="0.3">
      <c r="A1376" s="79">
        <v>42751</v>
      </c>
      <c r="B1376" s="5" t="s">
        <v>1003</v>
      </c>
      <c r="C1376" s="92" t="s">
        <v>1130</v>
      </c>
      <c r="D1376" s="65">
        <v>5655</v>
      </c>
      <c r="E1376" s="43"/>
      <c r="F1376" s="43" t="e">
        <f t="shared" si="21"/>
        <v>#N/A</v>
      </c>
      <c r="G1376" s="43"/>
    </row>
    <row r="1377" spans="1:7" x14ac:dyDescent="0.3">
      <c r="A1377" s="79">
        <v>42751</v>
      </c>
      <c r="B1377" s="5" t="s">
        <v>52</v>
      </c>
      <c r="C1377" s="92" t="s">
        <v>1131</v>
      </c>
      <c r="D1377" s="65">
        <v>10500</v>
      </c>
      <c r="E1377" s="43"/>
      <c r="F1377" s="43" t="e">
        <f t="shared" si="21"/>
        <v>#N/A</v>
      </c>
      <c r="G1377" s="43"/>
    </row>
    <row r="1378" spans="1:7" x14ac:dyDescent="0.3">
      <c r="A1378" s="79">
        <v>42751</v>
      </c>
      <c r="B1378" s="5" t="s">
        <v>27</v>
      </c>
      <c r="C1378" s="92" t="s">
        <v>31</v>
      </c>
      <c r="D1378" s="65">
        <v>2500</v>
      </c>
      <c r="E1378" s="43"/>
      <c r="F1378" s="43" t="e">
        <f t="shared" si="21"/>
        <v>#N/A</v>
      </c>
      <c r="G1378" s="43"/>
    </row>
    <row r="1379" spans="1:7" x14ac:dyDescent="0.3">
      <c r="A1379" s="79">
        <v>42751</v>
      </c>
      <c r="B1379" s="761" t="s">
        <v>1127</v>
      </c>
      <c r="C1379" s="762"/>
      <c r="D1379" s="71"/>
      <c r="E1379" s="72">
        <v>50000</v>
      </c>
      <c r="F1379" s="43" t="e">
        <f t="shared" si="21"/>
        <v>#N/A</v>
      </c>
      <c r="G1379" s="43"/>
    </row>
    <row r="1380" spans="1:7" x14ac:dyDescent="0.3">
      <c r="A1380" s="79">
        <v>42751</v>
      </c>
      <c r="B1380" s="5" t="s">
        <v>961</v>
      </c>
      <c r="C1380" s="92" t="s">
        <v>1138</v>
      </c>
      <c r="D1380" s="65">
        <v>30000</v>
      </c>
      <c r="E1380" s="43"/>
      <c r="F1380" s="43" t="e">
        <f t="shared" si="21"/>
        <v>#N/A</v>
      </c>
      <c r="G1380" s="43"/>
    </row>
    <row r="1381" spans="1:7" x14ac:dyDescent="0.3">
      <c r="A1381" s="79">
        <v>42751</v>
      </c>
      <c r="B1381" s="5" t="s">
        <v>445</v>
      </c>
      <c r="C1381" s="92" t="s">
        <v>1123</v>
      </c>
      <c r="D1381" s="43">
        <v>10000</v>
      </c>
      <c r="E1381" s="43"/>
      <c r="F1381" s="43" t="e">
        <f t="shared" si="21"/>
        <v>#N/A</v>
      </c>
      <c r="G1381" s="43"/>
    </row>
    <row r="1382" spans="1:7" x14ac:dyDescent="0.3">
      <c r="A1382" s="79">
        <v>42751</v>
      </c>
      <c r="B1382" s="5" t="s">
        <v>27</v>
      </c>
      <c r="C1382" s="92" t="s">
        <v>31</v>
      </c>
      <c r="D1382" s="43">
        <v>2000</v>
      </c>
      <c r="E1382" s="43"/>
      <c r="F1382" s="43" t="e">
        <f t="shared" si="21"/>
        <v>#N/A</v>
      </c>
      <c r="G1382" s="43"/>
    </row>
    <row r="1383" spans="1:7" x14ac:dyDescent="0.3">
      <c r="A1383" s="79">
        <v>42751</v>
      </c>
      <c r="B1383" s="5" t="s">
        <v>154</v>
      </c>
      <c r="C1383" s="92" t="s">
        <v>31</v>
      </c>
      <c r="D1383" s="43">
        <v>3000</v>
      </c>
      <c r="E1383" s="43"/>
      <c r="F1383" s="43" t="e">
        <f t="shared" si="21"/>
        <v>#N/A</v>
      </c>
      <c r="G1383" s="43"/>
    </row>
    <row r="1384" spans="1:7" x14ac:dyDescent="0.3">
      <c r="A1384" s="79">
        <v>42751</v>
      </c>
      <c r="B1384" s="5" t="s">
        <v>16</v>
      </c>
      <c r="C1384" s="92" t="s">
        <v>31</v>
      </c>
      <c r="D1384" s="43">
        <v>3000</v>
      </c>
      <c r="E1384" s="43"/>
      <c r="F1384" s="43" t="e">
        <f t="shared" si="21"/>
        <v>#N/A</v>
      </c>
      <c r="G1384" s="43"/>
    </row>
    <row r="1385" spans="1:7" ht="37.5" x14ac:dyDescent="0.3">
      <c r="A1385" s="79">
        <v>42751</v>
      </c>
      <c r="B1385" s="5" t="s">
        <v>25</v>
      </c>
      <c r="C1385" s="92" t="s">
        <v>1125</v>
      </c>
      <c r="D1385" s="43">
        <v>100</v>
      </c>
      <c r="E1385" s="43"/>
      <c r="F1385" s="43" t="e">
        <f t="shared" si="21"/>
        <v>#N/A</v>
      </c>
      <c r="G1385" s="43"/>
    </row>
    <row r="1386" spans="1:7" x14ac:dyDescent="0.3">
      <c r="A1386" s="79">
        <v>42752</v>
      </c>
      <c r="B1386" s="5" t="s">
        <v>25</v>
      </c>
      <c r="C1386" s="92" t="s">
        <v>1124</v>
      </c>
      <c r="D1386" s="43">
        <v>625</v>
      </c>
      <c r="E1386" s="43"/>
      <c r="F1386" s="43" t="e">
        <f t="shared" si="21"/>
        <v>#N/A</v>
      </c>
      <c r="G1386" s="43"/>
    </row>
    <row r="1387" spans="1:7" x14ac:dyDescent="0.3">
      <c r="A1387" s="79">
        <v>42752</v>
      </c>
      <c r="B1387" s="5" t="s">
        <v>1009</v>
      </c>
      <c r="C1387" s="92" t="s">
        <v>31</v>
      </c>
      <c r="D1387" s="43">
        <v>500</v>
      </c>
      <c r="E1387" s="43"/>
      <c r="F1387" s="43" t="e">
        <f t="shared" si="21"/>
        <v>#N/A</v>
      </c>
      <c r="G1387" s="43"/>
    </row>
    <row r="1388" spans="1:7" ht="37.5" x14ac:dyDescent="0.3">
      <c r="A1388" s="79">
        <v>42752</v>
      </c>
      <c r="B1388" s="5" t="s">
        <v>1003</v>
      </c>
      <c r="C1388" s="92" t="s">
        <v>1126</v>
      </c>
      <c r="D1388" s="43">
        <v>500</v>
      </c>
      <c r="E1388" s="43"/>
      <c r="F1388" s="43" t="e">
        <f t="shared" si="21"/>
        <v>#N/A</v>
      </c>
      <c r="G1388" s="43"/>
    </row>
    <row r="1389" spans="1:7" x14ac:dyDescent="0.3">
      <c r="A1389" s="79">
        <v>42752</v>
      </c>
      <c r="B1389" s="761" t="s">
        <v>1127</v>
      </c>
      <c r="C1389" s="762"/>
      <c r="D1389" s="71"/>
      <c r="E1389" s="72">
        <v>50000</v>
      </c>
      <c r="F1389" s="43" t="e">
        <f t="shared" si="21"/>
        <v>#N/A</v>
      </c>
      <c r="G1389" s="43"/>
    </row>
    <row r="1390" spans="1:7" x14ac:dyDescent="0.3">
      <c r="A1390" s="79">
        <v>42752</v>
      </c>
      <c r="B1390" s="5" t="s">
        <v>1128</v>
      </c>
      <c r="C1390" s="92" t="s">
        <v>1129</v>
      </c>
      <c r="D1390" s="43">
        <v>25000</v>
      </c>
      <c r="E1390" s="43"/>
      <c r="F1390" s="43" t="e">
        <f t="shared" si="21"/>
        <v>#N/A</v>
      </c>
      <c r="G1390" s="43"/>
    </row>
    <row r="1391" spans="1:7" ht="37.5" x14ac:dyDescent="0.3">
      <c r="A1391" s="79">
        <v>42752</v>
      </c>
      <c r="B1391" s="5" t="s">
        <v>683</v>
      </c>
      <c r="C1391" s="92" t="s">
        <v>1133</v>
      </c>
      <c r="D1391" s="43">
        <v>400</v>
      </c>
      <c r="E1391" s="43"/>
      <c r="F1391" s="43" t="e">
        <f t="shared" si="21"/>
        <v>#N/A</v>
      </c>
      <c r="G1391" s="43"/>
    </row>
    <row r="1392" spans="1:7" x14ac:dyDescent="0.3">
      <c r="A1392" s="79">
        <v>42752</v>
      </c>
      <c r="B1392" s="5" t="s">
        <v>120</v>
      </c>
      <c r="C1392" s="92" t="s">
        <v>31</v>
      </c>
      <c r="D1392" s="43">
        <v>500</v>
      </c>
      <c r="E1392" s="43"/>
      <c r="F1392" s="43" t="e">
        <f t="shared" si="21"/>
        <v>#N/A</v>
      </c>
      <c r="G1392" s="43"/>
    </row>
    <row r="1393" spans="1:7" ht="37.5" x14ac:dyDescent="0.3">
      <c r="A1393" s="79">
        <v>42752</v>
      </c>
      <c r="B1393" s="5" t="s">
        <v>25</v>
      </c>
      <c r="C1393" s="92" t="s">
        <v>1134</v>
      </c>
      <c r="D1393" s="43">
        <v>3000</v>
      </c>
      <c r="E1393" s="43"/>
      <c r="F1393" s="43" t="e">
        <f t="shared" si="21"/>
        <v>#N/A</v>
      </c>
      <c r="G1393" s="43"/>
    </row>
    <row r="1394" spans="1:7" x14ac:dyDescent="0.3">
      <c r="A1394" s="79">
        <v>42752</v>
      </c>
      <c r="B1394" s="5" t="s">
        <v>1003</v>
      </c>
      <c r="C1394" s="92" t="s">
        <v>1135</v>
      </c>
      <c r="D1394" s="43">
        <v>5500</v>
      </c>
      <c r="E1394" s="43"/>
      <c r="F1394" s="43" t="e">
        <f t="shared" si="21"/>
        <v>#N/A</v>
      </c>
      <c r="G1394" s="43"/>
    </row>
    <row r="1395" spans="1:7" ht="37.5" x14ac:dyDescent="0.3">
      <c r="A1395" s="79">
        <v>42752</v>
      </c>
      <c r="B1395" s="5" t="s">
        <v>1136</v>
      </c>
      <c r="C1395" s="92" t="s">
        <v>1137</v>
      </c>
      <c r="D1395" s="43">
        <v>2000</v>
      </c>
      <c r="E1395" s="43"/>
      <c r="F1395" s="43" t="e">
        <f t="shared" si="21"/>
        <v>#N/A</v>
      </c>
      <c r="G1395" s="43"/>
    </row>
    <row r="1396" spans="1:7" x14ac:dyDescent="0.3">
      <c r="A1396" s="79">
        <v>42752</v>
      </c>
      <c r="B1396" s="5" t="s">
        <v>42</v>
      </c>
      <c r="C1396" s="92" t="s">
        <v>31</v>
      </c>
      <c r="D1396" s="43">
        <v>1500</v>
      </c>
      <c r="E1396" s="43"/>
      <c r="F1396" s="43" t="e">
        <f t="shared" si="21"/>
        <v>#N/A</v>
      </c>
      <c r="G1396" s="43"/>
    </row>
    <row r="1397" spans="1:7" x14ac:dyDescent="0.3">
      <c r="A1397" s="79">
        <v>42752</v>
      </c>
      <c r="B1397" s="5" t="s">
        <v>445</v>
      </c>
      <c r="C1397" s="92" t="s">
        <v>31</v>
      </c>
      <c r="D1397" s="43">
        <v>1000</v>
      </c>
      <c r="E1397" s="43"/>
      <c r="F1397" s="43" t="e">
        <f t="shared" si="21"/>
        <v>#N/A</v>
      </c>
      <c r="G1397" s="43"/>
    </row>
    <row r="1398" spans="1:7" ht="37.5" x14ac:dyDescent="0.3">
      <c r="A1398" s="79">
        <v>42752</v>
      </c>
      <c r="B1398" s="5" t="s">
        <v>25</v>
      </c>
      <c r="C1398" s="92" t="s">
        <v>1140</v>
      </c>
      <c r="D1398" s="43">
        <v>250</v>
      </c>
      <c r="E1398" s="43"/>
      <c r="F1398" s="43" t="e">
        <f t="shared" si="21"/>
        <v>#N/A</v>
      </c>
      <c r="G1398" s="43"/>
    </row>
    <row r="1399" spans="1:7" x14ac:dyDescent="0.3">
      <c r="A1399" s="79">
        <v>42753</v>
      </c>
      <c r="B1399" s="5" t="s">
        <v>120</v>
      </c>
      <c r="C1399" s="92" t="s">
        <v>31</v>
      </c>
      <c r="D1399" s="43">
        <v>2000</v>
      </c>
      <c r="E1399" s="43"/>
      <c r="F1399" s="43" t="e">
        <f t="shared" si="21"/>
        <v>#N/A</v>
      </c>
      <c r="G1399" s="43"/>
    </row>
    <row r="1400" spans="1:7" x14ac:dyDescent="0.3">
      <c r="A1400" s="79">
        <v>42753</v>
      </c>
      <c r="B1400" s="5" t="s">
        <v>25</v>
      </c>
      <c r="C1400" s="92" t="s">
        <v>1154</v>
      </c>
      <c r="D1400" s="43">
        <v>55</v>
      </c>
      <c r="E1400" s="43"/>
      <c r="F1400" s="43" t="e">
        <f t="shared" si="21"/>
        <v>#N/A</v>
      </c>
      <c r="G1400" s="43"/>
    </row>
    <row r="1401" spans="1:7" x14ac:dyDescent="0.3">
      <c r="A1401" s="79">
        <v>42753</v>
      </c>
      <c r="B1401" s="5" t="s">
        <v>16</v>
      </c>
      <c r="C1401" s="92" t="s">
        <v>31</v>
      </c>
      <c r="D1401" s="43">
        <v>500</v>
      </c>
      <c r="E1401" s="43"/>
      <c r="F1401" s="43" t="e">
        <f t="shared" si="21"/>
        <v>#N/A</v>
      </c>
      <c r="G1401" s="43"/>
    </row>
    <row r="1402" spans="1:7" x14ac:dyDescent="0.3">
      <c r="A1402" s="79">
        <v>42754</v>
      </c>
      <c r="B1402" s="5" t="s">
        <v>120</v>
      </c>
      <c r="C1402" s="92" t="s">
        <v>31</v>
      </c>
      <c r="D1402" s="43">
        <v>2000</v>
      </c>
      <c r="E1402" s="43"/>
      <c r="F1402" s="43" t="e">
        <f t="shared" si="21"/>
        <v>#N/A</v>
      </c>
      <c r="G1402" s="43"/>
    </row>
    <row r="1403" spans="1:7" x14ac:dyDescent="0.3">
      <c r="A1403" s="79">
        <v>42754</v>
      </c>
      <c r="B1403" s="5" t="s">
        <v>1141</v>
      </c>
      <c r="C1403" s="92" t="s">
        <v>1142</v>
      </c>
      <c r="D1403" s="65">
        <v>770</v>
      </c>
      <c r="E1403" s="43"/>
      <c r="F1403" s="43" t="e">
        <f t="shared" si="21"/>
        <v>#N/A</v>
      </c>
      <c r="G1403" s="43"/>
    </row>
    <row r="1404" spans="1:7" x14ac:dyDescent="0.3">
      <c r="A1404" s="79">
        <v>42754</v>
      </c>
      <c r="B1404" s="761" t="s">
        <v>1143</v>
      </c>
      <c r="C1404" s="762"/>
      <c r="D1404" s="71"/>
      <c r="E1404" s="72">
        <v>50000</v>
      </c>
      <c r="F1404" s="43" t="e">
        <f t="shared" si="21"/>
        <v>#N/A</v>
      </c>
      <c r="G1404" s="43"/>
    </row>
    <row r="1405" spans="1:7" ht="56.25" x14ac:dyDescent="0.3">
      <c r="A1405" s="79">
        <v>42754</v>
      </c>
      <c r="B1405" s="5" t="s">
        <v>1144</v>
      </c>
      <c r="C1405" s="92" t="s">
        <v>1145</v>
      </c>
      <c r="D1405" s="43">
        <v>12250</v>
      </c>
      <c r="E1405" s="43"/>
      <c r="F1405" s="43" t="e">
        <f t="shared" si="21"/>
        <v>#N/A</v>
      </c>
      <c r="G1405" s="43"/>
    </row>
    <row r="1406" spans="1:7" ht="37.5" x14ac:dyDescent="0.3">
      <c r="A1406" s="79">
        <v>42754</v>
      </c>
      <c r="B1406" s="5" t="s">
        <v>25</v>
      </c>
      <c r="C1406" s="92" t="s">
        <v>1155</v>
      </c>
      <c r="D1406" s="43">
        <v>195</v>
      </c>
      <c r="E1406" s="43"/>
      <c r="F1406" s="43" t="e">
        <f t="shared" si="21"/>
        <v>#N/A</v>
      </c>
      <c r="G1406" s="43"/>
    </row>
    <row r="1407" spans="1:7" x14ac:dyDescent="0.3">
      <c r="A1407" s="79">
        <v>42754</v>
      </c>
      <c r="B1407" s="5" t="s">
        <v>160</v>
      </c>
      <c r="C1407" s="92" t="s">
        <v>1146</v>
      </c>
      <c r="D1407" s="43">
        <v>5000</v>
      </c>
      <c r="E1407" s="43"/>
      <c r="F1407" s="43" t="e">
        <f t="shared" si="21"/>
        <v>#N/A</v>
      </c>
      <c r="G1407" s="43"/>
    </row>
    <row r="1408" spans="1:7" x14ac:dyDescent="0.3">
      <c r="A1408" s="79">
        <v>42754</v>
      </c>
      <c r="B1408" s="5" t="s">
        <v>164</v>
      </c>
      <c r="C1408" s="92" t="s">
        <v>31</v>
      </c>
      <c r="D1408" s="43">
        <v>10000</v>
      </c>
      <c r="E1408" s="43"/>
      <c r="F1408" s="43" t="e">
        <f t="shared" si="21"/>
        <v>#N/A</v>
      </c>
      <c r="G1408" s="43"/>
    </row>
    <row r="1409" spans="1:7" x14ac:dyDescent="0.3">
      <c r="A1409" s="79">
        <v>42754</v>
      </c>
      <c r="B1409" s="95" t="s">
        <v>127</v>
      </c>
      <c r="C1409" s="96" t="s">
        <v>1148</v>
      </c>
      <c r="D1409" s="97">
        <v>4130</v>
      </c>
      <c r="E1409" s="43"/>
      <c r="F1409" s="43" t="e">
        <f t="shared" si="21"/>
        <v>#N/A</v>
      </c>
      <c r="G1409" s="43"/>
    </row>
    <row r="1410" spans="1:7" x14ac:dyDescent="0.3">
      <c r="A1410" s="79">
        <v>42754</v>
      </c>
      <c r="B1410" s="5" t="s">
        <v>445</v>
      </c>
      <c r="C1410" s="92" t="s">
        <v>1147</v>
      </c>
      <c r="D1410" s="43">
        <v>5000</v>
      </c>
      <c r="E1410" s="43"/>
      <c r="F1410" s="43" t="e">
        <f t="shared" si="21"/>
        <v>#N/A</v>
      </c>
      <c r="G1410" s="43"/>
    </row>
    <row r="1411" spans="1:7" x14ac:dyDescent="0.3">
      <c r="A1411" s="79">
        <v>42754</v>
      </c>
      <c r="B1411" s="5" t="s">
        <v>120</v>
      </c>
      <c r="C1411" s="92" t="s">
        <v>31</v>
      </c>
      <c r="D1411" s="43">
        <v>10000</v>
      </c>
      <c r="E1411" s="43"/>
      <c r="F1411" s="43" t="e">
        <f t="shared" ref="F1411:F1474" si="22">F1410-D1411+E1411</f>
        <v>#N/A</v>
      </c>
      <c r="G1411" s="43"/>
    </row>
    <row r="1412" spans="1:7" ht="37.5" x14ac:dyDescent="0.3">
      <c r="A1412" s="79">
        <v>42754</v>
      </c>
      <c r="B1412" s="5" t="s">
        <v>445</v>
      </c>
      <c r="C1412" s="92" t="s">
        <v>1159</v>
      </c>
      <c r="D1412" s="43">
        <v>1000</v>
      </c>
      <c r="E1412" s="43"/>
      <c r="F1412" s="43" t="e">
        <f t="shared" si="22"/>
        <v>#N/A</v>
      </c>
      <c r="G1412" s="43"/>
    </row>
    <row r="1413" spans="1:7" ht="37.5" x14ac:dyDescent="0.3">
      <c r="A1413" s="79">
        <v>42755</v>
      </c>
      <c r="B1413" s="5" t="s">
        <v>116</v>
      </c>
      <c r="C1413" s="92" t="s">
        <v>1149</v>
      </c>
      <c r="D1413" s="43">
        <v>300</v>
      </c>
      <c r="E1413" s="43"/>
      <c r="F1413" s="43" t="e">
        <f t="shared" si="22"/>
        <v>#N/A</v>
      </c>
      <c r="G1413" s="43"/>
    </row>
    <row r="1414" spans="1:7" x14ac:dyDescent="0.3">
      <c r="A1414" s="79">
        <v>42755</v>
      </c>
      <c r="B1414" s="761" t="s">
        <v>1150</v>
      </c>
      <c r="C1414" s="762"/>
      <c r="D1414" s="71"/>
      <c r="E1414" s="72">
        <v>90000</v>
      </c>
      <c r="F1414" s="43" t="e">
        <f t="shared" si="22"/>
        <v>#N/A</v>
      </c>
      <c r="G1414" s="43"/>
    </row>
    <row r="1415" spans="1:7" x14ac:dyDescent="0.3">
      <c r="A1415" s="79">
        <v>42755</v>
      </c>
      <c r="B1415" s="5" t="s">
        <v>27</v>
      </c>
      <c r="C1415" s="92" t="s">
        <v>31</v>
      </c>
      <c r="D1415" s="65">
        <v>10000</v>
      </c>
      <c r="E1415" s="65"/>
      <c r="F1415" s="43" t="e">
        <f t="shared" si="22"/>
        <v>#N/A</v>
      </c>
      <c r="G1415" s="43"/>
    </row>
    <row r="1416" spans="1:7" x14ac:dyDescent="0.3">
      <c r="A1416" s="79">
        <v>42755</v>
      </c>
      <c r="B1416" s="5" t="s">
        <v>445</v>
      </c>
      <c r="C1416" s="92" t="s">
        <v>31</v>
      </c>
      <c r="D1416" s="65">
        <v>35000</v>
      </c>
      <c r="E1416" s="65"/>
      <c r="F1416" s="43" t="e">
        <f t="shared" si="22"/>
        <v>#N/A</v>
      </c>
      <c r="G1416" s="43"/>
    </row>
    <row r="1417" spans="1:7" x14ac:dyDescent="0.3">
      <c r="A1417" s="122">
        <v>42755</v>
      </c>
      <c r="B1417" s="107" t="s">
        <v>230</v>
      </c>
      <c r="C1417" s="108" t="s">
        <v>1177</v>
      </c>
      <c r="D1417" s="109">
        <v>9800</v>
      </c>
      <c r="E1417" s="109"/>
      <c r="F1417" s="43" t="e">
        <f t="shared" si="22"/>
        <v>#N/A</v>
      </c>
      <c r="G1417" s="109"/>
    </row>
    <row r="1418" spans="1:7" ht="37.5" x14ac:dyDescent="0.3">
      <c r="A1418" s="79">
        <v>42755</v>
      </c>
      <c r="B1418" s="5" t="s">
        <v>230</v>
      </c>
      <c r="C1418" s="92" t="s">
        <v>1175</v>
      </c>
      <c r="D1418" s="65">
        <v>9200</v>
      </c>
      <c r="E1418" s="65"/>
      <c r="F1418" s="43" t="e">
        <f t="shared" si="22"/>
        <v>#N/A</v>
      </c>
      <c r="G1418" s="65"/>
    </row>
    <row r="1419" spans="1:7" ht="37.5" x14ac:dyDescent="0.3">
      <c r="A1419" s="79">
        <v>42755</v>
      </c>
      <c r="B1419" s="5" t="s">
        <v>541</v>
      </c>
      <c r="C1419" s="92" t="s">
        <v>1151</v>
      </c>
      <c r="D1419" s="65">
        <v>400</v>
      </c>
      <c r="E1419" s="65"/>
      <c r="F1419" s="43" t="e">
        <f t="shared" si="22"/>
        <v>#N/A</v>
      </c>
      <c r="G1419" s="43"/>
    </row>
    <row r="1420" spans="1:7" x14ac:dyDescent="0.3">
      <c r="A1420" s="79">
        <v>42756</v>
      </c>
      <c r="B1420" s="5" t="s">
        <v>16</v>
      </c>
      <c r="C1420" s="92" t="s">
        <v>1152</v>
      </c>
      <c r="D1420" s="43">
        <v>5000</v>
      </c>
      <c r="E1420" s="43"/>
      <c r="F1420" s="43" t="e">
        <f t="shared" si="22"/>
        <v>#N/A</v>
      </c>
      <c r="G1420" s="43"/>
    </row>
    <row r="1421" spans="1:7" x14ac:dyDescent="0.3">
      <c r="A1421" s="79">
        <v>42756</v>
      </c>
      <c r="B1421" s="5" t="s">
        <v>160</v>
      </c>
      <c r="C1421" s="92" t="s">
        <v>1153</v>
      </c>
      <c r="D1421" s="43">
        <v>1000</v>
      </c>
      <c r="E1421" s="43"/>
      <c r="F1421" s="43" t="e">
        <f t="shared" si="22"/>
        <v>#N/A</v>
      </c>
      <c r="G1421" s="43"/>
    </row>
    <row r="1422" spans="1:7" x14ac:dyDescent="0.3">
      <c r="A1422" s="79">
        <v>42756</v>
      </c>
      <c r="B1422" s="5" t="s">
        <v>25</v>
      </c>
      <c r="C1422" s="92" t="s">
        <v>1163</v>
      </c>
      <c r="D1422" s="43"/>
      <c r="E1422" s="43"/>
      <c r="F1422" s="43" t="e">
        <f t="shared" si="22"/>
        <v>#N/A</v>
      </c>
      <c r="G1422" s="43"/>
    </row>
    <row r="1423" spans="1:7" x14ac:dyDescent="0.3">
      <c r="A1423" s="79">
        <v>42756</v>
      </c>
      <c r="B1423" s="5" t="s">
        <v>120</v>
      </c>
      <c r="C1423" s="92" t="s">
        <v>1158</v>
      </c>
      <c r="D1423" s="43">
        <v>5500</v>
      </c>
      <c r="E1423" s="43"/>
      <c r="F1423" s="43" t="e">
        <f t="shared" si="22"/>
        <v>#N/A</v>
      </c>
      <c r="G1423" s="43"/>
    </row>
    <row r="1424" spans="1:7" x14ac:dyDescent="0.3">
      <c r="A1424" s="79">
        <v>42756</v>
      </c>
      <c r="B1424" s="5" t="s">
        <v>1003</v>
      </c>
      <c r="C1424" s="92" t="s">
        <v>1156</v>
      </c>
      <c r="D1424" s="43">
        <v>600</v>
      </c>
      <c r="E1424" s="43"/>
      <c r="F1424" s="43" t="e">
        <f t="shared" si="22"/>
        <v>#N/A</v>
      </c>
      <c r="G1424" s="43"/>
    </row>
    <row r="1425" spans="1:7" x14ac:dyDescent="0.3">
      <c r="A1425" s="79">
        <v>42756</v>
      </c>
      <c r="B1425" s="5" t="s">
        <v>154</v>
      </c>
      <c r="C1425" s="92" t="s">
        <v>31</v>
      </c>
      <c r="D1425" s="43">
        <v>500</v>
      </c>
      <c r="E1425" s="43"/>
      <c r="F1425" s="43" t="e">
        <f t="shared" si="22"/>
        <v>#N/A</v>
      </c>
      <c r="G1425" s="43"/>
    </row>
    <row r="1426" spans="1:7" x14ac:dyDescent="0.3">
      <c r="A1426" s="79">
        <v>42756</v>
      </c>
      <c r="B1426" s="5" t="s">
        <v>27</v>
      </c>
      <c r="C1426" s="92" t="s">
        <v>1157</v>
      </c>
      <c r="D1426" s="43">
        <v>5000</v>
      </c>
      <c r="E1426" s="43"/>
      <c r="F1426" s="43" t="e">
        <f t="shared" si="22"/>
        <v>#N/A</v>
      </c>
      <c r="G1426" s="43"/>
    </row>
    <row r="1427" spans="1:7" x14ac:dyDescent="0.3">
      <c r="A1427" s="79">
        <v>42758</v>
      </c>
      <c r="B1427" s="5" t="s">
        <v>154</v>
      </c>
      <c r="C1427" s="92" t="s">
        <v>1160</v>
      </c>
      <c r="D1427" s="43">
        <v>4000</v>
      </c>
      <c r="E1427" s="43"/>
      <c r="F1427" s="43" t="e">
        <f t="shared" si="22"/>
        <v>#N/A</v>
      </c>
      <c r="G1427" s="43"/>
    </row>
    <row r="1428" spans="1:7" x14ac:dyDescent="0.3">
      <c r="A1428" s="79">
        <v>42758</v>
      </c>
      <c r="B1428" s="5" t="s">
        <v>16</v>
      </c>
      <c r="C1428" s="92" t="s">
        <v>1161</v>
      </c>
      <c r="D1428" s="43">
        <v>500</v>
      </c>
      <c r="E1428" s="43"/>
      <c r="F1428" s="43" t="e">
        <f t="shared" si="22"/>
        <v>#N/A</v>
      </c>
      <c r="G1428" s="43"/>
    </row>
    <row r="1429" spans="1:7" x14ac:dyDescent="0.3">
      <c r="A1429" s="79">
        <v>42758</v>
      </c>
      <c r="B1429" s="5" t="s">
        <v>68</v>
      </c>
      <c r="C1429" s="92" t="s">
        <v>31</v>
      </c>
      <c r="D1429" s="43">
        <v>4000</v>
      </c>
      <c r="E1429" s="43"/>
      <c r="F1429" s="43" t="e">
        <f t="shared" si="22"/>
        <v>#N/A</v>
      </c>
      <c r="G1429" s="43"/>
    </row>
    <row r="1430" spans="1:7" x14ac:dyDescent="0.3">
      <c r="A1430" s="79">
        <v>42758</v>
      </c>
      <c r="B1430" s="5" t="s">
        <v>445</v>
      </c>
      <c r="C1430" s="92" t="s">
        <v>31</v>
      </c>
      <c r="D1430" s="43">
        <v>1000</v>
      </c>
      <c r="E1430" s="43"/>
      <c r="F1430" s="43" t="e">
        <f t="shared" si="22"/>
        <v>#N/A</v>
      </c>
      <c r="G1430" s="43"/>
    </row>
    <row r="1431" spans="1:7" ht="56.25" x14ac:dyDescent="0.3">
      <c r="A1431" s="79">
        <v>42758</v>
      </c>
      <c r="B1431" s="5" t="s">
        <v>25</v>
      </c>
      <c r="C1431" s="92" t="s">
        <v>1162</v>
      </c>
      <c r="D1431" s="43">
        <v>715</v>
      </c>
      <c r="E1431" s="43"/>
      <c r="F1431" s="43" t="e">
        <f t="shared" si="22"/>
        <v>#N/A</v>
      </c>
      <c r="G1431" s="43"/>
    </row>
    <row r="1432" spans="1:7" x14ac:dyDescent="0.3">
      <c r="A1432" s="79">
        <v>42758</v>
      </c>
      <c r="B1432" s="761" t="s">
        <v>1179</v>
      </c>
      <c r="C1432" s="762"/>
      <c r="D1432" s="71"/>
      <c r="E1432" s="72">
        <v>50000</v>
      </c>
      <c r="F1432" s="43" t="e">
        <f t="shared" si="22"/>
        <v>#N/A</v>
      </c>
      <c r="G1432" s="43"/>
    </row>
    <row r="1433" spans="1:7" x14ac:dyDescent="0.3">
      <c r="A1433" s="79">
        <v>42758</v>
      </c>
      <c r="B1433" s="5" t="s">
        <v>160</v>
      </c>
      <c r="C1433" s="92" t="s">
        <v>1164</v>
      </c>
      <c r="D1433" s="43">
        <v>4000</v>
      </c>
      <c r="E1433" s="43"/>
      <c r="F1433" s="43" t="e">
        <f t="shared" si="22"/>
        <v>#N/A</v>
      </c>
      <c r="G1433" s="43"/>
    </row>
    <row r="1434" spans="1:7" x14ac:dyDescent="0.3">
      <c r="A1434" s="79">
        <v>42758</v>
      </c>
      <c r="B1434" s="5" t="s">
        <v>16</v>
      </c>
      <c r="C1434" s="92" t="s">
        <v>77</v>
      </c>
      <c r="D1434" s="43">
        <v>6000</v>
      </c>
      <c r="E1434" s="43"/>
      <c r="F1434" s="43" t="e">
        <f t="shared" si="22"/>
        <v>#N/A</v>
      </c>
      <c r="G1434" s="43"/>
    </row>
    <row r="1435" spans="1:7" ht="37.5" x14ac:dyDescent="0.3">
      <c r="A1435" s="79">
        <v>42758</v>
      </c>
      <c r="B1435" s="5" t="s">
        <v>230</v>
      </c>
      <c r="C1435" s="92" t="s">
        <v>1173</v>
      </c>
      <c r="D1435" s="65">
        <v>7750</v>
      </c>
      <c r="E1435" s="43"/>
      <c r="F1435" s="43" t="e">
        <f t="shared" si="22"/>
        <v>#N/A</v>
      </c>
      <c r="G1435" s="43"/>
    </row>
    <row r="1436" spans="1:7" ht="75" x14ac:dyDescent="0.3">
      <c r="A1436" s="79">
        <v>42758</v>
      </c>
      <c r="B1436" s="5" t="s">
        <v>230</v>
      </c>
      <c r="C1436" s="92" t="s">
        <v>1174</v>
      </c>
      <c r="D1436" s="65">
        <v>740</v>
      </c>
      <c r="E1436" s="43"/>
      <c r="F1436" s="43" t="e">
        <f t="shared" si="22"/>
        <v>#N/A</v>
      </c>
      <c r="G1436" s="43"/>
    </row>
    <row r="1437" spans="1:7" x14ac:dyDescent="0.3">
      <c r="A1437" s="79">
        <v>42758</v>
      </c>
      <c r="B1437" s="5" t="s">
        <v>27</v>
      </c>
      <c r="C1437" s="92" t="s">
        <v>31</v>
      </c>
      <c r="D1437" s="43">
        <v>50</v>
      </c>
      <c r="E1437" s="43"/>
      <c r="F1437" s="43" t="e">
        <f t="shared" si="22"/>
        <v>#N/A</v>
      </c>
      <c r="G1437" s="43"/>
    </row>
    <row r="1438" spans="1:7" ht="37.5" x14ac:dyDescent="0.3">
      <c r="A1438" s="79">
        <v>42758</v>
      </c>
      <c r="B1438" s="5" t="s">
        <v>127</v>
      </c>
      <c r="C1438" s="92" t="s">
        <v>1176</v>
      </c>
      <c r="D1438" s="65">
        <v>16000</v>
      </c>
      <c r="E1438" s="65"/>
      <c r="F1438" s="43" t="e">
        <f t="shared" si="22"/>
        <v>#N/A</v>
      </c>
      <c r="G1438" s="65"/>
    </row>
    <row r="1439" spans="1:7" x14ac:dyDescent="0.3">
      <c r="A1439" s="79">
        <v>42758</v>
      </c>
      <c r="B1439" s="5" t="s">
        <v>961</v>
      </c>
      <c r="C1439" s="92" t="s">
        <v>1165</v>
      </c>
      <c r="D1439" s="43">
        <v>1000</v>
      </c>
      <c r="E1439" s="43"/>
      <c r="F1439" s="43" t="e">
        <f t="shared" si="22"/>
        <v>#N/A</v>
      </c>
      <c r="G1439" s="43"/>
    </row>
    <row r="1440" spans="1:7" ht="37.5" x14ac:dyDescent="0.3">
      <c r="A1440" s="79">
        <v>42758</v>
      </c>
      <c r="B1440" s="5" t="s">
        <v>25</v>
      </c>
      <c r="C1440" s="92" t="s">
        <v>1169</v>
      </c>
      <c r="D1440" s="43">
        <v>1029</v>
      </c>
      <c r="E1440" s="43"/>
      <c r="F1440" s="43" t="e">
        <f t="shared" si="22"/>
        <v>#N/A</v>
      </c>
      <c r="G1440" s="43"/>
    </row>
    <row r="1441" spans="1:7" x14ac:dyDescent="0.3">
      <c r="A1441" s="79">
        <v>42759</v>
      </c>
      <c r="B1441" s="5" t="s">
        <v>68</v>
      </c>
      <c r="C1441" s="92" t="s">
        <v>31</v>
      </c>
      <c r="D1441" s="43">
        <v>2000</v>
      </c>
      <c r="E1441" s="43"/>
      <c r="F1441" s="43" t="e">
        <f t="shared" si="22"/>
        <v>#N/A</v>
      </c>
      <c r="G1441" s="43"/>
    </row>
    <row r="1442" spans="1:7" x14ac:dyDescent="0.3">
      <c r="A1442" s="79">
        <v>42759</v>
      </c>
      <c r="B1442" s="5" t="s">
        <v>445</v>
      </c>
      <c r="C1442" s="92" t="s">
        <v>31</v>
      </c>
      <c r="D1442" s="43">
        <v>1000</v>
      </c>
      <c r="E1442" s="43"/>
      <c r="F1442" s="43" t="e">
        <f t="shared" si="22"/>
        <v>#N/A</v>
      </c>
      <c r="G1442" s="43"/>
    </row>
    <row r="1443" spans="1:7" x14ac:dyDescent="0.3">
      <c r="A1443" s="79">
        <v>42759</v>
      </c>
      <c r="B1443" s="5" t="s">
        <v>961</v>
      </c>
      <c r="C1443" s="92" t="s">
        <v>1166</v>
      </c>
      <c r="D1443" s="43">
        <v>3000</v>
      </c>
      <c r="E1443" s="43"/>
      <c r="F1443" s="43" t="e">
        <f t="shared" si="22"/>
        <v>#N/A</v>
      </c>
      <c r="G1443" s="43"/>
    </row>
    <row r="1444" spans="1:7" x14ac:dyDescent="0.3">
      <c r="A1444" s="79">
        <v>42759</v>
      </c>
      <c r="B1444" s="5" t="s">
        <v>120</v>
      </c>
      <c r="C1444" s="92" t="s">
        <v>40</v>
      </c>
      <c r="D1444" s="43">
        <v>2000</v>
      </c>
      <c r="E1444" s="43"/>
      <c r="F1444" s="43" t="e">
        <f t="shared" si="22"/>
        <v>#N/A</v>
      </c>
      <c r="G1444" s="43"/>
    </row>
    <row r="1445" spans="1:7" x14ac:dyDescent="0.3">
      <c r="A1445" s="79">
        <v>42759</v>
      </c>
      <c r="B1445" s="5" t="s">
        <v>391</v>
      </c>
      <c r="C1445" s="92" t="s">
        <v>1167</v>
      </c>
      <c r="D1445" s="43">
        <v>500</v>
      </c>
      <c r="E1445" s="43"/>
      <c r="F1445" s="43" t="e">
        <f t="shared" si="22"/>
        <v>#N/A</v>
      </c>
      <c r="G1445" s="43"/>
    </row>
    <row r="1446" spans="1:7" x14ac:dyDescent="0.3">
      <c r="A1446" s="79">
        <v>42759</v>
      </c>
      <c r="B1446" s="5" t="s">
        <v>445</v>
      </c>
      <c r="C1446" s="92" t="s">
        <v>1168</v>
      </c>
      <c r="D1446" s="43">
        <v>1000</v>
      </c>
      <c r="E1446" s="43"/>
      <c r="F1446" s="43" t="e">
        <f t="shared" si="22"/>
        <v>#N/A</v>
      </c>
      <c r="G1446" s="43"/>
    </row>
    <row r="1447" spans="1:7" x14ac:dyDescent="0.3">
      <c r="A1447" s="79">
        <v>42759</v>
      </c>
      <c r="B1447" s="5" t="s">
        <v>25</v>
      </c>
      <c r="C1447" s="92" t="s">
        <v>605</v>
      </c>
      <c r="D1447" s="43">
        <v>100</v>
      </c>
      <c r="E1447" s="43"/>
      <c r="F1447" s="43" t="e">
        <f t="shared" si="22"/>
        <v>#N/A</v>
      </c>
      <c r="G1447" s="43"/>
    </row>
    <row r="1448" spans="1:7" x14ac:dyDescent="0.3">
      <c r="A1448" s="79">
        <v>42759</v>
      </c>
      <c r="B1448" s="5" t="s">
        <v>25</v>
      </c>
      <c r="C1448" s="92" t="s">
        <v>1170</v>
      </c>
      <c r="D1448" s="43">
        <v>100</v>
      </c>
      <c r="E1448" s="43"/>
      <c r="F1448" s="43" t="e">
        <f t="shared" si="22"/>
        <v>#N/A</v>
      </c>
      <c r="G1448" s="43"/>
    </row>
    <row r="1449" spans="1:7" x14ac:dyDescent="0.3">
      <c r="A1449" s="79">
        <v>42759</v>
      </c>
      <c r="B1449" s="5" t="s">
        <v>25</v>
      </c>
      <c r="C1449" s="92" t="s">
        <v>1171</v>
      </c>
      <c r="D1449" s="43">
        <v>500</v>
      </c>
      <c r="E1449" s="43"/>
      <c r="F1449" s="43" t="e">
        <f t="shared" si="22"/>
        <v>#N/A</v>
      </c>
      <c r="G1449" s="43"/>
    </row>
    <row r="1450" spans="1:7" x14ac:dyDescent="0.3">
      <c r="A1450" s="79">
        <v>42759</v>
      </c>
      <c r="B1450" s="5" t="s">
        <v>70</v>
      </c>
      <c r="C1450" s="92" t="s">
        <v>1172</v>
      </c>
      <c r="D1450" s="43">
        <v>240</v>
      </c>
      <c r="E1450" s="43"/>
      <c r="F1450" s="43" t="e">
        <f t="shared" si="22"/>
        <v>#N/A</v>
      </c>
      <c r="G1450" s="43"/>
    </row>
    <row r="1451" spans="1:7" x14ac:dyDescent="0.3">
      <c r="A1451" s="79">
        <v>42759</v>
      </c>
      <c r="B1451" s="5" t="s">
        <v>27</v>
      </c>
      <c r="C1451" s="92" t="s">
        <v>31</v>
      </c>
      <c r="D1451" s="43">
        <v>1000</v>
      </c>
      <c r="E1451" s="43"/>
      <c r="F1451" s="43" t="e">
        <f t="shared" si="22"/>
        <v>#N/A</v>
      </c>
      <c r="G1451" s="43"/>
    </row>
    <row r="1452" spans="1:7" x14ac:dyDescent="0.3">
      <c r="A1452" s="79">
        <v>42759</v>
      </c>
      <c r="B1452" s="5" t="s">
        <v>116</v>
      </c>
      <c r="C1452" s="92" t="s">
        <v>798</v>
      </c>
      <c r="D1452" s="43">
        <v>700</v>
      </c>
      <c r="E1452" s="43"/>
      <c r="F1452" s="43" t="e">
        <f t="shared" si="22"/>
        <v>#N/A</v>
      </c>
      <c r="G1452" s="43"/>
    </row>
    <row r="1453" spans="1:7" x14ac:dyDescent="0.3">
      <c r="A1453" s="79">
        <v>42759</v>
      </c>
      <c r="B1453" s="761" t="s">
        <v>1180</v>
      </c>
      <c r="C1453" s="762"/>
      <c r="D1453" s="71"/>
      <c r="E1453" s="72">
        <v>50000</v>
      </c>
      <c r="F1453" s="43" t="e">
        <f t="shared" si="22"/>
        <v>#N/A</v>
      </c>
      <c r="G1453" s="43"/>
    </row>
    <row r="1454" spans="1:7" x14ac:dyDescent="0.3">
      <c r="A1454" s="79">
        <v>42759</v>
      </c>
      <c r="B1454" s="5" t="s">
        <v>160</v>
      </c>
      <c r="C1454" s="92" t="s">
        <v>1178</v>
      </c>
      <c r="D1454" s="43">
        <v>2000</v>
      </c>
      <c r="E1454" s="43"/>
      <c r="F1454" s="43" t="e">
        <f t="shared" si="22"/>
        <v>#N/A</v>
      </c>
      <c r="G1454" s="43"/>
    </row>
    <row r="1455" spans="1:7" x14ac:dyDescent="0.3">
      <c r="A1455" s="79">
        <v>42759</v>
      </c>
      <c r="B1455" s="5" t="s">
        <v>160</v>
      </c>
      <c r="C1455" s="92" t="s">
        <v>1186</v>
      </c>
      <c r="D1455" s="43">
        <v>2000</v>
      </c>
      <c r="E1455" s="43"/>
      <c r="F1455" s="43" t="e">
        <f t="shared" si="22"/>
        <v>#N/A</v>
      </c>
      <c r="G1455" s="43"/>
    </row>
    <row r="1456" spans="1:7" x14ac:dyDescent="0.3">
      <c r="A1456" s="79">
        <v>42759</v>
      </c>
      <c r="B1456" s="5" t="s">
        <v>160</v>
      </c>
      <c r="C1456" s="92" t="s">
        <v>1187</v>
      </c>
      <c r="D1456" s="43">
        <v>2000</v>
      </c>
      <c r="E1456" s="43"/>
      <c r="F1456" s="43" t="e">
        <f t="shared" si="22"/>
        <v>#N/A</v>
      </c>
      <c r="G1456" s="43"/>
    </row>
    <row r="1457" spans="1:7" x14ac:dyDescent="0.3">
      <c r="A1457" s="79">
        <v>42759</v>
      </c>
      <c r="B1457" s="5" t="s">
        <v>4</v>
      </c>
      <c r="C1457" s="92" t="s">
        <v>294</v>
      </c>
      <c r="D1457" s="43">
        <v>2000</v>
      </c>
      <c r="E1457" s="43"/>
      <c r="F1457" s="43" t="e">
        <f t="shared" si="22"/>
        <v>#N/A</v>
      </c>
      <c r="G1457" s="43"/>
    </row>
    <row r="1458" spans="1:7" x14ac:dyDescent="0.3">
      <c r="A1458" s="79">
        <v>42759</v>
      </c>
      <c r="B1458" s="5" t="s">
        <v>1181</v>
      </c>
      <c r="C1458" s="92" t="s">
        <v>1182</v>
      </c>
      <c r="D1458" s="43">
        <v>25418</v>
      </c>
      <c r="E1458" s="43"/>
      <c r="F1458" s="43" t="e">
        <f t="shared" si="22"/>
        <v>#N/A</v>
      </c>
      <c r="G1458" s="43"/>
    </row>
    <row r="1459" spans="1:7" x14ac:dyDescent="0.3">
      <c r="A1459" s="79">
        <v>42759</v>
      </c>
      <c r="B1459" s="5" t="s">
        <v>247</v>
      </c>
      <c r="C1459" s="92" t="s">
        <v>964</v>
      </c>
      <c r="D1459" s="43">
        <v>50</v>
      </c>
      <c r="E1459" s="43"/>
      <c r="F1459" s="43" t="e">
        <f t="shared" si="22"/>
        <v>#N/A</v>
      </c>
      <c r="G1459" s="43"/>
    </row>
    <row r="1460" spans="1:7" x14ac:dyDescent="0.3">
      <c r="A1460" s="79">
        <v>42759</v>
      </c>
      <c r="B1460" s="5" t="s">
        <v>27</v>
      </c>
      <c r="C1460" s="92" t="s">
        <v>1183</v>
      </c>
      <c r="D1460" s="43">
        <v>10000</v>
      </c>
      <c r="E1460" s="43"/>
      <c r="F1460" s="43" t="e">
        <f t="shared" si="22"/>
        <v>#N/A</v>
      </c>
      <c r="G1460" s="43"/>
    </row>
    <row r="1461" spans="1:7" x14ac:dyDescent="0.3">
      <c r="A1461" s="79">
        <v>42759</v>
      </c>
      <c r="B1461" s="5" t="s">
        <v>1084</v>
      </c>
      <c r="C1461" s="92" t="s">
        <v>77</v>
      </c>
      <c r="D1461" s="43">
        <v>500</v>
      </c>
      <c r="E1461" s="43"/>
      <c r="F1461" s="43" t="e">
        <f t="shared" si="22"/>
        <v>#N/A</v>
      </c>
      <c r="G1461" s="43"/>
    </row>
    <row r="1462" spans="1:7" x14ac:dyDescent="0.3">
      <c r="A1462" s="79">
        <v>42759</v>
      </c>
      <c r="B1462" s="5" t="s">
        <v>1009</v>
      </c>
      <c r="C1462" s="92" t="s">
        <v>1184</v>
      </c>
      <c r="D1462" s="43">
        <v>200</v>
      </c>
      <c r="E1462" s="43"/>
      <c r="F1462" s="43" t="e">
        <f t="shared" si="22"/>
        <v>#N/A</v>
      </c>
      <c r="G1462" s="43"/>
    </row>
    <row r="1463" spans="1:7" ht="48.75" customHeight="1" x14ac:dyDescent="0.3">
      <c r="A1463" s="79">
        <v>42760</v>
      </c>
      <c r="B1463" s="766" t="s">
        <v>1194</v>
      </c>
      <c r="C1463" s="767"/>
      <c r="D1463" s="71"/>
      <c r="E1463" s="72">
        <v>3400</v>
      </c>
      <c r="F1463" s="43" t="e">
        <f t="shared" si="22"/>
        <v>#N/A</v>
      </c>
      <c r="G1463" s="43"/>
    </row>
    <row r="1464" spans="1:7" x14ac:dyDescent="0.3">
      <c r="A1464" s="79">
        <v>42760</v>
      </c>
      <c r="B1464" s="5" t="s">
        <v>104</v>
      </c>
      <c r="C1464" s="92" t="s">
        <v>31</v>
      </c>
      <c r="D1464" s="43">
        <v>500</v>
      </c>
      <c r="E1464" s="43"/>
      <c r="F1464" s="43" t="e">
        <f t="shared" si="22"/>
        <v>#N/A</v>
      </c>
      <c r="G1464" s="43"/>
    </row>
    <row r="1465" spans="1:7" x14ac:dyDescent="0.3">
      <c r="A1465" s="79">
        <v>42760</v>
      </c>
      <c r="B1465" s="5" t="s">
        <v>1185</v>
      </c>
      <c r="C1465" s="92" t="s">
        <v>692</v>
      </c>
      <c r="D1465" s="43">
        <v>4400</v>
      </c>
      <c r="E1465" s="43"/>
      <c r="F1465" s="43" t="e">
        <f t="shared" si="22"/>
        <v>#N/A</v>
      </c>
      <c r="G1465" s="43"/>
    </row>
    <row r="1466" spans="1:7" x14ac:dyDescent="0.3">
      <c r="A1466" s="79">
        <v>42760</v>
      </c>
      <c r="B1466" s="5" t="s">
        <v>27</v>
      </c>
      <c r="C1466" s="92" t="s">
        <v>294</v>
      </c>
      <c r="D1466" s="43">
        <v>3500</v>
      </c>
      <c r="E1466" s="43"/>
      <c r="F1466" s="43" t="e">
        <f t="shared" si="22"/>
        <v>#N/A</v>
      </c>
      <c r="G1466" s="43"/>
    </row>
    <row r="1467" spans="1:7" x14ac:dyDescent="0.3">
      <c r="A1467" s="79">
        <v>42761</v>
      </c>
      <c r="B1467" s="761" t="s">
        <v>1188</v>
      </c>
      <c r="C1467" s="762"/>
      <c r="D1467" s="71"/>
      <c r="E1467" s="72">
        <v>100000</v>
      </c>
      <c r="F1467" s="43" t="e">
        <f t="shared" si="22"/>
        <v>#N/A</v>
      </c>
      <c r="G1467" s="43"/>
    </row>
    <row r="1468" spans="1:7" x14ac:dyDescent="0.3">
      <c r="A1468" s="79">
        <v>42761</v>
      </c>
      <c r="B1468" s="5" t="s">
        <v>1189</v>
      </c>
      <c r="C1468" s="92" t="s">
        <v>1190</v>
      </c>
      <c r="D1468" s="43">
        <v>30000</v>
      </c>
      <c r="E1468" s="43"/>
      <c r="F1468" s="43" t="e">
        <f t="shared" si="22"/>
        <v>#N/A</v>
      </c>
      <c r="G1468" s="43"/>
    </row>
    <row r="1469" spans="1:7" x14ac:dyDescent="0.3">
      <c r="A1469" s="79">
        <v>42761</v>
      </c>
      <c r="B1469" s="5" t="s">
        <v>154</v>
      </c>
      <c r="C1469" s="92" t="s">
        <v>31</v>
      </c>
      <c r="D1469" s="43">
        <v>3000</v>
      </c>
      <c r="E1469" s="43"/>
      <c r="F1469" s="43" t="e">
        <f t="shared" si="22"/>
        <v>#N/A</v>
      </c>
      <c r="G1469" s="43"/>
    </row>
    <row r="1470" spans="1:7" x14ac:dyDescent="0.3">
      <c r="A1470" s="79">
        <v>42761</v>
      </c>
      <c r="B1470" s="107" t="s">
        <v>1191</v>
      </c>
      <c r="C1470" s="108" t="s">
        <v>31</v>
      </c>
      <c r="D1470" s="109">
        <v>1000</v>
      </c>
      <c r="E1470" s="43"/>
      <c r="F1470" s="43" t="e">
        <f t="shared" si="22"/>
        <v>#N/A</v>
      </c>
      <c r="G1470" s="43"/>
    </row>
    <row r="1471" spans="1:7" x14ac:dyDescent="0.3">
      <c r="A1471" s="79">
        <v>42761</v>
      </c>
      <c r="B1471" s="5" t="s">
        <v>160</v>
      </c>
      <c r="C1471" s="92" t="s">
        <v>1196</v>
      </c>
      <c r="D1471" s="43">
        <v>3000</v>
      </c>
      <c r="E1471" s="43"/>
      <c r="F1471" s="43" t="e">
        <f t="shared" si="22"/>
        <v>#N/A</v>
      </c>
      <c r="G1471" s="43"/>
    </row>
    <row r="1472" spans="1:7" x14ac:dyDescent="0.3">
      <c r="A1472" s="79">
        <v>42761</v>
      </c>
      <c r="B1472" s="5" t="s">
        <v>4</v>
      </c>
      <c r="C1472" s="92" t="s">
        <v>798</v>
      </c>
      <c r="D1472" s="43">
        <v>20000</v>
      </c>
      <c r="E1472" s="43"/>
      <c r="F1472" s="43" t="e">
        <f t="shared" si="22"/>
        <v>#N/A</v>
      </c>
      <c r="G1472" s="43"/>
    </row>
    <row r="1473" spans="1:7" x14ac:dyDescent="0.3">
      <c r="A1473" s="79">
        <v>42761</v>
      </c>
      <c r="B1473" s="5" t="s">
        <v>68</v>
      </c>
      <c r="C1473" s="92" t="s">
        <v>31</v>
      </c>
      <c r="D1473" s="43">
        <v>2000</v>
      </c>
      <c r="E1473" s="43"/>
      <c r="F1473" s="43" t="e">
        <f t="shared" si="22"/>
        <v>#N/A</v>
      </c>
      <c r="G1473" s="43"/>
    </row>
    <row r="1474" spans="1:7" x14ac:dyDescent="0.3">
      <c r="A1474" s="79">
        <v>42761</v>
      </c>
      <c r="B1474" s="5" t="s">
        <v>961</v>
      </c>
      <c r="C1474" s="92" t="s">
        <v>1192</v>
      </c>
      <c r="D1474" s="43">
        <v>10000</v>
      </c>
      <c r="E1474" s="43"/>
      <c r="F1474" s="43" t="e">
        <f t="shared" si="22"/>
        <v>#N/A</v>
      </c>
      <c r="G1474" s="43"/>
    </row>
    <row r="1475" spans="1:7" ht="75" x14ac:dyDescent="0.3">
      <c r="A1475" s="79">
        <v>42761</v>
      </c>
      <c r="B1475" s="5" t="s">
        <v>25</v>
      </c>
      <c r="C1475" s="92" t="s">
        <v>1202</v>
      </c>
      <c r="D1475" s="43">
        <v>395</v>
      </c>
      <c r="E1475" s="43"/>
      <c r="F1475" s="43" t="e">
        <f t="shared" ref="F1475:F1538" si="23">F1474-D1475+E1475</f>
        <v>#N/A</v>
      </c>
      <c r="G1475" s="43"/>
    </row>
    <row r="1476" spans="1:7" x14ac:dyDescent="0.3">
      <c r="A1476" s="79">
        <v>42761</v>
      </c>
      <c r="B1476" s="5" t="s">
        <v>1193</v>
      </c>
      <c r="C1476" s="92" t="s">
        <v>1195</v>
      </c>
      <c r="D1476" s="43">
        <v>600</v>
      </c>
      <c r="E1476" s="43"/>
      <c r="F1476" s="43" t="e">
        <f t="shared" si="23"/>
        <v>#N/A</v>
      </c>
      <c r="G1476" s="43"/>
    </row>
    <row r="1477" spans="1:7" x14ac:dyDescent="0.3">
      <c r="A1477" s="79">
        <v>42762</v>
      </c>
      <c r="B1477" s="5" t="s">
        <v>127</v>
      </c>
      <c r="C1477" s="92" t="s">
        <v>1197</v>
      </c>
      <c r="D1477" s="43">
        <v>2900</v>
      </c>
      <c r="E1477" s="43"/>
      <c r="F1477" s="43" t="e">
        <f t="shared" si="23"/>
        <v>#N/A</v>
      </c>
      <c r="G1477" s="43"/>
    </row>
    <row r="1478" spans="1:7" x14ac:dyDescent="0.3">
      <c r="A1478" s="79">
        <v>42762</v>
      </c>
      <c r="B1478" s="5" t="s">
        <v>27</v>
      </c>
      <c r="C1478" s="92" t="s">
        <v>31</v>
      </c>
      <c r="D1478" s="43">
        <v>7000</v>
      </c>
      <c r="E1478" s="43"/>
      <c r="F1478" s="43" t="e">
        <f t="shared" si="23"/>
        <v>#N/A</v>
      </c>
      <c r="G1478" s="43"/>
    </row>
    <row r="1479" spans="1:7" x14ac:dyDescent="0.3">
      <c r="A1479" s="79">
        <v>42762</v>
      </c>
      <c r="B1479" s="5" t="s">
        <v>160</v>
      </c>
      <c r="C1479" s="92" t="s">
        <v>27</v>
      </c>
      <c r="D1479" s="43">
        <v>10000</v>
      </c>
      <c r="E1479" s="43"/>
      <c r="F1479" s="43" t="e">
        <f t="shared" si="23"/>
        <v>#N/A</v>
      </c>
      <c r="G1479" s="43"/>
    </row>
    <row r="1480" spans="1:7" ht="37.5" x14ac:dyDescent="0.3">
      <c r="A1480" s="79">
        <v>42762</v>
      </c>
      <c r="B1480" s="5" t="s">
        <v>247</v>
      </c>
      <c r="C1480" s="92" t="s">
        <v>1198</v>
      </c>
      <c r="D1480" s="43">
        <v>1200</v>
      </c>
      <c r="E1480" s="43"/>
      <c r="F1480" s="43" t="e">
        <f t="shared" si="23"/>
        <v>#N/A</v>
      </c>
      <c r="G1480" s="43"/>
    </row>
    <row r="1481" spans="1:7" x14ac:dyDescent="0.3">
      <c r="A1481" s="79">
        <v>42762</v>
      </c>
      <c r="B1481" s="5" t="s">
        <v>230</v>
      </c>
      <c r="C1481" s="92" t="s">
        <v>36</v>
      </c>
      <c r="D1481" s="43">
        <v>1500</v>
      </c>
      <c r="E1481" s="43"/>
      <c r="F1481" s="43" t="e">
        <f t="shared" si="23"/>
        <v>#N/A</v>
      </c>
      <c r="G1481" s="43"/>
    </row>
    <row r="1482" spans="1:7" x14ac:dyDescent="0.3">
      <c r="A1482" s="79">
        <v>42762</v>
      </c>
      <c r="B1482" s="107" t="s">
        <v>247</v>
      </c>
      <c r="C1482" s="108" t="s">
        <v>139</v>
      </c>
      <c r="D1482" s="109">
        <v>1000</v>
      </c>
      <c r="E1482" s="43"/>
      <c r="F1482" s="43" t="e">
        <f t="shared" si="23"/>
        <v>#N/A</v>
      </c>
      <c r="G1482" s="43"/>
    </row>
    <row r="1483" spans="1:7" x14ac:dyDescent="0.3">
      <c r="A1483" s="79">
        <v>42762</v>
      </c>
      <c r="B1483" s="761" t="s">
        <v>1188</v>
      </c>
      <c r="C1483" s="762"/>
      <c r="D1483" s="71"/>
      <c r="E1483" s="72">
        <v>20000</v>
      </c>
      <c r="F1483" s="43" t="e">
        <f t="shared" si="23"/>
        <v>#N/A</v>
      </c>
      <c r="G1483" s="43"/>
    </row>
    <row r="1484" spans="1:7" ht="37.5" x14ac:dyDescent="0.3">
      <c r="A1484" s="79">
        <v>42763</v>
      </c>
      <c r="B1484" s="5" t="s">
        <v>70</v>
      </c>
      <c r="C1484" s="92" t="s">
        <v>1199</v>
      </c>
      <c r="D1484" s="65">
        <v>1220</v>
      </c>
      <c r="E1484" s="43"/>
      <c r="F1484" s="43" t="e">
        <f t="shared" si="23"/>
        <v>#N/A</v>
      </c>
      <c r="G1484" s="43"/>
    </row>
    <row r="1485" spans="1:7" ht="37.5" x14ac:dyDescent="0.3">
      <c r="A1485" s="79">
        <v>42763</v>
      </c>
      <c r="B1485" s="5" t="s">
        <v>230</v>
      </c>
      <c r="C1485" s="92" t="s">
        <v>1200</v>
      </c>
      <c r="D1485" s="43">
        <v>300</v>
      </c>
      <c r="E1485" s="43"/>
      <c r="F1485" s="43" t="e">
        <f t="shared" si="23"/>
        <v>#N/A</v>
      </c>
      <c r="G1485" s="43"/>
    </row>
    <row r="1486" spans="1:7" x14ac:dyDescent="0.3">
      <c r="A1486" s="79">
        <v>42763</v>
      </c>
      <c r="B1486" s="5" t="s">
        <v>16</v>
      </c>
      <c r="C1486" s="92" t="s">
        <v>31</v>
      </c>
      <c r="D1486" s="43">
        <v>2000</v>
      </c>
      <c r="E1486" s="43"/>
      <c r="F1486" s="43" t="e">
        <f t="shared" si="23"/>
        <v>#N/A</v>
      </c>
      <c r="G1486" s="43"/>
    </row>
    <row r="1487" spans="1:7" x14ac:dyDescent="0.3">
      <c r="A1487" s="79">
        <v>42763</v>
      </c>
      <c r="B1487" s="5" t="s">
        <v>961</v>
      </c>
      <c r="C1487" s="92" t="s">
        <v>40</v>
      </c>
      <c r="D1487" s="43">
        <v>20000</v>
      </c>
      <c r="E1487" s="43"/>
      <c r="F1487" s="43" t="e">
        <f t="shared" si="23"/>
        <v>#N/A</v>
      </c>
      <c r="G1487" s="43"/>
    </row>
    <row r="1488" spans="1:7" x14ac:dyDescent="0.3">
      <c r="A1488" s="79">
        <v>42763</v>
      </c>
      <c r="B1488" s="5" t="s">
        <v>1003</v>
      </c>
      <c r="C1488" s="92" t="s">
        <v>1201</v>
      </c>
      <c r="D1488" s="43">
        <v>1500</v>
      </c>
      <c r="E1488" s="43"/>
      <c r="F1488" s="43" t="e">
        <f t="shared" si="23"/>
        <v>#N/A</v>
      </c>
      <c r="G1488" s="43"/>
    </row>
    <row r="1489" spans="1:10" x14ac:dyDescent="0.3">
      <c r="A1489" s="79">
        <v>42763</v>
      </c>
      <c r="B1489" s="5" t="s">
        <v>160</v>
      </c>
      <c r="C1489" s="92" t="s">
        <v>1203</v>
      </c>
      <c r="D1489" s="43">
        <v>1000</v>
      </c>
      <c r="E1489" s="43"/>
      <c r="F1489" s="43" t="e">
        <f t="shared" si="23"/>
        <v>#N/A</v>
      </c>
      <c r="G1489" s="43"/>
    </row>
    <row r="1490" spans="1:10" ht="37.5" x14ac:dyDescent="0.3">
      <c r="A1490" s="79">
        <v>42763</v>
      </c>
      <c r="B1490" s="5" t="s">
        <v>25</v>
      </c>
      <c r="C1490" s="92" t="s">
        <v>1208</v>
      </c>
      <c r="D1490" s="43">
        <v>510</v>
      </c>
      <c r="E1490" s="43"/>
      <c r="F1490" s="43" t="e">
        <f t="shared" si="23"/>
        <v>#N/A</v>
      </c>
      <c r="G1490" s="43"/>
    </row>
    <row r="1491" spans="1:10" x14ac:dyDescent="0.3">
      <c r="A1491" s="79">
        <v>42765</v>
      </c>
      <c r="B1491" s="5" t="s">
        <v>39</v>
      </c>
      <c r="C1491" s="92" t="s">
        <v>1204</v>
      </c>
      <c r="D1491" s="43">
        <v>100</v>
      </c>
      <c r="E1491" s="43"/>
      <c r="F1491" s="43" t="e">
        <f t="shared" si="23"/>
        <v>#N/A</v>
      </c>
      <c r="G1491" s="43"/>
    </row>
    <row r="1492" spans="1:10" x14ac:dyDescent="0.3">
      <c r="A1492" s="79">
        <v>42765</v>
      </c>
      <c r="B1492" s="761" t="s">
        <v>1188</v>
      </c>
      <c r="C1492" s="762"/>
      <c r="D1492" s="71"/>
      <c r="E1492" s="72">
        <v>50000</v>
      </c>
      <c r="F1492" s="43" t="e">
        <f t="shared" si="23"/>
        <v>#N/A</v>
      </c>
      <c r="G1492" s="43"/>
    </row>
    <row r="1493" spans="1:10" x14ac:dyDescent="0.3">
      <c r="A1493" s="79">
        <v>42765</v>
      </c>
      <c r="B1493" s="115" t="s">
        <v>1128</v>
      </c>
      <c r="C1493" s="115" t="s">
        <v>1205</v>
      </c>
      <c r="D1493" s="112">
        <v>20180</v>
      </c>
      <c r="E1493" s="58"/>
      <c r="F1493" s="43" t="e">
        <f t="shared" si="23"/>
        <v>#N/A</v>
      </c>
      <c r="G1493" s="65"/>
      <c r="H1493" s="102"/>
      <c r="I1493" s="102"/>
      <c r="J1493" s="102"/>
    </row>
    <row r="1494" spans="1:10" x14ac:dyDescent="0.3">
      <c r="A1494" s="79">
        <v>42765</v>
      </c>
      <c r="B1494" s="115" t="s">
        <v>567</v>
      </c>
      <c r="C1494" s="115" t="s">
        <v>1205</v>
      </c>
      <c r="D1494" s="112">
        <v>5000</v>
      </c>
      <c r="E1494" s="58"/>
      <c r="F1494" s="43" t="e">
        <f t="shared" si="23"/>
        <v>#N/A</v>
      </c>
      <c r="G1494" s="65"/>
      <c r="H1494" s="102"/>
      <c r="I1494" s="102"/>
      <c r="J1494" s="102"/>
    </row>
    <row r="1495" spans="1:10" x14ac:dyDescent="0.3">
      <c r="A1495" s="79">
        <v>42765</v>
      </c>
      <c r="B1495" s="115" t="s">
        <v>52</v>
      </c>
      <c r="C1495" s="115" t="s">
        <v>1206</v>
      </c>
      <c r="D1495" s="112">
        <v>500</v>
      </c>
      <c r="E1495" s="58"/>
      <c r="F1495" s="43" t="e">
        <f t="shared" si="23"/>
        <v>#N/A</v>
      </c>
      <c r="G1495" s="65"/>
      <c r="H1495" s="102"/>
      <c r="I1495" s="102"/>
      <c r="J1495" s="102"/>
    </row>
    <row r="1496" spans="1:10" x14ac:dyDescent="0.3">
      <c r="A1496" s="79">
        <v>42765</v>
      </c>
      <c r="B1496" s="115" t="s">
        <v>164</v>
      </c>
      <c r="C1496" s="115" t="s">
        <v>749</v>
      </c>
      <c r="D1496" s="112">
        <v>10000</v>
      </c>
      <c r="E1496" s="58"/>
      <c r="F1496" s="43" t="e">
        <f t="shared" si="23"/>
        <v>#N/A</v>
      </c>
      <c r="G1496" s="65"/>
      <c r="H1496" s="102"/>
      <c r="I1496" s="102"/>
      <c r="J1496" s="102"/>
    </row>
    <row r="1497" spans="1:10" ht="37.5" x14ac:dyDescent="0.3">
      <c r="A1497" s="79">
        <v>42766</v>
      </c>
      <c r="B1497" s="5" t="s">
        <v>107</v>
      </c>
      <c r="C1497" s="92" t="s">
        <v>1228</v>
      </c>
      <c r="D1497" s="65">
        <v>1400</v>
      </c>
      <c r="E1497" s="43"/>
      <c r="F1497" s="43" t="e">
        <f t="shared" si="23"/>
        <v>#N/A</v>
      </c>
      <c r="G1497" s="43"/>
    </row>
    <row r="1498" spans="1:10" x14ac:dyDescent="0.3">
      <c r="A1498" s="79">
        <v>42766</v>
      </c>
      <c r="B1498" s="5" t="s">
        <v>445</v>
      </c>
      <c r="C1498" s="92" t="s">
        <v>31</v>
      </c>
      <c r="D1498" s="43">
        <v>10000</v>
      </c>
      <c r="E1498" s="43"/>
      <c r="F1498" s="43" t="e">
        <f t="shared" si="23"/>
        <v>#N/A</v>
      </c>
      <c r="G1498" s="43"/>
    </row>
    <row r="1499" spans="1:10" ht="37.5" x14ac:dyDescent="0.3">
      <c r="A1499" s="79">
        <v>42766</v>
      </c>
      <c r="B1499" s="5" t="s">
        <v>25</v>
      </c>
      <c r="C1499" s="92" t="s">
        <v>1207</v>
      </c>
      <c r="D1499" s="43">
        <v>1000</v>
      </c>
      <c r="E1499" s="43"/>
      <c r="F1499" s="43" t="e">
        <f t="shared" si="23"/>
        <v>#N/A</v>
      </c>
      <c r="G1499" s="43"/>
    </row>
    <row r="1500" spans="1:10" x14ac:dyDescent="0.3">
      <c r="A1500" s="79">
        <v>42766</v>
      </c>
      <c r="B1500" s="761" t="s">
        <v>1188</v>
      </c>
      <c r="C1500" s="762"/>
      <c r="D1500" s="71"/>
      <c r="E1500" s="72">
        <v>50000</v>
      </c>
      <c r="F1500" s="43" t="e">
        <f t="shared" si="23"/>
        <v>#N/A</v>
      </c>
      <c r="G1500" s="43"/>
    </row>
    <row r="1501" spans="1:10" ht="37.5" x14ac:dyDescent="0.3">
      <c r="A1501" s="79">
        <v>42766</v>
      </c>
      <c r="B1501" s="5" t="s">
        <v>230</v>
      </c>
      <c r="C1501" s="92" t="s">
        <v>1209</v>
      </c>
      <c r="D1501" s="43">
        <v>3610</v>
      </c>
      <c r="E1501" s="43">
        <v>-7000</v>
      </c>
      <c r="F1501" s="43" t="e">
        <f t="shared" si="23"/>
        <v>#N/A</v>
      </c>
      <c r="G1501" s="43"/>
    </row>
    <row r="1502" spans="1:10" x14ac:dyDescent="0.3">
      <c r="A1502" s="79">
        <v>42767</v>
      </c>
      <c r="B1502" s="5" t="s">
        <v>1210</v>
      </c>
      <c r="C1502" s="92" t="s">
        <v>1211</v>
      </c>
      <c r="D1502" s="65">
        <v>5000</v>
      </c>
      <c r="E1502" s="43"/>
      <c r="F1502" s="43" t="e">
        <f t="shared" si="23"/>
        <v>#N/A</v>
      </c>
      <c r="G1502" s="43"/>
    </row>
    <row r="1503" spans="1:10" x14ac:dyDescent="0.3">
      <c r="A1503" s="79">
        <v>42767</v>
      </c>
      <c r="B1503" s="5" t="s">
        <v>116</v>
      </c>
      <c r="C1503" s="92" t="s">
        <v>40</v>
      </c>
      <c r="D1503" s="43">
        <v>5000</v>
      </c>
      <c r="E1503" s="43"/>
      <c r="F1503" s="43" t="e">
        <f t="shared" si="23"/>
        <v>#N/A</v>
      </c>
      <c r="G1503" s="43"/>
    </row>
    <row r="1504" spans="1:10" x14ac:dyDescent="0.3">
      <c r="A1504" s="79">
        <v>42767</v>
      </c>
      <c r="B1504" s="5" t="s">
        <v>1084</v>
      </c>
      <c r="C1504" s="92" t="s">
        <v>40</v>
      </c>
      <c r="D1504" s="43">
        <v>1780</v>
      </c>
      <c r="E1504" s="43"/>
      <c r="F1504" s="43" t="e">
        <f t="shared" si="23"/>
        <v>#N/A</v>
      </c>
      <c r="G1504" s="43"/>
    </row>
    <row r="1505" spans="1:7" ht="37.5" x14ac:dyDescent="0.3">
      <c r="A1505" s="79">
        <v>42767</v>
      </c>
      <c r="B1505" s="59" t="s">
        <v>120</v>
      </c>
      <c r="C1505" s="92" t="s">
        <v>1223</v>
      </c>
      <c r="D1505" s="43">
        <v>5411</v>
      </c>
      <c r="E1505" s="43"/>
      <c r="F1505" s="43" t="e">
        <f t="shared" si="23"/>
        <v>#N/A</v>
      </c>
      <c r="G1505" s="43"/>
    </row>
    <row r="1506" spans="1:7" x14ac:dyDescent="0.3">
      <c r="A1506" s="79">
        <v>42767</v>
      </c>
      <c r="B1506" s="5" t="s">
        <v>68</v>
      </c>
      <c r="C1506" s="92" t="s">
        <v>294</v>
      </c>
      <c r="D1506" s="43">
        <v>500</v>
      </c>
      <c r="E1506" s="43"/>
      <c r="F1506" s="43" t="e">
        <f t="shared" si="23"/>
        <v>#N/A</v>
      </c>
      <c r="G1506" s="43"/>
    </row>
    <row r="1507" spans="1:7" ht="37.5" x14ac:dyDescent="0.3">
      <c r="A1507" s="79">
        <v>42767</v>
      </c>
      <c r="B1507" s="5" t="s">
        <v>1212</v>
      </c>
      <c r="C1507" s="92" t="s">
        <v>1213</v>
      </c>
      <c r="D1507" s="43">
        <v>8700</v>
      </c>
      <c r="E1507" s="43"/>
      <c r="F1507" s="43" t="e">
        <f t="shared" si="23"/>
        <v>#N/A</v>
      </c>
      <c r="G1507" s="43"/>
    </row>
    <row r="1508" spans="1:7" x14ac:dyDescent="0.3">
      <c r="A1508" s="79">
        <v>42767</v>
      </c>
      <c r="B1508" s="5" t="s">
        <v>42</v>
      </c>
      <c r="C1508" s="92" t="s">
        <v>31</v>
      </c>
      <c r="D1508" s="43">
        <v>1500</v>
      </c>
      <c r="E1508" s="43"/>
      <c r="F1508" s="43" t="e">
        <f t="shared" si="23"/>
        <v>#N/A</v>
      </c>
      <c r="G1508" s="43"/>
    </row>
    <row r="1509" spans="1:7" x14ac:dyDescent="0.3">
      <c r="A1509" s="79">
        <v>42767</v>
      </c>
      <c r="B1509" s="5" t="s">
        <v>1003</v>
      </c>
      <c r="C1509" s="92" t="s">
        <v>1214</v>
      </c>
      <c r="D1509" s="43">
        <v>1040</v>
      </c>
      <c r="E1509" s="43"/>
      <c r="F1509" s="43" t="e">
        <f t="shared" si="23"/>
        <v>#N/A</v>
      </c>
      <c r="G1509" s="43"/>
    </row>
    <row r="1510" spans="1:7" ht="29.25" customHeight="1" x14ac:dyDescent="0.3">
      <c r="A1510" s="79">
        <v>42767</v>
      </c>
      <c r="B1510" s="766" t="s">
        <v>1215</v>
      </c>
      <c r="C1510" s="767"/>
      <c r="D1510" s="71"/>
      <c r="E1510" s="72">
        <v>11700</v>
      </c>
      <c r="F1510" s="43" t="e">
        <f t="shared" si="23"/>
        <v>#N/A</v>
      </c>
      <c r="G1510" s="43"/>
    </row>
    <row r="1511" spans="1:7" ht="37.5" x14ac:dyDescent="0.3">
      <c r="A1511" s="79">
        <v>42767</v>
      </c>
      <c r="B1511" s="5" t="s">
        <v>230</v>
      </c>
      <c r="C1511" s="92" t="s">
        <v>1216</v>
      </c>
      <c r="D1511" s="43">
        <v>200</v>
      </c>
      <c r="E1511" s="43"/>
      <c r="F1511" s="43" t="e">
        <f t="shared" si="23"/>
        <v>#N/A</v>
      </c>
      <c r="G1511" s="43"/>
    </row>
    <row r="1512" spans="1:7" x14ac:dyDescent="0.3">
      <c r="A1512" s="79">
        <v>42767</v>
      </c>
      <c r="B1512" s="5" t="s">
        <v>4</v>
      </c>
      <c r="C1512" s="92" t="s">
        <v>1217</v>
      </c>
      <c r="D1512" s="43">
        <v>500</v>
      </c>
      <c r="E1512" s="43"/>
      <c r="F1512" s="43" t="e">
        <f t="shared" si="23"/>
        <v>#N/A</v>
      </c>
      <c r="G1512" s="43"/>
    </row>
    <row r="1513" spans="1:7" x14ac:dyDescent="0.3">
      <c r="A1513" s="79">
        <v>42767</v>
      </c>
      <c r="B1513" s="5" t="s">
        <v>25</v>
      </c>
      <c r="C1513" s="92" t="s">
        <v>1218</v>
      </c>
      <c r="D1513" s="43">
        <v>420</v>
      </c>
      <c r="E1513" s="43"/>
      <c r="F1513" s="43" t="e">
        <f t="shared" si="23"/>
        <v>#N/A</v>
      </c>
      <c r="G1513" s="43"/>
    </row>
    <row r="1514" spans="1:7" ht="28.5" customHeight="1" x14ac:dyDescent="0.3">
      <c r="A1514" s="79">
        <v>42767</v>
      </c>
      <c r="B1514" s="5" t="s">
        <v>25</v>
      </c>
      <c r="C1514" s="92" t="s">
        <v>1219</v>
      </c>
      <c r="D1514" s="43">
        <v>10000</v>
      </c>
      <c r="E1514" s="43"/>
      <c r="F1514" s="43" t="e">
        <f t="shared" si="23"/>
        <v>#N/A</v>
      </c>
      <c r="G1514" s="43"/>
    </row>
    <row r="1515" spans="1:7" x14ac:dyDescent="0.3">
      <c r="A1515" s="79">
        <v>42767</v>
      </c>
      <c r="B1515" s="5" t="s">
        <v>25</v>
      </c>
      <c r="C1515" s="92" t="s">
        <v>1220</v>
      </c>
      <c r="D1515" s="43">
        <v>2400</v>
      </c>
      <c r="E1515" s="43"/>
      <c r="F1515" s="43" t="e">
        <f t="shared" si="23"/>
        <v>#N/A</v>
      </c>
      <c r="G1515" s="43"/>
    </row>
    <row r="1516" spans="1:7" x14ac:dyDescent="0.3">
      <c r="A1516" s="79">
        <v>42767</v>
      </c>
      <c r="B1516" s="5" t="s">
        <v>25</v>
      </c>
      <c r="C1516" s="92" t="s">
        <v>1221</v>
      </c>
      <c r="D1516" s="43">
        <v>50</v>
      </c>
      <c r="E1516" s="43"/>
      <c r="F1516" s="43" t="e">
        <f t="shared" si="23"/>
        <v>#N/A</v>
      </c>
      <c r="G1516" s="43"/>
    </row>
    <row r="1517" spans="1:7" ht="37.5" x14ac:dyDescent="0.3">
      <c r="A1517" s="79">
        <v>42767</v>
      </c>
      <c r="B1517" s="5" t="s">
        <v>230</v>
      </c>
      <c r="C1517" s="92" t="s">
        <v>1225</v>
      </c>
      <c r="D1517" s="43">
        <v>1000</v>
      </c>
      <c r="E1517" s="43"/>
      <c r="F1517" s="43" t="e">
        <f t="shared" si="23"/>
        <v>#N/A</v>
      </c>
      <c r="G1517" s="43"/>
    </row>
    <row r="1518" spans="1:7" ht="37.5" x14ac:dyDescent="0.3">
      <c r="A1518" s="79">
        <v>42767</v>
      </c>
      <c r="B1518" s="5" t="s">
        <v>25</v>
      </c>
      <c r="C1518" s="92" t="s">
        <v>1222</v>
      </c>
      <c r="D1518" s="43">
        <v>140</v>
      </c>
      <c r="E1518" s="43"/>
      <c r="F1518" s="43" t="e">
        <f t="shared" si="23"/>
        <v>#N/A</v>
      </c>
      <c r="G1518" s="43"/>
    </row>
    <row r="1519" spans="1:7" x14ac:dyDescent="0.3">
      <c r="A1519" s="79">
        <v>42767</v>
      </c>
      <c r="B1519" s="761" t="s">
        <v>1188</v>
      </c>
      <c r="C1519" s="762"/>
      <c r="D1519" s="71"/>
      <c r="E1519" s="72">
        <v>50000</v>
      </c>
      <c r="F1519" s="43" t="e">
        <f t="shared" si="23"/>
        <v>#N/A</v>
      </c>
      <c r="G1519" s="43"/>
    </row>
    <row r="1520" spans="1:7" x14ac:dyDescent="0.3">
      <c r="A1520" s="79">
        <v>42767</v>
      </c>
      <c r="B1520" s="5" t="s">
        <v>961</v>
      </c>
      <c r="C1520" s="92" t="s">
        <v>31</v>
      </c>
      <c r="D1520" s="43">
        <v>22000</v>
      </c>
      <c r="E1520" s="43"/>
      <c r="F1520" s="43" t="e">
        <f t="shared" si="23"/>
        <v>#N/A</v>
      </c>
      <c r="G1520" s="43"/>
    </row>
    <row r="1521" spans="1:7" x14ac:dyDescent="0.3">
      <c r="A1521" s="79">
        <v>42767</v>
      </c>
      <c r="B1521" s="5" t="s">
        <v>16</v>
      </c>
      <c r="C1521" s="92" t="s">
        <v>31</v>
      </c>
      <c r="D1521" s="43">
        <v>2000</v>
      </c>
      <c r="E1521" s="43"/>
      <c r="F1521" s="43" t="e">
        <f t="shared" si="23"/>
        <v>#N/A</v>
      </c>
      <c r="G1521" s="43"/>
    </row>
    <row r="1522" spans="1:7" x14ac:dyDescent="0.3">
      <c r="A1522" s="79">
        <v>42767</v>
      </c>
      <c r="B1522" s="5" t="s">
        <v>1003</v>
      </c>
      <c r="C1522" s="92" t="s">
        <v>1224</v>
      </c>
      <c r="D1522" s="43">
        <v>10534</v>
      </c>
      <c r="E1522" s="43"/>
      <c r="F1522" s="43" t="e">
        <f t="shared" si="23"/>
        <v>#N/A</v>
      </c>
      <c r="G1522" s="43"/>
    </row>
    <row r="1523" spans="1:7" x14ac:dyDescent="0.3">
      <c r="A1523" s="79">
        <v>42768</v>
      </c>
      <c r="B1523" s="5" t="s">
        <v>123</v>
      </c>
      <c r="C1523" s="92" t="s">
        <v>31</v>
      </c>
      <c r="D1523" s="43">
        <v>200</v>
      </c>
      <c r="E1523" s="43"/>
      <c r="F1523" s="43" t="e">
        <f t="shared" si="23"/>
        <v>#N/A</v>
      </c>
      <c r="G1523" s="43"/>
    </row>
    <row r="1524" spans="1:7" x14ac:dyDescent="0.3">
      <c r="A1524" s="79">
        <v>42768</v>
      </c>
      <c r="B1524" s="5" t="s">
        <v>68</v>
      </c>
      <c r="C1524" s="92" t="s">
        <v>31</v>
      </c>
      <c r="D1524" s="43">
        <v>4000</v>
      </c>
      <c r="E1524" s="43"/>
      <c r="F1524" s="43" t="e">
        <f t="shared" si="23"/>
        <v>#N/A</v>
      </c>
      <c r="G1524" s="43"/>
    </row>
    <row r="1525" spans="1:7" x14ac:dyDescent="0.3">
      <c r="A1525" s="79">
        <v>42768</v>
      </c>
      <c r="B1525" s="5" t="s">
        <v>160</v>
      </c>
      <c r="C1525" s="92" t="s">
        <v>1226</v>
      </c>
      <c r="D1525" s="43">
        <v>1000</v>
      </c>
      <c r="E1525" s="43"/>
      <c r="F1525" s="43" t="e">
        <f t="shared" si="23"/>
        <v>#N/A</v>
      </c>
      <c r="G1525" s="43"/>
    </row>
    <row r="1526" spans="1:7" x14ac:dyDescent="0.3">
      <c r="A1526" s="79">
        <v>42768</v>
      </c>
      <c r="B1526" s="5" t="s">
        <v>10</v>
      </c>
      <c r="C1526" s="92" t="s">
        <v>31</v>
      </c>
      <c r="D1526" s="43">
        <v>2000</v>
      </c>
      <c r="E1526" s="43"/>
      <c r="F1526" s="43" t="e">
        <f t="shared" si="23"/>
        <v>#N/A</v>
      </c>
      <c r="G1526" s="43"/>
    </row>
    <row r="1527" spans="1:7" x14ac:dyDescent="0.3">
      <c r="A1527" s="79">
        <v>42768</v>
      </c>
      <c r="B1527" s="5" t="s">
        <v>120</v>
      </c>
      <c r="C1527" s="92" t="s">
        <v>31</v>
      </c>
      <c r="D1527" s="43">
        <v>100</v>
      </c>
      <c r="E1527" s="43"/>
      <c r="F1527" s="43" t="e">
        <f t="shared" si="23"/>
        <v>#N/A</v>
      </c>
      <c r="G1527" s="43"/>
    </row>
    <row r="1528" spans="1:7" x14ac:dyDescent="0.3">
      <c r="A1528" s="79">
        <v>42768</v>
      </c>
      <c r="B1528" s="5" t="s">
        <v>120</v>
      </c>
      <c r="C1528" s="92" t="s">
        <v>1227</v>
      </c>
      <c r="D1528" s="43">
        <v>2162</v>
      </c>
      <c r="E1528" s="43"/>
      <c r="F1528" s="43" t="e">
        <f t="shared" si="23"/>
        <v>#N/A</v>
      </c>
      <c r="G1528" s="43"/>
    </row>
    <row r="1529" spans="1:7" x14ac:dyDescent="0.3">
      <c r="A1529" s="79">
        <v>42768</v>
      </c>
      <c r="B1529" s="5" t="s">
        <v>120</v>
      </c>
      <c r="C1529" s="92" t="s">
        <v>31</v>
      </c>
      <c r="D1529" s="43">
        <v>4000</v>
      </c>
      <c r="E1529" s="43"/>
      <c r="F1529" s="43" t="e">
        <f t="shared" si="23"/>
        <v>#N/A</v>
      </c>
      <c r="G1529" s="43"/>
    </row>
    <row r="1530" spans="1:7" x14ac:dyDescent="0.3">
      <c r="A1530" s="79">
        <v>42768</v>
      </c>
      <c r="B1530" s="5" t="s">
        <v>16</v>
      </c>
      <c r="C1530" s="92" t="s">
        <v>31</v>
      </c>
      <c r="D1530" s="43">
        <v>250</v>
      </c>
      <c r="E1530" s="43"/>
      <c r="F1530" s="43" t="e">
        <f t="shared" si="23"/>
        <v>#N/A</v>
      </c>
      <c r="G1530" s="43"/>
    </row>
    <row r="1531" spans="1:7" x14ac:dyDescent="0.3">
      <c r="A1531" s="79">
        <v>42768</v>
      </c>
      <c r="B1531" s="5" t="s">
        <v>160</v>
      </c>
      <c r="C1531" s="92" t="s">
        <v>1203</v>
      </c>
      <c r="D1531" s="43">
        <v>500</v>
      </c>
      <c r="E1531" s="43"/>
      <c r="F1531" s="43" t="e">
        <f t="shared" si="23"/>
        <v>#N/A</v>
      </c>
      <c r="G1531" s="43"/>
    </row>
    <row r="1532" spans="1:7" x14ac:dyDescent="0.3">
      <c r="A1532" s="79">
        <v>42768</v>
      </c>
      <c r="B1532" s="5" t="s">
        <v>120</v>
      </c>
      <c r="C1532" s="92" t="s">
        <v>1262</v>
      </c>
      <c r="D1532" s="43">
        <v>12000</v>
      </c>
      <c r="E1532" s="43"/>
      <c r="F1532" s="43" t="e">
        <f t="shared" si="23"/>
        <v>#N/A</v>
      </c>
      <c r="G1532" s="43"/>
    </row>
    <row r="1533" spans="1:7" x14ac:dyDescent="0.3">
      <c r="A1533" s="79">
        <v>42769</v>
      </c>
      <c r="B1533" s="5" t="s">
        <v>25</v>
      </c>
      <c r="C1533" s="92" t="s">
        <v>1229</v>
      </c>
      <c r="D1533" s="43">
        <v>270</v>
      </c>
      <c r="E1533" s="43"/>
      <c r="F1533" s="43" t="e">
        <f t="shared" si="23"/>
        <v>#N/A</v>
      </c>
      <c r="G1533" s="43"/>
    </row>
    <row r="1534" spans="1:7" x14ac:dyDescent="0.3">
      <c r="A1534" s="79">
        <v>42769</v>
      </c>
      <c r="B1534" s="761" t="s">
        <v>1188</v>
      </c>
      <c r="C1534" s="762"/>
      <c r="D1534" s="71"/>
      <c r="E1534" s="72">
        <v>50000</v>
      </c>
      <c r="F1534" s="43" t="e">
        <f t="shared" si="23"/>
        <v>#N/A</v>
      </c>
      <c r="G1534" s="43"/>
    </row>
    <row r="1535" spans="1:7" x14ac:dyDescent="0.3">
      <c r="A1535" s="79">
        <v>42769</v>
      </c>
      <c r="B1535" s="5" t="s">
        <v>127</v>
      </c>
      <c r="C1535" s="92" t="s">
        <v>1201</v>
      </c>
      <c r="D1535" s="43">
        <v>2000</v>
      </c>
      <c r="E1535" s="43"/>
      <c r="F1535" s="43" t="e">
        <f t="shared" si="23"/>
        <v>#N/A</v>
      </c>
      <c r="G1535" s="43"/>
    </row>
    <row r="1536" spans="1:7" x14ac:dyDescent="0.3">
      <c r="A1536" s="79">
        <v>42769</v>
      </c>
      <c r="B1536" s="5" t="s">
        <v>230</v>
      </c>
      <c r="C1536" s="92" t="s">
        <v>1322</v>
      </c>
      <c r="D1536" s="65">
        <v>3750</v>
      </c>
      <c r="E1536" s="43"/>
      <c r="F1536" s="43" t="e">
        <f t="shared" si="23"/>
        <v>#N/A</v>
      </c>
      <c r="G1536" s="43"/>
    </row>
    <row r="1537" spans="1:7" x14ac:dyDescent="0.3">
      <c r="A1537" s="79">
        <v>42769</v>
      </c>
      <c r="B1537" s="5" t="s">
        <v>25</v>
      </c>
      <c r="C1537" s="92" t="s">
        <v>1230</v>
      </c>
      <c r="D1537" s="43">
        <v>270</v>
      </c>
      <c r="E1537" s="43"/>
      <c r="F1537" s="43" t="e">
        <f t="shared" si="23"/>
        <v>#N/A</v>
      </c>
      <c r="G1537" s="43"/>
    </row>
    <row r="1538" spans="1:7" x14ac:dyDescent="0.3">
      <c r="A1538" s="79">
        <v>42769</v>
      </c>
      <c r="B1538" s="5" t="s">
        <v>116</v>
      </c>
      <c r="C1538" s="92" t="s">
        <v>1231</v>
      </c>
      <c r="D1538" s="43">
        <v>2000</v>
      </c>
      <c r="E1538" s="43"/>
      <c r="F1538" s="43" t="e">
        <f t="shared" si="23"/>
        <v>#N/A</v>
      </c>
      <c r="G1538" s="43"/>
    </row>
    <row r="1539" spans="1:7" x14ac:dyDescent="0.3">
      <c r="A1539" s="79">
        <v>42769</v>
      </c>
      <c r="B1539" s="5" t="s">
        <v>4</v>
      </c>
      <c r="C1539" s="92" t="s">
        <v>1261</v>
      </c>
      <c r="D1539" s="43">
        <v>850</v>
      </c>
      <c r="E1539" s="43"/>
      <c r="F1539" s="43" t="e">
        <f t="shared" ref="F1539:F1602" si="24">F1538-D1539+E1539</f>
        <v>#N/A</v>
      </c>
      <c r="G1539" s="43"/>
    </row>
    <row r="1540" spans="1:7" x14ac:dyDescent="0.3">
      <c r="A1540" s="79">
        <v>42770</v>
      </c>
      <c r="B1540" s="5" t="s">
        <v>107</v>
      </c>
      <c r="C1540" s="92" t="s">
        <v>1243</v>
      </c>
      <c r="D1540" s="65">
        <v>2000</v>
      </c>
      <c r="E1540" s="43"/>
      <c r="F1540" s="43" t="e">
        <f t="shared" si="24"/>
        <v>#N/A</v>
      </c>
      <c r="G1540" s="43"/>
    </row>
    <row r="1541" spans="1:7" x14ac:dyDescent="0.3">
      <c r="A1541" s="79">
        <v>42770</v>
      </c>
      <c r="B1541" s="5" t="s">
        <v>1003</v>
      </c>
      <c r="C1541" s="92" t="s">
        <v>1232</v>
      </c>
      <c r="D1541" s="43">
        <v>2400</v>
      </c>
      <c r="E1541" s="43"/>
      <c r="F1541" s="43" t="e">
        <f t="shared" si="24"/>
        <v>#N/A</v>
      </c>
      <c r="G1541" s="43"/>
    </row>
    <row r="1542" spans="1:7" x14ac:dyDescent="0.3">
      <c r="A1542" s="79">
        <v>42770</v>
      </c>
      <c r="B1542" s="5" t="s">
        <v>961</v>
      </c>
      <c r="C1542" s="92" t="s">
        <v>40</v>
      </c>
      <c r="D1542" s="43">
        <v>5000</v>
      </c>
      <c r="E1542" s="43"/>
      <c r="F1542" s="43" t="e">
        <f t="shared" si="24"/>
        <v>#N/A</v>
      </c>
      <c r="G1542" s="43"/>
    </row>
    <row r="1543" spans="1:7" x14ac:dyDescent="0.3">
      <c r="A1543" s="79">
        <v>42770</v>
      </c>
      <c r="B1543" s="5" t="s">
        <v>25</v>
      </c>
      <c r="C1543" s="92" t="s">
        <v>1233</v>
      </c>
      <c r="D1543" s="43">
        <v>95</v>
      </c>
      <c r="E1543" s="43"/>
      <c r="F1543" s="43" t="e">
        <f t="shared" si="24"/>
        <v>#N/A</v>
      </c>
      <c r="G1543" s="43"/>
    </row>
    <row r="1544" spans="1:7" x14ac:dyDescent="0.3">
      <c r="A1544" s="79">
        <v>42770</v>
      </c>
      <c r="B1544" s="5" t="s">
        <v>445</v>
      </c>
      <c r="C1544" s="92" t="s">
        <v>1234</v>
      </c>
      <c r="D1544" s="43">
        <v>250</v>
      </c>
      <c r="E1544" s="43"/>
      <c r="F1544" s="43" t="e">
        <f t="shared" si="24"/>
        <v>#N/A</v>
      </c>
      <c r="G1544" s="43"/>
    </row>
    <row r="1545" spans="1:7" x14ac:dyDescent="0.3">
      <c r="A1545" s="79">
        <v>42772</v>
      </c>
      <c r="B1545" s="5" t="s">
        <v>445</v>
      </c>
      <c r="C1545" s="92" t="s">
        <v>1235</v>
      </c>
      <c r="D1545" s="43">
        <v>4000</v>
      </c>
      <c r="E1545" s="43"/>
      <c r="F1545" s="43" t="e">
        <f t="shared" si="24"/>
        <v>#N/A</v>
      </c>
      <c r="G1545" s="43"/>
    </row>
    <row r="1546" spans="1:7" x14ac:dyDescent="0.3">
      <c r="A1546" s="79">
        <v>42772</v>
      </c>
      <c r="B1546" s="5" t="s">
        <v>25</v>
      </c>
      <c r="C1546" s="92" t="s">
        <v>1236</v>
      </c>
      <c r="D1546" s="43">
        <v>50</v>
      </c>
      <c r="E1546" s="43"/>
      <c r="F1546" s="43" t="e">
        <f t="shared" si="24"/>
        <v>#N/A</v>
      </c>
      <c r="G1546" s="43"/>
    </row>
    <row r="1547" spans="1:7" x14ac:dyDescent="0.3">
      <c r="A1547" s="79">
        <v>42772</v>
      </c>
      <c r="B1547" s="5" t="s">
        <v>25</v>
      </c>
      <c r="C1547" s="92" t="s">
        <v>1237</v>
      </c>
      <c r="D1547" s="43">
        <v>35</v>
      </c>
      <c r="E1547" s="43"/>
      <c r="F1547" s="43" t="e">
        <f t="shared" si="24"/>
        <v>#N/A</v>
      </c>
      <c r="G1547" s="43"/>
    </row>
    <row r="1548" spans="1:7" x14ac:dyDescent="0.3">
      <c r="A1548" s="79">
        <v>42772</v>
      </c>
      <c r="B1548" s="5" t="s">
        <v>181</v>
      </c>
      <c r="C1548" s="92" t="s">
        <v>1238</v>
      </c>
      <c r="D1548" s="43">
        <v>5000</v>
      </c>
      <c r="E1548" s="43"/>
      <c r="F1548" s="43" t="e">
        <f t="shared" si="24"/>
        <v>#N/A</v>
      </c>
      <c r="G1548" s="43"/>
    </row>
    <row r="1549" spans="1:7" x14ac:dyDescent="0.3">
      <c r="A1549" s="79">
        <v>42772</v>
      </c>
      <c r="B1549" s="5" t="s">
        <v>162</v>
      </c>
      <c r="C1549" s="92" t="s">
        <v>1239</v>
      </c>
      <c r="D1549" s="43">
        <v>50</v>
      </c>
      <c r="E1549" s="43"/>
      <c r="F1549" s="43" t="e">
        <f t="shared" si="24"/>
        <v>#N/A</v>
      </c>
      <c r="G1549" s="43"/>
    </row>
    <row r="1550" spans="1:7" x14ac:dyDescent="0.3">
      <c r="A1550" s="79">
        <v>42772</v>
      </c>
      <c r="B1550" s="5" t="s">
        <v>4</v>
      </c>
      <c r="C1550" s="92" t="s">
        <v>1240</v>
      </c>
      <c r="D1550" s="43">
        <v>1500</v>
      </c>
      <c r="E1550" s="43"/>
      <c r="F1550" s="43" t="e">
        <f t="shared" si="24"/>
        <v>#N/A</v>
      </c>
      <c r="G1550" s="43"/>
    </row>
    <row r="1551" spans="1:7" x14ac:dyDescent="0.3">
      <c r="A1551" s="79">
        <v>42772</v>
      </c>
      <c r="B1551" s="761" t="s">
        <v>1188</v>
      </c>
      <c r="C1551" s="762"/>
      <c r="D1551" s="71"/>
      <c r="E1551" s="72">
        <v>80000</v>
      </c>
      <c r="F1551" s="43" t="e">
        <f t="shared" si="24"/>
        <v>#N/A</v>
      </c>
      <c r="G1551" s="43"/>
    </row>
    <row r="1552" spans="1:7" x14ac:dyDescent="0.3">
      <c r="A1552" s="79">
        <v>42773</v>
      </c>
      <c r="B1552" s="5" t="s">
        <v>27</v>
      </c>
      <c r="C1552" s="92" t="s">
        <v>1241</v>
      </c>
      <c r="D1552" s="43">
        <v>3000</v>
      </c>
      <c r="E1552" s="43"/>
      <c r="F1552" s="43" t="e">
        <f t="shared" si="24"/>
        <v>#N/A</v>
      </c>
      <c r="G1552" s="43"/>
    </row>
    <row r="1553" spans="1:7" x14ac:dyDescent="0.3">
      <c r="A1553" s="79">
        <v>42773</v>
      </c>
      <c r="B1553" s="5" t="s">
        <v>120</v>
      </c>
      <c r="C1553" s="92" t="s">
        <v>1242</v>
      </c>
      <c r="D1553" s="43">
        <v>50000</v>
      </c>
      <c r="E1553" s="43"/>
      <c r="F1553" s="43" t="e">
        <f t="shared" si="24"/>
        <v>#N/A</v>
      </c>
      <c r="G1553" s="43"/>
    </row>
    <row r="1554" spans="1:7" ht="37.5" x14ac:dyDescent="0.3">
      <c r="A1554" s="79">
        <v>42773</v>
      </c>
      <c r="B1554" s="5" t="s">
        <v>52</v>
      </c>
      <c r="C1554" s="92" t="s">
        <v>1244</v>
      </c>
      <c r="D1554" s="43">
        <v>414</v>
      </c>
      <c r="E1554" s="43"/>
      <c r="F1554" s="43" t="e">
        <f t="shared" si="24"/>
        <v>#N/A</v>
      </c>
      <c r="G1554" s="43"/>
    </row>
    <row r="1555" spans="1:7" x14ac:dyDescent="0.3">
      <c r="A1555" s="79">
        <v>42773</v>
      </c>
      <c r="B1555" s="5" t="s">
        <v>16</v>
      </c>
      <c r="C1555" s="92" t="s">
        <v>798</v>
      </c>
      <c r="D1555" s="65">
        <v>13740</v>
      </c>
      <c r="E1555" s="43"/>
      <c r="F1555" s="43" t="e">
        <f t="shared" si="24"/>
        <v>#N/A</v>
      </c>
      <c r="G1555" s="43"/>
    </row>
    <row r="1556" spans="1:7" x14ac:dyDescent="0.3">
      <c r="A1556" s="79">
        <v>42773</v>
      </c>
      <c r="B1556" s="5" t="s">
        <v>16</v>
      </c>
      <c r="C1556" s="92" t="s">
        <v>31</v>
      </c>
      <c r="D1556" s="65">
        <v>1260</v>
      </c>
      <c r="E1556" s="43"/>
      <c r="F1556" s="43" t="e">
        <f t="shared" si="24"/>
        <v>#N/A</v>
      </c>
      <c r="G1556" s="43"/>
    </row>
    <row r="1557" spans="1:7" x14ac:dyDescent="0.3">
      <c r="A1557" s="79">
        <v>42773</v>
      </c>
      <c r="B1557" s="5" t="s">
        <v>16</v>
      </c>
      <c r="C1557" s="92" t="s">
        <v>1245</v>
      </c>
      <c r="D1557" s="43">
        <v>200</v>
      </c>
      <c r="E1557" s="43"/>
      <c r="F1557" s="43" t="e">
        <f t="shared" si="24"/>
        <v>#N/A</v>
      </c>
      <c r="G1557" s="43"/>
    </row>
    <row r="1558" spans="1:7" x14ac:dyDescent="0.3">
      <c r="A1558" s="79">
        <v>42773</v>
      </c>
      <c r="B1558" s="5" t="s">
        <v>25</v>
      </c>
      <c r="C1558" s="92" t="s">
        <v>1246</v>
      </c>
      <c r="D1558" s="43">
        <v>270</v>
      </c>
      <c r="E1558" s="43"/>
      <c r="F1558" s="43" t="e">
        <f t="shared" si="24"/>
        <v>#N/A</v>
      </c>
      <c r="G1558" s="43"/>
    </row>
    <row r="1559" spans="1:7" x14ac:dyDescent="0.3">
      <c r="A1559" s="79">
        <v>42774</v>
      </c>
      <c r="B1559" s="5" t="s">
        <v>16</v>
      </c>
      <c r="C1559" s="92" t="s">
        <v>1247</v>
      </c>
      <c r="D1559" s="43">
        <v>2000</v>
      </c>
      <c r="E1559" s="43"/>
      <c r="F1559" s="43" t="e">
        <f t="shared" si="24"/>
        <v>#N/A</v>
      </c>
      <c r="G1559" s="43"/>
    </row>
    <row r="1560" spans="1:7" x14ac:dyDescent="0.3">
      <c r="A1560" s="79">
        <v>42774</v>
      </c>
      <c r="B1560" s="5" t="s">
        <v>47</v>
      </c>
      <c r="C1560" s="92" t="s">
        <v>1248</v>
      </c>
      <c r="D1560" s="43">
        <v>50</v>
      </c>
      <c r="E1560" s="43"/>
      <c r="F1560" s="43" t="e">
        <f t="shared" si="24"/>
        <v>#N/A</v>
      </c>
      <c r="G1560" s="43"/>
    </row>
    <row r="1561" spans="1:7" x14ac:dyDescent="0.3">
      <c r="A1561" s="79">
        <v>42774</v>
      </c>
      <c r="B1561" s="5" t="s">
        <v>16</v>
      </c>
      <c r="C1561" s="92" t="s">
        <v>1249</v>
      </c>
      <c r="D1561" s="43">
        <v>100</v>
      </c>
      <c r="E1561" s="43"/>
      <c r="F1561" s="43" t="e">
        <f t="shared" si="24"/>
        <v>#N/A</v>
      </c>
      <c r="G1561" s="43"/>
    </row>
    <row r="1562" spans="1:7" x14ac:dyDescent="0.3">
      <c r="A1562" s="79">
        <v>42774</v>
      </c>
      <c r="B1562" s="5" t="s">
        <v>164</v>
      </c>
      <c r="C1562" s="92" t="s">
        <v>1250</v>
      </c>
      <c r="D1562" s="43">
        <v>1000</v>
      </c>
      <c r="E1562" s="43"/>
      <c r="F1562" s="43" t="e">
        <f t="shared" si="24"/>
        <v>#N/A</v>
      </c>
      <c r="G1562" s="43"/>
    </row>
    <row r="1563" spans="1:7" ht="37.5" x14ac:dyDescent="0.3">
      <c r="A1563" s="79">
        <v>42774</v>
      </c>
      <c r="B1563" s="5" t="s">
        <v>230</v>
      </c>
      <c r="C1563" s="92" t="s">
        <v>1260</v>
      </c>
      <c r="D1563" s="65">
        <v>21490</v>
      </c>
      <c r="E1563" s="43"/>
      <c r="F1563" s="43" t="e">
        <f t="shared" si="24"/>
        <v>#N/A</v>
      </c>
      <c r="G1563" s="43"/>
    </row>
    <row r="1564" spans="1:7" x14ac:dyDescent="0.3">
      <c r="A1564" s="79">
        <v>42775</v>
      </c>
      <c r="B1564" s="5" t="s">
        <v>25</v>
      </c>
      <c r="C1564" s="92" t="s">
        <v>1251</v>
      </c>
      <c r="D1564" s="43">
        <v>120</v>
      </c>
      <c r="E1564" s="43"/>
      <c r="F1564" s="43" t="e">
        <f t="shared" si="24"/>
        <v>#N/A</v>
      </c>
      <c r="G1564" s="43"/>
    </row>
    <row r="1565" spans="1:7" x14ac:dyDescent="0.3">
      <c r="A1565" s="79">
        <v>42775</v>
      </c>
      <c r="B1565" s="5" t="s">
        <v>16</v>
      </c>
      <c r="C1565" s="92" t="s">
        <v>1252</v>
      </c>
      <c r="D1565" s="43">
        <v>100</v>
      </c>
      <c r="E1565" s="43"/>
      <c r="F1565" s="43" t="e">
        <f t="shared" si="24"/>
        <v>#N/A</v>
      </c>
      <c r="G1565" s="43"/>
    </row>
    <row r="1566" spans="1:7" x14ac:dyDescent="0.3">
      <c r="A1566" s="79">
        <v>42775</v>
      </c>
      <c r="B1566" s="5" t="s">
        <v>568</v>
      </c>
      <c r="C1566" s="92" t="s">
        <v>885</v>
      </c>
      <c r="D1566" s="43">
        <v>85</v>
      </c>
      <c r="E1566" s="43"/>
      <c r="F1566" s="43" t="e">
        <f t="shared" si="24"/>
        <v>#N/A</v>
      </c>
      <c r="G1566" s="43"/>
    </row>
    <row r="1567" spans="1:7" x14ac:dyDescent="0.3">
      <c r="A1567" s="79">
        <v>42775</v>
      </c>
      <c r="B1567" s="5" t="s">
        <v>568</v>
      </c>
      <c r="C1567" s="92" t="s">
        <v>1253</v>
      </c>
      <c r="D1567" s="43">
        <v>420</v>
      </c>
      <c r="E1567" s="43"/>
      <c r="F1567" s="43" t="e">
        <f t="shared" si="24"/>
        <v>#N/A</v>
      </c>
      <c r="G1567" s="43"/>
    </row>
    <row r="1568" spans="1:7" x14ac:dyDescent="0.3">
      <c r="A1568" s="79">
        <v>42776</v>
      </c>
      <c r="B1568" s="5" t="s">
        <v>1254</v>
      </c>
      <c r="C1568" s="92" t="s">
        <v>1252</v>
      </c>
      <c r="D1568" s="43">
        <v>150</v>
      </c>
      <c r="E1568" s="43"/>
      <c r="F1568" s="43" t="e">
        <f t="shared" si="24"/>
        <v>#N/A</v>
      </c>
      <c r="G1568" s="43"/>
    </row>
    <row r="1569" spans="1:7" x14ac:dyDescent="0.3">
      <c r="A1569" s="79">
        <v>42776</v>
      </c>
      <c r="B1569" s="5" t="s">
        <v>25</v>
      </c>
      <c r="C1569" s="92" t="s">
        <v>1255</v>
      </c>
      <c r="D1569" s="43">
        <v>120</v>
      </c>
      <c r="E1569" s="43"/>
      <c r="F1569" s="43" t="e">
        <f t="shared" si="24"/>
        <v>#N/A</v>
      </c>
      <c r="G1569" s="43"/>
    </row>
    <row r="1570" spans="1:7" x14ac:dyDescent="0.3">
      <c r="A1570" s="79">
        <v>42776</v>
      </c>
      <c r="B1570" s="761" t="s">
        <v>1188</v>
      </c>
      <c r="C1570" s="762"/>
      <c r="D1570" s="71"/>
      <c r="E1570" s="72">
        <v>50000</v>
      </c>
      <c r="F1570" s="43" t="e">
        <f t="shared" si="24"/>
        <v>#N/A</v>
      </c>
      <c r="G1570" s="43"/>
    </row>
    <row r="1571" spans="1:7" x14ac:dyDescent="0.3">
      <c r="A1571" s="79">
        <v>42776</v>
      </c>
      <c r="B1571" s="5" t="s">
        <v>181</v>
      </c>
      <c r="C1571" s="92" t="s">
        <v>1256</v>
      </c>
      <c r="D1571" s="43">
        <v>5000</v>
      </c>
      <c r="E1571" s="43"/>
      <c r="F1571" s="43" t="e">
        <f t="shared" si="24"/>
        <v>#N/A</v>
      </c>
      <c r="G1571" s="43"/>
    </row>
    <row r="1572" spans="1:7" ht="37.5" x14ac:dyDescent="0.3">
      <c r="A1572" s="79">
        <v>42776</v>
      </c>
      <c r="B1572" s="5" t="s">
        <v>1257</v>
      </c>
      <c r="C1572" s="92" t="s">
        <v>1259</v>
      </c>
      <c r="D1572" s="65">
        <v>19845</v>
      </c>
      <c r="E1572" s="43"/>
      <c r="F1572" s="43" t="e">
        <f t="shared" si="24"/>
        <v>#N/A</v>
      </c>
      <c r="G1572" s="43"/>
    </row>
    <row r="1573" spans="1:7" x14ac:dyDescent="0.3">
      <c r="A1573" s="79">
        <v>42776</v>
      </c>
      <c r="B1573" s="5" t="s">
        <v>25</v>
      </c>
      <c r="C1573" s="92" t="s">
        <v>469</v>
      </c>
      <c r="D1573" s="43">
        <v>100</v>
      </c>
      <c r="E1573" s="43"/>
      <c r="F1573" s="43" t="e">
        <f t="shared" si="24"/>
        <v>#N/A</v>
      </c>
      <c r="G1573" s="43"/>
    </row>
    <row r="1574" spans="1:7" x14ac:dyDescent="0.3">
      <c r="A1574" s="79">
        <v>42776</v>
      </c>
      <c r="B1574" s="5" t="s">
        <v>164</v>
      </c>
      <c r="C1574" s="92" t="s">
        <v>31</v>
      </c>
      <c r="D1574" s="43">
        <v>10000</v>
      </c>
      <c r="E1574" s="43"/>
      <c r="F1574" s="43" t="e">
        <f t="shared" si="24"/>
        <v>#N/A</v>
      </c>
      <c r="G1574" s="43"/>
    </row>
    <row r="1575" spans="1:7" x14ac:dyDescent="0.3">
      <c r="A1575" s="79">
        <v>42776</v>
      </c>
      <c r="B1575" s="5" t="s">
        <v>27</v>
      </c>
      <c r="C1575" s="92" t="s">
        <v>1258</v>
      </c>
      <c r="D1575" s="43">
        <v>600</v>
      </c>
      <c r="E1575" s="43"/>
      <c r="F1575" s="43" t="e">
        <f t="shared" si="24"/>
        <v>#N/A</v>
      </c>
      <c r="G1575" s="43"/>
    </row>
    <row r="1576" spans="1:7" x14ac:dyDescent="0.3">
      <c r="A1576" s="79">
        <v>42776</v>
      </c>
      <c r="B1576" s="5" t="s">
        <v>16</v>
      </c>
      <c r="C1576" s="92" t="s">
        <v>798</v>
      </c>
      <c r="D1576" s="43">
        <v>5000</v>
      </c>
      <c r="E1576" s="43"/>
      <c r="F1576" s="43" t="e">
        <f t="shared" si="24"/>
        <v>#N/A</v>
      </c>
      <c r="G1576" s="43"/>
    </row>
    <row r="1577" spans="1:7" x14ac:dyDescent="0.3">
      <c r="A1577" s="79">
        <v>42777</v>
      </c>
      <c r="B1577" s="5" t="s">
        <v>104</v>
      </c>
      <c r="C1577" s="5" t="s">
        <v>1263</v>
      </c>
      <c r="D1577" s="43">
        <v>1000</v>
      </c>
      <c r="E1577" s="43"/>
      <c r="F1577" s="43" t="e">
        <f t="shared" si="24"/>
        <v>#N/A</v>
      </c>
      <c r="G1577" s="43"/>
    </row>
    <row r="1578" spans="1:7" ht="56.25" x14ac:dyDescent="0.3">
      <c r="A1578" s="79">
        <v>42777</v>
      </c>
      <c r="B1578" s="5" t="s">
        <v>1264</v>
      </c>
      <c r="C1578" s="92" t="s">
        <v>1278</v>
      </c>
      <c r="D1578" s="65">
        <v>1000</v>
      </c>
      <c r="E1578" s="43"/>
      <c r="F1578" s="43" t="e">
        <f t="shared" si="24"/>
        <v>#N/A</v>
      </c>
      <c r="G1578" s="43"/>
    </row>
    <row r="1579" spans="1:7" x14ac:dyDescent="0.3">
      <c r="A1579" s="79">
        <v>42777</v>
      </c>
      <c r="B1579" s="5" t="s">
        <v>541</v>
      </c>
      <c r="C1579" s="92" t="s">
        <v>1008</v>
      </c>
      <c r="D1579" s="43">
        <v>4000</v>
      </c>
      <c r="E1579" s="43"/>
      <c r="F1579" s="43" t="e">
        <f t="shared" si="24"/>
        <v>#N/A</v>
      </c>
      <c r="G1579" s="43"/>
    </row>
    <row r="1580" spans="1:7" ht="37.5" x14ac:dyDescent="0.3">
      <c r="A1580" s="79">
        <v>42777</v>
      </c>
      <c r="B1580" s="5" t="s">
        <v>247</v>
      </c>
      <c r="C1580" s="92" t="s">
        <v>1266</v>
      </c>
      <c r="D1580" s="65">
        <v>820</v>
      </c>
      <c r="E1580" s="65"/>
      <c r="F1580" s="43" t="e">
        <f t="shared" si="24"/>
        <v>#N/A</v>
      </c>
      <c r="G1580" s="43"/>
    </row>
    <row r="1581" spans="1:7" x14ac:dyDescent="0.3">
      <c r="A1581" s="79">
        <v>42777</v>
      </c>
      <c r="B1581" s="5" t="s">
        <v>27</v>
      </c>
      <c r="C1581" s="92" t="s">
        <v>31</v>
      </c>
      <c r="D1581" s="43">
        <v>6000</v>
      </c>
      <c r="E1581" s="43"/>
      <c r="F1581" s="43" t="e">
        <f t="shared" si="24"/>
        <v>#N/A</v>
      </c>
      <c r="G1581" s="43"/>
    </row>
    <row r="1582" spans="1:7" x14ac:dyDescent="0.3">
      <c r="A1582" s="79">
        <v>42777</v>
      </c>
      <c r="B1582" s="5" t="s">
        <v>42</v>
      </c>
      <c r="C1582" s="92" t="s">
        <v>31</v>
      </c>
      <c r="D1582" s="43">
        <v>2000</v>
      </c>
      <c r="E1582" s="43"/>
      <c r="F1582" s="43" t="e">
        <f t="shared" si="24"/>
        <v>#N/A</v>
      </c>
      <c r="G1582" s="43"/>
    </row>
    <row r="1583" spans="1:7" x14ac:dyDescent="0.3">
      <c r="A1583" s="79">
        <v>42779</v>
      </c>
      <c r="B1583" s="5" t="s">
        <v>68</v>
      </c>
      <c r="C1583" s="92" t="s">
        <v>1265</v>
      </c>
      <c r="D1583" s="43">
        <v>1380</v>
      </c>
      <c r="E1583" s="43"/>
      <c r="F1583" s="43" t="e">
        <f t="shared" si="24"/>
        <v>#N/A</v>
      </c>
      <c r="G1583" s="43"/>
    </row>
    <row r="1584" spans="1:7" x14ac:dyDescent="0.3">
      <c r="A1584" s="79">
        <v>42779</v>
      </c>
      <c r="B1584" s="761" t="s">
        <v>1188</v>
      </c>
      <c r="C1584" s="762"/>
      <c r="D1584" s="71"/>
      <c r="E1584" s="72">
        <v>64000</v>
      </c>
      <c r="F1584" s="43" t="e">
        <f t="shared" si="24"/>
        <v>#N/A</v>
      </c>
      <c r="G1584" s="43"/>
    </row>
    <row r="1585" spans="1:7" x14ac:dyDescent="0.3">
      <c r="A1585" s="79">
        <v>42779</v>
      </c>
      <c r="B1585" s="5" t="s">
        <v>961</v>
      </c>
      <c r="C1585" s="92" t="s">
        <v>40</v>
      </c>
      <c r="D1585" s="43">
        <v>2000</v>
      </c>
      <c r="E1585" s="43"/>
      <c r="F1585" s="43" t="e">
        <f t="shared" si="24"/>
        <v>#N/A</v>
      </c>
      <c r="G1585" s="43"/>
    </row>
    <row r="1586" spans="1:7" x14ac:dyDescent="0.3">
      <c r="A1586" s="79">
        <v>42779</v>
      </c>
      <c r="B1586" s="5" t="s">
        <v>247</v>
      </c>
      <c r="C1586" s="92" t="s">
        <v>1267</v>
      </c>
      <c r="D1586" s="43">
        <v>365</v>
      </c>
      <c r="E1586" s="43"/>
      <c r="F1586" s="43" t="e">
        <f t="shared" si="24"/>
        <v>#N/A</v>
      </c>
      <c r="G1586" s="43"/>
    </row>
    <row r="1587" spans="1:7" ht="37.5" x14ac:dyDescent="0.3">
      <c r="A1587" s="79">
        <v>42779</v>
      </c>
      <c r="B1587" s="5" t="s">
        <v>1268</v>
      </c>
      <c r="C1587" s="92" t="s">
        <v>1269</v>
      </c>
      <c r="D1587" s="43">
        <v>11350</v>
      </c>
      <c r="E1587" s="43"/>
      <c r="F1587" s="43" t="e">
        <f t="shared" si="24"/>
        <v>#N/A</v>
      </c>
      <c r="G1587" s="43"/>
    </row>
    <row r="1588" spans="1:7" x14ac:dyDescent="0.3">
      <c r="A1588" s="79">
        <v>42779</v>
      </c>
      <c r="B1588" s="5" t="s">
        <v>568</v>
      </c>
      <c r="C1588" s="92" t="s">
        <v>1270</v>
      </c>
      <c r="D1588" s="43">
        <v>28</v>
      </c>
      <c r="E1588" s="43"/>
      <c r="F1588" s="43" t="e">
        <f t="shared" si="24"/>
        <v>#N/A</v>
      </c>
      <c r="G1588" s="43"/>
    </row>
    <row r="1589" spans="1:7" x14ac:dyDescent="0.3">
      <c r="A1589" s="79">
        <v>42779</v>
      </c>
      <c r="B1589" s="5" t="s">
        <v>120</v>
      </c>
      <c r="C1589" s="92" t="s">
        <v>1271</v>
      </c>
      <c r="D1589" s="43">
        <v>40</v>
      </c>
      <c r="E1589" s="43"/>
      <c r="F1589" s="43" t="e">
        <f t="shared" si="24"/>
        <v>#N/A</v>
      </c>
      <c r="G1589" s="43"/>
    </row>
    <row r="1590" spans="1:7" ht="37.5" x14ac:dyDescent="0.3">
      <c r="A1590" s="79">
        <v>42779</v>
      </c>
      <c r="B1590" s="5" t="s">
        <v>25</v>
      </c>
      <c r="C1590" s="92" t="s">
        <v>1272</v>
      </c>
      <c r="D1590" s="43">
        <v>50</v>
      </c>
      <c r="E1590" s="43"/>
      <c r="F1590" s="43" t="e">
        <f t="shared" si="24"/>
        <v>#N/A</v>
      </c>
      <c r="G1590" s="43"/>
    </row>
    <row r="1591" spans="1:7" x14ac:dyDescent="0.3">
      <c r="A1591" s="79">
        <v>42779</v>
      </c>
      <c r="B1591" s="5" t="s">
        <v>247</v>
      </c>
      <c r="C1591" s="92" t="s">
        <v>1382</v>
      </c>
      <c r="D1591" s="65">
        <v>1500</v>
      </c>
      <c r="E1591" s="43"/>
      <c r="F1591" s="43" t="e">
        <f t="shared" si="24"/>
        <v>#N/A</v>
      </c>
      <c r="G1591" s="43"/>
    </row>
    <row r="1592" spans="1:7" ht="37.5" x14ac:dyDescent="0.3">
      <c r="A1592" s="79">
        <v>42780</v>
      </c>
      <c r="B1592" s="5" t="s">
        <v>76</v>
      </c>
      <c r="C1592" s="92" t="s">
        <v>1299</v>
      </c>
      <c r="D1592" s="65">
        <v>790</v>
      </c>
      <c r="E1592" s="43"/>
      <c r="F1592" s="43" t="e">
        <f t="shared" si="24"/>
        <v>#N/A</v>
      </c>
      <c r="G1592" s="43"/>
    </row>
    <row r="1593" spans="1:7" x14ac:dyDescent="0.3">
      <c r="A1593" s="79">
        <v>42780</v>
      </c>
      <c r="B1593" s="5" t="s">
        <v>107</v>
      </c>
      <c r="C1593" s="92" t="s">
        <v>1273</v>
      </c>
      <c r="D1593" s="43">
        <v>250</v>
      </c>
      <c r="E1593" s="43"/>
      <c r="F1593" s="43" t="e">
        <f t="shared" si="24"/>
        <v>#N/A</v>
      </c>
      <c r="G1593" s="43"/>
    </row>
    <row r="1594" spans="1:7" ht="37.5" x14ac:dyDescent="0.3">
      <c r="A1594" s="79">
        <v>42780</v>
      </c>
      <c r="B1594" s="5" t="s">
        <v>116</v>
      </c>
      <c r="C1594" s="92" t="s">
        <v>1275</v>
      </c>
      <c r="D1594" s="43">
        <v>100</v>
      </c>
      <c r="E1594" s="43"/>
      <c r="F1594" s="43" t="e">
        <f t="shared" si="24"/>
        <v>#N/A</v>
      </c>
      <c r="G1594" s="43"/>
    </row>
    <row r="1595" spans="1:7" ht="56.25" x14ac:dyDescent="0.3">
      <c r="A1595" s="79">
        <v>42780</v>
      </c>
      <c r="B1595" s="5" t="s">
        <v>68</v>
      </c>
      <c r="C1595" s="92" t="s">
        <v>1276</v>
      </c>
      <c r="D1595" s="43">
        <v>1500</v>
      </c>
      <c r="E1595" s="43"/>
      <c r="F1595" s="43" t="e">
        <f t="shared" si="24"/>
        <v>#N/A</v>
      </c>
      <c r="G1595" s="43"/>
    </row>
    <row r="1596" spans="1:7" x14ac:dyDescent="0.3">
      <c r="A1596" s="79">
        <v>42780</v>
      </c>
      <c r="B1596" s="5" t="s">
        <v>68</v>
      </c>
      <c r="C1596" s="92" t="s">
        <v>31</v>
      </c>
      <c r="D1596" s="43">
        <v>1000</v>
      </c>
      <c r="E1596" s="43"/>
      <c r="F1596" s="43" t="e">
        <f t="shared" si="24"/>
        <v>#N/A</v>
      </c>
      <c r="G1596" s="43"/>
    </row>
    <row r="1597" spans="1:7" x14ac:dyDescent="0.3">
      <c r="A1597" s="79">
        <v>42780</v>
      </c>
      <c r="B1597" s="5" t="s">
        <v>164</v>
      </c>
      <c r="C1597" s="92" t="s">
        <v>1277</v>
      </c>
      <c r="D1597" s="43">
        <v>1500</v>
      </c>
      <c r="E1597" s="43"/>
      <c r="F1597" s="43" t="e">
        <f t="shared" si="24"/>
        <v>#N/A</v>
      </c>
      <c r="G1597" s="43"/>
    </row>
    <row r="1598" spans="1:7" x14ac:dyDescent="0.3">
      <c r="A1598" s="79">
        <v>42780</v>
      </c>
      <c r="B1598" s="761" t="s">
        <v>1285</v>
      </c>
      <c r="C1598" s="762"/>
      <c r="D1598" s="71"/>
      <c r="E1598" s="72">
        <v>200000</v>
      </c>
      <c r="F1598" s="43" t="e">
        <f t="shared" si="24"/>
        <v>#N/A</v>
      </c>
      <c r="G1598" s="43"/>
    </row>
    <row r="1599" spans="1:7" x14ac:dyDescent="0.3">
      <c r="A1599" s="79">
        <v>42780</v>
      </c>
      <c r="B1599" s="5" t="s">
        <v>25</v>
      </c>
      <c r="C1599" s="92" t="s">
        <v>1282</v>
      </c>
      <c r="D1599" s="43">
        <v>230</v>
      </c>
      <c r="E1599" s="43"/>
      <c r="F1599" s="43" t="e">
        <f t="shared" si="24"/>
        <v>#N/A</v>
      </c>
      <c r="G1599" s="43"/>
    </row>
    <row r="1600" spans="1:7" x14ac:dyDescent="0.3">
      <c r="A1600" s="79">
        <v>42780</v>
      </c>
      <c r="B1600" s="5" t="s">
        <v>230</v>
      </c>
      <c r="C1600" s="92" t="s">
        <v>1279</v>
      </c>
      <c r="D1600" s="43">
        <v>135000</v>
      </c>
      <c r="E1600" s="43"/>
      <c r="F1600" s="43" t="e">
        <f t="shared" si="24"/>
        <v>#N/A</v>
      </c>
      <c r="G1600" s="43"/>
    </row>
    <row r="1601" spans="1:7" x14ac:dyDescent="0.3">
      <c r="A1601" s="79">
        <v>42780</v>
      </c>
      <c r="B1601" s="5" t="s">
        <v>16</v>
      </c>
      <c r="C1601" s="92" t="s">
        <v>31</v>
      </c>
      <c r="D1601" s="43">
        <v>3000</v>
      </c>
      <c r="E1601" s="43"/>
      <c r="F1601" s="43" t="e">
        <f t="shared" si="24"/>
        <v>#N/A</v>
      </c>
      <c r="G1601" s="43"/>
    </row>
    <row r="1602" spans="1:7" x14ac:dyDescent="0.3">
      <c r="A1602" s="79">
        <v>42780</v>
      </c>
      <c r="B1602" s="5" t="s">
        <v>58</v>
      </c>
      <c r="C1602" s="92" t="s">
        <v>31</v>
      </c>
      <c r="D1602" s="43">
        <v>250</v>
      </c>
      <c r="E1602" s="43"/>
      <c r="F1602" s="43" t="e">
        <f t="shared" si="24"/>
        <v>#N/A</v>
      </c>
      <c r="G1602" s="43"/>
    </row>
    <row r="1603" spans="1:7" x14ac:dyDescent="0.3">
      <c r="A1603" s="79">
        <v>42780</v>
      </c>
      <c r="B1603" s="5" t="s">
        <v>1003</v>
      </c>
      <c r="C1603" s="92" t="s">
        <v>1280</v>
      </c>
      <c r="D1603" s="43">
        <v>1500</v>
      </c>
      <c r="E1603" s="43"/>
      <c r="F1603" s="43" t="e">
        <f t="shared" ref="F1603:F1666" si="25">F1602-D1603+E1603</f>
        <v>#N/A</v>
      </c>
      <c r="G1603" s="43"/>
    </row>
    <row r="1604" spans="1:7" ht="37.5" x14ac:dyDescent="0.3">
      <c r="A1604" s="79">
        <v>42780</v>
      </c>
      <c r="B1604" s="5" t="s">
        <v>1281</v>
      </c>
      <c r="C1604" s="92" t="s">
        <v>1320</v>
      </c>
      <c r="D1604" s="65">
        <v>800</v>
      </c>
      <c r="E1604" s="43"/>
      <c r="F1604" s="43" t="e">
        <f t="shared" si="25"/>
        <v>#N/A</v>
      </c>
      <c r="G1604" s="43"/>
    </row>
    <row r="1605" spans="1:7" x14ac:dyDescent="0.3">
      <c r="A1605" s="79">
        <v>42780</v>
      </c>
      <c r="B1605" s="5" t="s">
        <v>164</v>
      </c>
      <c r="C1605" s="92" t="s">
        <v>31</v>
      </c>
      <c r="D1605" s="43">
        <v>5000</v>
      </c>
      <c r="E1605" s="43"/>
      <c r="F1605" s="43" t="e">
        <f t="shared" si="25"/>
        <v>#N/A</v>
      </c>
      <c r="G1605" s="43"/>
    </row>
    <row r="1606" spans="1:7" ht="37.5" x14ac:dyDescent="0.3">
      <c r="A1606" s="79">
        <v>42781</v>
      </c>
      <c r="B1606" s="5" t="s">
        <v>58</v>
      </c>
      <c r="C1606" s="92" t="s">
        <v>1287</v>
      </c>
      <c r="D1606" s="65">
        <v>550</v>
      </c>
      <c r="E1606" s="43"/>
      <c r="F1606" s="43" t="e">
        <f t="shared" si="25"/>
        <v>#N/A</v>
      </c>
      <c r="G1606" s="43"/>
    </row>
    <row r="1607" spans="1:7" x14ac:dyDescent="0.3">
      <c r="A1607" s="79">
        <v>42781</v>
      </c>
      <c r="B1607" s="5" t="s">
        <v>104</v>
      </c>
      <c r="C1607" s="92" t="s">
        <v>1283</v>
      </c>
      <c r="D1607" s="43">
        <v>3000</v>
      </c>
      <c r="E1607" s="43"/>
      <c r="F1607" s="43" t="e">
        <f t="shared" si="25"/>
        <v>#N/A</v>
      </c>
      <c r="G1607" s="43"/>
    </row>
    <row r="1608" spans="1:7" x14ac:dyDescent="0.3">
      <c r="A1608" s="79">
        <v>42781</v>
      </c>
      <c r="B1608" s="5" t="s">
        <v>629</v>
      </c>
      <c r="C1608" s="92" t="s">
        <v>1284</v>
      </c>
      <c r="D1608" s="43">
        <v>41000</v>
      </c>
      <c r="E1608" s="43"/>
      <c r="F1608" s="43" t="e">
        <f t="shared" si="25"/>
        <v>#N/A</v>
      </c>
      <c r="G1608" s="43"/>
    </row>
    <row r="1609" spans="1:7" x14ac:dyDescent="0.3">
      <c r="A1609" s="79">
        <v>42781</v>
      </c>
      <c r="B1609" s="5" t="s">
        <v>16</v>
      </c>
      <c r="C1609" s="92" t="s">
        <v>31</v>
      </c>
      <c r="D1609" s="43">
        <v>5000</v>
      </c>
      <c r="E1609" s="43"/>
      <c r="F1609" s="43" t="e">
        <f t="shared" si="25"/>
        <v>#N/A</v>
      </c>
      <c r="G1609" s="43"/>
    </row>
    <row r="1610" spans="1:7" x14ac:dyDescent="0.3">
      <c r="A1610" s="79">
        <v>42781</v>
      </c>
      <c r="B1610" s="5" t="s">
        <v>27</v>
      </c>
      <c r="C1610" s="92" t="s">
        <v>31</v>
      </c>
      <c r="D1610" s="43">
        <v>2000</v>
      </c>
      <c r="E1610" s="43"/>
      <c r="F1610" s="43" t="e">
        <f t="shared" si="25"/>
        <v>#N/A</v>
      </c>
      <c r="G1610" s="43"/>
    </row>
    <row r="1611" spans="1:7" x14ac:dyDescent="0.3">
      <c r="A1611" s="79">
        <v>42781</v>
      </c>
      <c r="B1611" s="74" t="s">
        <v>127</v>
      </c>
      <c r="C1611" s="101" t="s">
        <v>1292</v>
      </c>
      <c r="D1611" s="43">
        <v>45000</v>
      </c>
      <c r="E1611" s="43"/>
      <c r="F1611" s="43" t="e">
        <f t="shared" si="25"/>
        <v>#N/A</v>
      </c>
      <c r="G1611" s="43"/>
    </row>
    <row r="1612" spans="1:7" x14ac:dyDescent="0.3">
      <c r="A1612" s="79">
        <v>42781</v>
      </c>
      <c r="B1612" s="761" t="s">
        <v>1289</v>
      </c>
      <c r="C1612" s="762"/>
      <c r="D1612" s="71"/>
      <c r="E1612" s="72">
        <v>50000</v>
      </c>
      <c r="F1612" s="43" t="e">
        <f t="shared" si="25"/>
        <v>#N/A</v>
      </c>
      <c r="G1612" s="43"/>
    </row>
    <row r="1613" spans="1:7" x14ac:dyDescent="0.3">
      <c r="A1613" s="79">
        <v>42781</v>
      </c>
      <c r="B1613" s="5" t="s">
        <v>1084</v>
      </c>
      <c r="C1613" s="92" t="s">
        <v>1384</v>
      </c>
      <c r="D1613" s="43">
        <v>10000</v>
      </c>
      <c r="E1613" s="43"/>
      <c r="F1613" s="43" t="e">
        <f t="shared" si="25"/>
        <v>#N/A</v>
      </c>
      <c r="G1613" s="43"/>
    </row>
    <row r="1614" spans="1:7" x14ac:dyDescent="0.3">
      <c r="A1614" s="79">
        <v>42781</v>
      </c>
      <c r="B1614" s="5" t="s">
        <v>911</v>
      </c>
      <c r="C1614" s="92" t="s">
        <v>1286</v>
      </c>
      <c r="D1614" s="43">
        <v>20000</v>
      </c>
      <c r="E1614" s="43"/>
      <c r="F1614" s="43" t="e">
        <f t="shared" si="25"/>
        <v>#N/A</v>
      </c>
      <c r="G1614" s="43"/>
    </row>
    <row r="1615" spans="1:7" ht="37.5" x14ac:dyDescent="0.3">
      <c r="A1615" s="79">
        <v>42781</v>
      </c>
      <c r="B1615" s="5" t="s">
        <v>58</v>
      </c>
      <c r="C1615" s="92" t="s">
        <v>1288</v>
      </c>
      <c r="D1615" s="43">
        <v>1000</v>
      </c>
      <c r="E1615" s="43"/>
      <c r="F1615" s="43" t="e">
        <f t="shared" si="25"/>
        <v>#N/A</v>
      </c>
      <c r="G1615" s="43"/>
    </row>
    <row r="1616" spans="1:7" x14ac:dyDescent="0.3">
      <c r="A1616" s="79">
        <v>42781</v>
      </c>
      <c r="B1616" s="5" t="s">
        <v>162</v>
      </c>
      <c r="C1616" s="92" t="s">
        <v>1290</v>
      </c>
      <c r="D1616" s="43">
        <v>10000</v>
      </c>
      <c r="E1616" s="43"/>
      <c r="F1616" s="43" t="e">
        <f t="shared" si="25"/>
        <v>#N/A</v>
      </c>
      <c r="G1616" s="43"/>
    </row>
    <row r="1617" spans="1:7" x14ac:dyDescent="0.3">
      <c r="A1617" s="79">
        <v>42781</v>
      </c>
      <c r="B1617" s="5" t="s">
        <v>961</v>
      </c>
      <c r="C1617" s="92" t="s">
        <v>40</v>
      </c>
      <c r="D1617" s="43">
        <v>10000</v>
      </c>
      <c r="E1617" s="43"/>
      <c r="F1617" s="43" t="e">
        <f t="shared" si="25"/>
        <v>#N/A</v>
      </c>
      <c r="G1617" s="43"/>
    </row>
    <row r="1618" spans="1:7" x14ac:dyDescent="0.3">
      <c r="A1618" s="79">
        <v>42782</v>
      </c>
      <c r="B1618" s="761" t="s">
        <v>1295</v>
      </c>
      <c r="C1618" s="762"/>
      <c r="D1618" s="71"/>
      <c r="E1618" s="72">
        <v>50000</v>
      </c>
      <c r="F1618" s="43" t="e">
        <f t="shared" si="25"/>
        <v>#N/A</v>
      </c>
      <c r="G1618" s="43"/>
    </row>
    <row r="1619" spans="1:7" ht="37.5" x14ac:dyDescent="0.3">
      <c r="A1619" s="79">
        <v>42782</v>
      </c>
      <c r="B1619" s="5" t="s">
        <v>1003</v>
      </c>
      <c r="C1619" s="92" t="s">
        <v>1291</v>
      </c>
      <c r="D1619" s="43">
        <v>1000</v>
      </c>
      <c r="E1619" s="43"/>
      <c r="F1619" s="43" t="e">
        <f t="shared" si="25"/>
        <v>#N/A</v>
      </c>
      <c r="G1619" s="43"/>
    </row>
    <row r="1620" spans="1:7" x14ac:dyDescent="0.3">
      <c r="A1620" s="79">
        <v>42782</v>
      </c>
      <c r="B1620" s="5" t="s">
        <v>120</v>
      </c>
      <c r="C1620" s="92" t="s">
        <v>31</v>
      </c>
      <c r="D1620" s="43">
        <v>400</v>
      </c>
      <c r="E1620" s="43"/>
      <c r="F1620" s="43" t="e">
        <f t="shared" si="25"/>
        <v>#N/A</v>
      </c>
      <c r="G1620" s="43"/>
    </row>
    <row r="1621" spans="1:7" x14ac:dyDescent="0.3">
      <c r="A1621" s="79">
        <v>42782</v>
      </c>
      <c r="B1621" s="5" t="s">
        <v>104</v>
      </c>
      <c r="C1621" s="92" t="s">
        <v>31</v>
      </c>
      <c r="D1621" s="43">
        <v>6000</v>
      </c>
      <c r="E1621" s="43"/>
      <c r="F1621" s="43" t="e">
        <f t="shared" si="25"/>
        <v>#N/A</v>
      </c>
      <c r="G1621" s="43"/>
    </row>
    <row r="1622" spans="1:7" ht="37.5" x14ac:dyDescent="0.3">
      <c r="A1622" s="79">
        <v>42782</v>
      </c>
      <c r="B1622" s="5" t="s">
        <v>127</v>
      </c>
      <c r="C1622" s="92" t="s">
        <v>1293</v>
      </c>
      <c r="D1622" s="65">
        <v>10015</v>
      </c>
      <c r="E1622" s="43"/>
      <c r="F1622" s="43" t="e">
        <f t="shared" si="25"/>
        <v>#N/A</v>
      </c>
      <c r="G1622" s="43"/>
    </row>
    <row r="1623" spans="1:7" x14ac:dyDescent="0.3">
      <c r="A1623" s="79">
        <v>42782</v>
      </c>
      <c r="B1623" s="5" t="s">
        <v>16</v>
      </c>
      <c r="C1623" s="92" t="s">
        <v>1294</v>
      </c>
      <c r="D1623" s="43">
        <v>5000</v>
      </c>
      <c r="E1623" s="43"/>
      <c r="F1623" s="43" t="e">
        <f t="shared" si="25"/>
        <v>#N/A</v>
      </c>
      <c r="G1623" s="43"/>
    </row>
    <row r="1624" spans="1:7" x14ac:dyDescent="0.3">
      <c r="A1624" s="79">
        <v>42782</v>
      </c>
      <c r="B1624" s="5" t="s">
        <v>116</v>
      </c>
      <c r="C1624" s="92" t="s">
        <v>1296</v>
      </c>
      <c r="D1624" s="43">
        <v>1500</v>
      </c>
      <c r="E1624" s="43"/>
      <c r="F1624" s="43" t="e">
        <f t="shared" si="25"/>
        <v>#N/A</v>
      </c>
      <c r="G1624" s="43"/>
    </row>
    <row r="1625" spans="1:7" x14ac:dyDescent="0.3">
      <c r="A1625" s="79">
        <v>42782</v>
      </c>
      <c r="B1625" s="5" t="s">
        <v>58</v>
      </c>
      <c r="C1625" s="92" t="s">
        <v>1321</v>
      </c>
      <c r="D1625" s="65">
        <v>10400</v>
      </c>
      <c r="E1625" s="43"/>
      <c r="F1625" s="43" t="e">
        <f t="shared" si="25"/>
        <v>#N/A</v>
      </c>
      <c r="G1625" s="43"/>
    </row>
    <row r="1626" spans="1:7" x14ac:dyDescent="0.3">
      <c r="A1626" s="79">
        <v>42782</v>
      </c>
      <c r="B1626" s="5" t="s">
        <v>164</v>
      </c>
      <c r="C1626" s="92" t="s">
        <v>31</v>
      </c>
      <c r="D1626" s="43">
        <v>10000</v>
      </c>
      <c r="E1626" s="43"/>
      <c r="F1626" s="43" t="e">
        <f t="shared" si="25"/>
        <v>#N/A</v>
      </c>
      <c r="G1626" s="43"/>
    </row>
    <row r="1627" spans="1:7" x14ac:dyDescent="0.3">
      <c r="A1627" s="79">
        <v>42782</v>
      </c>
      <c r="B1627" s="5" t="s">
        <v>39</v>
      </c>
      <c r="C1627" s="92" t="s">
        <v>1298</v>
      </c>
      <c r="D1627" s="43">
        <v>126</v>
      </c>
      <c r="E1627" s="43"/>
      <c r="F1627" s="43" t="e">
        <f t="shared" si="25"/>
        <v>#N/A</v>
      </c>
      <c r="G1627" s="43"/>
    </row>
    <row r="1628" spans="1:7" x14ac:dyDescent="0.3">
      <c r="A1628" s="79">
        <v>42782</v>
      </c>
      <c r="B1628" s="5" t="s">
        <v>25</v>
      </c>
      <c r="C1628" s="92" t="s">
        <v>1297</v>
      </c>
      <c r="D1628" s="43">
        <v>100</v>
      </c>
      <c r="E1628" s="43"/>
      <c r="F1628" s="43" t="e">
        <f t="shared" si="25"/>
        <v>#N/A</v>
      </c>
      <c r="G1628" s="43"/>
    </row>
    <row r="1629" spans="1:7" x14ac:dyDescent="0.3">
      <c r="A1629" s="79">
        <v>42783</v>
      </c>
      <c r="B1629" s="5" t="s">
        <v>445</v>
      </c>
      <c r="C1629" s="92" t="s">
        <v>31</v>
      </c>
      <c r="D1629" s="43">
        <v>2000</v>
      </c>
      <c r="E1629" s="43"/>
      <c r="F1629" s="43" t="e">
        <f t="shared" si="25"/>
        <v>#N/A</v>
      </c>
      <c r="G1629" s="43"/>
    </row>
    <row r="1630" spans="1:7" x14ac:dyDescent="0.3">
      <c r="A1630" s="79">
        <v>42783</v>
      </c>
      <c r="B1630" s="761" t="s">
        <v>1295</v>
      </c>
      <c r="C1630" s="762"/>
      <c r="D1630" s="71"/>
      <c r="E1630" s="72">
        <v>25000</v>
      </c>
      <c r="F1630" s="43" t="e">
        <f t="shared" si="25"/>
        <v>#N/A</v>
      </c>
      <c r="G1630" s="43"/>
    </row>
    <row r="1631" spans="1:7" x14ac:dyDescent="0.3">
      <c r="A1631" s="79">
        <v>42783</v>
      </c>
      <c r="B1631" s="761" t="s">
        <v>1295</v>
      </c>
      <c r="C1631" s="762"/>
      <c r="D1631" s="71"/>
      <c r="E1631" s="72">
        <v>25000</v>
      </c>
      <c r="F1631" s="43" t="e">
        <f t="shared" si="25"/>
        <v>#N/A</v>
      </c>
      <c r="G1631" s="43"/>
    </row>
    <row r="1632" spans="1:7" x14ac:dyDescent="0.3">
      <c r="A1632" s="79">
        <v>42783</v>
      </c>
      <c r="B1632" s="5" t="s">
        <v>16</v>
      </c>
      <c r="C1632" s="92" t="s">
        <v>798</v>
      </c>
      <c r="D1632" s="43">
        <v>5000</v>
      </c>
      <c r="E1632" s="43"/>
      <c r="F1632" s="43" t="e">
        <f t="shared" si="25"/>
        <v>#N/A</v>
      </c>
      <c r="G1632" s="43"/>
    </row>
    <row r="1633" spans="1:7" x14ac:dyDescent="0.3">
      <c r="A1633" s="79">
        <v>42783</v>
      </c>
      <c r="B1633" s="5" t="s">
        <v>4</v>
      </c>
      <c r="C1633" s="92" t="s">
        <v>1300</v>
      </c>
      <c r="D1633" s="43">
        <v>5000</v>
      </c>
      <c r="E1633" s="43"/>
      <c r="F1633" s="43" t="e">
        <f t="shared" si="25"/>
        <v>#N/A</v>
      </c>
      <c r="G1633" s="43"/>
    </row>
    <row r="1634" spans="1:7" x14ac:dyDescent="0.3">
      <c r="A1634" s="79">
        <v>42783</v>
      </c>
      <c r="B1634" s="5" t="s">
        <v>4</v>
      </c>
      <c r="C1634" s="92" t="s">
        <v>31</v>
      </c>
      <c r="D1634" s="43">
        <v>2000</v>
      </c>
      <c r="E1634" s="43"/>
      <c r="F1634" s="43" t="e">
        <f t="shared" si="25"/>
        <v>#N/A</v>
      </c>
      <c r="G1634" s="43"/>
    </row>
    <row r="1635" spans="1:7" x14ac:dyDescent="0.3">
      <c r="A1635" s="79">
        <v>42783</v>
      </c>
      <c r="B1635" s="5" t="s">
        <v>25</v>
      </c>
      <c r="C1635" s="92" t="s">
        <v>1301</v>
      </c>
      <c r="D1635" s="43">
        <v>460</v>
      </c>
      <c r="E1635" s="43"/>
      <c r="F1635" s="43" t="e">
        <f t="shared" si="25"/>
        <v>#N/A</v>
      </c>
      <c r="G1635" s="43"/>
    </row>
    <row r="1636" spans="1:7" x14ac:dyDescent="0.3">
      <c r="A1636" s="79">
        <v>42783</v>
      </c>
      <c r="B1636" s="5" t="s">
        <v>1061</v>
      </c>
      <c r="C1636" s="92" t="s">
        <v>1302</v>
      </c>
      <c r="D1636" s="43">
        <v>15000</v>
      </c>
      <c r="E1636" s="43"/>
      <c r="F1636" s="43" t="e">
        <f t="shared" si="25"/>
        <v>#N/A</v>
      </c>
      <c r="G1636" s="43"/>
    </row>
    <row r="1637" spans="1:7" x14ac:dyDescent="0.3">
      <c r="A1637" s="79">
        <v>42783</v>
      </c>
      <c r="B1637" s="5" t="s">
        <v>127</v>
      </c>
      <c r="C1637" s="92" t="s">
        <v>1303</v>
      </c>
      <c r="D1637" s="43">
        <v>13000</v>
      </c>
      <c r="E1637" s="43"/>
      <c r="F1637" s="43" t="e">
        <f t="shared" si="25"/>
        <v>#N/A</v>
      </c>
      <c r="G1637" s="43"/>
    </row>
    <row r="1638" spans="1:7" x14ac:dyDescent="0.3">
      <c r="A1638" s="79">
        <v>42783</v>
      </c>
      <c r="B1638" s="5" t="s">
        <v>445</v>
      </c>
      <c r="C1638" s="92" t="s">
        <v>31</v>
      </c>
      <c r="D1638" s="43">
        <v>2000</v>
      </c>
      <c r="E1638" s="43"/>
      <c r="F1638" s="43" t="e">
        <f t="shared" si="25"/>
        <v>#N/A</v>
      </c>
      <c r="G1638" s="43"/>
    </row>
    <row r="1639" spans="1:7" x14ac:dyDescent="0.3">
      <c r="A1639" s="79">
        <v>42783</v>
      </c>
      <c r="B1639" s="5" t="s">
        <v>961</v>
      </c>
      <c r="C1639" s="92" t="s">
        <v>1304</v>
      </c>
      <c r="D1639" s="43">
        <v>2000</v>
      </c>
      <c r="E1639" s="43"/>
      <c r="F1639" s="43" t="e">
        <f t="shared" si="25"/>
        <v>#N/A</v>
      </c>
      <c r="G1639" s="43"/>
    </row>
    <row r="1640" spans="1:7" x14ac:dyDescent="0.3">
      <c r="A1640" s="79">
        <v>42783</v>
      </c>
      <c r="B1640" s="5" t="s">
        <v>18</v>
      </c>
      <c r="C1640" s="92" t="s">
        <v>31</v>
      </c>
      <c r="D1640" s="43">
        <v>1000</v>
      </c>
      <c r="E1640" s="43"/>
      <c r="F1640" s="43" t="e">
        <f t="shared" si="25"/>
        <v>#N/A</v>
      </c>
      <c r="G1640" s="43"/>
    </row>
    <row r="1641" spans="1:7" x14ac:dyDescent="0.3">
      <c r="A1641" s="79">
        <v>42783</v>
      </c>
      <c r="B1641" s="107" t="s">
        <v>70</v>
      </c>
      <c r="C1641" s="108" t="s">
        <v>31</v>
      </c>
      <c r="D1641" s="109">
        <v>2000</v>
      </c>
      <c r="E1641" s="43"/>
      <c r="F1641" s="43" t="e">
        <f t="shared" si="25"/>
        <v>#N/A</v>
      </c>
      <c r="G1641" s="43"/>
    </row>
    <row r="1642" spans="1:7" x14ac:dyDescent="0.3">
      <c r="A1642" s="79">
        <v>42783</v>
      </c>
      <c r="B1642" s="761" t="s">
        <v>1295</v>
      </c>
      <c r="C1642" s="762"/>
      <c r="D1642" s="71"/>
      <c r="E1642" s="72">
        <v>100000</v>
      </c>
      <c r="F1642" s="43" t="e">
        <f t="shared" si="25"/>
        <v>#N/A</v>
      </c>
      <c r="G1642" s="43"/>
    </row>
    <row r="1643" spans="1:7" x14ac:dyDescent="0.3">
      <c r="A1643" s="79">
        <v>42783</v>
      </c>
      <c r="B1643" s="5" t="s">
        <v>124</v>
      </c>
      <c r="C1643" s="92" t="s">
        <v>1305</v>
      </c>
      <c r="D1643" s="43">
        <v>6000</v>
      </c>
      <c r="E1643" s="43"/>
      <c r="F1643" s="43" t="e">
        <f t="shared" si="25"/>
        <v>#N/A</v>
      </c>
      <c r="G1643" s="43"/>
    </row>
    <row r="1644" spans="1:7" x14ac:dyDescent="0.3">
      <c r="A1644" s="79">
        <v>42783</v>
      </c>
      <c r="B1644" s="5" t="s">
        <v>1306</v>
      </c>
      <c r="C1644" s="92" t="s">
        <v>1307</v>
      </c>
      <c r="D1644" s="43">
        <v>6315</v>
      </c>
      <c r="E1644" s="43"/>
      <c r="F1644" s="43" t="e">
        <f t="shared" si="25"/>
        <v>#N/A</v>
      </c>
      <c r="G1644" s="43"/>
    </row>
    <row r="1645" spans="1:7" x14ac:dyDescent="0.3">
      <c r="A1645" s="79">
        <v>42784</v>
      </c>
      <c r="B1645" s="107" t="s">
        <v>580</v>
      </c>
      <c r="C1645" s="108" t="s">
        <v>31</v>
      </c>
      <c r="D1645" s="109">
        <v>10000</v>
      </c>
      <c r="E1645" s="43"/>
      <c r="F1645" s="43" t="e">
        <f t="shared" si="25"/>
        <v>#N/A</v>
      </c>
      <c r="G1645" s="43"/>
    </row>
    <row r="1646" spans="1:7" ht="37.5" x14ac:dyDescent="0.3">
      <c r="A1646" s="79">
        <v>42784</v>
      </c>
      <c r="B1646" s="5" t="s">
        <v>107</v>
      </c>
      <c r="C1646" s="92" t="s">
        <v>1308</v>
      </c>
      <c r="D1646" s="43">
        <v>3530</v>
      </c>
      <c r="E1646" s="43"/>
      <c r="F1646" s="43" t="e">
        <f t="shared" si="25"/>
        <v>#N/A</v>
      </c>
      <c r="G1646" s="43"/>
    </row>
    <row r="1647" spans="1:7" x14ac:dyDescent="0.3">
      <c r="A1647" s="79">
        <v>42784</v>
      </c>
      <c r="B1647" s="5" t="s">
        <v>160</v>
      </c>
      <c r="C1647" s="92" t="s">
        <v>1309</v>
      </c>
      <c r="D1647" s="43">
        <v>2000</v>
      </c>
      <c r="E1647" s="43"/>
      <c r="F1647" s="43" t="e">
        <f t="shared" si="25"/>
        <v>#N/A</v>
      </c>
      <c r="G1647" s="43"/>
    </row>
    <row r="1648" spans="1:7" x14ac:dyDescent="0.3">
      <c r="A1648" s="79">
        <v>42784</v>
      </c>
      <c r="B1648" s="5" t="s">
        <v>160</v>
      </c>
      <c r="C1648" s="92" t="s">
        <v>1313</v>
      </c>
      <c r="D1648" s="43">
        <v>4000</v>
      </c>
      <c r="E1648" s="43"/>
      <c r="F1648" s="43" t="e">
        <f t="shared" si="25"/>
        <v>#N/A</v>
      </c>
      <c r="G1648" s="43"/>
    </row>
    <row r="1649" spans="1:7" x14ac:dyDescent="0.3">
      <c r="A1649" s="79">
        <v>42784</v>
      </c>
      <c r="B1649" s="5" t="s">
        <v>70</v>
      </c>
      <c r="C1649" s="92" t="s">
        <v>1312</v>
      </c>
      <c r="D1649" s="43">
        <v>3000</v>
      </c>
      <c r="E1649" s="43"/>
      <c r="F1649" s="43" t="e">
        <f t="shared" si="25"/>
        <v>#N/A</v>
      </c>
      <c r="G1649" s="43"/>
    </row>
    <row r="1650" spans="1:7" x14ac:dyDescent="0.3">
      <c r="A1650" s="79">
        <v>42786</v>
      </c>
      <c r="B1650" s="761" t="s">
        <v>1310</v>
      </c>
      <c r="C1650" s="762"/>
      <c r="D1650" s="71"/>
      <c r="E1650" s="72">
        <v>16000</v>
      </c>
      <c r="F1650" s="43" t="e">
        <f t="shared" si="25"/>
        <v>#N/A</v>
      </c>
      <c r="G1650" s="43"/>
    </row>
    <row r="1651" spans="1:7" x14ac:dyDescent="0.3">
      <c r="A1651" s="79">
        <v>42786</v>
      </c>
      <c r="B1651" s="5" t="s">
        <v>124</v>
      </c>
      <c r="C1651" s="92" t="s">
        <v>1311</v>
      </c>
      <c r="D1651" s="43">
        <v>2000</v>
      </c>
      <c r="E1651" s="43"/>
      <c r="F1651" s="43" t="e">
        <f t="shared" si="25"/>
        <v>#N/A</v>
      </c>
      <c r="G1651" s="43"/>
    </row>
    <row r="1652" spans="1:7" x14ac:dyDescent="0.3">
      <c r="A1652" s="79">
        <v>42786</v>
      </c>
      <c r="B1652" s="5" t="s">
        <v>27</v>
      </c>
      <c r="C1652" s="92" t="s">
        <v>31</v>
      </c>
      <c r="D1652" s="43">
        <v>2000</v>
      </c>
      <c r="E1652" s="43"/>
      <c r="F1652" s="43" t="e">
        <f t="shared" si="25"/>
        <v>#N/A</v>
      </c>
      <c r="G1652" s="43"/>
    </row>
    <row r="1653" spans="1:7" x14ac:dyDescent="0.3">
      <c r="A1653" s="79">
        <v>42786</v>
      </c>
      <c r="B1653" s="5" t="s">
        <v>120</v>
      </c>
      <c r="C1653" s="92" t="s">
        <v>31</v>
      </c>
      <c r="D1653" s="43">
        <v>12000</v>
      </c>
      <c r="E1653" s="43"/>
      <c r="F1653" s="43" t="e">
        <f t="shared" si="25"/>
        <v>#N/A</v>
      </c>
      <c r="G1653" s="43"/>
    </row>
    <row r="1654" spans="1:7" x14ac:dyDescent="0.3">
      <c r="A1654" s="79">
        <v>42786</v>
      </c>
      <c r="B1654" s="5" t="s">
        <v>58</v>
      </c>
      <c r="C1654" s="92" t="s">
        <v>798</v>
      </c>
      <c r="D1654" s="65">
        <v>3350</v>
      </c>
      <c r="E1654" s="43"/>
      <c r="F1654" s="43" t="e">
        <f t="shared" si="25"/>
        <v>#N/A</v>
      </c>
      <c r="G1654" s="43"/>
    </row>
    <row r="1655" spans="1:7" ht="56.25" x14ac:dyDescent="0.3">
      <c r="A1655" s="79">
        <v>42786</v>
      </c>
      <c r="B1655" s="5" t="s">
        <v>1193</v>
      </c>
      <c r="C1655" s="92" t="s">
        <v>1527</v>
      </c>
      <c r="D1655" s="43">
        <v>16000</v>
      </c>
      <c r="E1655" s="43"/>
      <c r="F1655" s="43" t="e">
        <f t="shared" si="25"/>
        <v>#N/A</v>
      </c>
      <c r="G1655" s="43"/>
    </row>
    <row r="1656" spans="1:7" ht="37.5" x14ac:dyDescent="0.3">
      <c r="A1656" s="79">
        <v>42786</v>
      </c>
      <c r="B1656" s="5" t="s">
        <v>116</v>
      </c>
      <c r="C1656" s="92" t="s">
        <v>1314</v>
      </c>
      <c r="D1656" s="43">
        <v>1450</v>
      </c>
      <c r="E1656" s="43"/>
      <c r="F1656" s="43" t="e">
        <f t="shared" si="25"/>
        <v>#N/A</v>
      </c>
      <c r="G1656" s="43"/>
    </row>
    <row r="1657" spans="1:7" x14ac:dyDescent="0.3">
      <c r="A1657" s="79">
        <v>42786</v>
      </c>
      <c r="B1657" s="5" t="s">
        <v>160</v>
      </c>
      <c r="C1657" s="92" t="s">
        <v>1315</v>
      </c>
      <c r="D1657" s="43">
        <v>5000</v>
      </c>
      <c r="E1657" s="43"/>
      <c r="F1657" s="43" t="e">
        <f t="shared" si="25"/>
        <v>#N/A</v>
      </c>
      <c r="G1657" s="43"/>
    </row>
    <row r="1658" spans="1:7" x14ac:dyDescent="0.3">
      <c r="A1658" s="79">
        <v>42786</v>
      </c>
      <c r="B1658" s="5" t="s">
        <v>1316</v>
      </c>
      <c r="C1658" s="92" t="s">
        <v>1317</v>
      </c>
      <c r="D1658" s="43">
        <v>10000</v>
      </c>
      <c r="E1658" s="43"/>
      <c r="F1658" s="43" t="e">
        <f t="shared" si="25"/>
        <v>#N/A</v>
      </c>
      <c r="G1658" s="43"/>
    </row>
    <row r="1659" spans="1:7" x14ac:dyDescent="0.3">
      <c r="A1659" s="79">
        <v>42786</v>
      </c>
      <c r="B1659" s="5" t="s">
        <v>961</v>
      </c>
      <c r="C1659" s="92" t="s">
        <v>40</v>
      </c>
      <c r="D1659" s="43">
        <v>3500</v>
      </c>
      <c r="E1659" s="43"/>
      <c r="F1659" s="43" t="e">
        <f t="shared" si="25"/>
        <v>#N/A</v>
      </c>
      <c r="G1659" s="43"/>
    </row>
    <row r="1660" spans="1:7" x14ac:dyDescent="0.3">
      <c r="A1660" s="79">
        <v>42786</v>
      </c>
      <c r="B1660" s="5" t="s">
        <v>127</v>
      </c>
      <c r="C1660" s="92" t="s">
        <v>1318</v>
      </c>
      <c r="D1660" s="43">
        <v>1500</v>
      </c>
      <c r="E1660" s="43"/>
      <c r="F1660" s="43" t="e">
        <f t="shared" si="25"/>
        <v>#N/A</v>
      </c>
      <c r="G1660" s="43"/>
    </row>
    <row r="1661" spans="1:7" ht="56.25" x14ac:dyDescent="0.3">
      <c r="A1661" s="79">
        <v>42786</v>
      </c>
      <c r="B1661" s="5" t="s">
        <v>1281</v>
      </c>
      <c r="C1661" s="92" t="s">
        <v>1347</v>
      </c>
      <c r="D1661" s="65">
        <v>850</v>
      </c>
      <c r="E1661" s="43"/>
      <c r="F1661" s="43" t="e">
        <f t="shared" si="25"/>
        <v>#N/A</v>
      </c>
      <c r="G1661" s="43"/>
    </row>
    <row r="1662" spans="1:7" x14ac:dyDescent="0.3">
      <c r="A1662" s="79">
        <v>42786</v>
      </c>
      <c r="B1662" s="5" t="s">
        <v>1003</v>
      </c>
      <c r="C1662" s="92" t="s">
        <v>1319</v>
      </c>
      <c r="D1662" s="43">
        <v>450</v>
      </c>
      <c r="E1662" s="43"/>
      <c r="F1662" s="43" t="e">
        <f t="shared" si="25"/>
        <v>#N/A</v>
      </c>
      <c r="G1662" s="43"/>
    </row>
    <row r="1663" spans="1:7" x14ac:dyDescent="0.3">
      <c r="A1663" s="79">
        <v>42786</v>
      </c>
      <c r="B1663" s="5" t="s">
        <v>16</v>
      </c>
      <c r="C1663" s="92" t="s">
        <v>31</v>
      </c>
      <c r="D1663" s="43">
        <v>5000</v>
      </c>
      <c r="E1663" s="43"/>
      <c r="F1663" s="43" t="e">
        <f t="shared" si="25"/>
        <v>#N/A</v>
      </c>
      <c r="G1663" s="43"/>
    </row>
    <row r="1664" spans="1:7" x14ac:dyDescent="0.3">
      <c r="A1664" s="79">
        <v>42787</v>
      </c>
      <c r="B1664" s="5" t="s">
        <v>18</v>
      </c>
      <c r="C1664" s="92" t="s">
        <v>1385</v>
      </c>
      <c r="D1664" s="43">
        <v>7000</v>
      </c>
      <c r="E1664" s="43"/>
      <c r="F1664" s="43" t="e">
        <f t="shared" si="25"/>
        <v>#N/A</v>
      </c>
      <c r="G1664" s="43"/>
    </row>
    <row r="1665" spans="1:7" x14ac:dyDescent="0.3">
      <c r="A1665" s="79">
        <v>42787</v>
      </c>
      <c r="B1665" s="5" t="s">
        <v>27</v>
      </c>
      <c r="C1665" s="92" t="s">
        <v>31</v>
      </c>
      <c r="D1665" s="43">
        <v>8000</v>
      </c>
      <c r="E1665" s="43"/>
      <c r="F1665" s="43" t="e">
        <f t="shared" si="25"/>
        <v>#N/A</v>
      </c>
      <c r="G1665" s="43"/>
    </row>
    <row r="1666" spans="1:7" x14ac:dyDescent="0.3">
      <c r="A1666" s="79">
        <v>42787</v>
      </c>
      <c r="B1666" s="761" t="s">
        <v>1295</v>
      </c>
      <c r="C1666" s="762"/>
      <c r="D1666" s="71"/>
      <c r="E1666" s="72">
        <v>50000</v>
      </c>
      <c r="F1666" s="43" t="e">
        <f t="shared" si="25"/>
        <v>#N/A</v>
      </c>
      <c r="G1666" s="43"/>
    </row>
    <row r="1667" spans="1:7" x14ac:dyDescent="0.3">
      <c r="A1667" s="79">
        <v>42787</v>
      </c>
      <c r="B1667" s="5" t="s">
        <v>445</v>
      </c>
      <c r="C1667" s="92" t="s">
        <v>1323</v>
      </c>
      <c r="D1667" s="43">
        <v>1070</v>
      </c>
      <c r="E1667" s="43"/>
      <c r="F1667" s="43" t="e">
        <f t="shared" ref="F1667:F1730" si="26">F1666-D1667+E1667</f>
        <v>#N/A</v>
      </c>
      <c r="G1667" s="43"/>
    </row>
    <row r="1668" spans="1:7" x14ac:dyDescent="0.3">
      <c r="A1668" s="79">
        <v>42787</v>
      </c>
      <c r="B1668" s="5" t="s">
        <v>58</v>
      </c>
      <c r="C1668" s="92" t="s">
        <v>1368</v>
      </c>
      <c r="D1668" s="65">
        <v>23940</v>
      </c>
      <c r="E1668" s="43"/>
      <c r="F1668" s="43" t="e">
        <f t="shared" si="26"/>
        <v>#N/A</v>
      </c>
      <c r="G1668" s="43"/>
    </row>
    <row r="1669" spans="1:7" x14ac:dyDescent="0.3">
      <c r="A1669" s="79">
        <v>42787</v>
      </c>
      <c r="B1669" s="5" t="s">
        <v>1316</v>
      </c>
      <c r="C1669" s="92" t="s">
        <v>1324</v>
      </c>
      <c r="D1669" s="43">
        <v>15000</v>
      </c>
      <c r="E1669" s="43"/>
      <c r="F1669" s="43" t="e">
        <f t="shared" si="26"/>
        <v>#N/A</v>
      </c>
      <c r="G1669" s="43"/>
    </row>
    <row r="1670" spans="1:7" x14ac:dyDescent="0.3">
      <c r="A1670" s="79">
        <v>42787</v>
      </c>
      <c r="B1670" s="5" t="s">
        <v>160</v>
      </c>
      <c r="C1670" s="92" t="s">
        <v>1325</v>
      </c>
      <c r="D1670" s="43">
        <v>5000</v>
      </c>
      <c r="E1670" s="43"/>
      <c r="F1670" s="43" t="e">
        <f t="shared" si="26"/>
        <v>#N/A</v>
      </c>
      <c r="G1670" s="43"/>
    </row>
    <row r="1671" spans="1:7" x14ac:dyDescent="0.3">
      <c r="A1671" s="79">
        <v>42787</v>
      </c>
      <c r="B1671" s="5" t="s">
        <v>27</v>
      </c>
      <c r="C1671" s="92" t="s">
        <v>1326</v>
      </c>
      <c r="D1671" s="43">
        <v>4000</v>
      </c>
      <c r="E1671" s="43"/>
      <c r="F1671" s="43" t="e">
        <f t="shared" si="26"/>
        <v>#N/A</v>
      </c>
      <c r="G1671" s="43"/>
    </row>
    <row r="1672" spans="1:7" x14ac:dyDescent="0.3">
      <c r="A1672" s="79">
        <v>42787</v>
      </c>
      <c r="B1672" s="5" t="s">
        <v>961</v>
      </c>
      <c r="C1672" s="92" t="s">
        <v>40</v>
      </c>
      <c r="D1672" s="43">
        <v>3500</v>
      </c>
      <c r="E1672" s="43"/>
      <c r="F1672" s="43" t="e">
        <f t="shared" si="26"/>
        <v>#N/A</v>
      </c>
      <c r="G1672" s="43"/>
    </row>
    <row r="1673" spans="1:7" x14ac:dyDescent="0.3">
      <c r="A1673" s="79">
        <v>42788</v>
      </c>
      <c r="B1673" s="107" t="s">
        <v>58</v>
      </c>
      <c r="C1673" s="108" t="s">
        <v>31</v>
      </c>
      <c r="D1673" s="109">
        <v>500</v>
      </c>
      <c r="E1673" s="43"/>
      <c r="F1673" s="43" t="e">
        <f t="shared" si="26"/>
        <v>#N/A</v>
      </c>
      <c r="G1673" s="43"/>
    </row>
    <row r="1674" spans="1:7" x14ac:dyDescent="0.3">
      <c r="A1674" s="79">
        <v>42788</v>
      </c>
      <c r="B1674" s="5" t="s">
        <v>16</v>
      </c>
      <c r="C1674" s="92" t="s">
        <v>31</v>
      </c>
      <c r="D1674" s="43">
        <v>3000</v>
      </c>
      <c r="E1674" s="43"/>
      <c r="F1674" s="43" t="e">
        <f t="shared" si="26"/>
        <v>#N/A</v>
      </c>
      <c r="G1674" s="43"/>
    </row>
    <row r="1675" spans="1:7" x14ac:dyDescent="0.3">
      <c r="A1675" s="79">
        <v>42789</v>
      </c>
      <c r="B1675" s="761" t="s">
        <v>1295</v>
      </c>
      <c r="C1675" s="762"/>
      <c r="D1675" s="71"/>
      <c r="E1675" s="72">
        <v>50000</v>
      </c>
      <c r="F1675" s="43" t="e">
        <f t="shared" si="26"/>
        <v>#N/A</v>
      </c>
      <c r="G1675" s="43"/>
    </row>
    <row r="1676" spans="1:7" ht="37.5" x14ac:dyDescent="0.3">
      <c r="A1676" s="79">
        <v>42789</v>
      </c>
      <c r="B1676" s="5" t="s">
        <v>58</v>
      </c>
      <c r="C1676" s="92" t="s">
        <v>1340</v>
      </c>
      <c r="D1676" s="43">
        <v>10232</v>
      </c>
      <c r="E1676" s="43"/>
      <c r="F1676" s="43" t="e">
        <f t="shared" si="26"/>
        <v>#N/A</v>
      </c>
      <c r="G1676" s="43"/>
    </row>
    <row r="1677" spans="1:7" ht="37.5" x14ac:dyDescent="0.3">
      <c r="A1677" s="79">
        <v>42789</v>
      </c>
      <c r="B1677" s="5" t="s">
        <v>1003</v>
      </c>
      <c r="C1677" s="92" t="s">
        <v>1327</v>
      </c>
      <c r="D1677" s="43">
        <v>2100</v>
      </c>
      <c r="E1677" s="43"/>
      <c r="F1677" s="43" t="e">
        <f t="shared" si="26"/>
        <v>#N/A</v>
      </c>
      <c r="G1677" s="43"/>
    </row>
    <row r="1678" spans="1:7" x14ac:dyDescent="0.3">
      <c r="A1678" s="79">
        <v>42789</v>
      </c>
      <c r="B1678" s="5" t="s">
        <v>160</v>
      </c>
      <c r="C1678" s="92" t="s">
        <v>1342</v>
      </c>
      <c r="D1678" s="43">
        <v>500</v>
      </c>
      <c r="E1678" s="43"/>
      <c r="F1678" s="43" t="e">
        <f t="shared" si="26"/>
        <v>#N/A</v>
      </c>
      <c r="G1678" s="43"/>
    </row>
    <row r="1679" spans="1:7" x14ac:dyDescent="0.3">
      <c r="A1679" s="79">
        <v>42789</v>
      </c>
      <c r="B1679" s="5" t="s">
        <v>16</v>
      </c>
      <c r="C1679" s="92" t="s">
        <v>31</v>
      </c>
      <c r="D1679" s="43">
        <v>100</v>
      </c>
      <c r="E1679" s="43"/>
      <c r="F1679" s="43" t="e">
        <f t="shared" si="26"/>
        <v>#N/A</v>
      </c>
      <c r="G1679" s="43"/>
    </row>
    <row r="1680" spans="1:7" x14ac:dyDescent="0.3">
      <c r="A1680" s="79">
        <v>42789</v>
      </c>
      <c r="B1680" s="5" t="s">
        <v>164</v>
      </c>
      <c r="C1680" s="92" t="s">
        <v>31</v>
      </c>
      <c r="D1680" s="43">
        <v>30000</v>
      </c>
      <c r="E1680" s="43"/>
      <c r="F1680" s="43" t="e">
        <f t="shared" si="26"/>
        <v>#N/A</v>
      </c>
      <c r="G1680" s="43"/>
    </row>
    <row r="1681" spans="1:7" x14ac:dyDescent="0.3">
      <c r="A1681" s="79">
        <v>42789</v>
      </c>
      <c r="B1681" s="5" t="s">
        <v>1328</v>
      </c>
      <c r="C1681" s="92" t="s">
        <v>1329</v>
      </c>
      <c r="D1681" s="43">
        <v>2000</v>
      </c>
      <c r="E1681" s="43"/>
      <c r="F1681" s="43" t="e">
        <f t="shared" si="26"/>
        <v>#N/A</v>
      </c>
      <c r="G1681" s="43"/>
    </row>
    <row r="1682" spans="1:7" x14ac:dyDescent="0.3">
      <c r="A1682" s="79">
        <v>42790</v>
      </c>
      <c r="B1682" s="107" t="s">
        <v>60</v>
      </c>
      <c r="C1682" s="108" t="s">
        <v>1330</v>
      </c>
      <c r="D1682" s="109">
        <v>300</v>
      </c>
      <c r="E1682" s="43"/>
      <c r="F1682" s="43" t="e">
        <f t="shared" si="26"/>
        <v>#N/A</v>
      </c>
      <c r="G1682" s="43"/>
    </row>
    <row r="1683" spans="1:7" x14ac:dyDescent="0.3">
      <c r="A1683" s="79">
        <v>42790</v>
      </c>
      <c r="B1683" s="761" t="s">
        <v>1295</v>
      </c>
      <c r="C1683" s="762"/>
      <c r="D1683" s="71"/>
      <c r="E1683" s="72">
        <v>50000</v>
      </c>
      <c r="F1683" s="43" t="e">
        <f t="shared" si="26"/>
        <v>#N/A</v>
      </c>
      <c r="G1683" s="43"/>
    </row>
    <row r="1684" spans="1:7" x14ac:dyDescent="0.3">
      <c r="A1684" s="79">
        <v>42790</v>
      </c>
      <c r="B1684" s="5" t="s">
        <v>27</v>
      </c>
      <c r="C1684" s="92" t="s">
        <v>31</v>
      </c>
      <c r="D1684" s="43">
        <v>5500</v>
      </c>
      <c r="E1684" s="43"/>
      <c r="F1684" s="43" t="e">
        <f t="shared" si="26"/>
        <v>#N/A</v>
      </c>
      <c r="G1684" s="43"/>
    </row>
    <row r="1685" spans="1:7" x14ac:dyDescent="0.3">
      <c r="A1685" s="79">
        <v>42790</v>
      </c>
      <c r="B1685" s="5" t="s">
        <v>16</v>
      </c>
      <c r="C1685" s="92" t="s">
        <v>31</v>
      </c>
      <c r="D1685" s="43">
        <v>1500</v>
      </c>
      <c r="E1685" s="43"/>
      <c r="F1685" s="43" t="e">
        <f t="shared" si="26"/>
        <v>#N/A</v>
      </c>
      <c r="G1685" s="43"/>
    </row>
    <row r="1686" spans="1:7" x14ac:dyDescent="0.3">
      <c r="A1686" s="79">
        <v>42790</v>
      </c>
      <c r="B1686" s="5" t="s">
        <v>120</v>
      </c>
      <c r="C1686" s="92" t="s">
        <v>30</v>
      </c>
      <c r="D1686" s="43">
        <v>500</v>
      </c>
      <c r="E1686" s="43"/>
      <c r="F1686" s="43" t="e">
        <f t="shared" si="26"/>
        <v>#N/A</v>
      </c>
      <c r="G1686" s="43"/>
    </row>
    <row r="1687" spans="1:7" x14ac:dyDescent="0.3">
      <c r="A1687" s="79">
        <v>42790</v>
      </c>
      <c r="B1687" s="5" t="s">
        <v>120</v>
      </c>
      <c r="C1687" s="92" t="s">
        <v>31</v>
      </c>
      <c r="D1687" s="43">
        <v>5000</v>
      </c>
      <c r="E1687" s="43"/>
      <c r="F1687" s="43" t="e">
        <f t="shared" si="26"/>
        <v>#N/A</v>
      </c>
      <c r="G1687" s="43"/>
    </row>
    <row r="1688" spans="1:7" x14ac:dyDescent="0.3">
      <c r="A1688" s="79">
        <v>42790</v>
      </c>
      <c r="B1688" s="5" t="s">
        <v>127</v>
      </c>
      <c r="C1688" s="92" t="s">
        <v>31</v>
      </c>
      <c r="D1688" s="43">
        <v>7358</v>
      </c>
      <c r="E1688" s="43"/>
      <c r="F1688" s="43" t="e">
        <f t="shared" si="26"/>
        <v>#N/A</v>
      </c>
      <c r="G1688" s="43"/>
    </row>
    <row r="1689" spans="1:7" x14ac:dyDescent="0.3">
      <c r="A1689" s="79">
        <v>42790</v>
      </c>
      <c r="B1689" s="5" t="s">
        <v>1331</v>
      </c>
      <c r="C1689" s="92" t="s">
        <v>31</v>
      </c>
      <c r="D1689" s="43">
        <v>10000</v>
      </c>
      <c r="E1689" s="43"/>
      <c r="F1689" s="43" t="e">
        <f t="shared" si="26"/>
        <v>#N/A</v>
      </c>
      <c r="G1689" s="43"/>
    </row>
    <row r="1690" spans="1:7" x14ac:dyDescent="0.3">
      <c r="A1690" s="79">
        <v>42790</v>
      </c>
      <c r="B1690" s="5" t="s">
        <v>164</v>
      </c>
      <c r="C1690" s="92" t="s">
        <v>1332</v>
      </c>
      <c r="D1690" s="43">
        <v>7000</v>
      </c>
      <c r="E1690" s="43"/>
      <c r="F1690" s="43" t="e">
        <f t="shared" si="26"/>
        <v>#N/A</v>
      </c>
      <c r="G1690" s="43"/>
    </row>
    <row r="1691" spans="1:7" x14ac:dyDescent="0.3">
      <c r="A1691" s="79">
        <v>42790</v>
      </c>
      <c r="B1691" s="5" t="s">
        <v>247</v>
      </c>
      <c r="C1691" s="92" t="s">
        <v>1334</v>
      </c>
      <c r="D1691" s="43">
        <v>695</v>
      </c>
      <c r="E1691" s="43"/>
      <c r="F1691" s="43" t="e">
        <f t="shared" si="26"/>
        <v>#N/A</v>
      </c>
      <c r="G1691" s="43"/>
    </row>
    <row r="1692" spans="1:7" x14ac:dyDescent="0.3">
      <c r="A1692" s="79">
        <v>42790</v>
      </c>
      <c r="B1692" s="5" t="s">
        <v>25</v>
      </c>
      <c r="C1692" s="92" t="s">
        <v>1333</v>
      </c>
      <c r="D1692" s="43">
        <v>100</v>
      </c>
      <c r="E1692" s="43"/>
      <c r="F1692" s="43" t="e">
        <f t="shared" si="26"/>
        <v>#N/A</v>
      </c>
      <c r="G1692" s="43"/>
    </row>
    <row r="1693" spans="1:7" x14ac:dyDescent="0.3">
      <c r="A1693" s="79">
        <v>42790</v>
      </c>
      <c r="B1693" s="5" t="s">
        <v>247</v>
      </c>
      <c r="C1693" s="92" t="s">
        <v>1377</v>
      </c>
      <c r="D1693" s="65">
        <v>200</v>
      </c>
      <c r="E1693" s="43"/>
      <c r="F1693" s="43" t="e">
        <f t="shared" si="26"/>
        <v>#N/A</v>
      </c>
      <c r="G1693" s="43"/>
    </row>
    <row r="1694" spans="1:7" x14ac:dyDescent="0.3">
      <c r="A1694" s="79">
        <v>42790</v>
      </c>
      <c r="B1694" s="5" t="s">
        <v>25</v>
      </c>
      <c r="C1694" s="92" t="s">
        <v>1335</v>
      </c>
      <c r="D1694" s="43">
        <v>2000</v>
      </c>
      <c r="E1694" s="43"/>
      <c r="F1694" s="43" t="e">
        <f t="shared" si="26"/>
        <v>#N/A</v>
      </c>
      <c r="G1694" s="43"/>
    </row>
    <row r="1695" spans="1:7" x14ac:dyDescent="0.3">
      <c r="A1695" s="79">
        <v>42790</v>
      </c>
      <c r="B1695" s="761" t="s">
        <v>1295</v>
      </c>
      <c r="C1695" s="762"/>
      <c r="D1695" s="71"/>
      <c r="E1695" s="72">
        <v>50000</v>
      </c>
      <c r="F1695" s="43" t="e">
        <f t="shared" si="26"/>
        <v>#N/A</v>
      </c>
      <c r="G1695" s="43"/>
    </row>
    <row r="1696" spans="1:7" x14ac:dyDescent="0.3">
      <c r="A1696" s="79">
        <v>42790</v>
      </c>
      <c r="B1696" s="5" t="s">
        <v>116</v>
      </c>
      <c r="C1696" s="92" t="s">
        <v>1336</v>
      </c>
      <c r="D1696" s="43">
        <v>10000</v>
      </c>
      <c r="E1696" s="43"/>
      <c r="F1696" s="43" t="e">
        <f t="shared" si="26"/>
        <v>#N/A</v>
      </c>
      <c r="G1696" s="43"/>
    </row>
    <row r="1697" spans="1:7" x14ac:dyDescent="0.3">
      <c r="A1697" s="79">
        <v>42790</v>
      </c>
      <c r="B1697" s="5" t="s">
        <v>124</v>
      </c>
      <c r="C1697" s="92" t="s">
        <v>1337</v>
      </c>
      <c r="D1697" s="65">
        <v>18400</v>
      </c>
      <c r="E1697" s="43"/>
      <c r="F1697" s="43" t="e">
        <f t="shared" si="26"/>
        <v>#N/A</v>
      </c>
      <c r="G1697" s="43"/>
    </row>
    <row r="1698" spans="1:7" x14ac:dyDescent="0.3">
      <c r="A1698" s="79">
        <v>42790</v>
      </c>
      <c r="B1698" s="5" t="s">
        <v>1328</v>
      </c>
      <c r="C1698" s="92" t="s">
        <v>31</v>
      </c>
      <c r="D1698" s="43">
        <v>7500</v>
      </c>
      <c r="E1698" s="43"/>
      <c r="F1698" s="43" t="e">
        <f t="shared" si="26"/>
        <v>#N/A</v>
      </c>
      <c r="G1698" s="43"/>
    </row>
    <row r="1699" spans="1:7" x14ac:dyDescent="0.3">
      <c r="A1699" s="79">
        <v>42790</v>
      </c>
      <c r="B1699" s="5" t="s">
        <v>60</v>
      </c>
      <c r="C1699" s="92" t="s">
        <v>1351</v>
      </c>
      <c r="D1699" s="43">
        <v>1000</v>
      </c>
      <c r="E1699" s="43"/>
      <c r="F1699" s="43" t="e">
        <f t="shared" si="26"/>
        <v>#N/A</v>
      </c>
      <c r="G1699" s="43"/>
    </row>
    <row r="1700" spans="1:7" x14ac:dyDescent="0.3">
      <c r="A1700" s="79">
        <v>42790</v>
      </c>
      <c r="B1700" s="5" t="s">
        <v>16</v>
      </c>
      <c r="C1700" s="92" t="s">
        <v>31</v>
      </c>
      <c r="D1700" s="43">
        <v>1000</v>
      </c>
      <c r="E1700" s="43"/>
      <c r="F1700" s="43" t="e">
        <f t="shared" si="26"/>
        <v>#N/A</v>
      </c>
      <c r="G1700" s="43"/>
    </row>
    <row r="1701" spans="1:7" x14ac:dyDescent="0.3">
      <c r="A1701" s="79">
        <v>42791</v>
      </c>
      <c r="B1701" s="5" t="s">
        <v>445</v>
      </c>
      <c r="C1701" s="92" t="s">
        <v>31</v>
      </c>
      <c r="D1701" s="43">
        <v>2000</v>
      </c>
      <c r="E1701" s="43"/>
      <c r="F1701" s="43" t="e">
        <f t="shared" si="26"/>
        <v>#N/A</v>
      </c>
      <c r="G1701" s="43"/>
    </row>
    <row r="1702" spans="1:7" x14ac:dyDescent="0.3">
      <c r="A1702" s="79">
        <v>42791</v>
      </c>
      <c r="B1702" s="5" t="s">
        <v>160</v>
      </c>
      <c r="C1702" s="92" t="s">
        <v>1338</v>
      </c>
      <c r="D1702" s="43">
        <v>2000</v>
      </c>
      <c r="E1702" s="43"/>
      <c r="F1702" s="43" t="e">
        <f t="shared" si="26"/>
        <v>#N/A</v>
      </c>
      <c r="G1702" s="43"/>
    </row>
    <row r="1703" spans="1:7" x14ac:dyDescent="0.3">
      <c r="A1703" s="79">
        <v>42791</v>
      </c>
      <c r="B1703" s="5" t="s">
        <v>160</v>
      </c>
      <c r="C1703" s="92" t="s">
        <v>1339</v>
      </c>
      <c r="D1703" s="43">
        <v>1000</v>
      </c>
      <c r="E1703" s="43"/>
      <c r="F1703" s="43" t="e">
        <f t="shared" si="26"/>
        <v>#N/A</v>
      </c>
      <c r="G1703" s="43"/>
    </row>
    <row r="1704" spans="1:7" x14ac:dyDescent="0.3">
      <c r="A1704" s="79">
        <v>42791</v>
      </c>
      <c r="B1704" s="5" t="s">
        <v>1341</v>
      </c>
      <c r="C1704" s="92" t="s">
        <v>40</v>
      </c>
      <c r="D1704" s="43">
        <v>19000</v>
      </c>
      <c r="E1704" s="43"/>
      <c r="F1704" s="43" t="e">
        <f t="shared" si="26"/>
        <v>#N/A</v>
      </c>
      <c r="G1704" s="43"/>
    </row>
    <row r="1705" spans="1:7" x14ac:dyDescent="0.3">
      <c r="A1705" s="79">
        <v>42791</v>
      </c>
      <c r="B1705" s="5" t="s">
        <v>1191</v>
      </c>
      <c r="C1705" s="92" t="s">
        <v>987</v>
      </c>
      <c r="D1705" s="65">
        <v>100</v>
      </c>
      <c r="E1705" s="43"/>
      <c r="F1705" s="43" t="e">
        <f t="shared" si="26"/>
        <v>#N/A</v>
      </c>
      <c r="G1705" s="43"/>
    </row>
    <row r="1706" spans="1:7" ht="37.5" x14ac:dyDescent="0.3">
      <c r="A1706" s="79">
        <v>42791</v>
      </c>
      <c r="B1706" s="5" t="s">
        <v>58</v>
      </c>
      <c r="C1706" s="92" t="s">
        <v>1345</v>
      </c>
      <c r="D1706" s="43">
        <v>100</v>
      </c>
      <c r="E1706" s="43"/>
      <c r="F1706" s="43" t="e">
        <f t="shared" si="26"/>
        <v>#N/A</v>
      </c>
      <c r="G1706" s="43"/>
    </row>
    <row r="1707" spans="1:7" x14ac:dyDescent="0.3">
      <c r="A1707" s="79">
        <v>42791</v>
      </c>
      <c r="B1707" s="5" t="s">
        <v>1343</v>
      </c>
      <c r="C1707" s="92" t="s">
        <v>1344</v>
      </c>
      <c r="D1707" s="65">
        <v>3150</v>
      </c>
      <c r="E1707" s="43"/>
      <c r="F1707" s="43" t="e">
        <f t="shared" si="26"/>
        <v>#N/A</v>
      </c>
      <c r="G1707" s="43"/>
    </row>
    <row r="1708" spans="1:7" x14ac:dyDescent="0.3">
      <c r="A1708" s="79">
        <v>42793</v>
      </c>
      <c r="B1708" s="761" t="s">
        <v>1295</v>
      </c>
      <c r="C1708" s="762"/>
      <c r="D1708" s="71"/>
      <c r="E1708" s="72">
        <v>50000</v>
      </c>
      <c r="F1708" s="43" t="e">
        <f t="shared" si="26"/>
        <v>#N/A</v>
      </c>
      <c r="G1708" s="161"/>
    </row>
    <row r="1709" spans="1:7" x14ac:dyDescent="0.3">
      <c r="A1709" s="79">
        <v>42793</v>
      </c>
      <c r="B1709" s="5" t="s">
        <v>4</v>
      </c>
      <c r="C1709" s="92" t="s">
        <v>31</v>
      </c>
      <c r="D1709" s="43">
        <v>500</v>
      </c>
      <c r="E1709" s="43"/>
      <c r="F1709" s="43" t="e">
        <f t="shared" si="26"/>
        <v>#N/A</v>
      </c>
      <c r="G1709" s="43"/>
    </row>
    <row r="1710" spans="1:7" x14ac:dyDescent="0.3">
      <c r="A1710" s="79">
        <v>42793</v>
      </c>
      <c r="B1710" s="5" t="s">
        <v>120</v>
      </c>
      <c r="C1710" s="92" t="s">
        <v>31</v>
      </c>
      <c r="D1710" s="65">
        <v>20000</v>
      </c>
      <c r="E1710" s="43"/>
      <c r="F1710" s="43" t="e">
        <f t="shared" si="26"/>
        <v>#N/A</v>
      </c>
      <c r="G1710" s="43"/>
    </row>
    <row r="1711" spans="1:7" x14ac:dyDescent="0.3">
      <c r="A1711" s="79">
        <v>42793</v>
      </c>
      <c r="B1711" s="5" t="s">
        <v>27</v>
      </c>
      <c r="C1711" s="92" t="s">
        <v>31</v>
      </c>
      <c r="D1711" s="43">
        <v>4000</v>
      </c>
      <c r="E1711" s="43"/>
      <c r="F1711" s="43" t="e">
        <f t="shared" si="26"/>
        <v>#N/A</v>
      </c>
      <c r="G1711" s="43"/>
    </row>
    <row r="1712" spans="1:7" ht="37.5" x14ac:dyDescent="0.3">
      <c r="A1712" s="79">
        <v>42793</v>
      </c>
      <c r="B1712" s="5" t="s">
        <v>58</v>
      </c>
      <c r="C1712" s="92" t="s">
        <v>1353</v>
      </c>
      <c r="D1712" s="65">
        <v>11500</v>
      </c>
      <c r="E1712" s="43"/>
      <c r="F1712" s="43" t="e">
        <f t="shared" si="26"/>
        <v>#N/A</v>
      </c>
      <c r="G1712" s="43"/>
    </row>
    <row r="1713" spans="1:7" x14ac:dyDescent="0.3">
      <c r="A1713" s="79">
        <v>42793</v>
      </c>
      <c r="B1713" s="5" t="s">
        <v>247</v>
      </c>
      <c r="C1713" s="92" t="s">
        <v>1346</v>
      </c>
      <c r="D1713" s="43">
        <v>180</v>
      </c>
      <c r="E1713" s="43"/>
      <c r="F1713" s="43" t="e">
        <f t="shared" si="26"/>
        <v>#N/A</v>
      </c>
      <c r="G1713" s="43"/>
    </row>
    <row r="1714" spans="1:7" x14ac:dyDescent="0.3">
      <c r="A1714" s="79">
        <v>42794</v>
      </c>
      <c r="B1714" s="5" t="s">
        <v>18</v>
      </c>
      <c r="C1714" s="92" t="s">
        <v>31</v>
      </c>
      <c r="D1714" s="43">
        <v>500</v>
      </c>
      <c r="E1714" s="43"/>
      <c r="F1714" s="43" t="e">
        <f t="shared" si="26"/>
        <v>#N/A</v>
      </c>
      <c r="G1714" s="43"/>
    </row>
    <row r="1715" spans="1:7" x14ac:dyDescent="0.3">
      <c r="A1715" s="79">
        <v>42794</v>
      </c>
      <c r="B1715" s="5" t="s">
        <v>116</v>
      </c>
      <c r="C1715" s="92" t="s">
        <v>1348</v>
      </c>
      <c r="D1715" s="43">
        <v>100</v>
      </c>
      <c r="E1715" s="43"/>
      <c r="F1715" s="43" t="e">
        <f t="shared" si="26"/>
        <v>#N/A</v>
      </c>
      <c r="G1715" s="43"/>
    </row>
    <row r="1716" spans="1:7" x14ac:dyDescent="0.3">
      <c r="A1716" s="79">
        <v>42794</v>
      </c>
      <c r="B1716" s="5" t="s">
        <v>120</v>
      </c>
      <c r="C1716" s="92" t="s">
        <v>31</v>
      </c>
      <c r="D1716" s="43">
        <v>5000</v>
      </c>
      <c r="E1716" s="43"/>
      <c r="F1716" s="43" t="e">
        <f t="shared" si="26"/>
        <v>#N/A</v>
      </c>
      <c r="G1716" s="43"/>
    </row>
    <row r="1717" spans="1:7" ht="131.25" x14ac:dyDescent="0.3">
      <c r="A1717" s="79">
        <v>42794</v>
      </c>
      <c r="B1717" s="5" t="s">
        <v>25</v>
      </c>
      <c r="C1717" s="92" t="s">
        <v>1376</v>
      </c>
      <c r="D1717" s="65">
        <v>1100</v>
      </c>
      <c r="E1717" s="43"/>
      <c r="F1717" s="43" t="e">
        <f t="shared" si="26"/>
        <v>#N/A</v>
      </c>
      <c r="G1717" s="43"/>
    </row>
    <row r="1718" spans="1:7" x14ac:dyDescent="0.3">
      <c r="A1718" s="79">
        <v>42794</v>
      </c>
      <c r="B1718" s="761" t="s">
        <v>1295</v>
      </c>
      <c r="C1718" s="762"/>
      <c r="D1718" s="71"/>
      <c r="E1718" s="72">
        <v>50000</v>
      </c>
      <c r="F1718" s="43" t="e">
        <f t="shared" si="26"/>
        <v>#N/A</v>
      </c>
      <c r="G1718" s="43"/>
    </row>
    <row r="1719" spans="1:7" x14ac:dyDescent="0.3">
      <c r="A1719" s="79">
        <v>42794</v>
      </c>
      <c r="B1719" s="5" t="s">
        <v>1128</v>
      </c>
      <c r="C1719" s="92" t="s">
        <v>1349</v>
      </c>
      <c r="D1719" s="43">
        <v>15600</v>
      </c>
      <c r="E1719" s="43"/>
      <c r="F1719" s="43" t="e">
        <f t="shared" si="26"/>
        <v>#N/A</v>
      </c>
      <c r="G1719" s="43"/>
    </row>
    <row r="1720" spans="1:7" x14ac:dyDescent="0.3">
      <c r="A1720" s="79">
        <v>42794</v>
      </c>
      <c r="B1720" s="5" t="s">
        <v>1354</v>
      </c>
      <c r="C1720" s="92" t="s">
        <v>1355</v>
      </c>
      <c r="D1720" s="43">
        <v>2000</v>
      </c>
      <c r="E1720" s="43"/>
      <c r="F1720" s="43" t="e">
        <f t="shared" si="26"/>
        <v>#N/A</v>
      </c>
      <c r="G1720" s="43"/>
    </row>
    <row r="1721" spans="1:7" x14ac:dyDescent="0.3">
      <c r="A1721" s="79">
        <v>42794</v>
      </c>
      <c r="B1721" s="5" t="s">
        <v>120</v>
      </c>
      <c r="C1721" s="92" t="s">
        <v>31</v>
      </c>
      <c r="D1721" s="43">
        <v>5000</v>
      </c>
      <c r="E1721" s="43"/>
      <c r="F1721" s="43" t="e">
        <f t="shared" si="26"/>
        <v>#N/A</v>
      </c>
      <c r="G1721" s="43"/>
    </row>
    <row r="1722" spans="1:7" x14ac:dyDescent="0.3">
      <c r="A1722" s="79">
        <v>42794</v>
      </c>
      <c r="B1722" s="107" t="s">
        <v>58</v>
      </c>
      <c r="C1722" s="108" t="s">
        <v>1350</v>
      </c>
      <c r="D1722" s="109">
        <v>1400</v>
      </c>
      <c r="E1722" s="43"/>
      <c r="F1722" s="43" t="e">
        <f t="shared" si="26"/>
        <v>#N/A</v>
      </c>
      <c r="G1722" s="43"/>
    </row>
    <row r="1723" spans="1:7" x14ac:dyDescent="0.3">
      <c r="A1723" s="79">
        <v>42794</v>
      </c>
      <c r="B1723" s="5" t="s">
        <v>25</v>
      </c>
      <c r="C1723" s="92" t="s">
        <v>1352</v>
      </c>
      <c r="D1723" s="43">
        <v>400</v>
      </c>
      <c r="E1723" s="43"/>
      <c r="F1723" s="43" t="e">
        <f t="shared" si="26"/>
        <v>#N/A</v>
      </c>
      <c r="G1723" s="43"/>
    </row>
    <row r="1724" spans="1:7" x14ac:dyDescent="0.3">
      <c r="A1724" s="79">
        <v>42794</v>
      </c>
      <c r="B1724" s="5" t="s">
        <v>16</v>
      </c>
      <c r="C1724" s="92" t="s">
        <v>31</v>
      </c>
      <c r="D1724" s="43">
        <v>3000</v>
      </c>
      <c r="E1724" s="43"/>
      <c r="F1724" s="43" t="e">
        <f t="shared" si="26"/>
        <v>#N/A</v>
      </c>
      <c r="G1724" s="43"/>
    </row>
    <row r="1725" spans="1:7" x14ac:dyDescent="0.3">
      <c r="A1725" s="45">
        <v>42794</v>
      </c>
      <c r="B1725" s="44" t="s">
        <v>16</v>
      </c>
      <c r="C1725" s="124" t="s">
        <v>1358</v>
      </c>
      <c r="D1725" s="48">
        <v>3000</v>
      </c>
      <c r="E1725" s="28"/>
      <c r="F1725" s="43" t="e">
        <f t="shared" si="26"/>
        <v>#N/A</v>
      </c>
      <c r="G1725" s="28"/>
    </row>
    <row r="1726" spans="1:7" x14ac:dyDescent="0.3">
      <c r="A1726" s="45">
        <v>42794</v>
      </c>
      <c r="B1726" s="44" t="s">
        <v>58</v>
      </c>
      <c r="C1726" s="124" t="s">
        <v>1366</v>
      </c>
      <c r="D1726" s="48">
        <v>50</v>
      </c>
      <c r="E1726" s="28"/>
      <c r="F1726" s="43" t="e">
        <f t="shared" si="26"/>
        <v>#N/A</v>
      </c>
      <c r="G1726" s="28"/>
    </row>
    <row r="1727" spans="1:7" x14ac:dyDescent="0.3">
      <c r="A1727" s="45">
        <v>42794</v>
      </c>
      <c r="B1727" s="5" t="s">
        <v>16</v>
      </c>
      <c r="C1727" s="92" t="s">
        <v>31</v>
      </c>
      <c r="D1727" s="43">
        <v>2000</v>
      </c>
      <c r="E1727" s="43"/>
      <c r="F1727" s="43" t="e">
        <f t="shared" si="26"/>
        <v>#N/A</v>
      </c>
      <c r="G1727" s="43"/>
    </row>
    <row r="1728" spans="1:7" x14ac:dyDescent="0.3">
      <c r="A1728" s="45">
        <v>42795</v>
      </c>
      <c r="B1728" s="5" t="s">
        <v>4</v>
      </c>
      <c r="C1728" s="92" t="s">
        <v>31</v>
      </c>
      <c r="D1728" s="43">
        <v>3000</v>
      </c>
      <c r="E1728" s="43"/>
      <c r="F1728" s="43" t="e">
        <f t="shared" si="26"/>
        <v>#N/A</v>
      </c>
      <c r="G1728" s="43"/>
    </row>
    <row r="1729" spans="1:10" x14ac:dyDescent="0.3">
      <c r="A1729" s="45">
        <v>42795</v>
      </c>
      <c r="B1729" s="5" t="s">
        <v>120</v>
      </c>
      <c r="C1729" s="92" t="s">
        <v>31</v>
      </c>
      <c r="D1729" s="65">
        <v>15000</v>
      </c>
      <c r="E1729" s="65"/>
      <c r="F1729" s="43" t="e">
        <f t="shared" si="26"/>
        <v>#N/A</v>
      </c>
      <c r="G1729" s="65"/>
      <c r="H1729" s="102"/>
      <c r="I1729" s="102"/>
      <c r="J1729" s="102"/>
    </row>
    <row r="1730" spans="1:10" x14ac:dyDescent="0.3">
      <c r="A1730" s="45">
        <v>42795</v>
      </c>
      <c r="B1730" s="107" t="s">
        <v>104</v>
      </c>
      <c r="C1730" s="108" t="s">
        <v>31</v>
      </c>
      <c r="D1730" s="109">
        <v>1000</v>
      </c>
      <c r="E1730" s="43"/>
      <c r="F1730" s="43" t="e">
        <f t="shared" si="26"/>
        <v>#N/A</v>
      </c>
      <c r="G1730" s="43"/>
    </row>
    <row r="1731" spans="1:10" x14ac:dyDescent="0.3">
      <c r="A1731" s="45">
        <v>42795</v>
      </c>
      <c r="B1731" s="5" t="s">
        <v>104</v>
      </c>
      <c r="C1731" s="92" t="s">
        <v>31</v>
      </c>
      <c r="D1731" s="43">
        <v>2300</v>
      </c>
      <c r="E1731" s="43"/>
      <c r="F1731" s="43" t="e">
        <f t="shared" ref="F1731:F1794" si="27">F1730-D1731+E1731</f>
        <v>#N/A</v>
      </c>
      <c r="G1731" s="43"/>
    </row>
    <row r="1732" spans="1:10" x14ac:dyDescent="0.3">
      <c r="A1732" s="45">
        <v>42795</v>
      </c>
      <c r="B1732" s="5" t="s">
        <v>60</v>
      </c>
      <c r="C1732" s="92" t="s">
        <v>31</v>
      </c>
      <c r="D1732" s="43">
        <v>3000</v>
      </c>
      <c r="E1732" s="43"/>
      <c r="F1732" s="43" t="e">
        <f t="shared" si="27"/>
        <v>#N/A</v>
      </c>
      <c r="G1732" s="43"/>
    </row>
    <row r="1733" spans="1:10" x14ac:dyDescent="0.3">
      <c r="A1733" s="45">
        <v>42795</v>
      </c>
      <c r="B1733" s="5" t="s">
        <v>25</v>
      </c>
      <c r="C1733" s="92" t="s">
        <v>1356</v>
      </c>
      <c r="D1733" s="43">
        <v>190</v>
      </c>
      <c r="E1733" s="43"/>
      <c r="F1733" s="43" t="e">
        <f t="shared" si="27"/>
        <v>#N/A</v>
      </c>
      <c r="G1733" s="43"/>
    </row>
    <row r="1734" spans="1:10" x14ac:dyDescent="0.3">
      <c r="A1734" s="45">
        <v>42795</v>
      </c>
      <c r="B1734" s="5" t="s">
        <v>247</v>
      </c>
      <c r="C1734" s="92" t="s">
        <v>1357</v>
      </c>
      <c r="D1734" s="43">
        <v>500</v>
      </c>
      <c r="E1734" s="43"/>
      <c r="F1734" s="43" t="e">
        <f t="shared" si="27"/>
        <v>#N/A</v>
      </c>
      <c r="G1734" s="43"/>
    </row>
    <row r="1735" spans="1:10" x14ac:dyDescent="0.3">
      <c r="A1735" s="45">
        <v>42795</v>
      </c>
      <c r="B1735" s="5" t="s">
        <v>855</v>
      </c>
      <c r="C1735" s="92" t="s">
        <v>31</v>
      </c>
      <c r="D1735" s="43">
        <v>2000</v>
      </c>
      <c r="E1735" s="43"/>
      <c r="F1735" s="43" t="e">
        <f t="shared" si="27"/>
        <v>#N/A</v>
      </c>
      <c r="G1735" s="43"/>
    </row>
    <row r="1736" spans="1:10" x14ac:dyDescent="0.3">
      <c r="A1736" s="45">
        <v>42795</v>
      </c>
      <c r="B1736" s="5" t="s">
        <v>58</v>
      </c>
      <c r="C1736" s="92" t="s">
        <v>1367</v>
      </c>
      <c r="D1736" s="43">
        <v>160</v>
      </c>
      <c r="E1736" s="43"/>
      <c r="F1736" s="43" t="e">
        <f t="shared" si="27"/>
        <v>#N/A</v>
      </c>
      <c r="G1736" s="43"/>
    </row>
    <row r="1737" spans="1:10" ht="37.5" x14ac:dyDescent="0.3">
      <c r="A1737" s="45">
        <v>42795</v>
      </c>
      <c r="B1737" s="44" t="s">
        <v>1359</v>
      </c>
      <c r="C1737" s="92" t="s">
        <v>1360</v>
      </c>
      <c r="D1737" s="28">
        <v>1000</v>
      </c>
      <c r="E1737" s="43"/>
      <c r="F1737" s="43" t="e">
        <f t="shared" si="27"/>
        <v>#N/A</v>
      </c>
      <c r="G1737" s="28"/>
    </row>
    <row r="1738" spans="1:10" ht="37.5" x14ac:dyDescent="0.3">
      <c r="A1738" s="45">
        <v>42795</v>
      </c>
      <c r="B1738" s="44" t="s">
        <v>104</v>
      </c>
      <c r="C1738" s="92" t="s">
        <v>1361</v>
      </c>
      <c r="D1738" s="28">
        <v>1880</v>
      </c>
      <c r="E1738" s="43"/>
      <c r="F1738" s="43" t="e">
        <f t="shared" si="27"/>
        <v>#N/A</v>
      </c>
      <c r="G1738" s="28"/>
    </row>
    <row r="1739" spans="1:10" x14ac:dyDescent="0.3">
      <c r="A1739" s="45">
        <v>42795</v>
      </c>
      <c r="B1739" s="5" t="s">
        <v>693</v>
      </c>
      <c r="C1739" s="92" t="s">
        <v>1362</v>
      </c>
      <c r="D1739" s="43">
        <v>900</v>
      </c>
      <c r="E1739" s="43"/>
      <c r="F1739" s="43" t="e">
        <f t="shared" si="27"/>
        <v>#N/A</v>
      </c>
      <c r="G1739" s="43"/>
    </row>
    <row r="1740" spans="1:10" ht="37.5" x14ac:dyDescent="0.3">
      <c r="A1740" s="45">
        <v>42796</v>
      </c>
      <c r="B1740" s="5" t="s">
        <v>18</v>
      </c>
      <c r="C1740" s="92" t="s">
        <v>1363</v>
      </c>
      <c r="D1740" s="43">
        <v>450</v>
      </c>
      <c r="E1740" s="43"/>
      <c r="F1740" s="43" t="e">
        <f t="shared" si="27"/>
        <v>#N/A</v>
      </c>
      <c r="G1740" s="43"/>
    </row>
    <row r="1741" spans="1:10" x14ac:dyDescent="0.3">
      <c r="A1741" s="45">
        <v>42796</v>
      </c>
      <c r="B1741" s="5" t="s">
        <v>18</v>
      </c>
      <c r="C1741" s="92" t="s">
        <v>31</v>
      </c>
      <c r="D1741" s="43">
        <v>550</v>
      </c>
      <c r="E1741" s="43"/>
      <c r="F1741" s="43" t="e">
        <f t="shared" si="27"/>
        <v>#N/A</v>
      </c>
      <c r="G1741" s="43"/>
    </row>
    <row r="1742" spans="1:10" x14ac:dyDescent="0.3">
      <c r="A1742" s="45">
        <v>42796</v>
      </c>
      <c r="B1742" s="761" t="s">
        <v>1295</v>
      </c>
      <c r="C1742" s="762"/>
      <c r="D1742" s="71"/>
      <c r="E1742" s="72">
        <v>40000</v>
      </c>
      <c r="F1742" s="43" t="e">
        <f t="shared" si="27"/>
        <v>#N/A</v>
      </c>
      <c r="G1742" s="43"/>
    </row>
    <row r="1743" spans="1:10" x14ac:dyDescent="0.3">
      <c r="A1743" s="45">
        <v>42796</v>
      </c>
      <c r="B1743" s="5" t="s">
        <v>164</v>
      </c>
      <c r="C1743" s="92" t="s">
        <v>1364</v>
      </c>
      <c r="D1743" s="43">
        <v>15000</v>
      </c>
      <c r="E1743" s="43"/>
      <c r="F1743" s="43" t="e">
        <f t="shared" si="27"/>
        <v>#N/A</v>
      </c>
      <c r="G1743" s="43"/>
    </row>
    <row r="1744" spans="1:10" x14ac:dyDescent="0.3">
      <c r="A1744" s="45">
        <v>42796</v>
      </c>
      <c r="B1744" s="5" t="s">
        <v>58</v>
      </c>
      <c r="C1744" s="92" t="s">
        <v>1365</v>
      </c>
      <c r="D1744" s="65">
        <v>24835</v>
      </c>
      <c r="E1744" s="65"/>
      <c r="F1744" s="43" t="e">
        <f t="shared" si="27"/>
        <v>#N/A</v>
      </c>
      <c r="G1744" s="43"/>
    </row>
    <row r="1745" spans="1:7" x14ac:dyDescent="0.3">
      <c r="A1745" s="45">
        <v>42796</v>
      </c>
      <c r="B1745" s="5" t="s">
        <v>1369</v>
      </c>
      <c r="C1745" s="92" t="s">
        <v>1370</v>
      </c>
      <c r="D1745" s="43">
        <v>350</v>
      </c>
      <c r="E1745" s="43"/>
      <c r="F1745" s="43" t="e">
        <f t="shared" si="27"/>
        <v>#N/A</v>
      </c>
      <c r="G1745" s="43"/>
    </row>
    <row r="1746" spans="1:7" x14ac:dyDescent="0.3">
      <c r="A1746" s="45">
        <v>42796</v>
      </c>
      <c r="B1746" s="761" t="s">
        <v>1295</v>
      </c>
      <c r="C1746" s="762"/>
      <c r="D1746" s="71"/>
      <c r="E1746" s="72">
        <v>50000</v>
      </c>
      <c r="F1746" s="43" t="e">
        <f t="shared" si="27"/>
        <v>#N/A</v>
      </c>
      <c r="G1746" s="43"/>
    </row>
    <row r="1747" spans="1:7" x14ac:dyDescent="0.3">
      <c r="A1747" s="45">
        <v>42797</v>
      </c>
      <c r="B1747" s="5" t="s">
        <v>16</v>
      </c>
      <c r="C1747" s="92" t="s">
        <v>31</v>
      </c>
      <c r="D1747" s="43">
        <v>8000</v>
      </c>
      <c r="E1747" s="43"/>
      <c r="F1747" s="43" t="e">
        <f t="shared" si="27"/>
        <v>#N/A</v>
      </c>
      <c r="G1747" s="43"/>
    </row>
    <row r="1748" spans="1:7" ht="56.25" x14ac:dyDescent="0.3">
      <c r="A1748" s="45">
        <v>42797</v>
      </c>
      <c r="B1748" s="5" t="s">
        <v>58</v>
      </c>
      <c r="C1748" s="92" t="s">
        <v>1380</v>
      </c>
      <c r="D1748" s="43">
        <v>6565</v>
      </c>
      <c r="E1748" s="43"/>
      <c r="F1748" s="43" t="e">
        <f t="shared" si="27"/>
        <v>#N/A</v>
      </c>
      <c r="G1748" s="43"/>
    </row>
    <row r="1749" spans="1:7" x14ac:dyDescent="0.3">
      <c r="A1749" s="45">
        <v>42797</v>
      </c>
      <c r="B1749" s="5" t="s">
        <v>1371</v>
      </c>
      <c r="C1749" s="92" t="s">
        <v>1372</v>
      </c>
      <c r="D1749" s="43">
        <v>14000</v>
      </c>
      <c r="E1749" s="43"/>
      <c r="F1749" s="43" t="e">
        <f t="shared" si="27"/>
        <v>#N/A</v>
      </c>
      <c r="G1749" s="43"/>
    </row>
    <row r="1750" spans="1:7" x14ac:dyDescent="0.3">
      <c r="A1750" s="45">
        <v>42797</v>
      </c>
      <c r="B1750" s="5" t="s">
        <v>1373</v>
      </c>
      <c r="C1750" s="92" t="s">
        <v>40</v>
      </c>
      <c r="D1750" s="43">
        <v>2000</v>
      </c>
      <c r="E1750" s="43"/>
      <c r="F1750" s="43" t="e">
        <f t="shared" si="27"/>
        <v>#N/A</v>
      </c>
      <c r="G1750" s="43"/>
    </row>
    <row r="1751" spans="1:7" x14ac:dyDescent="0.3">
      <c r="A1751" s="45">
        <v>42797</v>
      </c>
      <c r="B1751" s="5" t="s">
        <v>27</v>
      </c>
      <c r="C1751" s="92" t="s">
        <v>31</v>
      </c>
      <c r="D1751" s="43">
        <v>2500</v>
      </c>
      <c r="E1751" s="43"/>
      <c r="F1751" s="43" t="e">
        <f t="shared" si="27"/>
        <v>#N/A</v>
      </c>
      <c r="G1751" s="43"/>
    </row>
    <row r="1752" spans="1:7" ht="56.25" x14ac:dyDescent="0.3">
      <c r="A1752" s="45">
        <v>42797</v>
      </c>
      <c r="B1752" s="44" t="s">
        <v>541</v>
      </c>
      <c r="C1752" s="124" t="s">
        <v>1374</v>
      </c>
      <c r="D1752" s="28">
        <v>6000</v>
      </c>
      <c r="E1752" s="28"/>
      <c r="F1752" s="43" t="e">
        <f t="shared" si="27"/>
        <v>#N/A</v>
      </c>
      <c r="G1752" s="28"/>
    </row>
    <row r="1753" spans="1:7" ht="56.25" x14ac:dyDescent="0.3">
      <c r="A1753" s="45">
        <v>42797</v>
      </c>
      <c r="B1753" s="44" t="s">
        <v>25</v>
      </c>
      <c r="C1753" s="124" t="s">
        <v>1394</v>
      </c>
      <c r="D1753" s="48">
        <v>365</v>
      </c>
      <c r="E1753" s="28"/>
      <c r="F1753" s="43" t="e">
        <f t="shared" si="27"/>
        <v>#N/A</v>
      </c>
      <c r="G1753" s="28"/>
    </row>
    <row r="1754" spans="1:7" x14ac:dyDescent="0.3">
      <c r="A1754" s="45">
        <v>42797</v>
      </c>
      <c r="B1754" s="5" t="s">
        <v>25</v>
      </c>
      <c r="C1754" s="92" t="s">
        <v>1375</v>
      </c>
      <c r="D1754" s="43">
        <v>90</v>
      </c>
      <c r="E1754" s="43"/>
      <c r="F1754" s="43" t="e">
        <f t="shared" si="27"/>
        <v>#N/A</v>
      </c>
      <c r="G1754" s="43"/>
    </row>
    <row r="1755" spans="1:7" x14ac:dyDescent="0.3">
      <c r="A1755" s="45">
        <v>42797</v>
      </c>
      <c r="B1755" s="5" t="s">
        <v>247</v>
      </c>
      <c r="C1755" s="92" t="s">
        <v>1404</v>
      </c>
      <c r="D1755" s="65">
        <v>1675</v>
      </c>
      <c r="E1755" s="43"/>
      <c r="F1755" s="43" t="e">
        <f t="shared" si="27"/>
        <v>#N/A</v>
      </c>
      <c r="G1755" s="43"/>
    </row>
    <row r="1756" spans="1:7" x14ac:dyDescent="0.3">
      <c r="A1756" s="45">
        <v>42798</v>
      </c>
      <c r="B1756" s="761" t="s">
        <v>1295</v>
      </c>
      <c r="C1756" s="762"/>
      <c r="D1756" s="71"/>
      <c r="E1756" s="72">
        <v>25000</v>
      </c>
      <c r="F1756" s="43" t="e">
        <f t="shared" si="27"/>
        <v>#N/A</v>
      </c>
      <c r="G1756" s="43"/>
    </row>
    <row r="1757" spans="1:7" x14ac:dyDescent="0.3">
      <c r="A1757" s="45">
        <v>42798</v>
      </c>
      <c r="B1757" s="5" t="s">
        <v>445</v>
      </c>
      <c r="C1757" s="92" t="s">
        <v>31</v>
      </c>
      <c r="D1757" s="43">
        <v>7000</v>
      </c>
      <c r="E1757" s="43"/>
      <c r="F1757" s="43" t="e">
        <f t="shared" si="27"/>
        <v>#N/A</v>
      </c>
      <c r="G1757" s="43"/>
    </row>
    <row r="1758" spans="1:7" x14ac:dyDescent="0.3">
      <c r="A1758" s="45">
        <v>42798</v>
      </c>
      <c r="B1758" s="5" t="s">
        <v>1378</v>
      </c>
      <c r="C1758" s="92" t="s">
        <v>1379</v>
      </c>
      <c r="D1758" s="43">
        <v>2400</v>
      </c>
      <c r="E1758" s="43"/>
      <c r="F1758" s="43" t="e">
        <f t="shared" si="27"/>
        <v>#N/A</v>
      </c>
      <c r="G1758" s="43"/>
    </row>
    <row r="1759" spans="1:7" x14ac:dyDescent="0.3">
      <c r="A1759" s="45">
        <v>42798</v>
      </c>
      <c r="B1759" s="5" t="s">
        <v>1341</v>
      </c>
      <c r="C1759" s="92" t="s">
        <v>40</v>
      </c>
      <c r="D1759" s="43">
        <v>16000</v>
      </c>
      <c r="E1759" s="43"/>
      <c r="F1759" s="43" t="e">
        <f t="shared" si="27"/>
        <v>#N/A</v>
      </c>
      <c r="G1759" s="43"/>
    </row>
    <row r="1760" spans="1:7" x14ac:dyDescent="0.3">
      <c r="A1760" s="45">
        <v>42798</v>
      </c>
      <c r="B1760" s="5" t="s">
        <v>58</v>
      </c>
      <c r="C1760" s="92" t="s">
        <v>1407</v>
      </c>
      <c r="D1760" s="65">
        <v>8610</v>
      </c>
      <c r="E1760" s="43"/>
      <c r="F1760" s="43" t="e">
        <f t="shared" si="27"/>
        <v>#N/A</v>
      </c>
      <c r="G1760" s="43"/>
    </row>
    <row r="1761" spans="1:7" x14ac:dyDescent="0.3">
      <c r="A1761" s="45">
        <v>42798</v>
      </c>
      <c r="B1761" s="5" t="s">
        <v>27</v>
      </c>
      <c r="C1761" s="92" t="s">
        <v>31</v>
      </c>
      <c r="D1761" s="43">
        <v>1500</v>
      </c>
      <c r="E1761" s="43"/>
      <c r="F1761" s="43" t="e">
        <f t="shared" si="27"/>
        <v>#N/A</v>
      </c>
      <c r="G1761" s="43"/>
    </row>
    <row r="1762" spans="1:7" ht="37.5" x14ac:dyDescent="0.3">
      <c r="A1762" s="45">
        <v>42798</v>
      </c>
      <c r="B1762" s="5" t="s">
        <v>247</v>
      </c>
      <c r="C1762" s="92" t="s">
        <v>1381</v>
      </c>
      <c r="D1762" s="43">
        <v>120</v>
      </c>
      <c r="E1762" s="43"/>
      <c r="F1762" s="43" t="e">
        <f t="shared" si="27"/>
        <v>#N/A</v>
      </c>
      <c r="G1762" s="43"/>
    </row>
    <row r="1763" spans="1:7" x14ac:dyDescent="0.3">
      <c r="A1763" s="45">
        <v>42798</v>
      </c>
      <c r="B1763" s="5" t="s">
        <v>124</v>
      </c>
      <c r="C1763" s="92" t="s">
        <v>1383</v>
      </c>
      <c r="D1763" s="65">
        <v>5150</v>
      </c>
      <c r="E1763" s="43"/>
      <c r="F1763" s="43" t="e">
        <f t="shared" si="27"/>
        <v>#N/A</v>
      </c>
      <c r="G1763" s="43"/>
    </row>
    <row r="1764" spans="1:7" x14ac:dyDescent="0.3">
      <c r="A1764" s="45">
        <v>42798</v>
      </c>
      <c r="B1764" s="5" t="s">
        <v>1193</v>
      </c>
      <c r="C1764" s="92" t="s">
        <v>1390</v>
      </c>
      <c r="D1764" s="65">
        <v>2400</v>
      </c>
      <c r="E1764" s="43"/>
      <c r="F1764" s="43" t="e">
        <f t="shared" si="27"/>
        <v>#N/A</v>
      </c>
      <c r="G1764" s="43"/>
    </row>
    <row r="1765" spans="1:7" x14ac:dyDescent="0.3">
      <c r="A1765" s="45">
        <v>42798</v>
      </c>
      <c r="B1765" s="5" t="s">
        <v>108</v>
      </c>
      <c r="C1765" s="92" t="s">
        <v>1386</v>
      </c>
      <c r="D1765" s="65">
        <v>4150</v>
      </c>
      <c r="E1765" s="43"/>
      <c r="F1765" s="43" t="e">
        <f t="shared" si="27"/>
        <v>#N/A</v>
      </c>
      <c r="G1765" s="43"/>
    </row>
    <row r="1766" spans="1:7" x14ac:dyDescent="0.3">
      <c r="A1766" s="45"/>
      <c r="B1766" s="761" t="s">
        <v>1295</v>
      </c>
      <c r="C1766" s="762"/>
      <c r="D1766" s="71"/>
      <c r="E1766" s="72">
        <v>50000</v>
      </c>
      <c r="F1766" s="43" t="e">
        <f t="shared" si="27"/>
        <v>#N/A</v>
      </c>
      <c r="G1766" s="43"/>
    </row>
    <row r="1767" spans="1:7" x14ac:dyDescent="0.3">
      <c r="A1767" s="45">
        <v>42800</v>
      </c>
      <c r="B1767" s="5" t="s">
        <v>76</v>
      </c>
      <c r="C1767" s="92" t="s">
        <v>1387</v>
      </c>
      <c r="D1767" s="43">
        <v>100</v>
      </c>
      <c r="E1767" s="43"/>
      <c r="F1767" s="43" t="e">
        <f t="shared" si="27"/>
        <v>#N/A</v>
      </c>
      <c r="G1767" s="43"/>
    </row>
    <row r="1768" spans="1:7" x14ac:dyDescent="0.3">
      <c r="A1768" s="45">
        <v>42800</v>
      </c>
      <c r="B1768" s="5" t="s">
        <v>58</v>
      </c>
      <c r="C1768" s="92" t="s">
        <v>1408</v>
      </c>
      <c r="D1768" s="65">
        <v>8750</v>
      </c>
      <c r="E1768" s="43"/>
      <c r="F1768" s="43" t="e">
        <f t="shared" si="27"/>
        <v>#N/A</v>
      </c>
      <c r="G1768" s="43"/>
    </row>
    <row r="1769" spans="1:7" x14ac:dyDescent="0.3">
      <c r="A1769" s="45">
        <v>42800</v>
      </c>
      <c r="B1769" s="5" t="s">
        <v>27</v>
      </c>
      <c r="C1769" s="92" t="s">
        <v>31</v>
      </c>
      <c r="D1769" s="65">
        <v>4000</v>
      </c>
      <c r="E1769" s="43"/>
      <c r="F1769" s="43" t="e">
        <f t="shared" si="27"/>
        <v>#N/A</v>
      </c>
      <c r="G1769" s="43"/>
    </row>
    <row r="1770" spans="1:7" x14ac:dyDescent="0.3">
      <c r="A1770" s="45">
        <v>42801</v>
      </c>
      <c r="B1770" s="5" t="s">
        <v>16</v>
      </c>
      <c r="C1770" s="92" t="s">
        <v>31</v>
      </c>
      <c r="D1770" s="43">
        <v>500</v>
      </c>
      <c r="E1770" s="43"/>
      <c r="F1770" s="43" t="e">
        <f t="shared" si="27"/>
        <v>#N/A</v>
      </c>
      <c r="G1770" s="43"/>
    </row>
    <row r="1771" spans="1:7" x14ac:dyDescent="0.3">
      <c r="A1771" s="45">
        <v>42801</v>
      </c>
      <c r="B1771" s="5" t="s">
        <v>160</v>
      </c>
      <c r="C1771" s="92" t="s">
        <v>1388</v>
      </c>
      <c r="D1771" s="43">
        <v>3000</v>
      </c>
      <c r="E1771" s="43"/>
      <c r="F1771" s="43" t="e">
        <f t="shared" si="27"/>
        <v>#N/A</v>
      </c>
      <c r="G1771" s="43"/>
    </row>
    <row r="1772" spans="1:7" x14ac:dyDescent="0.3">
      <c r="A1772" s="45">
        <v>42801</v>
      </c>
      <c r="B1772" s="5" t="s">
        <v>120</v>
      </c>
      <c r="C1772" s="92" t="s">
        <v>1389</v>
      </c>
      <c r="D1772" s="43">
        <v>3000</v>
      </c>
      <c r="E1772" s="43"/>
      <c r="F1772" s="43" t="e">
        <f t="shared" si="27"/>
        <v>#N/A</v>
      </c>
      <c r="G1772" s="43"/>
    </row>
    <row r="1773" spans="1:7" x14ac:dyDescent="0.3">
      <c r="A1773" s="45">
        <v>42801</v>
      </c>
      <c r="B1773" s="5" t="s">
        <v>1328</v>
      </c>
      <c r="C1773" s="92" t="s">
        <v>31</v>
      </c>
      <c r="D1773" s="43">
        <v>1500</v>
      </c>
      <c r="E1773" s="43"/>
      <c r="F1773" s="43" t="e">
        <f t="shared" si="27"/>
        <v>#N/A</v>
      </c>
      <c r="G1773" s="43"/>
    </row>
    <row r="1774" spans="1:7" x14ac:dyDescent="0.3">
      <c r="A1774" s="45">
        <v>42801</v>
      </c>
      <c r="B1774" s="5" t="s">
        <v>58</v>
      </c>
      <c r="C1774" s="92" t="s">
        <v>1409</v>
      </c>
      <c r="D1774" s="43">
        <v>2150</v>
      </c>
      <c r="E1774" s="43"/>
      <c r="F1774" s="43" t="e">
        <f t="shared" si="27"/>
        <v>#N/A</v>
      </c>
      <c r="G1774" s="43"/>
    </row>
    <row r="1775" spans="1:7" x14ac:dyDescent="0.3">
      <c r="A1775" s="45">
        <v>42801</v>
      </c>
      <c r="B1775" s="5" t="s">
        <v>1410</v>
      </c>
      <c r="C1775" s="92" t="s">
        <v>1411</v>
      </c>
      <c r="D1775" s="43">
        <v>1500</v>
      </c>
      <c r="E1775" s="43"/>
      <c r="F1775" s="43" t="e">
        <f t="shared" si="27"/>
        <v>#N/A</v>
      </c>
      <c r="G1775" s="43"/>
    </row>
    <row r="1776" spans="1:7" x14ac:dyDescent="0.3">
      <c r="A1776" s="45">
        <v>42802</v>
      </c>
      <c r="B1776" s="5" t="s">
        <v>1193</v>
      </c>
      <c r="C1776" s="92" t="s">
        <v>1391</v>
      </c>
      <c r="D1776" s="43">
        <v>100</v>
      </c>
      <c r="E1776" s="43"/>
      <c r="F1776" s="43" t="e">
        <f t="shared" si="27"/>
        <v>#N/A</v>
      </c>
      <c r="G1776" s="43"/>
    </row>
    <row r="1777" spans="1:7" x14ac:dyDescent="0.3">
      <c r="A1777" s="45">
        <v>42802</v>
      </c>
      <c r="B1777" s="761" t="s">
        <v>1295</v>
      </c>
      <c r="C1777" s="762"/>
      <c r="D1777" s="71"/>
      <c r="E1777" s="72">
        <v>50000</v>
      </c>
      <c r="F1777" s="43" t="e">
        <f t="shared" si="27"/>
        <v>#N/A</v>
      </c>
      <c r="G1777" s="43"/>
    </row>
    <row r="1778" spans="1:7" x14ac:dyDescent="0.3">
      <c r="A1778" s="45">
        <v>42802</v>
      </c>
      <c r="B1778" s="761" t="s">
        <v>1295</v>
      </c>
      <c r="C1778" s="762"/>
      <c r="D1778" s="71"/>
      <c r="E1778" s="72">
        <v>50000</v>
      </c>
      <c r="F1778" s="43" t="e">
        <f t="shared" si="27"/>
        <v>#N/A</v>
      </c>
      <c r="G1778" s="43"/>
    </row>
    <row r="1779" spans="1:7" x14ac:dyDescent="0.3">
      <c r="A1779" s="45">
        <v>42802</v>
      </c>
      <c r="B1779" s="5" t="s">
        <v>164</v>
      </c>
      <c r="C1779" s="92" t="s">
        <v>31</v>
      </c>
      <c r="D1779" s="43">
        <v>20000</v>
      </c>
      <c r="E1779" s="43"/>
      <c r="F1779" s="43" t="e">
        <f t="shared" si="27"/>
        <v>#N/A</v>
      </c>
      <c r="G1779" s="43"/>
    </row>
    <row r="1780" spans="1:7" x14ac:dyDescent="0.3">
      <c r="A1780" s="45">
        <v>42802</v>
      </c>
      <c r="B1780" s="5" t="s">
        <v>58</v>
      </c>
      <c r="C1780" s="92" t="s">
        <v>1399</v>
      </c>
      <c r="D1780" s="65">
        <v>16030</v>
      </c>
      <c r="E1780" s="43"/>
      <c r="F1780" s="43" t="e">
        <f t="shared" si="27"/>
        <v>#N/A</v>
      </c>
      <c r="G1780" s="43"/>
    </row>
    <row r="1781" spans="1:7" x14ac:dyDescent="0.3">
      <c r="A1781" s="45">
        <v>42802</v>
      </c>
      <c r="B1781" s="5" t="s">
        <v>58</v>
      </c>
      <c r="C1781" s="92" t="s">
        <v>1400</v>
      </c>
      <c r="D1781" s="65">
        <v>2760</v>
      </c>
      <c r="E1781" s="43"/>
      <c r="F1781" s="43" t="e">
        <f t="shared" si="27"/>
        <v>#N/A</v>
      </c>
      <c r="G1781" s="43"/>
    </row>
    <row r="1782" spans="1:7" x14ac:dyDescent="0.3">
      <c r="A1782" s="45">
        <v>42802</v>
      </c>
      <c r="B1782" s="5" t="s">
        <v>27</v>
      </c>
      <c r="C1782" s="92" t="s">
        <v>31</v>
      </c>
      <c r="D1782" s="43">
        <v>2000</v>
      </c>
      <c r="E1782" s="43"/>
      <c r="F1782" s="43" t="e">
        <f t="shared" si="27"/>
        <v>#N/A</v>
      </c>
      <c r="G1782" s="43"/>
    </row>
    <row r="1783" spans="1:7" ht="37.5" x14ac:dyDescent="0.3">
      <c r="A1783" s="45">
        <v>42802</v>
      </c>
      <c r="B1783" s="5" t="s">
        <v>124</v>
      </c>
      <c r="C1783" s="92" t="s">
        <v>1392</v>
      </c>
      <c r="D1783" s="43">
        <v>2300</v>
      </c>
      <c r="E1783" s="43"/>
      <c r="F1783" s="43" t="e">
        <f t="shared" si="27"/>
        <v>#N/A</v>
      </c>
      <c r="G1783" s="43"/>
    </row>
    <row r="1784" spans="1:7" x14ac:dyDescent="0.3">
      <c r="A1784" s="45">
        <v>42802</v>
      </c>
      <c r="B1784" s="5" t="s">
        <v>1003</v>
      </c>
      <c r="C1784" s="92" t="s">
        <v>1393</v>
      </c>
      <c r="D1784" s="43">
        <v>3000</v>
      </c>
      <c r="E1784" s="43"/>
      <c r="F1784" s="43" t="e">
        <f t="shared" si="27"/>
        <v>#N/A</v>
      </c>
      <c r="G1784" s="43"/>
    </row>
    <row r="1785" spans="1:7" x14ac:dyDescent="0.3">
      <c r="A1785" s="45">
        <v>42802</v>
      </c>
      <c r="B1785" s="5" t="s">
        <v>25</v>
      </c>
      <c r="C1785" s="92" t="s">
        <v>1395</v>
      </c>
      <c r="D1785" s="43">
        <v>630</v>
      </c>
      <c r="E1785" s="43"/>
      <c r="F1785" s="43" t="e">
        <f t="shared" si="27"/>
        <v>#N/A</v>
      </c>
      <c r="G1785" s="43"/>
    </row>
    <row r="1786" spans="1:7" x14ac:dyDescent="0.3">
      <c r="A1786" s="45">
        <v>42802</v>
      </c>
      <c r="B1786" s="5" t="s">
        <v>25</v>
      </c>
      <c r="C1786" s="92" t="s">
        <v>1396</v>
      </c>
      <c r="D1786" s="43">
        <v>90</v>
      </c>
      <c r="E1786" s="43"/>
      <c r="F1786" s="43" t="e">
        <f t="shared" si="27"/>
        <v>#N/A</v>
      </c>
      <c r="G1786" s="43"/>
    </row>
    <row r="1787" spans="1:7" x14ac:dyDescent="0.3">
      <c r="A1787" s="45">
        <v>42802</v>
      </c>
      <c r="B1787" s="5" t="s">
        <v>25</v>
      </c>
      <c r="C1787" s="92" t="s">
        <v>1397</v>
      </c>
      <c r="D1787" s="43">
        <v>2400</v>
      </c>
      <c r="E1787" s="43"/>
      <c r="F1787" s="43" t="e">
        <f t="shared" si="27"/>
        <v>#N/A</v>
      </c>
      <c r="G1787" s="43"/>
    </row>
    <row r="1788" spans="1:7" x14ac:dyDescent="0.3">
      <c r="A1788" s="45">
        <v>42802</v>
      </c>
      <c r="B1788" s="5" t="s">
        <v>1410</v>
      </c>
      <c r="C1788" s="92" t="s">
        <v>1412</v>
      </c>
      <c r="D1788" s="43">
        <v>6500</v>
      </c>
      <c r="E1788" s="43"/>
      <c r="F1788" s="43" t="e">
        <f t="shared" si="27"/>
        <v>#N/A</v>
      </c>
      <c r="G1788" s="43"/>
    </row>
    <row r="1789" spans="1:7" ht="37.5" x14ac:dyDescent="0.3">
      <c r="A1789" s="45">
        <v>42802</v>
      </c>
      <c r="B1789" s="5" t="s">
        <v>25</v>
      </c>
      <c r="C1789" s="92" t="s">
        <v>1398</v>
      </c>
      <c r="D1789" s="43">
        <v>8550</v>
      </c>
      <c r="E1789" s="43"/>
      <c r="F1789" s="43" t="e">
        <f t="shared" si="27"/>
        <v>#N/A</v>
      </c>
      <c r="G1789" s="43"/>
    </row>
    <row r="1790" spans="1:7" ht="75" x14ac:dyDescent="0.3">
      <c r="A1790" s="45">
        <v>42802</v>
      </c>
      <c r="B1790" s="5" t="s">
        <v>1281</v>
      </c>
      <c r="C1790" s="92" t="s">
        <v>1431</v>
      </c>
      <c r="D1790" s="65">
        <v>550</v>
      </c>
      <c r="E1790" s="43"/>
      <c r="F1790" s="43" t="e">
        <f t="shared" si="27"/>
        <v>#N/A</v>
      </c>
      <c r="G1790" s="43"/>
    </row>
    <row r="1791" spans="1:7" x14ac:dyDescent="0.3">
      <c r="A1791" s="45">
        <v>42802</v>
      </c>
      <c r="B1791" s="5" t="s">
        <v>16</v>
      </c>
      <c r="C1791" s="92" t="s">
        <v>31</v>
      </c>
      <c r="D1791" s="43">
        <v>10000</v>
      </c>
      <c r="E1791" s="43"/>
      <c r="F1791" s="43" t="e">
        <f t="shared" si="27"/>
        <v>#N/A</v>
      </c>
      <c r="G1791" s="43"/>
    </row>
    <row r="1792" spans="1:7" x14ac:dyDescent="0.3">
      <c r="A1792" s="45">
        <v>42802</v>
      </c>
      <c r="B1792" s="5" t="s">
        <v>247</v>
      </c>
      <c r="C1792" s="92" t="s">
        <v>1405</v>
      </c>
      <c r="D1792" s="43">
        <v>225</v>
      </c>
      <c r="E1792" s="43"/>
      <c r="F1792" s="43" t="e">
        <f t="shared" si="27"/>
        <v>#N/A</v>
      </c>
      <c r="G1792" s="43"/>
    </row>
    <row r="1793" spans="1:7" x14ac:dyDescent="0.3">
      <c r="A1793" s="45">
        <v>42803</v>
      </c>
      <c r="B1793" s="5" t="s">
        <v>10</v>
      </c>
      <c r="C1793" s="92" t="s">
        <v>1401</v>
      </c>
      <c r="D1793" s="43">
        <v>2000</v>
      </c>
      <c r="E1793" s="43"/>
      <c r="F1793" s="43" t="e">
        <f t="shared" si="27"/>
        <v>#N/A</v>
      </c>
      <c r="G1793" s="43"/>
    </row>
    <row r="1794" spans="1:7" x14ac:dyDescent="0.3">
      <c r="A1794" s="45">
        <v>42803</v>
      </c>
      <c r="B1794" s="5" t="s">
        <v>124</v>
      </c>
      <c r="C1794" s="92" t="s">
        <v>1402</v>
      </c>
      <c r="D1794" s="43">
        <v>1595</v>
      </c>
      <c r="E1794" s="43"/>
      <c r="F1794" s="43" t="e">
        <f t="shared" si="27"/>
        <v>#N/A</v>
      </c>
      <c r="G1794" s="43"/>
    </row>
    <row r="1795" spans="1:7" x14ac:dyDescent="0.3">
      <c r="A1795" s="45">
        <v>42803</v>
      </c>
      <c r="B1795" s="5" t="s">
        <v>56</v>
      </c>
      <c r="C1795" s="92" t="s">
        <v>1403</v>
      </c>
      <c r="D1795" s="43">
        <v>100</v>
      </c>
      <c r="E1795" s="43"/>
      <c r="F1795" s="43" t="e">
        <f t="shared" ref="F1795:F1858" si="28">F1794-D1795+E1795</f>
        <v>#N/A</v>
      </c>
      <c r="G1795" s="43"/>
    </row>
    <row r="1796" spans="1:7" x14ac:dyDescent="0.3">
      <c r="A1796" s="45">
        <v>42803</v>
      </c>
      <c r="B1796" s="5" t="s">
        <v>1369</v>
      </c>
      <c r="C1796" s="92" t="s">
        <v>31</v>
      </c>
      <c r="D1796" s="43">
        <v>3000</v>
      </c>
      <c r="E1796" s="43"/>
      <c r="F1796" s="43" t="e">
        <f t="shared" si="28"/>
        <v>#N/A</v>
      </c>
      <c r="G1796" s="43"/>
    </row>
    <row r="1797" spans="1:7" x14ac:dyDescent="0.3">
      <c r="A1797" s="45">
        <v>42803</v>
      </c>
      <c r="B1797" s="5" t="s">
        <v>247</v>
      </c>
      <c r="C1797" s="92" t="s">
        <v>1406</v>
      </c>
      <c r="D1797" s="43">
        <v>50</v>
      </c>
      <c r="E1797" s="43"/>
      <c r="F1797" s="43" t="e">
        <f t="shared" si="28"/>
        <v>#N/A</v>
      </c>
      <c r="G1797" s="43"/>
    </row>
    <row r="1798" spans="1:7" x14ac:dyDescent="0.3">
      <c r="A1798" s="45">
        <v>42804</v>
      </c>
      <c r="B1798" s="761" t="s">
        <v>1295</v>
      </c>
      <c r="C1798" s="762"/>
      <c r="D1798" s="71"/>
      <c r="E1798" s="72">
        <v>100000</v>
      </c>
      <c r="F1798" s="43" t="e">
        <f t="shared" si="28"/>
        <v>#N/A</v>
      </c>
      <c r="G1798" s="43"/>
    </row>
    <row r="1799" spans="1:7" x14ac:dyDescent="0.3">
      <c r="A1799" s="45">
        <v>42804</v>
      </c>
      <c r="B1799" s="5" t="s">
        <v>1341</v>
      </c>
      <c r="C1799" s="92" t="s">
        <v>40</v>
      </c>
      <c r="D1799" s="43">
        <v>20000</v>
      </c>
      <c r="E1799" s="43"/>
      <c r="F1799" s="43" t="e">
        <f t="shared" si="28"/>
        <v>#N/A</v>
      </c>
      <c r="G1799" s="43"/>
    </row>
    <row r="1800" spans="1:7" x14ac:dyDescent="0.3">
      <c r="A1800" s="45">
        <v>42804</v>
      </c>
      <c r="B1800" s="5" t="s">
        <v>18</v>
      </c>
      <c r="C1800" s="92" t="s">
        <v>31</v>
      </c>
      <c r="D1800" s="43">
        <v>3000</v>
      </c>
      <c r="E1800" s="43"/>
      <c r="F1800" s="43" t="e">
        <f t="shared" si="28"/>
        <v>#N/A</v>
      </c>
      <c r="G1800" s="43"/>
    </row>
    <row r="1801" spans="1:7" x14ac:dyDescent="0.3">
      <c r="A1801" s="45">
        <v>42804</v>
      </c>
      <c r="B1801" s="5" t="s">
        <v>1413</v>
      </c>
      <c r="C1801" s="92" t="s">
        <v>1414</v>
      </c>
      <c r="D1801" s="43">
        <v>2000</v>
      </c>
      <c r="E1801" s="43"/>
      <c r="F1801" s="43" t="e">
        <f t="shared" si="28"/>
        <v>#N/A</v>
      </c>
      <c r="G1801" s="43"/>
    </row>
    <row r="1802" spans="1:7" x14ac:dyDescent="0.3">
      <c r="A1802" s="45">
        <v>42804</v>
      </c>
      <c r="B1802" s="5" t="s">
        <v>27</v>
      </c>
      <c r="C1802" s="92" t="s">
        <v>31</v>
      </c>
      <c r="D1802" s="43">
        <v>1000</v>
      </c>
      <c r="E1802" s="43"/>
      <c r="F1802" s="43" t="e">
        <f t="shared" si="28"/>
        <v>#N/A</v>
      </c>
      <c r="G1802" s="43"/>
    </row>
    <row r="1803" spans="1:7" x14ac:dyDescent="0.3">
      <c r="A1803" s="45">
        <v>42804</v>
      </c>
      <c r="B1803" s="5" t="s">
        <v>1415</v>
      </c>
      <c r="C1803" s="92" t="s">
        <v>1416</v>
      </c>
      <c r="D1803" s="43">
        <v>4500</v>
      </c>
      <c r="E1803" s="43"/>
      <c r="F1803" s="43" t="e">
        <f t="shared" si="28"/>
        <v>#N/A</v>
      </c>
      <c r="G1803" s="43"/>
    </row>
    <row r="1804" spans="1:7" x14ac:dyDescent="0.3">
      <c r="A1804" s="45">
        <v>42804</v>
      </c>
      <c r="B1804" s="5" t="s">
        <v>1417</v>
      </c>
      <c r="C1804" s="92" t="s">
        <v>1418</v>
      </c>
      <c r="D1804" s="43">
        <v>8050</v>
      </c>
      <c r="E1804" s="43"/>
      <c r="F1804" s="43" t="e">
        <f t="shared" si="28"/>
        <v>#N/A</v>
      </c>
      <c r="G1804" s="43"/>
    </row>
    <row r="1805" spans="1:7" x14ac:dyDescent="0.3">
      <c r="A1805" s="45">
        <v>42804</v>
      </c>
      <c r="B1805" s="5" t="s">
        <v>247</v>
      </c>
      <c r="C1805" s="92" t="s">
        <v>1406</v>
      </c>
      <c r="D1805" s="43">
        <v>255</v>
      </c>
      <c r="E1805" s="43"/>
      <c r="F1805" s="43" t="e">
        <f t="shared" si="28"/>
        <v>#N/A</v>
      </c>
      <c r="G1805" s="43"/>
    </row>
    <row r="1806" spans="1:7" x14ac:dyDescent="0.3">
      <c r="A1806" s="45">
        <v>42804</v>
      </c>
      <c r="B1806" s="5" t="s">
        <v>25</v>
      </c>
      <c r="C1806" s="92" t="s">
        <v>1419</v>
      </c>
      <c r="D1806" s="43">
        <v>70</v>
      </c>
      <c r="E1806" s="43"/>
      <c r="F1806" s="43" t="e">
        <f t="shared" si="28"/>
        <v>#N/A</v>
      </c>
      <c r="G1806" s="43"/>
    </row>
    <row r="1807" spans="1:7" x14ac:dyDescent="0.3">
      <c r="A1807" s="45"/>
      <c r="B1807" s="761" t="s">
        <v>1422</v>
      </c>
      <c r="C1807" s="762"/>
      <c r="D1807" s="71"/>
      <c r="E1807" s="72">
        <v>25000</v>
      </c>
      <c r="F1807" s="43" t="e">
        <f t="shared" si="28"/>
        <v>#N/A</v>
      </c>
      <c r="G1807" s="43"/>
    </row>
    <row r="1808" spans="1:7" x14ac:dyDescent="0.3">
      <c r="A1808" s="45">
        <v>42804</v>
      </c>
      <c r="B1808" s="5" t="s">
        <v>16</v>
      </c>
      <c r="C1808" s="92" t="s">
        <v>1421</v>
      </c>
      <c r="D1808" s="65">
        <v>13000</v>
      </c>
      <c r="E1808" s="43"/>
      <c r="F1808" s="43" t="e">
        <f t="shared" si="28"/>
        <v>#N/A</v>
      </c>
      <c r="G1808" s="43"/>
    </row>
    <row r="1809" spans="1:7" x14ac:dyDescent="0.3">
      <c r="A1809" s="45">
        <v>42804</v>
      </c>
      <c r="B1809" s="5" t="s">
        <v>1128</v>
      </c>
      <c r="C1809" s="92" t="s">
        <v>40</v>
      </c>
      <c r="D1809" s="65">
        <v>15000</v>
      </c>
      <c r="E1809" s="43"/>
      <c r="F1809" s="43" t="e">
        <f t="shared" si="28"/>
        <v>#N/A</v>
      </c>
      <c r="G1809" s="43"/>
    </row>
    <row r="1810" spans="1:7" ht="37.5" x14ac:dyDescent="0.3">
      <c r="A1810" s="45">
        <v>42804</v>
      </c>
      <c r="B1810" s="5" t="s">
        <v>1420</v>
      </c>
      <c r="C1810" s="92" t="s">
        <v>1425</v>
      </c>
      <c r="D1810" s="65">
        <v>4360</v>
      </c>
      <c r="E1810" s="43"/>
      <c r="F1810" s="43" t="e">
        <f t="shared" si="28"/>
        <v>#N/A</v>
      </c>
      <c r="G1810" s="43"/>
    </row>
    <row r="1811" spans="1:7" x14ac:dyDescent="0.3">
      <c r="A1811" s="45">
        <v>42804</v>
      </c>
      <c r="B1811" s="5" t="s">
        <v>1328</v>
      </c>
      <c r="C1811" s="92" t="s">
        <v>31</v>
      </c>
      <c r="D1811" s="43">
        <v>25000</v>
      </c>
      <c r="E1811" s="43"/>
      <c r="F1811" s="43" t="e">
        <f t="shared" si="28"/>
        <v>#N/A</v>
      </c>
      <c r="G1811" s="43"/>
    </row>
    <row r="1812" spans="1:7" ht="37.5" x14ac:dyDescent="0.3">
      <c r="A1812" s="45">
        <v>42804</v>
      </c>
      <c r="B1812" s="5" t="s">
        <v>25</v>
      </c>
      <c r="C1812" s="92" t="s">
        <v>1424</v>
      </c>
      <c r="D1812" s="43">
        <v>240</v>
      </c>
      <c r="E1812" s="43"/>
      <c r="F1812" s="43" t="e">
        <f t="shared" si="28"/>
        <v>#N/A</v>
      </c>
      <c r="G1812" s="43"/>
    </row>
    <row r="1813" spans="1:7" x14ac:dyDescent="0.3">
      <c r="A1813" s="45">
        <v>42805</v>
      </c>
      <c r="B1813" s="5" t="s">
        <v>16</v>
      </c>
      <c r="C1813" s="92" t="s">
        <v>31</v>
      </c>
      <c r="D1813" s="43">
        <v>3000</v>
      </c>
      <c r="E1813" s="43"/>
      <c r="F1813" s="43" t="e">
        <f t="shared" si="28"/>
        <v>#N/A</v>
      </c>
      <c r="G1813" s="43"/>
    </row>
    <row r="1814" spans="1:7" x14ac:dyDescent="0.3">
      <c r="A1814" s="45">
        <v>42805</v>
      </c>
      <c r="B1814" s="5" t="s">
        <v>124</v>
      </c>
      <c r="C1814" s="92" t="s">
        <v>1423</v>
      </c>
      <c r="D1814" s="43">
        <v>870</v>
      </c>
      <c r="E1814" s="43"/>
      <c r="F1814" s="43" t="e">
        <f t="shared" si="28"/>
        <v>#N/A</v>
      </c>
      <c r="G1814" s="43"/>
    </row>
    <row r="1815" spans="1:7" x14ac:dyDescent="0.3">
      <c r="A1815" s="45">
        <v>42805</v>
      </c>
      <c r="B1815" s="5" t="s">
        <v>124</v>
      </c>
      <c r="C1815" s="92" t="s">
        <v>40</v>
      </c>
      <c r="D1815" s="43">
        <v>10000</v>
      </c>
      <c r="E1815" s="43"/>
      <c r="F1815" s="43" t="e">
        <f t="shared" si="28"/>
        <v>#N/A</v>
      </c>
      <c r="G1815" s="43"/>
    </row>
    <row r="1816" spans="1:7" x14ac:dyDescent="0.3">
      <c r="A1816" s="45">
        <v>42805</v>
      </c>
      <c r="B1816" s="5" t="s">
        <v>27</v>
      </c>
      <c r="C1816" s="92" t="s">
        <v>31</v>
      </c>
      <c r="D1816" s="43">
        <v>2000</v>
      </c>
      <c r="E1816" s="43"/>
      <c r="F1816" s="43" t="e">
        <f t="shared" si="28"/>
        <v>#N/A</v>
      </c>
      <c r="G1816" s="43"/>
    </row>
    <row r="1817" spans="1:7" x14ac:dyDescent="0.3">
      <c r="A1817" s="45">
        <v>42807</v>
      </c>
      <c r="B1817" s="5" t="s">
        <v>76</v>
      </c>
      <c r="C1817" s="92" t="s">
        <v>1426</v>
      </c>
      <c r="D1817" s="65">
        <v>8210</v>
      </c>
      <c r="E1817" s="43"/>
      <c r="F1817" s="43" t="e">
        <f t="shared" si="28"/>
        <v>#N/A</v>
      </c>
      <c r="G1817" s="43"/>
    </row>
    <row r="1818" spans="1:7" x14ac:dyDescent="0.3">
      <c r="A1818" s="45">
        <v>42807</v>
      </c>
      <c r="B1818" s="5" t="s">
        <v>1427</v>
      </c>
      <c r="C1818" s="92" t="s">
        <v>1429</v>
      </c>
      <c r="D1818" s="43">
        <v>100</v>
      </c>
      <c r="E1818" s="43"/>
      <c r="F1818" s="43" t="e">
        <f t="shared" si="28"/>
        <v>#N/A</v>
      </c>
      <c r="G1818" s="43"/>
    </row>
    <row r="1819" spans="1:7" x14ac:dyDescent="0.3">
      <c r="A1819" s="45">
        <v>42807</v>
      </c>
      <c r="B1819" s="5" t="s">
        <v>69</v>
      </c>
      <c r="C1819" s="92" t="s">
        <v>1428</v>
      </c>
      <c r="D1819" s="43">
        <v>50</v>
      </c>
      <c r="E1819" s="43"/>
      <c r="F1819" s="43" t="e">
        <f t="shared" si="28"/>
        <v>#N/A</v>
      </c>
      <c r="G1819" s="43"/>
    </row>
    <row r="1820" spans="1:7" ht="37.5" x14ac:dyDescent="0.3">
      <c r="A1820" s="45">
        <v>42807</v>
      </c>
      <c r="B1820" s="5" t="s">
        <v>1128</v>
      </c>
      <c r="C1820" s="92" t="s">
        <v>1439</v>
      </c>
      <c r="D1820" s="43">
        <v>15500</v>
      </c>
      <c r="E1820" s="43"/>
      <c r="F1820" s="43" t="e">
        <f t="shared" si="28"/>
        <v>#N/A</v>
      </c>
      <c r="G1820" s="43"/>
    </row>
    <row r="1821" spans="1:7" x14ac:dyDescent="0.3">
      <c r="A1821" s="45">
        <v>42807</v>
      </c>
      <c r="B1821" s="5" t="s">
        <v>58</v>
      </c>
      <c r="C1821" s="92" t="s">
        <v>1430</v>
      </c>
      <c r="D1821" s="65">
        <v>8500</v>
      </c>
      <c r="E1821" s="43"/>
      <c r="F1821" s="43" t="e">
        <f t="shared" si="28"/>
        <v>#N/A</v>
      </c>
      <c r="G1821" s="43"/>
    </row>
    <row r="1822" spans="1:7" x14ac:dyDescent="0.3">
      <c r="A1822" s="45">
        <v>42808</v>
      </c>
      <c r="B1822" s="107" t="s">
        <v>25</v>
      </c>
      <c r="C1822" s="108" t="s">
        <v>1459</v>
      </c>
      <c r="D1822" s="109">
        <v>80</v>
      </c>
      <c r="E1822" s="43"/>
      <c r="F1822" s="43" t="e">
        <f t="shared" si="28"/>
        <v>#N/A</v>
      </c>
      <c r="G1822" s="43"/>
    </row>
    <row r="1823" spans="1:7" x14ac:dyDescent="0.3">
      <c r="A1823" s="45">
        <v>42808</v>
      </c>
      <c r="B1823" s="5" t="s">
        <v>160</v>
      </c>
      <c r="C1823" s="92" t="s">
        <v>1432</v>
      </c>
      <c r="D1823" s="43">
        <v>2000</v>
      </c>
      <c r="E1823" s="43"/>
      <c r="F1823" s="43" t="e">
        <f t="shared" si="28"/>
        <v>#N/A</v>
      </c>
      <c r="G1823" s="43"/>
    </row>
    <row r="1824" spans="1:7" x14ac:dyDescent="0.3">
      <c r="A1824" s="45">
        <v>42808</v>
      </c>
      <c r="B1824" s="5" t="s">
        <v>1003</v>
      </c>
      <c r="C1824" s="92" t="s">
        <v>1434</v>
      </c>
      <c r="D1824" s="43">
        <v>500</v>
      </c>
      <c r="E1824" s="43"/>
      <c r="F1824" s="43" t="e">
        <f t="shared" si="28"/>
        <v>#N/A</v>
      </c>
      <c r="G1824" s="43"/>
    </row>
    <row r="1825" spans="1:7" x14ac:dyDescent="0.3">
      <c r="A1825" s="45">
        <v>42808</v>
      </c>
      <c r="B1825" s="5" t="s">
        <v>25</v>
      </c>
      <c r="C1825" s="92" t="s">
        <v>1433</v>
      </c>
      <c r="D1825" s="43">
        <v>160</v>
      </c>
      <c r="E1825" s="43"/>
      <c r="F1825" s="43" t="e">
        <f t="shared" si="28"/>
        <v>#N/A</v>
      </c>
      <c r="G1825" s="43"/>
    </row>
    <row r="1826" spans="1:7" x14ac:dyDescent="0.3">
      <c r="A1826" s="45">
        <v>42808</v>
      </c>
      <c r="B1826" s="5" t="s">
        <v>58</v>
      </c>
      <c r="C1826" s="92" t="s">
        <v>1438</v>
      </c>
      <c r="D1826" s="65">
        <v>9177</v>
      </c>
      <c r="E1826" s="43"/>
      <c r="F1826" s="43" t="e">
        <f t="shared" si="28"/>
        <v>#N/A</v>
      </c>
      <c r="G1826" s="43"/>
    </row>
    <row r="1827" spans="1:7" x14ac:dyDescent="0.3">
      <c r="A1827" s="45">
        <v>42808</v>
      </c>
      <c r="B1827" s="761" t="s">
        <v>1295</v>
      </c>
      <c r="C1827" s="762"/>
      <c r="D1827" s="71"/>
      <c r="E1827" s="72">
        <v>50000</v>
      </c>
      <c r="F1827" s="43" t="e">
        <f t="shared" si="28"/>
        <v>#N/A</v>
      </c>
      <c r="G1827" s="43"/>
    </row>
    <row r="1828" spans="1:7" x14ac:dyDescent="0.3">
      <c r="A1828" s="45">
        <v>42808</v>
      </c>
      <c r="B1828" s="5" t="s">
        <v>84</v>
      </c>
      <c r="C1828" s="92" t="s">
        <v>90</v>
      </c>
      <c r="D1828" s="43">
        <v>2000</v>
      </c>
      <c r="E1828" s="43"/>
      <c r="F1828" s="43" t="e">
        <f t="shared" si="28"/>
        <v>#N/A</v>
      </c>
      <c r="G1828" s="43"/>
    </row>
    <row r="1829" spans="1:7" x14ac:dyDescent="0.3">
      <c r="A1829" s="45">
        <v>42808</v>
      </c>
      <c r="B1829" s="5" t="s">
        <v>84</v>
      </c>
      <c r="C1829" s="92" t="s">
        <v>1435</v>
      </c>
      <c r="D1829" s="43">
        <v>2000</v>
      </c>
      <c r="E1829" s="43"/>
      <c r="F1829" s="43" t="e">
        <f t="shared" si="28"/>
        <v>#N/A</v>
      </c>
      <c r="G1829" s="43"/>
    </row>
    <row r="1830" spans="1:7" x14ac:dyDescent="0.3">
      <c r="A1830" s="45">
        <v>42808</v>
      </c>
      <c r="B1830" s="5" t="s">
        <v>84</v>
      </c>
      <c r="C1830" s="92" t="s">
        <v>1436</v>
      </c>
      <c r="D1830" s="43">
        <v>1000</v>
      </c>
      <c r="E1830" s="43"/>
      <c r="F1830" s="43" t="e">
        <f t="shared" si="28"/>
        <v>#N/A</v>
      </c>
      <c r="G1830" s="43"/>
    </row>
    <row r="1831" spans="1:7" x14ac:dyDescent="0.3">
      <c r="A1831" s="45">
        <v>42808</v>
      </c>
      <c r="B1831" s="5" t="s">
        <v>58</v>
      </c>
      <c r="C1831" s="92" t="s">
        <v>1440</v>
      </c>
      <c r="D1831" s="43">
        <v>1520</v>
      </c>
      <c r="E1831" s="43"/>
      <c r="F1831" s="43" t="e">
        <f t="shared" si="28"/>
        <v>#N/A</v>
      </c>
      <c r="G1831" s="43"/>
    </row>
    <row r="1832" spans="1:7" x14ac:dyDescent="0.3">
      <c r="A1832" s="45">
        <v>42808</v>
      </c>
      <c r="B1832" s="5" t="s">
        <v>1328</v>
      </c>
      <c r="C1832" s="92" t="s">
        <v>31</v>
      </c>
      <c r="D1832" s="43">
        <v>5000</v>
      </c>
      <c r="E1832" s="43"/>
      <c r="F1832" s="43" t="e">
        <f t="shared" si="28"/>
        <v>#N/A</v>
      </c>
      <c r="G1832" s="43"/>
    </row>
    <row r="1833" spans="1:7" x14ac:dyDescent="0.3">
      <c r="A1833" s="45">
        <v>42808</v>
      </c>
      <c r="B1833" s="5" t="s">
        <v>27</v>
      </c>
      <c r="C1833" s="92" t="s">
        <v>1437</v>
      </c>
      <c r="D1833" s="43">
        <v>21000</v>
      </c>
      <c r="E1833" s="43"/>
      <c r="F1833" s="43" t="e">
        <f t="shared" si="28"/>
        <v>#N/A</v>
      </c>
      <c r="G1833" s="43"/>
    </row>
    <row r="1834" spans="1:7" x14ac:dyDescent="0.3">
      <c r="A1834" s="45">
        <v>42809</v>
      </c>
      <c r="B1834" s="5" t="s">
        <v>445</v>
      </c>
      <c r="C1834" s="92" t="s">
        <v>31</v>
      </c>
      <c r="D1834" s="43">
        <v>3000</v>
      </c>
      <c r="E1834" s="43"/>
      <c r="F1834" s="43" t="e">
        <f t="shared" si="28"/>
        <v>#N/A</v>
      </c>
      <c r="G1834" s="43"/>
    </row>
    <row r="1835" spans="1:7" x14ac:dyDescent="0.3">
      <c r="A1835" s="45">
        <v>42809</v>
      </c>
      <c r="B1835" s="5" t="s">
        <v>58</v>
      </c>
      <c r="C1835" s="92" t="s">
        <v>1469</v>
      </c>
      <c r="D1835" s="43">
        <v>6375</v>
      </c>
      <c r="E1835" s="43"/>
      <c r="F1835" s="43" t="e">
        <f t="shared" si="28"/>
        <v>#N/A</v>
      </c>
      <c r="G1835" s="43"/>
    </row>
    <row r="1836" spans="1:7" x14ac:dyDescent="0.3">
      <c r="A1836" s="45">
        <v>42809</v>
      </c>
      <c r="B1836" s="761" t="s">
        <v>1441</v>
      </c>
      <c r="C1836" s="762"/>
      <c r="D1836" s="71"/>
      <c r="E1836" s="72">
        <v>280</v>
      </c>
      <c r="F1836" s="43" t="e">
        <f t="shared" si="28"/>
        <v>#N/A</v>
      </c>
      <c r="G1836" s="43"/>
    </row>
    <row r="1837" spans="1:7" x14ac:dyDescent="0.3">
      <c r="A1837" s="45">
        <v>42809</v>
      </c>
      <c r="B1837" s="5" t="s">
        <v>1343</v>
      </c>
      <c r="C1837" s="92" t="s">
        <v>1442</v>
      </c>
      <c r="D1837" s="43">
        <v>3700</v>
      </c>
      <c r="E1837" s="43"/>
      <c r="F1837" s="43" t="e">
        <f t="shared" si="28"/>
        <v>#N/A</v>
      </c>
      <c r="G1837" s="43"/>
    </row>
    <row r="1838" spans="1:7" x14ac:dyDescent="0.3">
      <c r="A1838" s="45">
        <v>42809</v>
      </c>
      <c r="B1838" s="5" t="s">
        <v>27</v>
      </c>
      <c r="C1838" s="92" t="s">
        <v>31</v>
      </c>
      <c r="D1838" s="43">
        <v>600</v>
      </c>
      <c r="E1838" s="43"/>
      <c r="F1838" s="43" t="e">
        <f t="shared" si="28"/>
        <v>#N/A</v>
      </c>
      <c r="G1838" s="43"/>
    </row>
    <row r="1839" spans="1:7" x14ac:dyDescent="0.3">
      <c r="A1839" s="45">
        <v>42809</v>
      </c>
      <c r="B1839" s="5" t="s">
        <v>120</v>
      </c>
      <c r="C1839" s="92" t="s">
        <v>31</v>
      </c>
      <c r="D1839" s="43">
        <v>200</v>
      </c>
      <c r="E1839" s="43"/>
      <c r="F1839" s="43" t="e">
        <f t="shared" si="28"/>
        <v>#N/A</v>
      </c>
      <c r="G1839" s="43"/>
    </row>
    <row r="1840" spans="1:7" x14ac:dyDescent="0.3">
      <c r="A1840" s="45">
        <v>42809</v>
      </c>
      <c r="B1840" s="5" t="s">
        <v>1128</v>
      </c>
      <c r="C1840" s="92" t="s">
        <v>1443</v>
      </c>
      <c r="D1840" s="43">
        <v>5000</v>
      </c>
      <c r="E1840" s="43"/>
      <c r="F1840" s="43" t="e">
        <f t="shared" si="28"/>
        <v>#N/A</v>
      </c>
      <c r="G1840" s="43"/>
    </row>
    <row r="1841" spans="1:7" x14ac:dyDescent="0.3">
      <c r="A1841" s="45">
        <v>42810</v>
      </c>
      <c r="B1841" s="5" t="s">
        <v>116</v>
      </c>
      <c r="C1841" s="92" t="s">
        <v>1444</v>
      </c>
      <c r="D1841" s="43">
        <v>100</v>
      </c>
      <c r="E1841" s="43"/>
      <c r="F1841" s="43" t="e">
        <f t="shared" si="28"/>
        <v>#N/A</v>
      </c>
      <c r="G1841" s="43"/>
    </row>
    <row r="1842" spans="1:7" x14ac:dyDescent="0.3">
      <c r="A1842" s="45">
        <v>42810</v>
      </c>
      <c r="B1842" s="761" t="s">
        <v>1446</v>
      </c>
      <c r="C1842" s="762"/>
      <c r="D1842" s="71"/>
      <c r="E1842" s="72">
        <v>100000</v>
      </c>
      <c r="F1842" s="43" t="e">
        <f t="shared" si="28"/>
        <v>#N/A</v>
      </c>
      <c r="G1842" s="43"/>
    </row>
    <row r="1843" spans="1:7" x14ac:dyDescent="0.3">
      <c r="A1843" s="45">
        <v>42810</v>
      </c>
      <c r="B1843" s="5" t="s">
        <v>1445</v>
      </c>
      <c r="C1843" s="92" t="s">
        <v>31</v>
      </c>
      <c r="D1843" s="43">
        <v>1500</v>
      </c>
      <c r="E1843" s="43"/>
      <c r="F1843" s="43" t="e">
        <f t="shared" si="28"/>
        <v>#N/A</v>
      </c>
      <c r="G1843" s="43"/>
    </row>
    <row r="1844" spans="1:7" x14ac:dyDescent="0.3">
      <c r="A1844" s="45">
        <v>42810</v>
      </c>
      <c r="B1844" s="5" t="s">
        <v>1341</v>
      </c>
      <c r="C1844" s="92" t="s">
        <v>40</v>
      </c>
      <c r="D1844" s="43">
        <v>20000</v>
      </c>
      <c r="E1844" s="43"/>
      <c r="F1844" s="43" t="e">
        <f t="shared" si="28"/>
        <v>#N/A</v>
      </c>
      <c r="G1844" s="43"/>
    </row>
    <row r="1845" spans="1:7" x14ac:dyDescent="0.3">
      <c r="A1845" s="45">
        <v>42810</v>
      </c>
      <c r="B1845" s="5" t="s">
        <v>25</v>
      </c>
      <c r="C1845" s="92" t="s">
        <v>1460</v>
      </c>
      <c r="D1845" s="43">
        <v>100</v>
      </c>
      <c r="E1845" s="43"/>
      <c r="F1845" s="43" t="e">
        <f t="shared" si="28"/>
        <v>#N/A</v>
      </c>
      <c r="G1845" s="43"/>
    </row>
    <row r="1846" spans="1:7" ht="37.5" x14ac:dyDescent="0.3">
      <c r="A1846" s="45">
        <v>42810</v>
      </c>
      <c r="B1846" s="5" t="s">
        <v>58</v>
      </c>
      <c r="C1846" s="92" t="s">
        <v>1447</v>
      </c>
      <c r="D1846" s="43">
        <v>1270</v>
      </c>
      <c r="E1846" s="43"/>
      <c r="F1846" s="43" t="e">
        <f t="shared" si="28"/>
        <v>#N/A</v>
      </c>
      <c r="G1846" s="43"/>
    </row>
    <row r="1847" spans="1:7" x14ac:dyDescent="0.3">
      <c r="A1847" s="45">
        <v>42810</v>
      </c>
      <c r="B1847" s="5" t="s">
        <v>58</v>
      </c>
      <c r="C1847" s="92" t="s">
        <v>1448</v>
      </c>
      <c r="D1847" s="43">
        <v>2100</v>
      </c>
      <c r="E1847" s="43"/>
      <c r="F1847" s="43" t="e">
        <f t="shared" si="28"/>
        <v>#N/A</v>
      </c>
      <c r="G1847" s="43"/>
    </row>
    <row r="1848" spans="1:7" x14ac:dyDescent="0.3">
      <c r="A1848" s="45">
        <v>42810</v>
      </c>
      <c r="B1848" s="5" t="s">
        <v>27</v>
      </c>
      <c r="C1848" s="92" t="s">
        <v>31</v>
      </c>
      <c r="D1848" s="43">
        <v>2000</v>
      </c>
      <c r="E1848" s="43"/>
      <c r="F1848" s="43" t="e">
        <f t="shared" si="28"/>
        <v>#N/A</v>
      </c>
      <c r="G1848" s="43"/>
    </row>
    <row r="1849" spans="1:7" x14ac:dyDescent="0.3">
      <c r="A1849" s="45">
        <v>42810</v>
      </c>
      <c r="B1849" s="5" t="s">
        <v>1449</v>
      </c>
      <c r="C1849" s="92" t="s">
        <v>1450</v>
      </c>
      <c r="D1849" s="43">
        <v>30000</v>
      </c>
      <c r="E1849" s="43"/>
      <c r="F1849" s="43" t="e">
        <f t="shared" si="28"/>
        <v>#N/A</v>
      </c>
      <c r="G1849" s="43"/>
    </row>
    <row r="1850" spans="1:7" x14ac:dyDescent="0.3">
      <c r="A1850" s="45">
        <v>42810</v>
      </c>
      <c r="B1850" s="5" t="s">
        <v>541</v>
      </c>
      <c r="C1850" s="92" t="s">
        <v>640</v>
      </c>
      <c r="D1850" s="43">
        <v>4000</v>
      </c>
      <c r="E1850" s="43"/>
      <c r="F1850" s="43" t="e">
        <f t="shared" si="28"/>
        <v>#N/A</v>
      </c>
      <c r="G1850" s="43"/>
    </row>
    <row r="1851" spans="1:7" x14ac:dyDescent="0.3">
      <c r="A1851" s="45">
        <v>42810</v>
      </c>
      <c r="B1851" s="5" t="s">
        <v>120</v>
      </c>
      <c r="C1851" s="92" t="s">
        <v>31</v>
      </c>
      <c r="D1851" s="43">
        <v>5000</v>
      </c>
      <c r="E1851" s="43"/>
      <c r="F1851" s="43" t="e">
        <f t="shared" si="28"/>
        <v>#N/A</v>
      </c>
      <c r="G1851" s="43"/>
    </row>
    <row r="1852" spans="1:7" x14ac:dyDescent="0.3">
      <c r="A1852" s="45">
        <v>42811</v>
      </c>
      <c r="B1852" s="5" t="s">
        <v>104</v>
      </c>
      <c r="C1852" s="92" t="s">
        <v>31</v>
      </c>
      <c r="D1852" s="43">
        <v>1000</v>
      </c>
      <c r="E1852" s="43"/>
      <c r="F1852" s="43" t="e">
        <f t="shared" si="28"/>
        <v>#N/A</v>
      </c>
      <c r="G1852" s="43"/>
    </row>
    <row r="1853" spans="1:7" x14ac:dyDescent="0.3">
      <c r="A1853" s="45">
        <v>42811</v>
      </c>
      <c r="B1853" s="5" t="s">
        <v>84</v>
      </c>
      <c r="C1853" s="92" t="s">
        <v>1451</v>
      </c>
      <c r="D1853" s="43">
        <v>1000</v>
      </c>
      <c r="E1853" s="43"/>
      <c r="F1853" s="43" t="e">
        <f t="shared" si="28"/>
        <v>#N/A</v>
      </c>
      <c r="G1853" s="43"/>
    </row>
    <row r="1854" spans="1:7" x14ac:dyDescent="0.3">
      <c r="A1854" s="45">
        <v>42811</v>
      </c>
      <c r="B1854" s="5" t="s">
        <v>18</v>
      </c>
      <c r="C1854" s="92" t="s">
        <v>31</v>
      </c>
      <c r="D1854" s="43">
        <v>2000</v>
      </c>
      <c r="E1854" s="43"/>
      <c r="F1854" s="43" t="e">
        <f t="shared" si="28"/>
        <v>#N/A</v>
      </c>
      <c r="G1854" s="43"/>
    </row>
    <row r="1855" spans="1:7" x14ac:dyDescent="0.3">
      <c r="A1855" s="45">
        <v>42811</v>
      </c>
      <c r="B1855" s="5" t="s">
        <v>47</v>
      </c>
      <c r="C1855" s="92" t="s">
        <v>1452</v>
      </c>
      <c r="D1855" s="43">
        <v>400</v>
      </c>
      <c r="E1855" s="43"/>
      <c r="F1855" s="43" t="e">
        <f t="shared" si="28"/>
        <v>#N/A</v>
      </c>
      <c r="G1855" s="43"/>
    </row>
    <row r="1856" spans="1:7" x14ac:dyDescent="0.3">
      <c r="A1856" s="45">
        <v>42811</v>
      </c>
      <c r="B1856" s="107" t="s">
        <v>47</v>
      </c>
      <c r="C1856" s="108" t="s">
        <v>31</v>
      </c>
      <c r="D1856" s="109">
        <v>100</v>
      </c>
      <c r="E1856" s="43"/>
      <c r="F1856" s="43" t="e">
        <f t="shared" si="28"/>
        <v>#N/A</v>
      </c>
      <c r="G1856" s="43"/>
    </row>
    <row r="1857" spans="1:7" x14ac:dyDescent="0.3">
      <c r="A1857" s="45">
        <v>42811</v>
      </c>
      <c r="B1857" s="5" t="s">
        <v>16</v>
      </c>
      <c r="C1857" s="92" t="s">
        <v>31</v>
      </c>
      <c r="D1857" s="43">
        <v>5000</v>
      </c>
      <c r="E1857" s="43"/>
      <c r="F1857" s="43" t="e">
        <f t="shared" si="28"/>
        <v>#N/A</v>
      </c>
      <c r="G1857" s="43"/>
    </row>
    <row r="1858" spans="1:7" ht="37.5" x14ac:dyDescent="0.3">
      <c r="A1858" s="45">
        <v>42811</v>
      </c>
      <c r="B1858" s="5" t="s">
        <v>25</v>
      </c>
      <c r="C1858" s="92" t="s">
        <v>1464</v>
      </c>
      <c r="D1858" s="43">
        <f>180+28</f>
        <v>208</v>
      </c>
      <c r="E1858" s="43"/>
      <c r="F1858" s="43" t="e">
        <f t="shared" si="28"/>
        <v>#N/A</v>
      </c>
      <c r="G1858" s="43"/>
    </row>
    <row r="1859" spans="1:7" x14ac:dyDescent="0.3">
      <c r="A1859" s="45">
        <v>42811</v>
      </c>
      <c r="B1859" s="5" t="s">
        <v>25</v>
      </c>
      <c r="C1859" s="92" t="s">
        <v>1461</v>
      </c>
      <c r="D1859" s="43">
        <v>320</v>
      </c>
      <c r="E1859" s="43"/>
      <c r="F1859" s="43" t="e">
        <f t="shared" ref="F1859:F1922" si="29">F1858-D1859+E1859</f>
        <v>#N/A</v>
      </c>
      <c r="G1859" s="43"/>
    </row>
    <row r="1860" spans="1:7" x14ac:dyDescent="0.3">
      <c r="A1860" s="45">
        <v>42811</v>
      </c>
      <c r="B1860" s="5" t="s">
        <v>58</v>
      </c>
      <c r="C1860" s="92" t="s">
        <v>1454</v>
      </c>
      <c r="D1860" s="65">
        <v>3540</v>
      </c>
      <c r="E1860" s="43"/>
      <c r="F1860" s="43" t="e">
        <f t="shared" si="29"/>
        <v>#N/A</v>
      </c>
      <c r="G1860" s="43"/>
    </row>
    <row r="1861" spans="1:7" x14ac:dyDescent="0.3">
      <c r="A1861" s="45">
        <v>42811</v>
      </c>
      <c r="B1861" s="5" t="s">
        <v>58</v>
      </c>
      <c r="C1861" s="92" t="s">
        <v>1455</v>
      </c>
      <c r="D1861" s="65">
        <v>3683</v>
      </c>
      <c r="E1861" s="43"/>
      <c r="F1861" s="43" t="e">
        <f t="shared" si="29"/>
        <v>#N/A</v>
      </c>
      <c r="G1861" s="43"/>
    </row>
    <row r="1862" spans="1:7" x14ac:dyDescent="0.3">
      <c r="A1862" s="45">
        <v>42811</v>
      </c>
      <c r="B1862" s="5" t="s">
        <v>124</v>
      </c>
      <c r="C1862" s="92" t="s">
        <v>1472</v>
      </c>
      <c r="D1862" s="65">
        <v>3500</v>
      </c>
      <c r="E1862" s="43"/>
      <c r="F1862" s="43" t="e">
        <f t="shared" si="29"/>
        <v>#N/A</v>
      </c>
      <c r="G1862" s="43"/>
    </row>
    <row r="1863" spans="1:7" ht="37.5" x14ac:dyDescent="0.3">
      <c r="A1863" s="45">
        <v>42811</v>
      </c>
      <c r="B1863" s="5" t="s">
        <v>124</v>
      </c>
      <c r="C1863" s="92" t="s">
        <v>1473</v>
      </c>
      <c r="D1863" s="65">
        <v>1300</v>
      </c>
      <c r="E1863" s="43"/>
      <c r="F1863" s="43" t="e">
        <f t="shared" si="29"/>
        <v>#N/A</v>
      </c>
      <c r="G1863" s="43"/>
    </row>
    <row r="1864" spans="1:7" x14ac:dyDescent="0.3">
      <c r="A1864" s="45">
        <v>42811</v>
      </c>
      <c r="B1864" s="5" t="s">
        <v>84</v>
      </c>
      <c r="C1864" s="92" t="s">
        <v>1453</v>
      </c>
      <c r="D1864" s="43">
        <v>1000</v>
      </c>
      <c r="E1864" s="43"/>
      <c r="F1864" s="43" t="e">
        <f t="shared" si="29"/>
        <v>#N/A</v>
      </c>
      <c r="G1864" s="43"/>
    </row>
    <row r="1865" spans="1:7" x14ac:dyDescent="0.3">
      <c r="A1865" s="45">
        <v>42811</v>
      </c>
      <c r="B1865" s="5" t="s">
        <v>27</v>
      </c>
      <c r="C1865" s="92" t="s">
        <v>31</v>
      </c>
      <c r="D1865" s="43">
        <v>1100</v>
      </c>
      <c r="E1865" s="43"/>
      <c r="F1865" s="43" t="e">
        <f t="shared" si="29"/>
        <v>#N/A</v>
      </c>
      <c r="G1865" s="43"/>
    </row>
    <row r="1866" spans="1:7" x14ac:dyDescent="0.3">
      <c r="A1866" s="45">
        <v>42811</v>
      </c>
      <c r="B1866" s="5" t="s">
        <v>84</v>
      </c>
      <c r="C1866" s="92" t="s">
        <v>1456</v>
      </c>
      <c r="D1866" s="43">
        <v>3000</v>
      </c>
      <c r="E1866" s="43"/>
      <c r="F1866" s="43" t="e">
        <f t="shared" si="29"/>
        <v>#N/A</v>
      </c>
      <c r="G1866" s="43"/>
    </row>
    <row r="1867" spans="1:7" x14ac:dyDescent="0.3">
      <c r="A1867" s="45">
        <v>42811</v>
      </c>
      <c r="B1867" s="5" t="s">
        <v>164</v>
      </c>
      <c r="C1867" s="92" t="s">
        <v>31</v>
      </c>
      <c r="D1867" s="43">
        <v>5000</v>
      </c>
      <c r="E1867" s="43"/>
      <c r="F1867" s="43" t="e">
        <f t="shared" si="29"/>
        <v>#N/A</v>
      </c>
      <c r="G1867" s="43"/>
    </row>
    <row r="1868" spans="1:7" ht="29.25" customHeight="1" x14ac:dyDescent="0.3">
      <c r="A1868" s="45">
        <v>42812</v>
      </c>
      <c r="B1868" s="5" t="s">
        <v>71</v>
      </c>
      <c r="C1868" s="92" t="s">
        <v>1457</v>
      </c>
      <c r="D1868" s="43">
        <v>390</v>
      </c>
      <c r="E1868" s="43"/>
      <c r="F1868" s="43" t="e">
        <f t="shared" si="29"/>
        <v>#N/A</v>
      </c>
      <c r="G1868" s="43"/>
    </row>
    <row r="1869" spans="1:7" ht="29.25" customHeight="1" x14ac:dyDescent="0.3">
      <c r="A1869" s="45">
        <v>42812</v>
      </c>
      <c r="B1869" s="74" t="s">
        <v>58</v>
      </c>
      <c r="C1869" s="101" t="s">
        <v>1470</v>
      </c>
      <c r="D1869" s="43">
        <v>125</v>
      </c>
      <c r="E1869" s="43"/>
      <c r="F1869" s="43" t="e">
        <f t="shared" si="29"/>
        <v>#N/A</v>
      </c>
      <c r="G1869" s="43"/>
    </row>
    <row r="1870" spans="1:7" ht="29.25" customHeight="1" x14ac:dyDescent="0.3">
      <c r="A1870" s="45">
        <v>42812</v>
      </c>
      <c r="B1870" s="74" t="s">
        <v>25</v>
      </c>
      <c r="C1870" s="101" t="s">
        <v>1467</v>
      </c>
      <c r="D1870" s="43">
        <v>190</v>
      </c>
      <c r="E1870" s="43"/>
      <c r="F1870" s="43" t="e">
        <f t="shared" si="29"/>
        <v>#N/A</v>
      </c>
      <c r="G1870" s="43"/>
    </row>
    <row r="1871" spans="1:7" x14ac:dyDescent="0.3">
      <c r="A1871" s="45">
        <v>42812</v>
      </c>
      <c r="B1871" s="761" t="s">
        <v>1481</v>
      </c>
      <c r="C1871" s="762"/>
      <c r="D1871" s="71"/>
      <c r="E1871" s="72">
        <v>50000</v>
      </c>
      <c r="F1871" s="43" t="e">
        <f t="shared" si="29"/>
        <v>#N/A</v>
      </c>
      <c r="G1871" s="43"/>
    </row>
    <row r="1872" spans="1:7" x14ac:dyDescent="0.3">
      <c r="A1872" s="45">
        <v>42814</v>
      </c>
      <c r="B1872" s="5" t="s">
        <v>164</v>
      </c>
      <c r="C1872" s="92" t="s">
        <v>31</v>
      </c>
      <c r="D1872" s="43">
        <v>10000</v>
      </c>
      <c r="E1872" s="43"/>
      <c r="F1872" s="43" t="e">
        <f t="shared" si="29"/>
        <v>#N/A</v>
      </c>
      <c r="G1872" s="43"/>
    </row>
    <row r="1873" spans="1:7" x14ac:dyDescent="0.3">
      <c r="A1873" s="45">
        <v>42814</v>
      </c>
      <c r="B1873" s="5" t="s">
        <v>1331</v>
      </c>
      <c r="C1873" s="92" t="s">
        <v>294</v>
      </c>
      <c r="D1873" s="43">
        <v>10000</v>
      </c>
      <c r="E1873" s="43"/>
      <c r="F1873" s="43" t="e">
        <f t="shared" si="29"/>
        <v>#N/A</v>
      </c>
      <c r="G1873" s="43"/>
    </row>
    <row r="1874" spans="1:7" x14ac:dyDescent="0.3">
      <c r="A1874" s="45">
        <v>42814</v>
      </c>
      <c r="B1874" s="5" t="s">
        <v>127</v>
      </c>
      <c r="C1874" s="92" t="s">
        <v>1471</v>
      </c>
      <c r="D1874" s="43">
        <v>18204</v>
      </c>
      <c r="E1874" s="43"/>
      <c r="F1874" s="43" t="e">
        <f t="shared" si="29"/>
        <v>#N/A</v>
      </c>
      <c r="G1874" s="43"/>
    </row>
    <row r="1875" spans="1:7" x14ac:dyDescent="0.3">
      <c r="A1875" s="45">
        <v>42814</v>
      </c>
      <c r="B1875" s="5" t="s">
        <v>127</v>
      </c>
      <c r="C1875" s="92" t="s">
        <v>640</v>
      </c>
      <c r="D1875" s="43">
        <v>1000</v>
      </c>
      <c r="E1875" s="43"/>
      <c r="F1875" s="43" t="e">
        <f t="shared" si="29"/>
        <v>#N/A</v>
      </c>
      <c r="G1875" s="43"/>
    </row>
    <row r="1876" spans="1:7" x14ac:dyDescent="0.3">
      <c r="A1876" s="45">
        <v>42814</v>
      </c>
      <c r="B1876" s="5" t="s">
        <v>25</v>
      </c>
      <c r="C1876" s="92" t="s">
        <v>62</v>
      </c>
      <c r="D1876" s="43">
        <v>50</v>
      </c>
      <c r="E1876" s="43"/>
      <c r="F1876" s="43" t="e">
        <f t="shared" si="29"/>
        <v>#N/A</v>
      </c>
      <c r="G1876" s="43"/>
    </row>
    <row r="1877" spans="1:7" x14ac:dyDescent="0.3">
      <c r="A1877" s="45">
        <v>42814</v>
      </c>
      <c r="B1877" s="5" t="s">
        <v>1281</v>
      </c>
      <c r="C1877" s="92" t="s">
        <v>1468</v>
      </c>
      <c r="D1877" s="43">
        <v>600</v>
      </c>
      <c r="E1877" s="43"/>
      <c r="F1877" s="43" t="e">
        <f t="shared" si="29"/>
        <v>#N/A</v>
      </c>
      <c r="G1877" s="43"/>
    </row>
    <row r="1878" spans="1:7" x14ac:dyDescent="0.3">
      <c r="A1878" s="45">
        <v>42814</v>
      </c>
      <c r="B1878" s="5" t="s">
        <v>1462</v>
      </c>
      <c r="C1878" s="92" t="s">
        <v>1463</v>
      </c>
      <c r="D1878" s="43">
        <v>5000</v>
      </c>
      <c r="E1878" s="43"/>
      <c r="F1878" s="43" t="e">
        <f t="shared" si="29"/>
        <v>#N/A</v>
      </c>
      <c r="G1878" s="43"/>
    </row>
    <row r="1879" spans="1:7" x14ac:dyDescent="0.3">
      <c r="A1879" s="45">
        <v>42814</v>
      </c>
      <c r="B1879" s="5" t="s">
        <v>18</v>
      </c>
      <c r="C1879" s="92" t="s">
        <v>31</v>
      </c>
      <c r="D1879" s="43">
        <v>500</v>
      </c>
      <c r="E1879" s="43"/>
      <c r="F1879" s="43" t="e">
        <f t="shared" si="29"/>
        <v>#N/A</v>
      </c>
      <c r="G1879" s="43"/>
    </row>
    <row r="1880" spans="1:7" ht="37.5" x14ac:dyDescent="0.3">
      <c r="A1880" s="45">
        <v>42815</v>
      </c>
      <c r="B1880" s="5" t="s">
        <v>541</v>
      </c>
      <c r="C1880" s="92" t="s">
        <v>1465</v>
      </c>
      <c r="D1880" s="43">
        <v>1000</v>
      </c>
      <c r="E1880" s="43"/>
      <c r="F1880" s="43" t="e">
        <f t="shared" si="29"/>
        <v>#N/A</v>
      </c>
      <c r="G1880" s="43"/>
    </row>
    <row r="1881" spans="1:7" x14ac:dyDescent="0.3">
      <c r="A1881" s="45">
        <v>42815</v>
      </c>
      <c r="B1881" s="5" t="s">
        <v>1003</v>
      </c>
      <c r="C1881" s="92" t="s">
        <v>1466</v>
      </c>
      <c r="D1881" s="43">
        <v>1500</v>
      </c>
      <c r="E1881" s="43"/>
      <c r="F1881" s="43" t="e">
        <f t="shared" si="29"/>
        <v>#N/A</v>
      </c>
      <c r="G1881" s="43"/>
    </row>
    <row r="1882" spans="1:7" x14ac:dyDescent="0.3">
      <c r="A1882" s="45">
        <v>42815</v>
      </c>
      <c r="B1882" s="761" t="s">
        <v>1482</v>
      </c>
      <c r="C1882" s="762"/>
      <c r="D1882" s="71"/>
      <c r="E1882" s="72">
        <v>50000</v>
      </c>
      <c r="F1882" s="43" t="e">
        <f t="shared" si="29"/>
        <v>#N/A</v>
      </c>
      <c r="G1882" s="43"/>
    </row>
    <row r="1883" spans="1:7" x14ac:dyDescent="0.3">
      <c r="A1883" s="45">
        <v>42815</v>
      </c>
      <c r="B1883" s="5" t="s">
        <v>116</v>
      </c>
      <c r="C1883" s="92" t="s">
        <v>31</v>
      </c>
      <c r="D1883" s="43">
        <v>16500</v>
      </c>
      <c r="E1883" s="43"/>
      <c r="F1883" s="43" t="e">
        <f t="shared" si="29"/>
        <v>#N/A</v>
      </c>
      <c r="G1883" s="43"/>
    </row>
    <row r="1884" spans="1:7" x14ac:dyDescent="0.3">
      <c r="A1884" s="45">
        <v>42815</v>
      </c>
      <c r="B1884" s="5" t="s">
        <v>58</v>
      </c>
      <c r="C1884" s="92" t="s">
        <v>31</v>
      </c>
      <c r="D1884" s="43">
        <v>500</v>
      </c>
      <c r="E1884" s="43"/>
      <c r="F1884" s="43" t="e">
        <f t="shared" si="29"/>
        <v>#N/A</v>
      </c>
      <c r="G1884" s="43"/>
    </row>
    <row r="1885" spans="1:7" x14ac:dyDescent="0.3">
      <c r="A1885" s="45">
        <v>42815</v>
      </c>
      <c r="B1885" s="5" t="s">
        <v>120</v>
      </c>
      <c r="C1885" s="92" t="s">
        <v>31</v>
      </c>
      <c r="D1885" s="43">
        <v>1000</v>
      </c>
      <c r="E1885" s="43"/>
      <c r="F1885" s="43" t="e">
        <f t="shared" si="29"/>
        <v>#N/A</v>
      </c>
      <c r="G1885" s="43"/>
    </row>
    <row r="1886" spans="1:7" x14ac:dyDescent="0.3">
      <c r="A1886" s="45">
        <v>42815</v>
      </c>
      <c r="B1886" s="5" t="s">
        <v>16</v>
      </c>
      <c r="C1886" s="92" t="s">
        <v>31</v>
      </c>
      <c r="D1886" s="65">
        <v>1000</v>
      </c>
      <c r="E1886" s="43"/>
      <c r="F1886" s="43" t="e">
        <f t="shared" si="29"/>
        <v>#N/A</v>
      </c>
      <c r="G1886" s="43"/>
    </row>
    <row r="1887" spans="1:7" x14ac:dyDescent="0.3">
      <c r="A1887" s="45">
        <v>42815</v>
      </c>
      <c r="B1887" s="5" t="s">
        <v>127</v>
      </c>
      <c r="C1887" s="92" t="s">
        <v>1474</v>
      </c>
      <c r="D1887" s="43">
        <v>12500</v>
      </c>
      <c r="E1887" s="43"/>
      <c r="F1887" s="43" t="e">
        <f t="shared" si="29"/>
        <v>#N/A</v>
      </c>
      <c r="G1887" s="43"/>
    </row>
    <row r="1888" spans="1:7" x14ac:dyDescent="0.3">
      <c r="A1888" s="45">
        <v>42815</v>
      </c>
      <c r="B1888" s="5" t="s">
        <v>247</v>
      </c>
      <c r="C1888" s="92" t="s">
        <v>1475</v>
      </c>
      <c r="D1888" s="43">
        <v>1170</v>
      </c>
      <c r="E1888" s="43"/>
      <c r="F1888" s="43" t="e">
        <f t="shared" si="29"/>
        <v>#N/A</v>
      </c>
      <c r="G1888" s="43"/>
    </row>
    <row r="1889" spans="1:7" x14ac:dyDescent="0.3">
      <c r="A1889" s="45">
        <v>42816</v>
      </c>
      <c r="B1889" s="5" t="s">
        <v>445</v>
      </c>
      <c r="C1889" s="92" t="s">
        <v>31</v>
      </c>
      <c r="D1889" s="43">
        <v>3000</v>
      </c>
      <c r="E1889" s="43"/>
      <c r="F1889" s="43" t="e">
        <f t="shared" si="29"/>
        <v>#N/A</v>
      </c>
      <c r="G1889" s="43"/>
    </row>
    <row r="1890" spans="1:7" x14ac:dyDescent="0.3">
      <c r="A1890" s="45">
        <v>42816</v>
      </c>
      <c r="B1890" s="5" t="s">
        <v>16</v>
      </c>
      <c r="C1890" s="92" t="s">
        <v>31</v>
      </c>
      <c r="D1890" s="43">
        <v>500</v>
      </c>
      <c r="E1890" s="43"/>
      <c r="F1890" s="43" t="e">
        <f t="shared" si="29"/>
        <v>#N/A</v>
      </c>
      <c r="G1890" s="43"/>
    </row>
    <row r="1891" spans="1:7" x14ac:dyDescent="0.3">
      <c r="A1891" s="45">
        <v>42816</v>
      </c>
      <c r="B1891" s="761" t="s">
        <v>1483</v>
      </c>
      <c r="C1891" s="762"/>
      <c r="D1891" s="71"/>
      <c r="E1891" s="72">
        <v>50000</v>
      </c>
      <c r="F1891" s="43" t="e">
        <f t="shared" si="29"/>
        <v>#N/A</v>
      </c>
      <c r="G1891" s="43"/>
    </row>
    <row r="1892" spans="1:7" x14ac:dyDescent="0.3">
      <c r="A1892" s="45">
        <v>42816</v>
      </c>
      <c r="B1892" s="5" t="s">
        <v>4</v>
      </c>
      <c r="C1892" s="92" t="s">
        <v>31</v>
      </c>
      <c r="D1892" s="43">
        <v>2000</v>
      </c>
      <c r="E1892" s="43"/>
      <c r="F1892" s="43" t="e">
        <f t="shared" si="29"/>
        <v>#N/A</v>
      </c>
      <c r="G1892" s="43"/>
    </row>
    <row r="1893" spans="1:7" x14ac:dyDescent="0.3">
      <c r="A1893" s="45">
        <v>42816</v>
      </c>
      <c r="B1893" s="5" t="s">
        <v>104</v>
      </c>
      <c r="C1893" s="92" t="s">
        <v>31</v>
      </c>
      <c r="D1893" s="43">
        <v>1000</v>
      </c>
      <c r="E1893" s="43"/>
      <c r="F1893" s="43" t="e">
        <f t="shared" si="29"/>
        <v>#N/A</v>
      </c>
      <c r="G1893" s="43"/>
    </row>
    <row r="1894" spans="1:7" x14ac:dyDescent="0.3">
      <c r="A1894" s="45">
        <v>42816</v>
      </c>
      <c r="B1894" s="5" t="s">
        <v>1343</v>
      </c>
      <c r="C1894" s="92" t="s">
        <v>1699</v>
      </c>
      <c r="D1894" s="65">
        <v>22225</v>
      </c>
      <c r="E1894" s="43"/>
      <c r="F1894" s="43" t="e">
        <f t="shared" si="29"/>
        <v>#N/A</v>
      </c>
      <c r="G1894" s="43"/>
    </row>
    <row r="1895" spans="1:7" ht="37.5" x14ac:dyDescent="0.3">
      <c r="A1895" s="45">
        <v>42816</v>
      </c>
      <c r="B1895" s="5" t="s">
        <v>25</v>
      </c>
      <c r="C1895" s="92" t="s">
        <v>1479</v>
      </c>
      <c r="D1895" s="43">
        <v>325</v>
      </c>
      <c r="E1895" s="43"/>
      <c r="F1895" s="43" t="e">
        <f t="shared" si="29"/>
        <v>#N/A</v>
      </c>
      <c r="G1895" s="43"/>
    </row>
    <row r="1896" spans="1:7" x14ac:dyDescent="0.3">
      <c r="A1896" s="45">
        <v>42816</v>
      </c>
      <c r="B1896" s="5" t="s">
        <v>164</v>
      </c>
      <c r="C1896" s="92" t="s">
        <v>31</v>
      </c>
      <c r="D1896" s="43">
        <v>25000</v>
      </c>
      <c r="E1896" s="43"/>
      <c r="F1896" s="43" t="e">
        <f t="shared" si="29"/>
        <v>#N/A</v>
      </c>
      <c r="G1896" s="43"/>
    </row>
    <row r="1897" spans="1:7" x14ac:dyDescent="0.3">
      <c r="A1897" s="45">
        <v>42816</v>
      </c>
      <c r="B1897" s="5" t="s">
        <v>107</v>
      </c>
      <c r="C1897" s="92" t="s">
        <v>1476</v>
      </c>
      <c r="D1897" s="43">
        <v>5000</v>
      </c>
      <c r="E1897" s="43"/>
      <c r="F1897" s="43" t="e">
        <f t="shared" si="29"/>
        <v>#N/A</v>
      </c>
      <c r="G1897" s="43"/>
    </row>
    <row r="1898" spans="1:7" x14ac:dyDescent="0.3">
      <c r="A1898" s="45">
        <v>42816</v>
      </c>
      <c r="B1898" s="5" t="s">
        <v>84</v>
      </c>
      <c r="C1898" s="92" t="s">
        <v>1477</v>
      </c>
      <c r="D1898" s="43">
        <v>3000</v>
      </c>
      <c r="E1898" s="43"/>
      <c r="F1898" s="43" t="e">
        <f t="shared" si="29"/>
        <v>#N/A</v>
      </c>
      <c r="G1898" s="43"/>
    </row>
    <row r="1899" spans="1:7" x14ac:dyDescent="0.3">
      <c r="A1899" s="45">
        <v>42816</v>
      </c>
      <c r="B1899" s="5" t="s">
        <v>120</v>
      </c>
      <c r="C1899" s="92" t="s">
        <v>31</v>
      </c>
      <c r="D1899" s="43">
        <v>2000</v>
      </c>
      <c r="E1899" s="43"/>
      <c r="F1899" s="43" t="e">
        <f t="shared" si="29"/>
        <v>#N/A</v>
      </c>
      <c r="G1899" s="43"/>
    </row>
    <row r="1900" spans="1:7" x14ac:dyDescent="0.3">
      <c r="A1900" s="45">
        <v>42816</v>
      </c>
      <c r="B1900" s="5" t="s">
        <v>16</v>
      </c>
      <c r="C1900" s="92" t="s">
        <v>31</v>
      </c>
      <c r="D1900" s="43">
        <v>1000</v>
      </c>
      <c r="E1900" s="43"/>
      <c r="F1900" s="43" t="e">
        <f t="shared" si="29"/>
        <v>#N/A</v>
      </c>
      <c r="G1900" s="43"/>
    </row>
    <row r="1901" spans="1:7" ht="37.5" x14ac:dyDescent="0.3">
      <c r="A1901" s="45">
        <v>42816</v>
      </c>
      <c r="B1901" s="5" t="s">
        <v>25</v>
      </c>
      <c r="C1901" s="92" t="s">
        <v>1478</v>
      </c>
      <c r="D1901" s="65">
        <v>275</v>
      </c>
      <c r="E1901" s="43"/>
      <c r="F1901" s="43" t="e">
        <f t="shared" si="29"/>
        <v>#N/A</v>
      </c>
      <c r="G1901" s="43"/>
    </row>
    <row r="1902" spans="1:7" ht="56.25" x14ac:dyDescent="0.3">
      <c r="A1902" s="45">
        <v>42816</v>
      </c>
      <c r="B1902" s="5" t="s">
        <v>25</v>
      </c>
      <c r="C1902" s="92" t="s">
        <v>1480</v>
      </c>
      <c r="D1902" s="43">
        <v>1130</v>
      </c>
      <c r="E1902" s="43"/>
      <c r="F1902" s="43" t="e">
        <f t="shared" si="29"/>
        <v>#N/A</v>
      </c>
      <c r="G1902" s="43"/>
    </row>
    <row r="1903" spans="1:7" x14ac:dyDescent="0.3">
      <c r="A1903" s="45">
        <v>42816</v>
      </c>
      <c r="B1903" s="5" t="s">
        <v>58</v>
      </c>
      <c r="C1903" s="92" t="s">
        <v>31</v>
      </c>
      <c r="D1903" s="43">
        <v>100</v>
      </c>
      <c r="E1903" s="43"/>
      <c r="F1903" s="43" t="e">
        <f t="shared" si="29"/>
        <v>#N/A</v>
      </c>
      <c r="G1903" s="43"/>
    </row>
    <row r="1904" spans="1:7" x14ac:dyDescent="0.3">
      <c r="A1904" s="45">
        <v>42818</v>
      </c>
      <c r="B1904" s="761" t="s">
        <v>1484</v>
      </c>
      <c r="C1904" s="762"/>
      <c r="D1904" s="71"/>
      <c r="E1904" s="72">
        <v>50000</v>
      </c>
      <c r="F1904" s="43" t="e">
        <f t="shared" si="29"/>
        <v>#N/A</v>
      </c>
      <c r="G1904" s="43"/>
    </row>
    <row r="1905" spans="1:7" x14ac:dyDescent="0.3">
      <c r="A1905" s="45">
        <v>42823</v>
      </c>
      <c r="B1905" s="5" t="s">
        <v>27</v>
      </c>
      <c r="C1905" s="92" t="s">
        <v>1491</v>
      </c>
      <c r="D1905" s="43">
        <v>3000</v>
      </c>
      <c r="E1905" s="65"/>
      <c r="F1905" s="43" t="e">
        <f t="shared" si="29"/>
        <v>#N/A</v>
      </c>
      <c r="G1905" s="65"/>
    </row>
    <row r="1906" spans="1:7" x14ac:dyDescent="0.3">
      <c r="A1906" s="45">
        <v>42823</v>
      </c>
      <c r="B1906" s="5" t="s">
        <v>1128</v>
      </c>
      <c r="C1906" s="92" t="s">
        <v>1485</v>
      </c>
      <c r="D1906" s="65">
        <v>5000</v>
      </c>
      <c r="E1906" s="65"/>
      <c r="F1906" s="43" t="e">
        <f t="shared" si="29"/>
        <v>#N/A</v>
      </c>
      <c r="G1906" s="65"/>
    </row>
    <row r="1907" spans="1:7" x14ac:dyDescent="0.3">
      <c r="A1907" s="45">
        <v>42824</v>
      </c>
      <c r="B1907" s="5" t="s">
        <v>58</v>
      </c>
      <c r="C1907" s="92" t="s">
        <v>1494</v>
      </c>
      <c r="D1907" s="65">
        <v>5990</v>
      </c>
      <c r="E1907" s="65"/>
      <c r="F1907" s="43" t="e">
        <f t="shared" si="29"/>
        <v>#N/A</v>
      </c>
      <c r="G1907" s="65"/>
    </row>
    <row r="1908" spans="1:7" x14ac:dyDescent="0.3">
      <c r="A1908" s="45">
        <v>42824</v>
      </c>
      <c r="B1908" s="5" t="s">
        <v>58</v>
      </c>
      <c r="C1908" s="92" t="s">
        <v>1493</v>
      </c>
      <c r="D1908" s="65">
        <v>800</v>
      </c>
      <c r="E1908" s="65"/>
      <c r="F1908" s="43" t="e">
        <f t="shared" si="29"/>
        <v>#N/A</v>
      </c>
      <c r="G1908" s="65"/>
    </row>
    <row r="1909" spans="1:7" x14ac:dyDescent="0.3">
      <c r="A1909" s="45">
        <v>42824</v>
      </c>
      <c r="B1909" s="5" t="s">
        <v>116</v>
      </c>
      <c r="C1909" s="92" t="s">
        <v>1486</v>
      </c>
      <c r="D1909" s="65">
        <v>8000</v>
      </c>
      <c r="E1909" s="65"/>
      <c r="F1909" s="43" t="e">
        <f t="shared" si="29"/>
        <v>#N/A</v>
      </c>
      <c r="G1909" s="65"/>
    </row>
    <row r="1910" spans="1:7" ht="56.25" x14ac:dyDescent="0.3">
      <c r="A1910" s="45">
        <v>42824</v>
      </c>
      <c r="B1910" s="5" t="s">
        <v>162</v>
      </c>
      <c r="C1910" s="92" t="s">
        <v>1498</v>
      </c>
      <c r="D1910" s="65">
        <v>19000</v>
      </c>
      <c r="E1910" s="65"/>
      <c r="F1910" s="43" t="e">
        <f t="shared" si="29"/>
        <v>#N/A</v>
      </c>
      <c r="G1910" s="65"/>
    </row>
    <row r="1911" spans="1:7" ht="37.5" x14ac:dyDescent="0.3">
      <c r="A1911" s="45">
        <v>42824</v>
      </c>
      <c r="B1911" s="5" t="s">
        <v>162</v>
      </c>
      <c r="C1911" s="101" t="s">
        <v>1499</v>
      </c>
      <c r="D1911" s="65">
        <v>1000</v>
      </c>
      <c r="E1911" s="65"/>
      <c r="F1911" s="43" t="e">
        <f t="shared" si="29"/>
        <v>#N/A</v>
      </c>
      <c r="G1911" s="65"/>
    </row>
    <row r="1912" spans="1:7" x14ac:dyDescent="0.3">
      <c r="A1912" s="45">
        <v>42824</v>
      </c>
      <c r="B1912" s="761" t="s">
        <v>1487</v>
      </c>
      <c r="C1912" s="762"/>
      <c r="D1912" s="71"/>
      <c r="E1912" s="72">
        <v>50000</v>
      </c>
      <c r="F1912" s="43" t="e">
        <f t="shared" si="29"/>
        <v>#N/A</v>
      </c>
      <c r="G1912" s="65"/>
    </row>
    <row r="1913" spans="1:7" x14ac:dyDescent="0.3">
      <c r="A1913" s="45">
        <v>42824</v>
      </c>
      <c r="B1913" s="5" t="s">
        <v>1331</v>
      </c>
      <c r="C1913" s="92" t="s">
        <v>1488</v>
      </c>
      <c r="D1913" s="65">
        <v>15000</v>
      </c>
      <c r="E1913" s="65"/>
      <c r="F1913" s="43" t="e">
        <f t="shared" si="29"/>
        <v>#N/A</v>
      </c>
      <c r="G1913" s="65"/>
    </row>
    <row r="1914" spans="1:7" x14ac:dyDescent="0.3">
      <c r="A1914" s="45">
        <v>42824</v>
      </c>
      <c r="B1914" s="5" t="s">
        <v>120</v>
      </c>
      <c r="C1914" s="92" t="s">
        <v>1489</v>
      </c>
      <c r="D1914" s="65">
        <v>1000</v>
      </c>
      <c r="E1914" s="65"/>
      <c r="F1914" s="43" t="e">
        <f t="shared" si="29"/>
        <v>#N/A</v>
      </c>
      <c r="G1914" s="65"/>
    </row>
    <row r="1915" spans="1:7" x14ac:dyDescent="0.3">
      <c r="A1915" s="45">
        <v>42824</v>
      </c>
      <c r="B1915" s="5" t="s">
        <v>1128</v>
      </c>
      <c r="C1915" s="92" t="s">
        <v>1490</v>
      </c>
      <c r="D1915" s="65">
        <v>22000</v>
      </c>
      <c r="E1915" s="65"/>
      <c r="F1915" s="43" t="e">
        <f t="shared" si="29"/>
        <v>#N/A</v>
      </c>
      <c r="G1915" s="65"/>
    </row>
    <row r="1916" spans="1:7" x14ac:dyDescent="0.3">
      <c r="A1916" s="45">
        <v>42825</v>
      </c>
      <c r="B1916" s="5" t="s">
        <v>4</v>
      </c>
      <c r="C1916" s="92" t="s">
        <v>31</v>
      </c>
      <c r="D1916" s="65">
        <v>10000</v>
      </c>
      <c r="E1916" s="65"/>
      <c r="F1916" s="43" t="e">
        <f t="shared" si="29"/>
        <v>#N/A</v>
      </c>
      <c r="G1916" s="65"/>
    </row>
    <row r="1917" spans="1:7" x14ac:dyDescent="0.3">
      <c r="A1917" s="45">
        <v>42825</v>
      </c>
      <c r="B1917" s="5" t="s">
        <v>84</v>
      </c>
      <c r="C1917" s="92" t="s">
        <v>1492</v>
      </c>
      <c r="D1917" s="65">
        <v>2000</v>
      </c>
      <c r="E1917" s="65"/>
      <c r="F1917" s="43" t="e">
        <f t="shared" si="29"/>
        <v>#N/A</v>
      </c>
      <c r="G1917" s="65"/>
    </row>
    <row r="1918" spans="1:7" x14ac:dyDescent="0.3">
      <c r="A1918" s="45">
        <v>42825</v>
      </c>
      <c r="B1918" s="5" t="s">
        <v>247</v>
      </c>
      <c r="C1918" s="92" t="s">
        <v>1495</v>
      </c>
      <c r="D1918" s="65">
        <v>395</v>
      </c>
      <c r="E1918" s="65"/>
      <c r="F1918" s="43" t="e">
        <f t="shared" si="29"/>
        <v>#N/A</v>
      </c>
      <c r="G1918" s="65"/>
    </row>
    <row r="1919" spans="1:7" x14ac:dyDescent="0.3">
      <c r="A1919" s="45">
        <v>42825</v>
      </c>
      <c r="B1919" s="5" t="s">
        <v>247</v>
      </c>
      <c r="C1919" s="92" t="s">
        <v>1495</v>
      </c>
      <c r="D1919" s="65">
        <v>255</v>
      </c>
      <c r="E1919" s="65"/>
      <c r="F1919" s="43" t="e">
        <f t="shared" si="29"/>
        <v>#N/A</v>
      </c>
      <c r="G1919" s="65"/>
    </row>
    <row r="1920" spans="1:7" x14ac:dyDescent="0.3">
      <c r="A1920" s="45">
        <v>42825</v>
      </c>
      <c r="B1920" s="5" t="s">
        <v>1501</v>
      </c>
      <c r="C1920" s="92" t="s">
        <v>1502</v>
      </c>
      <c r="D1920" s="65">
        <v>150</v>
      </c>
      <c r="E1920" s="65"/>
      <c r="F1920" s="43" t="e">
        <f t="shared" si="29"/>
        <v>#N/A</v>
      </c>
      <c r="G1920" s="65"/>
    </row>
    <row r="1921" spans="1:7" x14ac:dyDescent="0.3">
      <c r="A1921" s="45">
        <v>42825</v>
      </c>
      <c r="B1921" s="5" t="s">
        <v>247</v>
      </c>
      <c r="C1921" s="92" t="s">
        <v>1496</v>
      </c>
      <c r="D1921" s="65">
        <v>560</v>
      </c>
      <c r="E1921" s="65"/>
      <c r="F1921" s="43" t="e">
        <f t="shared" si="29"/>
        <v>#N/A</v>
      </c>
      <c r="G1921" s="65"/>
    </row>
    <row r="1922" spans="1:7" ht="37.5" x14ac:dyDescent="0.3">
      <c r="A1922" s="45">
        <v>42825</v>
      </c>
      <c r="B1922" s="5" t="s">
        <v>25</v>
      </c>
      <c r="C1922" s="92" t="s">
        <v>1514</v>
      </c>
      <c r="D1922" s="65">
        <v>560</v>
      </c>
      <c r="E1922" s="65"/>
      <c r="F1922" s="43" t="e">
        <f t="shared" si="29"/>
        <v>#N/A</v>
      </c>
      <c r="G1922" s="65"/>
    </row>
    <row r="1923" spans="1:7" x14ac:dyDescent="0.3">
      <c r="A1923" s="45">
        <v>42825</v>
      </c>
      <c r="B1923" s="107" t="s">
        <v>116</v>
      </c>
      <c r="C1923" s="108" t="s">
        <v>1497</v>
      </c>
      <c r="D1923" s="109">
        <v>5000</v>
      </c>
      <c r="E1923" s="65"/>
      <c r="F1923" s="43" t="e">
        <f t="shared" ref="F1923:F1986" si="30">F1922-D1923+E1923</f>
        <v>#N/A</v>
      </c>
      <c r="G1923" s="65"/>
    </row>
    <row r="1924" spans="1:7" x14ac:dyDescent="0.3">
      <c r="A1924" s="45">
        <v>42825</v>
      </c>
      <c r="B1924" s="761" t="s">
        <v>1500</v>
      </c>
      <c r="C1924" s="762"/>
      <c r="D1924" s="71"/>
      <c r="E1924" s="72">
        <v>50000</v>
      </c>
      <c r="F1924" s="43" t="e">
        <f t="shared" si="30"/>
        <v>#N/A</v>
      </c>
      <c r="G1924" s="65"/>
    </row>
    <row r="1925" spans="1:7" ht="37.5" x14ac:dyDescent="0.3">
      <c r="A1925" s="45">
        <v>42825</v>
      </c>
      <c r="B1925" s="92" t="s">
        <v>1503</v>
      </c>
      <c r="C1925" s="92" t="s">
        <v>1504</v>
      </c>
      <c r="D1925" s="65">
        <v>5400</v>
      </c>
      <c r="E1925" s="65"/>
      <c r="F1925" s="43" t="e">
        <f t="shared" si="30"/>
        <v>#N/A</v>
      </c>
      <c r="G1925" s="65"/>
    </row>
    <row r="1926" spans="1:7" ht="37.5" x14ac:dyDescent="0.3">
      <c r="A1926" s="45">
        <v>42825</v>
      </c>
      <c r="B1926" s="5" t="s">
        <v>58</v>
      </c>
      <c r="C1926" s="92" t="s">
        <v>1547</v>
      </c>
      <c r="D1926" s="65">
        <v>8798</v>
      </c>
      <c r="E1926" s="65"/>
      <c r="F1926" s="43" t="e">
        <f t="shared" si="30"/>
        <v>#N/A</v>
      </c>
      <c r="G1926" s="65"/>
    </row>
    <row r="1927" spans="1:7" x14ac:dyDescent="0.3">
      <c r="A1927" s="45">
        <v>42825</v>
      </c>
      <c r="B1927" s="5" t="s">
        <v>1003</v>
      </c>
      <c r="C1927" s="92" t="s">
        <v>1505</v>
      </c>
      <c r="D1927" s="65">
        <v>2720</v>
      </c>
      <c r="E1927" s="65"/>
      <c r="F1927" s="43" t="e">
        <f t="shared" si="30"/>
        <v>#N/A</v>
      </c>
      <c r="G1927" s="65"/>
    </row>
    <row r="1928" spans="1:7" x14ac:dyDescent="0.3">
      <c r="A1928" s="45">
        <v>42826</v>
      </c>
      <c r="B1928" s="5" t="s">
        <v>108</v>
      </c>
      <c r="C1928" s="92" t="s">
        <v>1506</v>
      </c>
      <c r="D1928" s="65">
        <v>200</v>
      </c>
      <c r="E1928" s="65"/>
      <c r="F1928" s="43" t="e">
        <f t="shared" si="30"/>
        <v>#N/A</v>
      </c>
      <c r="G1928" s="65"/>
    </row>
    <row r="1929" spans="1:7" x14ac:dyDescent="0.3">
      <c r="A1929" s="45">
        <v>42826</v>
      </c>
      <c r="B1929" s="5" t="s">
        <v>1343</v>
      </c>
      <c r="C1929" s="92" t="s">
        <v>72</v>
      </c>
      <c r="D1929" s="65">
        <v>20000</v>
      </c>
      <c r="E1929" s="65"/>
      <c r="F1929" s="43" t="e">
        <f t="shared" si="30"/>
        <v>#N/A</v>
      </c>
      <c r="G1929" s="65"/>
    </row>
    <row r="1930" spans="1:7" ht="37.5" x14ac:dyDescent="0.3">
      <c r="A1930" s="45">
        <v>42826</v>
      </c>
      <c r="B1930" s="5" t="s">
        <v>1343</v>
      </c>
      <c r="C1930" s="92" t="s">
        <v>1507</v>
      </c>
      <c r="D1930" s="65">
        <v>8000</v>
      </c>
      <c r="E1930" s="65"/>
      <c r="F1930" s="43" t="e">
        <f t="shared" si="30"/>
        <v>#N/A</v>
      </c>
      <c r="G1930" s="65"/>
    </row>
    <row r="1931" spans="1:7" x14ac:dyDescent="0.3">
      <c r="A1931" s="45">
        <v>42826</v>
      </c>
      <c r="B1931" s="5" t="s">
        <v>116</v>
      </c>
      <c r="C1931" s="92" t="s">
        <v>1508</v>
      </c>
      <c r="D1931" s="65">
        <v>2000</v>
      </c>
      <c r="E1931" s="65"/>
      <c r="F1931" s="43" t="e">
        <f t="shared" si="30"/>
        <v>#N/A</v>
      </c>
      <c r="G1931" s="65"/>
    </row>
    <row r="1932" spans="1:7" x14ac:dyDescent="0.3">
      <c r="A1932" s="45">
        <v>42828</v>
      </c>
      <c r="B1932" s="761" t="s">
        <v>1511</v>
      </c>
      <c r="C1932" s="762"/>
      <c r="D1932" s="71"/>
      <c r="E1932" s="72">
        <v>25000</v>
      </c>
      <c r="F1932" s="43" t="e">
        <f t="shared" si="30"/>
        <v>#N/A</v>
      </c>
      <c r="G1932" s="65"/>
    </row>
    <row r="1933" spans="1:7" x14ac:dyDescent="0.3">
      <c r="A1933" s="45">
        <v>42828</v>
      </c>
      <c r="B1933" s="5" t="s">
        <v>120</v>
      </c>
      <c r="C1933" s="92" t="s">
        <v>31</v>
      </c>
      <c r="D1933" s="65">
        <v>100</v>
      </c>
      <c r="E1933" s="65"/>
      <c r="F1933" s="43" t="e">
        <f t="shared" si="30"/>
        <v>#N/A</v>
      </c>
      <c r="G1933" s="65"/>
    </row>
    <row r="1934" spans="1:7" x14ac:dyDescent="0.3">
      <c r="A1934" s="45">
        <v>42828</v>
      </c>
      <c r="B1934" s="5" t="s">
        <v>116</v>
      </c>
      <c r="C1934" s="92" t="s">
        <v>1524</v>
      </c>
      <c r="D1934" s="65">
        <v>5500</v>
      </c>
      <c r="E1934" s="65"/>
      <c r="F1934" s="43" t="e">
        <f t="shared" si="30"/>
        <v>#N/A</v>
      </c>
      <c r="G1934" s="65"/>
    </row>
    <row r="1935" spans="1:7" x14ac:dyDescent="0.3">
      <c r="A1935" s="45">
        <v>42828</v>
      </c>
      <c r="B1935" s="5" t="s">
        <v>56</v>
      </c>
      <c r="C1935" s="92" t="s">
        <v>33</v>
      </c>
      <c r="D1935" s="65">
        <v>50</v>
      </c>
      <c r="E1935" s="65"/>
      <c r="F1935" s="43" t="e">
        <f t="shared" si="30"/>
        <v>#N/A</v>
      </c>
      <c r="G1935" s="65"/>
    </row>
    <row r="1936" spans="1:7" x14ac:dyDescent="0.3">
      <c r="A1936" s="45">
        <v>42828</v>
      </c>
      <c r="B1936" s="5" t="s">
        <v>25</v>
      </c>
      <c r="C1936" s="92" t="s">
        <v>1509</v>
      </c>
      <c r="D1936" s="65">
        <v>30</v>
      </c>
      <c r="E1936" s="65"/>
      <c r="F1936" s="43" t="e">
        <f t="shared" si="30"/>
        <v>#N/A</v>
      </c>
      <c r="G1936" s="65"/>
    </row>
    <row r="1937" spans="1:7" ht="56.25" x14ac:dyDescent="0.3">
      <c r="A1937" s="45">
        <v>42828</v>
      </c>
      <c r="B1937" s="5" t="s">
        <v>58</v>
      </c>
      <c r="C1937" s="92" t="s">
        <v>1548</v>
      </c>
      <c r="D1937" s="65">
        <v>4000</v>
      </c>
      <c r="E1937" s="65"/>
      <c r="F1937" s="43" t="e">
        <f t="shared" si="30"/>
        <v>#N/A</v>
      </c>
      <c r="G1937" s="65"/>
    </row>
    <row r="1938" spans="1:7" x14ac:dyDescent="0.3">
      <c r="A1938" s="45">
        <v>42828</v>
      </c>
      <c r="B1938" s="5" t="s">
        <v>120</v>
      </c>
      <c r="C1938" s="92" t="s">
        <v>31</v>
      </c>
      <c r="D1938" s="65">
        <v>1000</v>
      </c>
      <c r="E1938" s="65"/>
      <c r="F1938" s="43" t="e">
        <f t="shared" si="30"/>
        <v>#N/A</v>
      </c>
      <c r="G1938" s="65"/>
    </row>
    <row r="1939" spans="1:7" x14ac:dyDescent="0.3">
      <c r="A1939" s="45">
        <v>42828</v>
      </c>
      <c r="B1939" s="5" t="s">
        <v>25</v>
      </c>
      <c r="C1939" s="92" t="s">
        <v>1515</v>
      </c>
      <c r="D1939" s="65">
        <v>70</v>
      </c>
      <c r="E1939" s="65"/>
      <c r="F1939" s="43" t="e">
        <f t="shared" si="30"/>
        <v>#N/A</v>
      </c>
      <c r="G1939" s="65"/>
    </row>
    <row r="1940" spans="1:7" x14ac:dyDescent="0.3">
      <c r="A1940" s="45">
        <v>42828</v>
      </c>
      <c r="B1940" s="5" t="s">
        <v>120</v>
      </c>
      <c r="C1940" s="92" t="s">
        <v>1510</v>
      </c>
      <c r="D1940" s="65">
        <v>5300</v>
      </c>
      <c r="E1940" s="65"/>
      <c r="F1940" s="43" t="e">
        <f t="shared" si="30"/>
        <v>#N/A</v>
      </c>
      <c r="G1940" s="65"/>
    </row>
    <row r="1941" spans="1:7" x14ac:dyDescent="0.3">
      <c r="A1941" s="45">
        <v>42828</v>
      </c>
      <c r="B1941" s="5" t="s">
        <v>18</v>
      </c>
      <c r="C1941" s="92" t="s">
        <v>31</v>
      </c>
      <c r="D1941" s="65">
        <v>2000</v>
      </c>
      <c r="E1941" s="65"/>
      <c r="F1941" s="43" t="e">
        <f t="shared" si="30"/>
        <v>#N/A</v>
      </c>
      <c r="G1941" s="65"/>
    </row>
    <row r="1942" spans="1:7" x14ac:dyDescent="0.3">
      <c r="A1942" s="45">
        <v>42828</v>
      </c>
      <c r="B1942" s="5" t="s">
        <v>104</v>
      </c>
      <c r="C1942" s="92" t="s">
        <v>1520</v>
      </c>
      <c r="D1942" s="65">
        <v>5500</v>
      </c>
      <c r="E1942" s="65"/>
      <c r="F1942" s="43" t="e">
        <f t="shared" si="30"/>
        <v>#N/A</v>
      </c>
      <c r="G1942" s="65"/>
    </row>
    <row r="1943" spans="1:7" x14ac:dyDescent="0.3">
      <c r="A1943" s="45">
        <v>42829</v>
      </c>
      <c r="B1943" s="5" t="s">
        <v>1512</v>
      </c>
      <c r="C1943" s="92" t="s">
        <v>1513</v>
      </c>
      <c r="D1943" s="65">
        <v>3000</v>
      </c>
      <c r="E1943" s="65"/>
      <c r="F1943" s="43" t="e">
        <f t="shared" si="30"/>
        <v>#N/A</v>
      </c>
      <c r="G1943" s="65"/>
    </row>
    <row r="1944" spans="1:7" x14ac:dyDescent="0.3">
      <c r="A1944" s="45">
        <v>42829</v>
      </c>
      <c r="B1944" s="761" t="s">
        <v>1516</v>
      </c>
      <c r="C1944" s="762"/>
      <c r="D1944" s="71"/>
      <c r="E1944" s="72">
        <v>70000</v>
      </c>
      <c r="F1944" s="43" t="e">
        <f t="shared" si="30"/>
        <v>#N/A</v>
      </c>
      <c r="G1944" s="65"/>
    </row>
    <row r="1945" spans="1:7" x14ac:dyDescent="0.3">
      <c r="A1945" s="45">
        <v>42829</v>
      </c>
      <c r="B1945" s="5" t="s">
        <v>164</v>
      </c>
      <c r="C1945" s="92" t="s">
        <v>1517</v>
      </c>
      <c r="D1945" s="65">
        <v>5000</v>
      </c>
      <c r="E1945" s="65"/>
      <c r="F1945" s="43" t="e">
        <f t="shared" si="30"/>
        <v>#N/A</v>
      </c>
      <c r="G1945" s="65"/>
    </row>
    <row r="1946" spans="1:7" x14ac:dyDescent="0.3">
      <c r="A1946" s="45">
        <v>42829</v>
      </c>
      <c r="B1946" s="5" t="s">
        <v>1128</v>
      </c>
      <c r="C1946" s="92" t="s">
        <v>1518</v>
      </c>
      <c r="D1946" s="65">
        <v>10000</v>
      </c>
      <c r="E1946" s="65"/>
      <c r="F1946" s="43" t="e">
        <f t="shared" si="30"/>
        <v>#N/A</v>
      </c>
      <c r="G1946" s="65"/>
    </row>
    <row r="1947" spans="1:7" x14ac:dyDescent="0.3">
      <c r="A1947" s="45">
        <v>42829</v>
      </c>
      <c r="B1947" s="5" t="s">
        <v>1128</v>
      </c>
      <c r="C1947" s="92" t="s">
        <v>1519</v>
      </c>
      <c r="D1947" s="65">
        <v>10000</v>
      </c>
      <c r="E1947" s="65"/>
      <c r="F1947" s="43" t="e">
        <f t="shared" si="30"/>
        <v>#N/A</v>
      </c>
      <c r="G1947" s="65"/>
    </row>
    <row r="1948" spans="1:7" x14ac:dyDescent="0.3">
      <c r="A1948" s="45">
        <v>42829</v>
      </c>
      <c r="B1948" s="5" t="s">
        <v>164</v>
      </c>
      <c r="C1948" s="92" t="s">
        <v>31</v>
      </c>
      <c r="D1948" s="65">
        <v>10000</v>
      </c>
      <c r="E1948" s="65"/>
      <c r="F1948" s="43" t="e">
        <f t="shared" si="30"/>
        <v>#N/A</v>
      </c>
      <c r="G1948" s="65"/>
    </row>
    <row r="1949" spans="1:7" x14ac:dyDescent="0.3">
      <c r="A1949" s="45">
        <v>42829</v>
      </c>
      <c r="B1949" s="5" t="s">
        <v>16</v>
      </c>
      <c r="C1949" s="92" t="s">
        <v>1525</v>
      </c>
      <c r="D1949" s="65">
        <v>25000</v>
      </c>
      <c r="E1949" s="65"/>
      <c r="F1949" s="43" t="e">
        <f t="shared" si="30"/>
        <v>#N/A</v>
      </c>
      <c r="G1949" s="65"/>
    </row>
    <row r="1950" spans="1:7" ht="37.5" x14ac:dyDescent="0.3">
      <c r="A1950" s="45">
        <v>42829</v>
      </c>
      <c r="B1950" s="5" t="s">
        <v>58</v>
      </c>
      <c r="C1950" s="92" t="s">
        <v>1549</v>
      </c>
      <c r="D1950" s="65">
        <v>100</v>
      </c>
      <c r="E1950" s="65"/>
      <c r="F1950" s="43" t="e">
        <f t="shared" si="30"/>
        <v>#N/A</v>
      </c>
      <c r="G1950" s="65"/>
    </row>
    <row r="1951" spans="1:7" ht="37.5" x14ac:dyDescent="0.3">
      <c r="A1951" s="45">
        <v>42829</v>
      </c>
      <c r="B1951" s="5" t="s">
        <v>58</v>
      </c>
      <c r="C1951" s="101" t="s">
        <v>1550</v>
      </c>
      <c r="D1951" s="65">
        <v>100</v>
      </c>
      <c r="E1951" s="65"/>
      <c r="F1951" s="43" t="e">
        <f t="shared" si="30"/>
        <v>#N/A</v>
      </c>
      <c r="G1951" s="65"/>
    </row>
    <row r="1952" spans="1:7" ht="56.25" x14ac:dyDescent="0.3">
      <c r="A1952" s="45">
        <v>42829</v>
      </c>
      <c r="B1952" s="5" t="s">
        <v>58</v>
      </c>
      <c r="C1952" s="101" t="s">
        <v>1551</v>
      </c>
      <c r="D1952" s="65">
        <v>250</v>
      </c>
      <c r="E1952" s="65"/>
      <c r="F1952" s="43" t="e">
        <f t="shared" si="30"/>
        <v>#N/A</v>
      </c>
      <c r="G1952" s="65"/>
    </row>
    <row r="1953" spans="1:7" x14ac:dyDescent="0.3">
      <c r="A1953" s="45">
        <v>42829</v>
      </c>
      <c r="B1953" s="761" t="s">
        <v>1521</v>
      </c>
      <c r="C1953" s="762"/>
      <c r="D1953" s="71"/>
      <c r="E1953" s="72">
        <v>3000</v>
      </c>
      <c r="F1953" s="43" t="e">
        <f t="shared" si="30"/>
        <v>#N/A</v>
      </c>
      <c r="G1953" s="65"/>
    </row>
    <row r="1954" spans="1:7" x14ac:dyDescent="0.3">
      <c r="A1954" s="45">
        <v>42830</v>
      </c>
      <c r="B1954" s="5" t="s">
        <v>108</v>
      </c>
      <c r="C1954" s="92" t="s">
        <v>1506</v>
      </c>
      <c r="D1954" s="65">
        <v>300</v>
      </c>
      <c r="E1954" s="65"/>
      <c r="F1954" s="43" t="e">
        <f t="shared" si="30"/>
        <v>#N/A</v>
      </c>
      <c r="G1954" s="65"/>
    </row>
    <row r="1955" spans="1:7" x14ac:dyDescent="0.3">
      <c r="A1955" s="45">
        <v>42830</v>
      </c>
      <c r="B1955" s="5" t="s">
        <v>25</v>
      </c>
      <c r="C1955" s="92" t="s">
        <v>1522</v>
      </c>
      <c r="D1955" s="65">
        <v>150</v>
      </c>
      <c r="E1955" s="65"/>
      <c r="F1955" s="43" t="e">
        <f t="shared" si="30"/>
        <v>#N/A</v>
      </c>
      <c r="G1955" s="65"/>
    </row>
    <row r="1956" spans="1:7" x14ac:dyDescent="0.3">
      <c r="A1956" s="45">
        <v>42830</v>
      </c>
      <c r="B1956" s="5" t="s">
        <v>25</v>
      </c>
      <c r="C1956" s="92" t="s">
        <v>1526</v>
      </c>
      <c r="D1956" s="65">
        <v>70</v>
      </c>
      <c r="E1956" s="65"/>
      <c r="F1956" s="43" t="e">
        <f t="shared" si="30"/>
        <v>#N/A</v>
      </c>
      <c r="G1956" s="65"/>
    </row>
    <row r="1957" spans="1:7" x14ac:dyDescent="0.3">
      <c r="A1957" s="45">
        <v>42830</v>
      </c>
      <c r="B1957" s="5" t="s">
        <v>116</v>
      </c>
      <c r="C1957" s="92" t="s">
        <v>1523</v>
      </c>
      <c r="D1957" s="65">
        <v>150</v>
      </c>
      <c r="E1957" s="65"/>
      <c r="F1957" s="43" t="e">
        <f t="shared" si="30"/>
        <v>#N/A</v>
      </c>
      <c r="G1957" s="65"/>
    </row>
    <row r="1958" spans="1:7" ht="37.5" x14ac:dyDescent="0.3">
      <c r="A1958" s="45">
        <v>42830</v>
      </c>
      <c r="B1958" s="5" t="s">
        <v>1122</v>
      </c>
      <c r="C1958" s="92" t="s">
        <v>1561</v>
      </c>
      <c r="D1958" s="43">
        <v>1000</v>
      </c>
      <c r="E1958" s="43"/>
      <c r="F1958" s="43" t="e">
        <f t="shared" si="30"/>
        <v>#N/A</v>
      </c>
      <c r="G1958" s="43"/>
    </row>
    <row r="1959" spans="1:7" x14ac:dyDescent="0.3">
      <c r="A1959" s="45">
        <v>42830</v>
      </c>
      <c r="B1959" s="5" t="s">
        <v>120</v>
      </c>
      <c r="C1959" s="92" t="s">
        <v>294</v>
      </c>
      <c r="D1959" s="43">
        <v>1000</v>
      </c>
      <c r="E1959" s="43"/>
      <c r="F1959" s="43" t="e">
        <f t="shared" si="30"/>
        <v>#N/A</v>
      </c>
      <c r="G1959" s="43"/>
    </row>
    <row r="1960" spans="1:7" x14ac:dyDescent="0.3">
      <c r="A1960" s="45">
        <v>42830</v>
      </c>
      <c r="B1960" s="5" t="s">
        <v>27</v>
      </c>
      <c r="C1960" s="92" t="s">
        <v>489</v>
      </c>
      <c r="D1960" s="43">
        <v>1500</v>
      </c>
      <c r="E1960" s="43"/>
      <c r="F1960" s="43" t="e">
        <f t="shared" si="30"/>
        <v>#N/A</v>
      </c>
      <c r="G1960" s="43"/>
    </row>
    <row r="1961" spans="1:7" x14ac:dyDescent="0.3">
      <c r="A1961" s="45">
        <v>42830</v>
      </c>
      <c r="B1961" s="5" t="s">
        <v>1528</v>
      </c>
      <c r="C1961" s="92" t="s">
        <v>1529</v>
      </c>
      <c r="D1961" s="43">
        <v>1700</v>
      </c>
      <c r="E1961" s="43"/>
      <c r="F1961" s="43" t="e">
        <f t="shared" si="30"/>
        <v>#N/A</v>
      </c>
      <c r="G1961" s="43"/>
    </row>
    <row r="1962" spans="1:7" x14ac:dyDescent="0.3">
      <c r="A1962" s="45"/>
      <c r="B1962" s="761" t="s">
        <v>1534</v>
      </c>
      <c r="C1962" s="762"/>
      <c r="D1962" s="71"/>
      <c r="E1962" s="72">
        <v>1810</v>
      </c>
      <c r="F1962" s="43" t="e">
        <f t="shared" si="30"/>
        <v>#N/A</v>
      </c>
      <c r="G1962" s="43"/>
    </row>
    <row r="1963" spans="1:7" x14ac:dyDescent="0.3">
      <c r="A1963" s="45">
        <v>42831</v>
      </c>
      <c r="B1963" s="5" t="s">
        <v>4</v>
      </c>
      <c r="C1963" s="92" t="s">
        <v>1530</v>
      </c>
      <c r="D1963" s="43">
        <v>2000</v>
      </c>
      <c r="E1963" s="43"/>
      <c r="F1963" s="43" t="e">
        <f t="shared" si="30"/>
        <v>#N/A</v>
      </c>
      <c r="G1963" s="43"/>
    </row>
    <row r="1964" spans="1:7" x14ac:dyDescent="0.3">
      <c r="A1964" s="45">
        <v>42831</v>
      </c>
      <c r="B1964" s="5" t="s">
        <v>1410</v>
      </c>
      <c r="C1964" s="92" t="s">
        <v>1508</v>
      </c>
      <c r="D1964" s="43">
        <v>2000</v>
      </c>
      <c r="E1964" s="43"/>
      <c r="F1964" s="43" t="e">
        <f t="shared" si="30"/>
        <v>#N/A</v>
      </c>
      <c r="G1964" s="43"/>
    </row>
    <row r="1965" spans="1:7" x14ac:dyDescent="0.3">
      <c r="A1965" s="45">
        <v>42831</v>
      </c>
      <c r="B1965" s="761" t="s">
        <v>1484</v>
      </c>
      <c r="C1965" s="762"/>
      <c r="D1965" s="71"/>
      <c r="E1965" s="72">
        <v>50000</v>
      </c>
      <c r="F1965" s="43" t="e">
        <f t="shared" si="30"/>
        <v>#N/A</v>
      </c>
      <c r="G1965" s="43"/>
    </row>
    <row r="1966" spans="1:7" x14ac:dyDescent="0.3">
      <c r="A1966" s="45">
        <v>42831</v>
      </c>
      <c r="B1966" s="5" t="s">
        <v>27</v>
      </c>
      <c r="C1966" s="92" t="s">
        <v>1531</v>
      </c>
      <c r="D1966" s="43">
        <v>35000</v>
      </c>
      <c r="E1966" s="43"/>
      <c r="F1966" s="43" t="e">
        <f t="shared" si="30"/>
        <v>#N/A</v>
      </c>
      <c r="G1966" s="43"/>
    </row>
    <row r="1967" spans="1:7" x14ac:dyDescent="0.3">
      <c r="A1967" s="45">
        <v>42831</v>
      </c>
      <c r="B1967" s="5" t="s">
        <v>116</v>
      </c>
      <c r="C1967" s="92" t="s">
        <v>31</v>
      </c>
      <c r="D1967" s="43">
        <v>2000</v>
      </c>
      <c r="E1967" s="43"/>
      <c r="F1967" s="43" t="e">
        <f t="shared" si="30"/>
        <v>#N/A</v>
      </c>
      <c r="G1967" s="43"/>
    </row>
    <row r="1968" spans="1:7" x14ac:dyDescent="0.3">
      <c r="A1968" s="45">
        <v>42831</v>
      </c>
      <c r="B1968" s="5" t="s">
        <v>247</v>
      </c>
      <c r="C1968" s="92" t="s">
        <v>1535</v>
      </c>
      <c r="D1968" s="43">
        <v>1265</v>
      </c>
      <c r="E1968" s="43"/>
      <c r="F1968" s="43" t="e">
        <f t="shared" si="30"/>
        <v>#N/A</v>
      </c>
      <c r="G1968" s="43"/>
    </row>
    <row r="1969" spans="1:7" x14ac:dyDescent="0.3">
      <c r="A1969" s="45">
        <v>42831</v>
      </c>
      <c r="B1969" s="5" t="s">
        <v>1512</v>
      </c>
      <c r="C1969" s="92" t="s">
        <v>1532</v>
      </c>
      <c r="D1969" s="43">
        <v>1000</v>
      </c>
      <c r="E1969" s="43"/>
      <c r="F1969" s="43" t="e">
        <f t="shared" si="30"/>
        <v>#N/A</v>
      </c>
      <c r="G1969" s="43"/>
    </row>
    <row r="1970" spans="1:7" x14ac:dyDescent="0.3">
      <c r="A1970" s="45">
        <v>42831</v>
      </c>
      <c r="B1970" s="5" t="s">
        <v>84</v>
      </c>
      <c r="C1970" s="92" t="s">
        <v>1533</v>
      </c>
      <c r="D1970" s="43">
        <v>3000</v>
      </c>
      <c r="E1970" s="43"/>
      <c r="F1970" s="43" t="e">
        <f t="shared" si="30"/>
        <v>#N/A</v>
      </c>
      <c r="G1970" s="43"/>
    </row>
    <row r="1971" spans="1:7" ht="37.5" x14ac:dyDescent="0.3">
      <c r="A1971" s="45">
        <v>42831</v>
      </c>
      <c r="B1971" s="5" t="s">
        <v>25</v>
      </c>
      <c r="C1971" s="92" t="s">
        <v>1538</v>
      </c>
      <c r="D1971" s="43">
        <v>250</v>
      </c>
      <c r="E1971" s="43"/>
      <c r="F1971" s="43" t="e">
        <f t="shared" si="30"/>
        <v>#N/A</v>
      </c>
      <c r="G1971" s="43"/>
    </row>
    <row r="1972" spans="1:7" ht="37.5" x14ac:dyDescent="0.3">
      <c r="A1972" s="45">
        <v>42831</v>
      </c>
      <c r="B1972" s="5" t="s">
        <v>25</v>
      </c>
      <c r="C1972" s="92" t="s">
        <v>1558</v>
      </c>
      <c r="D1972" s="65">
        <v>400</v>
      </c>
      <c r="E1972" s="43"/>
      <c r="F1972" s="43" t="e">
        <f t="shared" si="30"/>
        <v>#N/A</v>
      </c>
      <c r="G1972" s="43"/>
    </row>
    <row r="1973" spans="1:7" x14ac:dyDescent="0.3">
      <c r="A1973" s="45">
        <v>42831</v>
      </c>
      <c r="B1973" s="5" t="s">
        <v>120</v>
      </c>
      <c r="C1973" s="92" t="s">
        <v>31</v>
      </c>
      <c r="D1973" s="43">
        <v>6000</v>
      </c>
      <c r="E1973" s="43"/>
      <c r="F1973" s="43" t="e">
        <f t="shared" si="30"/>
        <v>#N/A</v>
      </c>
      <c r="G1973" s="43"/>
    </row>
    <row r="1974" spans="1:7" x14ac:dyDescent="0.3">
      <c r="A1974" s="45">
        <v>42832</v>
      </c>
      <c r="B1974" s="761" t="s">
        <v>1536</v>
      </c>
      <c r="C1974" s="762"/>
      <c r="D1974" s="71"/>
      <c r="E1974" s="72">
        <v>62500</v>
      </c>
      <c r="F1974" s="43" t="e">
        <f t="shared" si="30"/>
        <v>#N/A</v>
      </c>
      <c r="G1974" s="43"/>
    </row>
    <row r="1975" spans="1:7" x14ac:dyDescent="0.3">
      <c r="A1975" s="45">
        <v>42832</v>
      </c>
      <c r="B1975" s="107" t="s">
        <v>116</v>
      </c>
      <c r="C1975" s="108" t="s">
        <v>798</v>
      </c>
      <c r="D1975" s="109">
        <v>5000</v>
      </c>
      <c r="E1975" s="43"/>
      <c r="F1975" s="43" t="e">
        <f t="shared" si="30"/>
        <v>#N/A</v>
      </c>
      <c r="G1975" s="43"/>
    </row>
    <row r="1976" spans="1:7" x14ac:dyDescent="0.3">
      <c r="A1976" s="45">
        <v>42832</v>
      </c>
      <c r="B1976" s="5" t="s">
        <v>541</v>
      </c>
      <c r="C1976" s="92" t="s">
        <v>1537</v>
      </c>
      <c r="D1976" s="43">
        <v>10000</v>
      </c>
      <c r="E1976" s="43"/>
      <c r="F1976" s="43" t="e">
        <f t="shared" si="30"/>
        <v>#N/A</v>
      </c>
      <c r="G1976" s="43"/>
    </row>
    <row r="1977" spans="1:7" x14ac:dyDescent="0.3">
      <c r="A1977" s="45">
        <v>42832</v>
      </c>
      <c r="B1977" s="5" t="s">
        <v>1193</v>
      </c>
      <c r="C1977" s="92" t="s">
        <v>1232</v>
      </c>
      <c r="D1977" s="43">
        <v>2400</v>
      </c>
      <c r="E1977" s="43"/>
      <c r="F1977" s="43" t="e">
        <f t="shared" si="30"/>
        <v>#N/A</v>
      </c>
      <c r="G1977" s="43"/>
    </row>
    <row r="1978" spans="1:7" ht="37.5" x14ac:dyDescent="0.3">
      <c r="A1978" s="45">
        <v>42832</v>
      </c>
      <c r="B1978" s="5" t="s">
        <v>1193</v>
      </c>
      <c r="C1978" s="92" t="s">
        <v>1540</v>
      </c>
      <c r="D1978" s="43">
        <v>1000</v>
      </c>
      <c r="E1978" s="43"/>
      <c r="F1978" s="43" t="e">
        <f t="shared" si="30"/>
        <v>#N/A</v>
      </c>
      <c r="G1978" s="43"/>
    </row>
    <row r="1979" spans="1:7" x14ac:dyDescent="0.3">
      <c r="A1979" s="45">
        <v>42832</v>
      </c>
      <c r="B1979" s="5" t="s">
        <v>58</v>
      </c>
      <c r="C1979" s="92" t="s">
        <v>1554</v>
      </c>
      <c r="D1979" s="43">
        <v>900</v>
      </c>
      <c r="E1979" s="43"/>
      <c r="F1979" s="43" t="e">
        <f t="shared" si="30"/>
        <v>#N/A</v>
      </c>
      <c r="G1979" s="43"/>
    </row>
    <row r="1980" spans="1:7" x14ac:dyDescent="0.3">
      <c r="A1980" s="45">
        <v>42832</v>
      </c>
      <c r="B1980" s="5" t="s">
        <v>58</v>
      </c>
      <c r="C1980" s="92" t="s">
        <v>1552</v>
      </c>
      <c r="D1980" s="43">
        <v>4930</v>
      </c>
      <c r="E1980" s="43"/>
      <c r="F1980" s="43" t="e">
        <f t="shared" si="30"/>
        <v>#N/A</v>
      </c>
      <c r="G1980" s="43"/>
    </row>
    <row r="1981" spans="1:7" x14ac:dyDescent="0.3">
      <c r="A1981" s="45">
        <v>42832</v>
      </c>
      <c r="B1981" s="5" t="s">
        <v>58</v>
      </c>
      <c r="C1981" s="92" t="s">
        <v>1553</v>
      </c>
      <c r="D1981" s="43">
        <v>1320</v>
      </c>
      <c r="E1981" s="43"/>
      <c r="F1981" s="43" t="e">
        <f t="shared" si="30"/>
        <v>#N/A</v>
      </c>
      <c r="G1981" s="43"/>
    </row>
    <row r="1982" spans="1:7" x14ac:dyDescent="0.3">
      <c r="A1982" s="45">
        <v>42832</v>
      </c>
      <c r="B1982" s="5" t="s">
        <v>1328</v>
      </c>
      <c r="C1982" s="92" t="s">
        <v>1530</v>
      </c>
      <c r="D1982" s="43">
        <v>3600</v>
      </c>
      <c r="E1982" s="43"/>
      <c r="F1982" s="43" t="e">
        <f t="shared" si="30"/>
        <v>#N/A</v>
      </c>
      <c r="G1982" s="43"/>
    </row>
    <row r="1983" spans="1:7" x14ac:dyDescent="0.3">
      <c r="A1983" s="45">
        <v>42832</v>
      </c>
      <c r="B1983" s="5" t="s">
        <v>25</v>
      </c>
      <c r="C1983" s="92" t="s">
        <v>1555</v>
      </c>
      <c r="D1983" s="43">
        <v>5000</v>
      </c>
      <c r="E1983" s="43"/>
      <c r="F1983" s="43" t="e">
        <f t="shared" si="30"/>
        <v>#N/A</v>
      </c>
      <c r="G1983" s="43"/>
    </row>
    <row r="1984" spans="1:7" ht="37.5" x14ac:dyDescent="0.3">
      <c r="A1984" s="45">
        <v>42832</v>
      </c>
      <c r="B1984" s="5" t="s">
        <v>25</v>
      </c>
      <c r="C1984" s="92" t="s">
        <v>1559</v>
      </c>
      <c r="D1984" s="43">
        <v>85</v>
      </c>
      <c r="E1984" s="43"/>
      <c r="F1984" s="43" t="e">
        <f t="shared" si="30"/>
        <v>#N/A</v>
      </c>
      <c r="G1984" s="43"/>
    </row>
    <row r="1985" spans="1:7" x14ac:dyDescent="0.3">
      <c r="A1985" s="45">
        <v>42832</v>
      </c>
      <c r="B1985" s="5" t="s">
        <v>1281</v>
      </c>
      <c r="C1985" s="92" t="s">
        <v>1539</v>
      </c>
      <c r="D1985" s="43">
        <v>2400</v>
      </c>
      <c r="E1985" s="43"/>
      <c r="F1985" s="43" t="e">
        <f t="shared" si="30"/>
        <v>#N/A</v>
      </c>
      <c r="G1985" s="43"/>
    </row>
    <row r="1986" spans="1:7" x14ac:dyDescent="0.3">
      <c r="A1986" s="45">
        <v>42832</v>
      </c>
      <c r="B1986" s="5" t="s">
        <v>108</v>
      </c>
      <c r="C1986" s="92" t="s">
        <v>1612</v>
      </c>
      <c r="D1986" s="65">
        <v>600</v>
      </c>
      <c r="E1986" s="43"/>
      <c r="F1986" s="43" t="e">
        <f t="shared" si="30"/>
        <v>#N/A</v>
      </c>
      <c r="G1986" s="43"/>
    </row>
    <row r="1987" spans="1:7" ht="37.5" x14ac:dyDescent="0.3">
      <c r="A1987" s="45">
        <v>42833</v>
      </c>
      <c r="B1987" s="5" t="s">
        <v>1541</v>
      </c>
      <c r="C1987" s="92" t="s">
        <v>1542</v>
      </c>
      <c r="D1987" s="43">
        <v>1640</v>
      </c>
      <c r="E1987" s="43"/>
      <c r="F1987" s="43" t="e">
        <f t="shared" ref="F1987:F2050" si="31">F1986-D1987+E1987</f>
        <v>#N/A</v>
      </c>
      <c r="G1987" s="43"/>
    </row>
    <row r="1988" spans="1:7" ht="37.5" x14ac:dyDescent="0.3">
      <c r="A1988" s="45">
        <v>42833</v>
      </c>
      <c r="B1988" s="5" t="s">
        <v>1541</v>
      </c>
      <c r="C1988" s="92" t="s">
        <v>1563</v>
      </c>
      <c r="D1988" s="43">
        <v>500</v>
      </c>
      <c r="E1988" s="43"/>
      <c r="F1988" s="43" t="e">
        <f t="shared" si="31"/>
        <v>#N/A</v>
      </c>
      <c r="G1988" s="43"/>
    </row>
    <row r="1989" spans="1:7" ht="37.5" x14ac:dyDescent="0.3">
      <c r="A1989" s="45">
        <v>42833</v>
      </c>
      <c r="B1989" s="5" t="s">
        <v>25</v>
      </c>
      <c r="C1989" s="92" t="s">
        <v>1560</v>
      </c>
      <c r="D1989" s="43">
        <v>550</v>
      </c>
      <c r="E1989" s="43"/>
      <c r="F1989" s="43" t="e">
        <f t="shared" si="31"/>
        <v>#N/A</v>
      </c>
      <c r="G1989" s="43"/>
    </row>
    <row r="1990" spans="1:7" x14ac:dyDescent="0.3">
      <c r="A1990" s="45">
        <v>42833</v>
      </c>
      <c r="B1990" s="5" t="s">
        <v>25</v>
      </c>
      <c r="C1990" s="92" t="s">
        <v>1557</v>
      </c>
      <c r="D1990" s="43">
        <v>140</v>
      </c>
      <c r="E1990" s="43"/>
      <c r="F1990" s="43" t="e">
        <f t="shared" si="31"/>
        <v>#N/A</v>
      </c>
      <c r="G1990" s="43"/>
    </row>
    <row r="1991" spans="1:7" x14ac:dyDescent="0.3">
      <c r="A1991" s="45">
        <v>42833</v>
      </c>
      <c r="B1991" s="5" t="s">
        <v>54</v>
      </c>
      <c r="C1991" s="92" t="s">
        <v>1543</v>
      </c>
      <c r="D1991" s="43">
        <v>7770</v>
      </c>
      <c r="E1991" s="43"/>
      <c r="F1991" s="43" t="e">
        <f t="shared" si="31"/>
        <v>#N/A</v>
      </c>
      <c r="G1991" s="43"/>
    </row>
    <row r="1992" spans="1:7" x14ac:dyDescent="0.3">
      <c r="A1992" s="45">
        <v>42833</v>
      </c>
      <c r="B1992" s="5" t="s">
        <v>54</v>
      </c>
      <c r="C1992" s="92" t="s">
        <v>1544</v>
      </c>
      <c r="D1992" s="43">
        <v>4200</v>
      </c>
      <c r="E1992" s="43"/>
      <c r="F1992" s="43" t="e">
        <f t="shared" si="31"/>
        <v>#N/A</v>
      </c>
      <c r="G1992" s="43"/>
    </row>
    <row r="1993" spans="1:7" ht="37.5" x14ac:dyDescent="0.3">
      <c r="A1993" s="45">
        <v>42833</v>
      </c>
      <c r="B1993" s="5" t="s">
        <v>25</v>
      </c>
      <c r="C1993" s="92" t="s">
        <v>1545</v>
      </c>
      <c r="D1993" s="43">
        <v>1500</v>
      </c>
      <c r="E1993" s="43"/>
      <c r="F1993" s="43" t="e">
        <f t="shared" si="31"/>
        <v>#N/A</v>
      </c>
      <c r="G1993" s="43"/>
    </row>
    <row r="1994" spans="1:7" x14ac:dyDescent="0.3">
      <c r="A1994" s="45">
        <v>42833</v>
      </c>
      <c r="B1994" s="5" t="s">
        <v>164</v>
      </c>
      <c r="C1994" s="92" t="s">
        <v>31</v>
      </c>
      <c r="D1994" s="43">
        <v>5000</v>
      </c>
      <c r="E1994" s="43"/>
      <c r="F1994" s="43" t="e">
        <f t="shared" si="31"/>
        <v>#N/A</v>
      </c>
      <c r="G1994" s="43"/>
    </row>
    <row r="1995" spans="1:7" ht="37.5" x14ac:dyDescent="0.3">
      <c r="A1995" s="45">
        <v>42833</v>
      </c>
      <c r="B1995" s="5" t="s">
        <v>58</v>
      </c>
      <c r="C1995" s="92" t="s">
        <v>1564</v>
      </c>
      <c r="D1995" s="65">
        <v>100</v>
      </c>
      <c r="E1995" s="43"/>
      <c r="F1995" s="43" t="e">
        <f t="shared" si="31"/>
        <v>#N/A</v>
      </c>
      <c r="G1995" s="43"/>
    </row>
    <row r="1996" spans="1:7" x14ac:dyDescent="0.3">
      <c r="A1996" s="45">
        <v>42833</v>
      </c>
      <c r="B1996" s="5" t="s">
        <v>58</v>
      </c>
      <c r="C1996" s="92" t="s">
        <v>1546</v>
      </c>
      <c r="D1996" s="43">
        <v>100</v>
      </c>
      <c r="E1996" s="43"/>
      <c r="F1996" s="43" t="e">
        <f t="shared" si="31"/>
        <v>#N/A</v>
      </c>
      <c r="G1996" s="43"/>
    </row>
    <row r="1997" spans="1:7" ht="37.5" x14ac:dyDescent="0.3">
      <c r="A1997" s="45">
        <v>42833</v>
      </c>
      <c r="B1997" s="5" t="s">
        <v>116</v>
      </c>
      <c r="C1997" s="92" t="s">
        <v>1638</v>
      </c>
      <c r="D1997" s="65">
        <v>2000</v>
      </c>
      <c r="E1997" s="65"/>
      <c r="F1997" s="43" t="e">
        <f t="shared" si="31"/>
        <v>#N/A</v>
      </c>
      <c r="G1997" s="43"/>
    </row>
    <row r="1998" spans="1:7" x14ac:dyDescent="0.3">
      <c r="A1998" s="45">
        <v>42833</v>
      </c>
      <c r="B1998" s="5" t="s">
        <v>116</v>
      </c>
      <c r="C1998" s="92" t="s">
        <v>77</v>
      </c>
      <c r="D1998" s="43">
        <v>5000</v>
      </c>
      <c r="E1998" s="43"/>
      <c r="F1998" s="43" t="e">
        <f t="shared" si="31"/>
        <v>#N/A</v>
      </c>
      <c r="G1998" s="43"/>
    </row>
    <row r="1999" spans="1:7" x14ac:dyDescent="0.3">
      <c r="A1999" s="45">
        <v>42835</v>
      </c>
      <c r="B1999" s="5" t="s">
        <v>60</v>
      </c>
      <c r="C1999" s="92" t="s">
        <v>1556</v>
      </c>
      <c r="D1999" s="43">
        <v>1230</v>
      </c>
      <c r="E1999" s="43"/>
      <c r="F1999" s="43" t="e">
        <f t="shared" si="31"/>
        <v>#N/A</v>
      </c>
      <c r="G1999" s="43"/>
    </row>
    <row r="2000" spans="1:7" ht="37.5" x14ac:dyDescent="0.3">
      <c r="A2000" s="45">
        <v>42835</v>
      </c>
      <c r="B2000" s="5" t="s">
        <v>25</v>
      </c>
      <c r="C2000" s="92" t="s">
        <v>1568</v>
      </c>
      <c r="D2000" s="43">
        <v>250</v>
      </c>
      <c r="E2000" s="43"/>
      <c r="F2000" s="43" t="e">
        <f t="shared" si="31"/>
        <v>#N/A</v>
      </c>
      <c r="G2000" s="43"/>
    </row>
    <row r="2001" spans="1:7" x14ac:dyDescent="0.3">
      <c r="A2001" s="45">
        <v>42835</v>
      </c>
      <c r="B2001" s="5" t="s">
        <v>25</v>
      </c>
      <c r="C2001" s="92" t="s">
        <v>1569</v>
      </c>
      <c r="D2001" s="43">
        <f>185+50</f>
        <v>235</v>
      </c>
      <c r="E2001" s="43"/>
      <c r="F2001" s="43" t="e">
        <f t="shared" si="31"/>
        <v>#N/A</v>
      </c>
      <c r="G2001" s="43"/>
    </row>
    <row r="2002" spans="1:7" x14ac:dyDescent="0.3">
      <c r="A2002" s="45">
        <v>42835</v>
      </c>
      <c r="B2002" s="5" t="s">
        <v>4</v>
      </c>
      <c r="C2002" s="92" t="s">
        <v>1562</v>
      </c>
      <c r="D2002" s="43">
        <v>2000</v>
      </c>
      <c r="E2002" s="43"/>
      <c r="F2002" s="43" t="e">
        <f t="shared" si="31"/>
        <v>#N/A</v>
      </c>
      <c r="G2002" s="43"/>
    </row>
    <row r="2003" spans="1:7" x14ac:dyDescent="0.3">
      <c r="A2003" s="45">
        <v>42835</v>
      </c>
      <c r="B2003" s="5" t="s">
        <v>25</v>
      </c>
      <c r="C2003" s="92" t="s">
        <v>1570</v>
      </c>
      <c r="D2003" s="43">
        <v>80</v>
      </c>
      <c r="E2003" s="43"/>
      <c r="F2003" s="43" t="e">
        <f t="shared" si="31"/>
        <v>#N/A</v>
      </c>
      <c r="G2003" s="43"/>
    </row>
    <row r="2004" spans="1:7" x14ac:dyDescent="0.3">
      <c r="A2004" s="45">
        <v>42836</v>
      </c>
      <c r="B2004" s="5" t="s">
        <v>16</v>
      </c>
      <c r="C2004" s="92" t="s">
        <v>33</v>
      </c>
      <c r="D2004" s="43">
        <v>200</v>
      </c>
      <c r="E2004" s="43"/>
      <c r="F2004" s="43" t="e">
        <f t="shared" si="31"/>
        <v>#N/A</v>
      </c>
      <c r="G2004" s="43"/>
    </row>
    <row r="2005" spans="1:7" x14ac:dyDescent="0.3">
      <c r="A2005" s="45">
        <v>42836</v>
      </c>
      <c r="B2005" s="761" t="s">
        <v>1565</v>
      </c>
      <c r="C2005" s="762"/>
      <c r="D2005" s="71"/>
      <c r="E2005" s="72">
        <v>50000</v>
      </c>
      <c r="F2005" s="43" t="e">
        <f t="shared" si="31"/>
        <v>#N/A</v>
      </c>
      <c r="G2005" s="43"/>
    </row>
    <row r="2006" spans="1:7" x14ac:dyDescent="0.3">
      <c r="A2006" s="45">
        <v>42836</v>
      </c>
      <c r="B2006" s="5" t="s">
        <v>58</v>
      </c>
      <c r="C2006" s="92" t="s">
        <v>1566</v>
      </c>
      <c r="D2006" s="65">
        <v>6000</v>
      </c>
      <c r="E2006" s="43"/>
      <c r="F2006" s="43" t="e">
        <f t="shared" si="31"/>
        <v>#N/A</v>
      </c>
      <c r="G2006" s="43"/>
    </row>
    <row r="2007" spans="1:7" x14ac:dyDescent="0.3">
      <c r="A2007" s="45">
        <v>42836</v>
      </c>
      <c r="B2007" s="5" t="s">
        <v>27</v>
      </c>
      <c r="C2007" s="92" t="s">
        <v>31</v>
      </c>
      <c r="D2007" s="43">
        <v>8000</v>
      </c>
      <c r="E2007" s="43"/>
      <c r="F2007" s="43" t="e">
        <f t="shared" si="31"/>
        <v>#N/A</v>
      </c>
      <c r="G2007" s="43"/>
    </row>
    <row r="2008" spans="1:7" x14ac:dyDescent="0.3">
      <c r="A2008" s="45">
        <v>42836</v>
      </c>
      <c r="B2008" s="5" t="s">
        <v>25</v>
      </c>
      <c r="C2008" s="92" t="s">
        <v>1567</v>
      </c>
      <c r="D2008" s="65">
        <v>410</v>
      </c>
      <c r="E2008" s="43"/>
      <c r="F2008" s="43" t="e">
        <f t="shared" si="31"/>
        <v>#N/A</v>
      </c>
      <c r="G2008" s="43"/>
    </row>
    <row r="2009" spans="1:7" x14ac:dyDescent="0.3">
      <c r="A2009" s="45">
        <v>42836</v>
      </c>
      <c r="B2009" s="5" t="s">
        <v>58</v>
      </c>
      <c r="C2009" s="92" t="s">
        <v>77</v>
      </c>
      <c r="D2009" s="65">
        <v>5000</v>
      </c>
      <c r="E2009" s="43"/>
      <c r="F2009" s="43" t="e">
        <f t="shared" si="31"/>
        <v>#N/A</v>
      </c>
      <c r="G2009" s="43"/>
    </row>
    <row r="2010" spans="1:7" x14ac:dyDescent="0.3">
      <c r="A2010" s="45">
        <v>42836</v>
      </c>
      <c r="B2010" s="5" t="s">
        <v>0</v>
      </c>
      <c r="C2010" s="92" t="s">
        <v>1571</v>
      </c>
      <c r="D2010" s="43">
        <v>10000</v>
      </c>
      <c r="E2010" s="43"/>
      <c r="F2010" s="43" t="e">
        <f t="shared" si="31"/>
        <v>#N/A</v>
      </c>
      <c r="G2010" s="43"/>
    </row>
    <row r="2011" spans="1:7" x14ac:dyDescent="0.3">
      <c r="A2011" s="45">
        <v>42836</v>
      </c>
      <c r="B2011" s="5" t="s">
        <v>27</v>
      </c>
      <c r="C2011" s="92" t="s">
        <v>31</v>
      </c>
      <c r="D2011" s="43">
        <v>3000</v>
      </c>
      <c r="E2011" s="43"/>
      <c r="F2011" s="43" t="e">
        <f t="shared" si="31"/>
        <v>#N/A</v>
      </c>
      <c r="G2011" s="43"/>
    </row>
    <row r="2012" spans="1:7" x14ac:dyDescent="0.3">
      <c r="A2012" s="45">
        <v>42836</v>
      </c>
      <c r="B2012" s="5" t="s">
        <v>25</v>
      </c>
      <c r="C2012" s="92" t="s">
        <v>1572</v>
      </c>
      <c r="D2012" s="43">
        <v>60</v>
      </c>
      <c r="E2012" s="43"/>
      <c r="F2012" s="43" t="e">
        <f t="shared" si="31"/>
        <v>#N/A</v>
      </c>
      <c r="G2012" s="43"/>
    </row>
    <row r="2013" spans="1:7" x14ac:dyDescent="0.3">
      <c r="A2013" s="45">
        <v>42836</v>
      </c>
      <c r="B2013" s="5" t="s">
        <v>16</v>
      </c>
      <c r="C2013" s="92" t="s">
        <v>1573</v>
      </c>
      <c r="D2013" s="43">
        <v>9000</v>
      </c>
      <c r="E2013" s="43"/>
      <c r="F2013" s="43" t="e">
        <f t="shared" si="31"/>
        <v>#N/A</v>
      </c>
      <c r="G2013" s="43"/>
    </row>
    <row r="2014" spans="1:7" ht="37.5" x14ac:dyDescent="0.3">
      <c r="A2014" s="45">
        <v>42837</v>
      </c>
      <c r="B2014" s="5" t="s">
        <v>104</v>
      </c>
      <c r="C2014" s="92" t="s">
        <v>1591</v>
      </c>
      <c r="D2014" s="65">
        <v>1380</v>
      </c>
      <c r="E2014" s="43"/>
      <c r="F2014" s="43" t="e">
        <f t="shared" si="31"/>
        <v>#N/A</v>
      </c>
      <c r="G2014" s="43"/>
    </row>
    <row r="2015" spans="1:7" x14ac:dyDescent="0.3">
      <c r="A2015" s="45">
        <v>42837</v>
      </c>
      <c r="B2015" s="5" t="s">
        <v>445</v>
      </c>
      <c r="C2015" s="92" t="s">
        <v>1574</v>
      </c>
      <c r="D2015" s="43">
        <v>2000</v>
      </c>
      <c r="E2015" s="43"/>
      <c r="F2015" s="43" t="e">
        <f t="shared" si="31"/>
        <v>#N/A</v>
      </c>
      <c r="G2015" s="43"/>
    </row>
    <row r="2016" spans="1:7" x14ac:dyDescent="0.3">
      <c r="A2016" s="45">
        <v>42837</v>
      </c>
      <c r="B2016" s="761" t="s">
        <v>1565</v>
      </c>
      <c r="C2016" s="762"/>
      <c r="D2016" s="71"/>
      <c r="E2016" s="72">
        <v>32930</v>
      </c>
      <c r="F2016" s="43" t="e">
        <f t="shared" si="31"/>
        <v>#N/A</v>
      </c>
      <c r="G2016" s="43"/>
    </row>
    <row r="2017" spans="1:10" x14ac:dyDescent="0.3">
      <c r="A2017" s="45">
        <v>42837</v>
      </c>
      <c r="B2017" s="5" t="s">
        <v>1331</v>
      </c>
      <c r="C2017" s="92" t="s">
        <v>1593</v>
      </c>
      <c r="D2017" s="65">
        <v>8000</v>
      </c>
      <c r="E2017" s="43"/>
      <c r="F2017" s="43" t="e">
        <f t="shared" si="31"/>
        <v>#N/A</v>
      </c>
      <c r="G2017" s="43"/>
    </row>
    <row r="2018" spans="1:10" x14ac:dyDescent="0.3">
      <c r="A2018" s="45">
        <v>42837</v>
      </c>
      <c r="B2018" s="5" t="s">
        <v>164</v>
      </c>
      <c r="C2018" s="92" t="s">
        <v>31</v>
      </c>
      <c r="D2018" s="43">
        <v>20000</v>
      </c>
      <c r="E2018" s="43"/>
      <c r="F2018" s="43" t="e">
        <f t="shared" si="31"/>
        <v>#N/A</v>
      </c>
      <c r="G2018" s="43"/>
    </row>
    <row r="2019" spans="1:10" x14ac:dyDescent="0.3">
      <c r="A2019" s="45">
        <v>42837</v>
      </c>
      <c r="B2019" s="761" t="s">
        <v>1588</v>
      </c>
      <c r="C2019" s="762"/>
      <c r="D2019" s="71"/>
      <c r="E2019" s="72">
        <v>21450</v>
      </c>
      <c r="F2019" s="43" t="e">
        <f t="shared" si="31"/>
        <v>#N/A</v>
      </c>
      <c r="G2019" s="43"/>
    </row>
    <row r="2020" spans="1:10" s="114" customFormat="1" x14ac:dyDescent="0.3">
      <c r="A2020" s="45">
        <v>42837</v>
      </c>
      <c r="B2020" s="110" t="s">
        <v>58</v>
      </c>
      <c r="C2020" s="116" t="s">
        <v>1530</v>
      </c>
      <c r="D2020" s="112">
        <v>21000</v>
      </c>
      <c r="E2020" s="58"/>
      <c r="F2020" s="43" t="e">
        <f t="shared" si="31"/>
        <v>#N/A</v>
      </c>
      <c r="G2020" s="58"/>
      <c r="H2020" s="113"/>
      <c r="I2020" s="113"/>
      <c r="J2020" s="113"/>
    </row>
    <row r="2021" spans="1:10" x14ac:dyDescent="0.3">
      <c r="A2021" s="45">
        <v>42837</v>
      </c>
      <c r="B2021" s="5" t="s">
        <v>541</v>
      </c>
      <c r="C2021" s="92" t="s">
        <v>1589</v>
      </c>
      <c r="D2021" s="65">
        <v>1500</v>
      </c>
      <c r="E2021" s="43"/>
      <c r="F2021" s="43" t="e">
        <f t="shared" si="31"/>
        <v>#N/A</v>
      </c>
      <c r="G2021" s="43"/>
    </row>
    <row r="2022" spans="1:10" x14ac:dyDescent="0.3">
      <c r="A2022" s="45">
        <v>42837</v>
      </c>
      <c r="B2022" s="5" t="s">
        <v>247</v>
      </c>
      <c r="C2022" s="92" t="s">
        <v>1590</v>
      </c>
      <c r="D2022" s="65">
        <v>560</v>
      </c>
      <c r="E2022" s="43"/>
      <c r="F2022" s="43" t="e">
        <f t="shared" si="31"/>
        <v>#N/A</v>
      </c>
      <c r="G2022" s="43"/>
    </row>
    <row r="2023" spans="1:10" x14ac:dyDescent="0.3">
      <c r="A2023" s="45">
        <v>42837</v>
      </c>
      <c r="B2023" s="5" t="s">
        <v>27</v>
      </c>
      <c r="C2023" s="92" t="s">
        <v>1575</v>
      </c>
      <c r="D2023" s="43">
        <v>5000</v>
      </c>
      <c r="E2023" s="43"/>
      <c r="F2023" s="43" t="e">
        <f t="shared" si="31"/>
        <v>#N/A</v>
      </c>
      <c r="G2023" s="43"/>
    </row>
    <row r="2024" spans="1:10" ht="37.5" x14ac:dyDescent="0.3">
      <c r="A2024" s="45">
        <v>42837</v>
      </c>
      <c r="B2024" s="5" t="s">
        <v>25</v>
      </c>
      <c r="C2024" s="92" t="s">
        <v>1587</v>
      </c>
      <c r="D2024" s="43">
        <v>265</v>
      </c>
      <c r="E2024" s="43"/>
      <c r="F2024" s="43" t="e">
        <f t="shared" si="31"/>
        <v>#N/A</v>
      </c>
      <c r="G2024" s="43"/>
    </row>
    <row r="2025" spans="1:10" x14ac:dyDescent="0.3">
      <c r="A2025" s="45">
        <v>42838</v>
      </c>
      <c r="B2025" s="761" t="s">
        <v>1577</v>
      </c>
      <c r="C2025" s="762"/>
      <c r="D2025" s="71"/>
      <c r="E2025" s="72">
        <v>100000</v>
      </c>
      <c r="F2025" s="43" t="e">
        <f t="shared" si="31"/>
        <v>#N/A</v>
      </c>
      <c r="G2025" s="43"/>
    </row>
    <row r="2026" spans="1:10" x14ac:dyDescent="0.3">
      <c r="A2026" s="45">
        <v>42838</v>
      </c>
      <c r="B2026" s="5" t="s">
        <v>1578</v>
      </c>
      <c r="C2026" s="92" t="s">
        <v>1580</v>
      </c>
      <c r="D2026" s="43">
        <v>420</v>
      </c>
      <c r="E2026" s="43"/>
      <c r="F2026" s="43" t="e">
        <f t="shared" si="31"/>
        <v>#N/A</v>
      </c>
      <c r="G2026" s="43"/>
    </row>
    <row r="2027" spans="1:10" x14ac:dyDescent="0.3">
      <c r="A2027" s="45">
        <v>42838</v>
      </c>
      <c r="B2027" s="5" t="s">
        <v>445</v>
      </c>
      <c r="C2027" s="92" t="s">
        <v>1576</v>
      </c>
      <c r="D2027" s="43">
        <v>3000</v>
      </c>
      <c r="E2027" s="43"/>
      <c r="F2027" s="43" t="e">
        <f t="shared" si="31"/>
        <v>#N/A</v>
      </c>
      <c r="G2027" s="43"/>
    </row>
    <row r="2028" spans="1:10" ht="75" x14ac:dyDescent="0.3">
      <c r="A2028" s="45">
        <v>42838</v>
      </c>
      <c r="B2028" s="5" t="s">
        <v>25</v>
      </c>
      <c r="C2028" s="92" t="s">
        <v>1586</v>
      </c>
      <c r="D2028" s="43">
        <v>480</v>
      </c>
      <c r="E2028" s="43"/>
      <c r="F2028" s="43" t="e">
        <f t="shared" si="31"/>
        <v>#N/A</v>
      </c>
      <c r="G2028" s="43"/>
    </row>
    <row r="2029" spans="1:10" x14ac:dyDescent="0.3">
      <c r="A2029" s="45">
        <v>42838</v>
      </c>
      <c r="B2029" s="5" t="s">
        <v>58</v>
      </c>
      <c r="C2029" s="92" t="s">
        <v>1579</v>
      </c>
      <c r="D2029" s="65">
        <v>4200</v>
      </c>
      <c r="E2029" s="43"/>
      <c r="F2029" s="43" t="e">
        <f t="shared" si="31"/>
        <v>#N/A</v>
      </c>
      <c r="G2029" s="43"/>
    </row>
    <row r="2030" spans="1:10" x14ac:dyDescent="0.3">
      <c r="A2030" s="45">
        <v>42838</v>
      </c>
      <c r="B2030" s="5" t="s">
        <v>58</v>
      </c>
      <c r="C2030" s="92" t="s">
        <v>1581</v>
      </c>
      <c r="D2030" s="65">
        <v>2000</v>
      </c>
      <c r="E2030" s="43"/>
      <c r="F2030" s="43" t="e">
        <f t="shared" si="31"/>
        <v>#N/A</v>
      </c>
      <c r="G2030" s="43"/>
    </row>
    <row r="2031" spans="1:10" x14ac:dyDescent="0.3">
      <c r="A2031" s="45">
        <v>42838</v>
      </c>
      <c r="B2031" s="5" t="s">
        <v>120</v>
      </c>
      <c r="C2031" s="92" t="s">
        <v>1598</v>
      </c>
      <c r="D2031" s="65">
        <v>20000</v>
      </c>
      <c r="E2031" s="43"/>
      <c r="F2031" s="43" t="e">
        <f t="shared" si="31"/>
        <v>#N/A</v>
      </c>
      <c r="G2031" s="43"/>
    </row>
    <row r="2032" spans="1:10" x14ac:dyDescent="0.3">
      <c r="A2032" s="45">
        <v>42838</v>
      </c>
      <c r="B2032" s="5" t="s">
        <v>1583</v>
      </c>
      <c r="C2032" s="92" t="s">
        <v>1582</v>
      </c>
      <c r="D2032" s="43">
        <v>5500</v>
      </c>
      <c r="E2032" s="43"/>
      <c r="F2032" s="43" t="e">
        <f t="shared" si="31"/>
        <v>#N/A</v>
      </c>
      <c r="G2032" s="43"/>
    </row>
    <row r="2033" spans="1:7" x14ac:dyDescent="0.3">
      <c r="A2033" s="45">
        <v>42838</v>
      </c>
      <c r="B2033" s="5" t="s">
        <v>4</v>
      </c>
      <c r="C2033" s="92" t="s">
        <v>1530</v>
      </c>
      <c r="D2033" s="43">
        <v>20000</v>
      </c>
      <c r="E2033" s="43"/>
      <c r="F2033" s="43" t="e">
        <f t="shared" si="31"/>
        <v>#N/A</v>
      </c>
      <c r="G2033" s="43"/>
    </row>
    <row r="2034" spans="1:7" x14ac:dyDescent="0.3">
      <c r="A2034" s="45">
        <v>42838</v>
      </c>
      <c r="B2034" s="5" t="s">
        <v>1584</v>
      </c>
      <c r="C2034" s="92" t="s">
        <v>1585</v>
      </c>
      <c r="D2034" s="43">
        <v>4000</v>
      </c>
      <c r="E2034" s="43"/>
      <c r="F2034" s="43" t="e">
        <f t="shared" si="31"/>
        <v>#N/A</v>
      </c>
      <c r="G2034" s="43"/>
    </row>
    <row r="2035" spans="1:7" x14ac:dyDescent="0.3">
      <c r="A2035" s="45">
        <v>42839</v>
      </c>
      <c r="B2035" s="5" t="s">
        <v>25</v>
      </c>
      <c r="C2035" s="92" t="s">
        <v>51</v>
      </c>
      <c r="D2035" s="43">
        <v>18</v>
      </c>
      <c r="E2035" s="43"/>
      <c r="F2035" s="43" t="e">
        <f t="shared" si="31"/>
        <v>#N/A</v>
      </c>
      <c r="G2035" s="43"/>
    </row>
    <row r="2036" spans="1:7" x14ac:dyDescent="0.3">
      <c r="A2036" s="45">
        <v>42839</v>
      </c>
      <c r="B2036" s="5" t="s">
        <v>27</v>
      </c>
      <c r="C2036" s="92" t="s">
        <v>77</v>
      </c>
      <c r="D2036" s="43">
        <v>3000</v>
      </c>
      <c r="E2036" s="43"/>
      <c r="F2036" s="43" t="e">
        <f t="shared" si="31"/>
        <v>#N/A</v>
      </c>
      <c r="G2036" s="43"/>
    </row>
    <row r="2037" spans="1:7" x14ac:dyDescent="0.3">
      <c r="A2037" s="45">
        <v>42839</v>
      </c>
      <c r="B2037" s="5" t="s">
        <v>10</v>
      </c>
      <c r="C2037" s="92" t="s">
        <v>1592</v>
      </c>
      <c r="D2037" s="43">
        <v>2000</v>
      </c>
      <c r="E2037" s="43"/>
      <c r="F2037" s="43" t="e">
        <f t="shared" si="31"/>
        <v>#N/A</v>
      </c>
      <c r="G2037" s="43"/>
    </row>
    <row r="2038" spans="1:7" x14ac:dyDescent="0.3">
      <c r="A2038" s="45">
        <v>42840</v>
      </c>
      <c r="B2038" s="5" t="s">
        <v>18</v>
      </c>
      <c r="C2038" s="92" t="s">
        <v>1594</v>
      </c>
      <c r="D2038" s="43">
        <v>1000</v>
      </c>
      <c r="E2038" s="43"/>
      <c r="F2038" s="43" t="e">
        <f t="shared" si="31"/>
        <v>#N/A</v>
      </c>
      <c r="G2038" s="43"/>
    </row>
    <row r="2039" spans="1:7" x14ac:dyDescent="0.3">
      <c r="A2039" s="45">
        <v>42840</v>
      </c>
      <c r="B2039" s="5" t="s">
        <v>322</v>
      </c>
      <c r="C2039" s="92" t="s">
        <v>1595</v>
      </c>
      <c r="D2039" s="43">
        <v>11600</v>
      </c>
      <c r="E2039" s="43"/>
      <c r="F2039" s="43" t="e">
        <f t="shared" si="31"/>
        <v>#N/A</v>
      </c>
      <c r="G2039" s="43"/>
    </row>
    <row r="2040" spans="1:7" x14ac:dyDescent="0.3">
      <c r="A2040" s="45">
        <v>42840</v>
      </c>
      <c r="B2040" s="5" t="s">
        <v>1449</v>
      </c>
      <c r="C2040" s="92" t="s">
        <v>1596</v>
      </c>
      <c r="D2040" s="43">
        <v>400</v>
      </c>
      <c r="E2040" s="43"/>
      <c r="F2040" s="43" t="e">
        <f t="shared" si="31"/>
        <v>#N/A</v>
      </c>
      <c r="G2040" s="43"/>
    </row>
    <row r="2041" spans="1:7" x14ac:dyDescent="0.3">
      <c r="A2041" s="45">
        <v>42840</v>
      </c>
      <c r="B2041" s="5" t="s">
        <v>164</v>
      </c>
      <c r="C2041" s="92" t="s">
        <v>31</v>
      </c>
      <c r="D2041" s="43">
        <v>10000</v>
      </c>
      <c r="E2041" s="43"/>
      <c r="F2041" s="43" t="e">
        <f t="shared" si="31"/>
        <v>#N/A</v>
      </c>
      <c r="G2041" s="43"/>
    </row>
    <row r="2042" spans="1:7" x14ac:dyDescent="0.3">
      <c r="A2042" s="45">
        <v>42840</v>
      </c>
      <c r="B2042" s="5" t="s">
        <v>58</v>
      </c>
      <c r="C2042" s="92" t="s">
        <v>31</v>
      </c>
      <c r="D2042" s="43">
        <v>15000</v>
      </c>
      <c r="E2042" s="43"/>
      <c r="F2042" s="43" t="e">
        <f t="shared" si="31"/>
        <v>#N/A</v>
      </c>
      <c r="G2042" s="43"/>
    </row>
    <row r="2043" spans="1:7" x14ac:dyDescent="0.3">
      <c r="A2043" s="45">
        <v>42842</v>
      </c>
      <c r="B2043" s="761" t="s">
        <v>1597</v>
      </c>
      <c r="C2043" s="762"/>
      <c r="D2043" s="71"/>
      <c r="E2043" s="72">
        <v>50000</v>
      </c>
      <c r="F2043" s="43" t="e">
        <f t="shared" si="31"/>
        <v>#N/A</v>
      </c>
      <c r="G2043" s="43"/>
    </row>
    <row r="2044" spans="1:7" x14ac:dyDescent="0.3">
      <c r="A2044" s="45">
        <v>42842</v>
      </c>
      <c r="B2044" s="5" t="s">
        <v>60</v>
      </c>
      <c r="C2044" s="92" t="s">
        <v>31</v>
      </c>
      <c r="D2044" s="43">
        <v>10000</v>
      </c>
      <c r="E2044" s="43"/>
      <c r="F2044" s="43" t="e">
        <f t="shared" si="31"/>
        <v>#N/A</v>
      </c>
      <c r="G2044" s="43"/>
    </row>
    <row r="2045" spans="1:7" x14ac:dyDescent="0.3">
      <c r="A2045" s="45">
        <v>42842</v>
      </c>
      <c r="B2045" s="5" t="s">
        <v>120</v>
      </c>
      <c r="C2045" s="92" t="s">
        <v>1599</v>
      </c>
      <c r="D2045" s="43">
        <v>30000</v>
      </c>
      <c r="E2045" s="43"/>
      <c r="F2045" s="43" t="e">
        <f t="shared" si="31"/>
        <v>#N/A</v>
      </c>
      <c r="G2045" s="43"/>
    </row>
    <row r="2046" spans="1:7" x14ac:dyDescent="0.3">
      <c r="A2046" s="45">
        <v>42842</v>
      </c>
      <c r="B2046" s="5" t="s">
        <v>25</v>
      </c>
      <c r="C2046" s="92" t="s">
        <v>1628</v>
      </c>
      <c r="D2046" s="43">
        <v>30</v>
      </c>
      <c r="E2046" s="43"/>
      <c r="F2046" s="43" t="e">
        <f t="shared" si="31"/>
        <v>#N/A</v>
      </c>
      <c r="G2046" s="43"/>
    </row>
    <row r="2047" spans="1:7" x14ac:dyDescent="0.3">
      <c r="A2047" s="45">
        <v>42842</v>
      </c>
      <c r="B2047" s="5" t="s">
        <v>181</v>
      </c>
      <c r="C2047" s="92" t="s">
        <v>1600</v>
      </c>
      <c r="D2047" s="43">
        <v>10000</v>
      </c>
      <c r="E2047" s="43"/>
      <c r="F2047" s="43" t="e">
        <f t="shared" si="31"/>
        <v>#N/A</v>
      </c>
      <c r="G2047" s="43"/>
    </row>
    <row r="2048" spans="1:7" x14ac:dyDescent="0.3">
      <c r="A2048" s="45">
        <v>42842</v>
      </c>
      <c r="B2048" s="761" t="s">
        <v>1601</v>
      </c>
      <c r="C2048" s="762"/>
      <c r="D2048" s="71"/>
      <c r="E2048" s="72">
        <v>100000</v>
      </c>
      <c r="F2048" s="43" t="e">
        <f t="shared" si="31"/>
        <v>#N/A</v>
      </c>
      <c r="G2048" s="43"/>
    </row>
    <row r="2049" spans="1:7" x14ac:dyDescent="0.3">
      <c r="A2049" s="45">
        <v>42842</v>
      </c>
      <c r="B2049" s="5" t="s">
        <v>1331</v>
      </c>
      <c r="C2049" s="92" t="s">
        <v>1602</v>
      </c>
      <c r="D2049" s="43">
        <v>10000</v>
      </c>
      <c r="E2049" s="43"/>
      <c r="F2049" s="43" t="e">
        <f t="shared" si="31"/>
        <v>#N/A</v>
      </c>
      <c r="G2049" s="43"/>
    </row>
    <row r="2050" spans="1:7" x14ac:dyDescent="0.3">
      <c r="A2050" s="45">
        <v>42842</v>
      </c>
      <c r="B2050" s="107" t="s">
        <v>1331</v>
      </c>
      <c r="C2050" s="108" t="s">
        <v>1603</v>
      </c>
      <c r="D2050" s="109">
        <v>45000</v>
      </c>
      <c r="E2050" s="43"/>
      <c r="F2050" s="43" t="e">
        <f t="shared" si="31"/>
        <v>#N/A</v>
      </c>
      <c r="G2050" s="43"/>
    </row>
    <row r="2051" spans="1:7" x14ac:dyDescent="0.3">
      <c r="A2051" s="45">
        <v>42842</v>
      </c>
      <c r="B2051" s="5" t="s">
        <v>1410</v>
      </c>
      <c r="C2051" s="92" t="s">
        <v>1604</v>
      </c>
      <c r="D2051" s="43">
        <v>2000</v>
      </c>
      <c r="E2051" s="43"/>
      <c r="F2051" s="43" t="e">
        <f t="shared" ref="F2051:F2114" si="32">F2050-D2051+E2051</f>
        <v>#N/A</v>
      </c>
      <c r="G2051" s="43"/>
    </row>
    <row r="2052" spans="1:7" x14ac:dyDescent="0.3">
      <c r="A2052" s="45">
        <v>42842</v>
      </c>
      <c r="B2052" s="74" t="s">
        <v>25</v>
      </c>
      <c r="C2052" s="101" t="s">
        <v>1610</v>
      </c>
      <c r="D2052" s="43">
        <v>30</v>
      </c>
      <c r="E2052" s="43"/>
      <c r="F2052" s="43" t="e">
        <f t="shared" si="32"/>
        <v>#N/A</v>
      </c>
      <c r="G2052" s="43"/>
    </row>
    <row r="2053" spans="1:7" x14ac:dyDescent="0.3">
      <c r="A2053" s="45">
        <v>42842</v>
      </c>
      <c r="B2053" s="761" t="s">
        <v>1605</v>
      </c>
      <c r="C2053" s="762"/>
      <c r="D2053" s="71"/>
      <c r="E2053" s="72">
        <v>10000</v>
      </c>
      <c r="F2053" s="43" t="e">
        <f t="shared" si="32"/>
        <v>#N/A</v>
      </c>
      <c r="G2053" s="43"/>
    </row>
    <row r="2054" spans="1:7" x14ac:dyDescent="0.3">
      <c r="A2054" s="45">
        <v>42842</v>
      </c>
      <c r="B2054" s="5" t="s">
        <v>1606</v>
      </c>
      <c r="C2054" s="92" t="s">
        <v>40</v>
      </c>
      <c r="D2054" s="43">
        <v>15000</v>
      </c>
      <c r="E2054" s="43"/>
      <c r="F2054" s="43" t="e">
        <f t="shared" si="32"/>
        <v>#N/A</v>
      </c>
      <c r="G2054" s="43"/>
    </row>
    <row r="2055" spans="1:7" x14ac:dyDescent="0.3">
      <c r="A2055" s="45">
        <v>42843</v>
      </c>
      <c r="B2055" s="5" t="s">
        <v>4</v>
      </c>
      <c r="C2055" s="92" t="s">
        <v>1607</v>
      </c>
      <c r="D2055" s="43">
        <v>2000</v>
      </c>
      <c r="E2055" s="43"/>
      <c r="F2055" s="43" t="e">
        <f t="shared" si="32"/>
        <v>#N/A</v>
      </c>
      <c r="G2055" s="43"/>
    </row>
    <row r="2056" spans="1:7" x14ac:dyDescent="0.3">
      <c r="A2056" s="45">
        <v>42843</v>
      </c>
      <c r="B2056" s="5" t="s">
        <v>58</v>
      </c>
      <c r="C2056" s="92" t="s">
        <v>31</v>
      </c>
      <c r="D2056" s="43">
        <v>6000</v>
      </c>
      <c r="E2056" s="43"/>
      <c r="F2056" s="43" t="e">
        <f t="shared" si="32"/>
        <v>#N/A</v>
      </c>
      <c r="G2056" s="43"/>
    </row>
    <row r="2057" spans="1:7" x14ac:dyDescent="0.3">
      <c r="A2057" s="45">
        <v>42843</v>
      </c>
      <c r="B2057" s="5" t="s">
        <v>25</v>
      </c>
      <c r="C2057" s="92" t="s">
        <v>83</v>
      </c>
      <c r="D2057" s="43">
        <v>140</v>
      </c>
      <c r="E2057" s="43"/>
      <c r="F2057" s="43" t="e">
        <f t="shared" si="32"/>
        <v>#N/A</v>
      </c>
      <c r="G2057" s="43"/>
    </row>
    <row r="2058" spans="1:7" x14ac:dyDescent="0.3">
      <c r="A2058" s="45">
        <v>42843</v>
      </c>
      <c r="B2058" s="5" t="s">
        <v>0</v>
      </c>
      <c r="C2058" s="92" t="s">
        <v>1608</v>
      </c>
      <c r="D2058" s="43">
        <v>9000</v>
      </c>
      <c r="E2058" s="43"/>
      <c r="F2058" s="43" t="e">
        <f t="shared" si="32"/>
        <v>#N/A</v>
      </c>
      <c r="G2058" s="43"/>
    </row>
    <row r="2059" spans="1:7" x14ac:dyDescent="0.3">
      <c r="A2059" s="45">
        <v>42843</v>
      </c>
      <c r="B2059" s="5" t="s">
        <v>0</v>
      </c>
      <c r="C2059" s="92" t="s">
        <v>31</v>
      </c>
      <c r="D2059" s="43">
        <v>2000</v>
      </c>
      <c r="E2059" s="43"/>
      <c r="F2059" s="43" t="e">
        <f t="shared" si="32"/>
        <v>#N/A</v>
      </c>
      <c r="G2059" s="43"/>
    </row>
    <row r="2060" spans="1:7" x14ac:dyDescent="0.3">
      <c r="A2060" s="45">
        <v>42843</v>
      </c>
      <c r="B2060" s="5" t="s">
        <v>84</v>
      </c>
      <c r="C2060" s="92" t="s">
        <v>73</v>
      </c>
      <c r="D2060" s="43">
        <v>4000</v>
      </c>
      <c r="E2060" s="43"/>
      <c r="F2060" s="43" t="e">
        <f t="shared" si="32"/>
        <v>#N/A</v>
      </c>
      <c r="G2060" s="43"/>
    </row>
    <row r="2061" spans="1:7" x14ac:dyDescent="0.3">
      <c r="A2061" s="45">
        <v>42843</v>
      </c>
      <c r="B2061" s="5" t="s">
        <v>84</v>
      </c>
      <c r="C2061" s="92" t="s">
        <v>1609</v>
      </c>
      <c r="D2061" s="43">
        <v>5000</v>
      </c>
      <c r="E2061" s="43"/>
      <c r="F2061" s="43" t="e">
        <f t="shared" si="32"/>
        <v>#N/A</v>
      </c>
      <c r="G2061" s="43"/>
    </row>
    <row r="2062" spans="1:7" x14ac:dyDescent="0.3">
      <c r="A2062" s="45">
        <v>42843</v>
      </c>
      <c r="B2062" s="5" t="s">
        <v>541</v>
      </c>
      <c r="C2062" s="92" t="s">
        <v>256</v>
      </c>
      <c r="D2062" s="65">
        <v>5500</v>
      </c>
      <c r="E2062" s="43"/>
      <c r="F2062" s="43" t="e">
        <f t="shared" si="32"/>
        <v>#N/A</v>
      </c>
      <c r="G2062" s="43"/>
    </row>
    <row r="2063" spans="1:7" x14ac:dyDescent="0.3">
      <c r="A2063" s="45">
        <v>42843</v>
      </c>
      <c r="B2063" s="5" t="s">
        <v>247</v>
      </c>
      <c r="C2063" s="92" t="s">
        <v>1648</v>
      </c>
      <c r="D2063" s="65">
        <v>560</v>
      </c>
      <c r="E2063" s="43"/>
      <c r="F2063" s="43" t="e">
        <f t="shared" si="32"/>
        <v>#N/A</v>
      </c>
      <c r="G2063" s="43"/>
    </row>
    <row r="2064" spans="1:7" x14ac:dyDescent="0.3">
      <c r="A2064" s="45">
        <v>42844</v>
      </c>
      <c r="B2064" s="5" t="s">
        <v>993</v>
      </c>
      <c r="C2064" s="92" t="s">
        <v>1611</v>
      </c>
      <c r="D2064" s="43">
        <v>300</v>
      </c>
      <c r="E2064" s="43"/>
      <c r="F2064" s="43" t="e">
        <f t="shared" si="32"/>
        <v>#N/A</v>
      </c>
      <c r="G2064" s="43"/>
    </row>
    <row r="2065" spans="1:7" x14ac:dyDescent="0.3">
      <c r="A2065" s="45">
        <v>42844</v>
      </c>
      <c r="B2065" s="5" t="s">
        <v>27</v>
      </c>
      <c r="C2065" s="92" t="s">
        <v>31</v>
      </c>
      <c r="D2065" s="43">
        <v>3000</v>
      </c>
      <c r="E2065" s="43"/>
      <c r="F2065" s="43" t="e">
        <f t="shared" si="32"/>
        <v>#N/A</v>
      </c>
      <c r="G2065" s="43"/>
    </row>
    <row r="2066" spans="1:7" ht="37.5" x14ac:dyDescent="0.3">
      <c r="A2066" s="45">
        <v>42844</v>
      </c>
      <c r="B2066" s="5" t="s">
        <v>162</v>
      </c>
      <c r="C2066" s="92" t="s">
        <v>1613</v>
      </c>
      <c r="D2066" s="43">
        <v>100</v>
      </c>
      <c r="E2066" s="43"/>
      <c r="F2066" s="43" t="e">
        <f t="shared" si="32"/>
        <v>#N/A</v>
      </c>
      <c r="G2066" s="43"/>
    </row>
    <row r="2067" spans="1:7" x14ac:dyDescent="0.3">
      <c r="A2067" s="45">
        <v>42844</v>
      </c>
      <c r="B2067" s="5" t="s">
        <v>162</v>
      </c>
      <c r="C2067" s="92" t="s">
        <v>1614</v>
      </c>
      <c r="D2067" s="43">
        <v>250</v>
      </c>
      <c r="E2067" s="43"/>
      <c r="F2067" s="43" t="e">
        <f t="shared" si="32"/>
        <v>#N/A</v>
      </c>
      <c r="G2067" s="43"/>
    </row>
    <row r="2068" spans="1:7" x14ac:dyDescent="0.3">
      <c r="A2068" s="45">
        <v>42844</v>
      </c>
      <c r="B2068" s="5" t="s">
        <v>541</v>
      </c>
      <c r="C2068" s="92" t="s">
        <v>1615</v>
      </c>
      <c r="D2068" s="43">
        <v>600</v>
      </c>
      <c r="E2068" s="43"/>
      <c r="F2068" s="43" t="e">
        <f t="shared" si="32"/>
        <v>#N/A</v>
      </c>
      <c r="G2068" s="43"/>
    </row>
    <row r="2069" spans="1:7" x14ac:dyDescent="0.3">
      <c r="A2069" s="45"/>
      <c r="B2069" s="761" t="s">
        <v>1597</v>
      </c>
      <c r="C2069" s="762"/>
      <c r="D2069" s="71"/>
      <c r="E2069" s="72">
        <v>50000</v>
      </c>
      <c r="F2069" s="43" t="e">
        <f t="shared" si="32"/>
        <v>#N/A</v>
      </c>
      <c r="G2069" s="43"/>
    </row>
    <row r="2070" spans="1:7" x14ac:dyDescent="0.3">
      <c r="A2070" s="45">
        <v>42844</v>
      </c>
      <c r="B2070" s="5" t="s">
        <v>1616</v>
      </c>
      <c r="C2070" s="92" t="s">
        <v>1004</v>
      </c>
      <c r="D2070" s="43">
        <v>500</v>
      </c>
      <c r="E2070" s="43"/>
      <c r="F2070" s="43" t="e">
        <f t="shared" si="32"/>
        <v>#N/A</v>
      </c>
      <c r="G2070" s="43"/>
    </row>
    <row r="2071" spans="1:7" x14ac:dyDescent="0.3">
      <c r="A2071" s="45">
        <v>42844</v>
      </c>
      <c r="B2071" s="5" t="s">
        <v>116</v>
      </c>
      <c r="C2071" s="92" t="s">
        <v>1617</v>
      </c>
      <c r="D2071" s="43">
        <v>200</v>
      </c>
      <c r="E2071" s="43"/>
      <c r="F2071" s="43" t="e">
        <f t="shared" si="32"/>
        <v>#N/A</v>
      </c>
      <c r="G2071" s="43"/>
    </row>
    <row r="2072" spans="1:7" x14ac:dyDescent="0.3">
      <c r="A2072" s="45">
        <v>42844</v>
      </c>
      <c r="B2072" s="5" t="s">
        <v>1343</v>
      </c>
      <c r="C2072" s="92" t="s">
        <v>1618</v>
      </c>
      <c r="D2072" s="43">
        <v>10000</v>
      </c>
      <c r="E2072" s="43"/>
      <c r="F2072" s="43" t="e">
        <f t="shared" si="32"/>
        <v>#N/A</v>
      </c>
      <c r="G2072" s="43"/>
    </row>
    <row r="2073" spans="1:7" x14ac:dyDescent="0.3">
      <c r="A2073" s="45">
        <v>42844</v>
      </c>
      <c r="B2073" s="5" t="s">
        <v>1343</v>
      </c>
      <c r="C2073" s="92" t="s">
        <v>1700</v>
      </c>
      <c r="D2073" s="65">
        <v>6250</v>
      </c>
      <c r="E2073" s="43"/>
      <c r="F2073" s="43" t="e">
        <f t="shared" si="32"/>
        <v>#N/A</v>
      </c>
      <c r="G2073" s="43"/>
    </row>
    <row r="2074" spans="1:7" x14ac:dyDescent="0.3">
      <c r="A2074" s="45">
        <v>42844</v>
      </c>
      <c r="B2074" s="5" t="s">
        <v>1619</v>
      </c>
      <c r="C2074" s="92" t="s">
        <v>1620</v>
      </c>
      <c r="D2074" s="43">
        <v>6000</v>
      </c>
      <c r="E2074" s="43"/>
      <c r="F2074" s="43" t="e">
        <f t="shared" si="32"/>
        <v>#N/A</v>
      </c>
      <c r="G2074" s="43"/>
    </row>
    <row r="2075" spans="1:7" x14ac:dyDescent="0.3">
      <c r="A2075" s="45">
        <v>42844</v>
      </c>
      <c r="B2075" s="5" t="s">
        <v>25</v>
      </c>
      <c r="C2075" s="92" t="s">
        <v>1629</v>
      </c>
      <c r="D2075" s="43">
        <v>295</v>
      </c>
      <c r="E2075" s="43"/>
      <c r="F2075" s="43" t="e">
        <f t="shared" si="32"/>
        <v>#N/A</v>
      </c>
      <c r="G2075" s="43"/>
    </row>
    <row r="2076" spans="1:7" x14ac:dyDescent="0.3">
      <c r="A2076" s="45">
        <v>42845</v>
      </c>
      <c r="B2076" s="5" t="s">
        <v>1621</v>
      </c>
      <c r="C2076" s="92" t="s">
        <v>1622</v>
      </c>
      <c r="D2076" s="43">
        <v>8000</v>
      </c>
      <c r="E2076" s="43"/>
      <c r="F2076" s="43" t="e">
        <f t="shared" si="32"/>
        <v>#N/A</v>
      </c>
      <c r="G2076" s="43"/>
    </row>
    <row r="2077" spans="1:7" x14ac:dyDescent="0.3">
      <c r="A2077" s="45">
        <v>42845</v>
      </c>
      <c r="B2077" s="5" t="s">
        <v>445</v>
      </c>
      <c r="C2077" s="92" t="s">
        <v>540</v>
      </c>
      <c r="D2077" s="43">
        <v>2000</v>
      </c>
      <c r="E2077" s="43"/>
      <c r="F2077" s="43" t="e">
        <f t="shared" si="32"/>
        <v>#N/A</v>
      </c>
      <c r="G2077" s="43"/>
    </row>
    <row r="2078" spans="1:7" x14ac:dyDescent="0.3">
      <c r="A2078" s="45">
        <v>42845</v>
      </c>
      <c r="B2078" s="5" t="s">
        <v>104</v>
      </c>
      <c r="C2078" s="92" t="s">
        <v>31</v>
      </c>
      <c r="D2078" s="43">
        <v>2000</v>
      </c>
      <c r="E2078" s="43"/>
      <c r="F2078" s="43" t="e">
        <f t="shared" si="32"/>
        <v>#N/A</v>
      </c>
      <c r="G2078" s="43"/>
    </row>
    <row r="2079" spans="1:7" x14ac:dyDescent="0.3">
      <c r="A2079" s="45">
        <v>42845</v>
      </c>
      <c r="B2079" s="5" t="s">
        <v>18</v>
      </c>
      <c r="C2079" s="92" t="s">
        <v>1625</v>
      </c>
      <c r="D2079" s="43">
        <v>500</v>
      </c>
      <c r="E2079" s="43"/>
      <c r="F2079" s="43" t="e">
        <f t="shared" si="32"/>
        <v>#N/A</v>
      </c>
      <c r="G2079" s="43"/>
    </row>
    <row r="2080" spans="1:7" x14ac:dyDescent="0.3">
      <c r="A2080" s="45">
        <v>42845</v>
      </c>
      <c r="B2080" s="5" t="s">
        <v>25</v>
      </c>
      <c r="C2080" s="92" t="s">
        <v>1630</v>
      </c>
      <c r="D2080" s="43">
        <v>20</v>
      </c>
      <c r="E2080" s="43"/>
      <c r="F2080" s="43" t="e">
        <f t="shared" si="32"/>
        <v>#N/A</v>
      </c>
      <c r="G2080" s="43"/>
    </row>
    <row r="2081" spans="1:7" ht="37.5" x14ac:dyDescent="0.3">
      <c r="A2081" s="45">
        <v>42845</v>
      </c>
      <c r="B2081" s="5" t="s">
        <v>25</v>
      </c>
      <c r="C2081" s="92" t="s">
        <v>1626</v>
      </c>
      <c r="D2081" s="43">
        <v>505</v>
      </c>
      <c r="E2081" s="43"/>
      <c r="F2081" s="43" t="e">
        <f t="shared" si="32"/>
        <v>#N/A</v>
      </c>
      <c r="G2081" s="43"/>
    </row>
    <row r="2082" spans="1:7" x14ac:dyDescent="0.3">
      <c r="A2082" s="45">
        <v>42845</v>
      </c>
      <c r="B2082" s="5" t="s">
        <v>25</v>
      </c>
      <c r="C2082" s="92" t="s">
        <v>939</v>
      </c>
      <c r="D2082" s="43">
        <v>380</v>
      </c>
      <c r="E2082" s="43"/>
      <c r="F2082" s="43" t="e">
        <f t="shared" si="32"/>
        <v>#N/A</v>
      </c>
      <c r="G2082" s="43"/>
    </row>
    <row r="2083" spans="1:7" x14ac:dyDescent="0.3">
      <c r="A2083" s="45">
        <v>42845</v>
      </c>
      <c r="B2083" s="5" t="s">
        <v>164</v>
      </c>
      <c r="C2083" s="92" t="s">
        <v>31</v>
      </c>
      <c r="D2083" s="43">
        <v>15000</v>
      </c>
      <c r="E2083" s="43"/>
      <c r="F2083" s="43" t="e">
        <f t="shared" si="32"/>
        <v>#N/A</v>
      </c>
      <c r="G2083" s="43"/>
    </row>
    <row r="2084" spans="1:7" x14ac:dyDescent="0.3">
      <c r="A2084" s="45">
        <v>42846</v>
      </c>
      <c r="B2084" s="761" t="s">
        <v>1623</v>
      </c>
      <c r="C2084" s="762"/>
      <c r="D2084" s="71"/>
      <c r="E2084" s="72">
        <v>100000</v>
      </c>
      <c r="F2084" s="43" t="e">
        <f t="shared" si="32"/>
        <v>#N/A</v>
      </c>
      <c r="G2084" s="43"/>
    </row>
    <row r="2085" spans="1:7" x14ac:dyDescent="0.3">
      <c r="A2085" s="45">
        <v>42846</v>
      </c>
      <c r="B2085" s="5" t="s">
        <v>16</v>
      </c>
      <c r="C2085" s="92" t="s">
        <v>31</v>
      </c>
      <c r="D2085" s="43">
        <v>10000</v>
      </c>
      <c r="E2085" s="43"/>
      <c r="F2085" s="43" t="e">
        <f t="shared" si="32"/>
        <v>#N/A</v>
      </c>
      <c r="G2085" s="43"/>
    </row>
    <row r="2086" spans="1:7" x14ac:dyDescent="0.3">
      <c r="A2086" s="45">
        <v>42846</v>
      </c>
      <c r="B2086" s="5" t="s">
        <v>0</v>
      </c>
      <c r="C2086" s="92" t="s">
        <v>31</v>
      </c>
      <c r="D2086" s="43">
        <v>10000</v>
      </c>
      <c r="E2086" s="43"/>
      <c r="F2086" s="43" t="e">
        <f t="shared" si="32"/>
        <v>#N/A</v>
      </c>
      <c r="G2086" s="43"/>
    </row>
    <row r="2087" spans="1:7" x14ac:dyDescent="0.3">
      <c r="A2087" s="45">
        <v>42846</v>
      </c>
      <c r="B2087" s="5" t="s">
        <v>25</v>
      </c>
      <c r="C2087" s="92" t="s">
        <v>1627</v>
      </c>
      <c r="D2087" s="43">
        <v>120</v>
      </c>
      <c r="E2087" s="43"/>
      <c r="F2087" s="43" t="e">
        <f t="shared" si="32"/>
        <v>#N/A</v>
      </c>
      <c r="G2087" s="43"/>
    </row>
    <row r="2088" spans="1:7" x14ac:dyDescent="0.3">
      <c r="A2088" s="45">
        <v>42846</v>
      </c>
      <c r="B2088" s="5" t="s">
        <v>58</v>
      </c>
      <c r="C2088" s="92" t="s">
        <v>31</v>
      </c>
      <c r="D2088" s="43">
        <v>1000</v>
      </c>
      <c r="E2088" s="43"/>
      <c r="F2088" s="43" t="e">
        <f t="shared" si="32"/>
        <v>#N/A</v>
      </c>
      <c r="G2088" s="43"/>
    </row>
    <row r="2089" spans="1:7" x14ac:dyDescent="0.3">
      <c r="A2089" s="45">
        <v>42846</v>
      </c>
      <c r="B2089" s="5" t="s">
        <v>181</v>
      </c>
      <c r="C2089" s="92" t="s">
        <v>31</v>
      </c>
      <c r="D2089" s="43">
        <v>10000</v>
      </c>
      <c r="E2089" s="43"/>
      <c r="F2089" s="43" t="e">
        <f t="shared" si="32"/>
        <v>#N/A</v>
      </c>
      <c r="G2089" s="43"/>
    </row>
    <row r="2090" spans="1:7" x14ac:dyDescent="0.3">
      <c r="A2090" s="45">
        <v>42846</v>
      </c>
      <c r="B2090" s="5" t="s">
        <v>247</v>
      </c>
      <c r="C2090" s="92" t="s">
        <v>1495</v>
      </c>
      <c r="D2090" s="65">
        <v>500</v>
      </c>
      <c r="E2090" s="43"/>
      <c r="F2090" s="43" t="e">
        <f t="shared" si="32"/>
        <v>#N/A</v>
      </c>
      <c r="G2090" s="43"/>
    </row>
    <row r="2091" spans="1:7" x14ac:dyDescent="0.3">
      <c r="A2091" s="45">
        <v>42846</v>
      </c>
      <c r="B2091" s="5" t="s">
        <v>56</v>
      </c>
      <c r="C2091" s="92" t="s">
        <v>1624</v>
      </c>
      <c r="D2091" s="43">
        <v>100</v>
      </c>
      <c r="E2091" s="43"/>
      <c r="F2091" s="43" t="e">
        <f t="shared" si="32"/>
        <v>#N/A</v>
      </c>
      <c r="G2091" s="43"/>
    </row>
    <row r="2092" spans="1:7" x14ac:dyDescent="0.3">
      <c r="A2092" s="45">
        <v>42847</v>
      </c>
      <c r="B2092" s="5" t="s">
        <v>18</v>
      </c>
      <c r="C2092" s="92" t="s">
        <v>31</v>
      </c>
      <c r="D2092" s="43">
        <v>2000</v>
      </c>
      <c r="E2092" s="43"/>
      <c r="F2092" s="43" t="e">
        <f t="shared" si="32"/>
        <v>#N/A</v>
      </c>
      <c r="G2092" s="43"/>
    </row>
    <row r="2093" spans="1:7" x14ac:dyDescent="0.3">
      <c r="A2093" s="45">
        <v>42847</v>
      </c>
      <c r="B2093" s="5" t="s">
        <v>84</v>
      </c>
      <c r="C2093" s="92" t="s">
        <v>1631</v>
      </c>
      <c r="D2093" s="43">
        <v>2000</v>
      </c>
      <c r="E2093" s="43"/>
      <c r="F2093" s="43" t="e">
        <f t="shared" si="32"/>
        <v>#N/A</v>
      </c>
      <c r="G2093" s="43"/>
    </row>
    <row r="2094" spans="1:7" x14ac:dyDescent="0.3">
      <c r="A2094" s="45">
        <v>42847</v>
      </c>
      <c r="B2094" s="5" t="s">
        <v>1343</v>
      </c>
      <c r="C2094" s="92" t="s">
        <v>1701</v>
      </c>
      <c r="D2094" s="65">
        <v>9200</v>
      </c>
      <c r="E2094" s="43"/>
      <c r="F2094" s="43" t="e">
        <f t="shared" si="32"/>
        <v>#N/A</v>
      </c>
      <c r="G2094" s="43"/>
    </row>
    <row r="2095" spans="1:7" x14ac:dyDescent="0.3">
      <c r="A2095" s="45">
        <v>42847</v>
      </c>
      <c r="B2095" s="5" t="s">
        <v>4</v>
      </c>
      <c r="C2095" s="92" t="s">
        <v>31</v>
      </c>
      <c r="D2095" s="43">
        <v>10000</v>
      </c>
      <c r="E2095" s="43"/>
      <c r="F2095" s="43" t="e">
        <f t="shared" si="32"/>
        <v>#N/A</v>
      </c>
      <c r="G2095" s="43"/>
    </row>
    <row r="2096" spans="1:7" ht="37.5" x14ac:dyDescent="0.3">
      <c r="A2096" s="45">
        <v>42847</v>
      </c>
      <c r="B2096" s="5" t="s">
        <v>68</v>
      </c>
      <c r="C2096" s="92" t="s">
        <v>1645</v>
      </c>
      <c r="D2096" s="65">
        <v>1650</v>
      </c>
      <c r="E2096" s="43"/>
      <c r="F2096" s="43" t="e">
        <f t="shared" si="32"/>
        <v>#N/A</v>
      </c>
      <c r="G2096" s="43"/>
    </row>
    <row r="2097" spans="1:7" x14ac:dyDescent="0.3">
      <c r="A2097" s="45">
        <v>42847</v>
      </c>
      <c r="B2097" s="5" t="s">
        <v>58</v>
      </c>
      <c r="C2097" s="92" t="s">
        <v>1632</v>
      </c>
      <c r="D2097" s="65">
        <v>314</v>
      </c>
      <c r="E2097" s="43"/>
      <c r="F2097" s="43" t="e">
        <f t="shared" si="32"/>
        <v>#N/A</v>
      </c>
      <c r="G2097" s="43"/>
    </row>
    <row r="2098" spans="1:7" x14ac:dyDescent="0.3">
      <c r="A2098" s="45">
        <v>42847</v>
      </c>
      <c r="B2098" s="5" t="s">
        <v>1633</v>
      </c>
      <c r="C2098" s="92" t="s">
        <v>1634</v>
      </c>
      <c r="D2098" s="65">
        <v>150</v>
      </c>
      <c r="E2098" s="43"/>
      <c r="F2098" s="43" t="e">
        <f t="shared" si="32"/>
        <v>#N/A</v>
      </c>
      <c r="G2098" s="43"/>
    </row>
    <row r="2099" spans="1:7" x14ac:dyDescent="0.3">
      <c r="A2099" s="45">
        <v>42847</v>
      </c>
      <c r="B2099" s="5" t="s">
        <v>27</v>
      </c>
      <c r="C2099" s="92" t="s">
        <v>31</v>
      </c>
      <c r="D2099" s="43">
        <v>5000</v>
      </c>
      <c r="E2099" s="43"/>
      <c r="F2099" s="43" t="e">
        <f t="shared" si="32"/>
        <v>#N/A</v>
      </c>
      <c r="G2099" s="43"/>
    </row>
    <row r="2100" spans="1:7" x14ac:dyDescent="0.3">
      <c r="A2100" s="45">
        <v>42847</v>
      </c>
      <c r="B2100" s="5" t="s">
        <v>84</v>
      </c>
      <c r="C2100" s="92" t="s">
        <v>247</v>
      </c>
      <c r="D2100" s="43">
        <v>5000</v>
      </c>
      <c r="E2100" s="43"/>
      <c r="F2100" s="43" t="e">
        <f t="shared" si="32"/>
        <v>#N/A</v>
      </c>
      <c r="G2100" s="43"/>
    </row>
    <row r="2101" spans="1:7" x14ac:dyDescent="0.3">
      <c r="A2101" s="45">
        <v>42847</v>
      </c>
      <c r="B2101" s="5" t="s">
        <v>58</v>
      </c>
      <c r="C2101" s="92" t="s">
        <v>1635</v>
      </c>
      <c r="D2101" s="43">
        <v>1000</v>
      </c>
      <c r="E2101" s="43"/>
      <c r="F2101" s="43" t="e">
        <f t="shared" si="32"/>
        <v>#N/A</v>
      </c>
      <c r="G2101" s="43"/>
    </row>
    <row r="2102" spans="1:7" x14ac:dyDescent="0.3">
      <c r="A2102" s="45">
        <v>42847</v>
      </c>
      <c r="B2102" s="5" t="s">
        <v>247</v>
      </c>
      <c r="C2102" s="92" t="s">
        <v>1636</v>
      </c>
      <c r="D2102" s="43">
        <v>3680</v>
      </c>
      <c r="E2102" s="43"/>
      <c r="F2102" s="43" t="e">
        <f t="shared" si="32"/>
        <v>#N/A</v>
      </c>
      <c r="G2102" s="43"/>
    </row>
    <row r="2103" spans="1:7" x14ac:dyDescent="0.3">
      <c r="A2103" s="45">
        <v>42847</v>
      </c>
      <c r="B2103" s="5" t="s">
        <v>25</v>
      </c>
      <c r="C2103" s="92" t="s">
        <v>1641</v>
      </c>
      <c r="D2103" s="43">
        <v>220</v>
      </c>
      <c r="E2103" s="43"/>
      <c r="F2103" s="43" t="e">
        <f t="shared" si="32"/>
        <v>#N/A</v>
      </c>
      <c r="G2103" s="43"/>
    </row>
    <row r="2104" spans="1:7" x14ac:dyDescent="0.3">
      <c r="A2104" s="45">
        <v>42847</v>
      </c>
      <c r="B2104" s="5" t="s">
        <v>25</v>
      </c>
      <c r="C2104" s="92" t="s">
        <v>1642</v>
      </c>
      <c r="D2104" s="43">
        <v>240</v>
      </c>
      <c r="E2104" s="43"/>
      <c r="F2104" s="43" t="e">
        <f t="shared" si="32"/>
        <v>#N/A</v>
      </c>
      <c r="G2104" s="43"/>
    </row>
    <row r="2105" spans="1:7" ht="37.5" x14ac:dyDescent="0.3">
      <c r="A2105" s="45">
        <v>42847</v>
      </c>
      <c r="B2105" s="5" t="s">
        <v>25</v>
      </c>
      <c r="C2105" s="92" t="s">
        <v>1643</v>
      </c>
      <c r="D2105" s="43">
        <v>150</v>
      </c>
      <c r="E2105" s="43"/>
      <c r="F2105" s="43" t="e">
        <f t="shared" si="32"/>
        <v>#N/A</v>
      </c>
      <c r="G2105" s="43"/>
    </row>
    <row r="2106" spans="1:7" ht="37.5" x14ac:dyDescent="0.3">
      <c r="A2106" s="45">
        <v>42847</v>
      </c>
      <c r="B2106" s="5" t="s">
        <v>25</v>
      </c>
      <c r="C2106" s="92" t="s">
        <v>1644</v>
      </c>
      <c r="D2106" s="43">
        <v>90</v>
      </c>
      <c r="E2106" s="43"/>
      <c r="F2106" s="43" t="e">
        <f t="shared" si="32"/>
        <v>#N/A</v>
      </c>
      <c r="G2106" s="43"/>
    </row>
    <row r="2107" spans="1:7" x14ac:dyDescent="0.3">
      <c r="A2107" s="45">
        <v>42849</v>
      </c>
      <c r="B2107" s="5" t="s">
        <v>445</v>
      </c>
      <c r="C2107" s="92" t="s">
        <v>31</v>
      </c>
      <c r="D2107" s="43">
        <v>1000</v>
      </c>
      <c r="E2107" s="43"/>
      <c r="F2107" s="43" t="e">
        <f t="shared" si="32"/>
        <v>#N/A</v>
      </c>
      <c r="G2107" s="43"/>
    </row>
    <row r="2108" spans="1:7" x14ac:dyDescent="0.3">
      <c r="A2108" s="45">
        <v>42849</v>
      </c>
      <c r="B2108" s="5" t="s">
        <v>4</v>
      </c>
      <c r="C2108" s="92" t="s">
        <v>1637</v>
      </c>
      <c r="D2108" s="43">
        <v>20000</v>
      </c>
      <c r="E2108" s="43"/>
      <c r="F2108" s="43" t="e">
        <f t="shared" si="32"/>
        <v>#N/A</v>
      </c>
      <c r="G2108" s="43"/>
    </row>
    <row r="2109" spans="1:7" x14ac:dyDescent="0.3">
      <c r="A2109" s="45">
        <v>42849</v>
      </c>
      <c r="B2109" s="5" t="s">
        <v>116</v>
      </c>
      <c r="C2109" s="92" t="s">
        <v>1639</v>
      </c>
      <c r="D2109" s="43">
        <v>3185</v>
      </c>
      <c r="E2109" s="43"/>
      <c r="F2109" s="43" t="e">
        <f t="shared" si="32"/>
        <v>#N/A</v>
      </c>
      <c r="G2109" s="43"/>
    </row>
    <row r="2110" spans="1:7" x14ac:dyDescent="0.3">
      <c r="A2110" s="45">
        <v>42849</v>
      </c>
      <c r="B2110" s="5" t="s">
        <v>116</v>
      </c>
      <c r="C2110" s="92" t="s">
        <v>1661</v>
      </c>
      <c r="D2110" s="65">
        <v>900</v>
      </c>
      <c r="E2110" s="43"/>
      <c r="F2110" s="43" t="e">
        <f t="shared" si="32"/>
        <v>#N/A</v>
      </c>
      <c r="G2110" s="43"/>
    </row>
    <row r="2111" spans="1:7" x14ac:dyDescent="0.3">
      <c r="A2111" s="45">
        <v>42849</v>
      </c>
      <c r="B2111" s="761" t="s">
        <v>1640</v>
      </c>
      <c r="C2111" s="762"/>
      <c r="D2111" s="71"/>
      <c r="E2111" s="72">
        <v>50000</v>
      </c>
      <c r="F2111" s="43" t="e">
        <f t="shared" si="32"/>
        <v>#N/A</v>
      </c>
      <c r="G2111" s="43"/>
    </row>
    <row r="2112" spans="1:7" x14ac:dyDescent="0.3">
      <c r="A2112" s="45">
        <v>42849</v>
      </c>
      <c r="B2112" s="5" t="s">
        <v>120</v>
      </c>
      <c r="C2112" s="92" t="s">
        <v>31</v>
      </c>
      <c r="D2112" s="43">
        <v>15000</v>
      </c>
      <c r="E2112" s="43"/>
      <c r="F2112" s="43" t="e">
        <f t="shared" si="32"/>
        <v>#N/A</v>
      </c>
      <c r="G2112" s="43"/>
    </row>
    <row r="2113" spans="1:7" x14ac:dyDescent="0.3">
      <c r="A2113" s="45">
        <v>42849</v>
      </c>
      <c r="B2113" s="5" t="s">
        <v>58</v>
      </c>
      <c r="C2113" s="92" t="s">
        <v>33</v>
      </c>
      <c r="D2113" s="43">
        <v>100</v>
      </c>
      <c r="E2113" s="43"/>
      <c r="F2113" s="43" t="e">
        <f t="shared" si="32"/>
        <v>#N/A</v>
      </c>
      <c r="G2113" s="43"/>
    </row>
    <row r="2114" spans="1:7" ht="37.5" x14ac:dyDescent="0.3">
      <c r="A2114" s="45">
        <v>42849</v>
      </c>
      <c r="B2114" s="5" t="s">
        <v>25</v>
      </c>
      <c r="C2114" s="92" t="s">
        <v>1667</v>
      </c>
      <c r="D2114" s="43">
        <v>350</v>
      </c>
      <c r="E2114" s="43"/>
      <c r="F2114" s="43" t="e">
        <f t="shared" si="32"/>
        <v>#N/A</v>
      </c>
      <c r="G2114" s="43"/>
    </row>
    <row r="2115" spans="1:7" ht="37.5" x14ac:dyDescent="0.3">
      <c r="A2115" s="45">
        <v>42849</v>
      </c>
      <c r="B2115" s="5" t="s">
        <v>1633</v>
      </c>
      <c r="C2115" s="92" t="s">
        <v>1647</v>
      </c>
      <c r="D2115" s="43">
        <v>1400</v>
      </c>
      <c r="E2115" s="43"/>
      <c r="F2115" s="43" t="e">
        <f t="shared" ref="F2115:F2178" si="33">F2114-D2115+E2115</f>
        <v>#N/A</v>
      </c>
      <c r="G2115" s="43"/>
    </row>
    <row r="2116" spans="1:7" x14ac:dyDescent="0.3">
      <c r="A2116" s="45">
        <v>42849</v>
      </c>
      <c r="B2116" s="5" t="s">
        <v>84</v>
      </c>
      <c r="C2116" s="92" t="s">
        <v>28</v>
      </c>
      <c r="D2116" s="43">
        <v>25000</v>
      </c>
      <c r="E2116" s="43"/>
      <c r="F2116" s="43" t="e">
        <f t="shared" si="33"/>
        <v>#N/A</v>
      </c>
      <c r="G2116" s="43"/>
    </row>
    <row r="2117" spans="1:7" x14ac:dyDescent="0.3">
      <c r="A2117" s="45">
        <v>42849</v>
      </c>
      <c r="B2117" s="5" t="s">
        <v>127</v>
      </c>
      <c r="C2117" s="92" t="s">
        <v>31</v>
      </c>
      <c r="D2117" s="43">
        <v>7070</v>
      </c>
      <c r="E2117" s="43"/>
      <c r="F2117" s="43" t="e">
        <f t="shared" si="33"/>
        <v>#N/A</v>
      </c>
      <c r="G2117" s="43"/>
    </row>
    <row r="2118" spans="1:7" x14ac:dyDescent="0.3">
      <c r="A2118" s="45">
        <v>42850</v>
      </c>
      <c r="B2118" s="107" t="s">
        <v>68</v>
      </c>
      <c r="C2118" s="108" t="s">
        <v>1646</v>
      </c>
      <c r="D2118" s="109">
        <v>350</v>
      </c>
      <c r="E2118" s="43"/>
      <c r="F2118" s="43" t="e">
        <f t="shared" si="33"/>
        <v>#N/A</v>
      </c>
      <c r="G2118" s="43"/>
    </row>
    <row r="2119" spans="1:7" x14ac:dyDescent="0.3">
      <c r="A2119" s="45">
        <v>42850</v>
      </c>
      <c r="B2119" s="5" t="s">
        <v>84</v>
      </c>
      <c r="C2119" s="92" t="s">
        <v>1649</v>
      </c>
      <c r="D2119" s="43">
        <v>1000</v>
      </c>
      <c r="E2119" s="43"/>
      <c r="F2119" s="43" t="e">
        <f t="shared" si="33"/>
        <v>#N/A</v>
      </c>
      <c r="G2119" s="43"/>
    </row>
    <row r="2120" spans="1:7" x14ac:dyDescent="0.3">
      <c r="A2120" s="45">
        <v>42850</v>
      </c>
      <c r="B2120" s="761" t="s">
        <v>1651</v>
      </c>
      <c r="C2120" s="762"/>
      <c r="D2120" s="71"/>
      <c r="E2120" s="72">
        <v>50000</v>
      </c>
      <c r="F2120" s="43" t="e">
        <f t="shared" si="33"/>
        <v>#N/A</v>
      </c>
      <c r="G2120" s="43"/>
    </row>
    <row r="2121" spans="1:7" x14ac:dyDescent="0.3">
      <c r="A2121" s="45">
        <v>42850</v>
      </c>
      <c r="B2121" s="5" t="s">
        <v>1003</v>
      </c>
      <c r="C2121" s="92" t="s">
        <v>1650</v>
      </c>
      <c r="D2121" s="43">
        <v>450</v>
      </c>
      <c r="E2121" s="43"/>
      <c r="F2121" s="43" t="e">
        <f t="shared" si="33"/>
        <v>#N/A</v>
      </c>
      <c r="G2121" s="43"/>
    </row>
    <row r="2122" spans="1:7" x14ac:dyDescent="0.3">
      <c r="A2122" s="45">
        <v>42850</v>
      </c>
      <c r="B2122" s="5" t="s">
        <v>84</v>
      </c>
      <c r="C2122" s="92" t="s">
        <v>1652</v>
      </c>
      <c r="D2122" s="43">
        <v>3000</v>
      </c>
      <c r="E2122" s="43"/>
      <c r="F2122" s="43" t="e">
        <f t="shared" si="33"/>
        <v>#N/A</v>
      </c>
      <c r="G2122" s="43"/>
    </row>
    <row r="2123" spans="1:7" x14ac:dyDescent="0.3">
      <c r="A2123" s="45">
        <v>42850</v>
      </c>
      <c r="B2123" s="5" t="s">
        <v>1653</v>
      </c>
      <c r="C2123" s="92" t="s">
        <v>1654</v>
      </c>
      <c r="D2123" s="43">
        <v>15500</v>
      </c>
      <c r="E2123" s="43"/>
      <c r="F2123" s="43" t="e">
        <f t="shared" si="33"/>
        <v>#N/A</v>
      </c>
      <c r="G2123" s="43"/>
    </row>
    <row r="2124" spans="1:7" x14ac:dyDescent="0.3">
      <c r="A2124" s="45">
        <v>42851</v>
      </c>
      <c r="B2124" s="5" t="s">
        <v>84</v>
      </c>
      <c r="C2124" s="92" t="s">
        <v>1655</v>
      </c>
      <c r="D2124" s="43">
        <v>1000</v>
      </c>
      <c r="E2124" s="43"/>
      <c r="F2124" s="43" t="e">
        <f t="shared" si="33"/>
        <v>#N/A</v>
      </c>
      <c r="G2124" s="43"/>
    </row>
    <row r="2125" spans="1:7" x14ac:dyDescent="0.3">
      <c r="A2125" s="45">
        <v>42851</v>
      </c>
      <c r="B2125" s="5" t="s">
        <v>445</v>
      </c>
      <c r="C2125" s="92" t="s">
        <v>31</v>
      </c>
      <c r="D2125" s="43">
        <v>1000</v>
      </c>
      <c r="E2125" s="43"/>
      <c r="F2125" s="43" t="e">
        <f t="shared" si="33"/>
        <v>#N/A</v>
      </c>
      <c r="G2125" s="43"/>
    </row>
    <row r="2126" spans="1:7" x14ac:dyDescent="0.3">
      <c r="A2126" s="45">
        <v>42851</v>
      </c>
      <c r="B2126" s="5" t="s">
        <v>164</v>
      </c>
      <c r="C2126" s="92" t="s">
        <v>1656</v>
      </c>
      <c r="D2126" s="43">
        <v>10000</v>
      </c>
      <c r="E2126" s="43"/>
      <c r="F2126" s="43" t="e">
        <f t="shared" si="33"/>
        <v>#N/A</v>
      </c>
      <c r="G2126" s="43"/>
    </row>
    <row r="2127" spans="1:7" ht="56.25" x14ac:dyDescent="0.3">
      <c r="A2127" s="45">
        <v>42851</v>
      </c>
      <c r="B2127" s="5" t="s">
        <v>25</v>
      </c>
      <c r="C2127" s="92" t="s">
        <v>1657</v>
      </c>
      <c r="D2127" s="43">
        <v>1200</v>
      </c>
      <c r="E2127" s="43"/>
      <c r="F2127" s="43" t="e">
        <f t="shared" si="33"/>
        <v>#N/A</v>
      </c>
      <c r="G2127" s="43"/>
    </row>
    <row r="2128" spans="1:7" x14ac:dyDescent="0.3">
      <c r="A2128" s="45">
        <v>42851</v>
      </c>
      <c r="B2128" s="5" t="s">
        <v>1616</v>
      </c>
      <c r="C2128" s="92" t="s">
        <v>1658</v>
      </c>
      <c r="D2128" s="43">
        <v>1500</v>
      </c>
      <c r="E2128" s="43"/>
      <c r="F2128" s="43" t="e">
        <f t="shared" si="33"/>
        <v>#N/A</v>
      </c>
      <c r="G2128" s="43"/>
    </row>
    <row r="2129" spans="1:7" x14ac:dyDescent="0.3">
      <c r="A2129" s="45">
        <v>42851</v>
      </c>
      <c r="B2129" s="5" t="s">
        <v>25</v>
      </c>
      <c r="C2129" s="92" t="s">
        <v>1659</v>
      </c>
      <c r="D2129" s="43">
        <v>200</v>
      </c>
      <c r="E2129" s="43"/>
      <c r="F2129" s="43" t="e">
        <f t="shared" si="33"/>
        <v>#N/A</v>
      </c>
      <c r="G2129" s="43"/>
    </row>
    <row r="2130" spans="1:7" x14ac:dyDescent="0.3">
      <c r="A2130" s="45">
        <v>42851</v>
      </c>
      <c r="B2130" s="5" t="s">
        <v>116</v>
      </c>
      <c r="C2130" s="92" t="s">
        <v>1660</v>
      </c>
      <c r="D2130" s="65">
        <v>10000</v>
      </c>
      <c r="E2130" s="43"/>
      <c r="F2130" s="43" t="e">
        <f t="shared" si="33"/>
        <v>#N/A</v>
      </c>
      <c r="G2130" s="43"/>
    </row>
    <row r="2131" spans="1:7" x14ac:dyDescent="0.3">
      <c r="A2131" s="45">
        <v>42851</v>
      </c>
      <c r="B2131" s="107" t="s">
        <v>116</v>
      </c>
      <c r="C2131" s="108" t="s">
        <v>1662</v>
      </c>
      <c r="D2131" s="109">
        <v>600</v>
      </c>
      <c r="E2131" s="43"/>
      <c r="F2131" s="43" t="e">
        <f t="shared" si="33"/>
        <v>#N/A</v>
      </c>
      <c r="G2131" s="43"/>
    </row>
    <row r="2132" spans="1:7" x14ac:dyDescent="0.3">
      <c r="A2132" s="45">
        <v>42851</v>
      </c>
      <c r="B2132" s="107" t="s">
        <v>116</v>
      </c>
      <c r="C2132" s="108" t="s">
        <v>1664</v>
      </c>
      <c r="D2132" s="109">
        <v>160</v>
      </c>
      <c r="E2132" s="43"/>
      <c r="F2132" s="43" t="e">
        <f t="shared" si="33"/>
        <v>#N/A</v>
      </c>
      <c r="G2132" s="43"/>
    </row>
    <row r="2133" spans="1:7" x14ac:dyDescent="0.3">
      <c r="A2133" s="45">
        <v>42851</v>
      </c>
      <c r="B2133" s="5" t="s">
        <v>16</v>
      </c>
      <c r="C2133" s="92" t="s">
        <v>1663</v>
      </c>
      <c r="D2133" s="43">
        <v>1000</v>
      </c>
      <c r="E2133" s="43"/>
      <c r="F2133" s="43" t="e">
        <f t="shared" si="33"/>
        <v>#N/A</v>
      </c>
      <c r="G2133" s="43"/>
    </row>
    <row r="2134" spans="1:7" x14ac:dyDescent="0.3">
      <c r="A2134" s="45">
        <v>42851</v>
      </c>
      <c r="B2134" s="5" t="s">
        <v>58</v>
      </c>
      <c r="C2134" s="92" t="s">
        <v>31</v>
      </c>
      <c r="D2134" s="43">
        <v>100</v>
      </c>
      <c r="E2134" s="43"/>
      <c r="F2134" s="43" t="e">
        <f t="shared" si="33"/>
        <v>#N/A</v>
      </c>
      <c r="G2134" s="43"/>
    </row>
    <row r="2135" spans="1:7" x14ac:dyDescent="0.3">
      <c r="A2135" s="45">
        <v>42852</v>
      </c>
      <c r="B2135" s="5" t="s">
        <v>18</v>
      </c>
      <c r="C2135" s="92" t="s">
        <v>31</v>
      </c>
      <c r="D2135" s="43">
        <v>2000</v>
      </c>
      <c r="E2135" s="43"/>
      <c r="F2135" s="43" t="e">
        <f t="shared" si="33"/>
        <v>#N/A</v>
      </c>
      <c r="G2135" s="43"/>
    </row>
    <row r="2136" spans="1:7" x14ac:dyDescent="0.3">
      <c r="A2136" s="45">
        <v>42852</v>
      </c>
      <c r="B2136" s="5" t="s">
        <v>58</v>
      </c>
      <c r="C2136" s="92" t="s">
        <v>31</v>
      </c>
      <c r="D2136" s="43">
        <v>500</v>
      </c>
      <c r="E2136" s="43"/>
      <c r="F2136" s="43" t="e">
        <f t="shared" si="33"/>
        <v>#N/A</v>
      </c>
      <c r="G2136" s="43"/>
    </row>
    <row r="2137" spans="1:7" x14ac:dyDescent="0.3">
      <c r="A2137" s="45">
        <v>42852</v>
      </c>
      <c r="B2137" s="5" t="s">
        <v>247</v>
      </c>
      <c r="C2137" s="92" t="s">
        <v>1666</v>
      </c>
      <c r="D2137" s="65">
        <v>100</v>
      </c>
      <c r="E2137" s="43"/>
      <c r="F2137" s="43" t="e">
        <f t="shared" si="33"/>
        <v>#N/A</v>
      </c>
      <c r="G2137" s="43"/>
    </row>
    <row r="2138" spans="1:7" x14ac:dyDescent="0.3">
      <c r="A2138" s="45">
        <v>42852</v>
      </c>
      <c r="B2138" s="5" t="s">
        <v>1633</v>
      </c>
      <c r="C2138" s="92" t="s">
        <v>1665</v>
      </c>
      <c r="D2138" s="43">
        <v>2000</v>
      </c>
      <c r="E2138" s="43"/>
      <c r="F2138" s="43" t="e">
        <f t="shared" si="33"/>
        <v>#N/A</v>
      </c>
      <c r="G2138" s="43"/>
    </row>
    <row r="2139" spans="1:7" ht="37.5" x14ac:dyDescent="0.3">
      <c r="A2139" s="45">
        <v>42852</v>
      </c>
      <c r="B2139" s="5" t="s">
        <v>1633</v>
      </c>
      <c r="C2139" s="92" t="s">
        <v>1668</v>
      </c>
      <c r="D2139" s="43">
        <v>160</v>
      </c>
      <c r="E2139" s="43"/>
      <c r="F2139" s="43" t="e">
        <f t="shared" si="33"/>
        <v>#N/A</v>
      </c>
      <c r="G2139" s="43"/>
    </row>
    <row r="2140" spans="1:7" x14ac:dyDescent="0.3">
      <c r="A2140" s="45">
        <v>42852</v>
      </c>
      <c r="B2140" s="5" t="s">
        <v>1633</v>
      </c>
      <c r="C2140" s="92" t="s">
        <v>1669</v>
      </c>
      <c r="D2140" s="43">
        <v>360</v>
      </c>
      <c r="E2140" s="43"/>
      <c r="F2140" s="43" t="e">
        <f t="shared" si="33"/>
        <v>#N/A</v>
      </c>
      <c r="G2140" s="43"/>
    </row>
    <row r="2141" spans="1:7" x14ac:dyDescent="0.3">
      <c r="A2141" s="45">
        <v>42852</v>
      </c>
      <c r="B2141" s="761" t="s">
        <v>1670</v>
      </c>
      <c r="C2141" s="762"/>
      <c r="D2141" s="71"/>
      <c r="E2141" s="72">
        <v>100000</v>
      </c>
      <c r="F2141" s="43" t="e">
        <f t="shared" si="33"/>
        <v>#N/A</v>
      </c>
      <c r="G2141" s="43"/>
    </row>
    <row r="2142" spans="1:7" x14ac:dyDescent="0.3">
      <c r="A2142" s="45">
        <v>42853</v>
      </c>
      <c r="B2142" s="5" t="s">
        <v>164</v>
      </c>
      <c r="C2142" s="92" t="s">
        <v>31</v>
      </c>
      <c r="D2142" s="43">
        <v>50000</v>
      </c>
      <c r="E2142" s="43"/>
      <c r="F2142" s="43" t="e">
        <f t="shared" si="33"/>
        <v>#N/A</v>
      </c>
      <c r="G2142" s="43"/>
    </row>
    <row r="2143" spans="1:7" x14ac:dyDescent="0.3">
      <c r="A2143" s="45">
        <v>42853</v>
      </c>
      <c r="B2143" s="5" t="s">
        <v>116</v>
      </c>
      <c r="C2143" s="92" t="s">
        <v>1671</v>
      </c>
      <c r="D2143" s="43">
        <v>5000</v>
      </c>
      <c r="E2143" s="43"/>
      <c r="F2143" s="43" t="e">
        <f t="shared" si="33"/>
        <v>#N/A</v>
      </c>
      <c r="G2143" s="43"/>
    </row>
    <row r="2144" spans="1:7" x14ac:dyDescent="0.3">
      <c r="A2144" s="45">
        <v>42853</v>
      </c>
      <c r="B2144" s="5" t="s">
        <v>27</v>
      </c>
      <c r="C2144" s="92" t="s">
        <v>31</v>
      </c>
      <c r="D2144" s="43">
        <v>2000</v>
      </c>
      <c r="E2144" s="43"/>
      <c r="F2144" s="43" t="e">
        <f t="shared" si="33"/>
        <v>#N/A</v>
      </c>
      <c r="G2144" s="43"/>
    </row>
    <row r="2145" spans="1:7" x14ac:dyDescent="0.3">
      <c r="A2145" s="45">
        <v>42853</v>
      </c>
      <c r="B2145" s="5" t="s">
        <v>1672</v>
      </c>
      <c r="C2145" s="92" t="s">
        <v>294</v>
      </c>
      <c r="D2145" s="43">
        <v>5000</v>
      </c>
      <c r="E2145" s="43"/>
      <c r="F2145" s="43" t="e">
        <f t="shared" si="33"/>
        <v>#N/A</v>
      </c>
      <c r="G2145" s="43"/>
    </row>
    <row r="2146" spans="1:7" x14ac:dyDescent="0.3">
      <c r="A2146" s="45">
        <v>42854</v>
      </c>
      <c r="B2146" s="5" t="s">
        <v>164</v>
      </c>
      <c r="C2146" s="92" t="s">
        <v>31</v>
      </c>
      <c r="D2146" s="43">
        <v>15000</v>
      </c>
      <c r="E2146" s="43"/>
      <c r="F2146" s="43" t="e">
        <f t="shared" si="33"/>
        <v>#N/A</v>
      </c>
      <c r="G2146" s="43"/>
    </row>
    <row r="2147" spans="1:7" x14ac:dyDescent="0.3">
      <c r="A2147" s="45">
        <v>42854</v>
      </c>
      <c r="B2147" s="5" t="s">
        <v>84</v>
      </c>
      <c r="C2147" s="92" t="s">
        <v>1673</v>
      </c>
      <c r="D2147" s="43">
        <v>20000</v>
      </c>
      <c r="E2147" s="43"/>
      <c r="F2147" s="43" t="e">
        <f t="shared" si="33"/>
        <v>#N/A</v>
      </c>
      <c r="G2147" s="43"/>
    </row>
    <row r="2148" spans="1:7" x14ac:dyDescent="0.3">
      <c r="A2148" s="45">
        <v>42854</v>
      </c>
      <c r="B2148" s="5" t="s">
        <v>58</v>
      </c>
      <c r="C2148" s="92" t="s">
        <v>1674</v>
      </c>
      <c r="D2148" s="43">
        <v>250</v>
      </c>
      <c r="E2148" s="43"/>
      <c r="F2148" s="43" t="e">
        <f t="shared" si="33"/>
        <v>#N/A</v>
      </c>
      <c r="G2148" s="43"/>
    </row>
    <row r="2149" spans="1:7" x14ac:dyDescent="0.3">
      <c r="A2149" s="45">
        <v>42854</v>
      </c>
      <c r="B2149" s="5" t="s">
        <v>58</v>
      </c>
      <c r="C2149" s="92" t="s">
        <v>1683</v>
      </c>
      <c r="D2149" s="43">
        <v>3650</v>
      </c>
      <c r="E2149" s="43"/>
      <c r="F2149" s="43" t="e">
        <f t="shared" si="33"/>
        <v>#N/A</v>
      </c>
      <c r="G2149" s="43"/>
    </row>
    <row r="2150" spans="1:7" x14ac:dyDescent="0.3">
      <c r="A2150" s="45">
        <v>42854</v>
      </c>
      <c r="B2150" s="5" t="s">
        <v>247</v>
      </c>
      <c r="C2150" s="92" t="s">
        <v>1675</v>
      </c>
      <c r="D2150" s="43">
        <v>100</v>
      </c>
      <c r="E2150" s="43"/>
      <c r="F2150" s="43" t="e">
        <f t="shared" si="33"/>
        <v>#N/A</v>
      </c>
      <c r="G2150" s="43"/>
    </row>
    <row r="2151" spans="1:7" x14ac:dyDescent="0.3">
      <c r="A2151" s="45">
        <v>42854</v>
      </c>
      <c r="B2151" s="5" t="s">
        <v>25</v>
      </c>
      <c r="C2151" s="92" t="s">
        <v>1676</v>
      </c>
      <c r="D2151" s="43">
        <f>39+39+35+50</f>
        <v>163</v>
      </c>
      <c r="E2151" s="43"/>
      <c r="F2151" s="43" t="e">
        <f t="shared" si="33"/>
        <v>#N/A</v>
      </c>
      <c r="G2151" s="43"/>
    </row>
    <row r="2152" spans="1:7" ht="37.5" x14ac:dyDescent="0.3">
      <c r="A2152" s="45">
        <v>42854</v>
      </c>
      <c r="B2152" s="5" t="s">
        <v>25</v>
      </c>
      <c r="C2152" s="92" t="s">
        <v>1677</v>
      </c>
      <c r="D2152" s="43">
        <f>140+50</f>
        <v>190</v>
      </c>
      <c r="E2152" s="43"/>
      <c r="F2152" s="43" t="e">
        <f t="shared" si="33"/>
        <v>#N/A</v>
      </c>
      <c r="G2152" s="43"/>
    </row>
    <row r="2153" spans="1:7" x14ac:dyDescent="0.3">
      <c r="A2153" s="45">
        <v>42854</v>
      </c>
      <c r="B2153" s="107" t="s">
        <v>247</v>
      </c>
      <c r="C2153" s="108" t="s">
        <v>1680</v>
      </c>
      <c r="D2153" s="109">
        <v>100</v>
      </c>
      <c r="E2153" s="43"/>
      <c r="F2153" s="43" t="e">
        <f t="shared" si="33"/>
        <v>#N/A</v>
      </c>
      <c r="G2153" s="43"/>
    </row>
    <row r="2154" spans="1:7" x14ac:dyDescent="0.3">
      <c r="A2154" s="45">
        <v>42854</v>
      </c>
      <c r="B2154" s="5" t="s">
        <v>27</v>
      </c>
      <c r="C2154" s="92" t="s">
        <v>31</v>
      </c>
      <c r="D2154" s="43">
        <v>1000</v>
      </c>
      <c r="E2154" s="43"/>
      <c r="F2154" s="43" t="e">
        <f t="shared" si="33"/>
        <v>#N/A</v>
      </c>
      <c r="G2154" s="43"/>
    </row>
    <row r="2155" spans="1:7" x14ac:dyDescent="0.3">
      <c r="A2155" s="45">
        <v>42854</v>
      </c>
      <c r="B2155" s="761" t="s">
        <v>1678</v>
      </c>
      <c r="C2155" s="762"/>
      <c r="D2155" s="71"/>
      <c r="E2155" s="72">
        <v>50000</v>
      </c>
      <c r="F2155" s="43" t="e">
        <f t="shared" si="33"/>
        <v>#N/A</v>
      </c>
      <c r="G2155" s="43"/>
    </row>
    <row r="2156" spans="1:7" x14ac:dyDescent="0.3">
      <c r="A2156" s="45">
        <v>42854</v>
      </c>
      <c r="B2156" s="5" t="s">
        <v>181</v>
      </c>
      <c r="C2156" s="92" t="s">
        <v>31</v>
      </c>
      <c r="D2156" s="43">
        <v>15000</v>
      </c>
      <c r="E2156" s="43"/>
      <c r="F2156" s="43" t="e">
        <f t="shared" si="33"/>
        <v>#N/A</v>
      </c>
      <c r="G2156" s="43"/>
    </row>
    <row r="2157" spans="1:7" x14ac:dyDescent="0.3">
      <c r="A2157" s="45">
        <v>42854</v>
      </c>
      <c r="B2157" s="5" t="s">
        <v>1679</v>
      </c>
      <c r="C2157" s="92" t="s">
        <v>31</v>
      </c>
      <c r="D2157" s="43">
        <v>25000</v>
      </c>
      <c r="E2157" s="43"/>
      <c r="F2157" s="43" t="e">
        <f t="shared" si="33"/>
        <v>#N/A</v>
      </c>
      <c r="G2157" s="43"/>
    </row>
    <row r="2158" spans="1:7" x14ac:dyDescent="0.3">
      <c r="A2158" s="45">
        <v>42857</v>
      </c>
      <c r="B2158" s="5" t="s">
        <v>120</v>
      </c>
      <c r="C2158" s="92" t="s">
        <v>1681</v>
      </c>
      <c r="D2158" s="43">
        <v>250</v>
      </c>
      <c r="E2158" s="43"/>
      <c r="F2158" s="43" t="e">
        <f t="shared" si="33"/>
        <v>#N/A</v>
      </c>
      <c r="G2158" s="43"/>
    </row>
    <row r="2159" spans="1:7" x14ac:dyDescent="0.3">
      <c r="A2159" s="45">
        <v>42857</v>
      </c>
      <c r="B2159" s="5" t="s">
        <v>116</v>
      </c>
      <c r="C2159" s="92" t="s">
        <v>1682</v>
      </c>
      <c r="D2159" s="65">
        <v>2945</v>
      </c>
      <c r="E2159" s="43"/>
      <c r="F2159" s="43" t="e">
        <f t="shared" si="33"/>
        <v>#N/A</v>
      </c>
      <c r="G2159" s="43"/>
    </row>
    <row r="2160" spans="1:7" x14ac:dyDescent="0.3">
      <c r="A2160" s="45">
        <v>42857</v>
      </c>
      <c r="B2160" s="107" t="s">
        <v>116</v>
      </c>
      <c r="C2160" s="108" t="s">
        <v>1682</v>
      </c>
      <c r="D2160" s="109">
        <v>1055</v>
      </c>
      <c r="E2160" s="43"/>
      <c r="F2160" s="43" t="e">
        <f t="shared" si="33"/>
        <v>#N/A</v>
      </c>
      <c r="G2160" s="43"/>
    </row>
    <row r="2161" spans="1:7" x14ac:dyDescent="0.3">
      <c r="A2161" s="45">
        <v>42858</v>
      </c>
      <c r="B2161" s="5" t="s">
        <v>1633</v>
      </c>
      <c r="C2161" s="92" t="s">
        <v>1684</v>
      </c>
      <c r="D2161" s="43">
        <v>605</v>
      </c>
      <c r="E2161" s="43"/>
      <c r="F2161" s="43" t="e">
        <f t="shared" si="33"/>
        <v>#N/A</v>
      </c>
      <c r="G2161" s="43"/>
    </row>
    <row r="2162" spans="1:7" x14ac:dyDescent="0.3">
      <c r="A2162" s="45">
        <v>42858</v>
      </c>
      <c r="B2162" s="5" t="s">
        <v>16</v>
      </c>
      <c r="C2162" s="92" t="s">
        <v>31</v>
      </c>
      <c r="D2162" s="43">
        <v>200</v>
      </c>
      <c r="E2162" s="43"/>
      <c r="F2162" s="43" t="e">
        <f t="shared" si="33"/>
        <v>#N/A</v>
      </c>
      <c r="G2162" s="43"/>
    </row>
    <row r="2163" spans="1:7" ht="37.5" x14ac:dyDescent="0.3">
      <c r="A2163" s="45">
        <v>42858</v>
      </c>
      <c r="B2163" s="5" t="s">
        <v>25</v>
      </c>
      <c r="C2163" s="92" t="s">
        <v>1685</v>
      </c>
      <c r="D2163" s="43">
        <v>200</v>
      </c>
      <c r="E2163" s="43"/>
      <c r="F2163" s="43" t="e">
        <f t="shared" si="33"/>
        <v>#N/A</v>
      </c>
      <c r="G2163" s="43"/>
    </row>
    <row r="2164" spans="1:7" x14ac:dyDescent="0.3">
      <c r="A2164" s="45">
        <v>42858</v>
      </c>
      <c r="B2164" s="5" t="s">
        <v>120</v>
      </c>
      <c r="C2164" s="92" t="s">
        <v>31</v>
      </c>
      <c r="D2164" s="43">
        <v>1000</v>
      </c>
      <c r="E2164" s="43"/>
      <c r="F2164" s="43" t="e">
        <f t="shared" si="33"/>
        <v>#N/A</v>
      </c>
      <c r="G2164" s="43"/>
    </row>
    <row r="2165" spans="1:7" x14ac:dyDescent="0.3">
      <c r="A2165" s="45">
        <v>42858</v>
      </c>
      <c r="B2165" s="5" t="s">
        <v>58</v>
      </c>
      <c r="C2165" s="92" t="s">
        <v>31</v>
      </c>
      <c r="D2165" s="43">
        <v>100</v>
      </c>
      <c r="E2165" s="43"/>
      <c r="F2165" s="43" t="e">
        <f t="shared" si="33"/>
        <v>#N/A</v>
      </c>
      <c r="G2165" s="43"/>
    </row>
    <row r="2166" spans="1:7" ht="37.5" x14ac:dyDescent="0.3">
      <c r="A2166" s="45">
        <v>42858</v>
      </c>
      <c r="B2166" s="5" t="s">
        <v>1686</v>
      </c>
      <c r="C2166" s="92" t="s">
        <v>1687</v>
      </c>
      <c r="D2166" s="43">
        <v>418</v>
      </c>
      <c r="E2166" s="43"/>
      <c r="F2166" s="43" t="e">
        <f t="shared" si="33"/>
        <v>#N/A</v>
      </c>
      <c r="G2166" s="43"/>
    </row>
    <row r="2167" spans="1:7" ht="37.5" x14ac:dyDescent="0.3">
      <c r="A2167" s="45">
        <v>42858</v>
      </c>
      <c r="B2167" s="5" t="s">
        <v>1686</v>
      </c>
      <c r="C2167" s="92" t="s">
        <v>1688</v>
      </c>
      <c r="D2167" s="43">
        <v>113</v>
      </c>
      <c r="E2167" s="43"/>
      <c r="F2167" s="43" t="e">
        <f t="shared" si="33"/>
        <v>#N/A</v>
      </c>
      <c r="G2167" s="43"/>
    </row>
    <row r="2168" spans="1:7" x14ac:dyDescent="0.3">
      <c r="A2168" s="45">
        <v>42859</v>
      </c>
      <c r="B2168" s="5" t="s">
        <v>58</v>
      </c>
      <c r="C2168" s="92" t="s">
        <v>31</v>
      </c>
      <c r="D2168" s="43">
        <v>300</v>
      </c>
      <c r="E2168" s="43"/>
      <c r="F2168" s="43" t="e">
        <f t="shared" si="33"/>
        <v>#N/A</v>
      </c>
      <c r="G2168" s="43"/>
    </row>
    <row r="2169" spans="1:7" x14ac:dyDescent="0.3">
      <c r="A2169" s="45">
        <v>42859</v>
      </c>
      <c r="B2169" s="125" t="s">
        <v>1679</v>
      </c>
      <c r="C2169" s="126" t="s">
        <v>1689</v>
      </c>
      <c r="D2169" s="127">
        <v>200</v>
      </c>
      <c r="E2169" s="43"/>
      <c r="F2169" s="43" t="e">
        <f t="shared" si="33"/>
        <v>#N/A</v>
      </c>
      <c r="G2169" s="43"/>
    </row>
    <row r="2170" spans="1:7" x14ac:dyDescent="0.3">
      <c r="A2170" s="45">
        <v>42859</v>
      </c>
      <c r="B2170" s="125" t="s">
        <v>247</v>
      </c>
      <c r="C2170" s="126" t="s">
        <v>1690</v>
      </c>
      <c r="D2170" s="127">
        <v>500</v>
      </c>
      <c r="E2170" s="43"/>
      <c r="F2170" s="43" t="e">
        <f t="shared" si="33"/>
        <v>#N/A</v>
      </c>
      <c r="G2170" s="43"/>
    </row>
    <row r="2171" spans="1:7" x14ac:dyDescent="0.3">
      <c r="A2171" s="45">
        <v>42859</v>
      </c>
      <c r="B2171" s="5" t="s">
        <v>1281</v>
      </c>
      <c r="C2171" s="92" t="s">
        <v>1691</v>
      </c>
      <c r="D2171" s="43">
        <v>35</v>
      </c>
      <c r="E2171" s="43"/>
      <c r="F2171" s="43" t="e">
        <f t="shared" si="33"/>
        <v>#N/A</v>
      </c>
      <c r="G2171" s="43"/>
    </row>
    <row r="2172" spans="1:7" x14ac:dyDescent="0.3">
      <c r="A2172" s="45">
        <v>42859</v>
      </c>
      <c r="B2172" s="761" t="s">
        <v>1696</v>
      </c>
      <c r="C2172" s="762"/>
      <c r="D2172" s="71"/>
      <c r="E2172" s="72">
        <v>50000</v>
      </c>
      <c r="F2172" s="43" t="e">
        <f t="shared" si="33"/>
        <v>#N/A</v>
      </c>
      <c r="G2172" s="43"/>
    </row>
    <row r="2173" spans="1:7" x14ac:dyDescent="0.3">
      <c r="A2173" s="45">
        <v>42859</v>
      </c>
      <c r="B2173" s="5" t="s">
        <v>18</v>
      </c>
      <c r="C2173" s="92" t="s">
        <v>31</v>
      </c>
      <c r="D2173" s="43">
        <v>2000</v>
      </c>
      <c r="E2173" s="43"/>
      <c r="F2173" s="43" t="e">
        <f t="shared" si="33"/>
        <v>#N/A</v>
      </c>
      <c r="G2173" s="43"/>
    </row>
    <row r="2174" spans="1:7" x14ac:dyDescent="0.3">
      <c r="A2174" s="45">
        <v>42859</v>
      </c>
      <c r="B2174" s="5" t="s">
        <v>127</v>
      </c>
      <c r="C2174" s="92" t="s">
        <v>1692</v>
      </c>
      <c r="D2174" s="43">
        <v>5950</v>
      </c>
      <c r="E2174" s="43"/>
      <c r="F2174" s="43" t="e">
        <f t="shared" si="33"/>
        <v>#N/A</v>
      </c>
      <c r="G2174" s="43"/>
    </row>
    <row r="2175" spans="1:7" x14ac:dyDescent="0.3">
      <c r="A2175" s="45">
        <v>42859</v>
      </c>
      <c r="B2175" s="125" t="s">
        <v>120</v>
      </c>
      <c r="C2175" s="126" t="s">
        <v>31</v>
      </c>
      <c r="D2175" s="127">
        <v>5000</v>
      </c>
      <c r="E2175" s="43"/>
      <c r="F2175" s="43" t="e">
        <f t="shared" si="33"/>
        <v>#N/A</v>
      </c>
      <c r="G2175" s="43"/>
    </row>
    <row r="2176" spans="1:7" ht="37.5" x14ac:dyDescent="0.3">
      <c r="A2176" s="45">
        <v>42859</v>
      </c>
      <c r="B2176" s="5" t="s">
        <v>1693</v>
      </c>
      <c r="C2176" s="92" t="s">
        <v>1694</v>
      </c>
      <c r="D2176" s="65">
        <v>6000</v>
      </c>
      <c r="E2176" s="43"/>
      <c r="F2176" s="43" t="e">
        <f t="shared" si="33"/>
        <v>#N/A</v>
      </c>
      <c r="G2176" s="43"/>
    </row>
    <row r="2177" spans="1:7" x14ac:dyDescent="0.3">
      <c r="A2177" s="45">
        <v>42859</v>
      </c>
      <c r="B2177" s="5" t="s">
        <v>27</v>
      </c>
      <c r="C2177" s="92" t="s">
        <v>31</v>
      </c>
      <c r="D2177" s="43">
        <v>13000</v>
      </c>
      <c r="E2177" s="43"/>
      <c r="F2177" s="43" t="e">
        <f t="shared" si="33"/>
        <v>#N/A</v>
      </c>
      <c r="G2177" s="43"/>
    </row>
    <row r="2178" spans="1:7" x14ac:dyDescent="0.3">
      <c r="A2178" s="45">
        <v>42859</v>
      </c>
      <c r="B2178" s="5" t="s">
        <v>16</v>
      </c>
      <c r="C2178" s="92" t="s">
        <v>31</v>
      </c>
      <c r="D2178" s="43">
        <v>500</v>
      </c>
      <c r="E2178" s="43"/>
      <c r="F2178" s="43" t="e">
        <f t="shared" si="33"/>
        <v>#N/A</v>
      </c>
      <c r="G2178" s="43"/>
    </row>
    <row r="2179" spans="1:7" x14ac:dyDescent="0.3">
      <c r="A2179" s="45">
        <v>42859</v>
      </c>
      <c r="B2179" s="5" t="s">
        <v>25</v>
      </c>
      <c r="C2179" s="92" t="s">
        <v>1704</v>
      </c>
      <c r="D2179" s="43">
        <v>290</v>
      </c>
      <c r="E2179" s="43"/>
      <c r="F2179" s="43" t="e">
        <f t="shared" ref="F2179:F2242" si="34">F2178-D2179+E2179</f>
        <v>#N/A</v>
      </c>
      <c r="G2179" s="43"/>
    </row>
    <row r="2180" spans="1:7" x14ac:dyDescent="0.3">
      <c r="A2180" s="45">
        <v>42859</v>
      </c>
      <c r="B2180" s="5" t="s">
        <v>25</v>
      </c>
      <c r="C2180" s="92" t="s">
        <v>1705</v>
      </c>
      <c r="D2180" s="43">
        <v>160</v>
      </c>
      <c r="E2180" s="43"/>
      <c r="F2180" s="43" t="e">
        <f t="shared" si="34"/>
        <v>#N/A</v>
      </c>
      <c r="G2180" s="43"/>
    </row>
    <row r="2181" spans="1:7" x14ac:dyDescent="0.3">
      <c r="A2181" s="45">
        <v>42859</v>
      </c>
      <c r="B2181" s="5" t="s">
        <v>247</v>
      </c>
      <c r="C2181" s="92" t="s">
        <v>1771</v>
      </c>
      <c r="D2181" s="43">
        <v>140</v>
      </c>
      <c r="E2181" s="43"/>
      <c r="F2181" s="43" t="e">
        <f t="shared" si="34"/>
        <v>#N/A</v>
      </c>
      <c r="G2181" s="43"/>
    </row>
    <row r="2182" spans="1:7" x14ac:dyDescent="0.3">
      <c r="A2182" s="45">
        <v>42859</v>
      </c>
      <c r="B2182" s="5" t="s">
        <v>247</v>
      </c>
      <c r="C2182" s="92" t="s">
        <v>1771</v>
      </c>
      <c r="D2182" s="43">
        <v>270</v>
      </c>
      <c r="E2182" s="43"/>
      <c r="F2182" s="43" t="e">
        <f t="shared" si="34"/>
        <v>#N/A</v>
      </c>
      <c r="G2182" s="43"/>
    </row>
    <row r="2183" spans="1:7" x14ac:dyDescent="0.3">
      <c r="A2183" s="45">
        <v>42860</v>
      </c>
      <c r="B2183" s="5" t="s">
        <v>25</v>
      </c>
      <c r="C2183" s="92" t="s">
        <v>1695</v>
      </c>
      <c r="D2183" s="43">
        <v>300</v>
      </c>
      <c r="E2183" s="43"/>
      <c r="F2183" s="43" t="e">
        <f t="shared" si="34"/>
        <v>#N/A</v>
      </c>
      <c r="G2183" s="43"/>
    </row>
    <row r="2184" spans="1:7" ht="37.5" x14ac:dyDescent="0.3">
      <c r="A2184" s="45">
        <v>42860</v>
      </c>
      <c r="B2184" s="5" t="s">
        <v>70</v>
      </c>
      <c r="C2184" s="92" t="s">
        <v>1713</v>
      </c>
      <c r="D2184" s="43">
        <v>5240</v>
      </c>
      <c r="E2184" s="43"/>
      <c r="F2184" s="43" t="e">
        <f t="shared" si="34"/>
        <v>#N/A</v>
      </c>
      <c r="G2184" s="43"/>
    </row>
    <row r="2185" spans="1:7" ht="37.5" x14ac:dyDescent="0.3">
      <c r="A2185" s="45">
        <v>42860</v>
      </c>
      <c r="B2185" s="44" t="s">
        <v>162</v>
      </c>
      <c r="C2185" s="92" t="s">
        <v>1697</v>
      </c>
      <c r="D2185" s="32">
        <v>150</v>
      </c>
      <c r="E2185" s="43"/>
      <c r="F2185" s="43" t="e">
        <f t="shared" si="34"/>
        <v>#N/A</v>
      </c>
      <c r="G2185" s="43"/>
    </row>
    <row r="2186" spans="1:7" x14ac:dyDescent="0.3">
      <c r="A2186" s="45">
        <v>42860</v>
      </c>
      <c r="B2186" s="5" t="s">
        <v>116</v>
      </c>
      <c r="C2186" s="92" t="s">
        <v>1727</v>
      </c>
      <c r="D2186" s="43">
        <v>5000</v>
      </c>
      <c r="E2186" s="43"/>
      <c r="F2186" s="43" t="e">
        <f t="shared" si="34"/>
        <v>#N/A</v>
      </c>
      <c r="G2186" s="43"/>
    </row>
    <row r="2187" spans="1:7" x14ac:dyDescent="0.3">
      <c r="A2187" s="45">
        <v>42860</v>
      </c>
      <c r="B2187" s="5" t="s">
        <v>16</v>
      </c>
      <c r="C2187" s="92" t="s">
        <v>31</v>
      </c>
      <c r="D2187" s="43">
        <v>3000</v>
      </c>
      <c r="E2187" s="43"/>
      <c r="F2187" s="43" t="e">
        <f t="shared" si="34"/>
        <v>#N/A</v>
      </c>
      <c r="G2187" s="43"/>
    </row>
    <row r="2188" spans="1:7" x14ac:dyDescent="0.3">
      <c r="A2188" s="45">
        <v>42860</v>
      </c>
      <c r="B2188" s="5" t="s">
        <v>25</v>
      </c>
      <c r="C2188" s="92" t="s">
        <v>1698</v>
      </c>
      <c r="D2188" s="43">
        <v>3000</v>
      </c>
      <c r="E2188" s="43"/>
      <c r="F2188" s="43" t="e">
        <f t="shared" si="34"/>
        <v>#N/A</v>
      </c>
      <c r="G2188" s="43"/>
    </row>
    <row r="2189" spans="1:7" ht="37.5" x14ac:dyDescent="0.3">
      <c r="A2189" s="45">
        <v>42860</v>
      </c>
      <c r="B2189" s="5" t="s">
        <v>58</v>
      </c>
      <c r="C2189" s="92" t="s">
        <v>1903</v>
      </c>
      <c r="D2189" s="43">
        <v>418</v>
      </c>
      <c r="E2189" s="43"/>
      <c r="F2189" s="43" t="e">
        <f t="shared" si="34"/>
        <v>#N/A</v>
      </c>
      <c r="G2189" s="43"/>
    </row>
    <row r="2190" spans="1:7" ht="37.5" x14ac:dyDescent="0.3">
      <c r="A2190" s="45">
        <v>42860</v>
      </c>
      <c r="B2190" s="5" t="s">
        <v>25</v>
      </c>
      <c r="C2190" s="92" t="s">
        <v>1703</v>
      </c>
      <c r="D2190" s="43">
        <f>195+36+90</f>
        <v>321</v>
      </c>
      <c r="E2190" s="43"/>
      <c r="F2190" s="43" t="e">
        <f t="shared" si="34"/>
        <v>#N/A</v>
      </c>
      <c r="G2190" s="43"/>
    </row>
    <row r="2191" spans="1:7" x14ac:dyDescent="0.3">
      <c r="A2191" s="45">
        <v>42860</v>
      </c>
      <c r="B2191" s="5" t="s">
        <v>25</v>
      </c>
      <c r="C2191" s="92" t="s">
        <v>1702</v>
      </c>
      <c r="D2191" s="43">
        <v>228</v>
      </c>
      <c r="E2191" s="43"/>
      <c r="F2191" s="43" t="e">
        <f t="shared" si="34"/>
        <v>#N/A</v>
      </c>
      <c r="G2191" s="43"/>
    </row>
    <row r="2192" spans="1:7" x14ac:dyDescent="0.3">
      <c r="A2192" s="45">
        <v>42861</v>
      </c>
      <c r="B2192" s="761" t="s">
        <v>1706</v>
      </c>
      <c r="C2192" s="762"/>
      <c r="D2192" s="71"/>
      <c r="E2192" s="72">
        <v>5065</v>
      </c>
      <c r="F2192" s="43" t="e">
        <f t="shared" si="34"/>
        <v>#N/A</v>
      </c>
      <c r="G2192" s="43"/>
    </row>
    <row r="2193" spans="1:9" x14ac:dyDescent="0.3">
      <c r="A2193" s="45">
        <v>42861</v>
      </c>
      <c r="B2193" s="5" t="s">
        <v>1003</v>
      </c>
      <c r="C2193" s="92" t="s">
        <v>1707</v>
      </c>
      <c r="D2193" s="43">
        <v>2400</v>
      </c>
      <c r="E2193" s="43"/>
      <c r="F2193" s="43" t="e">
        <f t="shared" si="34"/>
        <v>#N/A</v>
      </c>
      <c r="G2193" s="43"/>
    </row>
    <row r="2194" spans="1:9" x14ac:dyDescent="0.3">
      <c r="A2194" s="45">
        <v>42861</v>
      </c>
      <c r="B2194" s="5" t="s">
        <v>445</v>
      </c>
      <c r="C2194" s="92" t="s">
        <v>1708</v>
      </c>
      <c r="D2194" s="43">
        <v>500</v>
      </c>
      <c r="E2194" s="43"/>
      <c r="F2194" s="43" t="e">
        <f t="shared" si="34"/>
        <v>#N/A</v>
      </c>
      <c r="G2194" s="43"/>
    </row>
    <row r="2195" spans="1:9" x14ac:dyDescent="0.3">
      <c r="A2195" s="45">
        <v>42861</v>
      </c>
      <c r="B2195" s="5" t="s">
        <v>247</v>
      </c>
      <c r="C2195" s="92" t="s">
        <v>1772</v>
      </c>
      <c r="D2195" s="43">
        <v>140</v>
      </c>
      <c r="E2195" s="43"/>
      <c r="F2195" s="43" t="e">
        <f t="shared" si="34"/>
        <v>#N/A</v>
      </c>
      <c r="G2195" s="43"/>
    </row>
    <row r="2196" spans="1:9" x14ac:dyDescent="0.3">
      <c r="A2196" s="45">
        <v>42861</v>
      </c>
      <c r="B2196" s="5" t="s">
        <v>1003</v>
      </c>
      <c r="C2196" s="92" t="s">
        <v>1709</v>
      </c>
      <c r="D2196" s="43">
        <v>200</v>
      </c>
      <c r="E2196" s="43"/>
      <c r="F2196" s="43" t="e">
        <f t="shared" si="34"/>
        <v>#N/A</v>
      </c>
      <c r="G2196" s="43"/>
      <c r="I2196" s="361"/>
    </row>
    <row r="2197" spans="1:9" x14ac:dyDescent="0.3">
      <c r="A2197" s="45">
        <v>42861</v>
      </c>
      <c r="B2197" s="125" t="s">
        <v>247</v>
      </c>
      <c r="C2197" s="126" t="s">
        <v>1690</v>
      </c>
      <c r="D2197" s="127">
        <v>550</v>
      </c>
      <c r="E2197" s="43"/>
      <c r="F2197" s="43" t="e">
        <f t="shared" si="34"/>
        <v>#N/A</v>
      </c>
      <c r="G2197" s="43"/>
    </row>
    <row r="2198" spans="1:9" x14ac:dyDescent="0.3">
      <c r="A2198" s="45">
        <v>42861</v>
      </c>
      <c r="B2198" s="5" t="s">
        <v>58</v>
      </c>
      <c r="C2198" s="92" t="s">
        <v>31</v>
      </c>
      <c r="D2198" s="43">
        <v>200</v>
      </c>
      <c r="E2198" s="43"/>
      <c r="F2198" s="43" t="e">
        <f t="shared" si="34"/>
        <v>#N/A</v>
      </c>
      <c r="G2198" s="43"/>
    </row>
    <row r="2199" spans="1:9" x14ac:dyDescent="0.3">
      <c r="A2199" s="45">
        <v>42863</v>
      </c>
      <c r="B2199" s="5" t="s">
        <v>629</v>
      </c>
      <c r="C2199" s="92" t="s">
        <v>1710</v>
      </c>
      <c r="D2199" s="65">
        <v>300</v>
      </c>
      <c r="E2199" s="43"/>
      <c r="F2199" s="43" t="e">
        <f t="shared" si="34"/>
        <v>#N/A</v>
      </c>
      <c r="G2199" s="43"/>
    </row>
    <row r="2200" spans="1:9" x14ac:dyDescent="0.3">
      <c r="A2200" s="45">
        <v>42863</v>
      </c>
      <c r="B2200" s="761" t="s">
        <v>1696</v>
      </c>
      <c r="C2200" s="762"/>
      <c r="D2200" s="71"/>
      <c r="E2200" s="72">
        <v>50000</v>
      </c>
      <c r="F2200" s="43" t="e">
        <f t="shared" si="34"/>
        <v>#N/A</v>
      </c>
      <c r="G2200" s="43"/>
    </row>
    <row r="2201" spans="1:9" x14ac:dyDescent="0.3">
      <c r="A2201" s="45">
        <v>42863</v>
      </c>
      <c r="B2201" s="5" t="s">
        <v>1653</v>
      </c>
      <c r="C2201" s="92" t="s">
        <v>31</v>
      </c>
      <c r="D2201" s="43">
        <v>2100</v>
      </c>
      <c r="E2201" s="43"/>
      <c r="F2201" s="43" t="e">
        <f t="shared" si="34"/>
        <v>#N/A</v>
      </c>
      <c r="G2201" s="43"/>
    </row>
    <row r="2202" spans="1:9" x14ac:dyDescent="0.3">
      <c r="A2202" s="45">
        <v>42863</v>
      </c>
      <c r="B2202" s="5" t="s">
        <v>445</v>
      </c>
      <c r="C2202" s="92" t="s">
        <v>1728</v>
      </c>
      <c r="D2202" s="43">
        <v>2000</v>
      </c>
      <c r="E2202" s="43"/>
      <c r="F2202" s="43" t="e">
        <f t="shared" si="34"/>
        <v>#N/A</v>
      </c>
      <c r="G2202" s="43"/>
    </row>
    <row r="2203" spans="1:9" x14ac:dyDescent="0.3">
      <c r="A2203" s="45">
        <v>42863</v>
      </c>
      <c r="B2203" s="5" t="s">
        <v>1711</v>
      </c>
      <c r="C2203" s="92" t="s">
        <v>31</v>
      </c>
      <c r="D2203" s="43">
        <v>3800</v>
      </c>
      <c r="E2203" s="43"/>
      <c r="F2203" s="43" t="e">
        <f t="shared" si="34"/>
        <v>#N/A</v>
      </c>
      <c r="G2203" s="43"/>
    </row>
    <row r="2204" spans="1:9" x14ac:dyDescent="0.3">
      <c r="A2204" s="45">
        <v>42863</v>
      </c>
      <c r="B2204" s="5" t="s">
        <v>25</v>
      </c>
      <c r="C2204" s="92" t="s">
        <v>1712</v>
      </c>
      <c r="D2204" s="43">
        <v>130</v>
      </c>
      <c r="E2204" s="43"/>
      <c r="F2204" s="43" t="e">
        <f t="shared" si="34"/>
        <v>#N/A</v>
      </c>
      <c r="G2204" s="43"/>
    </row>
    <row r="2205" spans="1:9" x14ac:dyDescent="0.3">
      <c r="A2205" s="45">
        <v>42863</v>
      </c>
      <c r="B2205" s="128" t="s">
        <v>70</v>
      </c>
      <c r="C2205" s="129" t="s">
        <v>798</v>
      </c>
      <c r="D2205" s="130">
        <v>1300</v>
      </c>
      <c r="E2205" s="43"/>
      <c r="F2205" s="43" t="e">
        <f t="shared" si="34"/>
        <v>#N/A</v>
      </c>
      <c r="G2205" s="43"/>
    </row>
    <row r="2206" spans="1:9" x14ac:dyDescent="0.3">
      <c r="A2206" s="45">
        <v>42863</v>
      </c>
      <c r="B2206" s="5" t="s">
        <v>1714</v>
      </c>
      <c r="C2206" s="92" t="s">
        <v>1715</v>
      </c>
      <c r="D2206" s="43">
        <v>10000</v>
      </c>
      <c r="E2206" s="43"/>
      <c r="F2206" s="43" t="e">
        <f t="shared" si="34"/>
        <v>#N/A</v>
      </c>
      <c r="G2206" s="43"/>
    </row>
    <row r="2207" spans="1:9" x14ac:dyDescent="0.3">
      <c r="A2207" s="45">
        <v>42863</v>
      </c>
      <c r="B2207" s="5" t="s">
        <v>120</v>
      </c>
      <c r="C2207" s="92" t="s">
        <v>31</v>
      </c>
      <c r="D2207" s="43">
        <v>5000</v>
      </c>
      <c r="E2207" s="43"/>
      <c r="F2207" s="43" t="e">
        <f t="shared" si="34"/>
        <v>#N/A</v>
      </c>
      <c r="G2207" s="43"/>
    </row>
    <row r="2208" spans="1:9" x14ac:dyDescent="0.3">
      <c r="A2208" s="45">
        <v>42863</v>
      </c>
      <c r="B2208" s="5" t="s">
        <v>1672</v>
      </c>
      <c r="C2208" s="92" t="s">
        <v>1716</v>
      </c>
      <c r="D2208" s="43">
        <v>1000</v>
      </c>
      <c r="E2208" s="43"/>
      <c r="F2208" s="43" t="e">
        <f t="shared" si="34"/>
        <v>#N/A</v>
      </c>
      <c r="G2208" s="43"/>
    </row>
    <row r="2209" spans="1:7" x14ac:dyDescent="0.3">
      <c r="A2209" s="45">
        <v>42863</v>
      </c>
      <c r="B2209" s="5" t="s">
        <v>27</v>
      </c>
      <c r="C2209" s="92" t="s">
        <v>31</v>
      </c>
      <c r="D2209" s="43">
        <v>2000</v>
      </c>
      <c r="E2209" s="43"/>
      <c r="F2209" s="43" t="e">
        <f t="shared" si="34"/>
        <v>#N/A</v>
      </c>
      <c r="G2209" s="43"/>
    </row>
    <row r="2210" spans="1:7" x14ac:dyDescent="0.3">
      <c r="A2210" s="45">
        <v>42863</v>
      </c>
      <c r="B2210" s="5" t="s">
        <v>45</v>
      </c>
      <c r="C2210" s="92" t="s">
        <v>1717</v>
      </c>
      <c r="D2210" s="43">
        <v>10000</v>
      </c>
      <c r="E2210" s="43"/>
      <c r="F2210" s="43" t="e">
        <f t="shared" si="34"/>
        <v>#N/A</v>
      </c>
      <c r="G2210" s="43"/>
    </row>
    <row r="2211" spans="1:7" ht="37.5" x14ac:dyDescent="0.3">
      <c r="A2211" s="45">
        <v>42863</v>
      </c>
      <c r="B2211" s="5" t="s">
        <v>1718</v>
      </c>
      <c r="C2211" s="92" t="s">
        <v>1719</v>
      </c>
      <c r="D2211" s="28">
        <v>418</v>
      </c>
      <c r="E2211" s="43"/>
      <c r="F2211" s="43" t="e">
        <f t="shared" si="34"/>
        <v>#N/A</v>
      </c>
      <c r="G2211" s="43"/>
    </row>
    <row r="2212" spans="1:7" x14ac:dyDescent="0.3">
      <c r="A2212" s="45">
        <v>42863</v>
      </c>
      <c r="B2212" s="5" t="s">
        <v>58</v>
      </c>
      <c r="C2212" s="92" t="s">
        <v>31</v>
      </c>
      <c r="D2212" s="43">
        <v>1000</v>
      </c>
      <c r="E2212" s="43"/>
      <c r="F2212" s="43" t="e">
        <f t="shared" si="34"/>
        <v>#N/A</v>
      </c>
      <c r="G2212" s="43"/>
    </row>
    <row r="2213" spans="1:7" ht="37.5" x14ac:dyDescent="0.3">
      <c r="A2213" s="45">
        <v>42863</v>
      </c>
      <c r="B2213" s="5" t="s">
        <v>25</v>
      </c>
      <c r="C2213" s="92" t="s">
        <v>1731</v>
      </c>
      <c r="D2213" s="43">
        <f>120+150</f>
        <v>270</v>
      </c>
      <c r="E2213" s="43"/>
      <c r="F2213" s="43" t="e">
        <f t="shared" si="34"/>
        <v>#N/A</v>
      </c>
      <c r="G2213" s="43"/>
    </row>
    <row r="2214" spans="1:7" x14ac:dyDescent="0.3">
      <c r="A2214" s="45">
        <v>42863</v>
      </c>
      <c r="B2214" s="5" t="s">
        <v>25</v>
      </c>
      <c r="C2214" s="92" t="s">
        <v>1730</v>
      </c>
      <c r="D2214" s="43">
        <v>200</v>
      </c>
      <c r="E2214" s="43"/>
      <c r="F2214" s="43" t="e">
        <f t="shared" si="34"/>
        <v>#N/A</v>
      </c>
      <c r="G2214" s="43"/>
    </row>
    <row r="2215" spans="1:7" ht="37.5" x14ac:dyDescent="0.3">
      <c r="A2215" s="45">
        <v>42863</v>
      </c>
      <c r="B2215" s="5" t="s">
        <v>25</v>
      </c>
      <c r="C2215" s="92" t="s">
        <v>1732</v>
      </c>
      <c r="D2215" s="43">
        <v>120</v>
      </c>
      <c r="E2215" s="43"/>
      <c r="F2215" s="43" t="e">
        <f t="shared" si="34"/>
        <v>#N/A</v>
      </c>
      <c r="G2215" s="43"/>
    </row>
    <row r="2216" spans="1:7" x14ac:dyDescent="0.3">
      <c r="A2216" s="45">
        <v>42864</v>
      </c>
      <c r="B2216" s="5" t="s">
        <v>16</v>
      </c>
      <c r="C2216" s="92" t="s">
        <v>1720</v>
      </c>
      <c r="D2216" s="43">
        <v>1000</v>
      </c>
      <c r="E2216" s="43"/>
      <c r="F2216" s="43" t="e">
        <f t="shared" si="34"/>
        <v>#N/A</v>
      </c>
      <c r="G2216" s="43"/>
    </row>
    <row r="2217" spans="1:7" x14ac:dyDescent="0.3">
      <c r="A2217" s="45">
        <v>42864</v>
      </c>
      <c r="B2217" s="5" t="s">
        <v>84</v>
      </c>
      <c r="C2217" s="92" t="s">
        <v>1721</v>
      </c>
      <c r="D2217" s="43">
        <v>4000</v>
      </c>
      <c r="E2217" s="43"/>
      <c r="F2217" s="43" t="e">
        <f t="shared" si="34"/>
        <v>#N/A</v>
      </c>
      <c r="G2217" s="43"/>
    </row>
    <row r="2218" spans="1:7" x14ac:dyDescent="0.3">
      <c r="A2218" s="45">
        <v>42864</v>
      </c>
      <c r="B2218" s="5" t="s">
        <v>18</v>
      </c>
      <c r="C2218" s="92" t="s">
        <v>31</v>
      </c>
      <c r="D2218" s="43">
        <v>1000</v>
      </c>
      <c r="E2218" s="43"/>
      <c r="F2218" s="43" t="e">
        <f t="shared" si="34"/>
        <v>#N/A</v>
      </c>
      <c r="G2218" s="43"/>
    </row>
    <row r="2219" spans="1:7" x14ac:dyDescent="0.3">
      <c r="A2219" s="45">
        <v>42864</v>
      </c>
      <c r="B2219" s="5" t="s">
        <v>1722</v>
      </c>
      <c r="C2219" s="92" t="s">
        <v>1723</v>
      </c>
      <c r="D2219" s="43">
        <v>800</v>
      </c>
      <c r="E2219" s="43"/>
      <c r="F2219" s="43" t="e">
        <f t="shared" si="34"/>
        <v>#N/A</v>
      </c>
      <c r="G2219" s="43"/>
    </row>
    <row r="2220" spans="1:7" x14ac:dyDescent="0.3">
      <c r="A2220" s="45">
        <v>42864</v>
      </c>
      <c r="B2220" s="761" t="s">
        <v>1696</v>
      </c>
      <c r="C2220" s="762"/>
      <c r="D2220" s="71"/>
      <c r="E2220" s="72">
        <v>50000</v>
      </c>
      <c r="F2220" s="43" t="e">
        <f t="shared" si="34"/>
        <v>#N/A</v>
      </c>
      <c r="G2220" s="43"/>
    </row>
    <row r="2221" spans="1:7" ht="56.25" x14ac:dyDescent="0.3">
      <c r="A2221" s="45">
        <v>42864</v>
      </c>
      <c r="B2221" s="5" t="s">
        <v>58</v>
      </c>
      <c r="C2221" s="92" t="s">
        <v>1747</v>
      </c>
      <c r="D2221" s="43">
        <v>970</v>
      </c>
      <c r="E2221" s="43"/>
      <c r="F2221" s="43" t="e">
        <f t="shared" si="34"/>
        <v>#N/A</v>
      </c>
      <c r="G2221" s="43"/>
    </row>
    <row r="2222" spans="1:7" ht="37.5" x14ac:dyDescent="0.3">
      <c r="A2222" s="45">
        <v>42864</v>
      </c>
      <c r="B2222" s="5" t="s">
        <v>58</v>
      </c>
      <c r="C2222" s="92" t="s">
        <v>1750</v>
      </c>
      <c r="D2222" s="43">
        <v>10350</v>
      </c>
      <c r="E2222" s="43"/>
      <c r="F2222" s="43" t="e">
        <f t="shared" si="34"/>
        <v>#N/A</v>
      </c>
      <c r="G2222" s="43"/>
    </row>
    <row r="2223" spans="1:7" ht="37.5" x14ac:dyDescent="0.3">
      <c r="A2223" s="45">
        <v>42864</v>
      </c>
      <c r="B2223" s="5" t="s">
        <v>58</v>
      </c>
      <c r="C2223" s="92" t="s">
        <v>1748</v>
      </c>
      <c r="D2223" s="43">
        <v>100</v>
      </c>
      <c r="E2223" s="43"/>
      <c r="F2223" s="43" t="e">
        <f t="shared" si="34"/>
        <v>#N/A</v>
      </c>
      <c r="G2223" s="43"/>
    </row>
    <row r="2224" spans="1:7" ht="37.5" x14ac:dyDescent="0.3">
      <c r="A2224" s="45">
        <v>42864</v>
      </c>
      <c r="B2224" s="5" t="s">
        <v>58</v>
      </c>
      <c r="C2224" s="92" t="s">
        <v>1749</v>
      </c>
      <c r="D2224" s="43">
        <v>100</v>
      </c>
      <c r="E2224" s="43"/>
      <c r="F2224" s="43" t="e">
        <f t="shared" si="34"/>
        <v>#N/A</v>
      </c>
      <c r="G2224" s="43"/>
    </row>
    <row r="2225" spans="1:7" x14ac:dyDescent="0.3">
      <c r="A2225" s="45">
        <v>42864</v>
      </c>
      <c r="B2225" s="5" t="s">
        <v>27</v>
      </c>
      <c r="C2225" s="92" t="s">
        <v>31</v>
      </c>
      <c r="D2225" s="43">
        <v>3500</v>
      </c>
      <c r="E2225" s="43"/>
      <c r="F2225" s="43" t="e">
        <f t="shared" si="34"/>
        <v>#N/A</v>
      </c>
      <c r="G2225" s="43"/>
    </row>
    <row r="2226" spans="1:7" ht="37.5" x14ac:dyDescent="0.3">
      <c r="A2226" s="45">
        <v>42864</v>
      </c>
      <c r="B2226" s="5" t="s">
        <v>1616</v>
      </c>
      <c r="C2226" s="92" t="s">
        <v>1724</v>
      </c>
      <c r="D2226" s="28">
        <v>21450</v>
      </c>
      <c r="E2226" s="43"/>
      <c r="F2226" s="43" t="e">
        <f t="shared" si="34"/>
        <v>#N/A</v>
      </c>
      <c r="G2226" s="43"/>
    </row>
    <row r="2227" spans="1:7" ht="37.5" x14ac:dyDescent="0.3">
      <c r="A2227" s="45">
        <v>42864</v>
      </c>
      <c r="B2227" s="5" t="s">
        <v>1616</v>
      </c>
      <c r="C2227" s="92" t="s">
        <v>1725</v>
      </c>
      <c r="D2227" s="28">
        <v>6535</v>
      </c>
      <c r="E2227" s="43"/>
      <c r="F2227" s="43" t="e">
        <f t="shared" si="34"/>
        <v>#N/A</v>
      </c>
      <c r="G2227" s="43"/>
    </row>
    <row r="2228" spans="1:7" x14ac:dyDescent="0.3">
      <c r="A2228" s="45">
        <v>42864</v>
      </c>
      <c r="B2228" s="5" t="s">
        <v>84</v>
      </c>
      <c r="C2228" s="92" t="s">
        <v>1721</v>
      </c>
      <c r="D2228" s="43">
        <v>2000</v>
      </c>
      <c r="E2228" s="43"/>
      <c r="F2228" s="43" t="e">
        <f t="shared" si="34"/>
        <v>#N/A</v>
      </c>
      <c r="G2228" s="43"/>
    </row>
    <row r="2229" spans="1:7" x14ac:dyDescent="0.3">
      <c r="A2229" s="45">
        <v>42865</v>
      </c>
      <c r="B2229" s="5" t="s">
        <v>445</v>
      </c>
      <c r="C2229" s="92" t="s">
        <v>31</v>
      </c>
      <c r="D2229" s="43">
        <v>2000</v>
      </c>
      <c r="E2229" s="43"/>
      <c r="F2229" s="43" t="e">
        <f t="shared" si="34"/>
        <v>#N/A</v>
      </c>
      <c r="G2229" s="43"/>
    </row>
    <row r="2230" spans="1:7" x14ac:dyDescent="0.3">
      <c r="A2230" s="45">
        <v>42865</v>
      </c>
      <c r="B2230" s="5" t="s">
        <v>27</v>
      </c>
      <c r="C2230" s="92" t="s">
        <v>31</v>
      </c>
      <c r="D2230" s="43">
        <v>2500</v>
      </c>
      <c r="E2230" s="43"/>
      <c r="F2230" s="43" t="e">
        <f t="shared" si="34"/>
        <v>#N/A</v>
      </c>
      <c r="G2230" s="43"/>
    </row>
    <row r="2231" spans="1:7" x14ac:dyDescent="0.3">
      <c r="A2231" s="45">
        <v>42865</v>
      </c>
      <c r="B2231" s="5" t="s">
        <v>84</v>
      </c>
      <c r="C2231" s="92" t="s">
        <v>1726</v>
      </c>
      <c r="D2231" s="43">
        <v>1000</v>
      </c>
      <c r="E2231" s="43"/>
      <c r="F2231" s="43" t="e">
        <f t="shared" si="34"/>
        <v>#N/A</v>
      </c>
      <c r="G2231" s="43"/>
    </row>
    <row r="2232" spans="1:7" x14ac:dyDescent="0.3">
      <c r="A2232" s="45">
        <v>42865</v>
      </c>
      <c r="B2232" s="761" t="s">
        <v>1696</v>
      </c>
      <c r="C2232" s="762"/>
      <c r="D2232" s="71"/>
      <c r="E2232" s="72">
        <v>170000</v>
      </c>
      <c r="F2232" s="43" t="e">
        <f t="shared" si="34"/>
        <v>#N/A</v>
      </c>
      <c r="G2232" s="43"/>
    </row>
    <row r="2233" spans="1:7" ht="37.5" x14ac:dyDescent="0.3">
      <c r="A2233" s="45">
        <v>42865</v>
      </c>
      <c r="B2233" s="115" t="s">
        <v>14</v>
      </c>
      <c r="C2233" s="131" t="s">
        <v>1734</v>
      </c>
      <c r="D2233" s="112">
        <v>30000</v>
      </c>
      <c r="E2233" s="65"/>
      <c r="F2233" s="43" t="e">
        <f t="shared" si="34"/>
        <v>#N/A</v>
      </c>
      <c r="G2233" s="43"/>
    </row>
    <row r="2234" spans="1:7" x14ac:dyDescent="0.3">
      <c r="A2234" s="45">
        <v>42865</v>
      </c>
      <c r="B2234" s="115" t="s">
        <v>1735</v>
      </c>
      <c r="C2234" s="115" t="s">
        <v>1736</v>
      </c>
      <c r="D2234" s="112">
        <v>10000</v>
      </c>
      <c r="E2234" s="65"/>
      <c r="F2234" s="43" t="e">
        <f t="shared" si="34"/>
        <v>#N/A</v>
      </c>
      <c r="G2234" s="43"/>
    </row>
    <row r="2235" spans="1:7" x14ac:dyDescent="0.3">
      <c r="A2235" s="45">
        <v>42865</v>
      </c>
      <c r="B2235" s="115" t="s">
        <v>120</v>
      </c>
      <c r="C2235" s="115" t="s">
        <v>31</v>
      </c>
      <c r="D2235" s="112">
        <v>10000</v>
      </c>
      <c r="E2235" s="65"/>
      <c r="F2235" s="43" t="e">
        <f t="shared" si="34"/>
        <v>#N/A</v>
      </c>
      <c r="G2235" s="43"/>
    </row>
    <row r="2236" spans="1:7" x14ac:dyDescent="0.3">
      <c r="A2236" s="45">
        <v>42865</v>
      </c>
      <c r="B2236" s="61" t="s">
        <v>1729</v>
      </c>
      <c r="C2236" s="132" t="s">
        <v>1740</v>
      </c>
      <c r="D2236" s="62">
        <v>2000</v>
      </c>
      <c r="E2236" s="43"/>
      <c r="F2236" s="43" t="e">
        <f t="shared" si="34"/>
        <v>#N/A</v>
      </c>
      <c r="G2236" s="43"/>
    </row>
    <row r="2237" spans="1:7" x14ac:dyDescent="0.3">
      <c r="A2237" s="45">
        <v>42866</v>
      </c>
      <c r="B2237" s="5" t="s">
        <v>1281</v>
      </c>
      <c r="C2237" s="92" t="s">
        <v>1733</v>
      </c>
      <c r="D2237" s="65">
        <v>2400</v>
      </c>
      <c r="E2237" s="65"/>
      <c r="F2237" s="43" t="e">
        <f t="shared" si="34"/>
        <v>#N/A</v>
      </c>
      <c r="G2237" s="43"/>
    </row>
    <row r="2238" spans="1:7" x14ac:dyDescent="0.3">
      <c r="A2238" s="45">
        <v>42866</v>
      </c>
      <c r="B2238" s="5" t="s">
        <v>1193</v>
      </c>
      <c r="C2238" s="92" t="s">
        <v>1739</v>
      </c>
      <c r="D2238" s="43">
        <v>2900</v>
      </c>
      <c r="E2238" s="43"/>
      <c r="F2238" s="43" t="e">
        <f t="shared" si="34"/>
        <v>#N/A</v>
      </c>
      <c r="G2238" s="43"/>
    </row>
    <row r="2239" spans="1:7" x14ac:dyDescent="0.3">
      <c r="A2239" s="45">
        <v>42866</v>
      </c>
      <c r="B2239" s="5" t="s">
        <v>84</v>
      </c>
      <c r="C2239" s="92" t="s">
        <v>1721</v>
      </c>
      <c r="D2239" s="43">
        <v>2000</v>
      </c>
      <c r="E2239" s="43"/>
      <c r="F2239" s="43" t="e">
        <f t="shared" si="34"/>
        <v>#N/A</v>
      </c>
      <c r="G2239" s="43"/>
    </row>
    <row r="2240" spans="1:7" x14ac:dyDescent="0.3">
      <c r="A2240" s="45">
        <v>42866</v>
      </c>
      <c r="B2240" s="5" t="s">
        <v>127</v>
      </c>
      <c r="C2240" s="92" t="s">
        <v>1737</v>
      </c>
      <c r="D2240" s="43">
        <v>4650</v>
      </c>
      <c r="E2240" s="43"/>
      <c r="F2240" s="43" t="e">
        <f t="shared" si="34"/>
        <v>#N/A</v>
      </c>
      <c r="G2240" s="43"/>
    </row>
    <row r="2241" spans="1:7" x14ac:dyDescent="0.3">
      <c r="A2241" s="45">
        <v>42866</v>
      </c>
      <c r="B2241" s="5" t="s">
        <v>54</v>
      </c>
      <c r="C2241" s="92" t="s">
        <v>1738</v>
      </c>
      <c r="D2241" s="43">
        <v>10000</v>
      </c>
      <c r="E2241" s="43"/>
      <c r="F2241" s="43" t="e">
        <f t="shared" si="34"/>
        <v>#N/A</v>
      </c>
      <c r="G2241" s="43"/>
    </row>
    <row r="2242" spans="1:7" x14ac:dyDescent="0.3">
      <c r="A2242" s="45">
        <v>42866</v>
      </c>
      <c r="B2242" s="61" t="s">
        <v>70</v>
      </c>
      <c r="C2242" s="132" t="s">
        <v>31</v>
      </c>
      <c r="D2242" s="62">
        <v>1000</v>
      </c>
      <c r="E2242" s="43"/>
      <c r="F2242" s="43" t="e">
        <f t="shared" si="34"/>
        <v>#N/A</v>
      </c>
      <c r="G2242" s="43"/>
    </row>
    <row r="2243" spans="1:7" x14ac:dyDescent="0.3">
      <c r="A2243" s="45">
        <v>42866</v>
      </c>
      <c r="B2243" s="128" t="s">
        <v>164</v>
      </c>
      <c r="C2243" s="129" t="s">
        <v>31</v>
      </c>
      <c r="D2243" s="130">
        <v>10000</v>
      </c>
      <c r="E2243" s="43"/>
      <c r="F2243" s="43" t="e">
        <f t="shared" ref="F2243:F2306" si="35">F2242-D2243+E2243</f>
        <v>#N/A</v>
      </c>
      <c r="G2243" s="43"/>
    </row>
    <row r="2244" spans="1:7" x14ac:dyDescent="0.3">
      <c r="A2244" s="45">
        <v>42866</v>
      </c>
      <c r="B2244" s="5" t="s">
        <v>27</v>
      </c>
      <c r="C2244" s="92" t="s">
        <v>31</v>
      </c>
      <c r="D2244" s="43">
        <v>3500</v>
      </c>
      <c r="E2244" s="43"/>
      <c r="F2244" s="43" t="e">
        <f t="shared" si="35"/>
        <v>#N/A</v>
      </c>
      <c r="G2244" s="43"/>
    </row>
    <row r="2245" spans="1:7" x14ac:dyDescent="0.3">
      <c r="A2245" s="45">
        <v>42866</v>
      </c>
      <c r="B2245" s="5" t="s">
        <v>58</v>
      </c>
      <c r="C2245" s="92" t="s">
        <v>1746</v>
      </c>
      <c r="D2245" s="43">
        <v>4640</v>
      </c>
      <c r="E2245" s="43"/>
      <c r="F2245" s="43" t="e">
        <f t="shared" si="35"/>
        <v>#N/A</v>
      </c>
      <c r="G2245" s="43"/>
    </row>
    <row r="2246" spans="1:7" x14ac:dyDescent="0.3">
      <c r="A2246" s="45">
        <v>42866</v>
      </c>
      <c r="B2246" s="5" t="s">
        <v>25</v>
      </c>
      <c r="C2246" s="92" t="s">
        <v>62</v>
      </c>
      <c r="D2246" s="43">
        <v>140</v>
      </c>
      <c r="E2246" s="43"/>
      <c r="F2246" s="43" t="e">
        <f t="shared" si="35"/>
        <v>#N/A</v>
      </c>
      <c r="G2246" s="43"/>
    </row>
    <row r="2247" spans="1:7" x14ac:dyDescent="0.3">
      <c r="A2247" s="45">
        <v>42866</v>
      </c>
      <c r="B2247" s="5" t="s">
        <v>25</v>
      </c>
      <c r="C2247" s="92" t="s">
        <v>1752</v>
      </c>
      <c r="D2247" s="43">
        <v>700</v>
      </c>
      <c r="E2247" s="43"/>
      <c r="F2247" s="43" t="e">
        <f t="shared" si="35"/>
        <v>#N/A</v>
      </c>
      <c r="G2247" s="43"/>
    </row>
    <row r="2248" spans="1:7" x14ac:dyDescent="0.3">
      <c r="A2248" s="45">
        <v>42866</v>
      </c>
      <c r="B2248" s="5" t="s">
        <v>25</v>
      </c>
      <c r="C2248" s="92" t="s">
        <v>1751</v>
      </c>
      <c r="D2248" s="43">
        <v>100</v>
      </c>
      <c r="E2248" s="43"/>
      <c r="F2248" s="43" t="e">
        <f t="shared" si="35"/>
        <v>#N/A</v>
      </c>
      <c r="G2248" s="43"/>
    </row>
    <row r="2249" spans="1:7" x14ac:dyDescent="0.3">
      <c r="A2249" s="45">
        <v>42866</v>
      </c>
      <c r="B2249" s="5" t="s">
        <v>25</v>
      </c>
      <c r="C2249" s="92" t="s">
        <v>1753</v>
      </c>
      <c r="D2249" s="43">
        <v>100</v>
      </c>
      <c r="E2249" s="43"/>
      <c r="F2249" s="43" t="e">
        <f t="shared" si="35"/>
        <v>#N/A</v>
      </c>
      <c r="G2249" s="43"/>
    </row>
    <row r="2250" spans="1:7" x14ac:dyDescent="0.3">
      <c r="A2250" s="45">
        <v>42866</v>
      </c>
      <c r="B2250" s="5" t="s">
        <v>25</v>
      </c>
      <c r="C2250" s="92" t="s">
        <v>1754</v>
      </c>
      <c r="D2250" s="43">
        <v>160</v>
      </c>
      <c r="E2250" s="43"/>
      <c r="F2250" s="43" t="e">
        <f t="shared" si="35"/>
        <v>#N/A</v>
      </c>
      <c r="G2250" s="43"/>
    </row>
    <row r="2251" spans="1:7" x14ac:dyDescent="0.3">
      <c r="A2251" s="45">
        <v>42866</v>
      </c>
      <c r="B2251" s="5" t="s">
        <v>120</v>
      </c>
      <c r="C2251" s="92" t="s">
        <v>31</v>
      </c>
      <c r="D2251" s="43">
        <v>5000</v>
      </c>
      <c r="E2251" s="43"/>
      <c r="F2251" s="43" t="e">
        <f t="shared" si="35"/>
        <v>#N/A</v>
      </c>
      <c r="G2251" s="43"/>
    </row>
    <row r="2252" spans="1:7" x14ac:dyDescent="0.3">
      <c r="A2252" s="45">
        <v>42866</v>
      </c>
      <c r="B2252" s="5" t="s">
        <v>247</v>
      </c>
      <c r="C2252" s="92" t="s">
        <v>1773</v>
      </c>
      <c r="D2252" s="43">
        <v>170</v>
      </c>
      <c r="E2252" s="43"/>
      <c r="F2252" s="43" t="e">
        <f t="shared" si="35"/>
        <v>#N/A</v>
      </c>
      <c r="G2252" s="43"/>
    </row>
    <row r="2253" spans="1:7" x14ac:dyDescent="0.3">
      <c r="A2253" s="45">
        <v>42866</v>
      </c>
      <c r="B2253" s="5" t="s">
        <v>247</v>
      </c>
      <c r="C2253" s="92" t="s">
        <v>1774</v>
      </c>
      <c r="D2253" s="43">
        <v>170</v>
      </c>
      <c r="E2253" s="43"/>
      <c r="F2253" s="43" t="e">
        <f t="shared" si="35"/>
        <v>#N/A</v>
      </c>
      <c r="G2253" s="43"/>
    </row>
    <row r="2254" spans="1:7" x14ac:dyDescent="0.3">
      <c r="A2254" s="45">
        <v>42866</v>
      </c>
      <c r="B2254" s="5" t="s">
        <v>84</v>
      </c>
      <c r="C2254" s="92" t="s">
        <v>1741</v>
      </c>
      <c r="D2254" s="65">
        <v>1000</v>
      </c>
      <c r="E2254" s="43"/>
      <c r="F2254" s="43" t="e">
        <f t="shared" si="35"/>
        <v>#N/A</v>
      </c>
      <c r="G2254" s="43"/>
    </row>
    <row r="2255" spans="1:7" x14ac:dyDescent="0.3">
      <c r="A2255" s="45">
        <v>42866</v>
      </c>
      <c r="B2255" s="128" t="s">
        <v>247</v>
      </c>
      <c r="C2255" s="129" t="s">
        <v>1742</v>
      </c>
      <c r="D2255" s="130">
        <v>500</v>
      </c>
      <c r="E2255" s="43"/>
      <c r="F2255" s="43" t="e">
        <f t="shared" si="35"/>
        <v>#N/A</v>
      </c>
      <c r="G2255" s="43"/>
    </row>
    <row r="2256" spans="1:7" x14ac:dyDescent="0.3">
      <c r="A2256" s="45">
        <v>42866</v>
      </c>
      <c r="B2256" s="5" t="s">
        <v>16</v>
      </c>
      <c r="C2256" s="92" t="s">
        <v>1743</v>
      </c>
      <c r="D2256" s="43">
        <v>700</v>
      </c>
      <c r="E2256" s="43"/>
      <c r="F2256" s="43" t="e">
        <f t="shared" si="35"/>
        <v>#N/A</v>
      </c>
      <c r="G2256" s="43"/>
    </row>
    <row r="2257" spans="1:7" x14ac:dyDescent="0.3">
      <c r="A2257" s="45">
        <v>42867</v>
      </c>
      <c r="B2257" s="5" t="s">
        <v>541</v>
      </c>
      <c r="C2257" s="92" t="s">
        <v>1744</v>
      </c>
      <c r="D2257" s="43">
        <v>600</v>
      </c>
      <c r="E2257" s="43"/>
      <c r="F2257" s="43" t="e">
        <f t="shared" si="35"/>
        <v>#N/A</v>
      </c>
      <c r="G2257" s="43"/>
    </row>
    <row r="2258" spans="1:7" x14ac:dyDescent="0.3">
      <c r="A2258" s="45">
        <v>42867</v>
      </c>
      <c r="B2258" s="125" t="s">
        <v>108</v>
      </c>
      <c r="C2258" s="126" t="s">
        <v>1745</v>
      </c>
      <c r="D2258" s="127">
        <v>500</v>
      </c>
      <c r="E2258" s="43"/>
      <c r="F2258" s="43" t="e">
        <f t="shared" si="35"/>
        <v>#N/A</v>
      </c>
      <c r="G2258" s="43"/>
    </row>
    <row r="2259" spans="1:7" x14ac:dyDescent="0.3">
      <c r="A2259" s="45">
        <v>42867</v>
      </c>
      <c r="B2259" s="5" t="s">
        <v>84</v>
      </c>
      <c r="C2259" s="92" t="s">
        <v>1721</v>
      </c>
      <c r="D2259" s="43">
        <v>2000</v>
      </c>
      <c r="E2259" s="43"/>
      <c r="F2259" s="43" t="e">
        <f t="shared" si="35"/>
        <v>#N/A</v>
      </c>
      <c r="G2259" s="43"/>
    </row>
    <row r="2260" spans="1:7" x14ac:dyDescent="0.3">
      <c r="A2260" s="45">
        <v>42867</v>
      </c>
      <c r="B2260" s="5" t="s">
        <v>445</v>
      </c>
      <c r="C2260" s="92" t="s">
        <v>31</v>
      </c>
      <c r="D2260" s="43">
        <v>500</v>
      </c>
      <c r="E2260" s="43"/>
      <c r="F2260" s="43" t="e">
        <f t="shared" si="35"/>
        <v>#N/A</v>
      </c>
      <c r="G2260" s="43"/>
    </row>
    <row r="2261" spans="1:7" x14ac:dyDescent="0.3">
      <c r="A2261" s="45">
        <v>42867</v>
      </c>
      <c r="B2261" s="5" t="s">
        <v>25</v>
      </c>
      <c r="C2261" s="92" t="s">
        <v>1755</v>
      </c>
      <c r="D2261" s="43">
        <v>57</v>
      </c>
      <c r="E2261" s="43"/>
      <c r="F2261" s="43" t="e">
        <f t="shared" si="35"/>
        <v>#N/A</v>
      </c>
      <c r="G2261" s="43"/>
    </row>
    <row r="2262" spans="1:7" ht="37.5" x14ac:dyDescent="0.3">
      <c r="A2262" s="45">
        <v>42867</v>
      </c>
      <c r="B2262" s="5" t="s">
        <v>73</v>
      </c>
      <c r="C2262" s="92" t="s">
        <v>1756</v>
      </c>
      <c r="D2262" s="43">
        <v>550</v>
      </c>
      <c r="E2262" s="43"/>
      <c r="F2262" s="43" t="e">
        <f t="shared" si="35"/>
        <v>#N/A</v>
      </c>
      <c r="G2262" s="43"/>
    </row>
    <row r="2263" spans="1:7" x14ac:dyDescent="0.3">
      <c r="A2263" s="45">
        <v>42867</v>
      </c>
      <c r="B2263" s="5" t="s">
        <v>164</v>
      </c>
      <c r="C2263" s="92" t="s">
        <v>31</v>
      </c>
      <c r="D2263" s="43">
        <v>1000</v>
      </c>
      <c r="E2263" s="43"/>
      <c r="F2263" s="43" t="e">
        <f t="shared" si="35"/>
        <v>#N/A</v>
      </c>
      <c r="G2263" s="43"/>
    </row>
    <row r="2264" spans="1:7" x14ac:dyDescent="0.3">
      <c r="A2264" s="45">
        <v>42867</v>
      </c>
      <c r="B2264" s="5" t="s">
        <v>445</v>
      </c>
      <c r="C2264" s="92" t="s">
        <v>31</v>
      </c>
      <c r="D2264" s="43">
        <v>1000</v>
      </c>
      <c r="E2264" s="43"/>
      <c r="F2264" s="43" t="e">
        <f t="shared" si="35"/>
        <v>#N/A</v>
      </c>
      <c r="G2264" s="43"/>
    </row>
    <row r="2265" spans="1:7" ht="37.5" x14ac:dyDescent="0.3">
      <c r="A2265" s="45">
        <v>42867</v>
      </c>
      <c r="B2265" s="44" t="s">
        <v>1343</v>
      </c>
      <c r="C2265" s="133" t="s">
        <v>1757</v>
      </c>
      <c r="D2265" s="28">
        <v>1700</v>
      </c>
      <c r="E2265" s="43"/>
      <c r="F2265" s="43" t="e">
        <f t="shared" si="35"/>
        <v>#N/A</v>
      </c>
      <c r="G2265" s="43"/>
    </row>
    <row r="2266" spans="1:7" x14ac:dyDescent="0.3">
      <c r="A2266" s="45">
        <v>42867</v>
      </c>
      <c r="B2266" s="5" t="s">
        <v>0</v>
      </c>
      <c r="C2266" s="92" t="s">
        <v>31</v>
      </c>
      <c r="D2266" s="65">
        <v>5000</v>
      </c>
      <c r="E2266" s="43"/>
      <c r="F2266" s="43" t="e">
        <f t="shared" si="35"/>
        <v>#N/A</v>
      </c>
      <c r="G2266" s="43"/>
    </row>
    <row r="2267" spans="1:7" x14ac:dyDescent="0.3">
      <c r="A2267" s="45">
        <v>42867</v>
      </c>
      <c r="B2267" s="5" t="s">
        <v>107</v>
      </c>
      <c r="C2267" s="92" t="s">
        <v>1769</v>
      </c>
      <c r="D2267" s="65">
        <v>1250</v>
      </c>
      <c r="E2267" s="43"/>
      <c r="F2267" s="43" t="e">
        <f t="shared" si="35"/>
        <v>#N/A</v>
      </c>
      <c r="G2267" s="43"/>
    </row>
    <row r="2268" spans="1:7" x14ac:dyDescent="0.3">
      <c r="A2268" s="45">
        <v>42867</v>
      </c>
      <c r="B2268" s="5" t="s">
        <v>1758</v>
      </c>
      <c r="C2268" s="92" t="s">
        <v>1759</v>
      </c>
      <c r="D2268" s="43">
        <v>10300</v>
      </c>
      <c r="E2268" s="43"/>
      <c r="F2268" s="43" t="e">
        <f t="shared" si="35"/>
        <v>#N/A</v>
      </c>
      <c r="G2268" s="43"/>
    </row>
    <row r="2269" spans="1:7" x14ac:dyDescent="0.3">
      <c r="A2269" s="45">
        <v>42867</v>
      </c>
      <c r="B2269" s="5" t="s">
        <v>27</v>
      </c>
      <c r="C2269" s="92" t="s">
        <v>31</v>
      </c>
      <c r="D2269" s="43">
        <v>1500</v>
      </c>
      <c r="E2269" s="43"/>
      <c r="F2269" s="43" t="e">
        <f t="shared" si="35"/>
        <v>#N/A</v>
      </c>
      <c r="G2269" s="43"/>
    </row>
    <row r="2270" spans="1:7" x14ac:dyDescent="0.3">
      <c r="A2270" s="45">
        <v>42867</v>
      </c>
      <c r="B2270" s="5" t="s">
        <v>1633</v>
      </c>
      <c r="C2270" s="92" t="s">
        <v>1763</v>
      </c>
      <c r="D2270" s="43">
        <v>40</v>
      </c>
      <c r="E2270" s="43"/>
      <c r="F2270" s="43" t="e">
        <f t="shared" si="35"/>
        <v>#N/A</v>
      </c>
      <c r="G2270" s="43"/>
    </row>
    <row r="2271" spans="1:7" x14ac:dyDescent="0.3">
      <c r="A2271" s="45">
        <v>42868</v>
      </c>
      <c r="B2271" s="5" t="s">
        <v>16</v>
      </c>
      <c r="C2271" s="92" t="s">
        <v>31</v>
      </c>
      <c r="D2271" s="43">
        <v>3000</v>
      </c>
      <c r="E2271" s="43"/>
      <c r="F2271" s="43" t="e">
        <f t="shared" si="35"/>
        <v>#N/A</v>
      </c>
      <c r="G2271" s="43"/>
    </row>
    <row r="2272" spans="1:7" x14ac:dyDescent="0.3">
      <c r="A2272" s="45">
        <v>42868</v>
      </c>
      <c r="B2272" s="5" t="s">
        <v>162</v>
      </c>
      <c r="C2272" s="92" t="s">
        <v>31</v>
      </c>
      <c r="D2272" s="43">
        <v>2000</v>
      </c>
      <c r="E2272" s="43"/>
      <c r="F2272" s="43" t="e">
        <f t="shared" si="35"/>
        <v>#N/A</v>
      </c>
      <c r="G2272" s="43"/>
    </row>
    <row r="2273" spans="1:7" x14ac:dyDescent="0.3">
      <c r="A2273" s="45">
        <v>42868</v>
      </c>
      <c r="B2273" s="5" t="s">
        <v>116</v>
      </c>
      <c r="C2273" s="92" t="s">
        <v>31</v>
      </c>
      <c r="D2273" s="43">
        <v>1000</v>
      </c>
      <c r="E2273" s="43"/>
      <c r="F2273" s="43" t="e">
        <f t="shared" si="35"/>
        <v>#N/A</v>
      </c>
      <c r="G2273" s="43"/>
    </row>
    <row r="2274" spans="1:7" x14ac:dyDescent="0.3">
      <c r="A2274" s="45">
        <v>42868</v>
      </c>
      <c r="B2274" s="5" t="s">
        <v>1805</v>
      </c>
      <c r="C2274" s="92" t="s">
        <v>1806</v>
      </c>
      <c r="D2274" s="43">
        <v>1000</v>
      </c>
      <c r="E2274" s="43"/>
      <c r="F2274" s="43" t="e">
        <f t="shared" si="35"/>
        <v>#N/A</v>
      </c>
      <c r="G2274" s="43"/>
    </row>
    <row r="2275" spans="1:7" x14ac:dyDescent="0.3">
      <c r="A2275" s="45">
        <v>42868</v>
      </c>
      <c r="B2275" s="5" t="s">
        <v>445</v>
      </c>
      <c r="C2275" s="92" t="s">
        <v>1760</v>
      </c>
      <c r="D2275" s="43">
        <v>1400</v>
      </c>
      <c r="E2275" s="43"/>
      <c r="F2275" s="43" t="e">
        <f t="shared" si="35"/>
        <v>#N/A</v>
      </c>
      <c r="G2275" s="43"/>
    </row>
    <row r="2276" spans="1:7" x14ac:dyDescent="0.3">
      <c r="A2276" s="45">
        <v>42868</v>
      </c>
      <c r="B2276" s="5" t="s">
        <v>18</v>
      </c>
      <c r="C2276" s="92" t="s">
        <v>31</v>
      </c>
      <c r="D2276" s="43">
        <v>2000</v>
      </c>
      <c r="E2276" s="43"/>
      <c r="F2276" s="43" t="e">
        <f t="shared" si="35"/>
        <v>#N/A</v>
      </c>
      <c r="G2276" s="43"/>
    </row>
    <row r="2277" spans="1:7" x14ac:dyDescent="0.3">
      <c r="A2277" s="45">
        <v>42868</v>
      </c>
      <c r="B2277" s="5" t="s">
        <v>27</v>
      </c>
      <c r="C2277" s="92" t="s">
        <v>1761</v>
      </c>
      <c r="D2277" s="43">
        <v>500</v>
      </c>
      <c r="E2277" s="43"/>
      <c r="F2277" s="43" t="e">
        <f t="shared" si="35"/>
        <v>#N/A</v>
      </c>
      <c r="G2277" s="43"/>
    </row>
    <row r="2278" spans="1:7" x14ac:dyDescent="0.3">
      <c r="A2278" s="45">
        <v>42868</v>
      </c>
      <c r="B2278" s="5" t="s">
        <v>116</v>
      </c>
      <c r="C2278" s="92" t="s">
        <v>31</v>
      </c>
      <c r="D2278" s="43">
        <v>10000</v>
      </c>
      <c r="E2278" s="43"/>
      <c r="F2278" s="43" t="e">
        <f t="shared" si="35"/>
        <v>#N/A</v>
      </c>
      <c r="G2278" s="43"/>
    </row>
    <row r="2279" spans="1:7" x14ac:dyDescent="0.3">
      <c r="A2279" s="45">
        <v>42868</v>
      </c>
      <c r="B2279" s="5" t="s">
        <v>27</v>
      </c>
      <c r="C2279" s="92" t="s">
        <v>31</v>
      </c>
      <c r="D2279" s="43">
        <v>2000</v>
      </c>
      <c r="E2279" s="43"/>
      <c r="F2279" s="43" t="e">
        <f t="shared" si="35"/>
        <v>#N/A</v>
      </c>
      <c r="G2279" s="43"/>
    </row>
    <row r="2280" spans="1:7" x14ac:dyDescent="0.3">
      <c r="A2280" s="45">
        <v>42868</v>
      </c>
      <c r="B2280" s="5" t="s">
        <v>181</v>
      </c>
      <c r="C2280" s="92" t="s">
        <v>31</v>
      </c>
      <c r="D2280" s="43">
        <v>10000</v>
      </c>
      <c r="E2280" s="43"/>
      <c r="F2280" s="43" t="e">
        <f t="shared" si="35"/>
        <v>#N/A</v>
      </c>
      <c r="G2280" s="43"/>
    </row>
    <row r="2281" spans="1:7" ht="37.5" x14ac:dyDescent="0.3">
      <c r="A2281" s="45">
        <v>42868</v>
      </c>
      <c r="B2281" s="5" t="s">
        <v>25</v>
      </c>
      <c r="C2281" s="92" t="s">
        <v>1762</v>
      </c>
      <c r="D2281" s="43">
        <v>500</v>
      </c>
      <c r="E2281" s="43"/>
      <c r="F2281" s="43" t="e">
        <f t="shared" si="35"/>
        <v>#N/A</v>
      </c>
      <c r="G2281" s="43"/>
    </row>
    <row r="2282" spans="1:7" x14ac:dyDescent="0.3">
      <c r="A2282" s="45">
        <v>42868</v>
      </c>
      <c r="B2282" s="5" t="s">
        <v>25</v>
      </c>
      <c r="C2282" s="92" t="s">
        <v>1764</v>
      </c>
      <c r="D2282" s="43">
        <v>40</v>
      </c>
      <c r="E2282" s="43"/>
      <c r="F2282" s="43" t="e">
        <f t="shared" si="35"/>
        <v>#N/A</v>
      </c>
      <c r="G2282" s="43"/>
    </row>
    <row r="2283" spans="1:7" ht="56.25" x14ac:dyDescent="0.3">
      <c r="A2283" s="45">
        <v>42868</v>
      </c>
      <c r="B2283" s="5" t="s">
        <v>25</v>
      </c>
      <c r="C2283" s="92" t="s">
        <v>1765</v>
      </c>
      <c r="D2283" s="43">
        <v>4450</v>
      </c>
      <c r="E2283" s="43"/>
      <c r="F2283" s="43" t="e">
        <f t="shared" si="35"/>
        <v>#N/A</v>
      </c>
      <c r="G2283" s="43"/>
    </row>
    <row r="2284" spans="1:7" x14ac:dyDescent="0.3">
      <c r="A2284" s="45">
        <v>42870</v>
      </c>
      <c r="B2284" s="5" t="s">
        <v>27</v>
      </c>
      <c r="C2284" s="92" t="s">
        <v>31</v>
      </c>
      <c r="D2284" s="43">
        <v>5000</v>
      </c>
      <c r="E2284" s="43"/>
      <c r="F2284" s="43" t="e">
        <f t="shared" si="35"/>
        <v>#N/A</v>
      </c>
      <c r="G2284" s="43"/>
    </row>
    <row r="2285" spans="1:7" x14ac:dyDescent="0.3">
      <c r="A2285" s="45">
        <v>42870</v>
      </c>
      <c r="B2285" s="74" t="s">
        <v>84</v>
      </c>
      <c r="C2285" s="101" t="s">
        <v>1770</v>
      </c>
      <c r="D2285" s="43">
        <v>2000</v>
      </c>
      <c r="E2285" s="43"/>
      <c r="F2285" s="43" t="e">
        <f t="shared" si="35"/>
        <v>#N/A</v>
      </c>
      <c r="G2285" s="43"/>
    </row>
    <row r="2286" spans="1:7" x14ac:dyDescent="0.3">
      <c r="A2286" s="45">
        <v>42870</v>
      </c>
      <c r="B2286" s="761" t="s">
        <v>1767</v>
      </c>
      <c r="C2286" s="762"/>
      <c r="D2286" s="71"/>
      <c r="E2286" s="72">
        <v>50000</v>
      </c>
      <c r="F2286" s="43" t="e">
        <f t="shared" si="35"/>
        <v>#N/A</v>
      </c>
      <c r="G2286" s="43"/>
    </row>
    <row r="2287" spans="1:7" x14ac:dyDescent="0.3">
      <c r="A2287" s="45">
        <v>42870</v>
      </c>
      <c r="B2287" s="5" t="s">
        <v>4</v>
      </c>
      <c r="C2287" s="92" t="s">
        <v>31</v>
      </c>
      <c r="D2287" s="43">
        <v>6000</v>
      </c>
      <c r="E2287" s="43"/>
      <c r="F2287" s="43" t="e">
        <f t="shared" si="35"/>
        <v>#N/A</v>
      </c>
      <c r="G2287" s="43"/>
    </row>
    <row r="2288" spans="1:7" x14ac:dyDescent="0.3">
      <c r="A2288" s="45">
        <v>42870</v>
      </c>
      <c r="B2288" s="5" t="s">
        <v>25</v>
      </c>
      <c r="C2288" s="92" t="s">
        <v>1778</v>
      </c>
      <c r="D2288" s="43">
        <v>75</v>
      </c>
      <c r="E2288" s="43"/>
      <c r="F2288" s="43" t="e">
        <f t="shared" si="35"/>
        <v>#N/A</v>
      </c>
      <c r="G2288" s="43"/>
    </row>
    <row r="2289" spans="1:7" ht="37.5" x14ac:dyDescent="0.3">
      <c r="A2289" s="45">
        <v>42870</v>
      </c>
      <c r="B2289" s="5" t="s">
        <v>25</v>
      </c>
      <c r="C2289" s="92" t="s">
        <v>1781</v>
      </c>
      <c r="D2289" s="43">
        <v>110</v>
      </c>
      <c r="E2289" s="43"/>
      <c r="F2289" s="43" t="e">
        <f t="shared" si="35"/>
        <v>#N/A</v>
      </c>
      <c r="G2289" s="43"/>
    </row>
    <row r="2290" spans="1:7" x14ac:dyDescent="0.3">
      <c r="A2290" s="45">
        <v>42870</v>
      </c>
      <c r="B2290" s="5" t="s">
        <v>25</v>
      </c>
      <c r="C2290" s="92" t="s">
        <v>1782</v>
      </c>
      <c r="D2290" s="43">
        <v>140</v>
      </c>
      <c r="E2290" s="43"/>
      <c r="F2290" s="43" t="e">
        <f t="shared" si="35"/>
        <v>#N/A</v>
      </c>
      <c r="G2290" s="43"/>
    </row>
    <row r="2291" spans="1:7" x14ac:dyDescent="0.3">
      <c r="A2291" s="45">
        <v>42870</v>
      </c>
      <c r="B2291" s="5" t="s">
        <v>84</v>
      </c>
      <c r="C2291" s="92" t="s">
        <v>1766</v>
      </c>
      <c r="D2291" s="43">
        <v>5000</v>
      </c>
      <c r="E2291" s="43"/>
      <c r="F2291" s="43" t="e">
        <f t="shared" si="35"/>
        <v>#N/A</v>
      </c>
      <c r="G2291" s="43"/>
    </row>
    <row r="2292" spans="1:7" x14ac:dyDescent="0.3">
      <c r="A2292" s="45">
        <v>42870</v>
      </c>
      <c r="B2292" s="5" t="s">
        <v>58</v>
      </c>
      <c r="C2292" s="92" t="s">
        <v>1768</v>
      </c>
      <c r="D2292" s="65">
        <v>960</v>
      </c>
      <c r="E2292" s="43"/>
      <c r="F2292" s="43" t="e">
        <f t="shared" si="35"/>
        <v>#N/A</v>
      </c>
      <c r="G2292" s="43"/>
    </row>
    <row r="2293" spans="1:7" x14ac:dyDescent="0.3">
      <c r="A2293" s="45">
        <v>42871</v>
      </c>
      <c r="B2293" s="5" t="s">
        <v>58</v>
      </c>
      <c r="C2293" s="92" t="s">
        <v>31</v>
      </c>
      <c r="D2293" s="43">
        <v>500</v>
      </c>
      <c r="E2293" s="43"/>
      <c r="F2293" s="43" t="e">
        <f t="shared" si="35"/>
        <v>#N/A</v>
      </c>
      <c r="G2293" s="43"/>
    </row>
    <row r="2294" spans="1:7" ht="37.5" x14ac:dyDescent="0.3">
      <c r="A2294" s="45">
        <v>42871</v>
      </c>
      <c r="B2294" s="5" t="s">
        <v>25</v>
      </c>
      <c r="C2294" s="92" t="s">
        <v>1783</v>
      </c>
      <c r="D2294" s="43">
        <v>735</v>
      </c>
      <c r="E2294" s="43"/>
      <c r="F2294" s="43" t="e">
        <f t="shared" si="35"/>
        <v>#N/A</v>
      </c>
      <c r="G2294" s="43"/>
    </row>
    <row r="2295" spans="1:7" x14ac:dyDescent="0.3">
      <c r="A2295" s="45">
        <v>42871</v>
      </c>
      <c r="B2295" s="5" t="s">
        <v>164</v>
      </c>
      <c r="C2295" s="92" t="s">
        <v>1775</v>
      </c>
      <c r="D2295" s="43">
        <v>20000</v>
      </c>
      <c r="E2295" s="43"/>
      <c r="F2295" s="43" t="e">
        <f t="shared" si="35"/>
        <v>#N/A</v>
      </c>
      <c r="G2295" s="43"/>
    </row>
    <row r="2296" spans="1:7" x14ac:dyDescent="0.3">
      <c r="A2296" s="45">
        <v>42871</v>
      </c>
      <c r="B2296" s="5" t="s">
        <v>116</v>
      </c>
      <c r="C2296" s="92" t="s">
        <v>31</v>
      </c>
      <c r="D2296" s="43">
        <v>5000</v>
      </c>
      <c r="E2296" s="43"/>
      <c r="F2296" s="43" t="e">
        <f t="shared" si="35"/>
        <v>#N/A</v>
      </c>
      <c r="G2296" s="43"/>
    </row>
    <row r="2297" spans="1:7" x14ac:dyDescent="0.3">
      <c r="A2297" s="45">
        <v>42871</v>
      </c>
      <c r="B2297" s="5" t="s">
        <v>56</v>
      </c>
      <c r="C2297" s="92" t="s">
        <v>1776</v>
      </c>
      <c r="D2297" s="43">
        <v>50</v>
      </c>
      <c r="E2297" s="43"/>
      <c r="F2297" s="43" t="e">
        <f t="shared" si="35"/>
        <v>#N/A</v>
      </c>
      <c r="G2297" s="43"/>
    </row>
    <row r="2298" spans="1:7" x14ac:dyDescent="0.3">
      <c r="A2298" s="45">
        <v>42872</v>
      </c>
      <c r="B2298" s="5" t="s">
        <v>60</v>
      </c>
      <c r="C2298" s="92" t="s">
        <v>31</v>
      </c>
      <c r="D2298" s="65">
        <v>200</v>
      </c>
      <c r="E2298" s="43"/>
      <c r="F2298" s="43" t="e">
        <f t="shared" si="35"/>
        <v>#N/A</v>
      </c>
      <c r="G2298" s="43"/>
    </row>
    <row r="2299" spans="1:7" x14ac:dyDescent="0.3">
      <c r="A2299" s="45">
        <v>42872</v>
      </c>
      <c r="B2299" s="5" t="s">
        <v>1672</v>
      </c>
      <c r="C2299" s="92" t="s">
        <v>40</v>
      </c>
      <c r="D2299" s="43">
        <v>2500</v>
      </c>
      <c r="E2299" s="43"/>
      <c r="F2299" s="43" t="e">
        <f t="shared" si="35"/>
        <v>#N/A</v>
      </c>
      <c r="G2299" s="43"/>
    </row>
    <row r="2300" spans="1:7" x14ac:dyDescent="0.3">
      <c r="A2300" s="45">
        <v>42872</v>
      </c>
      <c r="B2300" s="5" t="s">
        <v>127</v>
      </c>
      <c r="C2300" s="92" t="s">
        <v>1777</v>
      </c>
      <c r="D2300" s="43">
        <v>4118</v>
      </c>
      <c r="E2300" s="43"/>
      <c r="F2300" s="43" t="e">
        <f t="shared" si="35"/>
        <v>#N/A</v>
      </c>
      <c r="G2300" s="43"/>
    </row>
    <row r="2301" spans="1:7" ht="37.5" x14ac:dyDescent="0.3">
      <c r="A2301" s="45">
        <v>42872</v>
      </c>
      <c r="B2301" s="5" t="s">
        <v>25</v>
      </c>
      <c r="C2301" s="92" t="s">
        <v>1779</v>
      </c>
      <c r="D2301" s="43">
        <v>180</v>
      </c>
      <c r="E2301" s="43"/>
      <c r="F2301" s="43" t="e">
        <f t="shared" si="35"/>
        <v>#N/A</v>
      </c>
      <c r="G2301" s="43"/>
    </row>
    <row r="2302" spans="1:7" x14ac:dyDescent="0.3">
      <c r="A2302" s="45">
        <v>42872</v>
      </c>
      <c r="B2302" s="5" t="s">
        <v>247</v>
      </c>
      <c r="C2302" s="92" t="s">
        <v>31</v>
      </c>
      <c r="D2302" s="43">
        <v>250</v>
      </c>
      <c r="E2302" s="43"/>
      <c r="F2302" s="43" t="e">
        <f t="shared" si="35"/>
        <v>#N/A</v>
      </c>
      <c r="G2302" s="43"/>
    </row>
    <row r="2303" spans="1:7" ht="56.25" x14ac:dyDescent="0.3">
      <c r="A2303" s="45">
        <v>42872</v>
      </c>
      <c r="B2303" s="5" t="s">
        <v>25</v>
      </c>
      <c r="C2303" s="92" t="s">
        <v>1780</v>
      </c>
      <c r="D2303" s="43">
        <v>260</v>
      </c>
      <c r="E2303" s="43"/>
      <c r="F2303" s="43" t="e">
        <f t="shared" si="35"/>
        <v>#N/A</v>
      </c>
      <c r="G2303" s="43"/>
    </row>
    <row r="2304" spans="1:7" x14ac:dyDescent="0.3">
      <c r="A2304" s="45">
        <v>42872</v>
      </c>
      <c r="B2304" s="5" t="s">
        <v>120</v>
      </c>
      <c r="C2304" s="92" t="s">
        <v>31</v>
      </c>
      <c r="D2304" s="43">
        <v>4000</v>
      </c>
      <c r="E2304" s="43"/>
      <c r="F2304" s="43" t="e">
        <f t="shared" si="35"/>
        <v>#N/A</v>
      </c>
      <c r="G2304" s="43"/>
    </row>
    <row r="2305" spans="1:7" x14ac:dyDescent="0.3">
      <c r="A2305" s="45">
        <v>42872</v>
      </c>
      <c r="B2305" s="5" t="s">
        <v>27</v>
      </c>
      <c r="C2305" s="92" t="s">
        <v>31</v>
      </c>
      <c r="D2305" s="43">
        <v>1500</v>
      </c>
      <c r="E2305" s="43"/>
      <c r="F2305" s="43" t="e">
        <f t="shared" si="35"/>
        <v>#N/A</v>
      </c>
      <c r="G2305" s="43"/>
    </row>
    <row r="2306" spans="1:7" ht="37.5" x14ac:dyDescent="0.3">
      <c r="A2306" s="45">
        <v>42872</v>
      </c>
      <c r="B2306" s="5" t="s">
        <v>25</v>
      </c>
      <c r="C2306" s="92" t="s">
        <v>1784</v>
      </c>
      <c r="D2306" s="43">
        <v>100</v>
      </c>
      <c r="E2306" s="43"/>
      <c r="F2306" s="43" t="e">
        <f t="shared" si="35"/>
        <v>#N/A</v>
      </c>
      <c r="G2306" s="43"/>
    </row>
    <row r="2307" spans="1:7" x14ac:dyDescent="0.3">
      <c r="A2307" s="45">
        <v>42873</v>
      </c>
      <c r="B2307" s="761" t="s">
        <v>1818</v>
      </c>
      <c r="C2307" s="762"/>
      <c r="D2307" s="71"/>
      <c r="E2307" s="72">
        <v>50000</v>
      </c>
      <c r="F2307" s="43" t="e">
        <f t="shared" ref="F2307:F2370" si="36">F2306-D2307+E2307</f>
        <v>#N/A</v>
      </c>
      <c r="G2307" s="43"/>
    </row>
    <row r="2308" spans="1:7" x14ac:dyDescent="0.3">
      <c r="A2308" s="45">
        <v>42873</v>
      </c>
      <c r="B2308" s="5" t="s">
        <v>84</v>
      </c>
      <c r="C2308" s="92" t="s">
        <v>1741</v>
      </c>
      <c r="D2308" s="65">
        <v>1000</v>
      </c>
      <c r="E2308" s="43"/>
      <c r="F2308" s="43" t="e">
        <f t="shared" si="36"/>
        <v>#N/A</v>
      </c>
      <c r="G2308" s="43"/>
    </row>
    <row r="2309" spans="1:7" x14ac:dyDescent="0.3">
      <c r="A2309" s="45">
        <v>42873</v>
      </c>
      <c r="B2309" s="5" t="s">
        <v>1343</v>
      </c>
      <c r="C2309" s="92" t="s">
        <v>1785</v>
      </c>
      <c r="D2309" s="65">
        <v>15000</v>
      </c>
      <c r="E2309" s="43"/>
      <c r="F2309" s="43" t="e">
        <f t="shared" si="36"/>
        <v>#N/A</v>
      </c>
      <c r="G2309" s="43"/>
    </row>
    <row r="2310" spans="1:7" x14ac:dyDescent="0.3">
      <c r="A2310" s="45">
        <v>42873</v>
      </c>
      <c r="B2310" s="5" t="s">
        <v>4</v>
      </c>
      <c r="C2310" s="92" t="s">
        <v>1786</v>
      </c>
      <c r="D2310" s="43">
        <v>6000</v>
      </c>
      <c r="E2310" s="43"/>
      <c r="F2310" s="43" t="e">
        <f t="shared" si="36"/>
        <v>#N/A</v>
      </c>
      <c r="G2310" s="43"/>
    </row>
    <row r="2311" spans="1:7" ht="37.5" x14ac:dyDescent="0.3">
      <c r="A2311" s="45">
        <v>42873</v>
      </c>
      <c r="B2311" s="5" t="s">
        <v>1787</v>
      </c>
      <c r="C2311" s="92" t="s">
        <v>1788</v>
      </c>
      <c r="D2311" s="43">
        <v>3500</v>
      </c>
      <c r="E2311" s="43"/>
      <c r="F2311" s="43" t="e">
        <f t="shared" si="36"/>
        <v>#N/A</v>
      </c>
      <c r="G2311" s="43"/>
    </row>
    <row r="2312" spans="1:7" ht="37.5" x14ac:dyDescent="0.3">
      <c r="A2312" s="45">
        <v>42873</v>
      </c>
      <c r="B2312" s="5" t="s">
        <v>25</v>
      </c>
      <c r="C2312" s="92" t="s">
        <v>1789</v>
      </c>
      <c r="D2312" s="43">
        <v>50</v>
      </c>
      <c r="E2312" s="43"/>
      <c r="F2312" s="43" t="e">
        <f t="shared" si="36"/>
        <v>#N/A</v>
      </c>
      <c r="G2312" s="43"/>
    </row>
    <row r="2313" spans="1:7" x14ac:dyDescent="0.3">
      <c r="A2313" s="45">
        <v>42873</v>
      </c>
      <c r="B2313" s="5" t="s">
        <v>16</v>
      </c>
      <c r="C2313" s="92" t="s">
        <v>1791</v>
      </c>
      <c r="D2313" s="43">
        <v>2000</v>
      </c>
      <c r="E2313" s="43"/>
      <c r="F2313" s="43" t="e">
        <f t="shared" si="36"/>
        <v>#N/A</v>
      </c>
      <c r="G2313" s="43"/>
    </row>
    <row r="2314" spans="1:7" x14ac:dyDescent="0.3">
      <c r="A2314" s="45">
        <v>42873</v>
      </c>
      <c r="B2314" s="5" t="s">
        <v>1012</v>
      </c>
      <c r="C2314" s="92" t="s">
        <v>1790</v>
      </c>
      <c r="D2314" s="43">
        <v>470</v>
      </c>
      <c r="E2314" s="43"/>
      <c r="F2314" s="43" t="e">
        <f t="shared" si="36"/>
        <v>#N/A</v>
      </c>
      <c r="G2314" s="43"/>
    </row>
    <row r="2315" spans="1:7" ht="37.5" x14ac:dyDescent="0.3">
      <c r="A2315" s="45">
        <v>42873</v>
      </c>
      <c r="B2315" s="5" t="s">
        <v>58</v>
      </c>
      <c r="C2315" s="92" t="s">
        <v>1792</v>
      </c>
      <c r="D2315" s="43">
        <v>9300</v>
      </c>
      <c r="E2315" s="43"/>
      <c r="F2315" s="43" t="e">
        <f t="shared" si="36"/>
        <v>#N/A</v>
      </c>
      <c r="G2315" s="43"/>
    </row>
    <row r="2316" spans="1:7" x14ac:dyDescent="0.3">
      <c r="A2316" s="45">
        <v>42873</v>
      </c>
      <c r="B2316" s="5" t="s">
        <v>25</v>
      </c>
      <c r="C2316" s="92" t="s">
        <v>1796</v>
      </c>
      <c r="D2316" s="43">
        <v>180</v>
      </c>
      <c r="E2316" s="43"/>
      <c r="F2316" s="43" t="e">
        <f t="shared" si="36"/>
        <v>#N/A</v>
      </c>
      <c r="G2316" s="43"/>
    </row>
    <row r="2317" spans="1:7" x14ac:dyDescent="0.3">
      <c r="A2317" s="45">
        <v>42873</v>
      </c>
      <c r="B2317" s="5" t="s">
        <v>25</v>
      </c>
      <c r="C2317" s="92" t="s">
        <v>1797</v>
      </c>
      <c r="D2317" s="43">
        <v>180</v>
      </c>
      <c r="E2317" s="43"/>
      <c r="F2317" s="43" t="e">
        <f t="shared" si="36"/>
        <v>#N/A</v>
      </c>
      <c r="G2317" s="43"/>
    </row>
    <row r="2318" spans="1:7" x14ac:dyDescent="0.3">
      <c r="A2318" s="45">
        <v>42873</v>
      </c>
      <c r="B2318" s="5" t="s">
        <v>25</v>
      </c>
      <c r="C2318" s="92" t="s">
        <v>1557</v>
      </c>
      <c r="D2318" s="43">
        <v>140</v>
      </c>
      <c r="E2318" s="43"/>
      <c r="F2318" s="43" t="e">
        <f t="shared" si="36"/>
        <v>#N/A</v>
      </c>
      <c r="G2318" s="43"/>
    </row>
    <row r="2319" spans="1:7" x14ac:dyDescent="0.3">
      <c r="A2319" s="45">
        <v>42874</v>
      </c>
      <c r="B2319" s="5" t="s">
        <v>16</v>
      </c>
      <c r="C2319" s="92" t="s">
        <v>31</v>
      </c>
      <c r="D2319" s="43">
        <v>5500</v>
      </c>
      <c r="E2319" s="43"/>
      <c r="F2319" s="43" t="e">
        <f t="shared" si="36"/>
        <v>#N/A</v>
      </c>
      <c r="G2319" s="43"/>
    </row>
    <row r="2320" spans="1:7" x14ac:dyDescent="0.3">
      <c r="A2320" s="45">
        <v>42874</v>
      </c>
      <c r="B2320" s="5" t="s">
        <v>84</v>
      </c>
      <c r="C2320" s="92" t="s">
        <v>1819</v>
      </c>
      <c r="D2320" s="65">
        <v>1000</v>
      </c>
      <c r="E2320" s="43"/>
      <c r="F2320" s="43" t="e">
        <f t="shared" si="36"/>
        <v>#N/A</v>
      </c>
      <c r="G2320" s="43"/>
    </row>
    <row r="2321" spans="1:10" s="114" customFormat="1" x14ac:dyDescent="0.3">
      <c r="A2321" s="45">
        <v>42874</v>
      </c>
      <c r="B2321" s="73" t="s">
        <v>0</v>
      </c>
      <c r="C2321" s="103" t="s">
        <v>31</v>
      </c>
      <c r="D2321" s="58">
        <v>4000</v>
      </c>
      <c r="E2321" s="58"/>
      <c r="F2321" s="43" t="e">
        <f t="shared" si="36"/>
        <v>#N/A</v>
      </c>
      <c r="G2321" s="58"/>
      <c r="H2321" s="113"/>
      <c r="I2321" s="113"/>
      <c r="J2321" s="113"/>
    </row>
    <row r="2322" spans="1:10" x14ac:dyDescent="0.3">
      <c r="A2322" s="45">
        <v>42874</v>
      </c>
      <c r="B2322" s="761" t="s">
        <v>1817</v>
      </c>
      <c r="C2322" s="762"/>
      <c r="D2322" s="71"/>
      <c r="E2322" s="72">
        <v>50000</v>
      </c>
      <c r="F2322" s="43" t="e">
        <f t="shared" si="36"/>
        <v>#N/A</v>
      </c>
      <c r="G2322" s="43"/>
    </row>
    <row r="2323" spans="1:10" x14ac:dyDescent="0.3">
      <c r="A2323" s="45">
        <v>42874</v>
      </c>
      <c r="B2323" s="5" t="s">
        <v>27</v>
      </c>
      <c r="C2323" s="92" t="s">
        <v>31</v>
      </c>
      <c r="D2323" s="43">
        <v>9500</v>
      </c>
      <c r="E2323" s="43"/>
      <c r="F2323" s="43" t="e">
        <f t="shared" si="36"/>
        <v>#N/A</v>
      </c>
      <c r="G2323" s="43"/>
    </row>
    <row r="2324" spans="1:10" x14ac:dyDescent="0.3">
      <c r="A2324" s="45">
        <v>42874</v>
      </c>
      <c r="B2324" s="5" t="s">
        <v>1193</v>
      </c>
      <c r="C2324" s="92" t="s">
        <v>1793</v>
      </c>
      <c r="D2324" s="43">
        <v>18000</v>
      </c>
      <c r="E2324" s="43"/>
      <c r="F2324" s="43" t="e">
        <f t="shared" si="36"/>
        <v>#N/A</v>
      </c>
      <c r="G2324" s="43"/>
    </row>
    <row r="2325" spans="1:10" x14ac:dyDescent="0.3">
      <c r="A2325" s="45">
        <v>42874</v>
      </c>
      <c r="B2325" s="44" t="s">
        <v>84</v>
      </c>
      <c r="C2325" s="124" t="s">
        <v>1794</v>
      </c>
      <c r="D2325" s="28">
        <v>2000</v>
      </c>
      <c r="E2325" s="28"/>
      <c r="F2325" s="43" t="e">
        <f t="shared" si="36"/>
        <v>#N/A</v>
      </c>
      <c r="G2325" s="28"/>
    </row>
    <row r="2326" spans="1:10" x14ac:dyDescent="0.3">
      <c r="A2326" s="45">
        <v>42874</v>
      </c>
      <c r="B2326" s="5" t="s">
        <v>84</v>
      </c>
      <c r="C2326" s="92" t="s">
        <v>1795</v>
      </c>
      <c r="D2326" s="43">
        <v>20000</v>
      </c>
      <c r="E2326" s="43"/>
      <c r="F2326" s="43" t="e">
        <f t="shared" si="36"/>
        <v>#N/A</v>
      </c>
      <c r="G2326" s="43"/>
    </row>
    <row r="2327" spans="1:10" x14ac:dyDescent="0.3">
      <c r="A2327" s="45">
        <v>42874</v>
      </c>
      <c r="B2327" s="5" t="s">
        <v>25</v>
      </c>
      <c r="C2327" s="92" t="s">
        <v>1829</v>
      </c>
      <c r="D2327" s="43">
        <v>65</v>
      </c>
      <c r="E2327" s="43"/>
      <c r="F2327" s="43" t="e">
        <f t="shared" si="36"/>
        <v>#N/A</v>
      </c>
      <c r="G2327" s="43"/>
    </row>
    <row r="2328" spans="1:10" x14ac:dyDescent="0.3">
      <c r="A2328" s="45">
        <v>42874</v>
      </c>
      <c r="B2328" s="5" t="s">
        <v>25</v>
      </c>
      <c r="C2328" s="92" t="s">
        <v>1798</v>
      </c>
      <c r="D2328" s="43">
        <v>190</v>
      </c>
      <c r="E2328" s="43"/>
      <c r="F2328" s="43" t="e">
        <f t="shared" si="36"/>
        <v>#N/A</v>
      </c>
      <c r="G2328" s="43"/>
    </row>
    <row r="2329" spans="1:10" x14ac:dyDescent="0.3">
      <c r="A2329" s="45">
        <v>42874</v>
      </c>
      <c r="B2329" s="5" t="s">
        <v>25</v>
      </c>
      <c r="C2329" s="92" t="s">
        <v>1753</v>
      </c>
      <c r="D2329" s="43">
        <v>160</v>
      </c>
      <c r="E2329" s="43"/>
      <c r="F2329" s="43" t="e">
        <f t="shared" si="36"/>
        <v>#N/A</v>
      </c>
      <c r="G2329" s="43"/>
    </row>
    <row r="2330" spans="1:10" ht="37.5" x14ac:dyDescent="0.3">
      <c r="A2330" s="45">
        <v>42874</v>
      </c>
      <c r="B2330" s="5" t="s">
        <v>25</v>
      </c>
      <c r="C2330" s="92" t="s">
        <v>1799</v>
      </c>
      <c r="D2330" s="43">
        <v>150</v>
      </c>
      <c r="E2330" s="43"/>
      <c r="F2330" s="43" t="e">
        <f t="shared" si="36"/>
        <v>#N/A</v>
      </c>
      <c r="G2330" s="43"/>
    </row>
    <row r="2331" spans="1:10" x14ac:dyDescent="0.3">
      <c r="A2331" s="45">
        <v>42875</v>
      </c>
      <c r="B2331" s="761" t="s">
        <v>1800</v>
      </c>
      <c r="C2331" s="762"/>
      <c r="D2331" s="71"/>
      <c r="E2331" s="72">
        <v>100000</v>
      </c>
      <c r="F2331" s="43" t="e">
        <f t="shared" si="36"/>
        <v>#N/A</v>
      </c>
      <c r="G2331" s="43"/>
    </row>
    <row r="2332" spans="1:10" x14ac:dyDescent="0.3">
      <c r="A2332" s="45">
        <v>42875</v>
      </c>
      <c r="B2332" s="5" t="s">
        <v>84</v>
      </c>
      <c r="C2332" s="92" t="s">
        <v>1820</v>
      </c>
      <c r="D2332" s="43">
        <v>2000</v>
      </c>
      <c r="E2332" s="43"/>
      <c r="F2332" s="43" t="e">
        <f t="shared" si="36"/>
        <v>#N/A</v>
      </c>
      <c r="G2332" s="43"/>
    </row>
    <row r="2333" spans="1:10" ht="37.5" x14ac:dyDescent="0.3">
      <c r="A2333" s="45">
        <v>42875</v>
      </c>
      <c r="B2333" s="5" t="s">
        <v>58</v>
      </c>
      <c r="C2333" s="92" t="s">
        <v>1801</v>
      </c>
      <c r="D2333" s="43">
        <v>1272</v>
      </c>
      <c r="E2333" s="43"/>
      <c r="F2333" s="43" t="e">
        <f t="shared" si="36"/>
        <v>#N/A</v>
      </c>
      <c r="G2333" s="43"/>
    </row>
    <row r="2334" spans="1:10" ht="37.5" x14ac:dyDescent="0.3">
      <c r="A2334" s="45">
        <v>42875</v>
      </c>
      <c r="B2334" s="5" t="s">
        <v>58</v>
      </c>
      <c r="C2334" s="92" t="s">
        <v>1885</v>
      </c>
      <c r="D2334" s="65">
        <v>31650</v>
      </c>
      <c r="E2334" s="43"/>
      <c r="F2334" s="43" t="e">
        <f t="shared" si="36"/>
        <v>#N/A</v>
      </c>
      <c r="G2334" s="43"/>
    </row>
    <row r="2335" spans="1:10" ht="37.5" x14ac:dyDescent="0.3">
      <c r="A2335" s="45">
        <v>42875</v>
      </c>
      <c r="B2335" s="5" t="s">
        <v>1343</v>
      </c>
      <c r="C2335" s="92" t="s">
        <v>1988</v>
      </c>
      <c r="D2335" s="65">
        <v>14380</v>
      </c>
      <c r="E2335" s="65"/>
      <c r="F2335" s="43" t="e">
        <f t="shared" si="36"/>
        <v>#N/A</v>
      </c>
      <c r="G2335" s="65"/>
    </row>
    <row r="2336" spans="1:10" x14ac:dyDescent="0.3">
      <c r="A2336" s="45">
        <v>42875</v>
      </c>
      <c r="B2336" s="107" t="s">
        <v>1343</v>
      </c>
      <c r="C2336" s="108" t="s">
        <v>1940</v>
      </c>
      <c r="D2336" s="109">
        <v>620</v>
      </c>
      <c r="E2336" s="43"/>
      <c r="F2336" s="43" t="e">
        <f t="shared" si="36"/>
        <v>#N/A</v>
      </c>
      <c r="G2336" s="43"/>
    </row>
    <row r="2337" spans="1:9" x14ac:dyDescent="0.3">
      <c r="A2337" s="45">
        <v>42875</v>
      </c>
      <c r="B2337" s="5" t="s">
        <v>1003</v>
      </c>
      <c r="C2337" s="92" t="s">
        <v>1989</v>
      </c>
      <c r="D2337" s="43">
        <v>450</v>
      </c>
      <c r="E2337" s="43"/>
      <c r="F2337" s="43" t="e">
        <f t="shared" si="36"/>
        <v>#N/A</v>
      </c>
      <c r="G2337" s="43"/>
      <c r="H2337" s="102"/>
      <c r="I2337" s="102"/>
    </row>
    <row r="2338" spans="1:9" x14ac:dyDescent="0.3">
      <c r="A2338" s="45">
        <v>42875</v>
      </c>
      <c r="B2338" s="107" t="s">
        <v>58</v>
      </c>
      <c r="C2338" s="108" t="s">
        <v>1802</v>
      </c>
      <c r="D2338" s="109">
        <v>1000</v>
      </c>
      <c r="E2338" s="43"/>
      <c r="F2338" s="43" t="e">
        <f t="shared" si="36"/>
        <v>#N/A</v>
      </c>
      <c r="G2338" s="298"/>
      <c r="H2338" s="134"/>
      <c r="I2338" s="135"/>
    </row>
    <row r="2339" spans="1:9" x14ac:dyDescent="0.3">
      <c r="A2339" s="45">
        <v>42875</v>
      </c>
      <c r="B2339" s="5" t="s">
        <v>25</v>
      </c>
      <c r="C2339" s="92" t="s">
        <v>1803</v>
      </c>
      <c r="D2339" s="43">
        <v>110</v>
      </c>
      <c r="E2339" s="43"/>
      <c r="F2339" s="43" t="e">
        <f t="shared" si="36"/>
        <v>#N/A</v>
      </c>
      <c r="G2339" s="298"/>
      <c r="H2339" s="134"/>
      <c r="I2339" s="135"/>
    </row>
    <row r="2340" spans="1:9" x14ac:dyDescent="0.3">
      <c r="A2340" s="45">
        <v>42875</v>
      </c>
      <c r="B2340" s="5" t="s">
        <v>25</v>
      </c>
      <c r="C2340" s="92" t="s">
        <v>1804</v>
      </c>
      <c r="D2340" s="43">
        <v>80</v>
      </c>
      <c r="E2340" s="43"/>
      <c r="F2340" s="43" t="e">
        <f t="shared" si="36"/>
        <v>#N/A</v>
      </c>
      <c r="G2340" s="298"/>
      <c r="H2340" s="136"/>
      <c r="I2340" s="137"/>
    </row>
    <row r="2341" spans="1:9" x14ac:dyDescent="0.3">
      <c r="A2341" s="45">
        <v>42875</v>
      </c>
      <c r="B2341" s="5" t="s">
        <v>27</v>
      </c>
      <c r="C2341" s="92" t="s">
        <v>31</v>
      </c>
      <c r="D2341" s="43">
        <v>2000</v>
      </c>
      <c r="E2341" s="43"/>
      <c r="F2341" s="43" t="e">
        <f t="shared" si="36"/>
        <v>#N/A</v>
      </c>
      <c r="G2341" s="298"/>
      <c r="H2341" s="134"/>
      <c r="I2341" s="135"/>
    </row>
    <row r="2342" spans="1:9" x14ac:dyDescent="0.3">
      <c r="A2342" s="45">
        <v>42875</v>
      </c>
      <c r="B2342" s="5" t="s">
        <v>25</v>
      </c>
      <c r="C2342" s="92" t="s">
        <v>1828</v>
      </c>
      <c r="D2342" s="43">
        <v>390</v>
      </c>
      <c r="E2342" s="43"/>
      <c r="F2342" s="43" t="e">
        <f t="shared" si="36"/>
        <v>#N/A</v>
      </c>
      <c r="G2342" s="298"/>
      <c r="H2342" s="134"/>
      <c r="I2342" s="135"/>
    </row>
    <row r="2343" spans="1:9" x14ac:dyDescent="0.3">
      <c r="A2343" s="45">
        <v>42877</v>
      </c>
      <c r="B2343" s="5" t="s">
        <v>25</v>
      </c>
      <c r="C2343" s="92" t="s">
        <v>1807</v>
      </c>
      <c r="D2343" s="43">
        <v>1250</v>
      </c>
      <c r="E2343" s="43"/>
      <c r="F2343" s="43" t="e">
        <f t="shared" si="36"/>
        <v>#N/A</v>
      </c>
      <c r="G2343" s="298"/>
      <c r="H2343" s="134"/>
      <c r="I2343" s="135"/>
    </row>
    <row r="2344" spans="1:9" x14ac:dyDescent="0.3">
      <c r="A2344" s="45">
        <v>42877</v>
      </c>
      <c r="B2344" s="5" t="s">
        <v>25</v>
      </c>
      <c r="C2344" s="92" t="s">
        <v>1808</v>
      </c>
      <c r="D2344" s="43">
        <v>400</v>
      </c>
      <c r="E2344" s="43"/>
      <c r="F2344" s="43" t="e">
        <f t="shared" si="36"/>
        <v>#N/A</v>
      </c>
      <c r="G2344" s="43"/>
    </row>
    <row r="2345" spans="1:9" ht="37.5" x14ac:dyDescent="0.3">
      <c r="A2345" s="45">
        <v>42877</v>
      </c>
      <c r="B2345" s="5" t="s">
        <v>541</v>
      </c>
      <c r="C2345" s="92" t="s">
        <v>1810</v>
      </c>
      <c r="D2345" s="43">
        <v>20000</v>
      </c>
      <c r="E2345" s="43"/>
      <c r="F2345" s="43" t="e">
        <f t="shared" si="36"/>
        <v>#N/A</v>
      </c>
      <c r="G2345" s="43"/>
    </row>
    <row r="2346" spans="1:9" x14ac:dyDescent="0.3">
      <c r="A2346" s="45">
        <v>42877</v>
      </c>
      <c r="B2346" s="5" t="s">
        <v>25</v>
      </c>
      <c r="C2346" s="92" t="s">
        <v>1809</v>
      </c>
      <c r="D2346" s="43">
        <v>150</v>
      </c>
      <c r="E2346" s="43"/>
      <c r="F2346" s="43" t="e">
        <f t="shared" si="36"/>
        <v>#N/A</v>
      </c>
      <c r="G2346" s="43"/>
    </row>
    <row r="2347" spans="1:9" x14ac:dyDescent="0.3">
      <c r="A2347" s="45">
        <v>42877</v>
      </c>
      <c r="B2347" s="5" t="s">
        <v>27</v>
      </c>
      <c r="C2347" s="92" t="s">
        <v>31</v>
      </c>
      <c r="D2347" s="43">
        <v>2000</v>
      </c>
      <c r="E2347" s="43"/>
      <c r="F2347" s="43" t="e">
        <f t="shared" si="36"/>
        <v>#N/A</v>
      </c>
      <c r="G2347" s="43"/>
    </row>
    <row r="2348" spans="1:9" x14ac:dyDescent="0.3">
      <c r="A2348" s="45">
        <v>42878</v>
      </c>
      <c r="B2348" s="5" t="s">
        <v>1343</v>
      </c>
      <c r="C2348" s="92" t="s">
        <v>1811</v>
      </c>
      <c r="D2348" s="43">
        <v>5000</v>
      </c>
      <c r="E2348" s="43"/>
      <c r="F2348" s="43" t="e">
        <f t="shared" si="36"/>
        <v>#N/A</v>
      </c>
      <c r="G2348" s="43"/>
    </row>
    <row r="2349" spans="1:9" x14ac:dyDescent="0.3">
      <c r="A2349" s="45">
        <v>42878</v>
      </c>
      <c r="B2349" s="5" t="s">
        <v>58</v>
      </c>
      <c r="C2349" s="92" t="s">
        <v>1886</v>
      </c>
      <c r="D2349" s="43">
        <v>2300</v>
      </c>
      <c r="E2349" s="43"/>
      <c r="F2349" s="43" t="e">
        <f t="shared" si="36"/>
        <v>#N/A</v>
      </c>
      <c r="G2349" s="43"/>
    </row>
    <row r="2350" spans="1:9" x14ac:dyDescent="0.3">
      <c r="A2350" s="45">
        <v>42878</v>
      </c>
      <c r="B2350" s="5" t="s">
        <v>11</v>
      </c>
      <c r="C2350" s="92" t="s">
        <v>1812</v>
      </c>
      <c r="D2350" s="43">
        <v>1000</v>
      </c>
      <c r="E2350" s="43"/>
      <c r="F2350" s="43" t="e">
        <f t="shared" si="36"/>
        <v>#N/A</v>
      </c>
      <c r="G2350" s="43"/>
    </row>
    <row r="2351" spans="1:9" x14ac:dyDescent="0.3">
      <c r="A2351" s="45">
        <v>42878</v>
      </c>
      <c r="B2351" s="5" t="s">
        <v>18</v>
      </c>
      <c r="C2351" s="92" t="s">
        <v>1813</v>
      </c>
      <c r="D2351" s="43">
        <v>2000</v>
      </c>
      <c r="E2351" s="43"/>
      <c r="F2351" s="43" t="e">
        <f t="shared" si="36"/>
        <v>#N/A</v>
      </c>
      <c r="G2351" s="43"/>
    </row>
    <row r="2352" spans="1:9" x14ac:dyDescent="0.3">
      <c r="A2352" s="45">
        <v>42878</v>
      </c>
      <c r="B2352" s="5" t="s">
        <v>1686</v>
      </c>
      <c r="C2352" s="92" t="s">
        <v>1814</v>
      </c>
      <c r="D2352" s="43">
        <v>5418</v>
      </c>
      <c r="E2352" s="43"/>
      <c r="F2352" s="43" t="e">
        <f t="shared" si="36"/>
        <v>#N/A</v>
      </c>
      <c r="G2352" s="43"/>
    </row>
    <row r="2353" spans="1:7" x14ac:dyDescent="0.3">
      <c r="A2353" s="45">
        <v>42878</v>
      </c>
      <c r="B2353" s="5" t="s">
        <v>84</v>
      </c>
      <c r="C2353" s="92" t="s">
        <v>1815</v>
      </c>
      <c r="D2353" s="43">
        <v>5000</v>
      </c>
      <c r="E2353" s="43"/>
      <c r="F2353" s="43" t="e">
        <f t="shared" si="36"/>
        <v>#N/A</v>
      </c>
      <c r="G2353" s="43"/>
    </row>
    <row r="2354" spans="1:7" x14ac:dyDescent="0.3">
      <c r="A2354" s="45">
        <v>42878</v>
      </c>
      <c r="B2354" s="5" t="s">
        <v>84</v>
      </c>
      <c r="C2354" s="92" t="s">
        <v>1816</v>
      </c>
      <c r="D2354" s="43">
        <v>1000</v>
      </c>
      <c r="E2354" s="43"/>
      <c r="F2354" s="43" t="e">
        <f t="shared" si="36"/>
        <v>#N/A</v>
      </c>
      <c r="G2354" s="43"/>
    </row>
    <row r="2355" spans="1:7" x14ac:dyDescent="0.3">
      <c r="A2355" s="45">
        <v>42878</v>
      </c>
      <c r="B2355" s="5" t="s">
        <v>120</v>
      </c>
      <c r="C2355" s="92" t="s">
        <v>31</v>
      </c>
      <c r="D2355" s="43">
        <v>500</v>
      </c>
      <c r="E2355" s="43"/>
      <c r="F2355" s="43" t="e">
        <f t="shared" si="36"/>
        <v>#N/A</v>
      </c>
      <c r="G2355" s="43"/>
    </row>
    <row r="2356" spans="1:7" x14ac:dyDescent="0.3">
      <c r="A2356" s="45">
        <v>42878</v>
      </c>
      <c r="B2356" s="5" t="s">
        <v>25</v>
      </c>
      <c r="C2356" s="92" t="s">
        <v>1825</v>
      </c>
      <c r="D2356" s="43">
        <v>120</v>
      </c>
      <c r="E2356" s="43"/>
      <c r="F2356" s="43" t="e">
        <f t="shared" si="36"/>
        <v>#N/A</v>
      </c>
      <c r="G2356" s="43"/>
    </row>
    <row r="2357" spans="1:7" ht="15.75" customHeight="1" x14ac:dyDescent="0.3">
      <c r="A2357" s="45">
        <v>42878</v>
      </c>
      <c r="B2357" s="5" t="s">
        <v>25</v>
      </c>
      <c r="C2357" s="92" t="s">
        <v>1827</v>
      </c>
      <c r="D2357" s="43">
        <v>105</v>
      </c>
      <c r="E2357" s="43"/>
      <c r="F2357" s="43" t="e">
        <f t="shared" si="36"/>
        <v>#N/A</v>
      </c>
      <c r="G2357" s="43"/>
    </row>
    <row r="2358" spans="1:7" ht="15.75" customHeight="1" x14ac:dyDescent="0.3">
      <c r="A2358" s="45">
        <v>42878</v>
      </c>
      <c r="B2358" s="5" t="s">
        <v>25</v>
      </c>
      <c r="C2358" s="92" t="s">
        <v>1831</v>
      </c>
      <c r="D2358" s="43">
        <v>100</v>
      </c>
      <c r="E2358" s="43"/>
      <c r="F2358" s="43" t="e">
        <f t="shared" si="36"/>
        <v>#N/A</v>
      </c>
      <c r="G2358" s="43"/>
    </row>
    <row r="2359" spans="1:7" x14ac:dyDescent="0.3">
      <c r="A2359" s="45">
        <v>42878</v>
      </c>
      <c r="B2359" s="5" t="s">
        <v>1281</v>
      </c>
      <c r="C2359" s="92" t="s">
        <v>31</v>
      </c>
      <c r="D2359" s="43">
        <v>1000</v>
      </c>
      <c r="E2359" s="43"/>
      <c r="F2359" s="43" t="e">
        <f t="shared" si="36"/>
        <v>#N/A</v>
      </c>
      <c r="G2359" s="43"/>
    </row>
    <row r="2360" spans="1:7" x14ac:dyDescent="0.3">
      <c r="A2360" s="45">
        <v>42879</v>
      </c>
      <c r="B2360" s="5" t="s">
        <v>27</v>
      </c>
      <c r="C2360" s="92" t="s">
        <v>31</v>
      </c>
      <c r="D2360" s="43">
        <v>500</v>
      </c>
      <c r="E2360" s="43"/>
      <c r="F2360" s="43" t="e">
        <f t="shared" si="36"/>
        <v>#N/A</v>
      </c>
      <c r="G2360" s="43"/>
    </row>
    <row r="2361" spans="1:7" x14ac:dyDescent="0.3">
      <c r="A2361" s="45">
        <v>42879</v>
      </c>
      <c r="B2361" s="761" t="s">
        <v>1696</v>
      </c>
      <c r="C2361" s="762"/>
      <c r="D2361" s="71"/>
      <c r="E2361" s="72">
        <v>50000</v>
      </c>
      <c r="F2361" s="43" t="e">
        <f t="shared" si="36"/>
        <v>#N/A</v>
      </c>
      <c r="G2361" s="43"/>
    </row>
    <row r="2362" spans="1:7" x14ac:dyDescent="0.3">
      <c r="A2362" s="45">
        <v>42879</v>
      </c>
      <c r="B2362" s="5" t="s">
        <v>1821</v>
      </c>
      <c r="C2362" s="92" t="s">
        <v>1822</v>
      </c>
      <c r="D2362" s="43">
        <v>5000</v>
      </c>
      <c r="E2362" s="43"/>
      <c r="F2362" s="43" t="e">
        <f t="shared" si="36"/>
        <v>#N/A</v>
      </c>
      <c r="G2362" s="43"/>
    </row>
    <row r="2363" spans="1:7" x14ac:dyDescent="0.3">
      <c r="A2363" s="45">
        <v>42879</v>
      </c>
      <c r="B2363" s="5" t="s">
        <v>1821</v>
      </c>
      <c r="C2363" s="92" t="s">
        <v>1823</v>
      </c>
      <c r="D2363" s="43">
        <v>5000</v>
      </c>
      <c r="E2363" s="43"/>
      <c r="F2363" s="43" t="e">
        <f t="shared" si="36"/>
        <v>#N/A</v>
      </c>
      <c r="G2363" s="43"/>
    </row>
    <row r="2364" spans="1:7" x14ac:dyDescent="0.3">
      <c r="A2364" s="45">
        <v>42879</v>
      </c>
      <c r="B2364" s="5" t="s">
        <v>0</v>
      </c>
      <c r="C2364" s="92" t="s">
        <v>1824</v>
      </c>
      <c r="D2364" s="43">
        <v>5000</v>
      </c>
      <c r="E2364" s="43"/>
      <c r="F2364" s="43" t="e">
        <f t="shared" si="36"/>
        <v>#N/A</v>
      </c>
      <c r="G2364" s="43"/>
    </row>
    <row r="2365" spans="1:7" x14ac:dyDescent="0.3">
      <c r="A2365" s="45">
        <v>42879</v>
      </c>
      <c r="B2365" s="5" t="s">
        <v>58</v>
      </c>
      <c r="C2365" s="92" t="s">
        <v>1832</v>
      </c>
      <c r="D2365" s="65">
        <v>8780</v>
      </c>
      <c r="E2365" s="65"/>
      <c r="F2365" s="43" t="e">
        <f t="shared" si="36"/>
        <v>#N/A</v>
      </c>
      <c r="G2365" s="43"/>
    </row>
    <row r="2366" spans="1:7" x14ac:dyDescent="0.3">
      <c r="A2366" s="45">
        <v>42879</v>
      </c>
      <c r="B2366" s="5" t="s">
        <v>4</v>
      </c>
      <c r="C2366" s="92" t="s">
        <v>31</v>
      </c>
      <c r="D2366" s="43">
        <v>5000</v>
      </c>
      <c r="E2366" s="43"/>
      <c r="F2366" s="43" t="e">
        <f t="shared" si="36"/>
        <v>#N/A</v>
      </c>
      <c r="G2366" s="43"/>
    </row>
    <row r="2367" spans="1:7" x14ac:dyDescent="0.3">
      <c r="A2367" s="45">
        <v>42879</v>
      </c>
      <c r="B2367" s="5" t="s">
        <v>27</v>
      </c>
      <c r="C2367" s="92" t="s">
        <v>31</v>
      </c>
      <c r="D2367" s="43">
        <v>3000</v>
      </c>
      <c r="E2367" s="43"/>
      <c r="F2367" s="43" t="e">
        <f t="shared" si="36"/>
        <v>#N/A</v>
      </c>
      <c r="G2367" s="43"/>
    </row>
    <row r="2368" spans="1:7" x14ac:dyDescent="0.3">
      <c r="A2368" s="45">
        <v>42879</v>
      </c>
      <c r="B2368" s="5" t="s">
        <v>25</v>
      </c>
      <c r="C2368" s="92" t="s">
        <v>1826</v>
      </c>
      <c r="D2368" s="43">
        <v>40</v>
      </c>
      <c r="E2368" s="43"/>
      <c r="F2368" s="43" t="e">
        <f t="shared" si="36"/>
        <v>#N/A</v>
      </c>
      <c r="G2368" s="43"/>
    </row>
    <row r="2369" spans="1:7" ht="37.5" x14ac:dyDescent="0.3">
      <c r="A2369" s="45">
        <v>42879</v>
      </c>
      <c r="B2369" s="5" t="s">
        <v>25</v>
      </c>
      <c r="C2369" s="92" t="s">
        <v>1830</v>
      </c>
      <c r="D2369" s="43">
        <v>403</v>
      </c>
      <c r="E2369" s="43"/>
      <c r="F2369" s="43" t="e">
        <f t="shared" si="36"/>
        <v>#N/A</v>
      </c>
      <c r="G2369" s="43"/>
    </row>
    <row r="2370" spans="1:7" x14ac:dyDescent="0.3">
      <c r="A2370" s="45">
        <v>42879</v>
      </c>
      <c r="B2370" s="5" t="s">
        <v>541</v>
      </c>
      <c r="C2370" s="92" t="s">
        <v>1834</v>
      </c>
      <c r="D2370" s="43">
        <v>5000</v>
      </c>
      <c r="E2370" s="43"/>
      <c r="F2370" s="43" t="e">
        <f t="shared" si="36"/>
        <v>#N/A</v>
      </c>
      <c r="G2370" s="43"/>
    </row>
    <row r="2371" spans="1:7" ht="37.5" x14ac:dyDescent="0.3">
      <c r="A2371" s="45">
        <v>42880</v>
      </c>
      <c r="B2371" s="5" t="s">
        <v>445</v>
      </c>
      <c r="C2371" s="92" t="s">
        <v>1833</v>
      </c>
      <c r="D2371" s="43">
        <v>500</v>
      </c>
      <c r="E2371" s="43"/>
      <c r="F2371" s="43" t="e">
        <f t="shared" ref="F2371:F2434" si="37">F2370-D2371+E2371</f>
        <v>#N/A</v>
      </c>
      <c r="G2371" s="43"/>
    </row>
    <row r="2372" spans="1:7" x14ac:dyDescent="0.3">
      <c r="A2372" s="45">
        <v>42880</v>
      </c>
      <c r="B2372" s="5" t="s">
        <v>120</v>
      </c>
      <c r="C2372" s="92" t="s">
        <v>31</v>
      </c>
      <c r="D2372" s="43">
        <v>6000</v>
      </c>
      <c r="E2372" s="43"/>
      <c r="F2372" s="43" t="e">
        <f t="shared" si="37"/>
        <v>#N/A</v>
      </c>
      <c r="G2372" s="43"/>
    </row>
    <row r="2373" spans="1:7" ht="37.5" x14ac:dyDescent="0.3">
      <c r="A2373" s="45">
        <v>42880</v>
      </c>
      <c r="B2373" s="5" t="s">
        <v>445</v>
      </c>
      <c r="C2373" s="92" t="s">
        <v>1835</v>
      </c>
      <c r="D2373" s="43">
        <v>100</v>
      </c>
      <c r="E2373" s="43"/>
      <c r="F2373" s="43" t="e">
        <f t="shared" si="37"/>
        <v>#N/A</v>
      </c>
      <c r="G2373" s="43"/>
    </row>
    <row r="2374" spans="1:7" x14ac:dyDescent="0.3">
      <c r="A2374" s="45">
        <v>42880</v>
      </c>
      <c r="B2374" s="107" t="s">
        <v>1343</v>
      </c>
      <c r="C2374" s="108" t="s">
        <v>798</v>
      </c>
      <c r="D2374" s="109">
        <v>2500</v>
      </c>
      <c r="E2374" s="43"/>
      <c r="F2374" s="43" t="e">
        <f t="shared" si="37"/>
        <v>#N/A</v>
      </c>
      <c r="G2374" s="43"/>
    </row>
    <row r="2375" spans="1:7" x14ac:dyDescent="0.3">
      <c r="A2375" s="138">
        <v>42880</v>
      </c>
      <c r="B2375" s="105" t="s">
        <v>120</v>
      </c>
      <c r="C2375" s="106" t="s">
        <v>1836</v>
      </c>
      <c r="D2375" s="72"/>
      <c r="E2375" s="72">
        <v>3000</v>
      </c>
      <c r="F2375" s="43" t="e">
        <f t="shared" si="37"/>
        <v>#N/A</v>
      </c>
      <c r="G2375" s="43"/>
    </row>
    <row r="2376" spans="1:7" x14ac:dyDescent="0.3">
      <c r="A2376" s="45">
        <v>42880</v>
      </c>
      <c r="B2376" s="5" t="s">
        <v>84</v>
      </c>
      <c r="C2376" s="92" t="s">
        <v>1849</v>
      </c>
      <c r="D2376" s="43">
        <v>6000</v>
      </c>
      <c r="E2376" s="43"/>
      <c r="F2376" s="43" t="e">
        <f t="shared" si="37"/>
        <v>#N/A</v>
      </c>
      <c r="G2376" s="43"/>
    </row>
    <row r="2377" spans="1:7" x14ac:dyDescent="0.3">
      <c r="A2377" s="45">
        <v>42880</v>
      </c>
      <c r="B2377" s="761" t="s">
        <v>1696</v>
      </c>
      <c r="C2377" s="762"/>
      <c r="D2377" s="71"/>
      <c r="E2377" s="72">
        <v>50000</v>
      </c>
      <c r="F2377" s="43" t="e">
        <f t="shared" si="37"/>
        <v>#N/A</v>
      </c>
      <c r="G2377" s="43"/>
    </row>
    <row r="2378" spans="1:7" x14ac:dyDescent="0.3">
      <c r="A2378" s="45">
        <v>42881</v>
      </c>
      <c r="B2378" s="5" t="s">
        <v>1837</v>
      </c>
      <c r="C2378" s="92" t="s">
        <v>1845</v>
      </c>
      <c r="D2378" s="65">
        <f>3110+50</f>
        <v>3160</v>
      </c>
      <c r="E2378" s="43"/>
      <c r="F2378" s="43" t="e">
        <f t="shared" si="37"/>
        <v>#N/A</v>
      </c>
      <c r="G2378" s="43"/>
    </row>
    <row r="2379" spans="1:7" x14ac:dyDescent="0.3">
      <c r="A2379" s="45">
        <v>42881</v>
      </c>
      <c r="B2379" s="5" t="s">
        <v>116</v>
      </c>
      <c r="C2379" s="92" t="s">
        <v>1682</v>
      </c>
      <c r="D2379" s="65">
        <v>1800</v>
      </c>
      <c r="E2379" s="43"/>
      <c r="F2379" s="43" t="e">
        <f t="shared" si="37"/>
        <v>#N/A</v>
      </c>
      <c r="G2379" s="43"/>
    </row>
    <row r="2380" spans="1:7" x14ac:dyDescent="0.3">
      <c r="A2380" s="45">
        <v>42881</v>
      </c>
      <c r="B2380" s="5" t="s">
        <v>84</v>
      </c>
      <c r="C2380" s="92" t="s">
        <v>1838</v>
      </c>
      <c r="D2380" s="43">
        <v>5000</v>
      </c>
      <c r="E2380" s="43"/>
      <c r="F2380" s="43" t="e">
        <f t="shared" si="37"/>
        <v>#N/A</v>
      </c>
      <c r="G2380" s="43"/>
    </row>
    <row r="2381" spans="1:7" x14ac:dyDescent="0.3">
      <c r="A2381" s="45">
        <v>42881</v>
      </c>
      <c r="B2381" s="5" t="s">
        <v>1003</v>
      </c>
      <c r="C2381" s="92" t="s">
        <v>1839</v>
      </c>
      <c r="D2381" s="43">
        <v>13000</v>
      </c>
      <c r="E2381" s="43"/>
      <c r="F2381" s="43" t="e">
        <f t="shared" si="37"/>
        <v>#N/A</v>
      </c>
      <c r="G2381" s="43"/>
    </row>
    <row r="2382" spans="1:7" x14ac:dyDescent="0.3">
      <c r="A2382" s="45">
        <v>42881</v>
      </c>
      <c r="B2382" s="5" t="s">
        <v>1193</v>
      </c>
      <c r="C2382" s="92" t="s">
        <v>1847</v>
      </c>
      <c r="D2382" s="65">
        <v>2530</v>
      </c>
      <c r="E2382" s="43"/>
      <c r="F2382" s="43" t="e">
        <f t="shared" si="37"/>
        <v>#N/A</v>
      </c>
      <c r="G2382" s="43"/>
    </row>
    <row r="2383" spans="1:7" ht="37.5" x14ac:dyDescent="0.3">
      <c r="A2383" s="45">
        <v>42881</v>
      </c>
      <c r="B2383" s="5" t="s">
        <v>58</v>
      </c>
      <c r="C2383" s="92" t="s">
        <v>1840</v>
      </c>
      <c r="D2383" s="43">
        <v>1400</v>
      </c>
      <c r="E2383" s="43"/>
      <c r="F2383" s="43" t="e">
        <f t="shared" si="37"/>
        <v>#N/A</v>
      </c>
      <c r="G2383" s="43"/>
    </row>
    <row r="2384" spans="1:7" ht="37.5" x14ac:dyDescent="0.3">
      <c r="A2384" s="45">
        <v>42881</v>
      </c>
      <c r="B2384" s="5" t="s">
        <v>1672</v>
      </c>
      <c r="C2384" s="92" t="s">
        <v>1841</v>
      </c>
      <c r="D2384" s="43">
        <v>6000</v>
      </c>
      <c r="E2384" s="43"/>
      <c r="F2384" s="43" t="e">
        <f t="shared" si="37"/>
        <v>#N/A</v>
      </c>
      <c r="G2384" s="43"/>
    </row>
    <row r="2385" spans="1:7" ht="37.5" x14ac:dyDescent="0.3">
      <c r="A2385" s="45">
        <v>42881</v>
      </c>
      <c r="B2385" s="5" t="s">
        <v>25</v>
      </c>
      <c r="C2385" s="92" t="s">
        <v>1846</v>
      </c>
      <c r="D2385" s="43">
        <v>600</v>
      </c>
      <c r="E2385" s="43"/>
      <c r="F2385" s="43" t="e">
        <f t="shared" si="37"/>
        <v>#N/A</v>
      </c>
      <c r="G2385" s="43"/>
    </row>
    <row r="2386" spans="1:7" x14ac:dyDescent="0.3">
      <c r="A2386" s="45">
        <v>42881</v>
      </c>
      <c r="B2386" s="5" t="s">
        <v>0</v>
      </c>
      <c r="C2386" s="92" t="s">
        <v>489</v>
      </c>
      <c r="D2386" s="43">
        <v>5000</v>
      </c>
      <c r="E2386" s="43"/>
      <c r="F2386" s="43" t="e">
        <f t="shared" si="37"/>
        <v>#N/A</v>
      </c>
      <c r="G2386" s="43"/>
    </row>
    <row r="2387" spans="1:7" x14ac:dyDescent="0.3">
      <c r="A2387" s="45">
        <v>42881</v>
      </c>
      <c r="B2387" s="5" t="s">
        <v>25</v>
      </c>
      <c r="C2387" s="92" t="s">
        <v>166</v>
      </c>
      <c r="D2387" s="43">
        <v>100</v>
      </c>
      <c r="E2387" s="43"/>
      <c r="F2387" s="43" t="e">
        <f t="shared" si="37"/>
        <v>#N/A</v>
      </c>
      <c r="G2387" s="43"/>
    </row>
    <row r="2388" spans="1:7" ht="37.5" x14ac:dyDescent="0.3">
      <c r="A2388" s="45">
        <v>42881</v>
      </c>
      <c r="B2388" s="5" t="s">
        <v>25</v>
      </c>
      <c r="C2388" s="92" t="s">
        <v>1842</v>
      </c>
      <c r="D2388" s="43">
        <v>100</v>
      </c>
      <c r="E2388" s="43"/>
      <c r="F2388" s="43" t="e">
        <f t="shared" si="37"/>
        <v>#N/A</v>
      </c>
      <c r="G2388" s="43"/>
    </row>
    <row r="2389" spans="1:7" x14ac:dyDescent="0.3">
      <c r="A2389" s="45">
        <v>42881</v>
      </c>
      <c r="B2389" s="5" t="s">
        <v>0</v>
      </c>
      <c r="C2389" s="5" t="s">
        <v>1843</v>
      </c>
      <c r="D2389" s="43">
        <v>2895</v>
      </c>
      <c r="E2389" s="43"/>
      <c r="F2389" s="43" t="e">
        <f t="shared" si="37"/>
        <v>#N/A</v>
      </c>
      <c r="G2389" s="43"/>
    </row>
    <row r="2390" spans="1:7" x14ac:dyDescent="0.3">
      <c r="A2390" s="45">
        <v>42881</v>
      </c>
      <c r="B2390" s="5" t="s">
        <v>247</v>
      </c>
      <c r="C2390" s="5" t="s">
        <v>1844</v>
      </c>
      <c r="D2390" s="43">
        <v>170</v>
      </c>
      <c r="E2390" s="43"/>
      <c r="F2390" s="43" t="e">
        <f t="shared" si="37"/>
        <v>#N/A</v>
      </c>
      <c r="G2390" s="43"/>
    </row>
    <row r="2391" spans="1:7" x14ac:dyDescent="0.3">
      <c r="A2391" s="45">
        <v>42882</v>
      </c>
      <c r="B2391" s="5" t="s">
        <v>56</v>
      </c>
      <c r="C2391" s="5" t="s">
        <v>1850</v>
      </c>
      <c r="D2391" s="65">
        <v>450</v>
      </c>
      <c r="E2391" s="43"/>
      <c r="F2391" s="43" t="e">
        <f t="shared" si="37"/>
        <v>#N/A</v>
      </c>
      <c r="G2391" s="43"/>
    </row>
    <row r="2392" spans="1:7" x14ac:dyDescent="0.3">
      <c r="A2392" s="45">
        <v>42882</v>
      </c>
      <c r="B2392" s="5" t="s">
        <v>27</v>
      </c>
      <c r="C2392" s="5" t="s">
        <v>31</v>
      </c>
      <c r="D2392" s="65">
        <v>3000</v>
      </c>
      <c r="E2392" s="43"/>
      <c r="F2392" s="43" t="e">
        <f t="shared" si="37"/>
        <v>#N/A</v>
      </c>
      <c r="G2392" s="43"/>
    </row>
    <row r="2393" spans="1:7" x14ac:dyDescent="0.3">
      <c r="A2393" s="45">
        <v>42882</v>
      </c>
      <c r="B2393" s="5" t="s">
        <v>116</v>
      </c>
      <c r="C2393" s="5" t="s">
        <v>31</v>
      </c>
      <c r="D2393" s="43">
        <v>200</v>
      </c>
      <c r="E2393" s="43"/>
      <c r="F2393" s="43" t="e">
        <f t="shared" si="37"/>
        <v>#N/A</v>
      </c>
      <c r="G2393" s="43"/>
    </row>
    <row r="2394" spans="1:7" x14ac:dyDescent="0.3">
      <c r="A2394" s="45">
        <v>42882</v>
      </c>
      <c r="B2394" s="5" t="s">
        <v>25</v>
      </c>
      <c r="C2394" s="5" t="s">
        <v>1848</v>
      </c>
      <c r="D2394" s="43">
        <v>170</v>
      </c>
      <c r="E2394" s="43"/>
      <c r="F2394" s="43" t="e">
        <f t="shared" si="37"/>
        <v>#N/A</v>
      </c>
      <c r="G2394" s="43"/>
    </row>
    <row r="2395" spans="1:7" x14ac:dyDescent="0.3">
      <c r="A2395" s="45">
        <v>42884</v>
      </c>
      <c r="B2395" s="5" t="s">
        <v>181</v>
      </c>
      <c r="C2395" s="5" t="s">
        <v>1871</v>
      </c>
      <c r="D2395" s="43">
        <v>3600</v>
      </c>
      <c r="E2395" s="43"/>
      <c r="F2395" s="43" t="e">
        <f t="shared" si="37"/>
        <v>#N/A</v>
      </c>
      <c r="G2395" s="43"/>
    </row>
    <row r="2396" spans="1:7" x14ac:dyDescent="0.3">
      <c r="A2396" s="45">
        <v>42885</v>
      </c>
      <c r="B2396" s="761" t="s">
        <v>1851</v>
      </c>
      <c r="C2396" s="762"/>
      <c r="D2396" s="71"/>
      <c r="E2396" s="72">
        <v>50000</v>
      </c>
      <c r="F2396" s="43" t="e">
        <f t="shared" si="37"/>
        <v>#N/A</v>
      </c>
      <c r="G2396" s="43"/>
    </row>
    <row r="2397" spans="1:7" x14ac:dyDescent="0.3">
      <c r="A2397" s="45">
        <v>42885</v>
      </c>
      <c r="B2397" s="5" t="s">
        <v>25</v>
      </c>
      <c r="C2397" s="5" t="s">
        <v>1852</v>
      </c>
      <c r="D2397" s="43">
        <v>140</v>
      </c>
      <c r="E2397" s="43"/>
      <c r="F2397" s="43" t="e">
        <f t="shared" si="37"/>
        <v>#N/A</v>
      </c>
      <c r="G2397" s="43"/>
    </row>
    <row r="2398" spans="1:7" x14ac:dyDescent="0.3">
      <c r="A2398" s="45">
        <v>42885</v>
      </c>
      <c r="B2398" s="5" t="s">
        <v>58</v>
      </c>
      <c r="C2398" s="5" t="s">
        <v>1857</v>
      </c>
      <c r="D2398" s="43">
        <v>5280</v>
      </c>
      <c r="E2398" s="43"/>
      <c r="F2398" s="43" t="e">
        <f t="shared" si="37"/>
        <v>#N/A</v>
      </c>
      <c r="G2398" s="43"/>
    </row>
    <row r="2399" spans="1:7" x14ac:dyDescent="0.3">
      <c r="A2399" s="45">
        <v>42885</v>
      </c>
      <c r="B2399" s="5" t="s">
        <v>84</v>
      </c>
      <c r="C2399" s="5" t="s">
        <v>1673</v>
      </c>
      <c r="D2399" s="43">
        <v>5000</v>
      </c>
      <c r="E2399" s="43"/>
      <c r="F2399" s="43" t="e">
        <f t="shared" si="37"/>
        <v>#N/A</v>
      </c>
      <c r="G2399" s="43"/>
    </row>
    <row r="2400" spans="1:7" x14ac:dyDescent="0.3">
      <c r="A2400" s="45">
        <v>42885</v>
      </c>
      <c r="B2400" s="5" t="s">
        <v>84</v>
      </c>
      <c r="C2400" s="5" t="s">
        <v>1854</v>
      </c>
      <c r="D2400" s="65">
        <v>17000</v>
      </c>
      <c r="E2400" s="43"/>
      <c r="F2400" s="43" t="e">
        <f t="shared" si="37"/>
        <v>#N/A</v>
      </c>
      <c r="G2400" s="43"/>
    </row>
    <row r="2401" spans="1:7" x14ac:dyDescent="0.3">
      <c r="A2401" s="45">
        <v>42885</v>
      </c>
      <c r="B2401" s="5" t="s">
        <v>58</v>
      </c>
      <c r="C2401" s="5" t="s">
        <v>1855</v>
      </c>
      <c r="D2401" s="65">
        <v>5252</v>
      </c>
      <c r="E2401" s="43"/>
      <c r="F2401" s="43" t="e">
        <f t="shared" si="37"/>
        <v>#N/A</v>
      </c>
      <c r="G2401" s="43"/>
    </row>
    <row r="2402" spans="1:7" x14ac:dyDescent="0.3">
      <c r="A2402" s="45">
        <v>42885</v>
      </c>
      <c r="B2402" s="5" t="s">
        <v>27</v>
      </c>
      <c r="C2402" s="5" t="s">
        <v>1866</v>
      </c>
      <c r="D2402" s="65">
        <v>3500</v>
      </c>
      <c r="E2402" s="43"/>
      <c r="F2402" s="43" t="e">
        <f t="shared" si="37"/>
        <v>#N/A</v>
      </c>
      <c r="G2402" s="43"/>
    </row>
    <row r="2403" spans="1:7" x14ac:dyDescent="0.3">
      <c r="A2403" s="45">
        <v>42885</v>
      </c>
      <c r="B2403" s="5" t="s">
        <v>445</v>
      </c>
      <c r="C2403" s="5" t="s">
        <v>1866</v>
      </c>
      <c r="D2403" s="65">
        <v>1500</v>
      </c>
      <c r="E2403" s="43"/>
      <c r="F2403" s="43" t="e">
        <f t="shared" si="37"/>
        <v>#N/A</v>
      </c>
      <c r="G2403" s="43"/>
    </row>
    <row r="2404" spans="1:7" x14ac:dyDescent="0.3">
      <c r="A2404" s="45">
        <v>42885</v>
      </c>
      <c r="B2404" s="5" t="s">
        <v>247</v>
      </c>
      <c r="C2404" s="5" t="s">
        <v>31</v>
      </c>
      <c r="D2404" s="43">
        <v>1000</v>
      </c>
      <c r="E2404" s="43"/>
      <c r="F2404" s="43" t="e">
        <f t="shared" si="37"/>
        <v>#N/A</v>
      </c>
      <c r="G2404" s="43"/>
    </row>
    <row r="2405" spans="1:7" x14ac:dyDescent="0.3">
      <c r="A2405" s="45">
        <v>42885</v>
      </c>
      <c r="B2405" s="5" t="s">
        <v>541</v>
      </c>
      <c r="C2405" s="5" t="s">
        <v>1853</v>
      </c>
      <c r="D2405" s="43">
        <v>300</v>
      </c>
      <c r="E2405" s="43"/>
      <c r="F2405" s="43" t="e">
        <f t="shared" si="37"/>
        <v>#N/A</v>
      </c>
      <c r="G2405" s="43"/>
    </row>
    <row r="2406" spans="1:7" x14ac:dyDescent="0.3">
      <c r="A2406" s="45">
        <v>42885</v>
      </c>
      <c r="B2406" s="139" t="s">
        <v>84</v>
      </c>
      <c r="C2406" s="139" t="s">
        <v>1856</v>
      </c>
      <c r="D2406" s="140">
        <v>9000</v>
      </c>
      <c r="E2406" s="43"/>
      <c r="F2406" s="43" t="e">
        <f t="shared" si="37"/>
        <v>#N/A</v>
      </c>
      <c r="G2406" s="43"/>
    </row>
    <row r="2407" spans="1:7" x14ac:dyDescent="0.3">
      <c r="A2407" s="45">
        <v>42885</v>
      </c>
      <c r="B2407" s="5" t="s">
        <v>27</v>
      </c>
      <c r="C2407" s="5" t="s">
        <v>31</v>
      </c>
      <c r="D2407" s="43">
        <v>2000</v>
      </c>
      <c r="E2407" s="43"/>
      <c r="F2407" s="43" t="e">
        <f t="shared" si="37"/>
        <v>#N/A</v>
      </c>
      <c r="G2407" s="43"/>
    </row>
    <row r="2408" spans="1:7" x14ac:dyDescent="0.3">
      <c r="A2408" s="45">
        <v>42886</v>
      </c>
      <c r="B2408" s="761" t="s">
        <v>1851</v>
      </c>
      <c r="C2408" s="762"/>
      <c r="D2408" s="71"/>
      <c r="E2408" s="72">
        <v>50000</v>
      </c>
      <c r="F2408" s="43" t="e">
        <f t="shared" si="37"/>
        <v>#N/A</v>
      </c>
      <c r="G2408" s="43"/>
    </row>
    <row r="2409" spans="1:7" x14ac:dyDescent="0.3">
      <c r="A2409" s="45">
        <v>42886</v>
      </c>
      <c r="B2409" s="761" t="s">
        <v>1859</v>
      </c>
      <c r="C2409" s="762"/>
      <c r="D2409" s="71"/>
      <c r="E2409" s="72">
        <v>50000</v>
      </c>
      <c r="F2409" s="43" t="e">
        <f t="shared" si="37"/>
        <v>#N/A</v>
      </c>
      <c r="G2409" s="43"/>
    </row>
    <row r="2410" spans="1:7" x14ac:dyDescent="0.3">
      <c r="A2410" s="45">
        <v>42886</v>
      </c>
      <c r="B2410" s="5" t="s">
        <v>445</v>
      </c>
      <c r="C2410" s="5" t="s">
        <v>1858</v>
      </c>
      <c r="D2410" s="65">
        <v>23460</v>
      </c>
      <c r="E2410" s="43"/>
      <c r="F2410" s="43" t="e">
        <f t="shared" si="37"/>
        <v>#N/A</v>
      </c>
      <c r="G2410" s="43"/>
    </row>
    <row r="2411" spans="1:7" x14ac:dyDescent="0.3">
      <c r="A2411" s="45">
        <v>42886</v>
      </c>
      <c r="B2411" s="5" t="s">
        <v>127</v>
      </c>
      <c r="C2411" s="5" t="s">
        <v>1869</v>
      </c>
      <c r="D2411" s="65">
        <v>3570</v>
      </c>
      <c r="E2411" s="43"/>
      <c r="F2411" s="43" t="e">
        <f t="shared" si="37"/>
        <v>#N/A</v>
      </c>
      <c r="G2411" s="43"/>
    </row>
    <row r="2412" spans="1:7" x14ac:dyDescent="0.3">
      <c r="A2412" s="45">
        <v>42886</v>
      </c>
      <c r="B2412" s="5" t="s">
        <v>445</v>
      </c>
      <c r="C2412" s="5" t="s">
        <v>1860</v>
      </c>
      <c r="D2412" s="43">
        <v>150</v>
      </c>
      <c r="E2412" s="43"/>
      <c r="F2412" s="43" t="e">
        <f t="shared" si="37"/>
        <v>#N/A</v>
      </c>
      <c r="G2412" s="43"/>
    </row>
    <row r="2413" spans="1:7" x14ac:dyDescent="0.3">
      <c r="A2413" s="45">
        <v>42886</v>
      </c>
      <c r="B2413" s="5" t="s">
        <v>1343</v>
      </c>
      <c r="C2413" s="5" t="s">
        <v>1861</v>
      </c>
      <c r="D2413" s="43">
        <v>7500</v>
      </c>
      <c r="E2413" s="43"/>
      <c r="F2413" s="43" t="e">
        <f t="shared" si="37"/>
        <v>#N/A</v>
      </c>
      <c r="G2413" s="43"/>
    </row>
    <row r="2414" spans="1:7" ht="37.5" x14ac:dyDescent="0.3">
      <c r="A2414" s="45">
        <v>42886</v>
      </c>
      <c r="B2414" s="5" t="s">
        <v>1862</v>
      </c>
      <c r="C2414" s="92" t="s">
        <v>1863</v>
      </c>
      <c r="D2414" s="43">
        <v>418</v>
      </c>
      <c r="E2414" s="43"/>
      <c r="F2414" s="43" t="e">
        <f t="shared" si="37"/>
        <v>#N/A</v>
      </c>
      <c r="G2414" s="43"/>
    </row>
    <row r="2415" spans="1:7" x14ac:dyDescent="0.3">
      <c r="A2415" s="45">
        <v>42886</v>
      </c>
      <c r="B2415" s="5" t="s">
        <v>445</v>
      </c>
      <c r="C2415" s="5" t="s">
        <v>1864</v>
      </c>
      <c r="D2415" s="43">
        <v>360</v>
      </c>
      <c r="E2415" s="43"/>
      <c r="F2415" s="43" t="e">
        <f t="shared" si="37"/>
        <v>#N/A</v>
      </c>
      <c r="G2415" s="43"/>
    </row>
    <row r="2416" spans="1:7" x14ac:dyDescent="0.3">
      <c r="A2416" s="45">
        <v>42886</v>
      </c>
      <c r="B2416" s="107" t="s">
        <v>1331</v>
      </c>
      <c r="C2416" s="107" t="s">
        <v>31</v>
      </c>
      <c r="D2416" s="109">
        <v>25000</v>
      </c>
      <c r="E2416" s="43"/>
      <c r="F2416" s="43" t="e">
        <f t="shared" si="37"/>
        <v>#N/A</v>
      </c>
      <c r="G2416" s="43"/>
    </row>
    <row r="2417" spans="1:7" x14ac:dyDescent="0.3">
      <c r="A2417" s="45">
        <v>42886</v>
      </c>
      <c r="B2417" s="5" t="s">
        <v>1343</v>
      </c>
      <c r="C2417" s="5" t="s">
        <v>1865</v>
      </c>
      <c r="D2417" s="43">
        <v>8500</v>
      </c>
      <c r="E2417" s="43"/>
      <c r="F2417" s="43" t="e">
        <f t="shared" si="37"/>
        <v>#N/A</v>
      </c>
      <c r="G2417" s="43"/>
    </row>
    <row r="2418" spans="1:7" x14ac:dyDescent="0.3">
      <c r="A2418" s="45">
        <v>42887</v>
      </c>
      <c r="B2418" s="139" t="s">
        <v>1331</v>
      </c>
      <c r="C2418" s="139" t="s">
        <v>1867</v>
      </c>
      <c r="D2418" s="140">
        <v>14300</v>
      </c>
      <c r="E2418" s="43"/>
      <c r="F2418" s="43" t="e">
        <f t="shared" si="37"/>
        <v>#N/A</v>
      </c>
      <c r="G2418" s="43"/>
    </row>
    <row r="2419" spans="1:7" x14ac:dyDescent="0.3">
      <c r="A2419" s="45">
        <v>42887</v>
      </c>
      <c r="B2419" s="5" t="s">
        <v>164</v>
      </c>
      <c r="C2419" s="5" t="s">
        <v>1868</v>
      </c>
      <c r="D2419" s="43">
        <v>9000</v>
      </c>
      <c r="E2419" s="43"/>
      <c r="F2419" s="43" t="e">
        <f t="shared" si="37"/>
        <v>#N/A</v>
      </c>
      <c r="G2419" s="43"/>
    </row>
    <row r="2420" spans="1:7" x14ac:dyDescent="0.3">
      <c r="A2420" s="45">
        <v>42887</v>
      </c>
      <c r="B2420" s="5" t="s">
        <v>1003</v>
      </c>
      <c r="C2420" s="5" t="s">
        <v>1870</v>
      </c>
      <c r="D2420" s="43">
        <v>890</v>
      </c>
      <c r="E2420" s="43"/>
      <c r="F2420" s="43" t="e">
        <f t="shared" si="37"/>
        <v>#N/A</v>
      </c>
      <c r="G2420" s="43"/>
    </row>
    <row r="2421" spans="1:7" x14ac:dyDescent="0.3">
      <c r="A2421" s="45">
        <v>42887</v>
      </c>
      <c r="B2421" s="5" t="s">
        <v>25</v>
      </c>
      <c r="C2421" s="5" t="s">
        <v>1872</v>
      </c>
      <c r="D2421" s="43">
        <v>2200</v>
      </c>
      <c r="E2421" s="43"/>
      <c r="F2421" s="43" t="e">
        <f t="shared" si="37"/>
        <v>#N/A</v>
      </c>
      <c r="G2421" s="43"/>
    </row>
    <row r="2422" spans="1:7" x14ac:dyDescent="0.3">
      <c r="A2422" s="45">
        <v>42887</v>
      </c>
      <c r="B2422" s="761" t="s">
        <v>1851</v>
      </c>
      <c r="C2422" s="762"/>
      <c r="D2422" s="71"/>
      <c r="E2422" s="72">
        <v>50000</v>
      </c>
      <c r="F2422" s="43" t="e">
        <f t="shared" si="37"/>
        <v>#N/A</v>
      </c>
      <c r="G2422" s="43"/>
    </row>
    <row r="2423" spans="1:7" x14ac:dyDescent="0.3">
      <c r="A2423" s="45">
        <v>42887</v>
      </c>
      <c r="B2423" s="5" t="s">
        <v>1873</v>
      </c>
      <c r="C2423" s="5" t="s">
        <v>1874</v>
      </c>
      <c r="D2423" s="43">
        <v>14000</v>
      </c>
      <c r="E2423" s="43"/>
      <c r="F2423" s="43" t="e">
        <f t="shared" si="37"/>
        <v>#N/A</v>
      </c>
      <c r="G2423" s="43"/>
    </row>
    <row r="2424" spans="1:7" x14ac:dyDescent="0.3">
      <c r="A2424" s="45">
        <v>42888</v>
      </c>
      <c r="B2424" s="5" t="s">
        <v>1875</v>
      </c>
      <c r="C2424" s="5" t="s">
        <v>1876</v>
      </c>
      <c r="D2424" s="43">
        <v>100</v>
      </c>
      <c r="E2424" s="43"/>
      <c r="F2424" s="43" t="e">
        <f t="shared" si="37"/>
        <v>#N/A</v>
      </c>
      <c r="G2424" s="43"/>
    </row>
    <row r="2425" spans="1:7" x14ac:dyDescent="0.3">
      <c r="A2425" s="45">
        <v>42888</v>
      </c>
      <c r="B2425" s="5" t="s">
        <v>11</v>
      </c>
      <c r="C2425" s="5" t="s">
        <v>31</v>
      </c>
      <c r="D2425" s="43">
        <v>500</v>
      </c>
      <c r="E2425" s="43"/>
      <c r="F2425" s="43" t="e">
        <f t="shared" si="37"/>
        <v>#N/A</v>
      </c>
      <c r="G2425" s="43"/>
    </row>
    <row r="2426" spans="1:7" x14ac:dyDescent="0.3">
      <c r="A2426" s="45">
        <v>42889</v>
      </c>
      <c r="B2426" s="761" t="s">
        <v>1877</v>
      </c>
      <c r="C2426" s="762"/>
      <c r="D2426" s="71"/>
      <c r="E2426" s="72">
        <v>6000</v>
      </c>
      <c r="F2426" s="43" t="e">
        <f t="shared" si="37"/>
        <v>#N/A</v>
      </c>
      <c r="G2426" s="43"/>
    </row>
    <row r="2427" spans="1:7" x14ac:dyDescent="0.3">
      <c r="A2427" s="45">
        <v>42889</v>
      </c>
      <c r="B2427" s="5" t="s">
        <v>18</v>
      </c>
      <c r="C2427" s="5" t="s">
        <v>31</v>
      </c>
      <c r="D2427" s="43">
        <v>1000</v>
      </c>
      <c r="E2427" s="43"/>
      <c r="F2427" s="43" t="e">
        <f t="shared" si="37"/>
        <v>#N/A</v>
      </c>
      <c r="G2427" s="43"/>
    </row>
    <row r="2428" spans="1:7" x14ac:dyDescent="0.3">
      <c r="A2428" s="45">
        <v>42889</v>
      </c>
      <c r="B2428" s="5" t="s">
        <v>104</v>
      </c>
      <c r="C2428" s="5" t="s">
        <v>31</v>
      </c>
      <c r="D2428" s="43">
        <v>1000</v>
      </c>
      <c r="E2428" s="43"/>
      <c r="F2428" s="43" t="e">
        <f t="shared" si="37"/>
        <v>#N/A</v>
      </c>
      <c r="G2428" s="43"/>
    </row>
    <row r="2429" spans="1:7" x14ac:dyDescent="0.3">
      <c r="A2429" s="45">
        <v>42889</v>
      </c>
      <c r="B2429" s="139" t="s">
        <v>47</v>
      </c>
      <c r="C2429" s="139" t="s">
        <v>31</v>
      </c>
      <c r="D2429" s="140">
        <v>500</v>
      </c>
      <c r="E2429" s="43"/>
      <c r="F2429" s="43" t="e">
        <f t="shared" si="37"/>
        <v>#N/A</v>
      </c>
      <c r="G2429" s="43"/>
    </row>
    <row r="2430" spans="1:7" x14ac:dyDescent="0.3">
      <c r="A2430" s="45">
        <v>42889</v>
      </c>
      <c r="B2430" s="5" t="s">
        <v>16</v>
      </c>
      <c r="C2430" s="5" t="s">
        <v>31</v>
      </c>
      <c r="D2430" s="43">
        <v>7000</v>
      </c>
      <c r="E2430" s="43"/>
      <c r="F2430" s="43" t="e">
        <f t="shared" si="37"/>
        <v>#N/A</v>
      </c>
      <c r="G2430" s="43"/>
    </row>
    <row r="2431" spans="1:7" x14ac:dyDescent="0.3">
      <c r="A2431" s="45">
        <v>42889</v>
      </c>
      <c r="B2431" s="5" t="s">
        <v>1193</v>
      </c>
      <c r="C2431" s="5" t="s">
        <v>1232</v>
      </c>
      <c r="D2431" s="43">
        <v>2400</v>
      </c>
      <c r="E2431" s="43"/>
      <c r="F2431" s="43" t="e">
        <f t="shared" si="37"/>
        <v>#N/A</v>
      </c>
      <c r="G2431" s="43"/>
    </row>
    <row r="2432" spans="1:7" x14ac:dyDescent="0.3">
      <c r="A2432" s="45">
        <v>42889</v>
      </c>
      <c r="B2432" s="5" t="s">
        <v>18</v>
      </c>
      <c r="C2432" s="5" t="s">
        <v>31</v>
      </c>
      <c r="D2432" s="43">
        <v>200</v>
      </c>
      <c r="E2432" s="43"/>
      <c r="F2432" s="43" t="e">
        <f t="shared" si="37"/>
        <v>#N/A</v>
      </c>
      <c r="G2432" s="43"/>
    </row>
    <row r="2433" spans="1:7" ht="37.5" x14ac:dyDescent="0.3">
      <c r="A2433" s="45">
        <v>42889</v>
      </c>
      <c r="B2433" s="5" t="s">
        <v>18</v>
      </c>
      <c r="C2433" s="92" t="s">
        <v>1878</v>
      </c>
      <c r="D2433" s="43">
        <v>500</v>
      </c>
      <c r="E2433" s="43"/>
      <c r="F2433" s="43" t="e">
        <f t="shared" si="37"/>
        <v>#N/A</v>
      </c>
      <c r="G2433" s="43"/>
    </row>
    <row r="2434" spans="1:7" x14ac:dyDescent="0.3">
      <c r="A2434" s="45">
        <v>42889</v>
      </c>
      <c r="B2434" s="5" t="s">
        <v>0</v>
      </c>
      <c r="C2434" s="5" t="s">
        <v>31</v>
      </c>
      <c r="D2434" s="43">
        <v>2000</v>
      </c>
      <c r="E2434" s="43"/>
      <c r="F2434" s="43" t="e">
        <f t="shared" si="37"/>
        <v>#N/A</v>
      </c>
      <c r="G2434" s="43"/>
    </row>
    <row r="2435" spans="1:7" x14ac:dyDescent="0.3">
      <c r="A2435" s="45">
        <v>42890</v>
      </c>
      <c r="B2435" s="139" t="s">
        <v>47</v>
      </c>
      <c r="C2435" s="139" t="s">
        <v>1879</v>
      </c>
      <c r="D2435" s="140">
        <v>680</v>
      </c>
      <c r="E2435" s="43"/>
      <c r="F2435" s="43" t="e">
        <f t="shared" ref="F2435:F2498" si="38">F2434-D2435+E2435</f>
        <v>#N/A</v>
      </c>
      <c r="G2435" s="43"/>
    </row>
    <row r="2436" spans="1:7" x14ac:dyDescent="0.3">
      <c r="A2436" s="45">
        <v>42890</v>
      </c>
      <c r="B2436" s="139" t="s">
        <v>58</v>
      </c>
      <c r="C2436" s="139" t="s">
        <v>31</v>
      </c>
      <c r="D2436" s="140">
        <v>500</v>
      </c>
      <c r="E2436" s="43"/>
      <c r="F2436" s="43" t="e">
        <f t="shared" si="38"/>
        <v>#N/A</v>
      </c>
      <c r="G2436" s="43"/>
    </row>
    <row r="2437" spans="1:7" x14ac:dyDescent="0.3">
      <c r="A2437" s="45">
        <v>42890</v>
      </c>
      <c r="B2437" s="5" t="s">
        <v>25</v>
      </c>
      <c r="C2437" s="5" t="s">
        <v>1882</v>
      </c>
      <c r="D2437" s="43">
        <v>2000</v>
      </c>
      <c r="E2437" s="43"/>
      <c r="F2437" s="43" t="e">
        <f t="shared" si="38"/>
        <v>#N/A</v>
      </c>
      <c r="G2437" s="43"/>
    </row>
    <row r="2438" spans="1:7" x14ac:dyDescent="0.3">
      <c r="A2438" s="45">
        <v>42890</v>
      </c>
      <c r="B2438" s="139" t="s">
        <v>47</v>
      </c>
      <c r="C2438" s="139" t="s">
        <v>1907</v>
      </c>
      <c r="D2438" s="140">
        <v>920</v>
      </c>
      <c r="E2438" s="43"/>
      <c r="F2438" s="43" t="e">
        <f t="shared" si="38"/>
        <v>#N/A</v>
      </c>
      <c r="G2438" s="43"/>
    </row>
    <row r="2439" spans="1:7" x14ac:dyDescent="0.3">
      <c r="A2439" s="45">
        <v>42890</v>
      </c>
      <c r="B2439" s="5" t="s">
        <v>93</v>
      </c>
      <c r="C2439" s="5" t="s">
        <v>1880</v>
      </c>
      <c r="D2439" s="43">
        <v>5000</v>
      </c>
      <c r="E2439" s="43"/>
      <c r="F2439" s="43" t="e">
        <f t="shared" si="38"/>
        <v>#N/A</v>
      </c>
      <c r="G2439" s="43"/>
    </row>
    <row r="2440" spans="1:7" x14ac:dyDescent="0.3">
      <c r="A2440" s="45">
        <v>42890</v>
      </c>
      <c r="B2440" s="5" t="s">
        <v>116</v>
      </c>
      <c r="C2440" s="5" t="s">
        <v>31</v>
      </c>
      <c r="D2440" s="43">
        <v>500</v>
      </c>
      <c r="E2440" s="43"/>
      <c r="F2440" s="43" t="e">
        <f t="shared" si="38"/>
        <v>#N/A</v>
      </c>
      <c r="G2440" s="43"/>
    </row>
    <row r="2441" spans="1:7" x14ac:dyDescent="0.3">
      <c r="A2441" s="45">
        <v>42890</v>
      </c>
      <c r="B2441" s="5" t="s">
        <v>27</v>
      </c>
      <c r="C2441" s="5" t="s">
        <v>31</v>
      </c>
      <c r="D2441" s="43">
        <v>2000</v>
      </c>
      <c r="E2441" s="43"/>
      <c r="F2441" s="43" t="e">
        <f t="shared" si="38"/>
        <v>#N/A</v>
      </c>
      <c r="G2441" s="43"/>
    </row>
    <row r="2442" spans="1:7" x14ac:dyDescent="0.3">
      <c r="A2442" s="45">
        <v>42892</v>
      </c>
      <c r="B2442" s="139" t="s">
        <v>47</v>
      </c>
      <c r="C2442" s="139" t="s">
        <v>1881</v>
      </c>
      <c r="D2442" s="140">
        <v>1000</v>
      </c>
      <c r="E2442" s="43"/>
      <c r="F2442" s="43" t="e">
        <f t="shared" si="38"/>
        <v>#N/A</v>
      </c>
      <c r="G2442" s="43"/>
    </row>
    <row r="2443" spans="1:7" x14ac:dyDescent="0.3">
      <c r="A2443" s="45">
        <v>42892</v>
      </c>
      <c r="B2443" s="5" t="s">
        <v>247</v>
      </c>
      <c r="C2443" s="5" t="s">
        <v>31</v>
      </c>
      <c r="D2443" s="43">
        <v>1000</v>
      </c>
      <c r="E2443" s="43"/>
      <c r="F2443" s="43" t="e">
        <f t="shared" si="38"/>
        <v>#N/A</v>
      </c>
      <c r="G2443" s="43"/>
    </row>
    <row r="2444" spans="1:7" x14ac:dyDescent="0.3">
      <c r="A2444" s="45">
        <v>42892</v>
      </c>
      <c r="B2444" s="5" t="s">
        <v>25</v>
      </c>
      <c r="C2444" s="5" t="s">
        <v>1883</v>
      </c>
      <c r="D2444" s="43">
        <v>260</v>
      </c>
      <c r="E2444" s="43"/>
      <c r="F2444" s="43" t="e">
        <f t="shared" si="38"/>
        <v>#N/A</v>
      </c>
      <c r="G2444" s="43"/>
    </row>
    <row r="2445" spans="1:7" x14ac:dyDescent="0.3">
      <c r="A2445" s="45">
        <v>42892</v>
      </c>
      <c r="B2445" s="5" t="s">
        <v>25</v>
      </c>
      <c r="C2445" s="5" t="s">
        <v>1884</v>
      </c>
      <c r="D2445" s="43">
        <v>2400</v>
      </c>
      <c r="E2445" s="43"/>
      <c r="F2445" s="43" t="e">
        <f t="shared" si="38"/>
        <v>#N/A</v>
      </c>
      <c r="G2445" s="43"/>
    </row>
    <row r="2446" spans="1:7" ht="37.5" x14ac:dyDescent="0.3">
      <c r="A2446" s="45">
        <v>42892</v>
      </c>
      <c r="B2446" s="5" t="s">
        <v>25</v>
      </c>
      <c r="C2446" s="92" t="s">
        <v>1889</v>
      </c>
      <c r="D2446" s="43">
        <v>520</v>
      </c>
      <c r="E2446" s="43"/>
      <c r="F2446" s="43" t="e">
        <f t="shared" si="38"/>
        <v>#N/A</v>
      </c>
      <c r="G2446" s="43"/>
    </row>
    <row r="2447" spans="1:7" x14ac:dyDescent="0.3">
      <c r="A2447" s="45">
        <v>42892</v>
      </c>
      <c r="B2447" s="5" t="s">
        <v>1837</v>
      </c>
      <c r="C2447" s="5" t="s">
        <v>1624</v>
      </c>
      <c r="D2447" s="43">
        <v>100</v>
      </c>
      <c r="E2447" s="43"/>
      <c r="F2447" s="43" t="e">
        <f t="shared" si="38"/>
        <v>#N/A</v>
      </c>
      <c r="G2447" s="43"/>
    </row>
    <row r="2448" spans="1:7" x14ac:dyDescent="0.3">
      <c r="A2448" s="45">
        <v>42892</v>
      </c>
      <c r="B2448" s="5" t="s">
        <v>11</v>
      </c>
      <c r="C2448" s="5" t="s">
        <v>31</v>
      </c>
      <c r="D2448" s="43">
        <v>2000</v>
      </c>
      <c r="E2448" s="43"/>
      <c r="F2448" s="43" t="e">
        <f t="shared" si="38"/>
        <v>#N/A</v>
      </c>
      <c r="G2448" s="43"/>
    </row>
    <row r="2449" spans="1:10" x14ac:dyDescent="0.3">
      <c r="A2449" s="45">
        <v>42892</v>
      </c>
      <c r="B2449" s="5" t="s">
        <v>181</v>
      </c>
      <c r="C2449" s="5" t="s">
        <v>31</v>
      </c>
      <c r="D2449" s="43">
        <v>5000</v>
      </c>
      <c r="E2449" s="43"/>
      <c r="F2449" s="43" t="e">
        <f t="shared" si="38"/>
        <v>#N/A</v>
      </c>
      <c r="G2449" s="43"/>
    </row>
    <row r="2450" spans="1:10" x14ac:dyDescent="0.3">
      <c r="A2450" s="45">
        <v>42892</v>
      </c>
      <c r="B2450" s="5" t="s">
        <v>58</v>
      </c>
      <c r="C2450" s="5" t="s">
        <v>1887</v>
      </c>
      <c r="D2450" s="43">
        <v>3400</v>
      </c>
      <c r="E2450" s="43"/>
      <c r="F2450" s="43" t="e">
        <f t="shared" si="38"/>
        <v>#N/A</v>
      </c>
      <c r="G2450" s="43"/>
    </row>
    <row r="2451" spans="1:10" x14ac:dyDescent="0.3">
      <c r="A2451" s="45">
        <v>42892</v>
      </c>
      <c r="B2451" s="761" t="s">
        <v>1899</v>
      </c>
      <c r="C2451" s="762"/>
      <c r="D2451" s="71"/>
      <c r="E2451" s="72">
        <v>27500</v>
      </c>
      <c r="F2451" s="43" t="e">
        <f t="shared" si="38"/>
        <v>#N/A</v>
      </c>
      <c r="G2451" s="65"/>
      <c r="H2451" s="102"/>
      <c r="I2451" s="102"/>
      <c r="J2451" s="102"/>
    </row>
    <row r="2452" spans="1:10" x14ac:dyDescent="0.3">
      <c r="A2452" s="45">
        <v>42892</v>
      </c>
      <c r="B2452" s="761" t="s">
        <v>1900</v>
      </c>
      <c r="C2452" s="762"/>
      <c r="D2452" s="71"/>
      <c r="E2452" s="72">
        <v>75849</v>
      </c>
      <c r="F2452" s="43" t="e">
        <f t="shared" si="38"/>
        <v>#N/A</v>
      </c>
      <c r="G2452" s="65"/>
      <c r="H2452" s="102"/>
      <c r="I2452" s="102"/>
      <c r="J2452" s="102"/>
    </row>
    <row r="2453" spans="1:10" x14ac:dyDescent="0.3">
      <c r="A2453" s="45">
        <v>42892</v>
      </c>
      <c r="B2453" s="139" t="s">
        <v>84</v>
      </c>
      <c r="C2453" s="139" t="s">
        <v>1890</v>
      </c>
      <c r="D2453" s="140">
        <v>6300</v>
      </c>
      <c r="E2453" s="43"/>
      <c r="F2453" s="43" t="e">
        <f t="shared" si="38"/>
        <v>#N/A</v>
      </c>
      <c r="G2453" s="43"/>
    </row>
    <row r="2454" spans="1:10" x14ac:dyDescent="0.3">
      <c r="A2454" s="45">
        <v>42892</v>
      </c>
      <c r="B2454" s="139" t="s">
        <v>84</v>
      </c>
      <c r="C2454" s="139" t="s">
        <v>1891</v>
      </c>
      <c r="D2454" s="140">
        <v>200</v>
      </c>
      <c r="E2454" s="43"/>
      <c r="F2454" s="43" t="e">
        <f t="shared" si="38"/>
        <v>#N/A</v>
      </c>
      <c r="G2454" s="43"/>
    </row>
    <row r="2455" spans="1:10" x14ac:dyDescent="0.3">
      <c r="A2455" s="45">
        <v>42892</v>
      </c>
      <c r="B2455" s="139" t="s">
        <v>84</v>
      </c>
      <c r="C2455" s="139" t="s">
        <v>1893</v>
      </c>
      <c r="D2455" s="140">
        <v>400</v>
      </c>
      <c r="E2455" s="43"/>
      <c r="F2455" s="43" t="e">
        <f t="shared" si="38"/>
        <v>#N/A</v>
      </c>
      <c r="G2455" s="43"/>
    </row>
    <row r="2456" spans="1:10" x14ac:dyDescent="0.3">
      <c r="A2456" s="45">
        <v>42892</v>
      </c>
      <c r="B2456" s="139" t="s">
        <v>445</v>
      </c>
      <c r="C2456" s="139" t="s">
        <v>31</v>
      </c>
      <c r="D2456" s="140">
        <v>50</v>
      </c>
      <c r="E2456" s="43"/>
      <c r="F2456" s="43" t="e">
        <f t="shared" si="38"/>
        <v>#N/A</v>
      </c>
      <c r="G2456" s="43"/>
    </row>
    <row r="2457" spans="1:10" x14ac:dyDescent="0.3">
      <c r="A2457" s="45">
        <v>42892</v>
      </c>
      <c r="B2457" s="5" t="s">
        <v>25</v>
      </c>
      <c r="C2457" s="5" t="s">
        <v>1894</v>
      </c>
      <c r="D2457" s="65">
        <v>80</v>
      </c>
      <c r="E2457" s="65"/>
      <c r="F2457" s="43" t="e">
        <f t="shared" si="38"/>
        <v>#N/A</v>
      </c>
      <c r="G2457" s="65"/>
      <c r="H2457" s="102"/>
      <c r="I2457" s="102"/>
      <c r="J2457" s="102"/>
    </row>
    <row r="2458" spans="1:10" x14ac:dyDescent="0.3">
      <c r="A2458" s="45">
        <v>42893</v>
      </c>
      <c r="B2458" s="5" t="s">
        <v>18</v>
      </c>
      <c r="C2458" s="5" t="s">
        <v>1888</v>
      </c>
      <c r="D2458" s="43">
        <v>2000</v>
      </c>
      <c r="E2458" s="43"/>
      <c r="F2458" s="43" t="e">
        <f t="shared" si="38"/>
        <v>#N/A</v>
      </c>
      <c r="G2458" s="43"/>
    </row>
    <row r="2459" spans="1:10" ht="37.5" x14ac:dyDescent="0.3">
      <c r="A2459" s="45">
        <v>42893</v>
      </c>
      <c r="B2459" s="5" t="s">
        <v>58</v>
      </c>
      <c r="C2459" s="92" t="s">
        <v>1892</v>
      </c>
      <c r="D2459" s="43">
        <v>1070</v>
      </c>
      <c r="E2459" s="43"/>
      <c r="F2459" s="43" t="e">
        <f t="shared" si="38"/>
        <v>#N/A</v>
      </c>
      <c r="G2459" s="43"/>
    </row>
    <row r="2460" spans="1:10" x14ac:dyDescent="0.3">
      <c r="A2460" s="45">
        <v>42893</v>
      </c>
      <c r="B2460" s="107" t="s">
        <v>1343</v>
      </c>
      <c r="C2460" s="107" t="s">
        <v>31</v>
      </c>
      <c r="D2460" s="109">
        <v>500</v>
      </c>
      <c r="E2460" s="43"/>
      <c r="F2460" s="43" t="e">
        <f t="shared" si="38"/>
        <v>#N/A</v>
      </c>
      <c r="G2460" s="43"/>
    </row>
    <row r="2461" spans="1:10" x14ac:dyDescent="0.3">
      <c r="A2461" s="45">
        <v>42893</v>
      </c>
      <c r="B2461" s="5" t="s">
        <v>27</v>
      </c>
      <c r="C2461" s="5" t="s">
        <v>31</v>
      </c>
      <c r="D2461" s="43">
        <v>3000</v>
      </c>
      <c r="E2461" s="43"/>
      <c r="F2461" s="43" t="e">
        <f t="shared" si="38"/>
        <v>#N/A</v>
      </c>
      <c r="G2461" s="43"/>
    </row>
    <row r="2462" spans="1:10" x14ac:dyDescent="0.3">
      <c r="A2462" s="45">
        <v>42893</v>
      </c>
      <c r="B2462" s="5" t="s">
        <v>127</v>
      </c>
      <c r="C2462" s="5" t="s">
        <v>1896</v>
      </c>
      <c r="D2462" s="43">
        <v>22000</v>
      </c>
      <c r="E2462" s="43"/>
      <c r="F2462" s="43" t="e">
        <f t="shared" si="38"/>
        <v>#N/A</v>
      </c>
      <c r="G2462" s="43"/>
    </row>
    <row r="2463" spans="1:10" x14ac:dyDescent="0.3">
      <c r="A2463" s="45">
        <v>42893</v>
      </c>
      <c r="B2463" s="5" t="s">
        <v>1837</v>
      </c>
      <c r="C2463" s="5" t="s">
        <v>1895</v>
      </c>
      <c r="D2463" s="43">
        <v>100</v>
      </c>
      <c r="E2463" s="43"/>
      <c r="F2463" s="43" t="e">
        <f t="shared" si="38"/>
        <v>#N/A</v>
      </c>
      <c r="G2463" s="43"/>
    </row>
    <row r="2464" spans="1:10" x14ac:dyDescent="0.3">
      <c r="A2464" s="45">
        <v>42893</v>
      </c>
      <c r="B2464" s="5" t="s">
        <v>25</v>
      </c>
      <c r="C2464" s="5" t="s">
        <v>1897</v>
      </c>
      <c r="D2464" s="43">
        <v>10000</v>
      </c>
      <c r="E2464" s="43"/>
      <c r="F2464" s="43" t="e">
        <f t="shared" si="38"/>
        <v>#N/A</v>
      </c>
      <c r="G2464" s="43"/>
    </row>
    <row r="2465" spans="1:7" x14ac:dyDescent="0.3">
      <c r="A2465" s="45">
        <v>42893</v>
      </c>
      <c r="B2465" s="5" t="s">
        <v>181</v>
      </c>
      <c r="C2465" s="5" t="s">
        <v>31</v>
      </c>
      <c r="D2465" s="43">
        <v>10000</v>
      </c>
      <c r="E2465" s="43"/>
      <c r="F2465" s="43" t="e">
        <f t="shared" si="38"/>
        <v>#N/A</v>
      </c>
      <c r="G2465" s="43"/>
    </row>
    <row r="2466" spans="1:7" x14ac:dyDescent="0.3">
      <c r="A2466" s="45">
        <v>42893</v>
      </c>
      <c r="B2466" s="139" t="s">
        <v>84</v>
      </c>
      <c r="C2466" s="139" t="s">
        <v>1898</v>
      </c>
      <c r="D2466" s="140">
        <v>3000</v>
      </c>
      <c r="E2466" s="43"/>
      <c r="F2466" s="43" t="e">
        <f t="shared" si="38"/>
        <v>#N/A</v>
      </c>
      <c r="G2466" s="43"/>
    </row>
    <row r="2467" spans="1:7" x14ac:dyDescent="0.3">
      <c r="A2467" s="45">
        <v>42894</v>
      </c>
      <c r="B2467" s="5" t="s">
        <v>1672</v>
      </c>
      <c r="C2467" s="5" t="s">
        <v>1901</v>
      </c>
      <c r="D2467" s="43">
        <v>10000</v>
      </c>
      <c r="E2467" s="43"/>
      <c r="F2467" s="43" t="e">
        <f t="shared" si="38"/>
        <v>#N/A</v>
      </c>
      <c r="G2467" s="43"/>
    </row>
    <row r="2468" spans="1:7" x14ac:dyDescent="0.3">
      <c r="A2468" s="45">
        <v>42894</v>
      </c>
      <c r="B2468" s="5" t="s">
        <v>1193</v>
      </c>
      <c r="C2468" s="5" t="s">
        <v>1902</v>
      </c>
      <c r="D2468" s="43">
        <v>560</v>
      </c>
      <c r="E2468" s="43"/>
      <c r="F2468" s="43" t="e">
        <f t="shared" si="38"/>
        <v>#N/A</v>
      </c>
      <c r="G2468" s="43"/>
    </row>
    <row r="2469" spans="1:7" x14ac:dyDescent="0.3">
      <c r="A2469" s="45">
        <v>42894</v>
      </c>
      <c r="B2469" s="5" t="s">
        <v>84</v>
      </c>
      <c r="C2469" s="5" t="s">
        <v>1975</v>
      </c>
      <c r="D2469" s="43">
        <v>5000</v>
      </c>
      <c r="E2469" s="43"/>
      <c r="F2469" s="43" t="e">
        <f t="shared" si="38"/>
        <v>#N/A</v>
      </c>
      <c r="G2469" s="43"/>
    </row>
    <row r="2470" spans="1:7" x14ac:dyDescent="0.3">
      <c r="A2470" s="45">
        <v>42894</v>
      </c>
      <c r="B2470" s="5" t="s">
        <v>54</v>
      </c>
      <c r="C2470" s="5" t="s">
        <v>1904</v>
      </c>
      <c r="D2470" s="43">
        <v>1500</v>
      </c>
      <c r="E2470" s="43"/>
      <c r="F2470" s="43" t="e">
        <f t="shared" si="38"/>
        <v>#N/A</v>
      </c>
      <c r="G2470" s="43"/>
    </row>
    <row r="2471" spans="1:7" x14ac:dyDescent="0.3">
      <c r="A2471" s="45">
        <v>42894</v>
      </c>
      <c r="B2471" s="5" t="s">
        <v>0</v>
      </c>
      <c r="C2471" s="5" t="s">
        <v>1905</v>
      </c>
      <c r="D2471" s="43">
        <v>5000</v>
      </c>
      <c r="E2471" s="43"/>
      <c r="F2471" s="43" t="e">
        <f t="shared" si="38"/>
        <v>#N/A</v>
      </c>
      <c r="G2471" s="43"/>
    </row>
    <row r="2472" spans="1:7" x14ac:dyDescent="0.3">
      <c r="A2472" s="45">
        <v>42895</v>
      </c>
      <c r="B2472" s="5" t="s">
        <v>56</v>
      </c>
      <c r="C2472" s="5" t="s">
        <v>1906</v>
      </c>
      <c r="D2472" s="43">
        <v>2250</v>
      </c>
      <c r="E2472" s="43"/>
      <c r="F2472" s="43" t="e">
        <f t="shared" si="38"/>
        <v>#N/A</v>
      </c>
      <c r="G2472" s="43"/>
    </row>
    <row r="2473" spans="1:7" x14ac:dyDescent="0.3">
      <c r="A2473" s="45">
        <v>42895</v>
      </c>
      <c r="B2473" s="5" t="s">
        <v>16</v>
      </c>
      <c r="C2473" s="5" t="s">
        <v>31</v>
      </c>
      <c r="D2473" s="43">
        <v>8500</v>
      </c>
      <c r="E2473" s="43"/>
      <c r="F2473" s="43" t="e">
        <f t="shared" si="38"/>
        <v>#N/A</v>
      </c>
      <c r="G2473" s="43"/>
    </row>
    <row r="2474" spans="1:7" x14ac:dyDescent="0.3">
      <c r="A2474" s="45">
        <v>42895</v>
      </c>
      <c r="B2474" s="5" t="s">
        <v>84</v>
      </c>
      <c r="C2474" s="5" t="s">
        <v>1965</v>
      </c>
      <c r="D2474" s="43">
        <v>3000</v>
      </c>
      <c r="E2474" s="43"/>
      <c r="F2474" s="43" t="e">
        <f t="shared" si="38"/>
        <v>#N/A</v>
      </c>
      <c r="G2474" s="43"/>
    </row>
    <row r="2475" spans="1:7" x14ac:dyDescent="0.3">
      <c r="A2475" s="45">
        <v>42895</v>
      </c>
      <c r="B2475" s="756" t="s">
        <v>1859</v>
      </c>
      <c r="C2475" s="756"/>
      <c r="D2475" s="71"/>
      <c r="E2475" s="72">
        <v>50000</v>
      </c>
      <c r="F2475" s="43" t="e">
        <f t="shared" si="38"/>
        <v>#N/A</v>
      </c>
      <c r="G2475" s="43"/>
    </row>
    <row r="2476" spans="1:7" x14ac:dyDescent="0.3">
      <c r="A2476" s="45">
        <v>42895</v>
      </c>
      <c r="B2476" s="5" t="s">
        <v>58</v>
      </c>
      <c r="C2476" s="5" t="s">
        <v>1916</v>
      </c>
      <c r="D2476" s="65">
        <v>15200</v>
      </c>
      <c r="E2476" s="43"/>
      <c r="F2476" s="43" t="e">
        <f t="shared" si="38"/>
        <v>#N/A</v>
      </c>
      <c r="G2476" s="43"/>
    </row>
    <row r="2477" spans="1:7" x14ac:dyDescent="0.3">
      <c r="A2477" s="45">
        <v>42895</v>
      </c>
      <c r="B2477" s="5" t="s">
        <v>58</v>
      </c>
      <c r="C2477" s="5" t="s">
        <v>1917</v>
      </c>
      <c r="D2477" s="65">
        <v>3800</v>
      </c>
      <c r="E2477" s="43"/>
      <c r="F2477" s="43" t="e">
        <f t="shared" si="38"/>
        <v>#N/A</v>
      </c>
      <c r="G2477" s="43"/>
    </row>
    <row r="2478" spans="1:7" x14ac:dyDescent="0.3">
      <c r="A2478" s="45">
        <v>42895</v>
      </c>
      <c r="B2478" s="5" t="s">
        <v>10</v>
      </c>
      <c r="C2478" s="5" t="s">
        <v>1908</v>
      </c>
      <c r="D2478" s="43">
        <v>2000</v>
      </c>
      <c r="E2478" s="43"/>
      <c r="F2478" s="43" t="e">
        <f t="shared" si="38"/>
        <v>#N/A</v>
      </c>
      <c r="G2478" s="43"/>
    </row>
    <row r="2479" spans="1:7" x14ac:dyDescent="0.3">
      <c r="A2479" s="45">
        <v>42896</v>
      </c>
      <c r="B2479" s="5" t="s">
        <v>47</v>
      </c>
      <c r="C2479" s="5" t="s">
        <v>1909</v>
      </c>
      <c r="D2479" s="43">
        <v>300</v>
      </c>
      <c r="E2479" s="43"/>
      <c r="F2479" s="43" t="e">
        <f t="shared" si="38"/>
        <v>#N/A</v>
      </c>
      <c r="G2479" s="43"/>
    </row>
    <row r="2480" spans="1:7" x14ac:dyDescent="0.3">
      <c r="A2480" s="45">
        <v>42896</v>
      </c>
      <c r="B2480" s="5" t="s">
        <v>27</v>
      </c>
      <c r="C2480" s="5" t="s">
        <v>31</v>
      </c>
      <c r="D2480" s="43">
        <v>2000</v>
      </c>
      <c r="E2480" s="43"/>
      <c r="F2480" s="43" t="e">
        <f t="shared" si="38"/>
        <v>#N/A</v>
      </c>
      <c r="G2480" s="43"/>
    </row>
    <row r="2481" spans="1:7" x14ac:dyDescent="0.3">
      <c r="A2481" s="45">
        <v>42896</v>
      </c>
      <c r="B2481" s="5" t="s">
        <v>58</v>
      </c>
      <c r="C2481" s="5" t="s">
        <v>1918</v>
      </c>
      <c r="D2481" s="43">
        <v>500</v>
      </c>
      <c r="E2481" s="43"/>
      <c r="F2481" s="43" t="e">
        <f t="shared" si="38"/>
        <v>#N/A</v>
      </c>
      <c r="G2481" s="43"/>
    </row>
    <row r="2482" spans="1:7" x14ac:dyDescent="0.3">
      <c r="A2482" s="45">
        <v>42898</v>
      </c>
      <c r="B2482" s="5" t="s">
        <v>25</v>
      </c>
      <c r="C2482" s="5" t="s">
        <v>1910</v>
      </c>
      <c r="D2482" s="43">
        <v>100</v>
      </c>
      <c r="E2482" s="43"/>
      <c r="F2482" s="43" t="e">
        <f t="shared" si="38"/>
        <v>#N/A</v>
      </c>
      <c r="G2482" s="43"/>
    </row>
    <row r="2483" spans="1:7" x14ac:dyDescent="0.3">
      <c r="A2483" s="45">
        <v>42898</v>
      </c>
      <c r="B2483" s="5" t="s">
        <v>445</v>
      </c>
      <c r="C2483" s="5" t="s">
        <v>1911</v>
      </c>
      <c r="D2483" s="43">
        <v>1000</v>
      </c>
      <c r="E2483" s="43"/>
      <c r="F2483" s="43" t="e">
        <f t="shared" si="38"/>
        <v>#N/A</v>
      </c>
      <c r="G2483" s="43"/>
    </row>
    <row r="2484" spans="1:7" x14ac:dyDescent="0.3">
      <c r="A2484" s="45">
        <v>42898</v>
      </c>
      <c r="B2484" s="5" t="s">
        <v>58</v>
      </c>
      <c r="C2484" s="5" t="s">
        <v>1919</v>
      </c>
      <c r="D2484" s="43">
        <v>440</v>
      </c>
      <c r="E2484" s="43"/>
      <c r="F2484" s="43" t="e">
        <f t="shared" si="38"/>
        <v>#N/A</v>
      </c>
      <c r="G2484" s="43"/>
    </row>
    <row r="2485" spans="1:7" x14ac:dyDescent="0.3">
      <c r="A2485" s="45">
        <v>42898</v>
      </c>
      <c r="B2485" s="5" t="s">
        <v>27</v>
      </c>
      <c r="C2485" s="5" t="s">
        <v>31</v>
      </c>
      <c r="D2485" s="43">
        <v>1500</v>
      </c>
      <c r="E2485" s="43"/>
      <c r="F2485" s="43" t="e">
        <f t="shared" si="38"/>
        <v>#N/A</v>
      </c>
      <c r="G2485" s="43"/>
    </row>
    <row r="2486" spans="1:7" x14ac:dyDescent="0.3">
      <c r="A2486" s="45">
        <v>42898</v>
      </c>
      <c r="B2486" s="5" t="s">
        <v>25</v>
      </c>
      <c r="C2486" s="5" t="s">
        <v>1912</v>
      </c>
      <c r="D2486" s="43">
        <v>100</v>
      </c>
      <c r="E2486" s="43"/>
      <c r="F2486" s="43" t="e">
        <f t="shared" si="38"/>
        <v>#N/A</v>
      </c>
      <c r="G2486" s="43"/>
    </row>
    <row r="2487" spans="1:7" x14ac:dyDescent="0.3">
      <c r="A2487" s="45">
        <v>42898</v>
      </c>
      <c r="B2487" s="5" t="s">
        <v>58</v>
      </c>
      <c r="C2487" s="5" t="s">
        <v>1913</v>
      </c>
      <c r="D2487" s="43">
        <v>5000</v>
      </c>
      <c r="E2487" s="43"/>
      <c r="F2487" s="43" t="e">
        <f t="shared" si="38"/>
        <v>#N/A</v>
      </c>
      <c r="G2487" s="43"/>
    </row>
    <row r="2488" spans="1:7" x14ac:dyDescent="0.3">
      <c r="A2488" s="45">
        <v>42898</v>
      </c>
      <c r="B2488" s="5" t="s">
        <v>1914</v>
      </c>
      <c r="C2488" s="5" t="s">
        <v>1915</v>
      </c>
      <c r="D2488" s="43">
        <v>200</v>
      </c>
      <c r="E2488" s="43"/>
      <c r="F2488" s="43" t="e">
        <f t="shared" si="38"/>
        <v>#N/A</v>
      </c>
      <c r="G2488" s="43"/>
    </row>
    <row r="2489" spans="1:7" x14ac:dyDescent="0.3">
      <c r="A2489" s="45">
        <v>42898</v>
      </c>
      <c r="B2489" s="5" t="s">
        <v>58</v>
      </c>
      <c r="C2489" s="5" t="s">
        <v>1920</v>
      </c>
      <c r="D2489" s="43">
        <v>1200</v>
      </c>
      <c r="E2489" s="43"/>
      <c r="F2489" s="43" t="e">
        <f t="shared" si="38"/>
        <v>#N/A</v>
      </c>
      <c r="G2489" s="43"/>
    </row>
    <row r="2490" spans="1:7" x14ac:dyDescent="0.3">
      <c r="A2490" s="45">
        <v>42898</v>
      </c>
      <c r="B2490" s="5" t="s">
        <v>25</v>
      </c>
      <c r="C2490" s="5" t="s">
        <v>1921</v>
      </c>
      <c r="D2490" s="43">
        <v>100</v>
      </c>
      <c r="E2490" s="43"/>
      <c r="F2490" s="43" t="e">
        <f t="shared" si="38"/>
        <v>#N/A</v>
      </c>
      <c r="G2490" s="43"/>
    </row>
    <row r="2491" spans="1:7" x14ac:dyDescent="0.3">
      <c r="A2491" s="45">
        <v>42898</v>
      </c>
      <c r="B2491" s="5" t="s">
        <v>25</v>
      </c>
      <c r="C2491" s="5" t="s">
        <v>1333</v>
      </c>
      <c r="D2491" s="43">
        <v>100</v>
      </c>
      <c r="E2491" s="43"/>
      <c r="F2491" s="43" t="e">
        <f t="shared" si="38"/>
        <v>#N/A</v>
      </c>
      <c r="G2491" s="43"/>
    </row>
    <row r="2492" spans="1:7" x14ac:dyDescent="0.3">
      <c r="A2492" s="45">
        <v>42899</v>
      </c>
      <c r="B2492" s="5" t="s">
        <v>58</v>
      </c>
      <c r="C2492" s="5" t="s">
        <v>1943</v>
      </c>
      <c r="D2492" s="65">
        <v>19780</v>
      </c>
      <c r="E2492" s="65"/>
      <c r="F2492" s="43" t="e">
        <f t="shared" si="38"/>
        <v>#N/A</v>
      </c>
      <c r="G2492" s="43"/>
    </row>
    <row r="2493" spans="1:7" x14ac:dyDescent="0.3">
      <c r="A2493" s="45">
        <v>42899</v>
      </c>
      <c r="B2493" s="5" t="s">
        <v>247</v>
      </c>
      <c r="C2493" s="5" t="s">
        <v>1928</v>
      </c>
      <c r="D2493" s="43">
        <v>1000</v>
      </c>
      <c r="E2493" s="43"/>
      <c r="F2493" s="43" t="e">
        <f t="shared" si="38"/>
        <v>#N/A</v>
      </c>
      <c r="G2493" s="43"/>
    </row>
    <row r="2494" spans="1:7" x14ac:dyDescent="0.3">
      <c r="A2494" s="45">
        <v>42899</v>
      </c>
      <c r="B2494" s="5" t="s">
        <v>247</v>
      </c>
      <c r="C2494" s="5" t="s">
        <v>1929</v>
      </c>
      <c r="D2494" s="43">
        <v>1000</v>
      </c>
      <c r="E2494" s="43"/>
      <c r="F2494" s="43" t="e">
        <f t="shared" si="38"/>
        <v>#N/A</v>
      </c>
      <c r="G2494" s="43"/>
    </row>
    <row r="2495" spans="1:7" x14ac:dyDescent="0.3">
      <c r="A2495" s="45">
        <v>42899</v>
      </c>
      <c r="B2495" s="756" t="s">
        <v>1926</v>
      </c>
      <c r="C2495" s="756"/>
      <c r="D2495" s="71"/>
      <c r="E2495" s="72">
        <v>50000</v>
      </c>
      <c r="F2495" s="43" t="e">
        <f t="shared" si="38"/>
        <v>#N/A</v>
      </c>
      <c r="G2495" s="43"/>
    </row>
    <row r="2496" spans="1:7" x14ac:dyDescent="0.3">
      <c r="A2496" s="45">
        <v>42899</v>
      </c>
      <c r="B2496" s="5" t="s">
        <v>27</v>
      </c>
      <c r="C2496" s="5" t="s">
        <v>1922</v>
      </c>
      <c r="D2496" s="65">
        <v>25500</v>
      </c>
      <c r="E2496" s="43"/>
      <c r="F2496" s="43" t="e">
        <f t="shared" si="38"/>
        <v>#N/A</v>
      </c>
      <c r="G2496" s="43"/>
    </row>
    <row r="2497" spans="1:7" x14ac:dyDescent="0.3">
      <c r="A2497" s="45">
        <v>42899</v>
      </c>
      <c r="B2497" s="5" t="s">
        <v>1331</v>
      </c>
      <c r="C2497" s="5" t="s">
        <v>31</v>
      </c>
      <c r="D2497" s="43">
        <v>200</v>
      </c>
      <c r="E2497" s="43"/>
      <c r="F2497" s="43" t="e">
        <f t="shared" si="38"/>
        <v>#N/A</v>
      </c>
      <c r="G2497" s="43"/>
    </row>
    <row r="2498" spans="1:7" x14ac:dyDescent="0.3">
      <c r="A2498" s="45">
        <v>42899</v>
      </c>
      <c r="B2498" s="5" t="s">
        <v>247</v>
      </c>
      <c r="C2498" s="5" t="s">
        <v>1624</v>
      </c>
      <c r="D2498" s="43">
        <v>50</v>
      </c>
      <c r="E2498" s="43"/>
      <c r="F2498" s="43" t="e">
        <f t="shared" si="38"/>
        <v>#N/A</v>
      </c>
      <c r="G2498" s="43"/>
    </row>
    <row r="2499" spans="1:7" x14ac:dyDescent="0.3">
      <c r="A2499" s="45">
        <v>42899</v>
      </c>
      <c r="B2499" s="5" t="s">
        <v>16</v>
      </c>
      <c r="C2499" s="5" t="s">
        <v>1923</v>
      </c>
      <c r="D2499" s="43">
        <v>500</v>
      </c>
      <c r="E2499" s="43"/>
      <c r="F2499" s="43" t="e">
        <f t="shared" ref="F2499:F2562" si="39">F2498-D2499+E2499</f>
        <v>#N/A</v>
      </c>
      <c r="G2499" s="43"/>
    </row>
    <row r="2500" spans="1:7" x14ac:dyDescent="0.3">
      <c r="A2500" s="45">
        <v>42899</v>
      </c>
      <c r="B2500" s="5" t="s">
        <v>127</v>
      </c>
      <c r="C2500" s="5" t="s">
        <v>1924</v>
      </c>
      <c r="D2500" s="43">
        <v>2000</v>
      </c>
      <c r="E2500" s="43"/>
      <c r="F2500" s="43" t="e">
        <f t="shared" si="39"/>
        <v>#N/A</v>
      </c>
      <c r="G2500" s="43"/>
    </row>
    <row r="2501" spans="1:7" x14ac:dyDescent="0.3">
      <c r="A2501" s="45">
        <v>42900</v>
      </c>
      <c r="B2501" s="5" t="s">
        <v>4</v>
      </c>
      <c r="C2501" s="5" t="s">
        <v>1925</v>
      </c>
      <c r="D2501" s="43">
        <v>1000</v>
      </c>
      <c r="E2501" s="43"/>
      <c r="F2501" s="43" t="e">
        <f t="shared" si="39"/>
        <v>#N/A</v>
      </c>
      <c r="G2501" s="43"/>
    </row>
    <row r="2502" spans="1:7" x14ac:dyDescent="0.3">
      <c r="A2502" s="45">
        <v>42900</v>
      </c>
      <c r="B2502" s="107" t="s">
        <v>1343</v>
      </c>
      <c r="C2502" s="107" t="s">
        <v>31</v>
      </c>
      <c r="D2502" s="109">
        <v>10000</v>
      </c>
      <c r="E2502" s="43"/>
      <c r="F2502" s="43" t="e">
        <f t="shared" si="39"/>
        <v>#N/A</v>
      </c>
      <c r="G2502" s="43"/>
    </row>
    <row r="2503" spans="1:7" x14ac:dyDescent="0.3">
      <c r="A2503" s="45">
        <v>42900</v>
      </c>
      <c r="B2503" s="5" t="s">
        <v>116</v>
      </c>
      <c r="C2503" s="5" t="s">
        <v>31</v>
      </c>
      <c r="D2503" s="43">
        <v>500</v>
      </c>
      <c r="E2503" s="43"/>
      <c r="F2503" s="43" t="e">
        <f t="shared" si="39"/>
        <v>#N/A</v>
      </c>
      <c r="G2503" s="43"/>
    </row>
    <row r="2504" spans="1:7" x14ac:dyDescent="0.3">
      <c r="A2504" s="45">
        <v>42900</v>
      </c>
      <c r="B2504" s="5" t="s">
        <v>1616</v>
      </c>
      <c r="C2504" s="5" t="s">
        <v>1252</v>
      </c>
      <c r="D2504" s="43">
        <v>500</v>
      </c>
      <c r="E2504" s="43"/>
      <c r="F2504" s="43" t="e">
        <f t="shared" si="39"/>
        <v>#N/A</v>
      </c>
      <c r="G2504" s="43"/>
    </row>
    <row r="2505" spans="1:7" x14ac:dyDescent="0.3">
      <c r="A2505" s="45">
        <v>42900</v>
      </c>
      <c r="B2505" s="5" t="s">
        <v>247</v>
      </c>
      <c r="C2505" s="5" t="s">
        <v>1927</v>
      </c>
      <c r="D2505" s="43">
        <v>600</v>
      </c>
      <c r="E2505" s="43"/>
      <c r="F2505" s="43" t="e">
        <f t="shared" si="39"/>
        <v>#N/A</v>
      </c>
      <c r="G2505" s="43"/>
    </row>
    <row r="2506" spans="1:7" x14ac:dyDescent="0.3">
      <c r="A2506" s="45">
        <v>42901</v>
      </c>
      <c r="B2506" s="5" t="s">
        <v>27</v>
      </c>
      <c r="C2506" s="5" t="s">
        <v>31</v>
      </c>
      <c r="D2506" s="43">
        <v>2000</v>
      </c>
      <c r="E2506" s="43"/>
      <c r="F2506" s="43" t="e">
        <f t="shared" si="39"/>
        <v>#N/A</v>
      </c>
      <c r="G2506" s="43"/>
    </row>
    <row r="2507" spans="1:7" x14ac:dyDescent="0.3">
      <c r="A2507" s="45">
        <v>42901</v>
      </c>
      <c r="B2507" s="5" t="s">
        <v>247</v>
      </c>
      <c r="C2507" s="5" t="s">
        <v>1930</v>
      </c>
      <c r="D2507" s="43">
        <v>50</v>
      </c>
      <c r="E2507" s="43"/>
      <c r="F2507" s="43" t="e">
        <f t="shared" si="39"/>
        <v>#N/A</v>
      </c>
      <c r="G2507" s="43"/>
    </row>
    <row r="2508" spans="1:7" x14ac:dyDescent="0.3">
      <c r="A2508" s="45">
        <v>42901</v>
      </c>
      <c r="B2508" s="5" t="s">
        <v>127</v>
      </c>
      <c r="C2508" s="5" t="s">
        <v>1931</v>
      </c>
      <c r="D2508" s="43">
        <v>2400</v>
      </c>
      <c r="E2508" s="43"/>
      <c r="F2508" s="43" t="e">
        <f t="shared" si="39"/>
        <v>#N/A</v>
      </c>
      <c r="G2508" s="43"/>
    </row>
    <row r="2509" spans="1:7" x14ac:dyDescent="0.3">
      <c r="A2509" s="45">
        <v>42901</v>
      </c>
      <c r="B2509" s="5" t="s">
        <v>84</v>
      </c>
      <c r="C2509" s="5" t="s">
        <v>1976</v>
      </c>
      <c r="D2509" s="43">
        <v>2100</v>
      </c>
      <c r="E2509" s="43"/>
      <c r="F2509" s="43" t="e">
        <f t="shared" si="39"/>
        <v>#N/A</v>
      </c>
      <c r="G2509" s="43"/>
    </row>
    <row r="2510" spans="1:7" x14ac:dyDescent="0.3">
      <c r="A2510" s="45">
        <v>42901</v>
      </c>
      <c r="B2510" s="5" t="s">
        <v>25</v>
      </c>
      <c r="C2510" s="5" t="s">
        <v>1939</v>
      </c>
      <c r="D2510" s="43">
        <v>418</v>
      </c>
      <c r="E2510" s="43"/>
      <c r="F2510" s="43" t="e">
        <f t="shared" si="39"/>
        <v>#N/A</v>
      </c>
      <c r="G2510" s="43"/>
    </row>
    <row r="2511" spans="1:7" x14ac:dyDescent="0.3">
      <c r="A2511" s="45">
        <v>42901</v>
      </c>
      <c r="B2511" s="5" t="s">
        <v>25</v>
      </c>
      <c r="C2511" s="5" t="s">
        <v>1932</v>
      </c>
      <c r="D2511" s="43">
        <v>90</v>
      </c>
      <c r="E2511" s="43"/>
      <c r="F2511" s="43" t="e">
        <f t="shared" si="39"/>
        <v>#N/A</v>
      </c>
      <c r="G2511" s="43"/>
    </row>
    <row r="2512" spans="1:7" x14ac:dyDescent="0.3">
      <c r="A2512" s="45">
        <v>42901</v>
      </c>
      <c r="B2512" s="5" t="s">
        <v>25</v>
      </c>
      <c r="C2512" s="5" t="s">
        <v>1933</v>
      </c>
      <c r="D2512" s="43">
        <v>140</v>
      </c>
      <c r="E2512" s="43"/>
      <c r="F2512" s="43" t="e">
        <f t="shared" si="39"/>
        <v>#N/A</v>
      </c>
      <c r="G2512" s="43"/>
    </row>
    <row r="2513" spans="1:7" x14ac:dyDescent="0.3">
      <c r="A2513" s="45">
        <v>42902</v>
      </c>
      <c r="B2513" s="5" t="s">
        <v>1914</v>
      </c>
      <c r="C2513" s="5" t="s">
        <v>1935</v>
      </c>
      <c r="D2513" s="43">
        <v>1000</v>
      </c>
      <c r="E2513" s="43"/>
      <c r="F2513" s="43" t="e">
        <f t="shared" si="39"/>
        <v>#N/A</v>
      </c>
      <c r="G2513" s="43"/>
    </row>
    <row r="2514" spans="1:7" x14ac:dyDescent="0.3">
      <c r="A2514" s="45">
        <v>42902</v>
      </c>
      <c r="B2514" s="5" t="s">
        <v>116</v>
      </c>
      <c r="C2514" s="5" t="s">
        <v>1934</v>
      </c>
      <c r="D2514" s="43">
        <v>2000</v>
      </c>
      <c r="E2514" s="43"/>
      <c r="F2514" s="43" t="e">
        <f t="shared" si="39"/>
        <v>#N/A</v>
      </c>
      <c r="G2514" s="43"/>
    </row>
    <row r="2515" spans="1:7" x14ac:dyDescent="0.3">
      <c r="A2515" s="45">
        <v>42902</v>
      </c>
      <c r="B2515" s="5" t="s">
        <v>18</v>
      </c>
      <c r="C2515" s="5" t="s">
        <v>1936</v>
      </c>
      <c r="D2515" s="43">
        <v>2000</v>
      </c>
      <c r="E2515" s="43"/>
      <c r="F2515" s="43" t="e">
        <f t="shared" si="39"/>
        <v>#N/A</v>
      </c>
      <c r="G2515" s="43"/>
    </row>
    <row r="2516" spans="1:7" x14ac:dyDescent="0.3">
      <c r="A2516" s="45">
        <v>42902</v>
      </c>
      <c r="B2516" s="5" t="s">
        <v>18</v>
      </c>
      <c r="C2516" s="5" t="s">
        <v>31</v>
      </c>
      <c r="D2516" s="43">
        <v>1000</v>
      </c>
      <c r="E2516" s="43"/>
      <c r="F2516" s="43" t="e">
        <f t="shared" si="39"/>
        <v>#N/A</v>
      </c>
      <c r="G2516" s="43"/>
    </row>
    <row r="2517" spans="1:7" x14ac:dyDescent="0.3">
      <c r="A2517" s="45">
        <v>42902</v>
      </c>
      <c r="B2517" s="5" t="s">
        <v>25</v>
      </c>
      <c r="C2517" s="5" t="s">
        <v>1938</v>
      </c>
      <c r="D2517" s="43">
        <v>2000</v>
      </c>
      <c r="E2517" s="43"/>
      <c r="F2517" s="43" t="e">
        <f t="shared" si="39"/>
        <v>#N/A</v>
      </c>
      <c r="G2517" s="43"/>
    </row>
    <row r="2518" spans="1:7" x14ac:dyDescent="0.3">
      <c r="A2518" s="45">
        <v>42902</v>
      </c>
      <c r="B2518" s="5" t="s">
        <v>120</v>
      </c>
      <c r="C2518" s="5" t="s">
        <v>31</v>
      </c>
      <c r="D2518" s="43">
        <v>1000</v>
      </c>
      <c r="E2518" s="43"/>
      <c r="F2518" s="43" t="e">
        <f t="shared" si="39"/>
        <v>#N/A</v>
      </c>
      <c r="G2518" s="43"/>
    </row>
    <row r="2519" spans="1:7" x14ac:dyDescent="0.3">
      <c r="A2519" s="45">
        <v>42902</v>
      </c>
      <c r="B2519" s="5" t="s">
        <v>127</v>
      </c>
      <c r="C2519" s="5" t="s">
        <v>1937</v>
      </c>
      <c r="D2519" s="43">
        <v>2300</v>
      </c>
      <c r="E2519" s="43"/>
      <c r="F2519" s="43" t="e">
        <f t="shared" si="39"/>
        <v>#N/A</v>
      </c>
      <c r="G2519" s="43"/>
    </row>
    <row r="2520" spans="1:7" x14ac:dyDescent="0.3">
      <c r="A2520" s="45">
        <v>42902</v>
      </c>
      <c r="B2520" s="5" t="s">
        <v>58</v>
      </c>
      <c r="C2520" s="5" t="s">
        <v>1944</v>
      </c>
      <c r="D2520" s="43">
        <v>300</v>
      </c>
      <c r="E2520" s="43"/>
      <c r="F2520" s="43" t="e">
        <f t="shared" si="39"/>
        <v>#N/A</v>
      </c>
      <c r="G2520" s="43"/>
    </row>
    <row r="2521" spans="1:7" x14ac:dyDescent="0.3">
      <c r="A2521" s="45">
        <v>42902</v>
      </c>
      <c r="B2521" s="5" t="s">
        <v>27</v>
      </c>
      <c r="C2521" s="5" t="s">
        <v>31</v>
      </c>
      <c r="D2521" s="43">
        <v>1500</v>
      </c>
      <c r="E2521" s="43"/>
      <c r="F2521" s="43" t="e">
        <f t="shared" si="39"/>
        <v>#N/A</v>
      </c>
      <c r="G2521" s="43"/>
    </row>
    <row r="2522" spans="1:7" x14ac:dyDescent="0.3">
      <c r="A2522" s="45">
        <v>42903</v>
      </c>
      <c r="B2522" s="5" t="s">
        <v>60</v>
      </c>
      <c r="C2522" s="5" t="s">
        <v>31</v>
      </c>
      <c r="D2522" s="43">
        <v>2000</v>
      </c>
      <c r="E2522" s="43"/>
      <c r="F2522" s="43" t="e">
        <f t="shared" si="39"/>
        <v>#N/A</v>
      </c>
      <c r="G2522" s="43"/>
    </row>
    <row r="2523" spans="1:7" x14ac:dyDescent="0.3">
      <c r="A2523" s="45">
        <v>42903</v>
      </c>
      <c r="B2523" s="125" t="s">
        <v>1281</v>
      </c>
      <c r="C2523" s="125" t="s">
        <v>1940</v>
      </c>
      <c r="D2523" s="127">
        <v>100</v>
      </c>
      <c r="E2523" s="43"/>
      <c r="F2523" s="43" t="e">
        <f t="shared" si="39"/>
        <v>#N/A</v>
      </c>
      <c r="G2523" s="43"/>
    </row>
    <row r="2524" spans="1:7" x14ac:dyDescent="0.3">
      <c r="A2524" s="45">
        <v>42903</v>
      </c>
      <c r="B2524" s="5" t="s">
        <v>1672</v>
      </c>
      <c r="C2524" s="5" t="s">
        <v>1941</v>
      </c>
      <c r="D2524" s="43">
        <v>2000</v>
      </c>
      <c r="E2524" s="43"/>
      <c r="F2524" s="43" t="e">
        <f t="shared" si="39"/>
        <v>#N/A</v>
      </c>
      <c r="G2524" s="43"/>
    </row>
    <row r="2525" spans="1:7" x14ac:dyDescent="0.3">
      <c r="A2525" s="45">
        <v>42903</v>
      </c>
      <c r="B2525" s="5" t="s">
        <v>1672</v>
      </c>
      <c r="C2525" s="5" t="s">
        <v>1942</v>
      </c>
      <c r="D2525" s="43">
        <v>6000</v>
      </c>
      <c r="E2525" s="43"/>
      <c r="F2525" s="43" t="e">
        <f t="shared" si="39"/>
        <v>#N/A</v>
      </c>
      <c r="G2525" s="43"/>
    </row>
    <row r="2526" spans="1:7" x14ac:dyDescent="0.3">
      <c r="A2526" s="45">
        <v>42903</v>
      </c>
      <c r="B2526" s="5" t="s">
        <v>16</v>
      </c>
      <c r="C2526" s="5" t="s">
        <v>1945</v>
      </c>
      <c r="D2526" s="43">
        <v>500</v>
      </c>
      <c r="E2526" s="43"/>
      <c r="F2526" s="43" t="e">
        <f t="shared" si="39"/>
        <v>#N/A</v>
      </c>
      <c r="G2526" s="43"/>
    </row>
    <row r="2527" spans="1:7" ht="31.5" customHeight="1" x14ac:dyDescent="0.3">
      <c r="A2527" s="45">
        <v>42903</v>
      </c>
      <c r="B2527" s="765" t="s">
        <v>1961</v>
      </c>
      <c r="C2527" s="765"/>
      <c r="D2527" s="71"/>
      <c r="E2527" s="141">
        <v>600000</v>
      </c>
      <c r="F2527" s="43" t="e">
        <f t="shared" si="39"/>
        <v>#N/A</v>
      </c>
      <c r="G2527" s="43"/>
    </row>
    <row r="2528" spans="1:7" x14ac:dyDescent="0.3">
      <c r="A2528" s="45">
        <v>42903</v>
      </c>
      <c r="B2528" s="5" t="s">
        <v>1672</v>
      </c>
      <c r="C2528" s="5" t="s">
        <v>1205</v>
      </c>
      <c r="D2528" s="43">
        <v>2000</v>
      </c>
      <c r="E2528" s="43"/>
      <c r="F2528" s="43" t="e">
        <f t="shared" si="39"/>
        <v>#N/A</v>
      </c>
      <c r="G2528" s="43"/>
    </row>
    <row r="2529" spans="1:7" x14ac:dyDescent="0.3">
      <c r="A2529" s="45">
        <v>42905</v>
      </c>
      <c r="B2529" s="5" t="s">
        <v>445</v>
      </c>
      <c r="C2529" s="5" t="s">
        <v>294</v>
      </c>
      <c r="D2529" s="43">
        <v>1000</v>
      </c>
      <c r="E2529" s="43"/>
      <c r="F2529" s="43" t="e">
        <f t="shared" si="39"/>
        <v>#N/A</v>
      </c>
      <c r="G2529" s="43"/>
    </row>
    <row r="2530" spans="1:7" x14ac:dyDescent="0.3">
      <c r="A2530" s="45">
        <v>42905</v>
      </c>
      <c r="B2530" s="5" t="s">
        <v>84</v>
      </c>
      <c r="C2530" s="5" t="s">
        <v>1977</v>
      </c>
      <c r="D2530" s="43">
        <v>5000</v>
      </c>
      <c r="E2530" s="43"/>
      <c r="F2530" s="43" t="e">
        <f t="shared" si="39"/>
        <v>#N/A</v>
      </c>
      <c r="G2530" s="43"/>
    </row>
    <row r="2531" spans="1:7" x14ac:dyDescent="0.3">
      <c r="A2531" s="45">
        <v>42905</v>
      </c>
      <c r="B2531" s="5" t="s">
        <v>445</v>
      </c>
      <c r="C2531" s="5" t="s">
        <v>31</v>
      </c>
      <c r="D2531" s="43">
        <v>500</v>
      </c>
      <c r="E2531" s="43"/>
      <c r="F2531" s="43" t="e">
        <f t="shared" si="39"/>
        <v>#N/A</v>
      </c>
      <c r="G2531" s="43"/>
    </row>
    <row r="2532" spans="1:7" x14ac:dyDescent="0.3">
      <c r="A2532" s="45">
        <v>42905</v>
      </c>
      <c r="B2532" s="5" t="s">
        <v>1946</v>
      </c>
      <c r="C2532" s="5" t="s">
        <v>1947</v>
      </c>
      <c r="D2532" s="43">
        <v>25000</v>
      </c>
      <c r="E2532" s="43"/>
      <c r="F2532" s="43" t="e">
        <f t="shared" si="39"/>
        <v>#N/A</v>
      </c>
      <c r="G2532" s="43"/>
    </row>
    <row r="2533" spans="1:7" x14ac:dyDescent="0.3">
      <c r="A2533" s="45">
        <v>42905</v>
      </c>
      <c r="B2533" s="5" t="s">
        <v>181</v>
      </c>
      <c r="C2533" s="5" t="s">
        <v>31</v>
      </c>
      <c r="D2533" s="43">
        <v>10000</v>
      </c>
      <c r="E2533" s="43"/>
      <c r="F2533" s="43" t="e">
        <f t="shared" si="39"/>
        <v>#N/A</v>
      </c>
      <c r="G2533" s="43"/>
    </row>
    <row r="2534" spans="1:7" x14ac:dyDescent="0.3">
      <c r="A2534" s="45">
        <v>42905</v>
      </c>
      <c r="B2534" s="5" t="s">
        <v>84</v>
      </c>
      <c r="C2534" s="5" t="s">
        <v>1948</v>
      </c>
      <c r="D2534" s="43">
        <v>10000</v>
      </c>
      <c r="E2534" s="43"/>
      <c r="F2534" s="43" t="e">
        <f t="shared" si="39"/>
        <v>#N/A</v>
      </c>
      <c r="G2534" s="43"/>
    </row>
    <row r="2535" spans="1:7" x14ac:dyDescent="0.3">
      <c r="A2535" s="45">
        <v>42905</v>
      </c>
      <c r="B2535" s="5" t="s">
        <v>181</v>
      </c>
      <c r="C2535" s="5" t="s">
        <v>1950</v>
      </c>
      <c r="D2535" s="43">
        <v>3600</v>
      </c>
      <c r="E2535" s="43"/>
      <c r="F2535" s="43" t="e">
        <f t="shared" si="39"/>
        <v>#N/A</v>
      </c>
      <c r="G2535" s="43"/>
    </row>
    <row r="2536" spans="1:7" x14ac:dyDescent="0.3">
      <c r="A2536" s="45">
        <v>42905</v>
      </c>
      <c r="B2536" s="5" t="s">
        <v>84</v>
      </c>
      <c r="C2536" s="5" t="s">
        <v>1974</v>
      </c>
      <c r="D2536" s="43">
        <v>3000</v>
      </c>
      <c r="E2536" s="43"/>
      <c r="F2536" s="43" t="e">
        <f t="shared" si="39"/>
        <v>#N/A</v>
      </c>
      <c r="G2536" s="43"/>
    </row>
    <row r="2537" spans="1:7" x14ac:dyDescent="0.3">
      <c r="A2537" s="45">
        <v>42905</v>
      </c>
      <c r="B2537" s="5" t="s">
        <v>0</v>
      </c>
      <c r="C2537" s="5" t="s">
        <v>31</v>
      </c>
      <c r="D2537" s="43">
        <v>3000</v>
      </c>
      <c r="E2537" s="43"/>
      <c r="F2537" s="43" t="e">
        <f t="shared" si="39"/>
        <v>#N/A</v>
      </c>
      <c r="G2537" s="43"/>
    </row>
    <row r="2538" spans="1:7" x14ac:dyDescent="0.3">
      <c r="A2538" s="45">
        <v>42906</v>
      </c>
      <c r="B2538" s="5" t="s">
        <v>18</v>
      </c>
      <c r="C2538" s="5" t="s">
        <v>31</v>
      </c>
      <c r="D2538" s="43">
        <v>2000</v>
      </c>
      <c r="E2538" s="43"/>
      <c r="F2538" s="43" t="e">
        <f t="shared" si="39"/>
        <v>#N/A</v>
      </c>
      <c r="G2538" s="43"/>
    </row>
    <row r="2539" spans="1:7" x14ac:dyDescent="0.3">
      <c r="A2539" s="45">
        <v>42906</v>
      </c>
      <c r="B2539" s="5" t="s">
        <v>4</v>
      </c>
      <c r="C2539" s="5" t="s">
        <v>31</v>
      </c>
      <c r="D2539" s="43">
        <v>1000</v>
      </c>
      <c r="E2539" s="43"/>
      <c r="F2539" s="43" t="e">
        <f t="shared" si="39"/>
        <v>#N/A</v>
      </c>
      <c r="G2539" s="43"/>
    </row>
    <row r="2540" spans="1:7" x14ac:dyDescent="0.3">
      <c r="A2540" s="45">
        <v>42906</v>
      </c>
      <c r="B2540" s="5" t="s">
        <v>541</v>
      </c>
      <c r="C2540" s="5" t="s">
        <v>640</v>
      </c>
      <c r="D2540" s="43">
        <v>5000</v>
      </c>
      <c r="E2540" s="43"/>
      <c r="F2540" s="43" t="e">
        <f t="shared" si="39"/>
        <v>#N/A</v>
      </c>
      <c r="G2540" s="43"/>
    </row>
    <row r="2541" spans="1:7" x14ac:dyDescent="0.3">
      <c r="A2541" s="45"/>
      <c r="B2541" s="5"/>
      <c r="C2541" s="5"/>
      <c r="D2541" s="43">
        <v>35000</v>
      </c>
      <c r="E2541" s="43"/>
      <c r="F2541" s="43" t="e">
        <f t="shared" si="39"/>
        <v>#N/A</v>
      </c>
      <c r="G2541" s="43"/>
    </row>
    <row r="2542" spans="1:7" x14ac:dyDescent="0.3">
      <c r="A2542" s="45">
        <v>42906</v>
      </c>
      <c r="B2542" s="5" t="s">
        <v>1787</v>
      </c>
      <c r="C2542" s="5" t="s">
        <v>1949</v>
      </c>
      <c r="D2542" s="43">
        <v>2000</v>
      </c>
      <c r="E2542" s="43"/>
      <c r="F2542" s="43" t="e">
        <f t="shared" si="39"/>
        <v>#N/A</v>
      </c>
      <c r="G2542" s="43"/>
    </row>
    <row r="2543" spans="1:7" x14ac:dyDescent="0.3">
      <c r="A2543" s="45">
        <v>42906</v>
      </c>
      <c r="B2543" s="5" t="s">
        <v>247</v>
      </c>
      <c r="C2543" s="5" t="s">
        <v>1951</v>
      </c>
      <c r="D2543" s="43">
        <v>2000</v>
      </c>
      <c r="E2543" s="43"/>
      <c r="F2543" s="43" t="e">
        <f t="shared" si="39"/>
        <v>#N/A</v>
      </c>
      <c r="G2543" s="43"/>
    </row>
    <row r="2544" spans="1:7" x14ac:dyDescent="0.3">
      <c r="A2544" s="45">
        <v>42906</v>
      </c>
      <c r="B2544" s="5" t="s">
        <v>1616</v>
      </c>
      <c r="C2544" s="5" t="s">
        <v>1252</v>
      </c>
      <c r="D2544" s="43">
        <v>1500</v>
      </c>
      <c r="E2544" s="43"/>
      <c r="F2544" s="43" t="e">
        <f t="shared" si="39"/>
        <v>#N/A</v>
      </c>
      <c r="G2544" s="43"/>
    </row>
    <row r="2545" spans="1:7" x14ac:dyDescent="0.3">
      <c r="A2545" s="45">
        <v>42906</v>
      </c>
      <c r="B2545" s="125" t="s">
        <v>181</v>
      </c>
      <c r="C2545" s="125" t="s">
        <v>31</v>
      </c>
      <c r="D2545" s="127">
        <v>1000</v>
      </c>
      <c r="E2545" s="43"/>
      <c r="F2545" s="43" t="e">
        <f t="shared" si="39"/>
        <v>#N/A</v>
      </c>
      <c r="G2545" s="43"/>
    </row>
    <row r="2546" spans="1:7" x14ac:dyDescent="0.3">
      <c r="A2546" s="45">
        <v>42906</v>
      </c>
      <c r="B2546" s="5" t="s">
        <v>1953</v>
      </c>
      <c r="C2546" s="5" t="s">
        <v>1952</v>
      </c>
      <c r="D2546" s="43">
        <v>376500</v>
      </c>
      <c r="E2546" s="43"/>
      <c r="F2546" s="43" t="e">
        <f t="shared" si="39"/>
        <v>#N/A</v>
      </c>
      <c r="G2546" s="43"/>
    </row>
    <row r="2547" spans="1:7" x14ac:dyDescent="0.3">
      <c r="A2547" s="45">
        <v>42907</v>
      </c>
      <c r="B2547" s="5" t="s">
        <v>127</v>
      </c>
      <c r="C2547" s="5" t="s">
        <v>1954</v>
      </c>
      <c r="D2547" s="43">
        <v>4060</v>
      </c>
      <c r="E2547" s="43"/>
      <c r="F2547" s="43" t="e">
        <f t="shared" si="39"/>
        <v>#N/A</v>
      </c>
      <c r="G2547" s="43"/>
    </row>
    <row r="2548" spans="1:7" x14ac:dyDescent="0.3">
      <c r="A2548" s="45">
        <v>42907</v>
      </c>
      <c r="B2548" s="5" t="s">
        <v>84</v>
      </c>
      <c r="C2548" s="5" t="s">
        <v>1955</v>
      </c>
      <c r="D2548" s="43">
        <v>2000</v>
      </c>
      <c r="E2548" s="43"/>
      <c r="F2548" s="43" t="e">
        <f t="shared" si="39"/>
        <v>#N/A</v>
      </c>
      <c r="G2548" s="43"/>
    </row>
    <row r="2549" spans="1:7" x14ac:dyDescent="0.3">
      <c r="A2549" s="45">
        <v>42907</v>
      </c>
      <c r="B2549" s="5" t="s">
        <v>84</v>
      </c>
      <c r="C2549" s="5" t="s">
        <v>1956</v>
      </c>
      <c r="D2549" s="43">
        <v>15000</v>
      </c>
      <c r="E2549" s="43"/>
      <c r="F2549" s="43" t="e">
        <f t="shared" si="39"/>
        <v>#N/A</v>
      </c>
      <c r="G2549" s="43"/>
    </row>
    <row r="2550" spans="1:7" x14ac:dyDescent="0.3">
      <c r="A2550" s="45">
        <v>42907</v>
      </c>
      <c r="B2550" s="5" t="s">
        <v>84</v>
      </c>
      <c r="C2550" s="5" t="s">
        <v>1957</v>
      </c>
      <c r="D2550" s="43">
        <v>10000</v>
      </c>
      <c r="E2550" s="43"/>
      <c r="F2550" s="43" t="e">
        <f t="shared" si="39"/>
        <v>#N/A</v>
      </c>
      <c r="G2550" s="43"/>
    </row>
    <row r="2551" spans="1:7" x14ac:dyDescent="0.3">
      <c r="A2551" s="45">
        <v>42907</v>
      </c>
      <c r="B2551" s="5" t="s">
        <v>27</v>
      </c>
      <c r="C2551" s="5" t="s">
        <v>31</v>
      </c>
      <c r="D2551" s="43">
        <v>2000</v>
      </c>
      <c r="E2551" s="43"/>
      <c r="F2551" s="43" t="e">
        <f t="shared" si="39"/>
        <v>#N/A</v>
      </c>
      <c r="G2551" s="43"/>
    </row>
    <row r="2552" spans="1:7" x14ac:dyDescent="0.3">
      <c r="A2552" s="45">
        <v>42907</v>
      </c>
      <c r="B2552" s="5" t="s">
        <v>25</v>
      </c>
      <c r="C2552" s="5" t="s">
        <v>1958</v>
      </c>
      <c r="D2552" s="43">
        <v>27</v>
      </c>
      <c r="E2552" s="43"/>
      <c r="F2552" s="43" t="e">
        <f t="shared" si="39"/>
        <v>#N/A</v>
      </c>
      <c r="G2552" s="43"/>
    </row>
    <row r="2553" spans="1:7" x14ac:dyDescent="0.3">
      <c r="A2553" s="45">
        <v>42907</v>
      </c>
      <c r="B2553" s="5" t="s">
        <v>1331</v>
      </c>
      <c r="C2553" s="5" t="s">
        <v>31</v>
      </c>
      <c r="D2553" s="43">
        <v>10000</v>
      </c>
      <c r="E2553" s="43"/>
      <c r="F2553" s="43" t="e">
        <f t="shared" si="39"/>
        <v>#N/A</v>
      </c>
      <c r="G2553" s="43"/>
    </row>
    <row r="2554" spans="1:7" x14ac:dyDescent="0.3">
      <c r="A2554" s="45">
        <v>42907</v>
      </c>
      <c r="B2554" s="5" t="s">
        <v>120</v>
      </c>
      <c r="C2554" s="5" t="s">
        <v>1960</v>
      </c>
      <c r="D2554" s="43">
        <v>8100</v>
      </c>
      <c r="E2554" s="43"/>
      <c r="F2554" s="43" t="e">
        <f t="shared" si="39"/>
        <v>#N/A</v>
      </c>
      <c r="G2554" s="43"/>
    </row>
    <row r="2555" spans="1:7" x14ac:dyDescent="0.3">
      <c r="A2555" s="45">
        <v>42908</v>
      </c>
      <c r="B2555" s="5" t="s">
        <v>25</v>
      </c>
      <c r="C2555" s="5" t="s">
        <v>1959</v>
      </c>
      <c r="D2555" s="43">
        <v>30</v>
      </c>
      <c r="E2555" s="43"/>
      <c r="F2555" s="43" t="e">
        <f t="shared" si="39"/>
        <v>#N/A</v>
      </c>
      <c r="G2555" s="43"/>
    </row>
    <row r="2556" spans="1:7" x14ac:dyDescent="0.3">
      <c r="A2556" s="45">
        <v>42908</v>
      </c>
      <c r="B2556" s="5" t="s">
        <v>58</v>
      </c>
      <c r="C2556" s="5" t="s">
        <v>31</v>
      </c>
      <c r="D2556" s="43">
        <v>1000</v>
      </c>
      <c r="E2556" s="43"/>
      <c r="F2556" s="43" t="e">
        <f t="shared" si="39"/>
        <v>#N/A</v>
      </c>
      <c r="G2556" s="43"/>
    </row>
    <row r="2557" spans="1:7" x14ac:dyDescent="0.3">
      <c r="A2557" s="45">
        <v>42908</v>
      </c>
      <c r="B2557" s="61" t="s">
        <v>120</v>
      </c>
      <c r="C2557" s="61" t="s">
        <v>31</v>
      </c>
      <c r="D2557" s="62">
        <v>10000</v>
      </c>
      <c r="E2557" s="43"/>
      <c r="F2557" s="43" t="e">
        <f t="shared" si="39"/>
        <v>#N/A</v>
      </c>
      <c r="G2557" s="43"/>
    </row>
    <row r="2558" spans="1:7" ht="37.5" x14ac:dyDescent="0.3">
      <c r="A2558" s="45">
        <v>42908</v>
      </c>
      <c r="B2558" s="5" t="s">
        <v>1193</v>
      </c>
      <c r="C2558" s="92" t="s">
        <v>1962</v>
      </c>
      <c r="D2558" s="43">
        <v>800</v>
      </c>
      <c r="E2558" s="43"/>
      <c r="F2558" s="43" t="e">
        <f t="shared" si="39"/>
        <v>#N/A</v>
      </c>
      <c r="G2558" s="43"/>
    </row>
    <row r="2559" spans="1:7" x14ac:dyDescent="0.3">
      <c r="A2559" s="45">
        <v>42908</v>
      </c>
      <c r="B2559" s="5" t="s">
        <v>127</v>
      </c>
      <c r="C2559" s="5" t="s">
        <v>1963</v>
      </c>
      <c r="D2559" s="43">
        <v>2930</v>
      </c>
      <c r="E2559" s="43"/>
      <c r="F2559" s="43" t="e">
        <f t="shared" si="39"/>
        <v>#N/A</v>
      </c>
      <c r="G2559" s="43"/>
    </row>
    <row r="2560" spans="1:7" x14ac:dyDescent="0.3">
      <c r="A2560" s="45">
        <v>42908</v>
      </c>
      <c r="B2560" s="761" t="s">
        <v>1966</v>
      </c>
      <c r="C2560" s="762"/>
      <c r="D2560" s="71"/>
      <c r="E2560" s="72">
        <v>50000</v>
      </c>
      <c r="F2560" s="43" t="e">
        <f t="shared" si="39"/>
        <v>#N/A</v>
      </c>
      <c r="G2560" s="43"/>
    </row>
    <row r="2561" spans="1:7" x14ac:dyDescent="0.3">
      <c r="A2561" s="45">
        <v>42908</v>
      </c>
      <c r="B2561" s="5" t="s">
        <v>84</v>
      </c>
      <c r="C2561" s="5" t="s">
        <v>1964</v>
      </c>
      <c r="D2561" s="43">
        <v>5000</v>
      </c>
      <c r="E2561" s="43"/>
      <c r="F2561" s="43" t="e">
        <f t="shared" si="39"/>
        <v>#N/A</v>
      </c>
      <c r="G2561" s="43"/>
    </row>
    <row r="2562" spans="1:7" x14ac:dyDescent="0.3">
      <c r="A2562" s="45">
        <v>42908</v>
      </c>
      <c r="B2562" s="5" t="s">
        <v>84</v>
      </c>
      <c r="C2562" s="5" t="s">
        <v>1965</v>
      </c>
      <c r="D2562" s="43">
        <v>10000</v>
      </c>
      <c r="E2562" s="43"/>
      <c r="F2562" s="43" t="e">
        <f t="shared" si="39"/>
        <v>#N/A</v>
      </c>
      <c r="G2562" s="43"/>
    </row>
    <row r="2563" spans="1:7" x14ac:dyDescent="0.3">
      <c r="A2563" s="45">
        <v>42908</v>
      </c>
      <c r="B2563" s="5" t="s">
        <v>84</v>
      </c>
      <c r="C2563" s="5" t="s">
        <v>1968</v>
      </c>
      <c r="D2563" s="43">
        <v>5000</v>
      </c>
      <c r="E2563" s="43"/>
      <c r="F2563" s="43" t="e">
        <f t="shared" ref="F2563:F2610" si="40">F2562-D2563+E2563</f>
        <v>#N/A</v>
      </c>
      <c r="G2563" s="43"/>
    </row>
    <row r="2564" spans="1:7" x14ac:dyDescent="0.3">
      <c r="A2564" s="45">
        <v>42908</v>
      </c>
      <c r="B2564" s="5" t="s">
        <v>1967</v>
      </c>
      <c r="C2564" s="5" t="s">
        <v>1969</v>
      </c>
      <c r="D2564" s="43">
        <v>5000</v>
      </c>
      <c r="E2564" s="43"/>
      <c r="F2564" s="43" t="e">
        <f t="shared" si="40"/>
        <v>#N/A</v>
      </c>
      <c r="G2564" s="43"/>
    </row>
    <row r="2565" spans="1:7" x14ac:dyDescent="0.3">
      <c r="A2565" s="45">
        <v>42908</v>
      </c>
      <c r="B2565" s="5" t="s">
        <v>1970</v>
      </c>
      <c r="C2565" s="5" t="s">
        <v>31</v>
      </c>
      <c r="D2565" s="43">
        <v>3500</v>
      </c>
      <c r="E2565" s="43"/>
      <c r="F2565" s="43" t="e">
        <f t="shared" si="40"/>
        <v>#N/A</v>
      </c>
      <c r="G2565" s="43"/>
    </row>
    <row r="2566" spans="1:7" x14ac:dyDescent="0.3">
      <c r="A2566" s="45">
        <v>42908</v>
      </c>
      <c r="B2566" s="5" t="s">
        <v>84</v>
      </c>
      <c r="C2566" s="5" t="s">
        <v>1971</v>
      </c>
      <c r="D2566" s="43">
        <v>20000</v>
      </c>
      <c r="E2566" s="43"/>
      <c r="F2566" s="43" t="e">
        <f t="shared" si="40"/>
        <v>#N/A</v>
      </c>
      <c r="G2566" s="43"/>
    </row>
    <row r="2567" spans="1:7" x14ac:dyDescent="0.3">
      <c r="A2567" s="45">
        <v>42908</v>
      </c>
      <c r="B2567" s="5" t="s">
        <v>1972</v>
      </c>
      <c r="C2567" s="5" t="s">
        <v>294</v>
      </c>
      <c r="D2567" s="43">
        <v>12400</v>
      </c>
      <c r="E2567" s="43"/>
      <c r="F2567" s="43" t="e">
        <f t="shared" si="40"/>
        <v>#N/A</v>
      </c>
      <c r="G2567" s="43"/>
    </row>
    <row r="2568" spans="1:7" x14ac:dyDescent="0.3">
      <c r="A2568" s="45">
        <v>42908</v>
      </c>
      <c r="B2568" s="5" t="s">
        <v>84</v>
      </c>
      <c r="C2568" s="5" t="s">
        <v>1973</v>
      </c>
      <c r="D2568" s="43">
        <v>5000</v>
      </c>
      <c r="E2568" s="43"/>
      <c r="F2568" s="43" t="e">
        <f t="shared" si="40"/>
        <v>#N/A</v>
      </c>
      <c r="G2568" s="43"/>
    </row>
    <row r="2569" spans="1:7" x14ac:dyDescent="0.3">
      <c r="A2569" s="45">
        <v>42908</v>
      </c>
      <c r="B2569" s="5" t="s">
        <v>54</v>
      </c>
      <c r="C2569" s="5" t="s">
        <v>1978</v>
      </c>
      <c r="D2569" s="43">
        <v>15000</v>
      </c>
      <c r="E2569" s="43"/>
      <c r="F2569" s="43" t="e">
        <f t="shared" si="40"/>
        <v>#N/A</v>
      </c>
      <c r="G2569" s="43"/>
    </row>
    <row r="2570" spans="1:7" ht="27" customHeight="1" x14ac:dyDescent="0.3">
      <c r="A2570" s="45">
        <v>42908</v>
      </c>
      <c r="B2570" s="766" t="s">
        <v>1979</v>
      </c>
      <c r="C2570" s="767"/>
      <c r="D2570" s="71"/>
      <c r="E2570" s="72">
        <v>14968</v>
      </c>
      <c r="F2570" s="43" t="e">
        <f t="shared" si="40"/>
        <v>#N/A</v>
      </c>
      <c r="G2570" s="43"/>
    </row>
    <row r="2571" spans="1:7" ht="24.75" customHeight="1" x14ac:dyDescent="0.3">
      <c r="A2571" s="45">
        <v>42908</v>
      </c>
      <c r="B2571" s="761" t="s">
        <v>1981</v>
      </c>
      <c r="C2571" s="762"/>
      <c r="D2571" s="71"/>
      <c r="E2571" s="72">
        <v>120000</v>
      </c>
      <c r="F2571" s="43" t="e">
        <f t="shared" si="40"/>
        <v>#N/A</v>
      </c>
      <c r="G2571" s="43"/>
    </row>
    <row r="2572" spans="1:7" x14ac:dyDescent="0.3">
      <c r="A2572" s="45">
        <v>42909</v>
      </c>
      <c r="B2572" s="5" t="s">
        <v>116</v>
      </c>
      <c r="C2572" s="5" t="s">
        <v>1980</v>
      </c>
      <c r="D2572" s="43">
        <v>3000</v>
      </c>
      <c r="E2572" s="43"/>
      <c r="F2572" s="43" t="e">
        <f t="shared" si="40"/>
        <v>#N/A</v>
      </c>
      <c r="G2572" s="43"/>
    </row>
    <row r="2573" spans="1:7" x14ac:dyDescent="0.3">
      <c r="A2573" s="45">
        <v>42909</v>
      </c>
      <c r="B2573" s="5" t="s">
        <v>84</v>
      </c>
      <c r="C2573" s="5" t="s">
        <v>1990</v>
      </c>
      <c r="D2573" s="43">
        <v>10000</v>
      </c>
      <c r="E2573" s="43"/>
      <c r="F2573" s="43" t="e">
        <f t="shared" si="40"/>
        <v>#N/A</v>
      </c>
      <c r="G2573" s="43"/>
    </row>
    <row r="2574" spans="1:7" x14ac:dyDescent="0.3">
      <c r="A2574" s="45">
        <v>42909</v>
      </c>
      <c r="B2574" s="5" t="s">
        <v>84</v>
      </c>
      <c r="C2574" s="5" t="s">
        <v>1991</v>
      </c>
      <c r="D2574" s="43">
        <v>10000</v>
      </c>
      <c r="E2574" s="43"/>
      <c r="F2574" s="43" t="e">
        <f t="shared" si="40"/>
        <v>#N/A</v>
      </c>
      <c r="G2574" s="43"/>
    </row>
    <row r="2575" spans="1:7" x14ac:dyDescent="0.3">
      <c r="A2575" s="45">
        <v>42909</v>
      </c>
      <c r="B2575" s="5" t="s">
        <v>1982</v>
      </c>
      <c r="C2575" s="5" t="s">
        <v>1983</v>
      </c>
      <c r="D2575" s="43">
        <v>7000</v>
      </c>
      <c r="E2575" s="43"/>
      <c r="F2575" s="43" t="e">
        <f t="shared" si="40"/>
        <v>#N/A</v>
      </c>
      <c r="G2575" s="43"/>
    </row>
    <row r="2576" spans="1:7" x14ac:dyDescent="0.3">
      <c r="A2576" s="45">
        <v>42909</v>
      </c>
      <c r="B2576" s="5" t="s">
        <v>1992</v>
      </c>
      <c r="C2576" s="5" t="s">
        <v>1993</v>
      </c>
      <c r="D2576" s="43">
        <v>22000</v>
      </c>
      <c r="E2576" s="43"/>
      <c r="F2576" s="43" t="e">
        <f t="shared" si="40"/>
        <v>#N/A</v>
      </c>
      <c r="G2576" s="43"/>
    </row>
    <row r="2577" spans="1:7" x14ac:dyDescent="0.3">
      <c r="A2577" s="45">
        <v>42909</v>
      </c>
      <c r="B2577" s="5" t="s">
        <v>120</v>
      </c>
      <c r="C2577" s="5" t="s">
        <v>1995</v>
      </c>
      <c r="D2577" s="43">
        <v>50000</v>
      </c>
      <c r="E2577" s="43"/>
      <c r="F2577" s="43" t="e">
        <f t="shared" si="40"/>
        <v>#N/A</v>
      </c>
      <c r="G2577" s="43"/>
    </row>
    <row r="2578" spans="1:7" x14ac:dyDescent="0.3">
      <c r="A2578" s="45">
        <v>42909</v>
      </c>
      <c r="B2578" s="5" t="s">
        <v>247</v>
      </c>
      <c r="C2578" s="5" t="s">
        <v>1984</v>
      </c>
      <c r="D2578" s="43">
        <v>150</v>
      </c>
      <c r="E2578" s="43"/>
      <c r="F2578" s="43" t="e">
        <f t="shared" si="40"/>
        <v>#N/A</v>
      </c>
      <c r="G2578" s="43"/>
    </row>
    <row r="2579" spans="1:7" x14ac:dyDescent="0.3">
      <c r="A2579" s="45">
        <v>42909</v>
      </c>
      <c r="B2579" s="5" t="s">
        <v>1512</v>
      </c>
      <c r="C2579" s="5" t="s">
        <v>1985</v>
      </c>
      <c r="D2579" s="43">
        <v>15000</v>
      </c>
      <c r="E2579" s="43"/>
      <c r="F2579" s="43" t="e">
        <f t="shared" si="40"/>
        <v>#N/A</v>
      </c>
      <c r="G2579" s="43"/>
    </row>
    <row r="2580" spans="1:7" ht="37.5" x14ac:dyDescent="0.3">
      <c r="A2580" s="45">
        <v>42909</v>
      </c>
      <c r="B2580" s="5" t="s">
        <v>0</v>
      </c>
      <c r="C2580" s="92" t="s">
        <v>1986</v>
      </c>
      <c r="D2580" s="43">
        <v>418</v>
      </c>
      <c r="E2580" s="43"/>
      <c r="F2580" s="43" t="e">
        <f t="shared" si="40"/>
        <v>#N/A</v>
      </c>
      <c r="G2580" s="43"/>
    </row>
    <row r="2581" spans="1:7" x14ac:dyDescent="0.3">
      <c r="A2581" s="45">
        <v>42909</v>
      </c>
      <c r="B2581" s="5" t="s">
        <v>0</v>
      </c>
      <c r="C2581" s="5" t="s">
        <v>31</v>
      </c>
      <c r="D2581" s="43">
        <v>3000</v>
      </c>
      <c r="E2581" s="43"/>
      <c r="F2581" s="43" t="e">
        <f t="shared" si="40"/>
        <v>#N/A</v>
      </c>
      <c r="G2581" s="43"/>
    </row>
    <row r="2582" spans="1:7" x14ac:dyDescent="0.3">
      <c r="A2582" s="45">
        <v>42909</v>
      </c>
      <c r="B2582" s="5" t="s">
        <v>84</v>
      </c>
      <c r="C2582" s="5" t="s">
        <v>1987</v>
      </c>
      <c r="D2582" s="43">
        <v>10000</v>
      </c>
      <c r="E2582" s="43"/>
      <c r="F2582" s="43" t="e">
        <f t="shared" si="40"/>
        <v>#N/A</v>
      </c>
      <c r="G2582" s="43"/>
    </row>
    <row r="2583" spans="1:7" x14ac:dyDescent="0.3">
      <c r="A2583" s="45">
        <v>42910</v>
      </c>
      <c r="B2583" s="761" t="s">
        <v>1998</v>
      </c>
      <c r="C2583" s="762"/>
      <c r="D2583" s="71"/>
      <c r="E2583" s="72">
        <v>200000</v>
      </c>
      <c r="F2583" s="43" t="e">
        <f t="shared" si="40"/>
        <v>#N/A</v>
      </c>
      <c r="G2583" s="43"/>
    </row>
    <row r="2584" spans="1:7" x14ac:dyDescent="0.3">
      <c r="A2584" s="45">
        <v>42910</v>
      </c>
      <c r="B2584" s="5" t="s">
        <v>1074</v>
      </c>
      <c r="C2584" s="5" t="s">
        <v>1994</v>
      </c>
      <c r="D2584" s="43">
        <v>46398</v>
      </c>
      <c r="E2584" s="43"/>
      <c r="F2584" s="43" t="e">
        <f t="shared" si="40"/>
        <v>#N/A</v>
      </c>
      <c r="G2584" s="43"/>
    </row>
    <row r="2585" spans="1:7" x14ac:dyDescent="0.3">
      <c r="A2585" s="45">
        <v>42910</v>
      </c>
      <c r="B2585" s="5" t="s">
        <v>84</v>
      </c>
      <c r="C2585" s="5" t="s">
        <v>1996</v>
      </c>
      <c r="D2585" s="43">
        <v>2000</v>
      </c>
      <c r="E2585" s="43"/>
      <c r="F2585" s="43" t="e">
        <f t="shared" si="40"/>
        <v>#N/A</v>
      </c>
      <c r="G2585" s="43"/>
    </row>
    <row r="2586" spans="1:7" x14ac:dyDescent="0.3">
      <c r="A2586" s="45">
        <v>42910</v>
      </c>
      <c r="B2586" s="5" t="s">
        <v>116</v>
      </c>
      <c r="C2586" s="5" t="s">
        <v>1997</v>
      </c>
      <c r="D2586" s="43">
        <v>9000</v>
      </c>
      <c r="E2586" s="43"/>
      <c r="F2586" s="43" t="e">
        <f t="shared" si="40"/>
        <v>#N/A</v>
      </c>
      <c r="G2586" s="43"/>
    </row>
    <row r="2587" spans="1:7" x14ac:dyDescent="0.3">
      <c r="A2587" s="45">
        <v>42910</v>
      </c>
      <c r="B2587" s="5" t="s">
        <v>120</v>
      </c>
      <c r="C2587" s="5" t="s">
        <v>31</v>
      </c>
      <c r="D2587" s="43">
        <v>3000</v>
      </c>
      <c r="E2587" s="43"/>
      <c r="F2587" s="43" t="e">
        <f t="shared" si="40"/>
        <v>#N/A</v>
      </c>
      <c r="G2587" s="43"/>
    </row>
    <row r="2588" spans="1:7" x14ac:dyDescent="0.3">
      <c r="A2588" s="45">
        <v>42910</v>
      </c>
      <c r="B2588" s="5" t="s">
        <v>84</v>
      </c>
      <c r="C2588" s="5" t="s">
        <v>1999</v>
      </c>
      <c r="D2588" s="43">
        <v>3000</v>
      </c>
      <c r="E2588" s="43"/>
      <c r="F2588" s="43" t="e">
        <f t="shared" si="40"/>
        <v>#N/A</v>
      </c>
      <c r="G2588" s="43"/>
    </row>
    <row r="2589" spans="1:7" x14ac:dyDescent="0.3">
      <c r="A2589" s="45">
        <v>42910</v>
      </c>
      <c r="B2589" s="5" t="s">
        <v>84</v>
      </c>
      <c r="C2589" s="5" t="s">
        <v>2000</v>
      </c>
      <c r="D2589" s="43">
        <v>1000</v>
      </c>
      <c r="E2589" s="43"/>
      <c r="F2589" s="43" t="e">
        <f t="shared" si="40"/>
        <v>#N/A</v>
      </c>
      <c r="G2589" s="43"/>
    </row>
    <row r="2590" spans="1:7" x14ac:dyDescent="0.3">
      <c r="A2590" s="45">
        <v>42910</v>
      </c>
      <c r="B2590" s="5" t="s">
        <v>25</v>
      </c>
      <c r="C2590" s="5" t="s">
        <v>2001</v>
      </c>
      <c r="D2590" s="43">
        <v>2000</v>
      </c>
      <c r="E2590" s="43"/>
      <c r="F2590" s="43" t="e">
        <f t="shared" si="40"/>
        <v>#N/A</v>
      </c>
      <c r="G2590" s="43"/>
    </row>
    <row r="2591" spans="1:7" x14ac:dyDescent="0.3">
      <c r="A2591" s="45">
        <v>42910</v>
      </c>
      <c r="B2591" s="5" t="s">
        <v>1331</v>
      </c>
      <c r="C2591" s="5" t="s">
        <v>31</v>
      </c>
      <c r="D2591" s="43">
        <v>20000</v>
      </c>
      <c r="E2591" s="43"/>
      <c r="F2591" s="43" t="e">
        <f t="shared" si="40"/>
        <v>#N/A</v>
      </c>
      <c r="G2591" s="43"/>
    </row>
    <row r="2592" spans="1:7" x14ac:dyDescent="0.3">
      <c r="A2592" s="45">
        <v>42910</v>
      </c>
      <c r="B2592" s="5" t="s">
        <v>181</v>
      </c>
      <c r="C2592" s="5" t="s">
        <v>31</v>
      </c>
      <c r="D2592" s="43">
        <v>70000</v>
      </c>
      <c r="E2592" s="43"/>
      <c r="F2592" s="43" t="e">
        <f t="shared" si="40"/>
        <v>#N/A</v>
      </c>
      <c r="G2592" s="43"/>
    </row>
    <row r="2593" spans="1:7" x14ac:dyDescent="0.3">
      <c r="A2593" s="45">
        <v>42910</v>
      </c>
      <c r="B2593" s="761" t="s">
        <v>1981</v>
      </c>
      <c r="C2593" s="762"/>
      <c r="D2593" s="71"/>
      <c r="E2593" s="72">
        <v>75000</v>
      </c>
      <c r="F2593" s="43" t="e">
        <f t="shared" si="40"/>
        <v>#N/A</v>
      </c>
      <c r="G2593" s="43"/>
    </row>
    <row r="2594" spans="1:7" x14ac:dyDescent="0.3">
      <c r="A2594" s="45">
        <v>42910</v>
      </c>
      <c r="B2594" s="5" t="s">
        <v>2002</v>
      </c>
      <c r="C2594" s="5" t="s">
        <v>31</v>
      </c>
      <c r="D2594" s="43">
        <v>100000</v>
      </c>
      <c r="E2594" s="43"/>
      <c r="F2594" s="43" t="e">
        <f t="shared" si="40"/>
        <v>#N/A</v>
      </c>
      <c r="G2594" s="43"/>
    </row>
    <row r="2595" spans="1:7" x14ac:dyDescent="0.3">
      <c r="A2595" s="45">
        <v>42910</v>
      </c>
      <c r="B2595" s="5" t="s">
        <v>25</v>
      </c>
      <c r="C2595" s="5" t="s">
        <v>2005</v>
      </c>
      <c r="D2595" s="43">
        <v>950</v>
      </c>
      <c r="E2595" s="43"/>
      <c r="F2595" s="43" t="e">
        <f t="shared" si="40"/>
        <v>#N/A</v>
      </c>
      <c r="G2595" s="43"/>
    </row>
    <row r="2596" spans="1:7" x14ac:dyDescent="0.3">
      <c r="A2596" s="45">
        <v>42910</v>
      </c>
      <c r="B2596" s="5" t="s">
        <v>84</v>
      </c>
      <c r="C2596" s="5" t="s">
        <v>2003</v>
      </c>
      <c r="D2596" s="43">
        <v>1500</v>
      </c>
      <c r="E2596" s="43"/>
      <c r="F2596" s="43" t="e">
        <f t="shared" si="40"/>
        <v>#N/A</v>
      </c>
      <c r="G2596" s="43"/>
    </row>
    <row r="2597" spans="1:7" x14ac:dyDescent="0.3">
      <c r="A2597" s="45">
        <v>42915</v>
      </c>
      <c r="B2597" s="5" t="s">
        <v>25</v>
      </c>
      <c r="C2597" s="92" t="s">
        <v>2006</v>
      </c>
      <c r="D2597" s="43">
        <v>50</v>
      </c>
      <c r="E2597" s="43"/>
      <c r="F2597" s="43" t="e">
        <f t="shared" si="40"/>
        <v>#N/A</v>
      </c>
      <c r="G2597" s="43"/>
    </row>
    <row r="2598" spans="1:7" x14ac:dyDescent="0.3">
      <c r="A2598" s="45">
        <v>42915</v>
      </c>
      <c r="B2598" s="5" t="s">
        <v>25</v>
      </c>
      <c r="C2598" s="92" t="s">
        <v>2007</v>
      </c>
      <c r="D2598" s="65">
        <v>600</v>
      </c>
      <c r="E2598" s="43"/>
      <c r="F2598" s="43" t="e">
        <f t="shared" si="40"/>
        <v>#N/A</v>
      </c>
      <c r="G2598" s="43"/>
    </row>
    <row r="2599" spans="1:7" x14ac:dyDescent="0.3">
      <c r="A2599" s="45">
        <v>42915</v>
      </c>
      <c r="B2599" s="5" t="s">
        <v>25</v>
      </c>
      <c r="C2599" s="5" t="s">
        <v>2004</v>
      </c>
      <c r="D2599" s="43">
        <v>80</v>
      </c>
      <c r="E2599" s="43"/>
      <c r="F2599" s="43" t="e">
        <f t="shared" si="40"/>
        <v>#N/A</v>
      </c>
      <c r="G2599" s="43"/>
    </row>
    <row r="2600" spans="1:7" x14ac:dyDescent="0.3">
      <c r="A2600" s="45">
        <v>42915</v>
      </c>
      <c r="B2600" s="5" t="s">
        <v>16</v>
      </c>
      <c r="C2600" s="5" t="s">
        <v>31</v>
      </c>
      <c r="D2600" s="43">
        <v>1000</v>
      </c>
      <c r="E2600" s="43"/>
      <c r="F2600" s="43" t="e">
        <f t="shared" si="40"/>
        <v>#N/A</v>
      </c>
      <c r="G2600" s="43"/>
    </row>
    <row r="2601" spans="1:7" x14ac:dyDescent="0.3">
      <c r="A2601" s="45">
        <v>42916</v>
      </c>
      <c r="B2601" s="5" t="s">
        <v>25</v>
      </c>
      <c r="C2601" s="5" t="s">
        <v>2008</v>
      </c>
      <c r="D2601" s="43">
        <v>65</v>
      </c>
      <c r="E2601" s="43"/>
      <c r="F2601" s="43" t="e">
        <f t="shared" si="40"/>
        <v>#N/A</v>
      </c>
      <c r="G2601" s="43"/>
    </row>
    <row r="2602" spans="1:7" x14ac:dyDescent="0.3">
      <c r="A2602" s="45">
        <v>42916</v>
      </c>
      <c r="B2602" s="5" t="s">
        <v>104</v>
      </c>
      <c r="C2602" s="5" t="s">
        <v>31</v>
      </c>
      <c r="D2602" s="43">
        <v>1000</v>
      </c>
      <c r="E2602" s="43"/>
      <c r="F2602" s="43" t="e">
        <f t="shared" si="40"/>
        <v>#N/A</v>
      </c>
      <c r="G2602" s="43"/>
    </row>
    <row r="2603" spans="1:7" x14ac:dyDescent="0.3">
      <c r="A2603" s="45">
        <v>42916</v>
      </c>
      <c r="B2603" s="5" t="s">
        <v>27</v>
      </c>
      <c r="C2603" s="5" t="s">
        <v>31</v>
      </c>
      <c r="D2603" s="43">
        <v>700</v>
      </c>
      <c r="E2603" s="43"/>
      <c r="F2603" s="43" t="e">
        <f t="shared" si="40"/>
        <v>#N/A</v>
      </c>
      <c r="G2603" s="43"/>
    </row>
    <row r="2604" spans="1:7" x14ac:dyDescent="0.3">
      <c r="A2604" s="45">
        <v>42917</v>
      </c>
      <c r="B2604" s="5" t="s">
        <v>25</v>
      </c>
      <c r="C2604" s="5" t="s">
        <v>2009</v>
      </c>
      <c r="D2604" s="43">
        <v>40</v>
      </c>
      <c r="E2604" s="43"/>
      <c r="F2604" s="43" t="e">
        <f t="shared" si="40"/>
        <v>#N/A</v>
      </c>
      <c r="G2604" s="43"/>
    </row>
    <row r="2605" spans="1:7" x14ac:dyDescent="0.3">
      <c r="A2605" s="45">
        <v>42917</v>
      </c>
      <c r="B2605" s="5" t="s">
        <v>116</v>
      </c>
      <c r="C2605" s="5" t="s">
        <v>2010</v>
      </c>
      <c r="D2605" s="43">
        <v>100</v>
      </c>
      <c r="E2605" s="43"/>
      <c r="F2605" s="43" t="e">
        <f t="shared" si="40"/>
        <v>#N/A</v>
      </c>
      <c r="G2605" s="43"/>
    </row>
    <row r="2606" spans="1:7" x14ac:dyDescent="0.3">
      <c r="A2606" s="45">
        <v>42919</v>
      </c>
      <c r="B2606" s="5" t="s">
        <v>855</v>
      </c>
      <c r="C2606" s="5" t="s">
        <v>2011</v>
      </c>
      <c r="D2606" s="43">
        <v>500</v>
      </c>
      <c r="E2606" s="43"/>
      <c r="F2606" s="43" t="e">
        <f t="shared" si="40"/>
        <v>#N/A</v>
      </c>
      <c r="G2606" s="43"/>
    </row>
    <row r="2607" spans="1:7" x14ac:dyDescent="0.3">
      <c r="A2607" s="45">
        <v>42919</v>
      </c>
      <c r="B2607" s="5" t="s">
        <v>2012</v>
      </c>
      <c r="C2607" s="5" t="s">
        <v>2013</v>
      </c>
      <c r="D2607" s="43">
        <v>50</v>
      </c>
      <c r="E2607" s="43"/>
      <c r="F2607" s="43" t="e">
        <f t="shared" si="40"/>
        <v>#N/A</v>
      </c>
      <c r="G2607" s="43"/>
    </row>
    <row r="2608" spans="1:7" x14ac:dyDescent="0.3">
      <c r="A2608" s="45">
        <v>42919</v>
      </c>
      <c r="B2608" s="5" t="s">
        <v>27</v>
      </c>
      <c r="C2608" s="5" t="s">
        <v>31</v>
      </c>
      <c r="D2608" s="43">
        <v>300</v>
      </c>
      <c r="E2608" s="43"/>
      <c r="F2608" s="43" t="e">
        <f t="shared" si="40"/>
        <v>#N/A</v>
      </c>
      <c r="G2608" s="43"/>
    </row>
    <row r="2609" spans="1:9" x14ac:dyDescent="0.3">
      <c r="A2609" s="45">
        <v>42919</v>
      </c>
      <c r="B2609" s="5" t="s">
        <v>25</v>
      </c>
      <c r="C2609" s="5" t="s">
        <v>1515</v>
      </c>
      <c r="D2609" s="43">
        <v>200</v>
      </c>
      <c r="E2609" s="43"/>
      <c r="F2609" s="43" t="e">
        <f t="shared" si="40"/>
        <v>#N/A</v>
      </c>
      <c r="G2609" s="43"/>
    </row>
    <row r="2610" spans="1:9" ht="19.5" thickBot="1" x14ac:dyDescent="0.35">
      <c r="A2610" s="142">
        <v>42919</v>
      </c>
      <c r="B2610" s="143" t="s">
        <v>25</v>
      </c>
      <c r="C2610" s="143" t="s">
        <v>2014</v>
      </c>
      <c r="D2610" s="144">
        <v>74</v>
      </c>
      <c r="E2610" s="145"/>
      <c r="F2610" s="145" t="e">
        <f t="shared" si="40"/>
        <v>#N/A</v>
      </c>
      <c r="G2610" s="299"/>
      <c r="H2610" s="146"/>
      <c r="I2610" s="146"/>
    </row>
    <row r="2611" spans="1:9" ht="19.5" thickTop="1" x14ac:dyDescent="0.3">
      <c r="A2611" s="147">
        <v>42920</v>
      </c>
      <c r="B2611" s="764" t="s">
        <v>2015</v>
      </c>
      <c r="C2611" s="764"/>
      <c r="D2611" s="148"/>
      <c r="E2611" s="149">
        <v>200000</v>
      </c>
      <c r="F2611" s="77">
        <v>200000</v>
      </c>
      <c r="G2611" s="300"/>
    </row>
    <row r="2612" spans="1:9" x14ac:dyDescent="0.3">
      <c r="A2612" s="45">
        <v>42920</v>
      </c>
      <c r="B2612" s="756" t="s">
        <v>2016</v>
      </c>
      <c r="C2612" s="756"/>
      <c r="D2612" s="71"/>
      <c r="E2612" s="72">
        <v>100000</v>
      </c>
      <c r="F2612" s="43">
        <f t="shared" ref="F2612:F2675" si="41">E2612+F2611-D2612</f>
        <v>300000</v>
      </c>
      <c r="G2612" s="65"/>
    </row>
    <row r="2613" spans="1:9" x14ac:dyDescent="0.3">
      <c r="A2613" s="45">
        <v>42920</v>
      </c>
      <c r="B2613" s="5" t="s">
        <v>18</v>
      </c>
      <c r="C2613" s="5" t="s">
        <v>2017</v>
      </c>
      <c r="D2613" s="43">
        <v>2000</v>
      </c>
      <c r="E2613" s="43"/>
      <c r="F2613" s="43">
        <f t="shared" si="41"/>
        <v>298000</v>
      </c>
      <c r="G2613" s="65"/>
    </row>
    <row r="2614" spans="1:9" ht="37.5" x14ac:dyDescent="0.3">
      <c r="A2614" s="45">
        <v>42920</v>
      </c>
      <c r="B2614" s="5" t="s">
        <v>25</v>
      </c>
      <c r="C2614" s="92" t="s">
        <v>2043</v>
      </c>
      <c r="D2614" s="43">
        <v>418</v>
      </c>
      <c r="E2614" s="43"/>
      <c r="F2614" s="43">
        <f t="shared" si="41"/>
        <v>297582</v>
      </c>
      <c r="G2614" s="65"/>
    </row>
    <row r="2615" spans="1:9" ht="37.5" x14ac:dyDescent="0.3">
      <c r="A2615" s="45">
        <v>42919</v>
      </c>
      <c r="B2615" s="5" t="s">
        <v>25</v>
      </c>
      <c r="C2615" s="92" t="s">
        <v>2044</v>
      </c>
      <c r="D2615" s="43">
        <v>582</v>
      </c>
      <c r="E2615" s="43"/>
      <c r="F2615" s="43">
        <f t="shared" si="41"/>
        <v>297000</v>
      </c>
      <c r="G2615" s="65"/>
    </row>
    <row r="2616" spans="1:9" x14ac:dyDescent="0.3">
      <c r="A2616" s="45">
        <v>42920</v>
      </c>
      <c r="B2616" s="5" t="s">
        <v>445</v>
      </c>
      <c r="C2616" s="5" t="s">
        <v>77</v>
      </c>
      <c r="D2616" s="43">
        <v>4000</v>
      </c>
      <c r="E2616" s="43"/>
      <c r="F2616" s="43">
        <f t="shared" si="41"/>
        <v>293000</v>
      </c>
      <c r="G2616" s="65"/>
    </row>
    <row r="2617" spans="1:9" x14ac:dyDescent="0.3">
      <c r="A2617" s="45">
        <v>42920</v>
      </c>
      <c r="B2617" s="5" t="s">
        <v>70</v>
      </c>
      <c r="C2617" s="5" t="s">
        <v>2018</v>
      </c>
      <c r="D2617" s="43">
        <v>1100</v>
      </c>
      <c r="E2617" s="43"/>
      <c r="F2617" s="43">
        <f t="shared" si="41"/>
        <v>291900</v>
      </c>
      <c r="G2617" s="43"/>
    </row>
    <row r="2618" spans="1:9" x14ac:dyDescent="0.3">
      <c r="A2618" s="45">
        <v>42920</v>
      </c>
      <c r="B2618" s="5" t="s">
        <v>4</v>
      </c>
      <c r="C2618" s="5" t="s">
        <v>2019</v>
      </c>
      <c r="D2618" s="43">
        <v>5000</v>
      </c>
      <c r="E2618" s="43"/>
      <c r="F2618" s="43">
        <f t="shared" si="41"/>
        <v>286900</v>
      </c>
      <c r="G2618" s="43"/>
    </row>
    <row r="2619" spans="1:9" x14ac:dyDescent="0.3">
      <c r="A2619" s="45">
        <v>42920</v>
      </c>
      <c r="B2619" s="5" t="s">
        <v>120</v>
      </c>
      <c r="C2619" s="5" t="s">
        <v>31</v>
      </c>
      <c r="D2619" s="43">
        <v>5000</v>
      </c>
      <c r="E2619" s="43"/>
      <c r="F2619" s="43">
        <f t="shared" si="41"/>
        <v>281900</v>
      </c>
      <c r="G2619" s="43"/>
    </row>
    <row r="2620" spans="1:9" x14ac:dyDescent="0.3">
      <c r="A2620" s="45">
        <v>42920</v>
      </c>
      <c r="B2620" s="5" t="s">
        <v>16</v>
      </c>
      <c r="C2620" s="5" t="s">
        <v>31</v>
      </c>
      <c r="D2620" s="43">
        <v>16500</v>
      </c>
      <c r="E2620" s="43"/>
      <c r="F2620" s="43">
        <f t="shared" si="41"/>
        <v>265400</v>
      </c>
      <c r="G2620" s="43"/>
    </row>
    <row r="2621" spans="1:9" x14ac:dyDescent="0.3">
      <c r="A2621" s="45">
        <v>42920</v>
      </c>
      <c r="B2621" s="5" t="s">
        <v>104</v>
      </c>
      <c r="C2621" s="5" t="s">
        <v>2020</v>
      </c>
      <c r="D2621" s="43">
        <v>1000</v>
      </c>
      <c r="E2621" s="43"/>
      <c r="F2621" s="43">
        <f t="shared" si="41"/>
        <v>264400</v>
      </c>
      <c r="G2621" s="43"/>
    </row>
    <row r="2622" spans="1:9" x14ac:dyDescent="0.3">
      <c r="A2622" s="45">
        <v>42920</v>
      </c>
      <c r="B2622" s="5" t="s">
        <v>1281</v>
      </c>
      <c r="C2622" s="5" t="s">
        <v>2021</v>
      </c>
      <c r="D2622" s="43">
        <v>10000</v>
      </c>
      <c r="E2622" s="43"/>
      <c r="F2622" s="43">
        <f t="shared" si="41"/>
        <v>254400</v>
      </c>
      <c r="G2622" s="43"/>
    </row>
    <row r="2623" spans="1:9" x14ac:dyDescent="0.3">
      <c r="A2623" s="45">
        <v>42920</v>
      </c>
      <c r="B2623" s="5" t="s">
        <v>1281</v>
      </c>
      <c r="C2623" s="5" t="s">
        <v>2022</v>
      </c>
      <c r="D2623" s="43">
        <v>2400</v>
      </c>
      <c r="E2623" s="43"/>
      <c r="F2623" s="43">
        <f t="shared" si="41"/>
        <v>252000</v>
      </c>
      <c r="G2623" s="43"/>
    </row>
    <row r="2624" spans="1:9" x14ac:dyDescent="0.3">
      <c r="A2624" s="45">
        <v>42920</v>
      </c>
      <c r="B2624" s="5" t="s">
        <v>25</v>
      </c>
      <c r="C2624" s="5" t="s">
        <v>1515</v>
      </c>
      <c r="D2624" s="43">
        <v>350</v>
      </c>
      <c r="E2624" s="43"/>
      <c r="F2624" s="43">
        <f t="shared" si="41"/>
        <v>251650</v>
      </c>
      <c r="G2624" s="43"/>
    </row>
    <row r="2625" spans="1:7" ht="56.25" x14ac:dyDescent="0.3">
      <c r="A2625" s="45">
        <v>42920</v>
      </c>
      <c r="B2625" s="44" t="s">
        <v>25</v>
      </c>
      <c r="C2625" s="92" t="s">
        <v>2030</v>
      </c>
      <c r="D2625" s="43">
        <v>730</v>
      </c>
      <c r="E2625" s="43"/>
      <c r="F2625" s="43">
        <f t="shared" si="41"/>
        <v>250920</v>
      </c>
      <c r="G2625" s="28"/>
    </row>
    <row r="2626" spans="1:7" x14ac:dyDescent="0.3">
      <c r="A2626" s="45">
        <v>42921</v>
      </c>
      <c r="B2626" s="5" t="s">
        <v>60</v>
      </c>
      <c r="C2626" s="5" t="s">
        <v>2023</v>
      </c>
      <c r="D2626" s="43">
        <v>2000</v>
      </c>
      <c r="E2626" s="43"/>
      <c r="F2626" s="43">
        <f t="shared" si="41"/>
        <v>248920</v>
      </c>
      <c r="G2626" s="43"/>
    </row>
    <row r="2627" spans="1:7" x14ac:dyDescent="0.3">
      <c r="A2627" s="45">
        <v>42921</v>
      </c>
      <c r="B2627" s="5" t="s">
        <v>1193</v>
      </c>
      <c r="C2627" s="5" t="s">
        <v>33</v>
      </c>
      <c r="D2627" s="43">
        <v>2000</v>
      </c>
      <c r="E2627" s="43"/>
      <c r="F2627" s="43">
        <f t="shared" si="41"/>
        <v>246920</v>
      </c>
      <c r="G2627" s="43"/>
    </row>
    <row r="2628" spans="1:7" ht="56.25" x14ac:dyDescent="0.3">
      <c r="A2628" s="45">
        <v>42921</v>
      </c>
      <c r="B2628" s="5" t="s">
        <v>58</v>
      </c>
      <c r="C2628" s="92" t="s">
        <v>2063</v>
      </c>
      <c r="D2628" s="65">
        <v>300</v>
      </c>
      <c r="E2628" s="43"/>
      <c r="F2628" s="43">
        <f t="shared" si="41"/>
        <v>246620</v>
      </c>
      <c r="G2628" s="43"/>
    </row>
    <row r="2629" spans="1:7" ht="56.25" x14ac:dyDescent="0.3">
      <c r="A2629" s="45">
        <v>42921</v>
      </c>
      <c r="B2629" s="5" t="s">
        <v>58</v>
      </c>
      <c r="C2629" s="92" t="s">
        <v>2064</v>
      </c>
      <c r="D2629" s="65">
        <v>300</v>
      </c>
      <c r="E2629" s="43"/>
      <c r="F2629" s="43">
        <f t="shared" si="41"/>
        <v>246320</v>
      </c>
      <c r="G2629" s="43"/>
    </row>
    <row r="2630" spans="1:7" ht="37.5" x14ac:dyDescent="0.3">
      <c r="A2630" s="45">
        <v>42921</v>
      </c>
      <c r="B2630" s="5" t="s">
        <v>58</v>
      </c>
      <c r="C2630" s="92" t="s">
        <v>2065</v>
      </c>
      <c r="D2630" s="65">
        <v>160</v>
      </c>
      <c r="E2630" s="43"/>
      <c r="F2630" s="43">
        <f t="shared" si="41"/>
        <v>246160</v>
      </c>
      <c r="G2630" s="43"/>
    </row>
    <row r="2631" spans="1:7" x14ac:dyDescent="0.3">
      <c r="A2631" s="45">
        <v>42921</v>
      </c>
      <c r="B2631" s="5" t="s">
        <v>58</v>
      </c>
      <c r="C2631" s="92" t="s">
        <v>2066</v>
      </c>
      <c r="D2631" s="65">
        <v>1440</v>
      </c>
      <c r="E2631" s="43"/>
      <c r="F2631" s="43">
        <f t="shared" si="41"/>
        <v>244720</v>
      </c>
      <c r="G2631" s="43"/>
    </row>
    <row r="2632" spans="1:7" x14ac:dyDescent="0.3">
      <c r="A2632" s="45">
        <v>42921</v>
      </c>
      <c r="B2632" s="5" t="s">
        <v>25</v>
      </c>
      <c r="C2632" s="5" t="s">
        <v>67</v>
      </c>
      <c r="D2632" s="43">
        <v>210</v>
      </c>
      <c r="E2632" s="43"/>
      <c r="F2632" s="43">
        <f t="shared" si="41"/>
        <v>244510</v>
      </c>
      <c r="G2632" s="43"/>
    </row>
    <row r="2633" spans="1:7" x14ac:dyDescent="0.3">
      <c r="A2633" s="45">
        <v>42921</v>
      </c>
      <c r="B2633" s="5" t="s">
        <v>25</v>
      </c>
      <c r="C2633" s="5" t="s">
        <v>2024</v>
      </c>
      <c r="D2633" s="43">
        <v>55</v>
      </c>
      <c r="E2633" s="43"/>
      <c r="F2633" s="43">
        <f t="shared" si="41"/>
        <v>244455</v>
      </c>
      <c r="G2633" s="43"/>
    </row>
    <row r="2634" spans="1:7" x14ac:dyDescent="0.3">
      <c r="A2634" s="45">
        <v>42921</v>
      </c>
      <c r="B2634" s="5" t="s">
        <v>25</v>
      </c>
      <c r="C2634" s="5" t="s">
        <v>2025</v>
      </c>
      <c r="D2634" s="43">
        <v>100</v>
      </c>
      <c r="E2634" s="43"/>
      <c r="F2634" s="43">
        <f t="shared" si="41"/>
        <v>244355</v>
      </c>
      <c r="G2634" s="43"/>
    </row>
    <row r="2635" spans="1:7" x14ac:dyDescent="0.3">
      <c r="A2635" s="45">
        <v>42921</v>
      </c>
      <c r="B2635" s="5" t="s">
        <v>0</v>
      </c>
      <c r="C2635" s="5" t="s">
        <v>1656</v>
      </c>
      <c r="D2635" s="43">
        <v>6000</v>
      </c>
      <c r="E2635" s="43"/>
      <c r="F2635" s="43">
        <f t="shared" si="41"/>
        <v>238355</v>
      </c>
      <c r="G2635" s="43"/>
    </row>
    <row r="2636" spans="1:7" x14ac:dyDescent="0.3">
      <c r="A2636" s="45">
        <v>42921</v>
      </c>
      <c r="B2636" s="5" t="s">
        <v>27</v>
      </c>
      <c r="C2636" s="5" t="s">
        <v>2026</v>
      </c>
      <c r="D2636" s="43">
        <v>6020</v>
      </c>
      <c r="E2636" s="43"/>
      <c r="F2636" s="43">
        <f t="shared" si="41"/>
        <v>232335</v>
      </c>
      <c r="G2636" s="43"/>
    </row>
    <row r="2637" spans="1:7" x14ac:dyDescent="0.3">
      <c r="A2637" s="45">
        <v>42921</v>
      </c>
      <c r="B2637" s="5" t="s">
        <v>25</v>
      </c>
      <c r="C2637" s="5" t="s">
        <v>2027</v>
      </c>
      <c r="D2637" s="43">
        <v>405</v>
      </c>
      <c r="E2637" s="43"/>
      <c r="F2637" s="43">
        <f t="shared" si="41"/>
        <v>231930</v>
      </c>
      <c r="G2637" s="43"/>
    </row>
    <row r="2638" spans="1:7" x14ac:dyDescent="0.3">
      <c r="A2638" s="45">
        <v>42921</v>
      </c>
      <c r="B2638" s="5" t="s">
        <v>25</v>
      </c>
      <c r="C2638" s="5" t="s">
        <v>2028</v>
      </c>
      <c r="D2638" s="43">
        <v>2500</v>
      </c>
      <c r="E2638" s="43"/>
      <c r="F2638" s="43">
        <f t="shared" si="41"/>
        <v>229430</v>
      </c>
      <c r="G2638" s="43"/>
    </row>
    <row r="2639" spans="1:7" x14ac:dyDescent="0.3">
      <c r="A2639" s="45">
        <v>42922</v>
      </c>
      <c r="B2639" s="5" t="s">
        <v>4</v>
      </c>
      <c r="C2639" s="5" t="s">
        <v>2029</v>
      </c>
      <c r="D2639" s="43">
        <v>500</v>
      </c>
      <c r="E2639" s="43"/>
      <c r="F2639" s="43">
        <f t="shared" si="41"/>
        <v>228930</v>
      </c>
      <c r="G2639" s="43"/>
    </row>
    <row r="2640" spans="1:7" x14ac:dyDescent="0.3">
      <c r="A2640" s="45">
        <v>42922</v>
      </c>
      <c r="B2640" s="5" t="s">
        <v>25</v>
      </c>
      <c r="C2640" s="5" t="s">
        <v>1515</v>
      </c>
      <c r="D2640" s="43">
        <v>100</v>
      </c>
      <c r="E2640" s="43"/>
      <c r="F2640" s="43">
        <f t="shared" si="41"/>
        <v>228830</v>
      </c>
      <c r="G2640" s="43"/>
    </row>
    <row r="2641" spans="1:7" x14ac:dyDescent="0.3">
      <c r="A2641" s="45">
        <v>42922</v>
      </c>
      <c r="B2641" s="5" t="s">
        <v>0</v>
      </c>
      <c r="C2641" s="5" t="s">
        <v>1911</v>
      </c>
      <c r="D2641" s="43">
        <v>2000</v>
      </c>
      <c r="E2641" s="43"/>
      <c r="F2641" s="43">
        <f t="shared" si="41"/>
        <v>226830</v>
      </c>
      <c r="G2641" s="43"/>
    </row>
    <row r="2642" spans="1:7" x14ac:dyDescent="0.3">
      <c r="A2642" s="45">
        <v>42922</v>
      </c>
      <c r="B2642" s="5" t="s">
        <v>247</v>
      </c>
      <c r="C2642" s="5" t="s">
        <v>1773</v>
      </c>
      <c r="D2642" s="43">
        <v>770</v>
      </c>
      <c r="E2642" s="43"/>
      <c r="F2642" s="43">
        <f t="shared" si="41"/>
        <v>226060</v>
      </c>
      <c r="G2642" s="43"/>
    </row>
    <row r="2643" spans="1:7" x14ac:dyDescent="0.3">
      <c r="A2643" s="45">
        <v>42922</v>
      </c>
      <c r="B2643" s="107" t="s">
        <v>247</v>
      </c>
      <c r="C2643" s="107" t="s">
        <v>2031</v>
      </c>
      <c r="D2643" s="109">
        <v>100</v>
      </c>
      <c r="E2643" s="43"/>
      <c r="F2643" s="43">
        <f t="shared" si="41"/>
        <v>225960</v>
      </c>
      <c r="G2643" s="43"/>
    </row>
    <row r="2644" spans="1:7" x14ac:dyDescent="0.3">
      <c r="A2644" s="45">
        <v>42922</v>
      </c>
      <c r="B2644" s="5" t="s">
        <v>120</v>
      </c>
      <c r="C2644" s="5" t="s">
        <v>640</v>
      </c>
      <c r="D2644" s="43">
        <v>1000</v>
      </c>
      <c r="E2644" s="43"/>
      <c r="F2644" s="43">
        <f t="shared" si="41"/>
        <v>224960</v>
      </c>
      <c r="G2644" s="43"/>
    </row>
    <row r="2645" spans="1:7" x14ac:dyDescent="0.3">
      <c r="A2645" s="45">
        <v>42922</v>
      </c>
      <c r="B2645" s="5" t="s">
        <v>58</v>
      </c>
      <c r="C2645" s="5" t="s">
        <v>2046</v>
      </c>
      <c r="D2645" s="65">
        <v>3800</v>
      </c>
      <c r="E2645" s="43"/>
      <c r="F2645" s="43">
        <f t="shared" si="41"/>
        <v>221160</v>
      </c>
      <c r="G2645" s="43"/>
    </row>
    <row r="2646" spans="1:7" x14ac:dyDescent="0.3">
      <c r="A2646" s="45">
        <v>42923</v>
      </c>
      <c r="B2646" s="5" t="s">
        <v>1074</v>
      </c>
      <c r="C2646" s="5" t="s">
        <v>2032</v>
      </c>
      <c r="D2646" s="43">
        <v>13170</v>
      </c>
      <c r="E2646" s="43"/>
      <c r="F2646" s="43">
        <f t="shared" si="41"/>
        <v>207990</v>
      </c>
      <c r="G2646" s="43"/>
    </row>
    <row r="2647" spans="1:7" x14ac:dyDescent="0.3">
      <c r="A2647" s="45">
        <v>42923</v>
      </c>
      <c r="B2647" s="5" t="s">
        <v>0</v>
      </c>
      <c r="C2647" s="5" t="s">
        <v>2023</v>
      </c>
      <c r="D2647" s="43">
        <v>6000</v>
      </c>
      <c r="E2647" s="43"/>
      <c r="F2647" s="43">
        <f t="shared" si="41"/>
        <v>201990</v>
      </c>
      <c r="G2647" s="43"/>
    </row>
    <row r="2648" spans="1:7" x14ac:dyDescent="0.3">
      <c r="A2648" s="45">
        <v>42923</v>
      </c>
      <c r="B2648" s="5" t="s">
        <v>1343</v>
      </c>
      <c r="C2648" s="5" t="s">
        <v>31</v>
      </c>
      <c r="D2648" s="43">
        <v>5500</v>
      </c>
      <c r="E2648" s="43"/>
      <c r="F2648" s="43">
        <f t="shared" si="41"/>
        <v>196490</v>
      </c>
      <c r="G2648" s="43"/>
    </row>
    <row r="2649" spans="1:7" ht="37.5" x14ac:dyDescent="0.3">
      <c r="A2649" s="45">
        <v>42923</v>
      </c>
      <c r="B2649" s="44" t="s">
        <v>1193</v>
      </c>
      <c r="C2649" s="92" t="s">
        <v>2037</v>
      </c>
      <c r="D2649" s="43">
        <v>1200</v>
      </c>
      <c r="E2649" s="43"/>
      <c r="F2649" s="43">
        <f t="shared" si="41"/>
        <v>195290</v>
      </c>
      <c r="G2649" s="28"/>
    </row>
    <row r="2650" spans="1:7" ht="37.5" x14ac:dyDescent="0.3">
      <c r="A2650" s="45">
        <v>42923</v>
      </c>
      <c r="B2650" s="44" t="s">
        <v>25</v>
      </c>
      <c r="C2650" s="92" t="s">
        <v>2033</v>
      </c>
      <c r="D2650" s="43">
        <v>2600</v>
      </c>
      <c r="E2650" s="43"/>
      <c r="F2650" s="43">
        <f t="shared" si="41"/>
        <v>192690</v>
      </c>
      <c r="G2650" s="28"/>
    </row>
    <row r="2651" spans="1:7" x14ac:dyDescent="0.3">
      <c r="A2651" s="45">
        <v>42923</v>
      </c>
      <c r="B2651" s="5" t="s">
        <v>27</v>
      </c>
      <c r="C2651" s="5" t="s">
        <v>31</v>
      </c>
      <c r="D2651" s="43">
        <v>3000</v>
      </c>
      <c r="E2651" s="43"/>
      <c r="F2651" s="43">
        <f t="shared" si="41"/>
        <v>189690</v>
      </c>
      <c r="G2651" s="43"/>
    </row>
    <row r="2652" spans="1:7" x14ac:dyDescent="0.3">
      <c r="A2652" s="45">
        <v>42923</v>
      </c>
      <c r="B2652" s="5" t="s">
        <v>56</v>
      </c>
      <c r="C2652" s="5" t="s">
        <v>1581</v>
      </c>
      <c r="D2652" s="65">
        <v>2500</v>
      </c>
      <c r="E2652" s="43"/>
      <c r="F2652" s="43">
        <f t="shared" si="41"/>
        <v>187190</v>
      </c>
      <c r="G2652" s="43"/>
    </row>
    <row r="2653" spans="1:7" x14ac:dyDescent="0.3">
      <c r="A2653" s="45">
        <v>42923</v>
      </c>
      <c r="B2653" s="5" t="s">
        <v>181</v>
      </c>
      <c r="C2653" s="5" t="s">
        <v>31</v>
      </c>
      <c r="D2653" s="43">
        <v>2000</v>
      </c>
      <c r="E2653" s="43"/>
      <c r="F2653" s="43">
        <f t="shared" si="41"/>
        <v>185190</v>
      </c>
      <c r="G2653" s="43"/>
    </row>
    <row r="2654" spans="1:7" x14ac:dyDescent="0.3">
      <c r="A2654" s="45">
        <v>42924</v>
      </c>
      <c r="B2654" s="5" t="s">
        <v>11</v>
      </c>
      <c r="C2654" s="5" t="s">
        <v>31</v>
      </c>
      <c r="D2654" s="43">
        <v>3000</v>
      </c>
      <c r="E2654" s="43"/>
      <c r="F2654" s="43">
        <f t="shared" si="41"/>
        <v>182190</v>
      </c>
      <c r="G2654" s="43"/>
    </row>
    <row r="2655" spans="1:7" x14ac:dyDescent="0.3">
      <c r="A2655" s="45">
        <v>42924</v>
      </c>
      <c r="B2655" s="5" t="s">
        <v>445</v>
      </c>
      <c r="C2655" s="5" t="s">
        <v>31</v>
      </c>
      <c r="D2655" s="43">
        <v>1000</v>
      </c>
      <c r="E2655" s="43"/>
      <c r="F2655" s="43">
        <f t="shared" si="41"/>
        <v>181190</v>
      </c>
      <c r="G2655" s="43"/>
    </row>
    <row r="2656" spans="1:7" x14ac:dyDescent="0.3">
      <c r="A2656" s="45">
        <v>42924</v>
      </c>
      <c r="B2656" s="5" t="s">
        <v>84</v>
      </c>
      <c r="C2656" s="5" t="s">
        <v>2034</v>
      </c>
      <c r="D2656" s="43">
        <v>2000</v>
      </c>
      <c r="E2656" s="43"/>
      <c r="F2656" s="43">
        <f t="shared" si="41"/>
        <v>179190</v>
      </c>
      <c r="G2656" s="43"/>
    </row>
    <row r="2657" spans="1:7" x14ac:dyDescent="0.3">
      <c r="A2657" s="45">
        <v>42924</v>
      </c>
      <c r="B2657" s="5" t="s">
        <v>84</v>
      </c>
      <c r="C2657" s="5" t="s">
        <v>2035</v>
      </c>
      <c r="D2657" s="43">
        <v>500</v>
      </c>
      <c r="E2657" s="43"/>
      <c r="F2657" s="43">
        <f t="shared" si="41"/>
        <v>178690</v>
      </c>
      <c r="G2657" s="43"/>
    </row>
    <row r="2658" spans="1:7" ht="37.5" x14ac:dyDescent="0.3">
      <c r="A2658" s="45">
        <v>42924</v>
      </c>
      <c r="B2658" s="44" t="s">
        <v>25</v>
      </c>
      <c r="C2658" s="92" t="s">
        <v>2036</v>
      </c>
      <c r="D2658" s="28">
        <v>458</v>
      </c>
      <c r="E2658" s="43"/>
      <c r="F2658" s="43">
        <f t="shared" si="41"/>
        <v>178232</v>
      </c>
      <c r="G2658" s="28"/>
    </row>
    <row r="2659" spans="1:7" x14ac:dyDescent="0.3">
      <c r="A2659" s="45">
        <v>42924</v>
      </c>
      <c r="B2659" s="5" t="s">
        <v>541</v>
      </c>
      <c r="C2659" s="5" t="s">
        <v>2038</v>
      </c>
      <c r="D2659" s="43">
        <v>600</v>
      </c>
      <c r="E2659" s="43"/>
      <c r="F2659" s="43">
        <f t="shared" si="41"/>
        <v>177632</v>
      </c>
      <c r="G2659" s="43"/>
    </row>
    <row r="2660" spans="1:7" x14ac:dyDescent="0.3">
      <c r="A2660" s="45">
        <v>42924</v>
      </c>
      <c r="B2660" s="5" t="s">
        <v>84</v>
      </c>
      <c r="C2660" s="5" t="s">
        <v>2039</v>
      </c>
      <c r="D2660" s="43">
        <v>1000</v>
      </c>
      <c r="E2660" s="43"/>
      <c r="F2660" s="43">
        <f t="shared" si="41"/>
        <v>176632</v>
      </c>
      <c r="G2660" s="43"/>
    </row>
    <row r="2661" spans="1:7" x14ac:dyDescent="0.3">
      <c r="A2661" s="45">
        <v>42924</v>
      </c>
      <c r="B2661" s="5" t="s">
        <v>2040</v>
      </c>
      <c r="C2661" s="5" t="s">
        <v>2041</v>
      </c>
      <c r="D2661" s="43">
        <v>20000</v>
      </c>
      <c r="E2661" s="43"/>
      <c r="F2661" s="43">
        <f t="shared" si="41"/>
        <v>156632</v>
      </c>
      <c r="G2661" s="43"/>
    </row>
    <row r="2662" spans="1:7" x14ac:dyDescent="0.3">
      <c r="A2662" s="45">
        <v>42924</v>
      </c>
      <c r="B2662" s="139" t="s">
        <v>120</v>
      </c>
      <c r="C2662" s="139" t="s">
        <v>2042</v>
      </c>
      <c r="D2662" s="140">
        <v>24000</v>
      </c>
      <c r="E2662" s="43"/>
      <c r="F2662" s="43">
        <f t="shared" si="41"/>
        <v>132632</v>
      </c>
      <c r="G2662" s="43"/>
    </row>
    <row r="2663" spans="1:7" ht="37.5" x14ac:dyDescent="0.3">
      <c r="A2663" s="45">
        <v>42926</v>
      </c>
      <c r="B2663" s="5" t="s">
        <v>25</v>
      </c>
      <c r="C2663" s="92" t="s">
        <v>2045</v>
      </c>
      <c r="D2663" s="43">
        <v>1000</v>
      </c>
      <c r="E2663" s="43"/>
      <c r="F2663" s="43">
        <f t="shared" si="41"/>
        <v>131632</v>
      </c>
      <c r="G2663" s="43"/>
    </row>
    <row r="2664" spans="1:7" x14ac:dyDescent="0.3">
      <c r="A2664" s="45">
        <v>42926</v>
      </c>
      <c r="B2664" s="5" t="s">
        <v>4</v>
      </c>
      <c r="C2664" s="5" t="s">
        <v>31</v>
      </c>
      <c r="D2664" s="43">
        <v>4000</v>
      </c>
      <c r="E2664" s="43"/>
      <c r="F2664" s="43">
        <f t="shared" si="41"/>
        <v>127632</v>
      </c>
      <c r="G2664" s="43"/>
    </row>
    <row r="2665" spans="1:7" x14ac:dyDescent="0.3">
      <c r="A2665" s="45">
        <v>42926</v>
      </c>
      <c r="B2665" s="5" t="s">
        <v>27</v>
      </c>
      <c r="C2665" s="5" t="s">
        <v>2047</v>
      </c>
      <c r="D2665" s="43">
        <v>1000</v>
      </c>
      <c r="E2665" s="43"/>
      <c r="F2665" s="43">
        <f t="shared" si="41"/>
        <v>126632</v>
      </c>
      <c r="G2665" s="43"/>
    </row>
    <row r="2666" spans="1:7" ht="75" x14ac:dyDescent="0.3">
      <c r="A2666" s="45">
        <v>42926</v>
      </c>
      <c r="B2666" s="5" t="s">
        <v>25</v>
      </c>
      <c r="C2666" s="92" t="s">
        <v>2070</v>
      </c>
      <c r="D2666" s="43">
        <v>1076</v>
      </c>
      <c r="E2666" s="43"/>
      <c r="F2666" s="43">
        <f t="shared" si="41"/>
        <v>125556</v>
      </c>
      <c r="G2666" s="43"/>
    </row>
    <row r="2667" spans="1:7" x14ac:dyDescent="0.3">
      <c r="A2667" s="45">
        <v>42926</v>
      </c>
      <c r="B2667" s="5" t="s">
        <v>47</v>
      </c>
      <c r="C2667" s="5" t="s">
        <v>2048</v>
      </c>
      <c r="D2667" s="43">
        <v>270</v>
      </c>
      <c r="E2667" s="43"/>
      <c r="F2667" s="43">
        <f t="shared" si="41"/>
        <v>125286</v>
      </c>
      <c r="G2667" s="43"/>
    </row>
    <row r="2668" spans="1:7" x14ac:dyDescent="0.3">
      <c r="A2668" s="45">
        <v>42926</v>
      </c>
      <c r="B2668" s="5" t="s">
        <v>18</v>
      </c>
      <c r="C2668" s="5" t="s">
        <v>31</v>
      </c>
      <c r="D2668" s="43">
        <v>1500</v>
      </c>
      <c r="E2668" s="43"/>
      <c r="F2668" s="43">
        <f t="shared" si="41"/>
        <v>123786</v>
      </c>
      <c r="G2668" s="43"/>
    </row>
    <row r="2669" spans="1:7" x14ac:dyDescent="0.3">
      <c r="A2669" s="45">
        <v>42926</v>
      </c>
      <c r="B2669" s="5" t="s">
        <v>27</v>
      </c>
      <c r="C2669" s="5" t="s">
        <v>2049</v>
      </c>
      <c r="D2669" s="43">
        <v>400</v>
      </c>
      <c r="E2669" s="43"/>
      <c r="F2669" s="43">
        <f t="shared" si="41"/>
        <v>123386</v>
      </c>
      <c r="G2669" s="43"/>
    </row>
    <row r="2670" spans="1:7" ht="56.25" x14ac:dyDescent="0.3">
      <c r="A2670" s="45">
        <v>42926</v>
      </c>
      <c r="B2670" s="5" t="s">
        <v>56</v>
      </c>
      <c r="C2670" s="92" t="s">
        <v>2050</v>
      </c>
      <c r="D2670" s="43">
        <v>150</v>
      </c>
      <c r="E2670" s="43"/>
      <c r="F2670" s="43">
        <f t="shared" si="41"/>
        <v>123236</v>
      </c>
      <c r="G2670" s="43"/>
    </row>
    <row r="2671" spans="1:7" x14ac:dyDescent="0.3">
      <c r="A2671" s="45">
        <v>42926</v>
      </c>
      <c r="B2671" s="756" t="s">
        <v>94</v>
      </c>
      <c r="C2671" s="756"/>
      <c r="D2671" s="71"/>
      <c r="E2671" s="72">
        <v>2587</v>
      </c>
      <c r="F2671" s="43">
        <f t="shared" si="41"/>
        <v>125823</v>
      </c>
      <c r="G2671" s="43"/>
    </row>
    <row r="2672" spans="1:7" x14ac:dyDescent="0.3">
      <c r="A2672" s="45">
        <v>42927</v>
      </c>
      <c r="B2672" s="5" t="s">
        <v>2051</v>
      </c>
      <c r="C2672" s="5" t="s">
        <v>2052</v>
      </c>
      <c r="D2672" s="43">
        <v>50</v>
      </c>
      <c r="E2672" s="43"/>
      <c r="F2672" s="43">
        <f t="shared" si="41"/>
        <v>125773</v>
      </c>
      <c r="G2672" s="43"/>
    </row>
    <row r="2673" spans="1:7" ht="56.25" x14ac:dyDescent="0.3">
      <c r="A2673" s="45">
        <v>42927</v>
      </c>
      <c r="B2673" s="5" t="s">
        <v>2053</v>
      </c>
      <c r="C2673" s="92" t="s">
        <v>2057</v>
      </c>
      <c r="D2673" s="65">
        <v>89580</v>
      </c>
      <c r="E2673" s="43"/>
      <c r="F2673" s="43">
        <f t="shared" si="41"/>
        <v>36193</v>
      </c>
      <c r="G2673" s="43"/>
    </row>
    <row r="2674" spans="1:7" x14ac:dyDescent="0.3">
      <c r="A2674" s="45">
        <v>42927</v>
      </c>
      <c r="B2674" s="5" t="s">
        <v>2054</v>
      </c>
      <c r="C2674" s="5" t="s">
        <v>2055</v>
      </c>
      <c r="D2674" s="43">
        <v>220</v>
      </c>
      <c r="E2674" s="43"/>
      <c r="F2674" s="43">
        <f t="shared" si="41"/>
        <v>35973</v>
      </c>
      <c r="G2674" s="43"/>
    </row>
    <row r="2675" spans="1:7" x14ac:dyDescent="0.3">
      <c r="A2675" s="45">
        <v>42927</v>
      </c>
      <c r="B2675" s="5" t="s">
        <v>25</v>
      </c>
      <c r="C2675" s="5" t="s">
        <v>1515</v>
      </c>
      <c r="D2675" s="43">
        <v>180</v>
      </c>
      <c r="E2675" s="43"/>
      <c r="F2675" s="43">
        <f t="shared" si="41"/>
        <v>35793</v>
      </c>
      <c r="G2675" s="43"/>
    </row>
    <row r="2676" spans="1:7" x14ac:dyDescent="0.3">
      <c r="A2676" s="45">
        <v>42927</v>
      </c>
      <c r="B2676" s="5" t="s">
        <v>2059</v>
      </c>
      <c r="C2676" s="5" t="s">
        <v>2060</v>
      </c>
      <c r="D2676" s="43">
        <v>9140</v>
      </c>
      <c r="E2676" s="43"/>
      <c r="F2676" s="43">
        <f t="shared" ref="F2676:F2739" si="42">E2676+F2675-D2676</f>
        <v>26653</v>
      </c>
      <c r="G2676" s="43"/>
    </row>
    <row r="2677" spans="1:7" x14ac:dyDescent="0.3">
      <c r="A2677" s="45">
        <v>42927</v>
      </c>
      <c r="B2677" s="5" t="s">
        <v>27</v>
      </c>
      <c r="C2677" s="5" t="s">
        <v>2056</v>
      </c>
      <c r="D2677" s="43">
        <v>500</v>
      </c>
      <c r="E2677" s="43"/>
      <c r="F2677" s="43">
        <f t="shared" si="42"/>
        <v>26153</v>
      </c>
      <c r="G2677" s="43"/>
    </row>
    <row r="2678" spans="1:7" ht="75" x14ac:dyDescent="0.3">
      <c r="A2678" s="45">
        <v>42927</v>
      </c>
      <c r="B2678" s="44" t="s">
        <v>58</v>
      </c>
      <c r="C2678" s="124" t="s">
        <v>2068</v>
      </c>
      <c r="D2678" s="48">
        <v>400</v>
      </c>
      <c r="E2678" s="28"/>
      <c r="F2678" s="28">
        <f t="shared" si="42"/>
        <v>25753</v>
      </c>
      <c r="G2678" s="28"/>
    </row>
    <row r="2679" spans="1:7" ht="37.5" x14ac:dyDescent="0.3">
      <c r="A2679" s="45">
        <v>42927</v>
      </c>
      <c r="B2679" s="5" t="s">
        <v>25</v>
      </c>
      <c r="C2679" s="92" t="s">
        <v>1687</v>
      </c>
      <c r="D2679" s="65">
        <v>418</v>
      </c>
      <c r="E2679" s="43"/>
      <c r="F2679" s="43">
        <f t="shared" si="42"/>
        <v>25335</v>
      </c>
      <c r="G2679" s="43"/>
    </row>
    <row r="2680" spans="1:7" x14ac:dyDescent="0.3">
      <c r="A2680" s="45">
        <v>42927</v>
      </c>
      <c r="B2680" s="5" t="s">
        <v>58</v>
      </c>
      <c r="C2680" s="92" t="s">
        <v>2061</v>
      </c>
      <c r="D2680" s="65">
        <v>500</v>
      </c>
      <c r="E2680" s="43"/>
      <c r="F2680" s="43">
        <f t="shared" si="42"/>
        <v>24835</v>
      </c>
      <c r="G2680" s="43"/>
    </row>
    <row r="2681" spans="1:7" x14ac:dyDescent="0.3">
      <c r="A2681" s="45">
        <v>42927</v>
      </c>
      <c r="B2681" s="5" t="s">
        <v>16</v>
      </c>
      <c r="C2681" s="5" t="s">
        <v>2058</v>
      </c>
      <c r="D2681" s="43">
        <v>800</v>
      </c>
      <c r="E2681" s="43"/>
      <c r="F2681" s="43">
        <f t="shared" si="42"/>
        <v>24035</v>
      </c>
      <c r="G2681" s="43"/>
    </row>
    <row r="2682" spans="1:7" x14ac:dyDescent="0.3">
      <c r="A2682" s="45">
        <v>42928</v>
      </c>
      <c r="B2682" s="5" t="s">
        <v>445</v>
      </c>
      <c r="C2682" s="5" t="s">
        <v>31</v>
      </c>
      <c r="D2682" s="43">
        <v>1000</v>
      </c>
      <c r="E2682" s="43"/>
      <c r="F2682" s="43">
        <f t="shared" si="42"/>
        <v>23035</v>
      </c>
      <c r="G2682" s="43"/>
    </row>
    <row r="2683" spans="1:7" x14ac:dyDescent="0.3">
      <c r="A2683" s="45">
        <v>42928</v>
      </c>
      <c r="B2683" s="5" t="s">
        <v>1193</v>
      </c>
      <c r="C2683" s="5" t="s">
        <v>2062</v>
      </c>
      <c r="D2683" s="43">
        <v>2400</v>
      </c>
      <c r="E2683" s="43"/>
      <c r="F2683" s="43">
        <f t="shared" si="42"/>
        <v>20635</v>
      </c>
      <c r="G2683" s="43"/>
    </row>
    <row r="2684" spans="1:7" x14ac:dyDescent="0.3">
      <c r="A2684" s="45">
        <v>42928</v>
      </c>
      <c r="B2684" s="5" t="s">
        <v>84</v>
      </c>
      <c r="C2684" s="5" t="s">
        <v>2067</v>
      </c>
      <c r="D2684" s="43">
        <v>1000</v>
      </c>
      <c r="E2684" s="43"/>
      <c r="F2684" s="43">
        <f t="shared" si="42"/>
        <v>19635</v>
      </c>
      <c r="G2684" s="43"/>
    </row>
    <row r="2685" spans="1:7" ht="37.5" x14ac:dyDescent="0.3">
      <c r="A2685" s="45">
        <v>42928</v>
      </c>
      <c r="B2685" s="44" t="s">
        <v>25</v>
      </c>
      <c r="C2685" s="92" t="s">
        <v>2069</v>
      </c>
      <c r="D2685" s="28">
        <v>440</v>
      </c>
      <c r="E2685" s="43"/>
      <c r="F2685" s="43">
        <f t="shared" si="42"/>
        <v>19195</v>
      </c>
      <c r="G2685" s="28"/>
    </row>
    <row r="2686" spans="1:7" x14ac:dyDescent="0.3">
      <c r="A2686" s="45">
        <v>42929</v>
      </c>
      <c r="B2686" s="5" t="s">
        <v>4</v>
      </c>
      <c r="C2686" s="92" t="s">
        <v>31</v>
      </c>
      <c r="D2686" s="43">
        <v>2000</v>
      </c>
      <c r="E2686" s="43"/>
      <c r="F2686" s="43">
        <f t="shared" si="42"/>
        <v>17195</v>
      </c>
      <c r="G2686" s="43"/>
    </row>
    <row r="2687" spans="1:7" x14ac:dyDescent="0.3">
      <c r="A2687" s="45">
        <v>42929</v>
      </c>
      <c r="B2687" s="5" t="s">
        <v>27</v>
      </c>
      <c r="C2687" s="92" t="s">
        <v>2071</v>
      </c>
      <c r="D2687" s="43">
        <v>500</v>
      </c>
      <c r="E2687" s="43"/>
      <c r="F2687" s="43">
        <f t="shared" si="42"/>
        <v>16695</v>
      </c>
      <c r="G2687" s="43"/>
    </row>
    <row r="2688" spans="1:7" x14ac:dyDescent="0.3">
      <c r="A2688" s="45">
        <v>42929</v>
      </c>
      <c r="B2688" s="5" t="s">
        <v>1343</v>
      </c>
      <c r="C2688" s="92" t="s">
        <v>2072</v>
      </c>
      <c r="D2688" s="43">
        <v>7000</v>
      </c>
      <c r="E2688" s="43"/>
      <c r="F2688" s="43">
        <f t="shared" si="42"/>
        <v>9695</v>
      </c>
      <c r="G2688" s="43"/>
    </row>
    <row r="2689" spans="1:8" x14ac:dyDescent="0.3">
      <c r="A2689" s="45">
        <v>42929</v>
      </c>
      <c r="B2689" s="5" t="s">
        <v>25</v>
      </c>
      <c r="C2689" s="92" t="s">
        <v>2073</v>
      </c>
      <c r="D2689" s="43">
        <v>425</v>
      </c>
      <c r="E2689" s="43"/>
      <c r="F2689" s="43">
        <f t="shared" si="42"/>
        <v>9270</v>
      </c>
      <c r="G2689" s="43"/>
    </row>
    <row r="2690" spans="1:8" x14ac:dyDescent="0.3">
      <c r="A2690" s="45">
        <v>42929</v>
      </c>
      <c r="B2690" s="5" t="s">
        <v>56</v>
      </c>
      <c r="C2690" s="92" t="s">
        <v>31</v>
      </c>
      <c r="D2690" s="43">
        <v>1000</v>
      </c>
      <c r="E2690" s="43"/>
      <c r="F2690" s="43">
        <f t="shared" si="42"/>
        <v>8270</v>
      </c>
      <c r="G2690" s="43"/>
      <c r="H2690" s="102"/>
    </row>
    <row r="2691" spans="1:8" x14ac:dyDescent="0.3">
      <c r="A2691" s="45">
        <v>42929</v>
      </c>
      <c r="B2691" s="5" t="s">
        <v>84</v>
      </c>
      <c r="C2691" s="92" t="s">
        <v>2074</v>
      </c>
      <c r="D2691" s="43">
        <v>2000</v>
      </c>
      <c r="E2691" s="43"/>
      <c r="F2691" s="43">
        <f t="shared" si="42"/>
        <v>6270</v>
      </c>
      <c r="G2691" s="43"/>
    </row>
    <row r="2692" spans="1:8" x14ac:dyDescent="0.3">
      <c r="A2692" s="45">
        <v>42930</v>
      </c>
      <c r="B2692" s="5" t="s">
        <v>25</v>
      </c>
      <c r="C2692" s="92" t="s">
        <v>2075</v>
      </c>
      <c r="D2692" s="43">
        <v>100</v>
      </c>
      <c r="E2692" s="43"/>
      <c r="F2692" s="43">
        <f t="shared" si="42"/>
        <v>6170</v>
      </c>
      <c r="G2692" s="43"/>
    </row>
    <row r="2693" spans="1:8" x14ac:dyDescent="0.3">
      <c r="A2693" s="45">
        <v>42930</v>
      </c>
      <c r="B2693" s="5" t="s">
        <v>84</v>
      </c>
      <c r="C2693" s="92" t="s">
        <v>2076</v>
      </c>
      <c r="D2693" s="43">
        <v>200</v>
      </c>
      <c r="E2693" s="43"/>
      <c r="F2693" s="43">
        <f t="shared" si="42"/>
        <v>5970</v>
      </c>
      <c r="G2693" s="43"/>
    </row>
    <row r="2694" spans="1:8" x14ac:dyDescent="0.3">
      <c r="A2694" s="45">
        <v>42930</v>
      </c>
      <c r="B2694" s="5" t="s">
        <v>25</v>
      </c>
      <c r="C2694" s="92" t="s">
        <v>1515</v>
      </c>
      <c r="D2694" s="43">
        <v>120</v>
      </c>
      <c r="E2694" s="43"/>
      <c r="F2694" s="43">
        <f t="shared" si="42"/>
        <v>5850</v>
      </c>
      <c r="G2694" s="43"/>
    </row>
    <row r="2695" spans="1:8" x14ac:dyDescent="0.3">
      <c r="A2695" s="45">
        <v>42930</v>
      </c>
      <c r="B2695" s="5" t="s">
        <v>25</v>
      </c>
      <c r="C2695" s="92" t="s">
        <v>2077</v>
      </c>
      <c r="D2695" s="43">
        <v>480</v>
      </c>
      <c r="E2695" s="43"/>
      <c r="F2695" s="43">
        <f t="shared" si="42"/>
        <v>5370</v>
      </c>
      <c r="G2695" s="43"/>
    </row>
    <row r="2696" spans="1:8" x14ac:dyDescent="0.3">
      <c r="A2696" s="45">
        <v>42930</v>
      </c>
      <c r="B2696" s="5" t="s">
        <v>25</v>
      </c>
      <c r="C2696" s="92" t="s">
        <v>2083</v>
      </c>
      <c r="D2696" s="43">
        <v>150</v>
      </c>
      <c r="E2696" s="43"/>
      <c r="F2696" s="43">
        <f t="shared" si="42"/>
        <v>5220</v>
      </c>
      <c r="G2696" s="43"/>
    </row>
    <row r="2697" spans="1:8" x14ac:dyDescent="0.3">
      <c r="A2697" s="45">
        <v>42930</v>
      </c>
      <c r="B2697" s="5" t="s">
        <v>63</v>
      </c>
      <c r="C2697" s="92" t="s">
        <v>2078</v>
      </c>
      <c r="D2697" s="43">
        <v>500</v>
      </c>
      <c r="E2697" s="43"/>
      <c r="F2697" s="43">
        <f t="shared" si="42"/>
        <v>4720</v>
      </c>
      <c r="G2697" s="43"/>
    </row>
    <row r="2698" spans="1:8" x14ac:dyDescent="0.3">
      <c r="A2698" s="45">
        <v>42930</v>
      </c>
      <c r="B2698" s="5" t="s">
        <v>25</v>
      </c>
      <c r="C2698" s="92" t="s">
        <v>2079</v>
      </c>
      <c r="D2698" s="43">
        <v>180</v>
      </c>
      <c r="E2698" s="43"/>
      <c r="F2698" s="43">
        <f t="shared" si="42"/>
        <v>4540</v>
      </c>
      <c r="G2698" s="43"/>
    </row>
    <row r="2699" spans="1:8" x14ac:dyDescent="0.3">
      <c r="A2699" s="45">
        <v>42931</v>
      </c>
      <c r="B2699" s="5" t="s">
        <v>1193</v>
      </c>
      <c r="C2699" s="92" t="s">
        <v>2080</v>
      </c>
      <c r="D2699" s="43">
        <v>1000</v>
      </c>
      <c r="E2699" s="43"/>
      <c r="F2699" s="43">
        <f t="shared" si="42"/>
        <v>3540</v>
      </c>
      <c r="G2699" s="43"/>
    </row>
    <row r="2700" spans="1:8" x14ac:dyDescent="0.3">
      <c r="A2700" s="45">
        <v>42931</v>
      </c>
      <c r="B2700" s="5" t="s">
        <v>2081</v>
      </c>
      <c r="C2700" s="92" t="s">
        <v>2082</v>
      </c>
      <c r="D2700" s="43">
        <v>1275</v>
      </c>
      <c r="E2700" s="43"/>
      <c r="F2700" s="43">
        <f t="shared" si="42"/>
        <v>2265</v>
      </c>
      <c r="G2700" s="43"/>
    </row>
    <row r="2701" spans="1:8" x14ac:dyDescent="0.3">
      <c r="A2701" s="45">
        <v>42931</v>
      </c>
      <c r="B2701" s="5" t="s">
        <v>25</v>
      </c>
      <c r="C2701" s="92" t="s">
        <v>1515</v>
      </c>
      <c r="D2701" s="43">
        <v>110</v>
      </c>
      <c r="E2701" s="43"/>
      <c r="F2701" s="43">
        <f t="shared" si="42"/>
        <v>2155</v>
      </c>
      <c r="G2701" s="43"/>
    </row>
    <row r="2702" spans="1:8" x14ac:dyDescent="0.3">
      <c r="A2702" s="45">
        <v>42931</v>
      </c>
      <c r="B2702" s="5" t="s">
        <v>25</v>
      </c>
      <c r="C2702" s="92" t="s">
        <v>2084</v>
      </c>
      <c r="D2702" s="43">
        <v>330</v>
      </c>
      <c r="E2702" s="43"/>
      <c r="F2702" s="43">
        <f t="shared" si="42"/>
        <v>1825</v>
      </c>
      <c r="G2702" s="43"/>
    </row>
    <row r="2703" spans="1:8" x14ac:dyDescent="0.3">
      <c r="A2703" s="45">
        <v>42931</v>
      </c>
      <c r="B2703" s="756" t="s">
        <v>2085</v>
      </c>
      <c r="C2703" s="756"/>
      <c r="D2703" s="71"/>
      <c r="E2703" s="72">
        <v>50000</v>
      </c>
      <c r="F2703" s="43">
        <f t="shared" si="42"/>
        <v>51825</v>
      </c>
      <c r="G2703" s="43"/>
    </row>
    <row r="2704" spans="1:8" ht="37.5" x14ac:dyDescent="0.3">
      <c r="A2704" s="45">
        <v>42931</v>
      </c>
      <c r="B2704" s="5" t="s">
        <v>2086</v>
      </c>
      <c r="C2704" s="92" t="s">
        <v>2094</v>
      </c>
      <c r="D2704" s="43">
        <v>15944</v>
      </c>
      <c r="E2704" s="43"/>
      <c r="F2704" s="43">
        <f t="shared" si="42"/>
        <v>35881</v>
      </c>
      <c r="G2704" s="43"/>
    </row>
    <row r="2705" spans="1:7" x14ac:dyDescent="0.3">
      <c r="A2705" s="45">
        <v>42931</v>
      </c>
      <c r="B2705" s="5" t="s">
        <v>2087</v>
      </c>
      <c r="C2705" s="92" t="s">
        <v>2088</v>
      </c>
      <c r="D2705" s="43">
        <v>1000</v>
      </c>
      <c r="E2705" s="43"/>
      <c r="F2705" s="43">
        <f t="shared" si="42"/>
        <v>34881</v>
      </c>
      <c r="G2705" s="43"/>
    </row>
    <row r="2706" spans="1:7" x14ac:dyDescent="0.3">
      <c r="A2706" s="45">
        <v>42931</v>
      </c>
      <c r="B2706" s="5" t="s">
        <v>104</v>
      </c>
      <c r="C2706" s="92" t="s">
        <v>31</v>
      </c>
      <c r="D2706" s="43">
        <v>1500</v>
      </c>
      <c r="E2706" s="43"/>
      <c r="F2706" s="43">
        <f t="shared" si="42"/>
        <v>33381</v>
      </c>
      <c r="G2706" s="43"/>
    </row>
    <row r="2707" spans="1:7" x14ac:dyDescent="0.3">
      <c r="A2707" s="45">
        <v>42931</v>
      </c>
      <c r="B2707" s="5" t="s">
        <v>84</v>
      </c>
      <c r="C2707" s="92" t="s">
        <v>2089</v>
      </c>
      <c r="D2707" s="43">
        <v>3000</v>
      </c>
      <c r="E2707" s="43"/>
      <c r="F2707" s="43">
        <f t="shared" si="42"/>
        <v>30381</v>
      </c>
      <c r="G2707" s="43"/>
    </row>
    <row r="2708" spans="1:7" x14ac:dyDescent="0.3">
      <c r="A2708" s="45">
        <v>42931</v>
      </c>
      <c r="B2708" s="5" t="s">
        <v>27</v>
      </c>
      <c r="C2708" s="92" t="s">
        <v>2090</v>
      </c>
      <c r="D2708" s="43">
        <v>1630</v>
      </c>
      <c r="E2708" s="43"/>
      <c r="F2708" s="43">
        <f t="shared" si="42"/>
        <v>28751</v>
      </c>
      <c r="G2708" s="43"/>
    </row>
    <row r="2709" spans="1:7" x14ac:dyDescent="0.3">
      <c r="A2709" s="45">
        <v>42931</v>
      </c>
      <c r="B2709" s="5" t="s">
        <v>10</v>
      </c>
      <c r="C2709" s="92" t="s">
        <v>2091</v>
      </c>
      <c r="D2709" s="43">
        <v>500</v>
      </c>
      <c r="E2709" s="43"/>
      <c r="F2709" s="43">
        <f t="shared" si="42"/>
        <v>28251</v>
      </c>
      <c r="G2709" s="43"/>
    </row>
    <row r="2710" spans="1:7" x14ac:dyDescent="0.3">
      <c r="A2710" s="45">
        <v>42933</v>
      </c>
      <c r="B2710" s="5" t="s">
        <v>2096</v>
      </c>
      <c r="C2710" s="92" t="s">
        <v>2106</v>
      </c>
      <c r="D2710" s="43">
        <v>10000</v>
      </c>
      <c r="E2710" s="43"/>
      <c r="F2710" s="43">
        <f t="shared" si="42"/>
        <v>18251</v>
      </c>
      <c r="G2710" s="43"/>
    </row>
    <row r="2711" spans="1:7" x14ac:dyDescent="0.3">
      <c r="A2711" s="45">
        <v>42933</v>
      </c>
      <c r="B2711" s="5" t="s">
        <v>25</v>
      </c>
      <c r="C2711" s="92" t="s">
        <v>2097</v>
      </c>
      <c r="D2711" s="43">
        <v>800</v>
      </c>
      <c r="E2711" s="43"/>
      <c r="F2711" s="43">
        <f t="shared" si="42"/>
        <v>17451</v>
      </c>
      <c r="G2711" s="43"/>
    </row>
    <row r="2712" spans="1:7" x14ac:dyDescent="0.3">
      <c r="A2712" s="45">
        <v>42933</v>
      </c>
      <c r="B2712" s="5" t="s">
        <v>25</v>
      </c>
      <c r="C2712" s="92" t="s">
        <v>2098</v>
      </c>
      <c r="D2712" s="43">
        <v>180</v>
      </c>
      <c r="E2712" s="43"/>
      <c r="F2712" s="43">
        <f t="shared" si="42"/>
        <v>17271</v>
      </c>
      <c r="G2712" s="43"/>
    </row>
    <row r="2713" spans="1:7" x14ac:dyDescent="0.3">
      <c r="A2713" s="45">
        <v>42933</v>
      </c>
      <c r="B2713" s="5" t="s">
        <v>104</v>
      </c>
      <c r="C2713" s="92" t="s">
        <v>2092</v>
      </c>
      <c r="D2713" s="43">
        <v>3000</v>
      </c>
      <c r="E2713" s="43"/>
      <c r="F2713" s="43">
        <f t="shared" si="42"/>
        <v>14271</v>
      </c>
      <c r="G2713" s="43"/>
    </row>
    <row r="2714" spans="1:7" x14ac:dyDescent="0.3">
      <c r="A2714" s="45">
        <v>42933</v>
      </c>
      <c r="B2714" s="5" t="s">
        <v>16</v>
      </c>
      <c r="C2714" s="92" t="s">
        <v>2093</v>
      </c>
      <c r="D2714" s="43">
        <v>520</v>
      </c>
      <c r="E2714" s="43"/>
      <c r="F2714" s="43">
        <f t="shared" si="42"/>
        <v>13751</v>
      </c>
      <c r="G2714" s="43"/>
    </row>
    <row r="2715" spans="1:7" ht="37.5" x14ac:dyDescent="0.3">
      <c r="A2715" s="45">
        <v>42933</v>
      </c>
      <c r="B2715" s="5" t="s">
        <v>27</v>
      </c>
      <c r="C2715" s="92" t="s">
        <v>2102</v>
      </c>
      <c r="D2715" s="43">
        <v>8000</v>
      </c>
      <c r="E2715" s="43"/>
      <c r="F2715" s="43">
        <f t="shared" si="42"/>
        <v>5751</v>
      </c>
      <c r="G2715" s="43"/>
    </row>
    <row r="2716" spans="1:7" x14ac:dyDescent="0.3">
      <c r="A2716" s="45">
        <v>42933</v>
      </c>
      <c r="B2716" s="756" t="s">
        <v>2101</v>
      </c>
      <c r="C2716" s="756"/>
      <c r="D2716" s="71"/>
      <c r="E2716" s="72">
        <v>8000</v>
      </c>
      <c r="F2716" s="43">
        <f t="shared" si="42"/>
        <v>13751</v>
      </c>
      <c r="G2716" s="43"/>
    </row>
    <row r="2717" spans="1:7" x14ac:dyDescent="0.3">
      <c r="A2717" s="45">
        <v>42933</v>
      </c>
      <c r="B2717" s="756" t="s">
        <v>2085</v>
      </c>
      <c r="C2717" s="756"/>
      <c r="D2717" s="71"/>
      <c r="E2717" s="72">
        <v>100000</v>
      </c>
      <c r="F2717" s="43">
        <f t="shared" si="42"/>
        <v>113751</v>
      </c>
      <c r="G2717" s="43"/>
    </row>
    <row r="2718" spans="1:7" x14ac:dyDescent="0.3">
      <c r="A2718" s="45">
        <v>42934</v>
      </c>
      <c r="B2718" s="5" t="s">
        <v>2086</v>
      </c>
      <c r="C2718" s="92" t="s">
        <v>2095</v>
      </c>
      <c r="D2718" s="43">
        <v>50000</v>
      </c>
      <c r="E2718" s="43"/>
      <c r="F2718" s="43">
        <f t="shared" si="42"/>
        <v>63751</v>
      </c>
      <c r="G2718" s="43"/>
    </row>
    <row r="2719" spans="1:7" x14ac:dyDescent="0.3">
      <c r="A2719" s="45">
        <v>42934</v>
      </c>
      <c r="B2719" s="5" t="s">
        <v>2096</v>
      </c>
      <c r="C2719" s="92" t="s">
        <v>31</v>
      </c>
      <c r="D2719" s="43">
        <v>30000</v>
      </c>
      <c r="E2719" s="43"/>
      <c r="F2719" s="43">
        <f t="shared" si="42"/>
        <v>33751</v>
      </c>
      <c r="G2719" s="43"/>
    </row>
    <row r="2720" spans="1:7" x14ac:dyDescent="0.3">
      <c r="A2720" s="45">
        <v>42934</v>
      </c>
      <c r="B2720" s="5" t="s">
        <v>16</v>
      </c>
      <c r="C2720" s="92" t="s">
        <v>31</v>
      </c>
      <c r="D2720" s="43">
        <v>1500</v>
      </c>
      <c r="E2720" s="43"/>
      <c r="F2720" s="43">
        <f t="shared" si="42"/>
        <v>32251</v>
      </c>
      <c r="G2720" s="43"/>
    </row>
    <row r="2721" spans="1:10" x14ac:dyDescent="0.3">
      <c r="A2721" s="45">
        <v>42934</v>
      </c>
      <c r="B2721" s="5" t="s">
        <v>25</v>
      </c>
      <c r="C2721" s="92" t="s">
        <v>1515</v>
      </c>
      <c r="D2721" s="43">
        <v>80</v>
      </c>
      <c r="E2721" s="43"/>
      <c r="F2721" s="43">
        <f t="shared" si="42"/>
        <v>32171</v>
      </c>
      <c r="G2721" s="43"/>
    </row>
    <row r="2722" spans="1:10" x14ac:dyDescent="0.3">
      <c r="A2722" s="45">
        <v>42934</v>
      </c>
      <c r="B2722" s="5" t="s">
        <v>120</v>
      </c>
      <c r="C2722" s="92" t="s">
        <v>31</v>
      </c>
      <c r="D2722" s="43">
        <v>3000</v>
      </c>
      <c r="E2722" s="43"/>
      <c r="F2722" s="43">
        <f t="shared" si="42"/>
        <v>29171</v>
      </c>
      <c r="G2722" s="43"/>
    </row>
    <row r="2723" spans="1:10" x14ac:dyDescent="0.3">
      <c r="A2723" s="45">
        <v>42934</v>
      </c>
      <c r="B2723" s="5" t="s">
        <v>25</v>
      </c>
      <c r="C2723" s="92" t="s">
        <v>2099</v>
      </c>
      <c r="D2723" s="43">
        <v>80</v>
      </c>
      <c r="E2723" s="43"/>
      <c r="F2723" s="43">
        <f t="shared" si="42"/>
        <v>29091</v>
      </c>
      <c r="G2723" s="43"/>
    </row>
    <row r="2724" spans="1:10" x14ac:dyDescent="0.3">
      <c r="A2724" s="45">
        <v>42935</v>
      </c>
      <c r="B2724" s="5" t="s">
        <v>2096</v>
      </c>
      <c r="C2724" s="92" t="s">
        <v>2100</v>
      </c>
      <c r="D2724" s="43">
        <v>10000</v>
      </c>
      <c r="E2724" s="43"/>
      <c r="F2724" s="43">
        <f t="shared" si="42"/>
        <v>19091</v>
      </c>
      <c r="G2724" s="43"/>
    </row>
    <row r="2725" spans="1:10" x14ac:dyDescent="0.3">
      <c r="A2725" s="45">
        <v>42935</v>
      </c>
      <c r="B2725" s="5" t="s">
        <v>2096</v>
      </c>
      <c r="C2725" s="92" t="s">
        <v>2100</v>
      </c>
      <c r="D2725" s="43">
        <v>18000</v>
      </c>
      <c r="E2725" s="43"/>
      <c r="F2725" s="43">
        <f t="shared" si="42"/>
        <v>1091</v>
      </c>
      <c r="G2725" s="43"/>
    </row>
    <row r="2726" spans="1:10" x14ac:dyDescent="0.3">
      <c r="A2726" s="45">
        <v>42935</v>
      </c>
      <c r="B2726" s="5" t="s">
        <v>2051</v>
      </c>
      <c r="C2726" s="92" t="s">
        <v>2013</v>
      </c>
      <c r="D2726" s="43">
        <v>100</v>
      </c>
      <c r="E2726" s="43"/>
      <c r="F2726" s="43">
        <f t="shared" si="42"/>
        <v>991</v>
      </c>
      <c r="G2726" s="43"/>
    </row>
    <row r="2727" spans="1:10" x14ac:dyDescent="0.3">
      <c r="A2727" s="45">
        <v>42935</v>
      </c>
      <c r="B2727" s="5" t="s">
        <v>2103</v>
      </c>
      <c r="C2727" s="92" t="s">
        <v>2104</v>
      </c>
      <c r="D2727" s="43">
        <v>200</v>
      </c>
      <c r="E2727" s="43"/>
      <c r="F2727" s="43">
        <f t="shared" si="42"/>
        <v>791</v>
      </c>
      <c r="G2727" s="43"/>
    </row>
    <row r="2728" spans="1:10" x14ac:dyDescent="0.3">
      <c r="A2728" s="45">
        <v>42935</v>
      </c>
      <c r="B2728" s="5" t="s">
        <v>25</v>
      </c>
      <c r="C2728" s="92" t="s">
        <v>2108</v>
      </c>
      <c r="D2728" s="43">
        <v>555</v>
      </c>
      <c r="E2728" s="43"/>
      <c r="F2728" s="43">
        <f t="shared" si="42"/>
        <v>236</v>
      </c>
      <c r="G2728" s="43"/>
    </row>
    <row r="2729" spans="1:10" ht="37.5" x14ac:dyDescent="0.3">
      <c r="A2729" s="45">
        <v>42935</v>
      </c>
      <c r="B2729" s="5" t="s">
        <v>60</v>
      </c>
      <c r="C2729" s="92" t="s">
        <v>2105</v>
      </c>
      <c r="D2729" s="43">
        <v>300</v>
      </c>
      <c r="E2729" s="43"/>
      <c r="F2729" s="43">
        <f t="shared" si="42"/>
        <v>-64</v>
      </c>
      <c r="G2729" s="43"/>
    </row>
    <row r="2730" spans="1:10" ht="37.5" x14ac:dyDescent="0.3">
      <c r="A2730" s="45">
        <v>42936</v>
      </c>
      <c r="B2730" s="5" t="s">
        <v>2103</v>
      </c>
      <c r="C2730" s="92" t="s">
        <v>2107</v>
      </c>
      <c r="D2730" s="43">
        <v>120</v>
      </c>
      <c r="E2730" s="43"/>
      <c r="F2730" s="43">
        <f t="shared" si="42"/>
        <v>-184</v>
      </c>
      <c r="G2730" s="43"/>
    </row>
    <row r="2731" spans="1:10" x14ac:dyDescent="0.3">
      <c r="A2731" s="45">
        <v>42936</v>
      </c>
      <c r="B2731" s="5" t="s">
        <v>25</v>
      </c>
      <c r="C2731" s="92" t="s">
        <v>2109</v>
      </c>
      <c r="D2731" s="43">
        <v>100</v>
      </c>
      <c r="E2731" s="43"/>
      <c r="F2731" s="43">
        <f t="shared" si="42"/>
        <v>-284</v>
      </c>
      <c r="G2731" s="43"/>
    </row>
    <row r="2732" spans="1:10" x14ac:dyDescent="0.3">
      <c r="A2732" s="45">
        <v>42936</v>
      </c>
      <c r="B2732" s="5" t="s">
        <v>2103</v>
      </c>
      <c r="C2732" s="92" t="s">
        <v>2110</v>
      </c>
      <c r="D2732" s="43">
        <v>120</v>
      </c>
      <c r="E2732" s="43"/>
      <c r="F2732" s="43">
        <f t="shared" si="42"/>
        <v>-404</v>
      </c>
      <c r="G2732" s="43"/>
    </row>
    <row r="2733" spans="1:10" x14ac:dyDescent="0.3">
      <c r="A2733" s="45">
        <v>42936</v>
      </c>
      <c r="B2733" s="756" t="s">
        <v>2085</v>
      </c>
      <c r="C2733" s="756"/>
      <c r="D2733" s="71"/>
      <c r="E2733" s="72">
        <v>100000</v>
      </c>
      <c r="F2733" s="43">
        <f t="shared" si="42"/>
        <v>99596</v>
      </c>
      <c r="G2733" s="43"/>
    </row>
    <row r="2734" spans="1:10" s="114" customFormat="1" x14ac:dyDescent="0.3">
      <c r="A2734" s="45">
        <v>42936</v>
      </c>
      <c r="B2734" s="115" t="s">
        <v>1343</v>
      </c>
      <c r="C2734" s="115" t="s">
        <v>2115</v>
      </c>
      <c r="D2734" s="112">
        <v>7760</v>
      </c>
      <c r="E2734" s="58"/>
      <c r="F2734" s="43">
        <f t="shared" si="42"/>
        <v>91836</v>
      </c>
      <c r="G2734" s="58"/>
      <c r="H2734" s="113"/>
      <c r="I2734" s="113"/>
      <c r="J2734" s="113"/>
    </row>
    <row r="2735" spans="1:10" x14ac:dyDescent="0.3">
      <c r="A2735" s="45">
        <v>42937</v>
      </c>
      <c r="B2735" s="61" t="s">
        <v>1343</v>
      </c>
      <c r="C2735" s="132" t="s">
        <v>31</v>
      </c>
      <c r="D2735" s="62">
        <v>2240</v>
      </c>
      <c r="E2735" s="43"/>
      <c r="F2735" s="43">
        <f t="shared" si="42"/>
        <v>89596</v>
      </c>
      <c r="G2735" s="43"/>
    </row>
    <row r="2736" spans="1:10" x14ac:dyDescent="0.3">
      <c r="A2736" s="45">
        <v>42937</v>
      </c>
      <c r="B2736" s="5" t="s">
        <v>25</v>
      </c>
      <c r="C2736" s="92" t="s">
        <v>2111</v>
      </c>
      <c r="D2736" s="43">
        <v>60</v>
      </c>
      <c r="E2736" s="43"/>
      <c r="F2736" s="43">
        <f t="shared" si="42"/>
        <v>89536</v>
      </c>
      <c r="G2736" s="43"/>
    </row>
    <row r="2737" spans="1:7" x14ac:dyDescent="0.3">
      <c r="A2737" s="45">
        <v>42937</v>
      </c>
      <c r="B2737" s="5" t="s">
        <v>27</v>
      </c>
      <c r="C2737" s="92" t="s">
        <v>2112</v>
      </c>
      <c r="D2737" s="43">
        <v>20000</v>
      </c>
      <c r="E2737" s="43"/>
      <c r="F2737" s="43">
        <f t="shared" si="42"/>
        <v>69536</v>
      </c>
      <c r="G2737" s="43"/>
    </row>
    <row r="2738" spans="1:7" x14ac:dyDescent="0.3">
      <c r="A2738" s="45">
        <v>42937</v>
      </c>
      <c r="B2738" s="5" t="s">
        <v>27</v>
      </c>
      <c r="C2738" s="92" t="s">
        <v>2113</v>
      </c>
      <c r="D2738" s="43">
        <v>400</v>
      </c>
      <c r="E2738" s="43"/>
      <c r="F2738" s="43">
        <f t="shared" si="42"/>
        <v>69136</v>
      </c>
      <c r="G2738" s="43"/>
    </row>
    <row r="2739" spans="1:7" x14ac:dyDescent="0.3">
      <c r="A2739" s="45">
        <v>42937</v>
      </c>
      <c r="B2739" s="5" t="s">
        <v>120</v>
      </c>
      <c r="C2739" s="92" t="s">
        <v>77</v>
      </c>
      <c r="D2739" s="43">
        <v>4000</v>
      </c>
      <c r="E2739" s="43"/>
      <c r="F2739" s="43">
        <f t="shared" si="42"/>
        <v>65136</v>
      </c>
      <c r="G2739" s="65"/>
    </row>
    <row r="2740" spans="1:7" x14ac:dyDescent="0.3">
      <c r="A2740" s="45">
        <v>42938</v>
      </c>
      <c r="B2740" s="5" t="s">
        <v>60</v>
      </c>
      <c r="C2740" s="92" t="s">
        <v>2114</v>
      </c>
      <c r="D2740" s="43">
        <v>5000</v>
      </c>
      <c r="E2740" s="43"/>
      <c r="F2740" s="43">
        <f t="shared" ref="F2740:F2803" si="43">E2740+F2739-D2740</f>
        <v>60136</v>
      </c>
      <c r="G2740" s="43"/>
    </row>
    <row r="2741" spans="1:7" x14ac:dyDescent="0.3">
      <c r="A2741" s="45">
        <v>42938</v>
      </c>
      <c r="B2741" s="5" t="s">
        <v>25</v>
      </c>
      <c r="C2741" s="92" t="s">
        <v>2129</v>
      </c>
      <c r="D2741" s="43">
        <v>300</v>
      </c>
      <c r="E2741" s="43"/>
      <c r="F2741" s="43">
        <f t="shared" si="43"/>
        <v>59836</v>
      </c>
      <c r="G2741" s="43"/>
    </row>
    <row r="2742" spans="1:7" x14ac:dyDescent="0.3">
      <c r="A2742" s="45">
        <v>42938</v>
      </c>
      <c r="B2742" s="5" t="s">
        <v>120</v>
      </c>
      <c r="C2742" s="92" t="s">
        <v>31</v>
      </c>
      <c r="D2742" s="43">
        <v>15000</v>
      </c>
      <c r="E2742" s="43"/>
      <c r="F2742" s="43">
        <f t="shared" si="43"/>
        <v>44836</v>
      </c>
      <c r="G2742" s="43"/>
    </row>
    <row r="2743" spans="1:7" x14ac:dyDescent="0.3">
      <c r="A2743" s="45">
        <v>42938</v>
      </c>
      <c r="B2743" s="5" t="s">
        <v>1193</v>
      </c>
      <c r="C2743" s="92" t="s">
        <v>1624</v>
      </c>
      <c r="D2743" s="43">
        <v>1000</v>
      </c>
      <c r="E2743" s="43"/>
      <c r="F2743" s="43">
        <f t="shared" si="43"/>
        <v>43836</v>
      </c>
      <c r="G2743" s="43"/>
    </row>
    <row r="2744" spans="1:7" ht="37.5" x14ac:dyDescent="0.3">
      <c r="A2744" s="45">
        <v>42938</v>
      </c>
      <c r="B2744" s="5" t="s">
        <v>2103</v>
      </c>
      <c r="C2744" s="92" t="s">
        <v>2133</v>
      </c>
      <c r="D2744" s="65">
        <v>1350</v>
      </c>
      <c r="E2744" s="43"/>
      <c r="F2744" s="43">
        <f t="shared" si="43"/>
        <v>42486</v>
      </c>
      <c r="G2744" s="43"/>
    </row>
    <row r="2745" spans="1:7" x14ac:dyDescent="0.3">
      <c r="A2745" s="45">
        <v>42940</v>
      </c>
      <c r="B2745" s="5" t="s">
        <v>18</v>
      </c>
      <c r="C2745" s="92" t="s">
        <v>2116</v>
      </c>
      <c r="D2745" s="43">
        <v>5000</v>
      </c>
      <c r="E2745" s="43"/>
      <c r="F2745" s="43">
        <f t="shared" si="43"/>
        <v>37486</v>
      </c>
      <c r="G2745" s="43"/>
    </row>
    <row r="2746" spans="1:7" ht="37.5" x14ac:dyDescent="0.3">
      <c r="A2746" s="45">
        <v>42940</v>
      </c>
      <c r="B2746" s="5" t="s">
        <v>120</v>
      </c>
      <c r="C2746" s="92" t="s">
        <v>2117</v>
      </c>
      <c r="D2746" s="43">
        <v>500</v>
      </c>
      <c r="E2746" s="43"/>
      <c r="F2746" s="43">
        <f t="shared" si="43"/>
        <v>36986</v>
      </c>
      <c r="G2746" s="43"/>
    </row>
    <row r="2747" spans="1:7" x14ac:dyDescent="0.3">
      <c r="A2747" s="45">
        <v>42940</v>
      </c>
      <c r="B2747" s="756" t="s">
        <v>2118</v>
      </c>
      <c r="C2747" s="756"/>
      <c r="D2747" s="71"/>
      <c r="E2747" s="72">
        <v>1100</v>
      </c>
      <c r="F2747" s="43">
        <f t="shared" si="43"/>
        <v>38086</v>
      </c>
      <c r="G2747" s="43"/>
    </row>
    <row r="2748" spans="1:7" ht="56.25" x14ac:dyDescent="0.3">
      <c r="A2748" s="45">
        <v>42940</v>
      </c>
      <c r="B2748" s="92" t="s">
        <v>2119</v>
      </c>
      <c r="C2748" s="92" t="s">
        <v>2120</v>
      </c>
      <c r="D2748" s="43">
        <v>38600</v>
      </c>
      <c r="E2748" s="43"/>
      <c r="F2748" s="43">
        <f t="shared" si="43"/>
        <v>-514</v>
      </c>
      <c r="G2748" s="43"/>
    </row>
    <row r="2749" spans="1:7" x14ac:dyDescent="0.3">
      <c r="A2749" s="45">
        <v>42940</v>
      </c>
      <c r="B2749" s="5" t="s">
        <v>25</v>
      </c>
      <c r="C2749" s="92" t="s">
        <v>2121</v>
      </c>
      <c r="D2749" s="43">
        <v>300</v>
      </c>
      <c r="E2749" s="43"/>
      <c r="F2749" s="43">
        <f t="shared" si="43"/>
        <v>-814</v>
      </c>
      <c r="G2749" s="43"/>
    </row>
    <row r="2750" spans="1:7" x14ac:dyDescent="0.3">
      <c r="A2750" s="45">
        <v>42940</v>
      </c>
      <c r="B2750" s="5" t="s">
        <v>25</v>
      </c>
      <c r="C2750" s="92" t="s">
        <v>2122</v>
      </c>
      <c r="D2750" s="43">
        <v>50</v>
      </c>
      <c r="E2750" s="43"/>
      <c r="F2750" s="43">
        <f t="shared" si="43"/>
        <v>-864</v>
      </c>
      <c r="G2750" s="43"/>
    </row>
    <row r="2751" spans="1:7" x14ac:dyDescent="0.3">
      <c r="A2751" s="45">
        <v>42941</v>
      </c>
      <c r="B2751" s="756" t="s">
        <v>2123</v>
      </c>
      <c r="C2751" s="756"/>
      <c r="D2751" s="71"/>
      <c r="E2751" s="72">
        <v>100000</v>
      </c>
      <c r="F2751" s="43">
        <f t="shared" si="43"/>
        <v>99136</v>
      </c>
      <c r="G2751" s="43"/>
    </row>
    <row r="2752" spans="1:7" x14ac:dyDescent="0.3">
      <c r="A2752" s="45">
        <v>42941</v>
      </c>
      <c r="B2752" s="5" t="s">
        <v>56</v>
      </c>
      <c r="C2752" s="92" t="s">
        <v>2124</v>
      </c>
      <c r="D2752" s="43">
        <v>1000</v>
      </c>
      <c r="E2752" s="43"/>
      <c r="F2752" s="43">
        <f t="shared" si="43"/>
        <v>98136</v>
      </c>
      <c r="G2752" s="43"/>
    </row>
    <row r="2753" spans="1:7" x14ac:dyDescent="0.3">
      <c r="A2753" s="45">
        <v>42941</v>
      </c>
      <c r="B2753" s="5" t="s">
        <v>56</v>
      </c>
      <c r="C2753" s="92" t="s">
        <v>2148</v>
      </c>
      <c r="D2753" s="43">
        <v>2500</v>
      </c>
      <c r="E2753" s="43"/>
      <c r="F2753" s="43">
        <f t="shared" si="43"/>
        <v>95636</v>
      </c>
      <c r="G2753" s="43"/>
    </row>
    <row r="2754" spans="1:7" x14ac:dyDescent="0.3">
      <c r="A2754" s="45">
        <v>42941</v>
      </c>
      <c r="B2754" s="5" t="s">
        <v>1343</v>
      </c>
      <c r="C2754" s="92" t="s">
        <v>2126</v>
      </c>
      <c r="D2754" s="43">
        <v>10000</v>
      </c>
      <c r="E2754" s="43"/>
      <c r="F2754" s="43">
        <f t="shared" si="43"/>
        <v>85636</v>
      </c>
      <c r="G2754" s="43"/>
    </row>
    <row r="2755" spans="1:7" x14ac:dyDescent="0.3">
      <c r="A2755" s="45">
        <v>42941</v>
      </c>
      <c r="B2755" s="5" t="s">
        <v>2125</v>
      </c>
      <c r="C2755" s="92" t="s">
        <v>2128</v>
      </c>
      <c r="D2755" s="43">
        <v>8500</v>
      </c>
      <c r="E2755" s="43"/>
      <c r="F2755" s="43">
        <f t="shared" si="43"/>
        <v>77136</v>
      </c>
      <c r="G2755" s="43"/>
    </row>
    <row r="2756" spans="1:7" x14ac:dyDescent="0.3">
      <c r="A2756" s="45">
        <v>42941</v>
      </c>
      <c r="B2756" s="5" t="s">
        <v>541</v>
      </c>
      <c r="C2756" s="92" t="s">
        <v>2127</v>
      </c>
      <c r="D2756" s="43">
        <v>10000</v>
      </c>
      <c r="E2756" s="43"/>
      <c r="F2756" s="43">
        <f t="shared" si="43"/>
        <v>67136</v>
      </c>
      <c r="G2756" s="43"/>
    </row>
    <row r="2757" spans="1:7" ht="37.5" x14ac:dyDescent="0.3">
      <c r="A2757" s="45">
        <v>42941</v>
      </c>
      <c r="B2757" s="5" t="s">
        <v>445</v>
      </c>
      <c r="C2757" s="92" t="s">
        <v>2152</v>
      </c>
      <c r="D2757" s="43">
        <v>1100</v>
      </c>
      <c r="E2757" s="43"/>
      <c r="F2757" s="43">
        <f t="shared" si="43"/>
        <v>66036</v>
      </c>
      <c r="G2757" s="43"/>
    </row>
    <row r="2758" spans="1:7" x14ac:dyDescent="0.3">
      <c r="A2758" s="45">
        <v>42941</v>
      </c>
      <c r="B2758" s="5" t="s">
        <v>104</v>
      </c>
      <c r="C2758" s="92" t="s">
        <v>31</v>
      </c>
      <c r="D2758" s="43">
        <v>1000</v>
      </c>
      <c r="E2758" s="43"/>
      <c r="F2758" s="43">
        <f t="shared" si="43"/>
        <v>65036</v>
      </c>
      <c r="G2758" s="43"/>
    </row>
    <row r="2759" spans="1:7" x14ac:dyDescent="0.3">
      <c r="A2759" s="45">
        <v>42941</v>
      </c>
      <c r="B2759" s="5" t="s">
        <v>445</v>
      </c>
      <c r="C2759" s="92" t="s">
        <v>2130</v>
      </c>
      <c r="D2759" s="43">
        <v>100</v>
      </c>
      <c r="E2759" s="43"/>
      <c r="F2759" s="43">
        <f t="shared" si="43"/>
        <v>64936</v>
      </c>
      <c r="G2759" s="43"/>
    </row>
    <row r="2760" spans="1:7" x14ac:dyDescent="0.3">
      <c r="A2760" s="45">
        <v>42942</v>
      </c>
      <c r="B2760" s="5" t="s">
        <v>247</v>
      </c>
      <c r="C2760" s="92" t="s">
        <v>2131</v>
      </c>
      <c r="D2760" s="65">
        <v>4340</v>
      </c>
      <c r="E2760" s="43"/>
      <c r="F2760" s="43">
        <f t="shared" si="43"/>
        <v>60596</v>
      </c>
      <c r="G2760" s="43"/>
    </row>
    <row r="2761" spans="1:7" x14ac:dyDescent="0.3">
      <c r="A2761" s="45">
        <v>42942</v>
      </c>
      <c r="B2761" s="5" t="s">
        <v>2051</v>
      </c>
      <c r="C2761" s="92" t="s">
        <v>2141</v>
      </c>
      <c r="D2761" s="65">
        <v>100</v>
      </c>
      <c r="E2761" s="43"/>
      <c r="F2761" s="43">
        <f t="shared" si="43"/>
        <v>60496</v>
      </c>
      <c r="G2761" s="43"/>
    </row>
    <row r="2762" spans="1:7" ht="37.5" x14ac:dyDescent="0.3">
      <c r="A2762" s="45">
        <v>42942</v>
      </c>
      <c r="B2762" s="44" t="s">
        <v>25</v>
      </c>
      <c r="C2762" s="124" t="s">
        <v>2132</v>
      </c>
      <c r="D2762" s="28">
        <v>4360</v>
      </c>
      <c r="E2762" s="28"/>
      <c r="F2762" s="43">
        <f t="shared" si="43"/>
        <v>56136</v>
      </c>
      <c r="G2762" s="28"/>
    </row>
    <row r="2763" spans="1:7" x14ac:dyDescent="0.3">
      <c r="A2763" s="45">
        <v>42942</v>
      </c>
      <c r="B2763" s="5" t="s">
        <v>445</v>
      </c>
      <c r="C2763" s="92" t="s">
        <v>2134</v>
      </c>
      <c r="D2763" s="43">
        <v>500</v>
      </c>
      <c r="E2763" s="43"/>
      <c r="F2763" s="43">
        <f t="shared" si="43"/>
        <v>55636</v>
      </c>
      <c r="G2763" s="43"/>
    </row>
    <row r="2764" spans="1:7" ht="37.5" x14ac:dyDescent="0.3">
      <c r="A2764" s="45">
        <v>42942</v>
      </c>
      <c r="B2764" s="85" t="s">
        <v>2103</v>
      </c>
      <c r="C2764" s="150" t="s">
        <v>2191</v>
      </c>
      <c r="D2764" s="86">
        <v>3000</v>
      </c>
      <c r="E2764" s="43"/>
      <c r="F2764" s="43">
        <f t="shared" si="43"/>
        <v>52636</v>
      </c>
      <c r="G2764" s="43"/>
    </row>
    <row r="2765" spans="1:7" x14ac:dyDescent="0.3">
      <c r="A2765" s="45">
        <v>42942</v>
      </c>
      <c r="B2765" s="5" t="s">
        <v>4</v>
      </c>
      <c r="C2765" s="92" t="s">
        <v>2135</v>
      </c>
      <c r="D2765" s="43">
        <v>2000</v>
      </c>
      <c r="E2765" s="43"/>
      <c r="F2765" s="43">
        <f t="shared" si="43"/>
        <v>50636</v>
      </c>
      <c r="G2765" s="43"/>
    </row>
    <row r="2766" spans="1:7" x14ac:dyDescent="0.3">
      <c r="A2766" s="45">
        <v>42942</v>
      </c>
      <c r="B2766" s="5" t="s">
        <v>1074</v>
      </c>
      <c r="C2766" s="92" t="s">
        <v>2136</v>
      </c>
      <c r="D2766" s="43">
        <v>50891</v>
      </c>
      <c r="E2766" s="43"/>
      <c r="F2766" s="43">
        <f t="shared" si="43"/>
        <v>-255</v>
      </c>
      <c r="G2766" s="43"/>
    </row>
    <row r="2767" spans="1:7" ht="37.5" x14ac:dyDescent="0.3">
      <c r="A2767" s="45">
        <v>42942</v>
      </c>
      <c r="B2767" s="5" t="s">
        <v>2086</v>
      </c>
      <c r="C2767" s="92" t="s">
        <v>2139</v>
      </c>
      <c r="D2767" s="65">
        <v>5000</v>
      </c>
      <c r="E2767" s="43"/>
      <c r="F2767" s="43">
        <f t="shared" si="43"/>
        <v>-5255</v>
      </c>
      <c r="G2767" s="43"/>
    </row>
    <row r="2768" spans="1:7" x14ac:dyDescent="0.3">
      <c r="A2768" s="45">
        <v>42942</v>
      </c>
      <c r="B2768" s="756" t="s">
        <v>2085</v>
      </c>
      <c r="C2768" s="756"/>
      <c r="D2768" s="71"/>
      <c r="E2768" s="72">
        <v>100000</v>
      </c>
      <c r="F2768" s="43">
        <f t="shared" si="43"/>
        <v>94745</v>
      </c>
      <c r="G2768" s="43"/>
    </row>
    <row r="2769" spans="1:7" ht="37.5" x14ac:dyDescent="0.3">
      <c r="A2769" s="45">
        <v>42942</v>
      </c>
      <c r="B2769" s="5" t="s">
        <v>2137</v>
      </c>
      <c r="C2769" s="92" t="s">
        <v>2140</v>
      </c>
      <c r="D2769" s="43">
        <v>80450</v>
      </c>
      <c r="E2769" s="43"/>
      <c r="F2769" s="43">
        <f t="shared" si="43"/>
        <v>14295</v>
      </c>
      <c r="G2769" s="43"/>
    </row>
    <row r="2770" spans="1:7" x14ac:dyDescent="0.3">
      <c r="A2770" s="45">
        <v>42942</v>
      </c>
      <c r="B2770" s="5" t="s">
        <v>2096</v>
      </c>
      <c r="C2770" s="92" t="s">
        <v>2138</v>
      </c>
      <c r="D2770" s="43">
        <v>10000</v>
      </c>
      <c r="E2770" s="43"/>
      <c r="F2770" s="43">
        <f t="shared" si="43"/>
        <v>4295</v>
      </c>
      <c r="G2770" s="43"/>
    </row>
    <row r="2771" spans="1:7" x14ac:dyDescent="0.3">
      <c r="A2771" s="45">
        <v>42942</v>
      </c>
      <c r="B2771" s="5" t="s">
        <v>68</v>
      </c>
      <c r="C2771" s="92" t="s">
        <v>1581</v>
      </c>
      <c r="D2771" s="43">
        <v>1000</v>
      </c>
      <c r="E2771" s="43"/>
      <c r="F2771" s="43">
        <f t="shared" si="43"/>
        <v>3295</v>
      </c>
      <c r="G2771" s="43"/>
    </row>
    <row r="2772" spans="1:7" x14ac:dyDescent="0.3">
      <c r="A2772" s="45">
        <v>42942</v>
      </c>
      <c r="B2772" s="5" t="s">
        <v>16</v>
      </c>
      <c r="C2772" s="92" t="s">
        <v>31</v>
      </c>
      <c r="D2772" s="43">
        <v>1050</v>
      </c>
      <c r="E2772" s="43"/>
      <c r="F2772" s="43">
        <f t="shared" si="43"/>
        <v>2245</v>
      </c>
      <c r="G2772" s="43"/>
    </row>
    <row r="2773" spans="1:7" x14ac:dyDescent="0.3">
      <c r="A2773" s="45">
        <v>42943</v>
      </c>
      <c r="B2773" s="5" t="s">
        <v>2051</v>
      </c>
      <c r="C2773" s="92" t="s">
        <v>2142</v>
      </c>
      <c r="D2773" s="43">
        <v>50</v>
      </c>
      <c r="E2773" s="43"/>
      <c r="F2773" s="43">
        <f t="shared" si="43"/>
        <v>2195</v>
      </c>
      <c r="G2773" s="43"/>
    </row>
    <row r="2774" spans="1:7" x14ac:dyDescent="0.3">
      <c r="A2774" s="45">
        <v>42943</v>
      </c>
      <c r="B2774" s="95" t="s">
        <v>16</v>
      </c>
      <c r="C2774" s="96" t="s">
        <v>31</v>
      </c>
      <c r="D2774" s="97">
        <v>100</v>
      </c>
      <c r="E2774" s="43"/>
      <c r="F2774" s="43">
        <f t="shared" si="43"/>
        <v>2095</v>
      </c>
      <c r="G2774" s="43"/>
    </row>
    <row r="2775" spans="1:7" ht="56.25" x14ac:dyDescent="0.3">
      <c r="A2775" s="45">
        <v>42943</v>
      </c>
      <c r="B2775" s="5" t="s">
        <v>2143</v>
      </c>
      <c r="C2775" s="92" t="s">
        <v>2144</v>
      </c>
      <c r="D2775" s="43">
        <v>1000</v>
      </c>
      <c r="E2775" s="43"/>
      <c r="F2775" s="43">
        <f t="shared" si="43"/>
        <v>1095</v>
      </c>
      <c r="G2775" s="43"/>
    </row>
    <row r="2776" spans="1:7" x14ac:dyDescent="0.3">
      <c r="A2776" s="45">
        <v>42943</v>
      </c>
      <c r="B2776" s="5" t="s">
        <v>84</v>
      </c>
      <c r="C2776" s="92" t="s">
        <v>2145</v>
      </c>
      <c r="D2776" s="43">
        <v>1000</v>
      </c>
      <c r="E2776" s="43"/>
      <c r="F2776" s="43">
        <f t="shared" si="43"/>
        <v>95</v>
      </c>
      <c r="G2776" s="43"/>
    </row>
    <row r="2777" spans="1:7" x14ac:dyDescent="0.3">
      <c r="A2777" s="45">
        <v>42943</v>
      </c>
      <c r="B2777" s="5" t="s">
        <v>25</v>
      </c>
      <c r="C2777" s="92" t="s">
        <v>2153</v>
      </c>
      <c r="D2777" s="43">
        <v>550</v>
      </c>
      <c r="E2777" s="43"/>
      <c r="F2777" s="43">
        <f t="shared" si="43"/>
        <v>-455</v>
      </c>
      <c r="G2777" s="43"/>
    </row>
    <row r="2778" spans="1:7" x14ac:dyDescent="0.3">
      <c r="A2778" s="45">
        <v>42944</v>
      </c>
      <c r="B2778" s="5" t="s">
        <v>445</v>
      </c>
      <c r="C2778" s="92" t="s">
        <v>31</v>
      </c>
      <c r="D2778" s="43">
        <v>500</v>
      </c>
      <c r="E2778" s="43"/>
      <c r="F2778" s="43">
        <f t="shared" si="43"/>
        <v>-955</v>
      </c>
      <c r="G2778" s="43"/>
    </row>
    <row r="2779" spans="1:7" x14ac:dyDescent="0.3">
      <c r="A2779" s="45">
        <v>42944</v>
      </c>
      <c r="B2779" s="756" t="s">
        <v>2085</v>
      </c>
      <c r="C2779" s="756"/>
      <c r="D2779" s="71"/>
      <c r="E2779" s="72">
        <v>50000</v>
      </c>
      <c r="F2779" s="43">
        <f t="shared" si="43"/>
        <v>49045</v>
      </c>
      <c r="G2779" s="43"/>
    </row>
    <row r="2780" spans="1:7" x14ac:dyDescent="0.3">
      <c r="A2780" s="45">
        <v>42944</v>
      </c>
      <c r="B2780" s="5" t="s">
        <v>84</v>
      </c>
      <c r="C2780" s="92" t="s">
        <v>2146</v>
      </c>
      <c r="D2780" s="43">
        <v>2000</v>
      </c>
      <c r="E2780" s="43"/>
      <c r="F2780" s="43">
        <f t="shared" si="43"/>
        <v>47045</v>
      </c>
      <c r="G2780" s="43"/>
    </row>
    <row r="2781" spans="1:7" x14ac:dyDescent="0.3">
      <c r="A2781" s="45">
        <v>42944</v>
      </c>
      <c r="B2781" s="5" t="s">
        <v>120</v>
      </c>
      <c r="C2781" s="92" t="s">
        <v>31</v>
      </c>
      <c r="D2781" s="43">
        <v>2000</v>
      </c>
      <c r="E2781" s="43"/>
      <c r="F2781" s="43">
        <f t="shared" si="43"/>
        <v>45045</v>
      </c>
      <c r="G2781" s="43"/>
    </row>
    <row r="2782" spans="1:7" x14ac:dyDescent="0.3">
      <c r="A2782" s="45">
        <v>42944</v>
      </c>
      <c r="B2782" s="5" t="s">
        <v>84</v>
      </c>
      <c r="C2782" s="92" t="s">
        <v>2147</v>
      </c>
      <c r="D2782" s="43">
        <v>5000</v>
      </c>
      <c r="E2782" s="43"/>
      <c r="F2782" s="43">
        <f t="shared" si="43"/>
        <v>40045</v>
      </c>
      <c r="G2782" s="43"/>
    </row>
    <row r="2783" spans="1:7" x14ac:dyDescent="0.3">
      <c r="A2783" s="45">
        <v>42944</v>
      </c>
      <c r="B2783" s="5" t="s">
        <v>16</v>
      </c>
      <c r="C2783" s="92" t="s">
        <v>31</v>
      </c>
      <c r="D2783" s="43">
        <v>500</v>
      </c>
      <c r="E2783" s="43"/>
      <c r="F2783" s="43">
        <f t="shared" si="43"/>
        <v>39545</v>
      </c>
      <c r="G2783" s="43"/>
    </row>
    <row r="2784" spans="1:7" x14ac:dyDescent="0.3">
      <c r="A2784" s="45">
        <v>42944</v>
      </c>
      <c r="B2784" s="5" t="s">
        <v>84</v>
      </c>
      <c r="C2784" s="92" t="s">
        <v>2149</v>
      </c>
      <c r="D2784" s="43">
        <v>3000</v>
      </c>
      <c r="E2784" s="43"/>
      <c r="F2784" s="43">
        <f t="shared" si="43"/>
        <v>36545</v>
      </c>
      <c r="G2784" s="43"/>
    </row>
    <row r="2785" spans="1:10" ht="18" customHeight="1" x14ac:dyDescent="0.3">
      <c r="A2785" s="45">
        <v>42944</v>
      </c>
      <c r="B2785" s="44" t="s">
        <v>25</v>
      </c>
      <c r="C2785" s="124" t="s">
        <v>2154</v>
      </c>
      <c r="D2785" s="43">
        <v>495</v>
      </c>
      <c r="E2785" s="43"/>
      <c r="F2785" s="43">
        <f t="shared" si="43"/>
        <v>36050</v>
      </c>
      <c r="G2785" s="43"/>
    </row>
    <row r="2786" spans="1:10" x14ac:dyDescent="0.3">
      <c r="A2786" s="45">
        <v>42944</v>
      </c>
      <c r="B2786" s="5" t="s">
        <v>84</v>
      </c>
      <c r="C2786" s="92" t="s">
        <v>2158</v>
      </c>
      <c r="D2786" s="43">
        <v>1000</v>
      </c>
      <c r="E2786" s="43"/>
      <c r="F2786" s="43">
        <f t="shared" si="43"/>
        <v>35050</v>
      </c>
      <c r="G2786" s="43"/>
    </row>
    <row r="2787" spans="1:10" x14ac:dyDescent="0.3">
      <c r="A2787" s="45">
        <v>42944</v>
      </c>
      <c r="B2787" s="5" t="s">
        <v>2150</v>
      </c>
      <c r="C2787" s="92" t="s">
        <v>2151</v>
      </c>
      <c r="D2787" s="43">
        <v>8000</v>
      </c>
      <c r="E2787" s="43"/>
      <c r="F2787" s="43">
        <f t="shared" si="43"/>
        <v>27050</v>
      </c>
      <c r="G2787" s="43"/>
    </row>
    <row r="2788" spans="1:10" x14ac:dyDescent="0.3">
      <c r="A2788" s="45">
        <v>42944</v>
      </c>
      <c r="B2788" s="5" t="s">
        <v>181</v>
      </c>
      <c r="C2788" s="92" t="s">
        <v>31</v>
      </c>
      <c r="D2788" s="43">
        <v>10000</v>
      </c>
      <c r="E2788" s="43"/>
      <c r="F2788" s="43">
        <f t="shared" si="43"/>
        <v>17050</v>
      </c>
      <c r="G2788" s="43"/>
    </row>
    <row r="2789" spans="1:10" x14ac:dyDescent="0.3">
      <c r="A2789" s="45">
        <v>42944</v>
      </c>
      <c r="B2789" s="5" t="s">
        <v>1837</v>
      </c>
      <c r="C2789" s="92" t="s">
        <v>2013</v>
      </c>
      <c r="D2789" s="43">
        <v>80</v>
      </c>
      <c r="E2789" s="43"/>
      <c r="F2789" s="43">
        <f t="shared" si="43"/>
        <v>16970</v>
      </c>
      <c r="G2789" s="43"/>
    </row>
    <row r="2790" spans="1:10" x14ac:dyDescent="0.3">
      <c r="A2790" s="45">
        <v>42945</v>
      </c>
      <c r="B2790" s="5" t="s">
        <v>445</v>
      </c>
      <c r="C2790" s="92" t="s">
        <v>31</v>
      </c>
      <c r="D2790" s="43">
        <v>500</v>
      </c>
      <c r="E2790" s="43"/>
      <c r="F2790" s="43">
        <f t="shared" si="43"/>
        <v>16470</v>
      </c>
      <c r="G2790" s="43"/>
    </row>
    <row r="2791" spans="1:10" x14ac:dyDescent="0.3">
      <c r="A2791" s="45">
        <v>42945</v>
      </c>
      <c r="B2791" s="5" t="s">
        <v>2155</v>
      </c>
      <c r="C2791" s="92" t="s">
        <v>1624</v>
      </c>
      <c r="D2791" s="43">
        <v>100</v>
      </c>
      <c r="E2791" s="43"/>
      <c r="F2791" s="43">
        <f t="shared" si="43"/>
        <v>16370</v>
      </c>
      <c r="G2791" s="43"/>
    </row>
    <row r="2792" spans="1:10" x14ac:dyDescent="0.3">
      <c r="A2792" s="45">
        <v>42945</v>
      </c>
      <c r="B2792" s="5" t="s">
        <v>16</v>
      </c>
      <c r="C2792" s="92" t="s">
        <v>31</v>
      </c>
      <c r="D2792" s="43">
        <v>10000</v>
      </c>
      <c r="E2792" s="43"/>
      <c r="F2792" s="43">
        <f t="shared" si="43"/>
        <v>6370</v>
      </c>
      <c r="G2792" s="43"/>
    </row>
    <row r="2793" spans="1:10" x14ac:dyDescent="0.3">
      <c r="A2793" s="45">
        <v>42945</v>
      </c>
      <c r="B2793" s="5" t="s">
        <v>1787</v>
      </c>
      <c r="C2793" s="92" t="s">
        <v>2156</v>
      </c>
      <c r="D2793" s="43">
        <v>2000</v>
      </c>
      <c r="E2793" s="43"/>
      <c r="F2793" s="43">
        <f t="shared" si="43"/>
        <v>4370</v>
      </c>
      <c r="G2793" s="43"/>
    </row>
    <row r="2794" spans="1:10" x14ac:dyDescent="0.3">
      <c r="A2794" s="45">
        <v>42947</v>
      </c>
      <c r="B2794" s="5" t="s">
        <v>60</v>
      </c>
      <c r="C2794" s="92" t="s">
        <v>2157</v>
      </c>
      <c r="D2794" s="43">
        <v>1500</v>
      </c>
      <c r="E2794" s="43"/>
      <c r="F2794" s="43">
        <f t="shared" si="43"/>
        <v>2870</v>
      </c>
      <c r="G2794" s="43"/>
    </row>
    <row r="2795" spans="1:10" ht="37.5" x14ac:dyDescent="0.3">
      <c r="A2795" s="45">
        <v>42947</v>
      </c>
      <c r="B2795" s="5" t="s">
        <v>25</v>
      </c>
      <c r="C2795" s="92" t="s">
        <v>2161</v>
      </c>
      <c r="D2795" s="43">
        <f>220+450</f>
        <v>670</v>
      </c>
      <c r="E2795" s="43"/>
      <c r="F2795" s="43">
        <f t="shared" si="43"/>
        <v>2200</v>
      </c>
      <c r="G2795" s="43"/>
    </row>
    <row r="2796" spans="1:10" x14ac:dyDescent="0.3">
      <c r="A2796" s="45">
        <v>42947</v>
      </c>
      <c r="B2796" s="5" t="s">
        <v>52</v>
      </c>
      <c r="C2796" s="92" t="s">
        <v>2160</v>
      </c>
      <c r="D2796" s="43">
        <v>80</v>
      </c>
      <c r="E2796" s="43"/>
      <c r="F2796" s="43">
        <f t="shared" si="43"/>
        <v>2120</v>
      </c>
      <c r="G2796" s="43"/>
    </row>
    <row r="2797" spans="1:10" ht="37.5" x14ac:dyDescent="0.3">
      <c r="A2797" s="45">
        <v>42947</v>
      </c>
      <c r="B2797" s="5" t="s">
        <v>25</v>
      </c>
      <c r="C2797" s="92" t="s">
        <v>2179</v>
      </c>
      <c r="D2797" s="43">
        <v>1060</v>
      </c>
      <c r="E2797" s="43"/>
      <c r="F2797" s="43">
        <f t="shared" si="43"/>
        <v>1060</v>
      </c>
      <c r="G2797" s="43"/>
    </row>
    <row r="2798" spans="1:10" x14ac:dyDescent="0.3">
      <c r="A2798" s="45">
        <v>42947</v>
      </c>
      <c r="B2798" s="756" t="s">
        <v>2085</v>
      </c>
      <c r="C2798" s="756"/>
      <c r="D2798" s="71"/>
      <c r="E2798" s="72">
        <v>100000</v>
      </c>
      <c r="F2798" s="43">
        <f t="shared" si="43"/>
        <v>101060</v>
      </c>
      <c r="G2798" s="43"/>
    </row>
    <row r="2799" spans="1:10" s="114" customFormat="1" x14ac:dyDescent="0.3">
      <c r="A2799" s="45">
        <v>42947</v>
      </c>
      <c r="B2799" s="115" t="s">
        <v>2159</v>
      </c>
      <c r="C2799" s="115" t="s">
        <v>1581</v>
      </c>
      <c r="D2799" s="112">
        <v>30000</v>
      </c>
      <c r="E2799" s="58"/>
      <c r="F2799" s="43">
        <f t="shared" si="43"/>
        <v>71060</v>
      </c>
      <c r="G2799" s="58"/>
      <c r="H2799" s="113"/>
      <c r="I2799" s="113"/>
      <c r="J2799" s="113"/>
    </row>
    <row r="2800" spans="1:10" s="114" customFormat="1" x14ac:dyDescent="0.3">
      <c r="A2800" s="45">
        <v>42947</v>
      </c>
      <c r="B2800" s="115" t="s">
        <v>445</v>
      </c>
      <c r="C2800" s="115" t="s">
        <v>1581</v>
      </c>
      <c r="D2800" s="112">
        <v>25000</v>
      </c>
      <c r="E2800" s="58"/>
      <c r="F2800" s="43">
        <f t="shared" si="43"/>
        <v>46060</v>
      </c>
      <c r="G2800" s="58"/>
      <c r="H2800" s="113"/>
      <c r="I2800" s="113"/>
      <c r="J2800" s="113"/>
    </row>
    <row r="2801" spans="1:10" s="114" customFormat="1" x14ac:dyDescent="0.3">
      <c r="A2801" s="45">
        <v>42947</v>
      </c>
      <c r="B2801" s="115" t="s">
        <v>18</v>
      </c>
      <c r="C2801" s="115" t="s">
        <v>1581</v>
      </c>
      <c r="D2801" s="112">
        <v>3000</v>
      </c>
      <c r="E2801" s="58"/>
      <c r="F2801" s="43">
        <f t="shared" si="43"/>
        <v>43060</v>
      </c>
      <c r="G2801" s="58"/>
      <c r="H2801" s="113"/>
      <c r="I2801" s="113"/>
      <c r="J2801" s="113"/>
    </row>
    <row r="2802" spans="1:10" s="114" customFormat="1" x14ac:dyDescent="0.3">
      <c r="A2802" s="45">
        <v>42947</v>
      </c>
      <c r="B2802" s="115" t="s">
        <v>2096</v>
      </c>
      <c r="C2802" s="115" t="s">
        <v>1581</v>
      </c>
      <c r="D2802" s="112">
        <v>20000</v>
      </c>
      <c r="E2802" s="58"/>
      <c r="F2802" s="43">
        <f t="shared" si="43"/>
        <v>23060</v>
      </c>
      <c r="G2802" s="58"/>
      <c r="H2802" s="113"/>
      <c r="I2802" s="113"/>
      <c r="J2802" s="113"/>
    </row>
    <row r="2803" spans="1:10" s="114" customFormat="1" x14ac:dyDescent="0.3">
      <c r="A2803" s="45">
        <v>42947</v>
      </c>
      <c r="B2803" s="115" t="s">
        <v>58</v>
      </c>
      <c r="C2803" s="115" t="s">
        <v>2186</v>
      </c>
      <c r="D2803" s="112">
        <v>15540</v>
      </c>
      <c r="E2803" s="58"/>
      <c r="F2803" s="43">
        <f t="shared" si="43"/>
        <v>7520</v>
      </c>
      <c r="G2803" s="58"/>
      <c r="H2803" s="113"/>
      <c r="I2803" s="113"/>
      <c r="J2803" s="113"/>
    </row>
    <row r="2804" spans="1:10" s="114" customFormat="1" x14ac:dyDescent="0.3">
      <c r="A2804" s="45">
        <v>42947</v>
      </c>
      <c r="B2804" s="115" t="s">
        <v>58</v>
      </c>
      <c r="C2804" s="115" t="s">
        <v>2187</v>
      </c>
      <c r="D2804" s="112">
        <v>200</v>
      </c>
      <c r="E2804" s="58"/>
      <c r="F2804" s="43">
        <f t="shared" ref="F2804:F2867" si="44">E2804+F2803-D2804</f>
        <v>7320</v>
      </c>
      <c r="G2804" s="58"/>
      <c r="H2804" s="113"/>
      <c r="I2804" s="113"/>
      <c r="J2804" s="113"/>
    </row>
    <row r="2805" spans="1:10" x14ac:dyDescent="0.3">
      <c r="A2805" s="45">
        <v>42948</v>
      </c>
      <c r="B2805" s="5" t="s">
        <v>18</v>
      </c>
      <c r="C2805" s="92" t="s">
        <v>31</v>
      </c>
      <c r="D2805" s="43">
        <v>1000</v>
      </c>
      <c r="E2805" s="43"/>
      <c r="F2805" s="43">
        <f t="shared" si="44"/>
        <v>6320</v>
      </c>
      <c r="G2805" s="43"/>
    </row>
    <row r="2806" spans="1:10" x14ac:dyDescent="0.3">
      <c r="A2806" s="45">
        <v>42948</v>
      </c>
      <c r="B2806" s="5" t="s">
        <v>1616</v>
      </c>
      <c r="C2806" s="92" t="s">
        <v>640</v>
      </c>
      <c r="D2806" s="43">
        <v>1500</v>
      </c>
      <c r="E2806" s="43"/>
      <c r="F2806" s="43">
        <f t="shared" si="44"/>
        <v>4820</v>
      </c>
      <c r="G2806" s="43"/>
    </row>
    <row r="2807" spans="1:10" x14ac:dyDescent="0.3">
      <c r="A2807" s="45">
        <v>42948</v>
      </c>
      <c r="B2807" s="5" t="s">
        <v>25</v>
      </c>
      <c r="C2807" s="92" t="s">
        <v>2167</v>
      </c>
      <c r="D2807" s="43">
        <v>500</v>
      </c>
      <c r="E2807" s="43"/>
      <c r="F2807" s="43">
        <f t="shared" si="44"/>
        <v>4320</v>
      </c>
      <c r="G2807" s="43"/>
    </row>
    <row r="2808" spans="1:10" x14ac:dyDescent="0.3">
      <c r="A2808" s="45">
        <v>42948</v>
      </c>
      <c r="B2808" s="5" t="s">
        <v>56</v>
      </c>
      <c r="C2808" s="92" t="s">
        <v>2188</v>
      </c>
      <c r="D2808" s="43">
        <v>150</v>
      </c>
      <c r="E2808" s="43"/>
      <c r="F2808" s="43">
        <f t="shared" si="44"/>
        <v>4170</v>
      </c>
      <c r="G2808" s="43"/>
    </row>
    <row r="2809" spans="1:10" x14ac:dyDescent="0.3">
      <c r="A2809" s="45">
        <v>42948</v>
      </c>
      <c r="B2809" s="5" t="s">
        <v>25</v>
      </c>
      <c r="C2809" s="92" t="s">
        <v>2180</v>
      </c>
      <c r="D2809" s="43">
        <v>350</v>
      </c>
      <c r="E2809" s="43"/>
      <c r="F2809" s="43">
        <f t="shared" si="44"/>
        <v>3820</v>
      </c>
      <c r="G2809" s="43"/>
    </row>
    <row r="2810" spans="1:10" x14ac:dyDescent="0.3">
      <c r="A2810" s="45">
        <v>42948</v>
      </c>
      <c r="B2810" s="756" t="s">
        <v>2162</v>
      </c>
      <c r="C2810" s="756"/>
      <c r="D2810" s="71"/>
      <c r="E2810" s="72">
        <v>100000</v>
      </c>
      <c r="F2810" s="43">
        <f t="shared" si="44"/>
        <v>103820</v>
      </c>
      <c r="G2810" s="43"/>
    </row>
    <row r="2811" spans="1:10" x14ac:dyDescent="0.3">
      <c r="A2811" s="45">
        <v>42948</v>
      </c>
      <c r="B2811" s="5" t="s">
        <v>27</v>
      </c>
      <c r="C2811" s="92" t="s">
        <v>2164</v>
      </c>
      <c r="D2811" s="43">
        <v>5000</v>
      </c>
      <c r="E2811" s="43"/>
      <c r="F2811" s="43">
        <f t="shared" si="44"/>
        <v>98820</v>
      </c>
      <c r="G2811" s="43"/>
    </row>
    <row r="2812" spans="1:10" x14ac:dyDescent="0.3">
      <c r="A2812" s="45">
        <v>42948</v>
      </c>
      <c r="B2812" s="5" t="s">
        <v>1193</v>
      </c>
      <c r="C2812" s="92" t="s">
        <v>2163</v>
      </c>
      <c r="D2812" s="43">
        <v>2000</v>
      </c>
      <c r="E2812" s="43"/>
      <c r="F2812" s="43">
        <f t="shared" si="44"/>
        <v>96820</v>
      </c>
      <c r="G2812" s="43"/>
    </row>
    <row r="2813" spans="1:10" x14ac:dyDescent="0.3">
      <c r="A2813" s="45">
        <v>42948</v>
      </c>
      <c r="B2813" s="5" t="s">
        <v>541</v>
      </c>
      <c r="C2813" s="92" t="s">
        <v>2166</v>
      </c>
      <c r="D2813" s="43">
        <v>10800</v>
      </c>
      <c r="E2813" s="43"/>
      <c r="F2813" s="43">
        <f t="shared" si="44"/>
        <v>86020</v>
      </c>
      <c r="G2813" s="43"/>
    </row>
    <row r="2814" spans="1:10" x14ac:dyDescent="0.3">
      <c r="A2814" s="45">
        <v>42948</v>
      </c>
      <c r="B2814" s="125" t="s">
        <v>56</v>
      </c>
      <c r="C2814" s="126" t="s">
        <v>2165</v>
      </c>
      <c r="D2814" s="127">
        <v>1500</v>
      </c>
      <c r="E2814" s="43"/>
      <c r="F2814" s="43">
        <f t="shared" si="44"/>
        <v>84520</v>
      </c>
      <c r="G2814" s="43"/>
    </row>
    <row r="2815" spans="1:10" x14ac:dyDescent="0.3">
      <c r="A2815" s="45">
        <v>42949</v>
      </c>
      <c r="B2815" s="5" t="s">
        <v>18</v>
      </c>
      <c r="C2815" s="92" t="s">
        <v>2177</v>
      </c>
      <c r="D2815" s="43">
        <v>25170</v>
      </c>
      <c r="E2815" s="43"/>
      <c r="F2815" s="43">
        <f t="shared" si="44"/>
        <v>59350</v>
      </c>
      <c r="G2815" s="43"/>
    </row>
    <row r="2816" spans="1:10" x14ac:dyDescent="0.3">
      <c r="A2816" s="45">
        <v>42949</v>
      </c>
      <c r="B2816" s="5" t="s">
        <v>120</v>
      </c>
      <c r="C2816" s="92" t="s">
        <v>1074</v>
      </c>
      <c r="D2816" s="43">
        <v>4767</v>
      </c>
      <c r="E2816" s="43"/>
      <c r="F2816" s="43">
        <f t="shared" si="44"/>
        <v>54583</v>
      </c>
      <c r="G2816" s="43"/>
    </row>
    <row r="2817" spans="1:7" x14ac:dyDescent="0.3">
      <c r="A2817" s="45">
        <v>42949</v>
      </c>
      <c r="B2817" s="5" t="s">
        <v>120</v>
      </c>
      <c r="C2817" s="92" t="s">
        <v>2168</v>
      </c>
      <c r="D2817" s="43">
        <v>1000</v>
      </c>
      <c r="E2817" s="43"/>
      <c r="F2817" s="43">
        <f t="shared" si="44"/>
        <v>53583</v>
      </c>
      <c r="G2817" s="43"/>
    </row>
    <row r="2818" spans="1:7" x14ac:dyDescent="0.3">
      <c r="A2818" s="45">
        <v>42949</v>
      </c>
      <c r="B2818" s="5" t="s">
        <v>2169</v>
      </c>
      <c r="C2818" s="92" t="s">
        <v>1787</v>
      </c>
      <c r="D2818" s="43">
        <v>1700</v>
      </c>
      <c r="E2818" s="43"/>
      <c r="F2818" s="43">
        <f t="shared" si="44"/>
        <v>51883</v>
      </c>
      <c r="G2818" s="43"/>
    </row>
    <row r="2819" spans="1:7" x14ac:dyDescent="0.3">
      <c r="A2819" s="45">
        <v>42949</v>
      </c>
      <c r="B2819" s="5" t="s">
        <v>2170</v>
      </c>
      <c r="C2819" s="92" t="s">
        <v>2171</v>
      </c>
      <c r="D2819" s="43">
        <v>1000</v>
      </c>
      <c r="E2819" s="43"/>
      <c r="F2819" s="43">
        <f t="shared" si="44"/>
        <v>50883</v>
      </c>
      <c r="G2819" s="43"/>
    </row>
    <row r="2820" spans="1:7" x14ac:dyDescent="0.3">
      <c r="A2820" s="45">
        <v>42949</v>
      </c>
      <c r="B2820" s="5" t="s">
        <v>58</v>
      </c>
      <c r="C2820" s="92" t="s">
        <v>2244</v>
      </c>
      <c r="D2820" s="65">
        <v>4310</v>
      </c>
      <c r="E2820" s="43"/>
      <c r="F2820" s="43">
        <f t="shared" si="44"/>
        <v>46573</v>
      </c>
      <c r="G2820" s="43"/>
    </row>
    <row r="2821" spans="1:7" x14ac:dyDescent="0.3">
      <c r="A2821" s="45">
        <v>42949</v>
      </c>
      <c r="B2821" s="5" t="s">
        <v>58</v>
      </c>
      <c r="C2821" s="92" t="s">
        <v>31</v>
      </c>
      <c r="D2821" s="65">
        <v>190</v>
      </c>
      <c r="E2821" s="43"/>
      <c r="F2821" s="43">
        <f t="shared" si="44"/>
        <v>46383</v>
      </c>
      <c r="G2821" s="43"/>
    </row>
    <row r="2822" spans="1:7" x14ac:dyDescent="0.3">
      <c r="A2822" s="45">
        <v>42949</v>
      </c>
      <c r="B2822" s="5" t="s">
        <v>1512</v>
      </c>
      <c r="C2822" s="92" t="s">
        <v>2172</v>
      </c>
      <c r="D2822" s="43">
        <v>13000</v>
      </c>
      <c r="E2822" s="43"/>
      <c r="F2822" s="43">
        <f t="shared" si="44"/>
        <v>33383</v>
      </c>
      <c r="G2822" s="43"/>
    </row>
    <row r="2823" spans="1:7" x14ac:dyDescent="0.3">
      <c r="A2823" s="45">
        <v>42949</v>
      </c>
      <c r="B2823" s="5" t="s">
        <v>2173</v>
      </c>
      <c r="C2823" s="92" t="s">
        <v>2174</v>
      </c>
      <c r="D2823" s="43">
        <v>400</v>
      </c>
      <c r="E2823" s="43"/>
      <c r="F2823" s="43">
        <f t="shared" si="44"/>
        <v>32983</v>
      </c>
      <c r="G2823" s="43"/>
    </row>
    <row r="2824" spans="1:7" x14ac:dyDescent="0.3">
      <c r="A2824" s="45">
        <v>42949</v>
      </c>
      <c r="B2824" s="5" t="s">
        <v>2175</v>
      </c>
      <c r="C2824" s="92" t="s">
        <v>2013</v>
      </c>
      <c r="D2824" s="43">
        <v>100</v>
      </c>
      <c r="E2824" s="43"/>
      <c r="F2824" s="43">
        <f t="shared" si="44"/>
        <v>32883</v>
      </c>
      <c r="G2824" s="43"/>
    </row>
    <row r="2825" spans="1:7" x14ac:dyDescent="0.3">
      <c r="A2825" s="45">
        <v>42949</v>
      </c>
      <c r="B2825" s="5" t="s">
        <v>16</v>
      </c>
      <c r="C2825" s="92" t="s">
        <v>31</v>
      </c>
      <c r="D2825" s="43">
        <v>7000</v>
      </c>
      <c r="E2825" s="43"/>
      <c r="F2825" s="43">
        <f t="shared" si="44"/>
        <v>25883</v>
      </c>
      <c r="G2825" s="43"/>
    </row>
    <row r="2826" spans="1:7" x14ac:dyDescent="0.3">
      <c r="A2826" s="45">
        <v>42949</v>
      </c>
      <c r="B2826" s="5" t="s">
        <v>60</v>
      </c>
      <c r="C2826" s="92" t="s">
        <v>2176</v>
      </c>
      <c r="D2826" s="43">
        <v>1000</v>
      </c>
      <c r="E2826" s="43"/>
      <c r="F2826" s="43">
        <f t="shared" si="44"/>
        <v>24883</v>
      </c>
      <c r="G2826" s="43"/>
    </row>
    <row r="2827" spans="1:7" x14ac:dyDescent="0.3">
      <c r="A2827" s="45">
        <v>42949</v>
      </c>
      <c r="B2827" s="756" t="s">
        <v>2178</v>
      </c>
      <c r="C2827" s="756"/>
      <c r="D2827" s="71"/>
      <c r="E2827" s="72">
        <v>170</v>
      </c>
      <c r="F2827" s="43">
        <f t="shared" si="44"/>
        <v>25053</v>
      </c>
      <c r="G2827" s="43"/>
    </row>
    <row r="2828" spans="1:7" x14ac:dyDescent="0.3">
      <c r="A2828" s="45">
        <v>42949</v>
      </c>
      <c r="B2828" s="5" t="s">
        <v>25</v>
      </c>
      <c r="C2828" s="92" t="s">
        <v>2181</v>
      </c>
      <c r="D2828" s="43">
        <v>180</v>
      </c>
      <c r="E2828" s="43"/>
      <c r="F2828" s="43">
        <f t="shared" si="44"/>
        <v>24873</v>
      </c>
      <c r="G2828" s="43"/>
    </row>
    <row r="2829" spans="1:7" x14ac:dyDescent="0.3">
      <c r="A2829" s="45">
        <v>42949</v>
      </c>
      <c r="B2829" s="5" t="s">
        <v>104</v>
      </c>
      <c r="C2829" s="92" t="s">
        <v>2183</v>
      </c>
      <c r="D2829" s="65">
        <v>300</v>
      </c>
      <c r="E2829" s="65"/>
      <c r="F2829" s="43">
        <f t="shared" si="44"/>
        <v>24573</v>
      </c>
      <c r="G2829" s="43"/>
    </row>
    <row r="2830" spans="1:7" ht="37.5" x14ac:dyDescent="0.3">
      <c r="A2830" s="45">
        <v>42949</v>
      </c>
      <c r="B2830" s="5" t="s">
        <v>0</v>
      </c>
      <c r="C2830" s="92" t="s">
        <v>2182</v>
      </c>
      <c r="D2830" s="43">
        <v>200</v>
      </c>
      <c r="E2830" s="43"/>
      <c r="F2830" s="43">
        <f t="shared" si="44"/>
        <v>24373</v>
      </c>
      <c r="G2830" s="43"/>
    </row>
    <row r="2831" spans="1:7" x14ac:dyDescent="0.3">
      <c r="A2831" s="45">
        <v>42950</v>
      </c>
      <c r="B2831" s="5" t="s">
        <v>60</v>
      </c>
      <c r="C2831" s="92" t="s">
        <v>2029</v>
      </c>
      <c r="D2831" s="43">
        <v>1000</v>
      </c>
      <c r="E2831" s="43"/>
      <c r="F2831" s="43">
        <f t="shared" si="44"/>
        <v>23373</v>
      </c>
      <c r="G2831" s="43"/>
    </row>
    <row r="2832" spans="1:7" x14ac:dyDescent="0.3">
      <c r="A2832" s="45">
        <v>42950</v>
      </c>
      <c r="B2832" s="5" t="s">
        <v>2096</v>
      </c>
      <c r="C2832" s="92" t="s">
        <v>2184</v>
      </c>
      <c r="D2832" s="43">
        <v>10000</v>
      </c>
      <c r="E2832" s="43"/>
      <c r="F2832" s="43">
        <f t="shared" si="44"/>
        <v>13373</v>
      </c>
      <c r="G2832" s="43"/>
    </row>
    <row r="2833" spans="1:7" x14ac:dyDescent="0.3">
      <c r="A2833" s="45">
        <v>42950</v>
      </c>
      <c r="B2833" s="5" t="s">
        <v>104</v>
      </c>
      <c r="C2833" s="92" t="s">
        <v>1530</v>
      </c>
      <c r="D2833" s="43">
        <v>500</v>
      </c>
      <c r="E2833" s="43"/>
      <c r="F2833" s="43">
        <f t="shared" si="44"/>
        <v>12873</v>
      </c>
      <c r="G2833" s="43"/>
    </row>
    <row r="2834" spans="1:7" x14ac:dyDescent="0.3">
      <c r="A2834" s="45">
        <v>42950</v>
      </c>
      <c r="B2834" s="5" t="s">
        <v>247</v>
      </c>
      <c r="C2834" s="92" t="s">
        <v>2185</v>
      </c>
      <c r="D2834" s="65">
        <v>255</v>
      </c>
      <c r="E2834" s="43"/>
      <c r="F2834" s="43">
        <f t="shared" si="44"/>
        <v>12618</v>
      </c>
      <c r="G2834" s="43"/>
    </row>
    <row r="2835" spans="1:7" x14ac:dyDescent="0.3">
      <c r="A2835" s="45">
        <v>42950</v>
      </c>
      <c r="B2835" s="5" t="s">
        <v>2189</v>
      </c>
      <c r="C2835" s="92" t="s">
        <v>2190</v>
      </c>
      <c r="D2835" s="43">
        <v>7100</v>
      </c>
      <c r="E2835" s="43"/>
      <c r="F2835" s="43">
        <f t="shared" si="44"/>
        <v>5518</v>
      </c>
      <c r="G2835" s="43"/>
    </row>
    <row r="2836" spans="1:7" x14ac:dyDescent="0.3">
      <c r="A2836" s="45">
        <v>42951</v>
      </c>
      <c r="B2836" s="5" t="s">
        <v>60</v>
      </c>
      <c r="C2836" s="92" t="s">
        <v>1581</v>
      </c>
      <c r="D2836" s="43">
        <v>1000</v>
      </c>
      <c r="E2836" s="43"/>
      <c r="F2836" s="43">
        <f t="shared" si="44"/>
        <v>4518</v>
      </c>
      <c r="G2836" s="43"/>
    </row>
    <row r="2837" spans="1:7" x14ac:dyDescent="0.3">
      <c r="A2837" s="45">
        <v>42951</v>
      </c>
      <c r="B2837" s="756" t="s">
        <v>2192</v>
      </c>
      <c r="C2837" s="756"/>
      <c r="D2837" s="71"/>
      <c r="E2837" s="72">
        <v>50000</v>
      </c>
      <c r="F2837" s="43">
        <f t="shared" si="44"/>
        <v>54518</v>
      </c>
      <c r="G2837" s="65"/>
    </row>
    <row r="2838" spans="1:7" x14ac:dyDescent="0.3">
      <c r="A2838" s="45">
        <v>42951</v>
      </c>
      <c r="B2838" s="139" t="s">
        <v>120</v>
      </c>
      <c r="C2838" s="151" t="s">
        <v>31</v>
      </c>
      <c r="D2838" s="140">
        <v>10000</v>
      </c>
      <c r="E2838" s="43"/>
      <c r="F2838" s="43">
        <f t="shared" si="44"/>
        <v>44518</v>
      </c>
      <c r="G2838" s="65"/>
    </row>
    <row r="2839" spans="1:7" x14ac:dyDescent="0.3">
      <c r="A2839" s="45">
        <v>42951</v>
      </c>
      <c r="B2839" s="5" t="s">
        <v>2204</v>
      </c>
      <c r="C2839" s="92" t="s">
        <v>2205</v>
      </c>
      <c r="D2839" s="43">
        <v>5000</v>
      </c>
      <c r="E2839" s="43"/>
      <c r="F2839" s="43">
        <f t="shared" si="44"/>
        <v>39518</v>
      </c>
      <c r="G2839" s="65"/>
    </row>
    <row r="2840" spans="1:7" x14ac:dyDescent="0.3">
      <c r="A2840" s="45">
        <v>42952</v>
      </c>
      <c r="B2840" s="5" t="s">
        <v>16</v>
      </c>
      <c r="C2840" s="92" t="s">
        <v>31</v>
      </c>
      <c r="D2840" s="43">
        <v>5000</v>
      </c>
      <c r="E2840" s="43"/>
      <c r="F2840" s="43">
        <f t="shared" si="44"/>
        <v>34518</v>
      </c>
      <c r="G2840" s="43"/>
    </row>
    <row r="2841" spans="1:7" x14ac:dyDescent="0.3">
      <c r="A2841" s="45">
        <v>42952</v>
      </c>
      <c r="B2841" s="5" t="s">
        <v>58</v>
      </c>
      <c r="C2841" s="92" t="s">
        <v>2193</v>
      </c>
      <c r="D2841" s="43">
        <v>17500</v>
      </c>
      <c r="E2841" s="43"/>
      <c r="F2841" s="43">
        <f t="shared" si="44"/>
        <v>17018</v>
      </c>
      <c r="G2841" s="43"/>
    </row>
    <row r="2842" spans="1:7" x14ac:dyDescent="0.3">
      <c r="A2842" s="45">
        <v>42952</v>
      </c>
      <c r="B2842" s="5" t="s">
        <v>25</v>
      </c>
      <c r="C2842" s="92" t="s">
        <v>2196</v>
      </c>
      <c r="D2842" s="43">
        <v>1130</v>
      </c>
      <c r="E2842" s="43"/>
      <c r="F2842" s="43">
        <f t="shared" si="44"/>
        <v>15888</v>
      </c>
      <c r="G2842" s="43"/>
    </row>
    <row r="2843" spans="1:7" x14ac:dyDescent="0.3">
      <c r="A2843" s="45">
        <v>42952</v>
      </c>
      <c r="B2843" s="5" t="s">
        <v>84</v>
      </c>
      <c r="C2843" s="92" t="s">
        <v>2194</v>
      </c>
      <c r="D2843" s="43">
        <v>5000</v>
      </c>
      <c r="E2843" s="43"/>
      <c r="F2843" s="43">
        <f t="shared" si="44"/>
        <v>10888</v>
      </c>
      <c r="G2843" s="43"/>
    </row>
    <row r="2844" spans="1:7" ht="37.5" x14ac:dyDescent="0.3">
      <c r="A2844" s="45">
        <v>42952</v>
      </c>
      <c r="B2844" s="152" t="s">
        <v>58</v>
      </c>
      <c r="C2844" s="153" t="s">
        <v>2195</v>
      </c>
      <c r="D2844" s="154">
        <v>2650</v>
      </c>
      <c r="E2844" s="43"/>
      <c r="F2844" s="43">
        <f t="shared" si="44"/>
        <v>8238</v>
      </c>
      <c r="G2844" s="43"/>
    </row>
    <row r="2845" spans="1:7" x14ac:dyDescent="0.3">
      <c r="A2845" s="45">
        <v>42954</v>
      </c>
      <c r="B2845" s="5" t="s">
        <v>104</v>
      </c>
      <c r="C2845" s="92" t="s">
        <v>31</v>
      </c>
      <c r="D2845" s="43">
        <v>1000</v>
      </c>
      <c r="E2845" s="43"/>
      <c r="F2845" s="43">
        <f t="shared" si="44"/>
        <v>7238</v>
      </c>
      <c r="G2845" s="43"/>
    </row>
    <row r="2846" spans="1:7" x14ac:dyDescent="0.3">
      <c r="A2846" s="45">
        <v>42954</v>
      </c>
      <c r="B2846" s="5" t="s">
        <v>2103</v>
      </c>
      <c r="C2846" s="92" t="s">
        <v>33</v>
      </c>
      <c r="D2846" s="43">
        <v>100</v>
      </c>
      <c r="E2846" s="43"/>
      <c r="F2846" s="43">
        <f t="shared" si="44"/>
        <v>7138</v>
      </c>
      <c r="G2846" s="43"/>
    </row>
    <row r="2847" spans="1:7" x14ac:dyDescent="0.3">
      <c r="A2847" s="45">
        <v>42954</v>
      </c>
      <c r="B2847" s="5" t="s">
        <v>2096</v>
      </c>
      <c r="C2847" s="92" t="s">
        <v>1656</v>
      </c>
      <c r="D2847" s="43">
        <v>3000</v>
      </c>
      <c r="E2847" s="43"/>
      <c r="F2847" s="43">
        <f t="shared" si="44"/>
        <v>4138</v>
      </c>
      <c r="G2847" s="43"/>
    </row>
    <row r="2848" spans="1:7" x14ac:dyDescent="0.3">
      <c r="A2848" s="45">
        <v>42955</v>
      </c>
      <c r="B2848" s="5" t="s">
        <v>11</v>
      </c>
      <c r="C2848" s="92" t="s">
        <v>31</v>
      </c>
      <c r="D2848" s="43">
        <v>2000</v>
      </c>
      <c r="E2848" s="43"/>
      <c r="F2848" s="43">
        <f t="shared" si="44"/>
        <v>2138</v>
      </c>
      <c r="G2848" s="43"/>
    </row>
    <row r="2849" spans="1:7" ht="37.5" x14ac:dyDescent="0.3">
      <c r="A2849" s="45">
        <v>42955</v>
      </c>
      <c r="B2849" s="44" t="s">
        <v>25</v>
      </c>
      <c r="C2849" s="124" t="s">
        <v>2197</v>
      </c>
      <c r="D2849" s="28">
        <v>300</v>
      </c>
      <c r="E2849" s="28"/>
      <c r="F2849" s="28">
        <f t="shared" si="44"/>
        <v>1838</v>
      </c>
      <c r="G2849" s="28"/>
    </row>
    <row r="2850" spans="1:7" x14ac:dyDescent="0.3">
      <c r="A2850" s="45">
        <v>42955</v>
      </c>
      <c r="B2850" s="5" t="s">
        <v>2103</v>
      </c>
      <c r="C2850" s="92" t="s">
        <v>2198</v>
      </c>
      <c r="D2850" s="43">
        <v>80</v>
      </c>
      <c r="E2850" s="43"/>
      <c r="F2850" s="28">
        <f t="shared" si="44"/>
        <v>1758</v>
      </c>
      <c r="G2850" s="28"/>
    </row>
    <row r="2851" spans="1:7" x14ac:dyDescent="0.3">
      <c r="A2851" s="45">
        <v>42955</v>
      </c>
      <c r="B2851" s="5" t="s">
        <v>247</v>
      </c>
      <c r="C2851" s="92" t="s">
        <v>2199</v>
      </c>
      <c r="D2851" s="43">
        <v>200</v>
      </c>
      <c r="E2851" s="43"/>
      <c r="F2851" s="28">
        <f t="shared" si="44"/>
        <v>1558</v>
      </c>
      <c r="G2851" s="43"/>
    </row>
    <row r="2852" spans="1:7" x14ac:dyDescent="0.3">
      <c r="A2852" s="45">
        <v>42955</v>
      </c>
      <c r="B2852" s="5" t="s">
        <v>25</v>
      </c>
      <c r="C2852" s="92" t="s">
        <v>2200</v>
      </c>
      <c r="D2852" s="43">
        <v>500</v>
      </c>
      <c r="E2852" s="43"/>
      <c r="F2852" s="28">
        <f t="shared" si="44"/>
        <v>1058</v>
      </c>
      <c r="G2852" s="43"/>
    </row>
    <row r="2853" spans="1:7" x14ac:dyDescent="0.3">
      <c r="A2853" s="45">
        <v>42955</v>
      </c>
      <c r="B2853" s="5" t="s">
        <v>25</v>
      </c>
      <c r="C2853" s="92" t="s">
        <v>2201</v>
      </c>
      <c r="D2853" s="43">
        <v>38</v>
      </c>
      <c r="E2853" s="43"/>
      <c r="F2853" s="28">
        <f t="shared" si="44"/>
        <v>1020</v>
      </c>
      <c r="G2853" s="43"/>
    </row>
    <row r="2854" spans="1:7" x14ac:dyDescent="0.3">
      <c r="A2854" s="45">
        <v>42955</v>
      </c>
      <c r="B2854" s="5" t="s">
        <v>25</v>
      </c>
      <c r="C2854" s="92" t="s">
        <v>2202</v>
      </c>
      <c r="D2854" s="43">
        <v>370</v>
      </c>
      <c r="E2854" s="43"/>
      <c r="F2854" s="28">
        <f t="shared" si="44"/>
        <v>650</v>
      </c>
      <c r="G2854" s="43"/>
    </row>
    <row r="2855" spans="1:7" x14ac:dyDescent="0.3">
      <c r="A2855" s="45">
        <v>42955</v>
      </c>
      <c r="B2855" s="756" t="s">
        <v>2192</v>
      </c>
      <c r="C2855" s="756"/>
      <c r="D2855" s="71"/>
      <c r="E2855" s="72">
        <v>100000</v>
      </c>
      <c r="F2855" s="28">
        <f t="shared" si="44"/>
        <v>100650</v>
      </c>
      <c r="G2855" s="43"/>
    </row>
    <row r="2856" spans="1:7" x14ac:dyDescent="0.3">
      <c r="A2856" s="45">
        <v>42956</v>
      </c>
      <c r="B2856" s="5" t="s">
        <v>104</v>
      </c>
      <c r="C2856" s="92" t="s">
        <v>31</v>
      </c>
      <c r="D2856" s="43">
        <v>10000</v>
      </c>
      <c r="E2856" s="43"/>
      <c r="F2856" s="28">
        <f t="shared" si="44"/>
        <v>90650</v>
      </c>
      <c r="G2856" s="43"/>
    </row>
    <row r="2857" spans="1:7" x14ac:dyDescent="0.3">
      <c r="A2857" s="45">
        <v>42956</v>
      </c>
      <c r="B2857" s="5" t="s">
        <v>60</v>
      </c>
      <c r="C2857" s="92" t="s">
        <v>2206</v>
      </c>
      <c r="D2857" s="43">
        <v>200</v>
      </c>
      <c r="E2857" s="43"/>
      <c r="F2857" s="28">
        <f t="shared" si="44"/>
        <v>90450</v>
      </c>
      <c r="G2857" s="43"/>
    </row>
    <row r="2858" spans="1:7" x14ac:dyDescent="0.3">
      <c r="A2858" s="45">
        <v>42956</v>
      </c>
      <c r="B2858" s="5" t="s">
        <v>2204</v>
      </c>
      <c r="C2858" s="92" t="s">
        <v>2203</v>
      </c>
      <c r="D2858" s="43">
        <v>660</v>
      </c>
      <c r="E2858" s="43"/>
      <c r="F2858" s="28">
        <f t="shared" si="44"/>
        <v>89790</v>
      </c>
      <c r="G2858" s="43"/>
    </row>
    <row r="2859" spans="1:7" x14ac:dyDescent="0.3">
      <c r="A2859" s="45">
        <v>42956</v>
      </c>
      <c r="B2859" s="5" t="s">
        <v>104</v>
      </c>
      <c r="C2859" s="92" t="s">
        <v>31</v>
      </c>
      <c r="D2859" s="43">
        <v>500</v>
      </c>
      <c r="E2859" s="43"/>
      <c r="F2859" s="28">
        <f t="shared" si="44"/>
        <v>89290</v>
      </c>
      <c r="G2859" s="43"/>
    </row>
    <row r="2860" spans="1:7" x14ac:dyDescent="0.3">
      <c r="A2860" s="45">
        <v>42956</v>
      </c>
      <c r="B2860" s="5" t="s">
        <v>25</v>
      </c>
      <c r="C2860" s="92" t="s">
        <v>2207</v>
      </c>
      <c r="D2860" s="65">
        <v>500</v>
      </c>
      <c r="E2860" s="43"/>
      <c r="F2860" s="28">
        <f t="shared" si="44"/>
        <v>88790</v>
      </c>
      <c r="G2860" s="43"/>
    </row>
    <row r="2861" spans="1:7" x14ac:dyDescent="0.3">
      <c r="A2861" s="45">
        <v>42956</v>
      </c>
      <c r="B2861" s="5" t="s">
        <v>16</v>
      </c>
      <c r="C2861" s="92" t="s">
        <v>640</v>
      </c>
      <c r="D2861" s="65">
        <v>100</v>
      </c>
      <c r="E2861" s="43"/>
      <c r="F2861" s="28">
        <f t="shared" si="44"/>
        <v>88690</v>
      </c>
      <c r="G2861" s="43"/>
    </row>
    <row r="2862" spans="1:7" x14ac:dyDescent="0.3">
      <c r="A2862" s="45">
        <v>42956</v>
      </c>
      <c r="B2862" s="5" t="s">
        <v>2096</v>
      </c>
      <c r="C2862" s="92" t="s">
        <v>1656</v>
      </c>
      <c r="D2862" s="43">
        <v>5000</v>
      </c>
      <c r="E2862" s="43"/>
      <c r="F2862" s="28">
        <f t="shared" si="44"/>
        <v>83690</v>
      </c>
      <c r="G2862" s="43"/>
    </row>
    <row r="2863" spans="1:7" x14ac:dyDescent="0.3">
      <c r="A2863" s="45">
        <v>42956</v>
      </c>
      <c r="B2863" s="5" t="s">
        <v>25</v>
      </c>
      <c r="C2863" s="92" t="s">
        <v>2229</v>
      </c>
      <c r="D2863" s="43">
        <v>220</v>
      </c>
      <c r="E2863" s="43"/>
      <c r="F2863" s="28">
        <f t="shared" si="44"/>
        <v>83470</v>
      </c>
      <c r="G2863" s="43"/>
    </row>
    <row r="2864" spans="1:7" x14ac:dyDescent="0.3">
      <c r="A2864" s="45">
        <v>42956</v>
      </c>
      <c r="B2864" s="5" t="s">
        <v>1967</v>
      </c>
      <c r="C2864" s="92" t="s">
        <v>2208</v>
      </c>
      <c r="D2864" s="43">
        <v>1000</v>
      </c>
      <c r="E2864" s="43"/>
      <c r="F2864" s="28">
        <f t="shared" si="44"/>
        <v>82470</v>
      </c>
      <c r="G2864" s="43"/>
    </row>
    <row r="2865" spans="1:7" x14ac:dyDescent="0.3">
      <c r="A2865" s="45">
        <v>42956</v>
      </c>
      <c r="B2865" s="5" t="s">
        <v>1633</v>
      </c>
      <c r="C2865" s="92" t="s">
        <v>2209</v>
      </c>
      <c r="D2865" s="43">
        <v>2800</v>
      </c>
      <c r="E2865" s="43"/>
      <c r="F2865" s="28">
        <f t="shared" si="44"/>
        <v>79670</v>
      </c>
      <c r="G2865" s="43"/>
    </row>
    <row r="2866" spans="1:7" x14ac:dyDescent="0.3">
      <c r="A2866" s="45">
        <v>42956</v>
      </c>
      <c r="B2866" s="5" t="s">
        <v>1633</v>
      </c>
      <c r="C2866" s="92" t="s">
        <v>2215</v>
      </c>
      <c r="D2866" s="43">
        <v>1700</v>
      </c>
      <c r="E2866" s="43"/>
      <c r="F2866" s="28">
        <f t="shared" si="44"/>
        <v>77970</v>
      </c>
      <c r="G2866" s="43"/>
    </row>
    <row r="2867" spans="1:7" x14ac:dyDescent="0.3">
      <c r="A2867" s="45">
        <v>42957</v>
      </c>
      <c r="B2867" s="5" t="s">
        <v>1343</v>
      </c>
      <c r="C2867" s="92" t="s">
        <v>2210</v>
      </c>
      <c r="D2867" s="43">
        <v>10000</v>
      </c>
      <c r="E2867" s="43"/>
      <c r="F2867" s="28">
        <f t="shared" si="44"/>
        <v>67970</v>
      </c>
      <c r="G2867" s="43"/>
    </row>
    <row r="2868" spans="1:7" x14ac:dyDescent="0.3">
      <c r="A2868" s="45">
        <v>42957</v>
      </c>
      <c r="B2868" s="5" t="s">
        <v>25</v>
      </c>
      <c r="C2868" s="92" t="s">
        <v>67</v>
      </c>
      <c r="D2868" s="43">
        <v>290</v>
      </c>
      <c r="E2868" s="43"/>
      <c r="F2868" s="28">
        <f t="shared" ref="F2868:F2931" si="45">E2868+F2867-D2868</f>
        <v>67680</v>
      </c>
      <c r="G2868" s="43"/>
    </row>
    <row r="2869" spans="1:7" x14ac:dyDescent="0.3">
      <c r="A2869" s="45">
        <v>42957</v>
      </c>
      <c r="B2869" s="5" t="s">
        <v>25</v>
      </c>
      <c r="C2869" s="92" t="s">
        <v>2211</v>
      </c>
      <c r="D2869" s="43">
        <v>150</v>
      </c>
      <c r="E2869" s="43"/>
      <c r="F2869" s="28">
        <f t="shared" si="45"/>
        <v>67530</v>
      </c>
      <c r="G2869" s="43"/>
    </row>
    <row r="2870" spans="1:7" x14ac:dyDescent="0.3">
      <c r="A2870" s="45">
        <v>42957</v>
      </c>
      <c r="B2870" s="5" t="s">
        <v>93</v>
      </c>
      <c r="C2870" s="92" t="s">
        <v>2212</v>
      </c>
      <c r="D2870" s="43">
        <v>6000</v>
      </c>
      <c r="E2870" s="43"/>
      <c r="F2870" s="28">
        <f>E2870+F2869-D2870</f>
        <v>61530</v>
      </c>
      <c r="G2870" s="43"/>
    </row>
    <row r="2871" spans="1:7" x14ac:dyDescent="0.3">
      <c r="A2871" s="45">
        <v>42957</v>
      </c>
      <c r="B2871" s="5" t="s">
        <v>93</v>
      </c>
      <c r="C2871" s="92" t="s">
        <v>2213</v>
      </c>
      <c r="D2871" s="43">
        <v>4000</v>
      </c>
      <c r="E2871" s="43"/>
      <c r="F2871" s="28">
        <f t="shared" si="45"/>
        <v>57530</v>
      </c>
      <c r="G2871" s="43"/>
    </row>
    <row r="2872" spans="1:7" x14ac:dyDescent="0.3">
      <c r="A2872" s="45">
        <v>42957</v>
      </c>
      <c r="B2872" s="5" t="s">
        <v>1193</v>
      </c>
      <c r="C2872" s="92" t="s">
        <v>2214</v>
      </c>
      <c r="D2872" s="43">
        <v>2000</v>
      </c>
      <c r="E2872" s="43"/>
      <c r="F2872" s="28">
        <f t="shared" si="45"/>
        <v>55530</v>
      </c>
      <c r="G2872" s="43"/>
    </row>
    <row r="2873" spans="1:7" x14ac:dyDescent="0.3">
      <c r="A2873" s="45">
        <v>42957</v>
      </c>
      <c r="B2873" s="5" t="s">
        <v>1193</v>
      </c>
      <c r="C2873" s="92" t="s">
        <v>2214</v>
      </c>
      <c r="D2873" s="43">
        <v>2000</v>
      </c>
      <c r="E2873" s="43"/>
      <c r="F2873" s="28">
        <f t="shared" si="45"/>
        <v>53530</v>
      </c>
      <c r="G2873" s="43"/>
    </row>
    <row r="2874" spans="1:7" x14ac:dyDescent="0.3">
      <c r="A2874" s="45">
        <v>42957</v>
      </c>
      <c r="B2874" s="5" t="s">
        <v>181</v>
      </c>
      <c r="C2874" s="92" t="s">
        <v>31</v>
      </c>
      <c r="D2874" s="43">
        <v>20000</v>
      </c>
      <c r="E2874" s="43"/>
      <c r="F2874" s="28">
        <f t="shared" si="45"/>
        <v>33530</v>
      </c>
      <c r="G2874" s="43"/>
    </row>
    <row r="2875" spans="1:7" x14ac:dyDescent="0.3">
      <c r="A2875" s="45">
        <v>42957</v>
      </c>
      <c r="B2875" s="756" t="s">
        <v>2216</v>
      </c>
      <c r="C2875" s="756"/>
      <c r="D2875" s="71"/>
      <c r="E2875" s="72">
        <v>1750</v>
      </c>
      <c r="F2875" s="28">
        <f t="shared" si="45"/>
        <v>35280</v>
      </c>
      <c r="G2875" s="43"/>
    </row>
    <row r="2876" spans="1:7" x14ac:dyDescent="0.3">
      <c r="A2876" s="45">
        <v>42957</v>
      </c>
      <c r="B2876" s="5" t="s">
        <v>1193</v>
      </c>
      <c r="C2876" s="92" t="s">
        <v>1232</v>
      </c>
      <c r="D2876" s="43">
        <v>2400</v>
      </c>
      <c r="E2876" s="43"/>
      <c r="F2876" s="28">
        <f t="shared" si="45"/>
        <v>32880</v>
      </c>
      <c r="G2876" s="43"/>
    </row>
    <row r="2877" spans="1:7" x14ac:dyDescent="0.3">
      <c r="A2877" s="45">
        <v>42957</v>
      </c>
      <c r="B2877" s="5" t="s">
        <v>107</v>
      </c>
      <c r="C2877" s="92" t="s">
        <v>2217</v>
      </c>
      <c r="D2877" s="43">
        <v>2000</v>
      </c>
      <c r="E2877" s="43"/>
      <c r="F2877" s="28">
        <f t="shared" si="45"/>
        <v>30880</v>
      </c>
      <c r="G2877" s="43"/>
    </row>
    <row r="2878" spans="1:7" x14ac:dyDescent="0.3">
      <c r="A2878" s="45">
        <v>42957</v>
      </c>
      <c r="B2878" s="5" t="s">
        <v>16</v>
      </c>
      <c r="C2878" s="92" t="s">
        <v>31</v>
      </c>
      <c r="D2878" s="43">
        <v>4000</v>
      </c>
      <c r="E2878" s="43"/>
      <c r="F2878" s="28">
        <f t="shared" si="45"/>
        <v>26880</v>
      </c>
      <c r="G2878" s="43"/>
    </row>
    <row r="2879" spans="1:7" x14ac:dyDescent="0.3">
      <c r="A2879" s="45">
        <v>42957</v>
      </c>
      <c r="B2879" s="756" t="s">
        <v>2267</v>
      </c>
      <c r="C2879" s="756"/>
      <c r="D2879" s="71"/>
      <c r="E2879" s="72">
        <v>40000</v>
      </c>
      <c r="F2879" s="28">
        <f t="shared" si="45"/>
        <v>66880</v>
      </c>
      <c r="G2879" s="43"/>
    </row>
    <row r="2880" spans="1:7" x14ac:dyDescent="0.3">
      <c r="A2880" s="45">
        <v>42958</v>
      </c>
      <c r="B2880" s="5" t="s">
        <v>1616</v>
      </c>
      <c r="C2880" s="92" t="s">
        <v>256</v>
      </c>
      <c r="D2880" s="43">
        <v>1500</v>
      </c>
      <c r="E2880" s="43"/>
      <c r="F2880" s="28">
        <f t="shared" si="45"/>
        <v>65380</v>
      </c>
      <c r="G2880" s="43"/>
    </row>
    <row r="2881" spans="1:7" x14ac:dyDescent="0.3">
      <c r="A2881" s="45">
        <v>42958</v>
      </c>
      <c r="B2881" s="5" t="s">
        <v>104</v>
      </c>
      <c r="C2881" s="92" t="s">
        <v>31</v>
      </c>
      <c r="D2881" s="43">
        <v>5000</v>
      </c>
      <c r="E2881" s="43"/>
      <c r="F2881" s="28">
        <f t="shared" si="45"/>
        <v>60380</v>
      </c>
      <c r="G2881" s="43"/>
    </row>
    <row r="2882" spans="1:7" x14ac:dyDescent="0.3">
      <c r="A2882" s="45">
        <v>42958</v>
      </c>
      <c r="B2882" s="5" t="s">
        <v>1616</v>
      </c>
      <c r="C2882" s="92" t="s">
        <v>92</v>
      </c>
      <c r="D2882" s="43">
        <v>10185</v>
      </c>
      <c r="E2882" s="43"/>
      <c r="F2882" s="28">
        <f t="shared" si="45"/>
        <v>50195</v>
      </c>
      <c r="G2882" s="43"/>
    </row>
    <row r="2883" spans="1:7" x14ac:dyDescent="0.3">
      <c r="A2883" s="45">
        <v>42958</v>
      </c>
      <c r="B2883" s="756" t="s">
        <v>2192</v>
      </c>
      <c r="C2883" s="756"/>
      <c r="D2883" s="71"/>
      <c r="E2883" s="72">
        <v>200000</v>
      </c>
      <c r="F2883" s="28">
        <f t="shared" si="45"/>
        <v>250195</v>
      </c>
      <c r="G2883" s="43"/>
    </row>
    <row r="2884" spans="1:7" x14ac:dyDescent="0.3">
      <c r="A2884" s="45">
        <v>42958</v>
      </c>
      <c r="B2884" s="5" t="s">
        <v>16</v>
      </c>
      <c r="C2884" s="92" t="s">
        <v>2218</v>
      </c>
      <c r="D2884" s="43">
        <v>15000</v>
      </c>
      <c r="E2884" s="43"/>
      <c r="F2884" s="28">
        <f t="shared" si="45"/>
        <v>235195</v>
      </c>
      <c r="G2884" s="43"/>
    </row>
    <row r="2885" spans="1:7" x14ac:dyDescent="0.3">
      <c r="A2885" s="45">
        <v>42958</v>
      </c>
      <c r="B2885" s="5" t="s">
        <v>25</v>
      </c>
      <c r="C2885" s="92" t="s">
        <v>2230</v>
      </c>
      <c r="D2885" s="43">
        <v>150</v>
      </c>
      <c r="E2885" s="43"/>
      <c r="F2885" s="28">
        <f t="shared" si="45"/>
        <v>235045</v>
      </c>
      <c r="G2885" s="43"/>
    </row>
    <row r="2886" spans="1:7" x14ac:dyDescent="0.3">
      <c r="A2886" s="45">
        <v>42958</v>
      </c>
      <c r="B2886" s="5" t="s">
        <v>25</v>
      </c>
      <c r="C2886" s="92" t="s">
        <v>2231</v>
      </c>
      <c r="D2886" s="43">
        <v>50</v>
      </c>
      <c r="E2886" s="43"/>
      <c r="F2886" s="28">
        <f t="shared" si="45"/>
        <v>234995</v>
      </c>
      <c r="G2886" s="43"/>
    </row>
    <row r="2887" spans="1:7" ht="37.5" x14ac:dyDescent="0.3">
      <c r="A2887" s="45">
        <v>42958</v>
      </c>
      <c r="B2887" s="44" t="s">
        <v>2219</v>
      </c>
      <c r="C2887" s="124" t="s">
        <v>2220</v>
      </c>
      <c r="D2887" s="28">
        <v>77770</v>
      </c>
      <c r="E2887" s="28"/>
      <c r="F2887" s="28">
        <f t="shared" si="45"/>
        <v>157225</v>
      </c>
      <c r="G2887" s="28"/>
    </row>
    <row r="2888" spans="1:7" x14ac:dyDescent="0.3">
      <c r="A2888" s="45">
        <v>42958</v>
      </c>
      <c r="B2888" s="44" t="s">
        <v>58</v>
      </c>
      <c r="C2888" s="124" t="s">
        <v>1624</v>
      </c>
      <c r="D2888" s="28">
        <v>100</v>
      </c>
      <c r="E2888" s="28"/>
      <c r="F2888" s="28">
        <f t="shared" si="45"/>
        <v>157125</v>
      </c>
      <c r="G2888" s="28"/>
    </row>
    <row r="2889" spans="1:7" x14ac:dyDescent="0.3">
      <c r="A2889" s="45">
        <v>42958</v>
      </c>
      <c r="B2889" s="5" t="s">
        <v>84</v>
      </c>
      <c r="C2889" s="92" t="s">
        <v>2149</v>
      </c>
      <c r="D2889" s="43">
        <v>7000</v>
      </c>
      <c r="E2889" s="43"/>
      <c r="F2889" s="28">
        <f t="shared" si="45"/>
        <v>150125</v>
      </c>
      <c r="G2889" s="43"/>
    </row>
    <row r="2890" spans="1:7" x14ac:dyDescent="0.3">
      <c r="A2890" s="45">
        <v>42958</v>
      </c>
      <c r="B2890" s="5" t="s">
        <v>2096</v>
      </c>
      <c r="C2890" s="92" t="s">
        <v>2221</v>
      </c>
      <c r="D2890" s="43">
        <v>2000</v>
      </c>
      <c r="E2890" s="43"/>
      <c r="F2890" s="28">
        <f t="shared" si="45"/>
        <v>148125</v>
      </c>
      <c r="G2890" s="43"/>
    </row>
    <row r="2891" spans="1:7" x14ac:dyDescent="0.3">
      <c r="A2891" s="45">
        <v>42959</v>
      </c>
      <c r="B2891" s="5" t="s">
        <v>445</v>
      </c>
      <c r="C2891" s="92" t="s">
        <v>31</v>
      </c>
      <c r="D2891" s="43">
        <v>1000</v>
      </c>
      <c r="E2891" s="43"/>
      <c r="F2891" s="28">
        <f t="shared" si="45"/>
        <v>147125</v>
      </c>
      <c r="G2891" s="43"/>
    </row>
    <row r="2892" spans="1:7" x14ac:dyDescent="0.3">
      <c r="A2892" s="45">
        <v>42959</v>
      </c>
      <c r="B2892" s="5" t="s">
        <v>25</v>
      </c>
      <c r="C2892" s="92" t="s">
        <v>2222</v>
      </c>
      <c r="D2892" s="43">
        <v>350</v>
      </c>
      <c r="E2892" s="43"/>
      <c r="F2892" s="28">
        <f t="shared" si="45"/>
        <v>146775</v>
      </c>
      <c r="G2892" s="43"/>
    </row>
    <row r="2893" spans="1:7" x14ac:dyDescent="0.3">
      <c r="A2893" s="45">
        <v>42959</v>
      </c>
      <c r="B2893" s="5" t="s">
        <v>2096</v>
      </c>
      <c r="C2893" s="92" t="s">
        <v>31</v>
      </c>
      <c r="D2893" s="43">
        <v>20000</v>
      </c>
      <c r="E2893" s="43"/>
      <c r="F2893" s="28">
        <f t="shared" si="45"/>
        <v>126775</v>
      </c>
      <c r="G2893" s="43"/>
    </row>
    <row r="2894" spans="1:7" x14ac:dyDescent="0.3">
      <c r="A2894" s="45">
        <v>42959</v>
      </c>
      <c r="B2894" s="5" t="s">
        <v>84</v>
      </c>
      <c r="C2894" s="92" t="s">
        <v>2223</v>
      </c>
      <c r="D2894" s="43">
        <v>3000</v>
      </c>
      <c r="E2894" s="43"/>
      <c r="F2894" s="28">
        <f t="shared" si="45"/>
        <v>123775</v>
      </c>
      <c r="G2894" s="43"/>
    </row>
    <row r="2895" spans="1:7" ht="37.5" x14ac:dyDescent="0.3">
      <c r="A2895" s="45">
        <v>42959</v>
      </c>
      <c r="B2895" s="5" t="s">
        <v>25</v>
      </c>
      <c r="C2895" s="92" t="s">
        <v>2232</v>
      </c>
      <c r="D2895" s="43">
        <v>440</v>
      </c>
      <c r="E2895" s="43"/>
      <c r="F2895" s="28">
        <f t="shared" si="45"/>
        <v>123335</v>
      </c>
      <c r="G2895" s="43"/>
    </row>
    <row r="2896" spans="1:7" x14ac:dyDescent="0.3">
      <c r="A2896" s="45">
        <v>42959</v>
      </c>
      <c r="B2896" s="5" t="s">
        <v>2155</v>
      </c>
      <c r="C2896" s="92" t="s">
        <v>2013</v>
      </c>
      <c r="D2896" s="43">
        <v>50</v>
      </c>
      <c r="E2896" s="43"/>
      <c r="F2896" s="28">
        <f t="shared" si="45"/>
        <v>123285</v>
      </c>
      <c r="G2896" s="43"/>
    </row>
    <row r="2897" spans="1:7" x14ac:dyDescent="0.3">
      <c r="A2897" s="45">
        <v>42959</v>
      </c>
      <c r="B2897" s="5" t="s">
        <v>2224</v>
      </c>
      <c r="C2897" s="92" t="s">
        <v>31</v>
      </c>
      <c r="D2897" s="43">
        <v>20000</v>
      </c>
      <c r="E2897" s="43"/>
      <c r="F2897" s="28">
        <f t="shared" si="45"/>
        <v>103285</v>
      </c>
      <c r="G2897" s="43"/>
    </row>
    <row r="2898" spans="1:7" ht="37.5" x14ac:dyDescent="0.3">
      <c r="A2898" s="45">
        <v>42959</v>
      </c>
      <c r="B2898" s="5" t="s">
        <v>2103</v>
      </c>
      <c r="C2898" s="92" t="s">
        <v>2252</v>
      </c>
      <c r="D2898" s="65">
        <v>290</v>
      </c>
      <c r="E2898" s="43"/>
      <c r="F2898" s="28">
        <f t="shared" si="45"/>
        <v>102995</v>
      </c>
      <c r="G2898" s="43"/>
    </row>
    <row r="2899" spans="1:7" x14ac:dyDescent="0.3">
      <c r="A2899" s="45">
        <v>42959</v>
      </c>
      <c r="B2899" s="5" t="s">
        <v>84</v>
      </c>
      <c r="C2899" s="92" t="s">
        <v>2225</v>
      </c>
      <c r="D2899" s="43">
        <v>12000</v>
      </c>
      <c r="E2899" s="43"/>
      <c r="F2899" s="28">
        <f t="shared" si="45"/>
        <v>90995</v>
      </c>
      <c r="G2899" s="43"/>
    </row>
    <row r="2900" spans="1:7" ht="37.5" x14ac:dyDescent="0.3">
      <c r="A2900" s="45">
        <v>42959</v>
      </c>
      <c r="B2900" s="44" t="s">
        <v>25</v>
      </c>
      <c r="C2900" s="124" t="s">
        <v>2226</v>
      </c>
      <c r="D2900" s="28">
        <v>245</v>
      </c>
      <c r="E2900" s="28"/>
      <c r="F2900" s="28">
        <f t="shared" si="45"/>
        <v>90750</v>
      </c>
      <c r="G2900" s="28"/>
    </row>
    <row r="2901" spans="1:7" x14ac:dyDescent="0.3">
      <c r="A2901" s="45">
        <v>42959</v>
      </c>
      <c r="B2901" s="44" t="s">
        <v>25</v>
      </c>
      <c r="C2901" s="124" t="s">
        <v>2233</v>
      </c>
      <c r="D2901" s="28">
        <v>60</v>
      </c>
      <c r="E2901" s="28"/>
      <c r="F2901" s="28">
        <f t="shared" si="45"/>
        <v>90690</v>
      </c>
      <c r="G2901" s="28"/>
    </row>
    <row r="2902" spans="1:7" x14ac:dyDescent="0.3">
      <c r="A2902" s="45">
        <v>42959</v>
      </c>
      <c r="B2902" s="5" t="s">
        <v>2103</v>
      </c>
      <c r="C2902" s="92" t="s">
        <v>2227</v>
      </c>
      <c r="D2902" s="65">
        <v>1480</v>
      </c>
      <c r="E2902" s="43"/>
      <c r="F2902" s="28">
        <f t="shared" si="45"/>
        <v>89210</v>
      </c>
      <c r="G2902" s="43"/>
    </row>
    <row r="2903" spans="1:7" x14ac:dyDescent="0.3">
      <c r="A2903" s="45">
        <v>42959</v>
      </c>
      <c r="B2903" s="5" t="s">
        <v>120</v>
      </c>
      <c r="C2903" s="92" t="s">
        <v>31</v>
      </c>
      <c r="D2903" s="65">
        <v>10000</v>
      </c>
      <c r="E2903" s="43"/>
      <c r="F2903" s="28">
        <f t="shared" si="45"/>
        <v>79210</v>
      </c>
      <c r="G2903" s="43"/>
    </row>
    <row r="2904" spans="1:7" x14ac:dyDescent="0.3">
      <c r="A2904" s="45">
        <v>42959</v>
      </c>
      <c r="B2904" s="5" t="s">
        <v>181</v>
      </c>
      <c r="C2904" s="92" t="s">
        <v>2228</v>
      </c>
      <c r="D2904" s="43">
        <v>15000</v>
      </c>
      <c r="E2904" s="43"/>
      <c r="F2904" s="28">
        <f t="shared" si="45"/>
        <v>64210</v>
      </c>
      <c r="G2904" s="43"/>
    </row>
    <row r="2905" spans="1:7" x14ac:dyDescent="0.3">
      <c r="A2905" s="45">
        <v>42959</v>
      </c>
      <c r="B2905" s="5" t="s">
        <v>84</v>
      </c>
      <c r="C2905" s="92" t="s">
        <v>2234</v>
      </c>
      <c r="D2905" s="43">
        <v>2000</v>
      </c>
      <c r="E2905" s="43"/>
      <c r="F2905" s="28">
        <f t="shared" si="45"/>
        <v>62210</v>
      </c>
      <c r="G2905" s="43"/>
    </row>
    <row r="2906" spans="1:7" x14ac:dyDescent="0.3">
      <c r="A2906" s="45">
        <v>42959</v>
      </c>
      <c r="B2906" s="5" t="s">
        <v>54</v>
      </c>
      <c r="C2906" s="92" t="s">
        <v>2235</v>
      </c>
      <c r="D2906" s="43">
        <v>2000</v>
      </c>
      <c r="E2906" s="43"/>
      <c r="F2906" s="28">
        <f t="shared" si="45"/>
        <v>60210</v>
      </c>
      <c r="G2906" s="43"/>
    </row>
    <row r="2907" spans="1:7" ht="37.5" x14ac:dyDescent="0.3">
      <c r="A2907" s="45">
        <v>42959</v>
      </c>
      <c r="B2907" s="44" t="s">
        <v>247</v>
      </c>
      <c r="C2907" s="124" t="s">
        <v>2246</v>
      </c>
      <c r="D2907" s="48">
        <v>17485</v>
      </c>
      <c r="E2907" s="28"/>
      <c r="F2907" s="28">
        <f t="shared" si="45"/>
        <v>42725</v>
      </c>
      <c r="G2907" s="43"/>
    </row>
    <row r="2908" spans="1:7" x14ac:dyDescent="0.3">
      <c r="A2908" s="45">
        <v>42962</v>
      </c>
      <c r="B2908" s="5" t="s">
        <v>18</v>
      </c>
      <c r="C2908" s="92" t="s">
        <v>2236</v>
      </c>
      <c r="D2908" s="65">
        <v>110</v>
      </c>
      <c r="E2908" s="43"/>
      <c r="F2908" s="28">
        <f t="shared" si="45"/>
        <v>42615</v>
      </c>
      <c r="G2908" s="43"/>
    </row>
    <row r="2909" spans="1:7" x14ac:dyDescent="0.3">
      <c r="A2909" s="45">
        <v>42962</v>
      </c>
      <c r="B2909" s="5" t="s">
        <v>1616</v>
      </c>
      <c r="C2909" s="92" t="s">
        <v>2237</v>
      </c>
      <c r="D2909" s="43">
        <v>520</v>
      </c>
      <c r="E2909" s="43"/>
      <c r="F2909" s="28">
        <f t="shared" si="45"/>
        <v>42095</v>
      </c>
      <c r="G2909" s="43"/>
    </row>
    <row r="2910" spans="1:7" x14ac:dyDescent="0.3">
      <c r="A2910" s="45">
        <v>42962</v>
      </c>
      <c r="B2910" s="5" t="s">
        <v>1837</v>
      </c>
      <c r="C2910" s="92" t="s">
        <v>2240</v>
      </c>
      <c r="D2910" s="65">
        <v>10870</v>
      </c>
      <c r="E2910" s="65"/>
      <c r="F2910" s="48">
        <f t="shared" si="45"/>
        <v>31225</v>
      </c>
      <c r="G2910" s="43"/>
    </row>
    <row r="2911" spans="1:7" x14ac:dyDescent="0.3">
      <c r="A2911" s="45">
        <v>42962</v>
      </c>
      <c r="B2911" s="5" t="s">
        <v>47</v>
      </c>
      <c r="C2911" s="92" t="s">
        <v>2239</v>
      </c>
      <c r="D2911" s="43">
        <v>2600</v>
      </c>
      <c r="E2911" s="43"/>
      <c r="F2911" s="28">
        <f t="shared" si="45"/>
        <v>28625</v>
      </c>
      <c r="G2911" s="43"/>
    </row>
    <row r="2912" spans="1:7" x14ac:dyDescent="0.3">
      <c r="A2912" s="45">
        <v>42962</v>
      </c>
      <c r="B2912" s="5" t="s">
        <v>25</v>
      </c>
      <c r="C2912" s="92" t="s">
        <v>2238</v>
      </c>
      <c r="D2912" s="43">
        <v>600</v>
      </c>
      <c r="E2912" s="43"/>
      <c r="F2912" s="28">
        <f t="shared" si="45"/>
        <v>28025</v>
      </c>
      <c r="G2912" s="43"/>
    </row>
    <row r="2913" spans="1:8" x14ac:dyDescent="0.3">
      <c r="A2913" s="45">
        <v>42962</v>
      </c>
      <c r="B2913" s="5" t="s">
        <v>2086</v>
      </c>
      <c r="C2913" s="92" t="s">
        <v>2241</v>
      </c>
      <c r="D2913" s="43">
        <v>100</v>
      </c>
      <c r="E2913" s="43"/>
      <c r="F2913" s="28">
        <f>E2913+F2912-D2913</f>
        <v>27925</v>
      </c>
      <c r="G2913" s="43"/>
    </row>
    <row r="2914" spans="1:8" x14ac:dyDescent="0.3">
      <c r="A2914" s="45">
        <v>42963</v>
      </c>
      <c r="B2914" s="5" t="s">
        <v>2096</v>
      </c>
      <c r="C2914" s="92" t="s">
        <v>77</v>
      </c>
      <c r="D2914" s="43">
        <v>18000</v>
      </c>
      <c r="E2914" s="43"/>
      <c r="F2914" s="28">
        <f t="shared" si="45"/>
        <v>9925</v>
      </c>
      <c r="G2914" s="43"/>
    </row>
    <row r="2915" spans="1:8" x14ac:dyDescent="0.3">
      <c r="A2915" s="45">
        <v>42963</v>
      </c>
      <c r="B2915" s="5" t="s">
        <v>1967</v>
      </c>
      <c r="C2915" s="92" t="s">
        <v>2242</v>
      </c>
      <c r="D2915" s="43">
        <v>100</v>
      </c>
      <c r="E2915" s="43"/>
      <c r="F2915" s="28">
        <f t="shared" si="45"/>
        <v>9825</v>
      </c>
      <c r="G2915" s="43"/>
    </row>
    <row r="2916" spans="1:8" ht="37.5" x14ac:dyDescent="0.3">
      <c r="A2916" s="45">
        <v>42963</v>
      </c>
      <c r="B2916" s="44" t="s">
        <v>25</v>
      </c>
      <c r="C2916" s="124" t="s">
        <v>2243</v>
      </c>
      <c r="D2916" s="28">
        <v>500</v>
      </c>
      <c r="E2916" s="28"/>
      <c r="F2916" s="28">
        <f t="shared" si="45"/>
        <v>9325</v>
      </c>
      <c r="G2916" s="28"/>
    </row>
    <row r="2917" spans="1:8" x14ac:dyDescent="0.3">
      <c r="A2917" s="45">
        <v>42963</v>
      </c>
      <c r="B2917" s="756" t="s">
        <v>2249</v>
      </c>
      <c r="C2917" s="756"/>
      <c r="D2917" s="71"/>
      <c r="E2917" s="72">
        <v>9000</v>
      </c>
      <c r="F2917" s="28">
        <f t="shared" si="45"/>
        <v>18325</v>
      </c>
      <c r="G2917" s="28"/>
    </row>
    <row r="2918" spans="1:8" x14ac:dyDescent="0.3">
      <c r="A2918" s="45">
        <v>42963</v>
      </c>
      <c r="B2918" s="5" t="s">
        <v>2204</v>
      </c>
      <c r="C2918" s="92" t="s">
        <v>2245</v>
      </c>
      <c r="D2918" s="43">
        <v>90</v>
      </c>
      <c r="E2918" s="43"/>
      <c r="F2918" s="28">
        <f t="shared" si="45"/>
        <v>18235</v>
      </c>
      <c r="G2918" s="43"/>
    </row>
    <row r="2919" spans="1:8" x14ac:dyDescent="0.3">
      <c r="A2919" s="45">
        <v>42963</v>
      </c>
      <c r="B2919" s="5" t="s">
        <v>18</v>
      </c>
      <c r="C2919" s="92" t="s">
        <v>31</v>
      </c>
      <c r="D2919" s="43">
        <v>500</v>
      </c>
      <c r="E2919" s="43"/>
      <c r="F2919" s="28">
        <f t="shared" si="45"/>
        <v>17735</v>
      </c>
      <c r="G2919" s="43"/>
    </row>
    <row r="2920" spans="1:8" x14ac:dyDescent="0.3">
      <c r="A2920" s="45">
        <v>42963</v>
      </c>
      <c r="B2920" s="5" t="s">
        <v>25</v>
      </c>
      <c r="C2920" s="92" t="s">
        <v>1557</v>
      </c>
      <c r="D2920" s="43">
        <v>150</v>
      </c>
      <c r="E2920" s="43"/>
      <c r="F2920" s="28">
        <f t="shared" si="45"/>
        <v>17585</v>
      </c>
      <c r="G2920" s="43"/>
    </row>
    <row r="2921" spans="1:8" ht="37.5" x14ac:dyDescent="0.3">
      <c r="A2921" s="45">
        <v>42963</v>
      </c>
      <c r="B2921" s="5" t="s">
        <v>25</v>
      </c>
      <c r="C2921" s="92" t="s">
        <v>2250</v>
      </c>
      <c r="D2921" s="43">
        <v>445</v>
      </c>
      <c r="E2921" s="43"/>
      <c r="F2921" s="28">
        <f t="shared" si="45"/>
        <v>17140</v>
      </c>
      <c r="G2921" s="43"/>
    </row>
    <row r="2922" spans="1:8" x14ac:dyDescent="0.3">
      <c r="A2922" s="45">
        <v>42964</v>
      </c>
      <c r="B2922" s="5" t="s">
        <v>60</v>
      </c>
      <c r="C2922" s="92" t="s">
        <v>31</v>
      </c>
      <c r="D2922" s="43">
        <v>2000</v>
      </c>
      <c r="E2922" s="43"/>
      <c r="F2922" s="28">
        <f t="shared" si="45"/>
        <v>15140</v>
      </c>
      <c r="G2922" s="43"/>
      <c r="H2922" s="155"/>
    </row>
    <row r="2923" spans="1:8" x14ac:dyDescent="0.3">
      <c r="A2923" s="45">
        <v>42964</v>
      </c>
      <c r="B2923" s="5" t="s">
        <v>25</v>
      </c>
      <c r="C2923" s="92" t="s">
        <v>605</v>
      </c>
      <c r="D2923" s="43">
        <v>50</v>
      </c>
      <c r="E2923" s="43"/>
      <c r="F2923" s="28">
        <f t="shared" si="45"/>
        <v>15090</v>
      </c>
      <c r="G2923" s="43"/>
    </row>
    <row r="2924" spans="1:8" x14ac:dyDescent="0.3">
      <c r="A2924" s="45">
        <v>42964</v>
      </c>
      <c r="B2924" s="5" t="s">
        <v>2247</v>
      </c>
      <c r="C2924" s="92" t="s">
        <v>2248</v>
      </c>
      <c r="D2924" s="43">
        <v>2000</v>
      </c>
      <c r="E2924" s="43"/>
      <c r="F2924" s="28">
        <f t="shared" si="45"/>
        <v>13090</v>
      </c>
      <c r="G2924" s="43"/>
    </row>
    <row r="2925" spans="1:8" x14ac:dyDescent="0.3">
      <c r="A2925" s="45">
        <v>42964</v>
      </c>
      <c r="B2925" s="5" t="s">
        <v>16</v>
      </c>
      <c r="C2925" s="92" t="s">
        <v>31</v>
      </c>
      <c r="D2925" s="43">
        <v>5000</v>
      </c>
      <c r="E2925" s="43"/>
      <c r="F2925" s="28">
        <f t="shared" si="45"/>
        <v>8090</v>
      </c>
      <c r="G2925" s="43"/>
    </row>
    <row r="2926" spans="1:8" ht="37.5" x14ac:dyDescent="0.3">
      <c r="A2926" s="45">
        <v>42965</v>
      </c>
      <c r="B2926" s="5" t="s">
        <v>2103</v>
      </c>
      <c r="C2926" s="92" t="s">
        <v>2251</v>
      </c>
      <c r="D2926" s="43">
        <v>350</v>
      </c>
      <c r="E2926" s="43"/>
      <c r="F2926" s="28">
        <f t="shared" si="45"/>
        <v>7740</v>
      </c>
      <c r="G2926" s="43"/>
    </row>
    <row r="2927" spans="1:8" x14ac:dyDescent="0.3">
      <c r="A2927" s="45">
        <v>42965</v>
      </c>
      <c r="B2927" s="756" t="s">
        <v>2192</v>
      </c>
      <c r="C2927" s="756"/>
      <c r="D2927" s="71"/>
      <c r="E2927" s="72">
        <v>200000</v>
      </c>
      <c r="F2927" s="28">
        <f t="shared" si="45"/>
        <v>207740</v>
      </c>
      <c r="G2927" s="43"/>
    </row>
    <row r="2928" spans="1:8" x14ac:dyDescent="0.3">
      <c r="A2928" s="45">
        <v>42965</v>
      </c>
      <c r="B2928" s="756" t="s">
        <v>2192</v>
      </c>
      <c r="C2928" s="756"/>
      <c r="D2928" s="71"/>
      <c r="E2928" s="72">
        <v>6200</v>
      </c>
      <c r="F2928" s="28">
        <f t="shared" si="45"/>
        <v>213940</v>
      </c>
      <c r="G2928" s="43"/>
    </row>
    <row r="2929" spans="1:7" ht="37.5" x14ac:dyDescent="0.3">
      <c r="A2929" s="45">
        <v>42965</v>
      </c>
      <c r="B2929" s="5" t="s">
        <v>58</v>
      </c>
      <c r="C2929" s="92" t="s">
        <v>2253</v>
      </c>
      <c r="D2929" s="43">
        <v>10800</v>
      </c>
      <c r="E2929" s="43"/>
      <c r="F2929" s="28">
        <f t="shared" si="45"/>
        <v>203140</v>
      </c>
      <c r="G2929" s="43"/>
    </row>
    <row r="2930" spans="1:7" x14ac:dyDescent="0.3">
      <c r="A2930" s="45">
        <v>42965</v>
      </c>
      <c r="B2930" s="5" t="s">
        <v>54</v>
      </c>
      <c r="C2930" s="92" t="s">
        <v>2254</v>
      </c>
      <c r="D2930" s="43">
        <v>10000</v>
      </c>
      <c r="E2930" s="43"/>
      <c r="F2930" s="28">
        <f t="shared" si="45"/>
        <v>193140</v>
      </c>
      <c r="G2930" s="43"/>
    </row>
    <row r="2931" spans="1:7" x14ac:dyDescent="0.3">
      <c r="A2931" s="45">
        <v>42965</v>
      </c>
      <c r="B2931" s="5" t="s">
        <v>247</v>
      </c>
      <c r="C2931" s="92" t="s">
        <v>2255</v>
      </c>
      <c r="D2931" s="43">
        <v>765</v>
      </c>
      <c r="E2931" s="43"/>
      <c r="F2931" s="28">
        <f t="shared" si="45"/>
        <v>192375</v>
      </c>
      <c r="G2931" s="43"/>
    </row>
    <row r="2932" spans="1:7" x14ac:dyDescent="0.3">
      <c r="A2932" s="45">
        <v>42965</v>
      </c>
      <c r="B2932" s="5" t="s">
        <v>247</v>
      </c>
      <c r="C2932" s="92" t="s">
        <v>2256</v>
      </c>
      <c r="D2932" s="43">
        <v>850</v>
      </c>
      <c r="E2932" s="43"/>
      <c r="F2932" s="28">
        <f t="shared" ref="F2932:F2995" si="46">E2932+F2931-D2932</f>
        <v>191525</v>
      </c>
      <c r="G2932" s="43"/>
    </row>
    <row r="2933" spans="1:7" x14ac:dyDescent="0.3">
      <c r="A2933" s="45">
        <v>42965</v>
      </c>
      <c r="B2933" s="5" t="s">
        <v>247</v>
      </c>
      <c r="C2933" s="92" t="s">
        <v>2257</v>
      </c>
      <c r="D2933" s="65">
        <v>170</v>
      </c>
      <c r="E2933" s="43"/>
      <c r="F2933" s="28">
        <f t="shared" si="46"/>
        <v>191355</v>
      </c>
      <c r="G2933" s="43"/>
    </row>
    <row r="2934" spans="1:7" x14ac:dyDescent="0.3">
      <c r="A2934" s="45">
        <v>42965</v>
      </c>
      <c r="B2934" s="5" t="s">
        <v>1616</v>
      </c>
      <c r="C2934" s="92" t="s">
        <v>2311</v>
      </c>
      <c r="D2934" s="65">
        <v>1520</v>
      </c>
      <c r="E2934" s="43"/>
      <c r="F2934" s="28">
        <f t="shared" si="46"/>
        <v>189835</v>
      </c>
      <c r="G2934" s="43"/>
    </row>
    <row r="2935" spans="1:7" ht="37.5" x14ac:dyDescent="0.3">
      <c r="A2935" s="45">
        <v>42966</v>
      </c>
      <c r="B2935" s="5" t="s">
        <v>1967</v>
      </c>
      <c r="C2935" s="92" t="s">
        <v>2258</v>
      </c>
      <c r="D2935" s="43">
        <v>200</v>
      </c>
      <c r="E2935" s="43"/>
      <c r="F2935" s="28">
        <f t="shared" si="46"/>
        <v>189635</v>
      </c>
      <c r="G2935" s="43"/>
    </row>
    <row r="2936" spans="1:7" x14ac:dyDescent="0.3">
      <c r="A2936" s="45">
        <v>42966</v>
      </c>
      <c r="B2936" s="5" t="s">
        <v>84</v>
      </c>
      <c r="C2936" s="92" t="s">
        <v>2259</v>
      </c>
      <c r="D2936" s="43">
        <v>1000</v>
      </c>
      <c r="E2936" s="43"/>
      <c r="F2936" s="28">
        <f t="shared" si="46"/>
        <v>188635</v>
      </c>
      <c r="G2936" s="43"/>
    </row>
    <row r="2937" spans="1:7" ht="37.5" x14ac:dyDescent="0.3">
      <c r="A2937" s="45">
        <v>42966</v>
      </c>
      <c r="B2937" s="5" t="s">
        <v>2125</v>
      </c>
      <c r="C2937" s="92" t="s">
        <v>2260</v>
      </c>
      <c r="D2937" s="43">
        <v>4550</v>
      </c>
      <c r="E2937" s="43"/>
      <c r="F2937" s="28">
        <f t="shared" si="46"/>
        <v>184085</v>
      </c>
      <c r="G2937" s="43"/>
    </row>
    <row r="2938" spans="1:7" x14ac:dyDescent="0.3">
      <c r="A2938" s="45">
        <v>42966</v>
      </c>
      <c r="B2938" s="5" t="s">
        <v>2262</v>
      </c>
      <c r="C2938" s="92" t="s">
        <v>2263</v>
      </c>
      <c r="D2938" s="43">
        <v>200</v>
      </c>
      <c r="E2938" s="43"/>
      <c r="F2938" s="28">
        <f t="shared" si="46"/>
        <v>183885</v>
      </c>
      <c r="G2938" s="43"/>
    </row>
    <row r="2939" spans="1:7" ht="37.5" x14ac:dyDescent="0.3">
      <c r="A2939" s="45">
        <v>42966</v>
      </c>
      <c r="B2939" s="5" t="s">
        <v>25</v>
      </c>
      <c r="C2939" s="92" t="s">
        <v>2261</v>
      </c>
      <c r="D2939" s="43">
        <v>545</v>
      </c>
      <c r="E2939" s="43"/>
      <c r="F2939" s="28">
        <f t="shared" si="46"/>
        <v>183340</v>
      </c>
      <c r="G2939" s="43"/>
    </row>
    <row r="2940" spans="1:7" x14ac:dyDescent="0.3">
      <c r="A2940" s="45">
        <v>42966</v>
      </c>
      <c r="B2940" s="5" t="s">
        <v>84</v>
      </c>
      <c r="C2940" s="92" t="s">
        <v>2264</v>
      </c>
      <c r="D2940" s="43">
        <v>1000</v>
      </c>
      <c r="E2940" s="43"/>
      <c r="F2940" s="28">
        <f t="shared" si="46"/>
        <v>182340</v>
      </c>
      <c r="G2940" s="43"/>
    </row>
    <row r="2941" spans="1:7" x14ac:dyDescent="0.3">
      <c r="A2941" s="45">
        <v>42966</v>
      </c>
      <c r="B2941" s="5" t="s">
        <v>541</v>
      </c>
      <c r="C2941" s="92" t="s">
        <v>2266</v>
      </c>
      <c r="D2941" s="43">
        <v>3000</v>
      </c>
      <c r="E2941" s="43"/>
      <c r="F2941" s="28">
        <f t="shared" si="46"/>
        <v>179340</v>
      </c>
      <c r="G2941" s="43"/>
    </row>
    <row r="2942" spans="1:7" x14ac:dyDescent="0.3">
      <c r="A2942" s="45">
        <v>42966</v>
      </c>
      <c r="B2942" s="5" t="s">
        <v>110</v>
      </c>
      <c r="C2942" s="92" t="s">
        <v>2265</v>
      </c>
      <c r="D2942" s="43">
        <v>2000</v>
      </c>
      <c r="E2942" s="43"/>
      <c r="F2942" s="28">
        <f t="shared" si="46"/>
        <v>177340</v>
      </c>
      <c r="G2942" s="43"/>
    </row>
    <row r="2943" spans="1:7" x14ac:dyDescent="0.3">
      <c r="A2943" s="45">
        <v>42966</v>
      </c>
      <c r="B2943" s="5" t="s">
        <v>2096</v>
      </c>
      <c r="C2943" s="92" t="s">
        <v>31</v>
      </c>
      <c r="D2943" s="43">
        <v>7000</v>
      </c>
      <c r="E2943" s="43"/>
      <c r="F2943" s="28">
        <f t="shared" si="46"/>
        <v>170340</v>
      </c>
      <c r="G2943" s="43"/>
    </row>
    <row r="2944" spans="1:7" ht="37.5" x14ac:dyDescent="0.3">
      <c r="A2944" s="45">
        <v>42966</v>
      </c>
      <c r="B2944" s="44" t="s">
        <v>2040</v>
      </c>
      <c r="C2944" s="124" t="s">
        <v>2268</v>
      </c>
      <c r="D2944" s="28">
        <v>30000</v>
      </c>
      <c r="E2944" s="28"/>
      <c r="F2944" s="28">
        <f t="shared" si="46"/>
        <v>140340</v>
      </c>
      <c r="G2944" s="28"/>
    </row>
    <row r="2945" spans="1:7" x14ac:dyDescent="0.3">
      <c r="A2945" s="45">
        <v>42968</v>
      </c>
      <c r="B2945" s="5" t="s">
        <v>56</v>
      </c>
      <c r="C2945" s="92" t="s">
        <v>2277</v>
      </c>
      <c r="D2945" s="43">
        <v>1500</v>
      </c>
      <c r="E2945" s="43"/>
      <c r="F2945" s="28">
        <f t="shared" si="46"/>
        <v>138840</v>
      </c>
      <c r="G2945" s="43"/>
    </row>
    <row r="2946" spans="1:7" x14ac:dyDescent="0.3">
      <c r="A2946" s="45">
        <v>42968</v>
      </c>
      <c r="B2946" s="5" t="s">
        <v>84</v>
      </c>
      <c r="C2946" s="92" t="s">
        <v>2269</v>
      </c>
      <c r="D2946" s="43">
        <v>3000</v>
      </c>
      <c r="E2946" s="43"/>
      <c r="F2946" s="28">
        <f t="shared" si="46"/>
        <v>135840</v>
      </c>
      <c r="G2946" s="43"/>
    </row>
    <row r="2947" spans="1:7" x14ac:dyDescent="0.3">
      <c r="A2947" s="45">
        <v>42968</v>
      </c>
      <c r="B2947" s="5" t="s">
        <v>120</v>
      </c>
      <c r="C2947" s="92" t="s">
        <v>31</v>
      </c>
      <c r="D2947" s="43">
        <v>2000</v>
      </c>
      <c r="E2947" s="43"/>
      <c r="F2947" s="28">
        <f t="shared" si="46"/>
        <v>133840</v>
      </c>
      <c r="G2947" s="43"/>
    </row>
    <row r="2948" spans="1:7" x14ac:dyDescent="0.3">
      <c r="A2948" s="45">
        <v>42968</v>
      </c>
      <c r="B2948" s="5" t="s">
        <v>16</v>
      </c>
      <c r="C2948" s="92" t="s">
        <v>31</v>
      </c>
      <c r="D2948" s="43">
        <v>5000</v>
      </c>
      <c r="E2948" s="43"/>
      <c r="F2948" s="28">
        <f t="shared" si="46"/>
        <v>128840</v>
      </c>
      <c r="G2948" s="43"/>
    </row>
    <row r="2949" spans="1:7" x14ac:dyDescent="0.3">
      <c r="A2949" s="45">
        <v>42968</v>
      </c>
      <c r="B2949" s="5" t="s">
        <v>25</v>
      </c>
      <c r="C2949" s="92" t="s">
        <v>2284</v>
      </c>
      <c r="D2949" s="43">
        <v>1600</v>
      </c>
      <c r="E2949" s="43"/>
      <c r="F2949" s="28">
        <f t="shared" si="46"/>
        <v>127240</v>
      </c>
      <c r="G2949" s="43"/>
    </row>
    <row r="2950" spans="1:7" x14ac:dyDescent="0.3">
      <c r="A2950" s="45">
        <v>42968</v>
      </c>
      <c r="B2950" s="5" t="s">
        <v>1633</v>
      </c>
      <c r="C2950" s="92" t="s">
        <v>2270</v>
      </c>
      <c r="D2950" s="43">
        <v>1000</v>
      </c>
      <c r="E2950" s="43"/>
      <c r="F2950" s="28">
        <f t="shared" si="46"/>
        <v>126240</v>
      </c>
      <c r="G2950" s="43"/>
    </row>
    <row r="2951" spans="1:7" ht="37.5" x14ac:dyDescent="0.3">
      <c r="A2951" s="45">
        <v>42968</v>
      </c>
      <c r="B2951" s="5" t="s">
        <v>25</v>
      </c>
      <c r="C2951" s="92" t="s">
        <v>2271</v>
      </c>
      <c r="D2951" s="43">
        <v>100</v>
      </c>
      <c r="E2951" s="43"/>
      <c r="F2951" s="28">
        <f t="shared" si="46"/>
        <v>126140</v>
      </c>
      <c r="G2951" s="43"/>
    </row>
    <row r="2952" spans="1:7" x14ac:dyDescent="0.3">
      <c r="A2952" s="45">
        <v>42968</v>
      </c>
      <c r="B2952" s="5" t="s">
        <v>2096</v>
      </c>
      <c r="C2952" s="92" t="s">
        <v>2272</v>
      </c>
      <c r="D2952" s="43">
        <v>10000</v>
      </c>
      <c r="E2952" s="43"/>
      <c r="F2952" s="28">
        <f t="shared" si="46"/>
        <v>116140</v>
      </c>
      <c r="G2952" s="43"/>
    </row>
    <row r="2953" spans="1:7" x14ac:dyDescent="0.3">
      <c r="A2953" s="45">
        <v>42968</v>
      </c>
      <c r="B2953" s="5" t="s">
        <v>2273</v>
      </c>
      <c r="C2953" s="92" t="s">
        <v>2274</v>
      </c>
      <c r="D2953" s="43">
        <v>9600</v>
      </c>
      <c r="E2953" s="43"/>
      <c r="F2953" s="28">
        <f t="shared" si="46"/>
        <v>106540</v>
      </c>
      <c r="G2953" s="43"/>
    </row>
    <row r="2954" spans="1:7" x14ac:dyDescent="0.3">
      <c r="A2954" s="45">
        <v>42968</v>
      </c>
      <c r="B2954" s="5" t="s">
        <v>25</v>
      </c>
      <c r="C2954" s="92" t="s">
        <v>2275</v>
      </c>
      <c r="D2954" s="43">
        <v>450</v>
      </c>
      <c r="E2954" s="43"/>
      <c r="F2954" s="28">
        <f t="shared" si="46"/>
        <v>106090</v>
      </c>
      <c r="G2954" s="43"/>
    </row>
    <row r="2955" spans="1:7" x14ac:dyDescent="0.3">
      <c r="A2955" s="45">
        <v>42968</v>
      </c>
      <c r="B2955" s="5" t="s">
        <v>84</v>
      </c>
      <c r="C2955" s="92" t="s">
        <v>2276</v>
      </c>
      <c r="D2955" s="43">
        <v>3000</v>
      </c>
      <c r="E2955" s="43"/>
      <c r="F2955" s="28">
        <f t="shared" si="46"/>
        <v>103090</v>
      </c>
      <c r="G2955" s="43"/>
    </row>
    <row r="2956" spans="1:7" x14ac:dyDescent="0.3">
      <c r="A2956" s="45">
        <v>42969</v>
      </c>
      <c r="B2956" s="5" t="s">
        <v>56</v>
      </c>
      <c r="C2956" s="92" t="s">
        <v>2281</v>
      </c>
      <c r="D2956" s="65">
        <v>100</v>
      </c>
      <c r="E2956" s="65"/>
      <c r="F2956" s="28">
        <f t="shared" si="46"/>
        <v>102990</v>
      </c>
      <c r="G2956" s="65"/>
    </row>
    <row r="2957" spans="1:7" x14ac:dyDescent="0.3">
      <c r="A2957" s="45">
        <v>42969</v>
      </c>
      <c r="B2957" s="5" t="s">
        <v>107</v>
      </c>
      <c r="C2957" s="92" t="s">
        <v>2278</v>
      </c>
      <c r="D2957" s="43">
        <v>200</v>
      </c>
      <c r="E2957" s="43"/>
      <c r="F2957" s="28">
        <f t="shared" si="46"/>
        <v>102790</v>
      </c>
      <c r="G2957" s="43"/>
    </row>
    <row r="2958" spans="1:7" x14ac:dyDescent="0.3">
      <c r="A2958" s="45">
        <v>42969</v>
      </c>
      <c r="B2958" s="5" t="s">
        <v>1616</v>
      </c>
      <c r="C2958" s="92" t="s">
        <v>2279</v>
      </c>
      <c r="D2958" s="43">
        <v>12000</v>
      </c>
      <c r="E2958" s="43"/>
      <c r="F2958" s="28">
        <f t="shared" si="46"/>
        <v>90790</v>
      </c>
      <c r="G2958" s="43"/>
    </row>
    <row r="2959" spans="1:7" x14ac:dyDescent="0.3">
      <c r="A2959" s="45">
        <v>42969</v>
      </c>
      <c r="B2959" s="5" t="s">
        <v>1193</v>
      </c>
      <c r="C2959" s="92" t="s">
        <v>2280</v>
      </c>
      <c r="D2959" s="43">
        <v>2000</v>
      </c>
      <c r="E2959" s="43"/>
      <c r="F2959" s="28">
        <f t="shared" si="46"/>
        <v>88790</v>
      </c>
      <c r="G2959" s="43"/>
    </row>
    <row r="2960" spans="1:7" x14ac:dyDescent="0.3">
      <c r="A2960" s="45">
        <v>42969</v>
      </c>
      <c r="B2960" s="125" t="s">
        <v>247</v>
      </c>
      <c r="C2960" s="126" t="s">
        <v>31</v>
      </c>
      <c r="D2960" s="127">
        <v>100</v>
      </c>
      <c r="E2960" s="43"/>
      <c r="F2960" s="28">
        <f t="shared" si="46"/>
        <v>88690</v>
      </c>
      <c r="G2960" s="43"/>
    </row>
    <row r="2961" spans="1:7" x14ac:dyDescent="0.3">
      <c r="A2961" s="45">
        <v>42969</v>
      </c>
      <c r="B2961" s="5" t="s">
        <v>120</v>
      </c>
      <c r="C2961" s="92" t="s">
        <v>2282</v>
      </c>
      <c r="D2961" s="43">
        <v>100</v>
      </c>
      <c r="E2961" s="43"/>
      <c r="F2961" s="28">
        <f t="shared" si="46"/>
        <v>88590</v>
      </c>
      <c r="G2961" s="43"/>
    </row>
    <row r="2962" spans="1:7" x14ac:dyDescent="0.3">
      <c r="A2962" s="45">
        <v>42970</v>
      </c>
      <c r="B2962" s="5" t="s">
        <v>1633</v>
      </c>
      <c r="C2962" s="92" t="s">
        <v>2283</v>
      </c>
      <c r="D2962" s="43">
        <v>120</v>
      </c>
      <c r="E2962" s="43"/>
      <c r="F2962" s="28">
        <f t="shared" si="46"/>
        <v>88470</v>
      </c>
      <c r="G2962" s="43"/>
    </row>
    <row r="2963" spans="1:7" x14ac:dyDescent="0.3">
      <c r="A2963" s="45">
        <v>42970</v>
      </c>
      <c r="B2963" s="5" t="s">
        <v>1343</v>
      </c>
      <c r="C2963" s="92" t="s">
        <v>671</v>
      </c>
      <c r="D2963" s="43">
        <v>3500</v>
      </c>
      <c r="E2963" s="43"/>
      <c r="F2963" s="28">
        <f t="shared" si="46"/>
        <v>84970</v>
      </c>
      <c r="G2963" s="43"/>
    </row>
    <row r="2964" spans="1:7" x14ac:dyDescent="0.3">
      <c r="A2964" s="45">
        <v>42970</v>
      </c>
      <c r="B2964" s="5" t="s">
        <v>58</v>
      </c>
      <c r="C2964" s="92" t="s">
        <v>31</v>
      </c>
      <c r="D2964" s="43">
        <v>100</v>
      </c>
      <c r="E2964" s="43"/>
      <c r="F2964" s="28">
        <f t="shared" si="46"/>
        <v>84870</v>
      </c>
      <c r="G2964" s="43"/>
    </row>
    <row r="2965" spans="1:7" x14ac:dyDescent="0.3">
      <c r="A2965" s="45">
        <v>42970</v>
      </c>
      <c r="B2965" s="5" t="s">
        <v>2096</v>
      </c>
      <c r="C2965" s="92" t="s">
        <v>1656</v>
      </c>
      <c r="D2965" s="43">
        <v>20000</v>
      </c>
      <c r="E2965" s="43"/>
      <c r="F2965" s="28">
        <f t="shared" si="46"/>
        <v>64870</v>
      </c>
      <c r="G2965" s="43"/>
    </row>
    <row r="2966" spans="1:7" x14ac:dyDescent="0.3">
      <c r="A2966" s="45">
        <v>42970</v>
      </c>
      <c r="B2966" s="5" t="s">
        <v>120</v>
      </c>
      <c r="C2966" s="92" t="s">
        <v>31</v>
      </c>
      <c r="D2966" s="43">
        <v>5000</v>
      </c>
      <c r="E2966" s="43"/>
      <c r="F2966" s="28">
        <f t="shared" si="46"/>
        <v>59870</v>
      </c>
      <c r="G2966" s="43"/>
    </row>
    <row r="2967" spans="1:7" x14ac:dyDescent="0.3">
      <c r="A2967" s="45">
        <v>42970</v>
      </c>
      <c r="B2967" s="5" t="s">
        <v>120</v>
      </c>
      <c r="C2967" s="92" t="s">
        <v>31</v>
      </c>
      <c r="D2967" s="43">
        <v>29000</v>
      </c>
      <c r="E2967" s="43"/>
      <c r="F2967" s="28">
        <f t="shared" si="46"/>
        <v>30870</v>
      </c>
      <c r="G2967" s="43"/>
    </row>
    <row r="2968" spans="1:7" x14ac:dyDescent="0.3">
      <c r="A2968" s="45">
        <v>42970</v>
      </c>
      <c r="B2968" s="5" t="s">
        <v>2285</v>
      </c>
      <c r="C2968" s="92" t="s">
        <v>2286</v>
      </c>
      <c r="D2968" s="43">
        <v>20000</v>
      </c>
      <c r="E2968" s="43"/>
      <c r="F2968" s="28">
        <f t="shared" si="46"/>
        <v>10870</v>
      </c>
      <c r="G2968" s="43"/>
    </row>
    <row r="2969" spans="1:7" x14ac:dyDescent="0.3">
      <c r="A2969" s="45">
        <v>42970</v>
      </c>
      <c r="B2969" s="5" t="s">
        <v>68</v>
      </c>
      <c r="C2969" s="92" t="s">
        <v>2287</v>
      </c>
      <c r="D2969" s="43">
        <v>400</v>
      </c>
      <c r="E2969" s="43"/>
      <c r="F2969" s="28">
        <f t="shared" si="46"/>
        <v>10470</v>
      </c>
      <c r="G2969" s="43"/>
    </row>
    <row r="2970" spans="1:7" ht="56.25" x14ac:dyDescent="0.3">
      <c r="A2970" s="45">
        <v>42970</v>
      </c>
      <c r="B2970" s="44" t="s">
        <v>1633</v>
      </c>
      <c r="C2970" s="124" t="s">
        <v>2288</v>
      </c>
      <c r="D2970" s="28">
        <v>1580</v>
      </c>
      <c r="E2970" s="28"/>
      <c r="F2970" s="28">
        <f t="shared" si="46"/>
        <v>8890</v>
      </c>
      <c r="G2970" s="28"/>
    </row>
    <row r="2971" spans="1:7" x14ac:dyDescent="0.3">
      <c r="A2971" s="45">
        <v>42971</v>
      </c>
      <c r="B2971" s="44" t="s">
        <v>1633</v>
      </c>
      <c r="C2971" s="92" t="s">
        <v>2289</v>
      </c>
      <c r="D2971" s="43">
        <v>350</v>
      </c>
      <c r="E2971" s="43"/>
      <c r="F2971" s="28">
        <f t="shared" si="46"/>
        <v>8540</v>
      </c>
      <c r="G2971" s="43"/>
    </row>
    <row r="2972" spans="1:7" x14ac:dyDescent="0.3">
      <c r="A2972" s="45">
        <v>42965</v>
      </c>
      <c r="B2972" s="756" t="s">
        <v>2192</v>
      </c>
      <c r="C2972" s="756"/>
      <c r="D2972" s="71"/>
      <c r="E2972" s="72">
        <v>200000</v>
      </c>
      <c r="F2972" s="28">
        <f t="shared" si="46"/>
        <v>208540</v>
      </c>
      <c r="G2972" s="43"/>
    </row>
    <row r="2973" spans="1:7" x14ac:dyDescent="0.3">
      <c r="A2973" s="45">
        <v>42971</v>
      </c>
      <c r="B2973" s="125" t="s">
        <v>445</v>
      </c>
      <c r="C2973" s="126" t="s">
        <v>1581</v>
      </c>
      <c r="D2973" s="127">
        <v>5000</v>
      </c>
      <c r="E2973" s="43"/>
      <c r="F2973" s="28">
        <f t="shared" si="46"/>
        <v>203540</v>
      </c>
      <c r="G2973" s="43"/>
    </row>
    <row r="2974" spans="1:7" x14ac:dyDescent="0.3">
      <c r="A2974" s="45">
        <v>42971</v>
      </c>
      <c r="B2974" s="125" t="s">
        <v>58</v>
      </c>
      <c r="C2974" s="126" t="s">
        <v>31</v>
      </c>
      <c r="D2974" s="127">
        <v>1000</v>
      </c>
      <c r="E2974" s="43"/>
      <c r="F2974" s="28">
        <f t="shared" si="46"/>
        <v>202540</v>
      </c>
      <c r="G2974" s="43"/>
    </row>
    <row r="2975" spans="1:7" x14ac:dyDescent="0.3">
      <c r="A2975" s="45">
        <v>42971</v>
      </c>
      <c r="B2975" s="5" t="s">
        <v>84</v>
      </c>
      <c r="C2975" s="92" t="s">
        <v>2290</v>
      </c>
      <c r="D2975" s="43">
        <v>20000</v>
      </c>
      <c r="E2975" s="43"/>
      <c r="F2975" s="28">
        <f t="shared" si="46"/>
        <v>182540</v>
      </c>
      <c r="G2975" s="43"/>
    </row>
    <row r="2976" spans="1:7" x14ac:dyDescent="0.3">
      <c r="A2976" s="45">
        <v>42972</v>
      </c>
      <c r="B2976" s="5" t="s">
        <v>2204</v>
      </c>
      <c r="C2976" s="92" t="s">
        <v>2291</v>
      </c>
      <c r="D2976" s="43">
        <v>140</v>
      </c>
      <c r="E2976" s="43"/>
      <c r="F2976" s="28">
        <f t="shared" si="46"/>
        <v>182400</v>
      </c>
      <c r="G2976" s="43"/>
    </row>
    <row r="2977" spans="1:7" x14ac:dyDescent="0.3">
      <c r="A2977" s="45">
        <v>42972</v>
      </c>
      <c r="B2977" s="5" t="s">
        <v>16</v>
      </c>
      <c r="C2977" s="92" t="s">
        <v>31</v>
      </c>
      <c r="D2977" s="43">
        <v>2000</v>
      </c>
      <c r="E2977" s="43"/>
      <c r="F2977" s="28">
        <f t="shared" si="46"/>
        <v>180400</v>
      </c>
      <c r="G2977" s="43"/>
    </row>
    <row r="2978" spans="1:7" x14ac:dyDescent="0.3">
      <c r="A2978" s="45">
        <v>42972</v>
      </c>
      <c r="B2978" s="5" t="s">
        <v>2292</v>
      </c>
      <c r="C2978" s="92" t="s">
        <v>2293</v>
      </c>
      <c r="D2978" s="43">
        <v>22200</v>
      </c>
      <c r="E2978" s="43"/>
      <c r="F2978" s="28">
        <f t="shared" si="46"/>
        <v>158200</v>
      </c>
      <c r="G2978" s="43"/>
    </row>
    <row r="2979" spans="1:7" x14ac:dyDescent="0.3">
      <c r="A2979" s="45">
        <v>42972</v>
      </c>
      <c r="B2979" s="5" t="s">
        <v>25</v>
      </c>
      <c r="C2979" s="92" t="s">
        <v>2294</v>
      </c>
      <c r="D2979" s="43">
        <v>27500</v>
      </c>
      <c r="E2979" s="43"/>
      <c r="F2979" s="28">
        <f t="shared" si="46"/>
        <v>130700</v>
      </c>
      <c r="G2979" s="43"/>
    </row>
    <row r="2980" spans="1:7" x14ac:dyDescent="0.3">
      <c r="A2980" s="45">
        <v>42973</v>
      </c>
      <c r="B2980" s="5" t="s">
        <v>25</v>
      </c>
      <c r="C2980" s="92" t="s">
        <v>2295</v>
      </c>
      <c r="D2980" s="43">
        <v>180</v>
      </c>
      <c r="E2980" s="43"/>
      <c r="F2980" s="28">
        <f t="shared" si="46"/>
        <v>130520</v>
      </c>
      <c r="G2980" s="43"/>
    </row>
    <row r="2981" spans="1:7" ht="37.5" x14ac:dyDescent="0.3">
      <c r="A2981" s="45">
        <v>42973</v>
      </c>
      <c r="B2981" s="5" t="s">
        <v>2086</v>
      </c>
      <c r="C2981" s="92" t="s">
        <v>2297</v>
      </c>
      <c r="D2981" s="43">
        <v>4143</v>
      </c>
      <c r="E2981" s="43"/>
      <c r="F2981" s="28">
        <f t="shared" si="46"/>
        <v>126377</v>
      </c>
      <c r="G2981" s="43"/>
    </row>
    <row r="2982" spans="1:7" x14ac:dyDescent="0.3">
      <c r="A2982" s="45">
        <v>42973</v>
      </c>
      <c r="B2982" s="5" t="s">
        <v>445</v>
      </c>
      <c r="C2982" s="92" t="s">
        <v>2296</v>
      </c>
      <c r="D2982" s="43">
        <v>1000</v>
      </c>
      <c r="E2982" s="43"/>
      <c r="F2982" s="28">
        <f t="shared" si="46"/>
        <v>125377</v>
      </c>
      <c r="G2982" s="43"/>
    </row>
    <row r="2983" spans="1:7" x14ac:dyDescent="0.3">
      <c r="A2983" s="45">
        <v>42973</v>
      </c>
      <c r="B2983" s="5" t="s">
        <v>445</v>
      </c>
      <c r="C2983" s="92" t="s">
        <v>2296</v>
      </c>
      <c r="D2983" s="43">
        <v>4000</v>
      </c>
      <c r="E2983" s="43"/>
      <c r="F2983" s="28">
        <f t="shared" si="46"/>
        <v>121377</v>
      </c>
      <c r="G2983" s="43"/>
    </row>
    <row r="2984" spans="1:7" ht="56.25" x14ac:dyDescent="0.3">
      <c r="A2984" s="45">
        <v>42973</v>
      </c>
      <c r="B2984" s="5" t="s">
        <v>25</v>
      </c>
      <c r="C2984" s="92" t="s">
        <v>2298</v>
      </c>
      <c r="D2984" s="43">
        <v>990</v>
      </c>
      <c r="E2984" s="43"/>
      <c r="F2984" s="28">
        <f t="shared" si="46"/>
        <v>120387</v>
      </c>
      <c r="G2984" s="43"/>
    </row>
    <row r="2985" spans="1:7" ht="37.5" x14ac:dyDescent="0.3">
      <c r="A2985" s="45">
        <v>42973</v>
      </c>
      <c r="B2985" s="5" t="s">
        <v>58</v>
      </c>
      <c r="C2985" s="92" t="s">
        <v>2299</v>
      </c>
      <c r="D2985" s="43">
        <v>2170</v>
      </c>
      <c r="E2985" s="43"/>
      <c r="F2985" s="28">
        <f t="shared" si="46"/>
        <v>118217</v>
      </c>
      <c r="G2985" s="43"/>
    </row>
    <row r="2986" spans="1:7" x14ac:dyDescent="0.3">
      <c r="A2986" s="45">
        <v>42973</v>
      </c>
      <c r="B2986" s="5" t="s">
        <v>2086</v>
      </c>
      <c r="C2986" s="92" t="s">
        <v>2300</v>
      </c>
      <c r="D2986" s="43">
        <v>5010</v>
      </c>
      <c r="E2986" s="43"/>
      <c r="F2986" s="28">
        <f t="shared" si="46"/>
        <v>113207</v>
      </c>
      <c r="G2986" s="43"/>
    </row>
    <row r="2987" spans="1:7" x14ac:dyDescent="0.3">
      <c r="A2987" s="45">
        <v>42973</v>
      </c>
      <c r="B2987" s="5" t="s">
        <v>84</v>
      </c>
      <c r="C2987" s="92" t="s">
        <v>2301</v>
      </c>
      <c r="D2987" s="43">
        <v>1000</v>
      </c>
      <c r="E2987" s="43"/>
      <c r="F2987" s="28">
        <f t="shared" si="46"/>
        <v>112207</v>
      </c>
      <c r="G2987" s="43"/>
    </row>
    <row r="2988" spans="1:7" x14ac:dyDescent="0.3">
      <c r="A2988" s="45">
        <v>42975</v>
      </c>
      <c r="B2988" s="5" t="s">
        <v>445</v>
      </c>
      <c r="C2988" s="92" t="s">
        <v>31</v>
      </c>
      <c r="D2988" s="43">
        <v>1000</v>
      </c>
      <c r="E2988" s="43"/>
      <c r="F2988" s="28">
        <f t="shared" si="46"/>
        <v>111207</v>
      </c>
      <c r="G2988" s="43"/>
    </row>
    <row r="2989" spans="1:7" x14ac:dyDescent="0.3">
      <c r="A2989" s="45">
        <v>42975</v>
      </c>
      <c r="B2989" s="5" t="s">
        <v>104</v>
      </c>
      <c r="C2989" s="92" t="s">
        <v>31</v>
      </c>
      <c r="D2989" s="43">
        <v>300</v>
      </c>
      <c r="E2989" s="43"/>
      <c r="F2989" s="28">
        <f t="shared" si="46"/>
        <v>110907</v>
      </c>
      <c r="G2989" s="43"/>
    </row>
    <row r="2990" spans="1:7" x14ac:dyDescent="0.3">
      <c r="A2990" s="45">
        <v>42975</v>
      </c>
      <c r="B2990" s="5" t="s">
        <v>58</v>
      </c>
      <c r="C2990" s="92" t="s">
        <v>77</v>
      </c>
      <c r="D2990" s="43">
        <v>1000</v>
      </c>
      <c r="E2990" s="43"/>
      <c r="F2990" s="28">
        <f t="shared" si="46"/>
        <v>109907</v>
      </c>
      <c r="G2990" s="43"/>
    </row>
    <row r="2991" spans="1:7" x14ac:dyDescent="0.3">
      <c r="A2991" s="45">
        <v>42975</v>
      </c>
      <c r="B2991" s="5" t="s">
        <v>120</v>
      </c>
      <c r="C2991" s="92" t="s">
        <v>31</v>
      </c>
      <c r="D2991" s="43">
        <v>5000</v>
      </c>
      <c r="E2991" s="43"/>
      <c r="F2991" s="28">
        <f t="shared" si="46"/>
        <v>104907</v>
      </c>
      <c r="G2991" s="43"/>
    </row>
    <row r="2992" spans="1:7" ht="37.5" x14ac:dyDescent="0.3">
      <c r="A2992" s="45">
        <v>42975</v>
      </c>
      <c r="B2992" s="5" t="s">
        <v>25</v>
      </c>
      <c r="C2992" s="92" t="s">
        <v>2302</v>
      </c>
      <c r="D2992" s="43">
        <v>25000</v>
      </c>
      <c r="E2992" s="43"/>
      <c r="F2992" s="28">
        <f t="shared" si="46"/>
        <v>79907</v>
      </c>
      <c r="G2992" s="43"/>
    </row>
    <row r="2993" spans="1:7" ht="56.25" x14ac:dyDescent="0.3">
      <c r="A2993" s="45">
        <v>42975</v>
      </c>
      <c r="B2993" s="5" t="s">
        <v>25</v>
      </c>
      <c r="C2993" s="92" t="s">
        <v>2303</v>
      </c>
      <c r="D2993" s="43">
        <v>630</v>
      </c>
      <c r="E2993" s="43"/>
      <c r="F2993" s="28">
        <f t="shared" si="46"/>
        <v>79277</v>
      </c>
      <c r="G2993" s="43"/>
    </row>
    <row r="2994" spans="1:7" x14ac:dyDescent="0.3">
      <c r="A2994" s="45">
        <v>42975</v>
      </c>
      <c r="B2994" s="5" t="s">
        <v>2247</v>
      </c>
      <c r="C2994" s="92" t="s">
        <v>2304</v>
      </c>
      <c r="D2994" s="43">
        <v>18585</v>
      </c>
      <c r="E2994" s="43"/>
      <c r="F2994" s="28">
        <f t="shared" si="46"/>
        <v>60692</v>
      </c>
      <c r="G2994" s="43"/>
    </row>
    <row r="2995" spans="1:7" x14ac:dyDescent="0.3">
      <c r="A2995" s="45">
        <v>42975</v>
      </c>
      <c r="B2995" s="5" t="s">
        <v>2204</v>
      </c>
      <c r="C2995" s="92" t="s">
        <v>2305</v>
      </c>
      <c r="D2995" s="43">
        <v>60</v>
      </c>
      <c r="E2995" s="43"/>
      <c r="F2995" s="28">
        <f t="shared" si="46"/>
        <v>60632</v>
      </c>
      <c r="G2995" s="43"/>
    </row>
    <row r="2996" spans="1:7" x14ac:dyDescent="0.3">
      <c r="A2996" s="45">
        <v>42975</v>
      </c>
      <c r="B2996" s="5" t="s">
        <v>2204</v>
      </c>
      <c r="C2996" s="92" t="s">
        <v>1954</v>
      </c>
      <c r="D2996" s="43">
        <v>240</v>
      </c>
      <c r="E2996" s="43"/>
      <c r="F2996" s="28">
        <f t="shared" ref="F2996:F3011" si="47">E2996+F2995-D2996</f>
        <v>60392</v>
      </c>
      <c r="G2996" s="43"/>
    </row>
    <row r="2997" spans="1:7" x14ac:dyDescent="0.3">
      <c r="A2997" s="45">
        <v>42976</v>
      </c>
      <c r="B2997" s="5" t="s">
        <v>25</v>
      </c>
      <c r="C2997" s="92" t="s">
        <v>2306</v>
      </c>
      <c r="D2997" s="43">
        <v>100</v>
      </c>
      <c r="E2997" s="43"/>
      <c r="F2997" s="28">
        <f t="shared" si="47"/>
        <v>60292</v>
      </c>
      <c r="G2997" s="43"/>
    </row>
    <row r="2998" spans="1:7" x14ac:dyDescent="0.3">
      <c r="A2998" s="45">
        <v>42976</v>
      </c>
      <c r="B2998" s="5" t="s">
        <v>25</v>
      </c>
      <c r="C2998" s="92" t="s">
        <v>1515</v>
      </c>
      <c r="D2998" s="43">
        <v>100</v>
      </c>
      <c r="E2998" s="43"/>
      <c r="F2998" s="28">
        <f t="shared" si="47"/>
        <v>60192</v>
      </c>
      <c r="G2998" s="43"/>
    </row>
    <row r="2999" spans="1:7" ht="37.5" x14ac:dyDescent="0.3">
      <c r="A2999" s="45">
        <v>42976</v>
      </c>
      <c r="B2999" s="5" t="s">
        <v>25</v>
      </c>
      <c r="C2999" s="92" t="s">
        <v>2307</v>
      </c>
      <c r="D2999" s="43">
        <v>177</v>
      </c>
      <c r="E2999" s="43"/>
      <c r="F2999" s="28">
        <f t="shared" si="47"/>
        <v>60015</v>
      </c>
      <c r="G2999" s="43"/>
    </row>
    <row r="3000" spans="1:7" ht="37.5" x14ac:dyDescent="0.3">
      <c r="A3000" s="45">
        <v>42976</v>
      </c>
      <c r="B3000" s="5" t="s">
        <v>25</v>
      </c>
      <c r="C3000" s="92" t="s">
        <v>2309</v>
      </c>
      <c r="D3000" s="43">
        <v>620</v>
      </c>
      <c r="E3000" s="43"/>
      <c r="F3000" s="28">
        <f t="shared" si="47"/>
        <v>59395</v>
      </c>
      <c r="G3000" s="43"/>
    </row>
    <row r="3001" spans="1:7" x14ac:dyDescent="0.3">
      <c r="A3001" s="45">
        <v>42976</v>
      </c>
      <c r="B3001" s="5" t="s">
        <v>56</v>
      </c>
      <c r="C3001" s="92" t="s">
        <v>2308</v>
      </c>
      <c r="D3001" s="43">
        <v>100</v>
      </c>
      <c r="E3001" s="43"/>
      <c r="F3001" s="28">
        <f t="shared" si="47"/>
        <v>59295</v>
      </c>
      <c r="G3001" s="43"/>
    </row>
    <row r="3002" spans="1:7" x14ac:dyDescent="0.3">
      <c r="A3002" s="45">
        <v>42976</v>
      </c>
      <c r="B3002" s="61" t="s">
        <v>247</v>
      </c>
      <c r="C3002" s="132" t="s">
        <v>31</v>
      </c>
      <c r="D3002" s="62">
        <v>1000</v>
      </c>
      <c r="E3002" s="43"/>
      <c r="F3002" s="28">
        <f t="shared" si="47"/>
        <v>58295</v>
      </c>
      <c r="G3002" s="43"/>
    </row>
    <row r="3003" spans="1:7" x14ac:dyDescent="0.3">
      <c r="A3003" s="45">
        <v>42977</v>
      </c>
      <c r="B3003" s="5" t="s">
        <v>104</v>
      </c>
      <c r="C3003" s="92" t="s">
        <v>31</v>
      </c>
      <c r="D3003" s="43">
        <v>3000</v>
      </c>
      <c r="E3003" s="43"/>
      <c r="F3003" s="28">
        <f t="shared" si="47"/>
        <v>55295</v>
      </c>
      <c r="G3003" s="43"/>
    </row>
    <row r="3004" spans="1:7" x14ac:dyDescent="0.3">
      <c r="A3004" s="45">
        <v>42977</v>
      </c>
      <c r="B3004" s="5" t="s">
        <v>18</v>
      </c>
      <c r="C3004" s="92" t="s">
        <v>31</v>
      </c>
      <c r="D3004" s="43">
        <v>500</v>
      </c>
      <c r="E3004" s="43"/>
      <c r="F3004" s="28">
        <f t="shared" si="47"/>
        <v>54795</v>
      </c>
      <c r="G3004" s="43"/>
    </row>
    <row r="3005" spans="1:7" x14ac:dyDescent="0.3">
      <c r="A3005" s="45">
        <v>42977</v>
      </c>
      <c r="B3005" s="5" t="s">
        <v>2204</v>
      </c>
      <c r="C3005" s="92" t="s">
        <v>2310</v>
      </c>
      <c r="D3005" s="43">
        <v>200</v>
      </c>
      <c r="E3005" s="43"/>
      <c r="F3005" s="28">
        <f t="shared" si="47"/>
        <v>54595</v>
      </c>
      <c r="G3005" s="43"/>
    </row>
    <row r="3006" spans="1:7" x14ac:dyDescent="0.3">
      <c r="A3006" s="45">
        <v>42977</v>
      </c>
      <c r="B3006" s="5" t="s">
        <v>1616</v>
      </c>
      <c r="C3006" s="92" t="s">
        <v>2312</v>
      </c>
      <c r="D3006" s="43">
        <v>17730</v>
      </c>
      <c r="E3006" s="43"/>
      <c r="F3006" s="28">
        <f t="shared" si="47"/>
        <v>36865</v>
      </c>
      <c r="G3006" s="43"/>
    </row>
    <row r="3007" spans="1:7" x14ac:dyDescent="0.3">
      <c r="A3007" s="45">
        <v>42977</v>
      </c>
      <c r="B3007" s="5" t="s">
        <v>1193</v>
      </c>
      <c r="C3007" s="92" t="s">
        <v>2013</v>
      </c>
      <c r="D3007" s="43">
        <v>2000</v>
      </c>
      <c r="E3007" s="43"/>
      <c r="F3007" s="28">
        <f t="shared" si="47"/>
        <v>34865</v>
      </c>
      <c r="G3007" s="43"/>
    </row>
    <row r="3008" spans="1:7" x14ac:dyDescent="0.3">
      <c r="A3008" s="45">
        <v>42977</v>
      </c>
      <c r="B3008" s="5" t="s">
        <v>25</v>
      </c>
      <c r="C3008" s="92" t="s">
        <v>2313</v>
      </c>
      <c r="D3008" s="43">
        <v>360</v>
      </c>
      <c r="E3008" s="43"/>
      <c r="F3008" s="28">
        <f t="shared" si="47"/>
        <v>34505</v>
      </c>
      <c r="G3008" s="43"/>
    </row>
    <row r="3009" spans="1:8" x14ac:dyDescent="0.3">
      <c r="A3009" s="45">
        <v>42977</v>
      </c>
      <c r="B3009" s="5" t="s">
        <v>2314</v>
      </c>
      <c r="C3009" s="92" t="s">
        <v>2315</v>
      </c>
      <c r="D3009" s="43">
        <v>5950</v>
      </c>
      <c r="E3009" s="43"/>
      <c r="F3009" s="28">
        <f t="shared" si="47"/>
        <v>28555</v>
      </c>
      <c r="G3009" s="43"/>
    </row>
    <row r="3010" spans="1:8" x14ac:dyDescent="0.3">
      <c r="A3010" s="45">
        <v>42977</v>
      </c>
      <c r="B3010" s="5" t="s">
        <v>120</v>
      </c>
      <c r="C3010" s="92" t="s">
        <v>31</v>
      </c>
      <c r="D3010" s="43">
        <v>1000</v>
      </c>
      <c r="E3010" s="43"/>
      <c r="F3010" s="28">
        <f t="shared" si="47"/>
        <v>27555</v>
      </c>
      <c r="G3010" s="43"/>
    </row>
    <row r="3011" spans="1:8" ht="19.5" thickBot="1" x14ac:dyDescent="0.35">
      <c r="A3011" s="142">
        <v>42977</v>
      </c>
      <c r="B3011" s="156" t="s">
        <v>84</v>
      </c>
      <c r="C3011" s="157" t="s">
        <v>2316</v>
      </c>
      <c r="D3011" s="145">
        <v>1000</v>
      </c>
      <c r="E3011" s="145"/>
      <c r="F3011" s="158">
        <f t="shared" si="47"/>
        <v>26555</v>
      </c>
      <c r="G3011" s="145"/>
      <c r="H3011" s="146"/>
    </row>
    <row r="3012" spans="1:8" ht="19.5" thickTop="1" x14ac:dyDescent="0.3">
      <c r="A3012" s="147"/>
      <c r="B3012" s="78"/>
      <c r="C3012" s="159"/>
      <c r="D3012" s="77"/>
      <c r="E3012" s="77">
        <v>73000</v>
      </c>
      <c r="F3012" s="160">
        <f>E3012</f>
        <v>73000</v>
      </c>
      <c r="G3012" s="77"/>
    </row>
    <row r="3013" spans="1:8" x14ac:dyDescent="0.3">
      <c r="A3013" s="45">
        <v>42996</v>
      </c>
      <c r="B3013" s="5" t="s">
        <v>60</v>
      </c>
      <c r="C3013" s="92" t="s">
        <v>2317</v>
      </c>
      <c r="D3013" s="43">
        <v>5000</v>
      </c>
      <c r="E3013" s="43"/>
      <c r="F3013" s="28">
        <f t="shared" ref="F3013:F3076" si="48">F3012-D3013+E3013</f>
        <v>68000</v>
      </c>
      <c r="G3013" s="43"/>
    </row>
    <row r="3014" spans="1:8" x14ac:dyDescent="0.3">
      <c r="A3014" s="45">
        <v>42996</v>
      </c>
      <c r="B3014" s="5" t="s">
        <v>2318</v>
      </c>
      <c r="C3014" s="92" t="s">
        <v>2319</v>
      </c>
      <c r="D3014" s="43">
        <v>26600</v>
      </c>
      <c r="E3014" s="43"/>
      <c r="F3014" s="28">
        <f t="shared" si="48"/>
        <v>41400</v>
      </c>
      <c r="G3014" s="43"/>
    </row>
    <row r="3015" spans="1:8" x14ac:dyDescent="0.3">
      <c r="A3015" s="45">
        <v>42996</v>
      </c>
      <c r="B3015" s="5" t="s">
        <v>25</v>
      </c>
      <c r="C3015" s="92" t="s">
        <v>2320</v>
      </c>
      <c r="D3015" s="43">
        <v>520</v>
      </c>
      <c r="E3015" s="43"/>
      <c r="F3015" s="28">
        <f t="shared" si="48"/>
        <v>40880</v>
      </c>
      <c r="G3015" s="43"/>
    </row>
    <row r="3016" spans="1:8" x14ac:dyDescent="0.3">
      <c r="A3016" s="45">
        <v>42996</v>
      </c>
      <c r="B3016" s="5" t="s">
        <v>18</v>
      </c>
      <c r="C3016" s="92" t="s">
        <v>2321</v>
      </c>
      <c r="D3016" s="43">
        <v>10000</v>
      </c>
      <c r="E3016" s="43"/>
      <c r="F3016" s="28">
        <f t="shared" si="48"/>
        <v>30880</v>
      </c>
      <c r="G3016" s="43"/>
    </row>
    <row r="3017" spans="1:8" x14ac:dyDescent="0.3">
      <c r="A3017" s="45">
        <v>42996</v>
      </c>
      <c r="B3017" s="5" t="s">
        <v>2096</v>
      </c>
      <c r="C3017" s="5" t="s">
        <v>77</v>
      </c>
      <c r="D3017" s="43">
        <v>12000</v>
      </c>
      <c r="E3017" s="43"/>
      <c r="F3017" s="28">
        <f t="shared" si="48"/>
        <v>18880</v>
      </c>
      <c r="G3017" s="43"/>
    </row>
    <row r="3018" spans="1:8" x14ac:dyDescent="0.3">
      <c r="A3018" s="45">
        <v>42996</v>
      </c>
      <c r="B3018" s="5" t="s">
        <v>25</v>
      </c>
      <c r="C3018" s="5" t="s">
        <v>50</v>
      </c>
      <c r="D3018" s="43">
        <v>1600</v>
      </c>
      <c r="E3018" s="43"/>
      <c r="F3018" s="28">
        <f t="shared" si="48"/>
        <v>17280</v>
      </c>
      <c r="G3018" s="43"/>
    </row>
    <row r="3019" spans="1:8" x14ac:dyDescent="0.3">
      <c r="A3019" s="45">
        <v>42996</v>
      </c>
      <c r="B3019" s="5" t="s">
        <v>84</v>
      </c>
      <c r="C3019" s="5" t="s">
        <v>2322</v>
      </c>
      <c r="D3019" s="43">
        <v>3000</v>
      </c>
      <c r="E3019" s="43"/>
      <c r="F3019" s="28">
        <f t="shared" si="48"/>
        <v>14280</v>
      </c>
      <c r="G3019" s="43"/>
    </row>
    <row r="3020" spans="1:8" x14ac:dyDescent="0.3">
      <c r="A3020" s="45">
        <v>42996</v>
      </c>
      <c r="B3020" s="5" t="s">
        <v>60</v>
      </c>
      <c r="C3020" s="5" t="s">
        <v>31</v>
      </c>
      <c r="D3020" s="43">
        <v>2500</v>
      </c>
      <c r="E3020" s="43"/>
      <c r="F3020" s="28">
        <f t="shared" si="48"/>
        <v>11780</v>
      </c>
      <c r="G3020" s="43"/>
    </row>
    <row r="3021" spans="1:8" x14ac:dyDescent="0.3">
      <c r="A3021" s="45">
        <v>42996</v>
      </c>
      <c r="B3021" s="5" t="s">
        <v>0</v>
      </c>
      <c r="C3021" s="5" t="s">
        <v>78</v>
      </c>
      <c r="D3021" s="43">
        <v>100</v>
      </c>
      <c r="E3021" s="43"/>
      <c r="F3021" s="28">
        <f t="shared" si="48"/>
        <v>11680</v>
      </c>
      <c r="G3021" s="43"/>
    </row>
    <row r="3022" spans="1:8" x14ac:dyDescent="0.3">
      <c r="A3022" s="45">
        <v>42996</v>
      </c>
      <c r="B3022" s="5" t="s">
        <v>25</v>
      </c>
      <c r="C3022" s="5" t="s">
        <v>2329</v>
      </c>
      <c r="D3022" s="43">
        <v>277</v>
      </c>
      <c r="E3022" s="43"/>
      <c r="F3022" s="28">
        <f t="shared" si="48"/>
        <v>11403</v>
      </c>
      <c r="G3022" s="43"/>
    </row>
    <row r="3023" spans="1:8" ht="37.5" x14ac:dyDescent="0.3">
      <c r="A3023" s="45">
        <v>42997</v>
      </c>
      <c r="B3023" s="5" t="s">
        <v>25</v>
      </c>
      <c r="C3023" s="92" t="s">
        <v>2323</v>
      </c>
      <c r="D3023" s="43">
        <v>1000</v>
      </c>
      <c r="E3023" s="43"/>
      <c r="F3023" s="28">
        <f t="shared" si="48"/>
        <v>10403</v>
      </c>
      <c r="G3023" s="43"/>
    </row>
    <row r="3024" spans="1:8" x14ac:dyDescent="0.3">
      <c r="A3024" s="45">
        <v>42997</v>
      </c>
      <c r="B3024" s="5" t="s">
        <v>25</v>
      </c>
      <c r="C3024" s="5" t="s">
        <v>2325</v>
      </c>
      <c r="D3024" s="43">
        <f>370+57</f>
        <v>427</v>
      </c>
      <c r="E3024" s="43"/>
      <c r="F3024" s="28">
        <f t="shared" si="48"/>
        <v>9976</v>
      </c>
      <c r="G3024" s="43"/>
    </row>
    <row r="3025" spans="1:7" x14ac:dyDescent="0.3">
      <c r="A3025" s="45">
        <v>42997</v>
      </c>
      <c r="B3025" s="5" t="s">
        <v>25</v>
      </c>
      <c r="C3025" s="5" t="s">
        <v>2324</v>
      </c>
      <c r="D3025" s="43">
        <v>270</v>
      </c>
      <c r="E3025" s="43"/>
      <c r="F3025" s="28">
        <f t="shared" si="48"/>
        <v>9706</v>
      </c>
      <c r="G3025" s="43"/>
    </row>
    <row r="3026" spans="1:7" x14ac:dyDescent="0.3">
      <c r="A3026" s="45">
        <v>42997</v>
      </c>
      <c r="B3026" s="5" t="s">
        <v>25</v>
      </c>
      <c r="C3026" s="5" t="s">
        <v>2326</v>
      </c>
      <c r="D3026" s="43">
        <v>150</v>
      </c>
      <c r="E3026" s="43"/>
      <c r="F3026" s="28">
        <f t="shared" si="48"/>
        <v>9556</v>
      </c>
      <c r="G3026" s="43"/>
    </row>
    <row r="3027" spans="1:7" x14ac:dyDescent="0.3">
      <c r="A3027" s="45">
        <v>42999</v>
      </c>
      <c r="B3027" s="756" t="s">
        <v>2327</v>
      </c>
      <c r="C3027" s="756"/>
      <c r="D3027" s="71"/>
      <c r="E3027" s="72">
        <v>10000</v>
      </c>
      <c r="F3027" s="28">
        <f t="shared" si="48"/>
        <v>19556</v>
      </c>
      <c r="G3027" s="43"/>
    </row>
    <row r="3028" spans="1:7" x14ac:dyDescent="0.3">
      <c r="A3028" s="45">
        <v>42999</v>
      </c>
      <c r="B3028" s="5" t="s">
        <v>25</v>
      </c>
      <c r="C3028" s="5" t="s">
        <v>87</v>
      </c>
      <c r="D3028" s="43">
        <v>290</v>
      </c>
      <c r="E3028" s="43"/>
      <c r="F3028" s="28">
        <f t="shared" si="48"/>
        <v>19266</v>
      </c>
      <c r="G3028" s="43"/>
    </row>
    <row r="3029" spans="1:7" x14ac:dyDescent="0.3">
      <c r="A3029" s="45">
        <v>42999</v>
      </c>
      <c r="B3029" s="5" t="s">
        <v>60</v>
      </c>
      <c r="C3029" s="5" t="s">
        <v>31</v>
      </c>
      <c r="D3029" s="43">
        <v>2000</v>
      </c>
      <c r="E3029" s="43"/>
      <c r="F3029" s="28">
        <f t="shared" si="48"/>
        <v>17266</v>
      </c>
      <c r="G3029" s="43"/>
    </row>
    <row r="3030" spans="1:7" x14ac:dyDescent="0.3">
      <c r="A3030" s="45">
        <v>42999</v>
      </c>
      <c r="B3030" s="5" t="s">
        <v>25</v>
      </c>
      <c r="C3030" s="5" t="s">
        <v>2328</v>
      </c>
      <c r="D3030" s="43">
        <v>240</v>
      </c>
      <c r="E3030" s="43"/>
      <c r="F3030" s="28">
        <f t="shared" si="48"/>
        <v>17026</v>
      </c>
      <c r="G3030" s="43"/>
    </row>
    <row r="3031" spans="1:7" x14ac:dyDescent="0.3">
      <c r="A3031" s="45">
        <v>43000</v>
      </c>
      <c r="B3031" s="5" t="s">
        <v>2330</v>
      </c>
      <c r="C3031" s="5" t="s">
        <v>2331</v>
      </c>
      <c r="D3031" s="43">
        <v>1000</v>
      </c>
      <c r="E3031" s="43"/>
      <c r="F3031" s="28">
        <f t="shared" si="48"/>
        <v>16026</v>
      </c>
      <c r="G3031" s="43"/>
    </row>
    <row r="3032" spans="1:7" x14ac:dyDescent="0.3">
      <c r="A3032" s="45">
        <v>43000</v>
      </c>
      <c r="B3032" s="5" t="s">
        <v>60</v>
      </c>
      <c r="C3032" s="5" t="s">
        <v>2331</v>
      </c>
      <c r="D3032" s="43">
        <v>100</v>
      </c>
      <c r="E3032" s="43"/>
      <c r="F3032" s="28">
        <f t="shared" si="48"/>
        <v>15926</v>
      </c>
      <c r="G3032" s="43"/>
    </row>
    <row r="3033" spans="1:7" x14ac:dyDescent="0.3">
      <c r="A3033" s="45">
        <v>43000</v>
      </c>
      <c r="B3033" s="5" t="s">
        <v>2103</v>
      </c>
      <c r="C3033" s="5" t="s">
        <v>2332</v>
      </c>
      <c r="D3033" s="43">
        <v>1000</v>
      </c>
      <c r="E3033" s="43"/>
      <c r="F3033" s="28">
        <f t="shared" si="48"/>
        <v>14926</v>
      </c>
      <c r="G3033" s="43"/>
    </row>
    <row r="3034" spans="1:7" x14ac:dyDescent="0.3">
      <c r="A3034" s="45">
        <v>43000</v>
      </c>
      <c r="B3034" s="5" t="s">
        <v>58</v>
      </c>
      <c r="C3034" s="5" t="s">
        <v>2334</v>
      </c>
      <c r="D3034" s="65">
        <v>100</v>
      </c>
      <c r="E3034" s="43"/>
      <c r="F3034" s="28">
        <f t="shared" si="48"/>
        <v>14826</v>
      </c>
      <c r="G3034" s="43"/>
    </row>
    <row r="3035" spans="1:7" x14ac:dyDescent="0.3">
      <c r="A3035" s="45">
        <v>43000</v>
      </c>
      <c r="B3035" s="5" t="s">
        <v>60</v>
      </c>
      <c r="C3035" s="5" t="s">
        <v>31</v>
      </c>
      <c r="D3035" s="43">
        <v>2000</v>
      </c>
      <c r="E3035" s="43"/>
      <c r="F3035" s="28">
        <f t="shared" si="48"/>
        <v>12826</v>
      </c>
      <c r="G3035" s="43"/>
    </row>
    <row r="3036" spans="1:7" x14ac:dyDescent="0.3">
      <c r="A3036" s="45">
        <v>43000</v>
      </c>
      <c r="B3036" s="5" t="s">
        <v>2204</v>
      </c>
      <c r="C3036" s="5" t="s">
        <v>2333</v>
      </c>
      <c r="D3036" s="43">
        <v>180</v>
      </c>
      <c r="E3036" s="43"/>
      <c r="F3036" s="28">
        <f t="shared" si="48"/>
        <v>12646</v>
      </c>
      <c r="G3036" s="43"/>
    </row>
    <row r="3037" spans="1:7" x14ac:dyDescent="0.3">
      <c r="A3037" s="45">
        <v>43000</v>
      </c>
      <c r="B3037" s="5" t="s">
        <v>84</v>
      </c>
      <c r="C3037" s="5" t="s">
        <v>2335</v>
      </c>
      <c r="D3037" s="43">
        <v>1000</v>
      </c>
      <c r="E3037" s="43"/>
      <c r="F3037" s="28">
        <f t="shared" si="48"/>
        <v>11646</v>
      </c>
      <c r="G3037" s="43"/>
    </row>
    <row r="3038" spans="1:7" x14ac:dyDescent="0.3">
      <c r="A3038" s="45">
        <v>43000</v>
      </c>
      <c r="B3038" s="5" t="s">
        <v>88</v>
      </c>
      <c r="C3038" s="5" t="s">
        <v>2336</v>
      </c>
      <c r="D3038" s="43">
        <v>100</v>
      </c>
      <c r="E3038" s="43"/>
      <c r="F3038" s="28">
        <f t="shared" si="48"/>
        <v>11546</v>
      </c>
      <c r="G3038" s="43"/>
    </row>
    <row r="3039" spans="1:7" ht="37.5" x14ac:dyDescent="0.3">
      <c r="A3039" s="45">
        <v>43001</v>
      </c>
      <c r="B3039" s="5" t="s">
        <v>25</v>
      </c>
      <c r="C3039" s="92" t="s">
        <v>2337</v>
      </c>
      <c r="D3039" s="43">
        <v>1398</v>
      </c>
      <c r="E3039" s="43"/>
      <c r="F3039" s="28">
        <f t="shared" si="48"/>
        <v>10148</v>
      </c>
      <c r="G3039" s="43"/>
    </row>
    <row r="3040" spans="1:7" x14ac:dyDescent="0.3">
      <c r="A3040" s="45">
        <v>43001</v>
      </c>
      <c r="B3040" s="5" t="s">
        <v>0</v>
      </c>
      <c r="C3040" s="5" t="s">
        <v>2013</v>
      </c>
      <c r="D3040" s="43">
        <v>100</v>
      </c>
      <c r="E3040" s="43"/>
      <c r="F3040" s="28">
        <f t="shared" si="48"/>
        <v>10048</v>
      </c>
      <c r="G3040" s="43"/>
    </row>
    <row r="3041" spans="1:10" x14ac:dyDescent="0.3">
      <c r="A3041" s="45">
        <v>43003</v>
      </c>
      <c r="B3041" s="756" t="s">
        <v>2085</v>
      </c>
      <c r="C3041" s="756"/>
      <c r="D3041" s="71"/>
      <c r="E3041" s="72">
        <v>50000</v>
      </c>
      <c r="F3041" s="28">
        <f t="shared" si="48"/>
        <v>60048</v>
      </c>
      <c r="G3041" s="43"/>
    </row>
    <row r="3042" spans="1:10" x14ac:dyDescent="0.3">
      <c r="A3042" s="45">
        <v>43003</v>
      </c>
      <c r="B3042" s="5" t="s">
        <v>18</v>
      </c>
      <c r="C3042" s="5" t="s">
        <v>2338</v>
      </c>
      <c r="D3042" s="43">
        <v>10000</v>
      </c>
      <c r="E3042" s="43"/>
      <c r="F3042" s="28">
        <f t="shared" si="48"/>
        <v>50048</v>
      </c>
      <c r="G3042" s="43"/>
    </row>
    <row r="3043" spans="1:10" x14ac:dyDescent="0.3">
      <c r="A3043" s="45">
        <v>43003</v>
      </c>
      <c r="B3043" s="5" t="s">
        <v>1837</v>
      </c>
      <c r="C3043" s="5" t="s">
        <v>2339</v>
      </c>
      <c r="D3043" s="43">
        <v>2350</v>
      </c>
      <c r="E3043" s="43"/>
      <c r="F3043" s="28">
        <f t="shared" si="48"/>
        <v>47698</v>
      </c>
      <c r="G3043" s="43"/>
    </row>
    <row r="3044" spans="1:10" x14ac:dyDescent="0.3">
      <c r="A3044" s="45">
        <v>43003</v>
      </c>
      <c r="B3044" s="5" t="s">
        <v>56</v>
      </c>
      <c r="C3044" s="5" t="s">
        <v>2340</v>
      </c>
      <c r="D3044" s="43">
        <v>16000</v>
      </c>
      <c r="E3044" s="43"/>
      <c r="F3044" s="28">
        <f t="shared" si="48"/>
        <v>31698</v>
      </c>
      <c r="G3044" s="43"/>
    </row>
    <row r="3045" spans="1:10" x14ac:dyDescent="0.3">
      <c r="A3045" s="45">
        <v>43003</v>
      </c>
      <c r="B3045" s="5" t="s">
        <v>88</v>
      </c>
      <c r="C3045" s="5" t="s">
        <v>2341</v>
      </c>
      <c r="D3045" s="43">
        <v>11000</v>
      </c>
      <c r="E3045" s="43"/>
      <c r="F3045" s="28">
        <f t="shared" si="48"/>
        <v>20698</v>
      </c>
      <c r="G3045" s="43"/>
    </row>
    <row r="3046" spans="1:10" x14ac:dyDescent="0.3">
      <c r="A3046" s="45">
        <v>43003</v>
      </c>
      <c r="B3046" s="5" t="s">
        <v>14</v>
      </c>
      <c r="C3046" s="5" t="s">
        <v>31</v>
      </c>
      <c r="D3046" s="43">
        <v>2000</v>
      </c>
      <c r="E3046" s="43"/>
      <c r="F3046" s="28">
        <f t="shared" si="48"/>
        <v>18698</v>
      </c>
      <c r="G3046" s="43"/>
    </row>
    <row r="3047" spans="1:10" x14ac:dyDescent="0.3">
      <c r="A3047" s="45">
        <v>43003</v>
      </c>
      <c r="B3047" s="5" t="s">
        <v>88</v>
      </c>
      <c r="C3047" s="5" t="s">
        <v>2359</v>
      </c>
      <c r="D3047" s="65">
        <v>3800</v>
      </c>
      <c r="E3047" s="65"/>
      <c r="F3047" s="48">
        <f t="shared" si="48"/>
        <v>14898</v>
      </c>
      <c r="G3047" s="65"/>
      <c r="H3047" s="102"/>
      <c r="I3047" s="102"/>
      <c r="J3047" s="102"/>
    </row>
    <row r="3048" spans="1:10" x14ac:dyDescent="0.3">
      <c r="A3048" s="45">
        <v>43003</v>
      </c>
      <c r="B3048" s="5" t="s">
        <v>88</v>
      </c>
      <c r="C3048" s="5" t="s">
        <v>31</v>
      </c>
      <c r="D3048" s="65">
        <v>200</v>
      </c>
      <c r="E3048" s="65"/>
      <c r="F3048" s="48">
        <f t="shared" si="48"/>
        <v>14698</v>
      </c>
      <c r="G3048" s="65"/>
      <c r="H3048" s="102"/>
      <c r="I3048" s="102"/>
      <c r="J3048" s="102"/>
    </row>
    <row r="3049" spans="1:10" x14ac:dyDescent="0.3">
      <c r="A3049" s="45">
        <v>43003</v>
      </c>
      <c r="B3049" s="5" t="s">
        <v>104</v>
      </c>
      <c r="C3049" s="5" t="s">
        <v>2344</v>
      </c>
      <c r="D3049" s="65">
        <v>3711</v>
      </c>
      <c r="E3049" s="43"/>
      <c r="F3049" s="48">
        <f t="shared" si="48"/>
        <v>10987</v>
      </c>
      <c r="G3049" s="43"/>
    </row>
    <row r="3050" spans="1:10" x14ac:dyDescent="0.3">
      <c r="A3050" s="45">
        <v>43003</v>
      </c>
      <c r="B3050" s="756" t="s">
        <v>2085</v>
      </c>
      <c r="C3050" s="756"/>
      <c r="D3050" s="71"/>
      <c r="E3050" s="72">
        <v>50000</v>
      </c>
      <c r="F3050" s="48">
        <f t="shared" si="48"/>
        <v>60987</v>
      </c>
      <c r="G3050" s="43"/>
    </row>
    <row r="3051" spans="1:10" x14ac:dyDescent="0.3">
      <c r="A3051" s="45">
        <v>43003</v>
      </c>
      <c r="B3051" s="5" t="s">
        <v>2204</v>
      </c>
      <c r="C3051" s="5" t="s">
        <v>31</v>
      </c>
      <c r="D3051" s="43">
        <v>250</v>
      </c>
      <c r="E3051" s="43"/>
      <c r="F3051" s="28">
        <f t="shared" si="48"/>
        <v>60737</v>
      </c>
      <c r="G3051" s="43"/>
    </row>
    <row r="3052" spans="1:10" x14ac:dyDescent="0.3">
      <c r="A3052" s="45">
        <v>43003</v>
      </c>
      <c r="B3052" s="5" t="s">
        <v>97</v>
      </c>
      <c r="C3052" s="5" t="s">
        <v>31</v>
      </c>
      <c r="D3052" s="43">
        <v>5325</v>
      </c>
      <c r="E3052" s="43"/>
      <c r="F3052" s="28">
        <f t="shared" si="48"/>
        <v>55412</v>
      </c>
      <c r="G3052" s="43"/>
    </row>
    <row r="3053" spans="1:10" x14ac:dyDescent="0.3">
      <c r="A3053" s="45">
        <v>43003</v>
      </c>
      <c r="B3053" s="5" t="s">
        <v>84</v>
      </c>
      <c r="C3053" s="5" t="s">
        <v>2342</v>
      </c>
      <c r="D3053" s="65">
        <v>3000</v>
      </c>
      <c r="E3053" s="43"/>
      <c r="F3053" s="28">
        <f t="shared" si="48"/>
        <v>52412</v>
      </c>
      <c r="G3053" s="43"/>
    </row>
    <row r="3054" spans="1:10" x14ac:dyDescent="0.3">
      <c r="A3054" s="45">
        <v>43003</v>
      </c>
      <c r="B3054" s="5" t="s">
        <v>25</v>
      </c>
      <c r="C3054" s="5" t="s">
        <v>2343</v>
      </c>
      <c r="D3054" s="65">
        <v>1500</v>
      </c>
      <c r="E3054" s="43"/>
      <c r="F3054" s="28">
        <f t="shared" si="48"/>
        <v>50912</v>
      </c>
      <c r="G3054" s="43"/>
    </row>
    <row r="3055" spans="1:10" x14ac:dyDescent="0.3">
      <c r="A3055" s="45">
        <v>43003</v>
      </c>
      <c r="B3055" s="5" t="s">
        <v>541</v>
      </c>
      <c r="C3055" s="5" t="s">
        <v>2128</v>
      </c>
      <c r="D3055" s="65">
        <v>8000</v>
      </c>
      <c r="E3055" s="43"/>
      <c r="F3055" s="28">
        <f t="shared" si="48"/>
        <v>42912</v>
      </c>
      <c r="G3055" s="43"/>
    </row>
    <row r="3056" spans="1:10" x14ac:dyDescent="0.3">
      <c r="A3056" s="45">
        <v>43003</v>
      </c>
      <c r="B3056" s="5" t="s">
        <v>0</v>
      </c>
      <c r="C3056" s="5" t="s">
        <v>31</v>
      </c>
      <c r="D3056" s="65">
        <v>3500</v>
      </c>
      <c r="E3056" s="43"/>
      <c r="F3056" s="28">
        <f t="shared" si="48"/>
        <v>39412</v>
      </c>
      <c r="G3056" s="43"/>
    </row>
    <row r="3057" spans="1:7" x14ac:dyDescent="0.3">
      <c r="A3057" s="45">
        <v>43003</v>
      </c>
      <c r="B3057" s="5" t="s">
        <v>20</v>
      </c>
      <c r="C3057" s="5" t="s">
        <v>31</v>
      </c>
      <c r="D3057" s="65">
        <v>5000</v>
      </c>
      <c r="E3057" s="43"/>
      <c r="F3057" s="28">
        <f t="shared" si="48"/>
        <v>34412</v>
      </c>
      <c r="G3057" s="43"/>
    </row>
    <row r="3058" spans="1:7" x14ac:dyDescent="0.3">
      <c r="A3058" s="45">
        <v>43003</v>
      </c>
      <c r="B3058" s="5" t="s">
        <v>54</v>
      </c>
      <c r="C3058" s="5" t="s">
        <v>2345</v>
      </c>
      <c r="D3058" s="43">
        <v>10200</v>
      </c>
      <c r="E3058" s="43"/>
      <c r="F3058" s="28">
        <f t="shared" si="48"/>
        <v>24212</v>
      </c>
      <c r="G3058" s="43"/>
    </row>
    <row r="3059" spans="1:7" x14ac:dyDescent="0.3">
      <c r="A3059" s="45">
        <v>43004</v>
      </c>
      <c r="B3059" s="5" t="s">
        <v>18</v>
      </c>
      <c r="C3059" s="5" t="s">
        <v>31</v>
      </c>
      <c r="D3059" s="43">
        <v>1000</v>
      </c>
      <c r="E3059" s="43"/>
      <c r="F3059" s="28">
        <f t="shared" si="48"/>
        <v>23212</v>
      </c>
      <c r="G3059" s="43"/>
    </row>
    <row r="3060" spans="1:7" x14ac:dyDescent="0.3">
      <c r="A3060" s="45">
        <v>43004</v>
      </c>
      <c r="B3060" s="5" t="s">
        <v>2346</v>
      </c>
      <c r="C3060" s="5" t="s">
        <v>2347</v>
      </c>
      <c r="D3060" s="43">
        <v>2000</v>
      </c>
      <c r="E3060" s="43"/>
      <c r="F3060" s="28">
        <f t="shared" si="48"/>
        <v>21212</v>
      </c>
      <c r="G3060" s="43"/>
    </row>
    <row r="3061" spans="1:7" x14ac:dyDescent="0.3">
      <c r="A3061" s="45">
        <v>43005</v>
      </c>
      <c r="B3061" s="5" t="s">
        <v>1837</v>
      </c>
      <c r="C3061" s="5" t="s">
        <v>294</v>
      </c>
      <c r="D3061" s="43">
        <v>1170</v>
      </c>
      <c r="E3061" s="43"/>
      <c r="F3061" s="28">
        <f t="shared" si="48"/>
        <v>20042</v>
      </c>
      <c r="G3061" s="43"/>
    </row>
    <row r="3062" spans="1:7" x14ac:dyDescent="0.3">
      <c r="A3062" s="45">
        <v>43005</v>
      </c>
      <c r="B3062" s="5" t="s">
        <v>60</v>
      </c>
      <c r="C3062" s="5" t="s">
        <v>2368</v>
      </c>
      <c r="D3062" s="43">
        <v>550</v>
      </c>
      <c r="E3062" s="43"/>
      <c r="F3062" s="28">
        <f t="shared" si="48"/>
        <v>19492</v>
      </c>
      <c r="G3062" s="43"/>
    </row>
    <row r="3063" spans="1:7" ht="37.5" x14ac:dyDescent="0.3">
      <c r="A3063" s="45">
        <v>43005</v>
      </c>
      <c r="B3063" s="5" t="s">
        <v>2350</v>
      </c>
      <c r="C3063" s="92" t="s">
        <v>2351</v>
      </c>
      <c r="D3063" s="43">
        <v>3250</v>
      </c>
      <c r="E3063" s="43"/>
      <c r="F3063" s="28">
        <f t="shared" si="48"/>
        <v>16242</v>
      </c>
      <c r="G3063" s="43"/>
    </row>
    <row r="3064" spans="1:7" x14ac:dyDescent="0.3">
      <c r="A3064" s="45">
        <v>43005</v>
      </c>
      <c r="B3064" s="5" t="s">
        <v>2348</v>
      </c>
      <c r="C3064" s="5" t="s">
        <v>2349</v>
      </c>
      <c r="D3064" s="43">
        <v>1000</v>
      </c>
      <c r="E3064" s="43"/>
      <c r="F3064" s="28">
        <f t="shared" si="48"/>
        <v>15242</v>
      </c>
      <c r="G3064" s="43"/>
    </row>
    <row r="3065" spans="1:7" ht="37.5" x14ac:dyDescent="0.3">
      <c r="A3065" s="45">
        <v>43005</v>
      </c>
      <c r="B3065" s="5" t="s">
        <v>58</v>
      </c>
      <c r="C3065" s="92" t="s">
        <v>2358</v>
      </c>
      <c r="D3065" s="43">
        <v>100</v>
      </c>
      <c r="E3065" s="43"/>
      <c r="F3065" s="28">
        <f t="shared" si="48"/>
        <v>15142</v>
      </c>
      <c r="G3065" s="43"/>
    </row>
    <row r="3066" spans="1:7" x14ac:dyDescent="0.3">
      <c r="A3066" s="45">
        <v>43005</v>
      </c>
      <c r="B3066" s="5" t="s">
        <v>25</v>
      </c>
      <c r="C3066" s="5" t="s">
        <v>2352</v>
      </c>
      <c r="D3066" s="43">
        <v>635</v>
      </c>
      <c r="E3066" s="43"/>
      <c r="F3066" s="28">
        <f t="shared" si="48"/>
        <v>14507</v>
      </c>
      <c r="G3066" s="43"/>
    </row>
    <row r="3067" spans="1:7" x14ac:dyDescent="0.3">
      <c r="A3067" s="45">
        <v>43005</v>
      </c>
      <c r="B3067" s="756" t="s">
        <v>2354</v>
      </c>
      <c r="C3067" s="756"/>
      <c r="D3067" s="71"/>
      <c r="E3067" s="72">
        <v>10000</v>
      </c>
      <c r="F3067" s="28">
        <f t="shared" si="48"/>
        <v>24507</v>
      </c>
      <c r="G3067" s="43"/>
    </row>
    <row r="3068" spans="1:7" x14ac:dyDescent="0.3">
      <c r="A3068" s="45">
        <v>43005</v>
      </c>
      <c r="B3068" s="756" t="s">
        <v>2355</v>
      </c>
      <c r="C3068" s="756"/>
      <c r="D3068" s="71"/>
      <c r="E3068" s="72">
        <v>10000</v>
      </c>
      <c r="F3068" s="28">
        <f t="shared" si="48"/>
        <v>34507</v>
      </c>
      <c r="G3068" s="43"/>
    </row>
    <row r="3069" spans="1:7" x14ac:dyDescent="0.3">
      <c r="A3069" s="45">
        <v>43005</v>
      </c>
      <c r="B3069" s="5" t="s">
        <v>57</v>
      </c>
      <c r="C3069" s="5" t="s">
        <v>2362</v>
      </c>
      <c r="D3069" s="43">
        <v>10000</v>
      </c>
      <c r="E3069" s="43"/>
      <c r="F3069" s="28">
        <f t="shared" si="48"/>
        <v>24507</v>
      </c>
      <c r="G3069" s="43"/>
    </row>
    <row r="3070" spans="1:7" x14ac:dyDescent="0.3">
      <c r="A3070" s="45">
        <v>43005</v>
      </c>
      <c r="B3070" s="5" t="s">
        <v>14</v>
      </c>
      <c r="C3070" s="5" t="s">
        <v>31</v>
      </c>
      <c r="D3070" s="43">
        <v>2000</v>
      </c>
      <c r="E3070" s="43"/>
      <c r="F3070" s="28">
        <f t="shared" si="48"/>
        <v>22507</v>
      </c>
      <c r="G3070" s="43"/>
    </row>
    <row r="3071" spans="1:7" x14ac:dyDescent="0.3">
      <c r="A3071" s="45">
        <v>43005</v>
      </c>
      <c r="B3071" s="5" t="s">
        <v>20</v>
      </c>
      <c r="C3071" s="5" t="s">
        <v>2353</v>
      </c>
      <c r="D3071" s="43">
        <v>15000</v>
      </c>
      <c r="E3071" s="43"/>
      <c r="F3071" s="28">
        <f t="shared" si="48"/>
        <v>7507</v>
      </c>
      <c r="G3071" s="43"/>
    </row>
    <row r="3072" spans="1:7" x14ac:dyDescent="0.3">
      <c r="A3072" s="45">
        <v>43005</v>
      </c>
      <c r="B3072" s="5" t="s">
        <v>84</v>
      </c>
      <c r="C3072" s="5" t="s">
        <v>2363</v>
      </c>
      <c r="D3072" s="43">
        <v>1500</v>
      </c>
      <c r="E3072" s="43"/>
      <c r="F3072" s="28">
        <f t="shared" si="48"/>
        <v>6007</v>
      </c>
      <c r="G3072" s="43"/>
    </row>
    <row r="3073" spans="1:7" x14ac:dyDescent="0.3">
      <c r="A3073" s="45">
        <v>43006</v>
      </c>
      <c r="B3073" s="5" t="s">
        <v>56</v>
      </c>
      <c r="C3073" s="5" t="s">
        <v>2013</v>
      </c>
      <c r="D3073" s="43">
        <v>150</v>
      </c>
      <c r="E3073" s="43"/>
      <c r="F3073" s="28">
        <f t="shared" si="48"/>
        <v>5857</v>
      </c>
      <c r="G3073" s="43"/>
    </row>
    <row r="3074" spans="1:7" x14ac:dyDescent="0.3">
      <c r="A3074" s="45">
        <v>43006</v>
      </c>
      <c r="B3074" s="756" t="s">
        <v>2085</v>
      </c>
      <c r="C3074" s="756"/>
      <c r="D3074" s="71"/>
      <c r="E3074" s="72">
        <v>100000</v>
      </c>
      <c r="F3074" s="28">
        <f t="shared" si="48"/>
        <v>105857</v>
      </c>
      <c r="G3074" s="43"/>
    </row>
    <row r="3075" spans="1:7" x14ac:dyDescent="0.3">
      <c r="A3075" s="45">
        <v>43006</v>
      </c>
      <c r="B3075" s="5" t="s">
        <v>2204</v>
      </c>
      <c r="C3075" s="5" t="s">
        <v>2356</v>
      </c>
      <c r="D3075" s="43">
        <v>120</v>
      </c>
      <c r="E3075" s="43"/>
      <c r="F3075" s="28">
        <f t="shared" si="48"/>
        <v>105737</v>
      </c>
      <c r="G3075" s="43"/>
    </row>
    <row r="3076" spans="1:7" x14ac:dyDescent="0.3">
      <c r="A3076" s="45">
        <v>43006</v>
      </c>
      <c r="B3076" s="5" t="s">
        <v>1074</v>
      </c>
      <c r="C3076" s="5" t="s">
        <v>2357</v>
      </c>
      <c r="D3076" s="43">
        <v>49342</v>
      </c>
      <c r="E3076" s="43"/>
      <c r="F3076" s="28">
        <f t="shared" si="48"/>
        <v>56395</v>
      </c>
      <c r="G3076" s="43"/>
    </row>
    <row r="3077" spans="1:7" x14ac:dyDescent="0.3">
      <c r="A3077" s="45">
        <v>43006</v>
      </c>
      <c r="B3077" s="5" t="s">
        <v>2318</v>
      </c>
      <c r="C3077" s="5" t="s">
        <v>2373</v>
      </c>
      <c r="D3077" s="43">
        <v>2190</v>
      </c>
      <c r="E3077" s="43"/>
      <c r="F3077" s="28">
        <f t="shared" ref="F3077:F3140" si="49">F3076-D3077+E3077</f>
        <v>54205</v>
      </c>
      <c r="G3077" s="43"/>
    </row>
    <row r="3078" spans="1:7" ht="37.5" x14ac:dyDescent="0.3">
      <c r="A3078" s="45">
        <v>43006</v>
      </c>
      <c r="B3078" s="44" t="s">
        <v>20</v>
      </c>
      <c r="C3078" s="124" t="s">
        <v>2360</v>
      </c>
      <c r="D3078" s="28">
        <v>300</v>
      </c>
      <c r="E3078" s="28"/>
      <c r="F3078" s="28">
        <f t="shared" si="49"/>
        <v>53905</v>
      </c>
      <c r="G3078" s="28"/>
    </row>
    <row r="3079" spans="1:7" x14ac:dyDescent="0.3">
      <c r="A3079" s="45">
        <v>43006</v>
      </c>
      <c r="B3079" s="5" t="s">
        <v>2330</v>
      </c>
      <c r="C3079" s="92" t="s">
        <v>2361</v>
      </c>
      <c r="D3079" s="43">
        <v>1630</v>
      </c>
      <c r="E3079" s="43"/>
      <c r="F3079" s="28">
        <f t="shared" si="49"/>
        <v>52275</v>
      </c>
      <c r="G3079" s="43"/>
    </row>
    <row r="3080" spans="1:7" ht="37.5" x14ac:dyDescent="0.3">
      <c r="A3080" s="45">
        <v>43006</v>
      </c>
      <c r="B3080" s="44" t="s">
        <v>97</v>
      </c>
      <c r="C3080" s="92" t="s">
        <v>2364</v>
      </c>
      <c r="D3080" s="43">
        <v>1000</v>
      </c>
      <c r="E3080" s="43"/>
      <c r="F3080" s="28">
        <f t="shared" si="49"/>
        <v>51275</v>
      </c>
      <c r="G3080" s="28"/>
    </row>
    <row r="3081" spans="1:7" x14ac:dyDescent="0.3">
      <c r="A3081" s="45">
        <v>43006</v>
      </c>
      <c r="B3081" s="5" t="s">
        <v>0</v>
      </c>
      <c r="C3081" s="92" t="s">
        <v>2365</v>
      </c>
      <c r="D3081" s="43">
        <v>1500</v>
      </c>
      <c r="E3081" s="43"/>
      <c r="F3081" s="28">
        <f t="shared" si="49"/>
        <v>49775</v>
      </c>
      <c r="G3081" s="43"/>
    </row>
    <row r="3082" spans="1:7" x14ac:dyDescent="0.3">
      <c r="A3082" s="45">
        <v>43006</v>
      </c>
      <c r="B3082" s="5" t="s">
        <v>2366</v>
      </c>
      <c r="C3082" s="92" t="s">
        <v>2367</v>
      </c>
      <c r="D3082" s="43">
        <v>8500</v>
      </c>
      <c r="E3082" s="43"/>
      <c r="F3082" s="28">
        <f t="shared" si="49"/>
        <v>41275</v>
      </c>
      <c r="G3082" s="43"/>
    </row>
    <row r="3083" spans="1:7" x14ac:dyDescent="0.3">
      <c r="A3083" s="45">
        <v>43006</v>
      </c>
      <c r="B3083" s="5" t="s">
        <v>88</v>
      </c>
      <c r="C3083" s="92" t="s">
        <v>294</v>
      </c>
      <c r="D3083" s="43">
        <v>2000</v>
      </c>
      <c r="E3083" s="43"/>
      <c r="F3083" s="28">
        <f t="shared" si="49"/>
        <v>39275</v>
      </c>
      <c r="G3083" s="43"/>
    </row>
    <row r="3084" spans="1:7" x14ac:dyDescent="0.3">
      <c r="A3084" s="45">
        <v>43007</v>
      </c>
      <c r="B3084" s="5" t="s">
        <v>60</v>
      </c>
      <c r="C3084" s="92" t="s">
        <v>2369</v>
      </c>
      <c r="D3084" s="43">
        <v>6050</v>
      </c>
      <c r="E3084" s="43"/>
      <c r="F3084" s="28">
        <f t="shared" si="49"/>
        <v>33225</v>
      </c>
      <c r="G3084" s="43"/>
    </row>
    <row r="3085" spans="1:7" x14ac:dyDescent="0.3">
      <c r="A3085" s="45">
        <v>43007</v>
      </c>
      <c r="B3085" s="5" t="s">
        <v>54</v>
      </c>
      <c r="C3085" s="92" t="s">
        <v>2371</v>
      </c>
      <c r="D3085" s="43">
        <v>30500</v>
      </c>
      <c r="E3085" s="43"/>
      <c r="F3085" s="28">
        <f t="shared" si="49"/>
        <v>2725</v>
      </c>
      <c r="G3085" s="43"/>
    </row>
    <row r="3086" spans="1:7" x14ac:dyDescent="0.3">
      <c r="A3086" s="45">
        <v>43007</v>
      </c>
      <c r="B3086" s="5" t="s">
        <v>25</v>
      </c>
      <c r="C3086" s="92" t="s">
        <v>2370</v>
      </c>
      <c r="D3086" s="43">
        <v>100</v>
      </c>
      <c r="E3086" s="43"/>
      <c r="F3086" s="28">
        <f t="shared" si="49"/>
        <v>2625</v>
      </c>
      <c r="G3086" s="43"/>
    </row>
    <row r="3087" spans="1:7" x14ac:dyDescent="0.3">
      <c r="A3087" s="45">
        <v>43007</v>
      </c>
      <c r="B3087" s="5" t="s">
        <v>84</v>
      </c>
      <c r="C3087" s="92" t="s">
        <v>2372</v>
      </c>
      <c r="D3087" s="43">
        <v>1000</v>
      </c>
      <c r="E3087" s="43"/>
      <c r="F3087" s="28">
        <f t="shared" si="49"/>
        <v>1625</v>
      </c>
      <c r="G3087" s="43"/>
    </row>
    <row r="3088" spans="1:7" x14ac:dyDescent="0.3">
      <c r="A3088" s="45">
        <v>43007</v>
      </c>
      <c r="B3088" s="5" t="s">
        <v>84</v>
      </c>
      <c r="C3088" s="92" t="s">
        <v>2374</v>
      </c>
      <c r="D3088" s="43">
        <v>3000</v>
      </c>
      <c r="E3088" s="43"/>
      <c r="F3088" s="28">
        <f t="shared" si="49"/>
        <v>-1375</v>
      </c>
      <c r="G3088" s="43"/>
    </row>
    <row r="3089" spans="1:10" x14ac:dyDescent="0.3">
      <c r="A3089" s="45">
        <v>43007</v>
      </c>
      <c r="B3089" s="5" t="s">
        <v>16</v>
      </c>
      <c r="C3089" s="92" t="s">
        <v>2013</v>
      </c>
      <c r="D3089" s="43">
        <v>100</v>
      </c>
      <c r="E3089" s="43"/>
      <c r="F3089" s="28">
        <f t="shared" si="49"/>
        <v>-1475</v>
      </c>
      <c r="G3089" s="43"/>
    </row>
    <row r="3090" spans="1:10" x14ac:dyDescent="0.3">
      <c r="A3090" s="45">
        <v>43007</v>
      </c>
      <c r="B3090" s="5" t="s">
        <v>2375</v>
      </c>
      <c r="C3090" s="92" t="s">
        <v>2013</v>
      </c>
      <c r="D3090" s="43">
        <v>50</v>
      </c>
      <c r="E3090" s="43"/>
      <c r="F3090" s="28">
        <f t="shared" si="49"/>
        <v>-1525</v>
      </c>
      <c r="G3090" s="43"/>
    </row>
    <row r="3091" spans="1:10" ht="37.5" x14ac:dyDescent="0.3">
      <c r="A3091" s="45">
        <v>43007</v>
      </c>
      <c r="B3091" s="5" t="s">
        <v>25</v>
      </c>
      <c r="C3091" s="92" t="s">
        <v>2376</v>
      </c>
      <c r="D3091" s="43">
        <v>810</v>
      </c>
      <c r="E3091" s="43"/>
      <c r="F3091" s="28">
        <f t="shared" si="49"/>
        <v>-2335</v>
      </c>
      <c r="G3091" s="43"/>
    </row>
    <row r="3092" spans="1:10" x14ac:dyDescent="0.3">
      <c r="A3092" s="45">
        <v>43010</v>
      </c>
      <c r="B3092" s="756" t="s">
        <v>2380</v>
      </c>
      <c r="C3092" s="756"/>
      <c r="D3092" s="71"/>
      <c r="E3092" s="72">
        <v>100000</v>
      </c>
      <c r="F3092" s="28">
        <f t="shared" si="49"/>
        <v>97665</v>
      </c>
      <c r="G3092" s="43"/>
    </row>
    <row r="3093" spans="1:10" x14ac:dyDescent="0.3">
      <c r="A3093" s="45">
        <v>43010</v>
      </c>
      <c r="B3093" s="5" t="s">
        <v>14</v>
      </c>
      <c r="C3093" s="92" t="s">
        <v>31</v>
      </c>
      <c r="D3093" s="43">
        <v>20000</v>
      </c>
      <c r="E3093" s="43"/>
      <c r="F3093" s="28">
        <f t="shared" si="49"/>
        <v>77665</v>
      </c>
      <c r="G3093" s="43"/>
    </row>
    <row r="3094" spans="1:10" x14ac:dyDescent="0.3">
      <c r="A3094" s="45">
        <v>43010</v>
      </c>
      <c r="B3094" s="5" t="s">
        <v>84</v>
      </c>
      <c r="C3094" s="92" t="s">
        <v>2377</v>
      </c>
      <c r="D3094" s="43">
        <v>10000</v>
      </c>
      <c r="E3094" s="43"/>
      <c r="F3094" s="28">
        <f t="shared" si="49"/>
        <v>67665</v>
      </c>
      <c r="G3094" s="43"/>
    </row>
    <row r="3095" spans="1:10" x14ac:dyDescent="0.3">
      <c r="A3095" s="45">
        <v>43010</v>
      </c>
      <c r="B3095" s="5" t="s">
        <v>10</v>
      </c>
      <c r="C3095" s="92" t="s">
        <v>2378</v>
      </c>
      <c r="D3095" s="43">
        <v>2000</v>
      </c>
      <c r="E3095" s="43"/>
      <c r="F3095" s="28">
        <f t="shared" si="49"/>
        <v>65665</v>
      </c>
      <c r="G3095" s="43"/>
    </row>
    <row r="3096" spans="1:10" x14ac:dyDescent="0.3">
      <c r="A3096" s="45">
        <v>43010</v>
      </c>
      <c r="B3096" s="5" t="s">
        <v>120</v>
      </c>
      <c r="C3096" s="92" t="s">
        <v>2383</v>
      </c>
      <c r="D3096" s="43">
        <v>1000</v>
      </c>
      <c r="E3096" s="43"/>
      <c r="F3096" s="28">
        <f t="shared" si="49"/>
        <v>64665</v>
      </c>
      <c r="G3096" s="43"/>
    </row>
    <row r="3097" spans="1:10" x14ac:dyDescent="0.3">
      <c r="A3097" s="45">
        <v>43011</v>
      </c>
      <c r="B3097" s="5" t="s">
        <v>1837</v>
      </c>
      <c r="C3097" s="92" t="s">
        <v>2379</v>
      </c>
      <c r="D3097" s="43">
        <v>1100</v>
      </c>
      <c r="E3097" s="43"/>
      <c r="F3097" s="28">
        <f t="shared" si="49"/>
        <v>63565</v>
      </c>
      <c r="G3097" s="43"/>
    </row>
    <row r="3098" spans="1:10" x14ac:dyDescent="0.3">
      <c r="A3098" s="45">
        <v>43011</v>
      </c>
      <c r="B3098" s="5" t="s">
        <v>25</v>
      </c>
      <c r="C3098" s="92" t="s">
        <v>2381</v>
      </c>
      <c r="D3098" s="43">
        <v>168</v>
      </c>
      <c r="E3098" s="43"/>
      <c r="F3098" s="28">
        <f t="shared" si="49"/>
        <v>63397</v>
      </c>
      <c r="G3098" s="43"/>
    </row>
    <row r="3099" spans="1:10" x14ac:dyDescent="0.3">
      <c r="A3099" s="45">
        <v>43011</v>
      </c>
      <c r="B3099" s="5" t="s">
        <v>2318</v>
      </c>
      <c r="C3099" s="92" t="s">
        <v>2382</v>
      </c>
      <c r="D3099" s="43">
        <v>590</v>
      </c>
      <c r="E3099" s="43"/>
      <c r="F3099" s="28">
        <f t="shared" si="49"/>
        <v>62807</v>
      </c>
      <c r="G3099" s="43"/>
    </row>
    <row r="3100" spans="1:10" x14ac:dyDescent="0.3">
      <c r="A3100" s="45">
        <v>43011</v>
      </c>
      <c r="B3100" s="5" t="s">
        <v>2330</v>
      </c>
      <c r="C3100" s="92" t="s">
        <v>2384</v>
      </c>
      <c r="D3100" s="43">
        <v>3935</v>
      </c>
      <c r="E3100" s="43"/>
      <c r="F3100" s="28">
        <f t="shared" si="49"/>
        <v>58872</v>
      </c>
      <c r="G3100" s="43"/>
    </row>
    <row r="3101" spans="1:10" x14ac:dyDescent="0.3">
      <c r="A3101" s="45">
        <v>43011</v>
      </c>
      <c r="B3101" s="5" t="s">
        <v>2054</v>
      </c>
      <c r="C3101" s="92" t="s">
        <v>2385</v>
      </c>
      <c r="D3101" s="43">
        <v>630</v>
      </c>
      <c r="E3101" s="43"/>
      <c r="F3101" s="28">
        <f t="shared" si="49"/>
        <v>58242</v>
      </c>
      <c r="G3101" s="43"/>
    </row>
    <row r="3102" spans="1:10" x14ac:dyDescent="0.3">
      <c r="A3102" s="45">
        <v>43011</v>
      </c>
      <c r="B3102" s="5" t="s">
        <v>1343</v>
      </c>
      <c r="C3102" s="92" t="s">
        <v>2386</v>
      </c>
      <c r="D3102" s="43">
        <v>5000</v>
      </c>
      <c r="E3102" s="43"/>
      <c r="F3102" s="28">
        <f t="shared" si="49"/>
        <v>53242</v>
      </c>
      <c r="G3102" s="43"/>
    </row>
    <row r="3103" spans="1:10" x14ac:dyDescent="0.3">
      <c r="A3103" s="45">
        <v>43011</v>
      </c>
      <c r="B3103" s="61" t="s">
        <v>2318</v>
      </c>
      <c r="C3103" s="132" t="s">
        <v>2387</v>
      </c>
      <c r="D3103" s="62">
        <v>1000</v>
      </c>
      <c r="E3103" s="43"/>
      <c r="F3103" s="28">
        <f t="shared" si="49"/>
        <v>52242</v>
      </c>
      <c r="G3103" s="43"/>
    </row>
    <row r="3104" spans="1:10" x14ac:dyDescent="0.3">
      <c r="A3104" s="45">
        <v>43011</v>
      </c>
      <c r="B3104" s="5" t="s">
        <v>2103</v>
      </c>
      <c r="C3104" s="92" t="s">
        <v>2388</v>
      </c>
      <c r="D3104" s="65">
        <v>1800</v>
      </c>
      <c r="E3104" s="65"/>
      <c r="F3104" s="28">
        <f t="shared" si="49"/>
        <v>50442</v>
      </c>
      <c r="G3104" s="65"/>
      <c r="H3104" s="102"/>
      <c r="I3104" s="102"/>
      <c r="J3104" s="102"/>
    </row>
    <row r="3105" spans="1:7" x14ac:dyDescent="0.3">
      <c r="A3105" s="45">
        <v>43011</v>
      </c>
      <c r="B3105" s="5" t="s">
        <v>57</v>
      </c>
      <c r="C3105" s="92" t="s">
        <v>2409</v>
      </c>
      <c r="D3105" s="65">
        <v>1000</v>
      </c>
      <c r="E3105" s="43"/>
      <c r="F3105" s="28">
        <f t="shared" si="49"/>
        <v>49442</v>
      </c>
      <c r="G3105" s="43"/>
    </row>
    <row r="3106" spans="1:7" x14ac:dyDescent="0.3">
      <c r="A3106" s="45">
        <v>43012</v>
      </c>
      <c r="B3106" s="5" t="s">
        <v>1967</v>
      </c>
      <c r="C3106" s="92" t="s">
        <v>2389</v>
      </c>
      <c r="D3106" s="43">
        <v>920</v>
      </c>
      <c r="E3106" s="43"/>
      <c r="F3106" s="28">
        <f t="shared" si="49"/>
        <v>48522</v>
      </c>
      <c r="G3106" s="43"/>
    </row>
    <row r="3107" spans="1:7" x14ac:dyDescent="0.3">
      <c r="A3107" s="45">
        <v>43012</v>
      </c>
      <c r="B3107" s="5" t="s">
        <v>84</v>
      </c>
      <c r="C3107" s="92" t="s">
        <v>2390</v>
      </c>
      <c r="D3107" s="43">
        <v>1000</v>
      </c>
      <c r="E3107" s="43"/>
      <c r="F3107" s="28">
        <f t="shared" si="49"/>
        <v>47522</v>
      </c>
      <c r="G3107" s="43"/>
    </row>
    <row r="3108" spans="1:7" x14ac:dyDescent="0.3">
      <c r="A3108" s="45">
        <v>43012</v>
      </c>
      <c r="B3108" s="5" t="s">
        <v>84</v>
      </c>
      <c r="C3108" s="92" t="s">
        <v>2391</v>
      </c>
      <c r="D3108" s="43">
        <v>1000</v>
      </c>
      <c r="E3108" s="43"/>
      <c r="F3108" s="28">
        <f t="shared" si="49"/>
        <v>46522</v>
      </c>
      <c r="G3108" s="43"/>
    </row>
    <row r="3109" spans="1:7" x14ac:dyDescent="0.3">
      <c r="A3109" s="45">
        <v>43012</v>
      </c>
      <c r="B3109" s="5" t="s">
        <v>58</v>
      </c>
      <c r="C3109" s="92" t="s">
        <v>2392</v>
      </c>
      <c r="D3109" s="43">
        <v>8200</v>
      </c>
      <c r="E3109" s="43"/>
      <c r="F3109" s="28">
        <f t="shared" si="49"/>
        <v>38322</v>
      </c>
      <c r="G3109" s="43"/>
    </row>
    <row r="3110" spans="1:7" x14ac:dyDescent="0.3">
      <c r="A3110" s="45">
        <v>43012</v>
      </c>
      <c r="B3110" s="5" t="s">
        <v>84</v>
      </c>
      <c r="C3110" s="92" t="s">
        <v>2393</v>
      </c>
      <c r="D3110" s="43">
        <v>5000</v>
      </c>
      <c r="E3110" s="43"/>
      <c r="F3110" s="28">
        <f t="shared" si="49"/>
        <v>33322</v>
      </c>
      <c r="G3110" s="43"/>
    </row>
    <row r="3111" spans="1:7" ht="37.5" x14ac:dyDescent="0.3">
      <c r="A3111" s="45">
        <v>43012</v>
      </c>
      <c r="B3111" s="44" t="s">
        <v>25</v>
      </c>
      <c r="C3111" s="124" t="s">
        <v>2394</v>
      </c>
      <c r="D3111" s="43">
        <v>1435</v>
      </c>
      <c r="E3111" s="43"/>
      <c r="F3111" s="28">
        <f t="shared" si="49"/>
        <v>31887</v>
      </c>
      <c r="G3111" s="43"/>
    </row>
    <row r="3112" spans="1:7" x14ac:dyDescent="0.3">
      <c r="A3112" s="45">
        <v>43012</v>
      </c>
      <c r="B3112" s="5" t="s">
        <v>84</v>
      </c>
      <c r="C3112" s="92" t="s">
        <v>2395</v>
      </c>
      <c r="D3112" s="43">
        <v>500</v>
      </c>
      <c r="E3112" s="43"/>
      <c r="F3112" s="28">
        <f t="shared" si="49"/>
        <v>31387</v>
      </c>
      <c r="G3112" s="43"/>
    </row>
    <row r="3113" spans="1:7" x14ac:dyDescent="0.3">
      <c r="A3113" s="45">
        <v>43013</v>
      </c>
      <c r="B3113" s="5" t="s">
        <v>88</v>
      </c>
      <c r="C3113" s="92" t="s">
        <v>2397</v>
      </c>
      <c r="D3113" s="43">
        <v>25000</v>
      </c>
      <c r="E3113" s="43"/>
      <c r="F3113" s="28">
        <f t="shared" si="49"/>
        <v>6387</v>
      </c>
      <c r="G3113" s="43"/>
    </row>
    <row r="3114" spans="1:7" x14ac:dyDescent="0.3">
      <c r="A3114" s="45">
        <v>43012</v>
      </c>
      <c r="B3114" s="756" t="s">
        <v>2085</v>
      </c>
      <c r="C3114" s="756"/>
      <c r="D3114" s="71"/>
      <c r="E3114" s="72">
        <v>50000</v>
      </c>
      <c r="F3114" s="28">
        <f t="shared" si="49"/>
        <v>56387</v>
      </c>
      <c r="G3114" s="43"/>
    </row>
    <row r="3115" spans="1:7" x14ac:dyDescent="0.3">
      <c r="A3115" s="45">
        <v>43013</v>
      </c>
      <c r="B3115" s="5" t="s">
        <v>16</v>
      </c>
      <c r="C3115" s="92" t="s">
        <v>31</v>
      </c>
      <c r="D3115" s="43">
        <v>500</v>
      </c>
      <c r="E3115" s="43"/>
      <c r="F3115" s="28">
        <f t="shared" si="49"/>
        <v>55887</v>
      </c>
      <c r="G3115" s="43"/>
    </row>
    <row r="3116" spans="1:7" x14ac:dyDescent="0.3">
      <c r="A3116" s="45">
        <v>43013</v>
      </c>
      <c r="B3116" s="5" t="s">
        <v>2103</v>
      </c>
      <c r="C3116" s="92" t="s">
        <v>842</v>
      </c>
      <c r="D3116" s="43">
        <v>15000</v>
      </c>
      <c r="E3116" s="43"/>
      <c r="F3116" s="28">
        <f t="shared" si="49"/>
        <v>40887</v>
      </c>
      <c r="G3116" s="43"/>
    </row>
    <row r="3117" spans="1:7" x14ac:dyDescent="0.3">
      <c r="A3117" s="45">
        <v>43013</v>
      </c>
      <c r="B3117" s="5" t="s">
        <v>84</v>
      </c>
      <c r="C3117" s="92" t="s">
        <v>2396</v>
      </c>
      <c r="D3117" s="43">
        <v>2000</v>
      </c>
      <c r="E3117" s="43"/>
      <c r="F3117" s="28">
        <f t="shared" si="49"/>
        <v>38887</v>
      </c>
      <c r="G3117" s="43"/>
    </row>
    <row r="3118" spans="1:7" x14ac:dyDescent="0.3">
      <c r="A3118" s="45">
        <v>43013</v>
      </c>
      <c r="B3118" s="5" t="s">
        <v>14</v>
      </c>
      <c r="C3118" s="92" t="s">
        <v>2398</v>
      </c>
      <c r="D3118" s="43">
        <v>1620</v>
      </c>
      <c r="E3118" s="43"/>
      <c r="F3118" s="28">
        <f t="shared" si="49"/>
        <v>37267</v>
      </c>
      <c r="G3118" s="43"/>
    </row>
    <row r="3119" spans="1:7" x14ac:dyDescent="0.3">
      <c r="A3119" s="45">
        <v>43013</v>
      </c>
      <c r="B3119" s="5" t="s">
        <v>1616</v>
      </c>
      <c r="C3119" s="92" t="s">
        <v>1658</v>
      </c>
      <c r="D3119" s="161">
        <v>2000</v>
      </c>
      <c r="E3119" s="43"/>
      <c r="F3119" s="28">
        <f t="shared" si="49"/>
        <v>35267</v>
      </c>
      <c r="G3119" s="43"/>
    </row>
    <row r="3120" spans="1:7" x14ac:dyDescent="0.3">
      <c r="A3120" s="45">
        <v>43013</v>
      </c>
      <c r="B3120" s="5" t="s">
        <v>25</v>
      </c>
      <c r="C3120" s="92" t="s">
        <v>2399</v>
      </c>
      <c r="D3120" s="43">
        <v>3300</v>
      </c>
      <c r="E3120" s="43"/>
      <c r="F3120" s="28">
        <f t="shared" si="49"/>
        <v>31967</v>
      </c>
      <c r="G3120" s="43"/>
    </row>
    <row r="3121" spans="1:7" ht="37.5" x14ac:dyDescent="0.3">
      <c r="A3121" s="45">
        <v>43013</v>
      </c>
      <c r="B3121" s="5" t="s">
        <v>2159</v>
      </c>
      <c r="C3121" s="92" t="s">
        <v>2400</v>
      </c>
      <c r="D3121" s="43">
        <v>9500</v>
      </c>
      <c r="E3121" s="43"/>
      <c r="F3121" s="28">
        <f t="shared" si="49"/>
        <v>22467</v>
      </c>
      <c r="G3121" s="43"/>
    </row>
    <row r="3122" spans="1:7" ht="37.5" x14ac:dyDescent="0.3">
      <c r="A3122" s="45">
        <v>43013</v>
      </c>
      <c r="B3122" s="5" t="s">
        <v>2159</v>
      </c>
      <c r="C3122" s="92" t="s">
        <v>2401</v>
      </c>
      <c r="D3122" s="43">
        <v>600</v>
      </c>
      <c r="E3122" s="43"/>
      <c r="F3122" s="28">
        <f t="shared" si="49"/>
        <v>21867</v>
      </c>
      <c r="G3122" s="43"/>
    </row>
    <row r="3123" spans="1:7" x14ac:dyDescent="0.3">
      <c r="A3123" s="45">
        <v>43013</v>
      </c>
      <c r="B3123" s="5" t="s">
        <v>25</v>
      </c>
      <c r="C3123" s="92" t="s">
        <v>2402</v>
      </c>
      <c r="D3123" s="43">
        <v>85</v>
      </c>
      <c r="E3123" s="43"/>
      <c r="F3123" s="28">
        <f t="shared" si="49"/>
        <v>21782</v>
      </c>
      <c r="G3123" s="43"/>
    </row>
    <row r="3124" spans="1:7" x14ac:dyDescent="0.3">
      <c r="A3124" s="45">
        <v>43013</v>
      </c>
      <c r="B3124" s="5" t="s">
        <v>25</v>
      </c>
      <c r="C3124" s="92" t="s">
        <v>2403</v>
      </c>
      <c r="D3124" s="43">
        <v>10000</v>
      </c>
      <c r="E3124" s="43"/>
      <c r="F3124" s="28">
        <f t="shared" si="49"/>
        <v>11782</v>
      </c>
      <c r="G3124" s="43"/>
    </row>
    <row r="3125" spans="1:7" ht="56.25" x14ac:dyDescent="0.3">
      <c r="A3125" s="45">
        <v>43013</v>
      </c>
      <c r="B3125" s="44" t="s">
        <v>25</v>
      </c>
      <c r="C3125" s="92" t="s">
        <v>2404</v>
      </c>
      <c r="D3125" s="43">
        <v>4900</v>
      </c>
      <c r="E3125" s="43"/>
      <c r="F3125" s="28">
        <f t="shared" si="49"/>
        <v>6882</v>
      </c>
      <c r="G3125" s="28"/>
    </row>
    <row r="3126" spans="1:7" x14ac:dyDescent="0.3">
      <c r="A3126" s="45">
        <v>43013</v>
      </c>
      <c r="B3126" s="44" t="s">
        <v>2204</v>
      </c>
      <c r="C3126" s="92" t="s">
        <v>2405</v>
      </c>
      <c r="D3126" s="43">
        <v>200</v>
      </c>
      <c r="E3126" s="43"/>
      <c r="F3126" s="28">
        <f t="shared" si="49"/>
        <v>6682</v>
      </c>
      <c r="G3126" s="43"/>
    </row>
    <row r="3127" spans="1:7" x14ac:dyDescent="0.3">
      <c r="A3127" s="45">
        <v>43014</v>
      </c>
      <c r="B3127" s="5" t="s">
        <v>25</v>
      </c>
      <c r="C3127" s="92" t="s">
        <v>2407</v>
      </c>
      <c r="D3127" s="43">
        <v>1000</v>
      </c>
      <c r="E3127" s="43"/>
      <c r="F3127" s="28">
        <f t="shared" si="49"/>
        <v>5682</v>
      </c>
      <c r="G3127" s="43"/>
    </row>
    <row r="3128" spans="1:7" x14ac:dyDescent="0.3">
      <c r="A3128" s="45">
        <v>43014</v>
      </c>
      <c r="B3128" s="756" t="s">
        <v>2417</v>
      </c>
      <c r="C3128" s="756"/>
      <c r="D3128" s="71"/>
      <c r="E3128" s="72">
        <v>141</v>
      </c>
      <c r="F3128" s="28">
        <f t="shared" si="49"/>
        <v>5823</v>
      </c>
      <c r="G3128" s="43"/>
    </row>
    <row r="3129" spans="1:7" x14ac:dyDescent="0.3">
      <c r="A3129" s="45">
        <v>43014</v>
      </c>
      <c r="B3129" s="5" t="s">
        <v>2204</v>
      </c>
      <c r="C3129" s="92" t="s">
        <v>2406</v>
      </c>
      <c r="D3129" s="43">
        <v>260</v>
      </c>
      <c r="E3129" s="43"/>
      <c r="F3129" s="28">
        <f t="shared" si="49"/>
        <v>5563</v>
      </c>
      <c r="G3129" s="43"/>
    </row>
    <row r="3130" spans="1:7" x14ac:dyDescent="0.3">
      <c r="A3130" s="45">
        <v>43014</v>
      </c>
      <c r="B3130" s="5" t="s">
        <v>58</v>
      </c>
      <c r="C3130" s="92" t="s">
        <v>2408</v>
      </c>
      <c r="D3130" s="43">
        <v>75</v>
      </c>
      <c r="E3130" s="43"/>
      <c r="F3130" s="28">
        <f t="shared" si="49"/>
        <v>5488</v>
      </c>
      <c r="G3130" s="43"/>
    </row>
    <row r="3131" spans="1:7" x14ac:dyDescent="0.3">
      <c r="A3131" s="45">
        <v>43014</v>
      </c>
      <c r="B3131" s="5" t="s">
        <v>60</v>
      </c>
      <c r="C3131" s="92" t="s">
        <v>31</v>
      </c>
      <c r="D3131" s="43">
        <v>1500</v>
      </c>
      <c r="E3131" s="43"/>
      <c r="F3131" s="28">
        <f t="shared" si="49"/>
        <v>3988</v>
      </c>
      <c r="G3131" s="43"/>
    </row>
    <row r="3132" spans="1:7" ht="37.5" x14ac:dyDescent="0.3">
      <c r="A3132" s="45">
        <v>43014</v>
      </c>
      <c r="B3132" s="5" t="s">
        <v>58</v>
      </c>
      <c r="C3132" s="92" t="s">
        <v>2423</v>
      </c>
      <c r="D3132" s="65">
        <v>1220</v>
      </c>
      <c r="E3132" s="43"/>
      <c r="F3132" s="28">
        <f t="shared" si="49"/>
        <v>2768</v>
      </c>
      <c r="G3132" s="43"/>
    </row>
    <row r="3133" spans="1:7" x14ac:dyDescent="0.3">
      <c r="A3133" s="45">
        <v>43014</v>
      </c>
      <c r="B3133" s="5" t="s">
        <v>25</v>
      </c>
      <c r="C3133" s="92" t="s">
        <v>2414</v>
      </c>
      <c r="D3133" s="43">
        <v>220</v>
      </c>
      <c r="E3133" s="43"/>
      <c r="F3133" s="28">
        <f t="shared" si="49"/>
        <v>2548</v>
      </c>
      <c r="G3133" s="43"/>
    </row>
    <row r="3134" spans="1:7" x14ac:dyDescent="0.3">
      <c r="A3134" s="45">
        <v>43014</v>
      </c>
      <c r="B3134" s="5" t="s">
        <v>25</v>
      </c>
      <c r="C3134" s="92" t="s">
        <v>2415</v>
      </c>
      <c r="D3134" s="43">
        <v>50</v>
      </c>
      <c r="E3134" s="43"/>
      <c r="F3134" s="28">
        <f t="shared" si="49"/>
        <v>2498</v>
      </c>
      <c r="G3134" s="43"/>
    </row>
    <row r="3135" spans="1:7" x14ac:dyDescent="0.3">
      <c r="A3135" s="45">
        <v>43014</v>
      </c>
      <c r="B3135" s="756" t="s">
        <v>2418</v>
      </c>
      <c r="C3135" s="756"/>
      <c r="D3135" s="71"/>
      <c r="E3135" s="72">
        <v>20000</v>
      </c>
      <c r="F3135" s="28">
        <f t="shared" si="49"/>
        <v>22498</v>
      </c>
      <c r="G3135" s="43"/>
    </row>
    <row r="3136" spans="1:7" x14ac:dyDescent="0.3">
      <c r="A3136" s="45">
        <v>43015</v>
      </c>
      <c r="B3136" s="5" t="s">
        <v>16</v>
      </c>
      <c r="C3136" s="92" t="s">
        <v>2410</v>
      </c>
      <c r="D3136" s="43">
        <v>480</v>
      </c>
      <c r="E3136" s="43"/>
      <c r="F3136" s="28">
        <f t="shared" si="49"/>
        <v>22018</v>
      </c>
      <c r="G3136" s="43"/>
    </row>
    <row r="3137" spans="1:7" x14ac:dyDescent="0.3">
      <c r="A3137" s="45">
        <v>43015</v>
      </c>
      <c r="B3137" s="5" t="s">
        <v>16</v>
      </c>
      <c r="C3137" s="92" t="s">
        <v>1530</v>
      </c>
      <c r="D3137" s="43">
        <v>10000</v>
      </c>
      <c r="E3137" s="43"/>
      <c r="F3137" s="28">
        <f t="shared" si="49"/>
        <v>12018</v>
      </c>
      <c r="G3137" s="43"/>
    </row>
    <row r="3138" spans="1:7" x14ac:dyDescent="0.3">
      <c r="A3138" s="45">
        <v>43015</v>
      </c>
      <c r="B3138" s="5" t="s">
        <v>16</v>
      </c>
      <c r="C3138" s="92" t="s">
        <v>2411</v>
      </c>
      <c r="D3138" s="43">
        <v>4000</v>
      </c>
      <c r="E3138" s="43"/>
      <c r="F3138" s="28">
        <f t="shared" si="49"/>
        <v>8018</v>
      </c>
      <c r="G3138" s="43"/>
    </row>
    <row r="3139" spans="1:7" ht="37.5" x14ac:dyDescent="0.3">
      <c r="A3139" s="45">
        <v>43015</v>
      </c>
      <c r="B3139" s="5" t="s">
        <v>2420</v>
      </c>
      <c r="C3139" s="92" t="s">
        <v>2421</v>
      </c>
      <c r="D3139" s="43">
        <v>5000</v>
      </c>
      <c r="E3139" s="43"/>
      <c r="F3139" s="28">
        <f t="shared" si="49"/>
        <v>3018</v>
      </c>
      <c r="G3139" s="43"/>
    </row>
    <row r="3140" spans="1:7" x14ac:dyDescent="0.3">
      <c r="A3140" s="45">
        <v>43015</v>
      </c>
      <c r="B3140" s="5" t="s">
        <v>84</v>
      </c>
      <c r="C3140" s="92" t="s">
        <v>2422</v>
      </c>
      <c r="D3140" s="43">
        <v>5000</v>
      </c>
      <c r="E3140" s="43"/>
      <c r="F3140" s="28">
        <f t="shared" si="49"/>
        <v>-1982</v>
      </c>
      <c r="G3140" s="43"/>
    </row>
    <row r="3141" spans="1:7" x14ac:dyDescent="0.3">
      <c r="A3141" s="45">
        <v>43015</v>
      </c>
      <c r="B3141" s="5" t="s">
        <v>104</v>
      </c>
      <c r="C3141" s="92" t="s">
        <v>2412</v>
      </c>
      <c r="D3141" s="43">
        <v>300</v>
      </c>
      <c r="E3141" s="43"/>
      <c r="F3141" s="28">
        <f t="shared" ref="F3141:F3204" si="50">F3140-D3141+E3141</f>
        <v>-2282</v>
      </c>
      <c r="G3141" s="43"/>
    </row>
    <row r="3142" spans="1:7" ht="37.5" x14ac:dyDescent="0.3">
      <c r="A3142" s="45">
        <v>43015</v>
      </c>
      <c r="B3142" s="44" t="s">
        <v>25</v>
      </c>
      <c r="C3142" s="92" t="s">
        <v>2413</v>
      </c>
      <c r="D3142" s="28">
        <v>1540</v>
      </c>
      <c r="E3142" s="43"/>
      <c r="F3142" s="28">
        <f t="shared" si="50"/>
        <v>-3822</v>
      </c>
      <c r="G3142" s="28"/>
    </row>
    <row r="3143" spans="1:7" x14ac:dyDescent="0.3">
      <c r="A3143" s="45">
        <v>43015</v>
      </c>
      <c r="B3143" s="44" t="s">
        <v>25</v>
      </c>
      <c r="C3143" s="92" t="s">
        <v>2416</v>
      </c>
      <c r="D3143" s="43">
        <v>280</v>
      </c>
      <c r="E3143" s="43"/>
      <c r="F3143" s="28">
        <f t="shared" si="50"/>
        <v>-4102</v>
      </c>
      <c r="G3143" s="43"/>
    </row>
    <row r="3144" spans="1:7" x14ac:dyDescent="0.3">
      <c r="A3144" s="45">
        <v>43015</v>
      </c>
      <c r="B3144" s="5" t="s">
        <v>20</v>
      </c>
      <c r="C3144" s="92" t="s">
        <v>2419</v>
      </c>
      <c r="D3144" s="43">
        <v>3760</v>
      </c>
      <c r="E3144" s="43"/>
      <c r="F3144" s="28">
        <f t="shared" si="50"/>
        <v>-7862</v>
      </c>
      <c r="G3144" s="43"/>
    </row>
    <row r="3145" spans="1:7" x14ac:dyDescent="0.3">
      <c r="A3145" s="45">
        <v>43015</v>
      </c>
      <c r="B3145" s="756" t="s">
        <v>2433</v>
      </c>
      <c r="C3145" s="756"/>
      <c r="D3145" s="71"/>
      <c r="E3145" s="72">
        <v>50000</v>
      </c>
      <c r="F3145" s="28">
        <f t="shared" si="50"/>
        <v>42138</v>
      </c>
      <c r="G3145" s="43"/>
    </row>
    <row r="3146" spans="1:7" x14ac:dyDescent="0.3">
      <c r="A3146" s="45">
        <v>43017</v>
      </c>
      <c r="B3146" s="5" t="s">
        <v>2159</v>
      </c>
      <c r="C3146" s="92" t="s">
        <v>2424</v>
      </c>
      <c r="D3146" s="43">
        <v>90</v>
      </c>
      <c r="E3146" s="43"/>
      <c r="F3146" s="28">
        <f t="shared" si="50"/>
        <v>42048</v>
      </c>
      <c r="G3146" s="43"/>
    </row>
    <row r="3147" spans="1:7" x14ac:dyDescent="0.3">
      <c r="A3147" s="45">
        <v>43017</v>
      </c>
      <c r="B3147" s="5" t="s">
        <v>16</v>
      </c>
      <c r="C3147" s="92" t="s">
        <v>2425</v>
      </c>
      <c r="D3147" s="43">
        <v>170</v>
      </c>
      <c r="E3147" s="43"/>
      <c r="F3147" s="28">
        <f t="shared" si="50"/>
        <v>41878</v>
      </c>
      <c r="G3147" s="43"/>
    </row>
    <row r="3148" spans="1:7" x14ac:dyDescent="0.3">
      <c r="A3148" s="45">
        <v>43017</v>
      </c>
      <c r="B3148" s="5" t="s">
        <v>1616</v>
      </c>
      <c r="C3148" s="92" t="s">
        <v>2435</v>
      </c>
      <c r="D3148" s="43">
        <v>600</v>
      </c>
      <c r="E3148" s="43"/>
      <c r="F3148" s="28">
        <f t="shared" si="50"/>
        <v>41278</v>
      </c>
      <c r="G3148" s="43"/>
    </row>
    <row r="3149" spans="1:7" x14ac:dyDescent="0.3">
      <c r="A3149" s="45">
        <v>43017</v>
      </c>
      <c r="B3149" s="5" t="s">
        <v>14</v>
      </c>
      <c r="C3149" s="92" t="s">
        <v>31</v>
      </c>
      <c r="D3149" s="43">
        <v>5000</v>
      </c>
      <c r="E3149" s="43"/>
      <c r="F3149" s="28">
        <f t="shared" si="50"/>
        <v>36278</v>
      </c>
      <c r="G3149" s="43"/>
    </row>
    <row r="3150" spans="1:7" x14ac:dyDescent="0.3">
      <c r="A3150" s="45">
        <v>43018</v>
      </c>
      <c r="B3150" s="5" t="s">
        <v>104</v>
      </c>
      <c r="C3150" s="92" t="s">
        <v>1530</v>
      </c>
      <c r="D3150" s="65">
        <v>6000</v>
      </c>
      <c r="E3150" s="43"/>
      <c r="F3150" s="28">
        <f t="shared" si="50"/>
        <v>30278</v>
      </c>
      <c r="G3150" s="43"/>
    </row>
    <row r="3151" spans="1:7" x14ac:dyDescent="0.3">
      <c r="A3151" s="45">
        <v>43018</v>
      </c>
      <c r="B3151" s="5" t="s">
        <v>18</v>
      </c>
      <c r="C3151" s="92" t="s">
        <v>2428</v>
      </c>
      <c r="D3151" s="65">
        <v>2500</v>
      </c>
      <c r="E3151" s="43"/>
      <c r="F3151" s="28">
        <f t="shared" si="50"/>
        <v>27778</v>
      </c>
      <c r="G3151" s="43"/>
    </row>
    <row r="3152" spans="1:7" x14ac:dyDescent="0.3">
      <c r="A3152" s="45">
        <v>43018</v>
      </c>
      <c r="B3152" s="5" t="s">
        <v>18</v>
      </c>
      <c r="C3152" s="92" t="s">
        <v>1530</v>
      </c>
      <c r="D3152" s="65">
        <v>500</v>
      </c>
      <c r="E3152" s="43"/>
      <c r="F3152" s="28">
        <f t="shared" si="50"/>
        <v>27278</v>
      </c>
      <c r="G3152" s="43"/>
    </row>
    <row r="3153" spans="1:7" x14ac:dyDescent="0.3">
      <c r="A3153" s="45">
        <v>43018</v>
      </c>
      <c r="B3153" s="5" t="s">
        <v>2204</v>
      </c>
      <c r="C3153" s="92" t="s">
        <v>2426</v>
      </c>
      <c r="D3153" s="43">
        <v>200</v>
      </c>
      <c r="E3153" s="43"/>
      <c r="F3153" s="28">
        <f t="shared" si="50"/>
        <v>27078</v>
      </c>
      <c r="G3153" s="43"/>
    </row>
    <row r="3154" spans="1:7" ht="37.5" x14ac:dyDescent="0.3">
      <c r="A3154" s="45">
        <v>43018</v>
      </c>
      <c r="B3154" s="44" t="s">
        <v>25</v>
      </c>
      <c r="C3154" s="124" t="s">
        <v>2427</v>
      </c>
      <c r="D3154" s="28">
        <v>1080</v>
      </c>
      <c r="E3154" s="28"/>
      <c r="F3154" s="28">
        <f t="shared" si="50"/>
        <v>25998</v>
      </c>
      <c r="G3154" s="28"/>
    </row>
    <row r="3155" spans="1:7" x14ac:dyDescent="0.3">
      <c r="A3155" s="45">
        <v>43018</v>
      </c>
      <c r="B3155" s="5" t="s">
        <v>0</v>
      </c>
      <c r="C3155" s="92" t="s">
        <v>31</v>
      </c>
      <c r="D3155" s="43">
        <v>2000</v>
      </c>
      <c r="E3155" s="43"/>
      <c r="F3155" s="28">
        <f t="shared" si="50"/>
        <v>23998</v>
      </c>
      <c r="G3155" s="43"/>
    </row>
    <row r="3156" spans="1:7" x14ac:dyDescent="0.3">
      <c r="A3156" s="45">
        <v>43018</v>
      </c>
      <c r="B3156" s="5" t="s">
        <v>2204</v>
      </c>
      <c r="C3156" s="92" t="s">
        <v>1787</v>
      </c>
      <c r="D3156" s="43">
        <v>1800</v>
      </c>
      <c r="E3156" s="43"/>
      <c r="F3156" s="28">
        <f t="shared" si="50"/>
        <v>22198</v>
      </c>
      <c r="G3156" s="43"/>
    </row>
    <row r="3157" spans="1:7" x14ac:dyDescent="0.3">
      <c r="A3157" s="45">
        <v>43018</v>
      </c>
      <c r="B3157" s="5" t="s">
        <v>84</v>
      </c>
      <c r="C3157" s="92" t="s">
        <v>2429</v>
      </c>
      <c r="D3157" s="43">
        <v>2000</v>
      </c>
      <c r="E3157" s="43"/>
      <c r="F3157" s="28">
        <f t="shared" si="50"/>
        <v>20198</v>
      </c>
      <c r="G3157" s="43"/>
    </row>
    <row r="3158" spans="1:7" x14ac:dyDescent="0.3">
      <c r="A3158" s="45">
        <v>43019</v>
      </c>
      <c r="B3158" s="5" t="s">
        <v>60</v>
      </c>
      <c r="C3158" s="92" t="s">
        <v>2430</v>
      </c>
      <c r="D3158" s="43">
        <v>17500</v>
      </c>
      <c r="E3158" s="43"/>
      <c r="F3158" s="28">
        <f t="shared" si="50"/>
        <v>2698</v>
      </c>
      <c r="G3158" s="43"/>
    </row>
    <row r="3159" spans="1:7" x14ac:dyDescent="0.3">
      <c r="A3159" s="45">
        <v>43019</v>
      </c>
      <c r="B3159" s="61" t="s">
        <v>1837</v>
      </c>
      <c r="C3159" s="132" t="s">
        <v>2431</v>
      </c>
      <c r="D3159" s="62">
        <v>2000</v>
      </c>
      <c r="E3159" s="43"/>
      <c r="F3159" s="28">
        <f t="shared" si="50"/>
        <v>698</v>
      </c>
      <c r="G3159" s="43"/>
    </row>
    <row r="3160" spans="1:7" x14ac:dyDescent="0.3">
      <c r="A3160" s="45">
        <v>43019</v>
      </c>
      <c r="B3160" s="756" t="s">
        <v>2432</v>
      </c>
      <c r="C3160" s="756"/>
      <c r="D3160" s="71"/>
      <c r="E3160" s="72">
        <v>50000</v>
      </c>
      <c r="F3160" s="28">
        <f t="shared" si="50"/>
        <v>50698</v>
      </c>
      <c r="G3160" s="43"/>
    </row>
    <row r="3161" spans="1:7" ht="37.5" x14ac:dyDescent="0.3">
      <c r="A3161" s="45">
        <v>43019</v>
      </c>
      <c r="B3161" s="61" t="s">
        <v>2204</v>
      </c>
      <c r="C3161" s="132" t="s">
        <v>2434</v>
      </c>
      <c r="D3161" s="62">
        <v>15000</v>
      </c>
      <c r="E3161" s="43"/>
      <c r="F3161" s="28">
        <f t="shared" si="50"/>
        <v>35698</v>
      </c>
      <c r="G3161" s="43"/>
    </row>
    <row r="3162" spans="1:7" x14ac:dyDescent="0.3">
      <c r="A3162" s="45">
        <v>43019</v>
      </c>
      <c r="B3162" s="5" t="s">
        <v>16</v>
      </c>
      <c r="C3162" s="92" t="s">
        <v>1530</v>
      </c>
      <c r="D3162" s="43">
        <v>3400</v>
      </c>
      <c r="E3162" s="43"/>
      <c r="F3162" s="28">
        <f t="shared" si="50"/>
        <v>32298</v>
      </c>
      <c r="G3162" s="43"/>
    </row>
    <row r="3163" spans="1:7" x14ac:dyDescent="0.3">
      <c r="A3163" s="45">
        <v>43019</v>
      </c>
      <c r="B3163" s="5" t="s">
        <v>104</v>
      </c>
      <c r="C3163" s="92" t="s">
        <v>2436</v>
      </c>
      <c r="D3163" s="43">
        <v>500</v>
      </c>
      <c r="E3163" s="43"/>
      <c r="F3163" s="28">
        <f t="shared" si="50"/>
        <v>31798</v>
      </c>
      <c r="G3163" s="43"/>
    </row>
    <row r="3164" spans="1:7" x14ac:dyDescent="0.3">
      <c r="A3164" s="45">
        <v>43019</v>
      </c>
      <c r="B3164" s="5" t="s">
        <v>25</v>
      </c>
      <c r="C3164" s="92" t="s">
        <v>2437</v>
      </c>
      <c r="D3164" s="43">
        <v>1050</v>
      </c>
      <c r="E3164" s="43"/>
      <c r="F3164" s="28">
        <f t="shared" si="50"/>
        <v>30748</v>
      </c>
      <c r="G3164" s="43"/>
    </row>
    <row r="3165" spans="1:7" x14ac:dyDescent="0.3">
      <c r="A3165" s="45">
        <v>43019</v>
      </c>
      <c r="B3165" s="61" t="s">
        <v>2318</v>
      </c>
      <c r="C3165" s="132" t="s">
        <v>2013</v>
      </c>
      <c r="D3165" s="62">
        <v>100</v>
      </c>
      <c r="E3165" s="43"/>
      <c r="F3165" s="28">
        <f t="shared" si="50"/>
        <v>30648</v>
      </c>
      <c r="G3165" s="43"/>
    </row>
    <row r="3166" spans="1:7" x14ac:dyDescent="0.3">
      <c r="A3166" s="45">
        <v>43019</v>
      </c>
      <c r="B3166" s="5" t="s">
        <v>2438</v>
      </c>
      <c r="C3166" s="92" t="s">
        <v>2439</v>
      </c>
      <c r="D3166" s="43">
        <v>2000</v>
      </c>
      <c r="E3166" s="43"/>
      <c r="F3166" s="28">
        <f t="shared" si="50"/>
        <v>28648</v>
      </c>
      <c r="G3166" s="43"/>
    </row>
    <row r="3167" spans="1:7" x14ac:dyDescent="0.3">
      <c r="A3167" s="45">
        <v>43019</v>
      </c>
      <c r="B3167" s="5" t="s">
        <v>2103</v>
      </c>
      <c r="C3167" s="92" t="s">
        <v>40</v>
      </c>
      <c r="D3167" s="43">
        <v>500</v>
      </c>
      <c r="E3167" s="43"/>
      <c r="F3167" s="28">
        <f t="shared" si="50"/>
        <v>28148</v>
      </c>
      <c r="G3167" s="43"/>
    </row>
    <row r="3168" spans="1:7" x14ac:dyDescent="0.3">
      <c r="A3168" s="45">
        <v>43019</v>
      </c>
      <c r="B3168" s="5" t="s">
        <v>541</v>
      </c>
      <c r="C3168" s="92" t="s">
        <v>2440</v>
      </c>
      <c r="D3168" s="43">
        <v>500</v>
      </c>
      <c r="E3168" s="43"/>
      <c r="F3168" s="28">
        <f t="shared" si="50"/>
        <v>27648</v>
      </c>
      <c r="G3168" s="43"/>
    </row>
    <row r="3169" spans="1:7" x14ac:dyDescent="0.3">
      <c r="A3169" s="45">
        <v>43019</v>
      </c>
      <c r="B3169" s="5" t="s">
        <v>84</v>
      </c>
      <c r="C3169" s="92" t="s">
        <v>2441</v>
      </c>
      <c r="D3169" s="43">
        <v>7000</v>
      </c>
      <c r="E3169" s="43"/>
      <c r="F3169" s="28">
        <f t="shared" si="50"/>
        <v>20648</v>
      </c>
      <c r="G3169" s="43"/>
    </row>
    <row r="3170" spans="1:7" x14ac:dyDescent="0.3">
      <c r="A3170" s="45">
        <v>43019</v>
      </c>
      <c r="B3170" s="763" t="s">
        <v>2443</v>
      </c>
      <c r="C3170" s="763"/>
      <c r="D3170" s="162"/>
      <c r="E3170" s="163">
        <v>18150</v>
      </c>
      <c r="F3170" s="28">
        <f t="shared" si="50"/>
        <v>38798</v>
      </c>
      <c r="G3170" s="43"/>
    </row>
    <row r="3171" spans="1:7" x14ac:dyDescent="0.3">
      <c r="A3171" s="45">
        <v>43019</v>
      </c>
      <c r="B3171" s="61" t="s">
        <v>57</v>
      </c>
      <c r="C3171" s="132" t="s">
        <v>40</v>
      </c>
      <c r="D3171" s="62">
        <v>22500</v>
      </c>
      <c r="E3171" s="43"/>
      <c r="F3171" s="28">
        <f t="shared" si="50"/>
        <v>16298</v>
      </c>
      <c r="G3171" s="43"/>
    </row>
    <row r="3172" spans="1:7" ht="37.5" x14ac:dyDescent="0.3">
      <c r="A3172" s="45">
        <v>43020</v>
      </c>
      <c r="B3172" s="5" t="s">
        <v>247</v>
      </c>
      <c r="C3172" s="92" t="s">
        <v>2446</v>
      </c>
      <c r="D3172" s="65">
        <v>4000</v>
      </c>
      <c r="E3172" s="43"/>
      <c r="F3172" s="28">
        <f t="shared" si="50"/>
        <v>12298</v>
      </c>
      <c r="G3172" s="43"/>
    </row>
    <row r="3173" spans="1:7" x14ac:dyDescent="0.3">
      <c r="A3173" s="45">
        <v>43020</v>
      </c>
      <c r="B3173" s="5" t="s">
        <v>60</v>
      </c>
      <c r="C3173" s="92" t="s">
        <v>604</v>
      </c>
      <c r="D3173" s="43">
        <v>2000</v>
      </c>
      <c r="E3173" s="43"/>
      <c r="F3173" s="28">
        <f t="shared" si="50"/>
        <v>10298</v>
      </c>
      <c r="G3173" s="43"/>
    </row>
    <row r="3174" spans="1:7" x14ac:dyDescent="0.3">
      <c r="A3174" s="45">
        <v>43020</v>
      </c>
      <c r="B3174" s="756" t="s">
        <v>2445</v>
      </c>
      <c r="C3174" s="756"/>
      <c r="D3174" s="71"/>
      <c r="E3174" s="72">
        <v>3000</v>
      </c>
      <c r="F3174" s="28">
        <f t="shared" si="50"/>
        <v>13298</v>
      </c>
      <c r="G3174" s="43"/>
    </row>
    <row r="3175" spans="1:7" x14ac:dyDescent="0.3">
      <c r="A3175" s="45">
        <v>43020</v>
      </c>
      <c r="B3175" s="5" t="s">
        <v>58</v>
      </c>
      <c r="C3175" s="92" t="s">
        <v>2442</v>
      </c>
      <c r="D3175" s="43">
        <v>2000</v>
      </c>
      <c r="E3175" s="43"/>
      <c r="F3175" s="28">
        <f t="shared" si="50"/>
        <v>11298</v>
      </c>
      <c r="G3175" s="43"/>
    </row>
    <row r="3176" spans="1:7" x14ac:dyDescent="0.3">
      <c r="A3176" s="45">
        <v>43020</v>
      </c>
      <c r="B3176" s="5" t="s">
        <v>2330</v>
      </c>
      <c r="C3176" s="92" t="s">
        <v>2444</v>
      </c>
      <c r="D3176" s="43">
        <v>7160</v>
      </c>
      <c r="E3176" s="43"/>
      <c r="F3176" s="28">
        <f t="shared" si="50"/>
        <v>4138</v>
      </c>
      <c r="G3176" s="43"/>
    </row>
    <row r="3177" spans="1:7" ht="56.25" x14ac:dyDescent="0.3">
      <c r="A3177" s="45">
        <v>43020</v>
      </c>
      <c r="B3177" s="44" t="s">
        <v>25</v>
      </c>
      <c r="C3177" s="124" t="s">
        <v>2447</v>
      </c>
      <c r="D3177" s="28">
        <v>1970</v>
      </c>
      <c r="E3177" s="28"/>
      <c r="F3177" s="28">
        <f t="shared" si="50"/>
        <v>2168</v>
      </c>
      <c r="G3177" s="28"/>
    </row>
    <row r="3178" spans="1:7" x14ac:dyDescent="0.3">
      <c r="A3178" s="45">
        <v>43020</v>
      </c>
      <c r="B3178" s="5" t="s">
        <v>104</v>
      </c>
      <c r="C3178" s="92" t="s">
        <v>31</v>
      </c>
      <c r="D3178" s="43">
        <v>500</v>
      </c>
      <c r="E3178" s="43"/>
      <c r="F3178" s="28">
        <f t="shared" si="50"/>
        <v>1668</v>
      </c>
      <c r="G3178" s="43"/>
    </row>
    <row r="3179" spans="1:7" x14ac:dyDescent="0.3">
      <c r="A3179" s="45">
        <v>43020</v>
      </c>
      <c r="B3179" s="5" t="s">
        <v>58</v>
      </c>
      <c r="C3179" s="5" t="s">
        <v>2449</v>
      </c>
      <c r="D3179" s="65">
        <v>3550</v>
      </c>
      <c r="E3179" s="43"/>
      <c r="F3179" s="28">
        <f>F3178-D3179+E3179</f>
        <v>-1882</v>
      </c>
      <c r="G3179" s="43"/>
    </row>
    <row r="3180" spans="1:7" x14ac:dyDescent="0.3">
      <c r="A3180" s="45">
        <v>43020</v>
      </c>
      <c r="B3180" s="5" t="s">
        <v>2204</v>
      </c>
      <c r="C3180" s="5" t="s">
        <v>2450</v>
      </c>
      <c r="D3180" s="65">
        <v>1000</v>
      </c>
      <c r="E3180" s="43"/>
      <c r="F3180" s="28">
        <f t="shared" si="50"/>
        <v>-2882</v>
      </c>
      <c r="G3180" s="43"/>
    </row>
    <row r="3181" spans="1:7" x14ac:dyDescent="0.3">
      <c r="A3181" s="45">
        <v>43021</v>
      </c>
      <c r="B3181" s="5" t="s">
        <v>2350</v>
      </c>
      <c r="C3181" s="5" t="s">
        <v>2013</v>
      </c>
      <c r="D3181" s="43">
        <v>50</v>
      </c>
      <c r="E3181" s="43"/>
      <c r="F3181" s="28">
        <f t="shared" si="50"/>
        <v>-2932</v>
      </c>
      <c r="G3181" s="43"/>
    </row>
    <row r="3182" spans="1:7" x14ac:dyDescent="0.3">
      <c r="A3182" s="45">
        <v>43021</v>
      </c>
      <c r="B3182" s="5" t="s">
        <v>14</v>
      </c>
      <c r="C3182" s="5" t="s">
        <v>640</v>
      </c>
      <c r="D3182" s="43">
        <v>1000</v>
      </c>
      <c r="E3182" s="43"/>
      <c r="F3182" s="28">
        <f t="shared" si="50"/>
        <v>-3932</v>
      </c>
      <c r="G3182" s="43"/>
    </row>
    <row r="3183" spans="1:7" x14ac:dyDescent="0.3">
      <c r="A3183" s="45">
        <v>43021</v>
      </c>
      <c r="B3183" s="5" t="s">
        <v>2204</v>
      </c>
      <c r="C3183" s="5" t="s">
        <v>2451</v>
      </c>
      <c r="D3183" s="43">
        <v>3060</v>
      </c>
      <c r="E3183" s="43"/>
      <c r="F3183" s="28">
        <f t="shared" si="50"/>
        <v>-6992</v>
      </c>
      <c r="G3183" s="43"/>
    </row>
    <row r="3184" spans="1:7" x14ac:dyDescent="0.3">
      <c r="A3184" s="45">
        <v>43021</v>
      </c>
      <c r="B3184" s="5" t="s">
        <v>84</v>
      </c>
      <c r="C3184" s="5" t="s">
        <v>2452</v>
      </c>
      <c r="D3184" s="43">
        <v>5000</v>
      </c>
      <c r="E3184" s="43"/>
      <c r="F3184" s="28">
        <f t="shared" si="50"/>
        <v>-11992</v>
      </c>
      <c r="G3184" s="43"/>
    </row>
    <row r="3185" spans="1:8" x14ac:dyDescent="0.3">
      <c r="A3185" s="45">
        <v>43022</v>
      </c>
      <c r="B3185" s="5" t="s">
        <v>60</v>
      </c>
      <c r="C3185" s="5" t="s">
        <v>2453</v>
      </c>
      <c r="D3185" s="43">
        <v>1000</v>
      </c>
      <c r="E3185" s="43"/>
      <c r="F3185" s="28">
        <f t="shared" si="50"/>
        <v>-12992</v>
      </c>
      <c r="G3185" s="43"/>
    </row>
    <row r="3186" spans="1:8" x14ac:dyDescent="0.3">
      <c r="A3186" s="45">
        <v>43022</v>
      </c>
      <c r="B3186" s="756" t="s">
        <v>2445</v>
      </c>
      <c r="C3186" s="756"/>
      <c r="D3186" s="71"/>
      <c r="E3186" s="72">
        <v>8000</v>
      </c>
      <c r="F3186" s="28">
        <f t="shared" si="50"/>
        <v>-4992</v>
      </c>
      <c r="G3186" s="43"/>
    </row>
    <row r="3187" spans="1:8" x14ac:dyDescent="0.3">
      <c r="A3187" s="45">
        <v>43022</v>
      </c>
      <c r="B3187" s="5" t="s">
        <v>2448</v>
      </c>
      <c r="C3187" s="5" t="s">
        <v>40</v>
      </c>
      <c r="D3187" s="43">
        <v>18000</v>
      </c>
      <c r="E3187" s="43"/>
      <c r="F3187" s="28">
        <f t="shared" si="50"/>
        <v>-22992</v>
      </c>
      <c r="G3187" s="43"/>
    </row>
    <row r="3188" spans="1:8" ht="37.5" x14ac:dyDescent="0.3">
      <c r="A3188" s="45">
        <v>43022</v>
      </c>
      <c r="B3188" s="5" t="s">
        <v>25</v>
      </c>
      <c r="C3188" s="92" t="s">
        <v>2454</v>
      </c>
      <c r="D3188" s="43">
        <v>1315</v>
      </c>
      <c r="E3188" s="43"/>
      <c r="F3188" s="28">
        <f t="shared" si="50"/>
        <v>-24307</v>
      </c>
      <c r="G3188" s="43"/>
    </row>
    <row r="3189" spans="1:8" x14ac:dyDescent="0.3">
      <c r="A3189" s="45">
        <v>43024</v>
      </c>
      <c r="B3189" s="5" t="s">
        <v>60</v>
      </c>
      <c r="C3189" s="5" t="s">
        <v>294</v>
      </c>
      <c r="D3189" s="43">
        <v>500</v>
      </c>
      <c r="E3189" s="43"/>
      <c r="F3189" s="28">
        <f t="shared" si="50"/>
        <v>-24807</v>
      </c>
      <c r="G3189" s="43"/>
      <c r="H3189" s="164"/>
    </row>
    <row r="3190" spans="1:8" x14ac:dyDescent="0.3">
      <c r="A3190" s="45">
        <v>43024</v>
      </c>
      <c r="B3190" s="756" t="s">
        <v>2432</v>
      </c>
      <c r="C3190" s="756"/>
      <c r="D3190" s="71"/>
      <c r="E3190" s="72">
        <v>50000</v>
      </c>
      <c r="F3190" s="28">
        <f t="shared" si="50"/>
        <v>25193</v>
      </c>
      <c r="G3190" s="43"/>
    </row>
    <row r="3191" spans="1:8" x14ac:dyDescent="0.3">
      <c r="A3191" s="45">
        <v>43024</v>
      </c>
      <c r="B3191" s="5" t="s">
        <v>1837</v>
      </c>
      <c r="C3191" s="5" t="s">
        <v>2455</v>
      </c>
      <c r="D3191" s="43">
        <v>2000</v>
      </c>
      <c r="E3191" s="43"/>
      <c r="F3191" s="28">
        <f t="shared" si="50"/>
        <v>23193</v>
      </c>
      <c r="G3191" s="43"/>
    </row>
    <row r="3192" spans="1:8" x14ac:dyDescent="0.3">
      <c r="A3192" s="45">
        <v>43024</v>
      </c>
      <c r="B3192" s="5" t="s">
        <v>60</v>
      </c>
      <c r="C3192" s="5" t="s">
        <v>31</v>
      </c>
      <c r="D3192" s="43">
        <v>1000</v>
      </c>
      <c r="E3192" s="43"/>
      <c r="F3192" s="28">
        <f t="shared" si="50"/>
        <v>22193</v>
      </c>
      <c r="G3192" s="28"/>
    </row>
    <row r="3193" spans="1:8" ht="56.25" x14ac:dyDescent="0.3">
      <c r="A3193" s="45">
        <v>43024</v>
      </c>
      <c r="B3193" s="44" t="s">
        <v>58</v>
      </c>
      <c r="C3193" s="124" t="s">
        <v>2456</v>
      </c>
      <c r="D3193" s="28">
        <v>300</v>
      </c>
      <c r="E3193" s="28"/>
      <c r="F3193" s="28">
        <f t="shared" si="50"/>
        <v>21893</v>
      </c>
      <c r="G3193" s="28"/>
    </row>
    <row r="3194" spans="1:8" x14ac:dyDescent="0.3">
      <c r="A3194" s="45">
        <v>43024</v>
      </c>
      <c r="B3194" s="44" t="s">
        <v>14</v>
      </c>
      <c r="C3194" s="44" t="s">
        <v>31</v>
      </c>
      <c r="D3194" s="48">
        <v>5000</v>
      </c>
      <c r="E3194" s="28"/>
      <c r="F3194" s="28">
        <f t="shared" si="50"/>
        <v>16893</v>
      </c>
      <c r="G3194" s="28"/>
    </row>
    <row r="3195" spans="1:8" x14ac:dyDescent="0.3">
      <c r="A3195" s="45">
        <v>43024</v>
      </c>
      <c r="B3195" s="44" t="s">
        <v>2096</v>
      </c>
      <c r="C3195" s="44" t="s">
        <v>31</v>
      </c>
      <c r="D3195" s="28">
        <v>10000</v>
      </c>
      <c r="E3195" s="28"/>
      <c r="F3195" s="28">
        <f t="shared" si="50"/>
        <v>6893</v>
      </c>
      <c r="G3195" s="28"/>
    </row>
    <row r="3196" spans="1:8" ht="37.5" x14ac:dyDescent="0.3">
      <c r="A3196" s="45">
        <v>43024</v>
      </c>
      <c r="B3196" s="44" t="s">
        <v>1787</v>
      </c>
      <c r="C3196" s="124" t="s">
        <v>2457</v>
      </c>
      <c r="D3196" s="28">
        <v>1200</v>
      </c>
      <c r="E3196" s="28"/>
      <c r="F3196" s="28">
        <f t="shared" si="50"/>
        <v>5693</v>
      </c>
      <c r="G3196" s="28"/>
    </row>
    <row r="3197" spans="1:8" x14ac:dyDescent="0.3">
      <c r="A3197" s="45">
        <v>43024</v>
      </c>
      <c r="B3197" s="44" t="s">
        <v>54</v>
      </c>
      <c r="C3197" s="44" t="s">
        <v>2458</v>
      </c>
      <c r="D3197" s="28">
        <v>8000</v>
      </c>
      <c r="E3197" s="28"/>
      <c r="F3197" s="28">
        <f t="shared" si="50"/>
        <v>-2307</v>
      </c>
      <c r="G3197" s="28"/>
    </row>
    <row r="3198" spans="1:8" x14ac:dyDescent="0.3">
      <c r="A3198" s="45">
        <v>43025</v>
      </c>
      <c r="B3198" s="44" t="s">
        <v>14</v>
      </c>
      <c r="C3198" s="44" t="s">
        <v>31</v>
      </c>
      <c r="D3198" s="48">
        <v>9000</v>
      </c>
      <c r="E3198" s="28"/>
      <c r="F3198" s="28">
        <f t="shared" si="50"/>
        <v>-11307</v>
      </c>
      <c r="G3198" s="28"/>
    </row>
    <row r="3199" spans="1:8" x14ac:dyDescent="0.3">
      <c r="A3199" s="45">
        <v>43025</v>
      </c>
      <c r="B3199" s="44" t="s">
        <v>2103</v>
      </c>
      <c r="C3199" s="44" t="s">
        <v>2459</v>
      </c>
      <c r="D3199" s="28">
        <v>100</v>
      </c>
      <c r="E3199" s="28"/>
      <c r="F3199" s="28">
        <f t="shared" si="50"/>
        <v>-11407</v>
      </c>
      <c r="G3199" s="28"/>
    </row>
    <row r="3200" spans="1:8" x14ac:dyDescent="0.3">
      <c r="A3200" s="45">
        <v>43025</v>
      </c>
      <c r="B3200" s="44" t="s">
        <v>84</v>
      </c>
      <c r="C3200" s="44" t="s">
        <v>2460</v>
      </c>
      <c r="D3200" s="28">
        <v>1000</v>
      </c>
      <c r="E3200" s="28"/>
      <c r="F3200" s="28">
        <f t="shared" si="50"/>
        <v>-12407</v>
      </c>
      <c r="G3200" s="28"/>
    </row>
    <row r="3201" spans="1:7" x14ac:dyDescent="0.3">
      <c r="A3201" s="45">
        <v>43026</v>
      </c>
      <c r="B3201" s="756" t="s">
        <v>2432</v>
      </c>
      <c r="C3201" s="756"/>
      <c r="D3201" s="71"/>
      <c r="E3201" s="72">
        <v>50000</v>
      </c>
      <c r="F3201" s="28">
        <f t="shared" si="50"/>
        <v>37593</v>
      </c>
      <c r="G3201" s="28"/>
    </row>
    <row r="3202" spans="1:7" x14ac:dyDescent="0.3">
      <c r="A3202" s="45">
        <v>43026</v>
      </c>
      <c r="B3202" s="44" t="s">
        <v>1787</v>
      </c>
      <c r="C3202" s="44" t="s">
        <v>2461</v>
      </c>
      <c r="D3202" s="28">
        <v>700</v>
      </c>
      <c r="E3202" s="28"/>
      <c r="F3202" s="28">
        <f t="shared" si="50"/>
        <v>36893</v>
      </c>
      <c r="G3202" s="28"/>
    </row>
    <row r="3203" spans="1:7" x14ac:dyDescent="0.3">
      <c r="A3203" s="45">
        <v>43026</v>
      </c>
      <c r="B3203" s="44" t="s">
        <v>25</v>
      </c>
      <c r="C3203" s="44" t="s">
        <v>2462</v>
      </c>
      <c r="D3203" s="28">
        <v>700</v>
      </c>
      <c r="E3203" s="28"/>
      <c r="F3203" s="28">
        <f t="shared" si="50"/>
        <v>36193</v>
      </c>
      <c r="G3203" s="28"/>
    </row>
    <row r="3204" spans="1:7" ht="37.5" x14ac:dyDescent="0.3">
      <c r="A3204" s="45">
        <v>43026</v>
      </c>
      <c r="B3204" s="44" t="s">
        <v>58</v>
      </c>
      <c r="C3204" s="124" t="s">
        <v>2463</v>
      </c>
      <c r="D3204" s="48">
        <v>400</v>
      </c>
      <c r="E3204" s="28"/>
      <c r="F3204" s="28">
        <f t="shared" si="50"/>
        <v>35793</v>
      </c>
      <c r="G3204" s="28"/>
    </row>
    <row r="3205" spans="1:7" ht="56.25" x14ac:dyDescent="0.3">
      <c r="A3205" s="45">
        <v>43026</v>
      </c>
      <c r="B3205" s="44" t="s">
        <v>25</v>
      </c>
      <c r="C3205" s="124" t="s">
        <v>2464</v>
      </c>
      <c r="D3205" s="28">
        <v>2900</v>
      </c>
      <c r="E3205" s="28"/>
      <c r="F3205" s="28">
        <f t="shared" ref="F3205:F3255" si="51">F3204-D3205+E3205</f>
        <v>32893</v>
      </c>
      <c r="G3205" s="28"/>
    </row>
    <row r="3206" spans="1:7" ht="37.5" x14ac:dyDescent="0.3">
      <c r="A3206" s="45">
        <v>43026</v>
      </c>
      <c r="B3206" s="5" t="s">
        <v>2224</v>
      </c>
      <c r="C3206" s="92" t="s">
        <v>2465</v>
      </c>
      <c r="D3206" s="43">
        <v>500</v>
      </c>
      <c r="E3206" s="43"/>
      <c r="F3206" s="28">
        <f t="shared" si="51"/>
        <v>32393</v>
      </c>
      <c r="G3206" s="28"/>
    </row>
    <row r="3207" spans="1:7" x14ac:dyDescent="0.3">
      <c r="A3207" s="45">
        <v>43026</v>
      </c>
      <c r="B3207" s="5" t="s">
        <v>2125</v>
      </c>
      <c r="C3207" s="5" t="s">
        <v>2466</v>
      </c>
      <c r="D3207" s="43">
        <v>5000</v>
      </c>
      <c r="E3207" s="43"/>
      <c r="F3207" s="28">
        <f t="shared" si="51"/>
        <v>27393</v>
      </c>
      <c r="G3207" s="43"/>
    </row>
    <row r="3208" spans="1:7" x14ac:dyDescent="0.3">
      <c r="A3208" s="45">
        <v>43026</v>
      </c>
      <c r="B3208" s="61" t="s">
        <v>2159</v>
      </c>
      <c r="C3208" s="61" t="s">
        <v>2467</v>
      </c>
      <c r="D3208" s="62">
        <v>1000</v>
      </c>
      <c r="E3208" s="43"/>
      <c r="F3208" s="28">
        <f t="shared" si="51"/>
        <v>26393</v>
      </c>
      <c r="G3208" s="43"/>
    </row>
    <row r="3209" spans="1:7" x14ac:dyDescent="0.3">
      <c r="A3209" s="45">
        <v>43026</v>
      </c>
      <c r="B3209" s="5" t="s">
        <v>84</v>
      </c>
      <c r="C3209" s="5" t="s">
        <v>2468</v>
      </c>
      <c r="D3209" s="43">
        <v>10000</v>
      </c>
      <c r="E3209" s="43"/>
      <c r="F3209" s="28">
        <f t="shared" si="51"/>
        <v>16393</v>
      </c>
      <c r="G3209" s="43"/>
    </row>
    <row r="3210" spans="1:7" x14ac:dyDescent="0.3">
      <c r="A3210" s="45">
        <v>43027</v>
      </c>
      <c r="B3210" s="5" t="s">
        <v>1616</v>
      </c>
      <c r="C3210" s="5" t="s">
        <v>2470</v>
      </c>
      <c r="D3210" s="43">
        <v>18150</v>
      </c>
      <c r="E3210" s="43"/>
      <c r="F3210" s="28">
        <f t="shared" si="51"/>
        <v>-1757</v>
      </c>
      <c r="G3210" s="43"/>
    </row>
    <row r="3211" spans="1:7" x14ac:dyDescent="0.3">
      <c r="A3211" s="45">
        <v>43027</v>
      </c>
      <c r="B3211" s="5" t="s">
        <v>247</v>
      </c>
      <c r="C3211" s="5" t="s">
        <v>2469</v>
      </c>
      <c r="D3211" s="43">
        <v>1860</v>
      </c>
      <c r="E3211" s="43"/>
      <c r="F3211" s="28">
        <f t="shared" si="51"/>
        <v>-3617</v>
      </c>
      <c r="G3211" s="43"/>
    </row>
    <row r="3212" spans="1:7" x14ac:dyDescent="0.3">
      <c r="A3212" s="45">
        <v>43027</v>
      </c>
      <c r="B3212" s="5" t="s">
        <v>25</v>
      </c>
      <c r="C3212" s="5" t="s">
        <v>2283</v>
      </c>
      <c r="D3212" s="43">
        <v>140</v>
      </c>
      <c r="E3212" s="43"/>
      <c r="F3212" s="28">
        <f t="shared" si="51"/>
        <v>-3757</v>
      </c>
      <c r="G3212" s="43"/>
    </row>
    <row r="3213" spans="1:7" x14ac:dyDescent="0.3">
      <c r="A3213" s="45">
        <v>43027</v>
      </c>
      <c r="B3213" s="756" t="s">
        <v>2471</v>
      </c>
      <c r="C3213" s="756"/>
      <c r="D3213" s="71"/>
      <c r="E3213" s="72">
        <v>100000</v>
      </c>
      <c r="F3213" s="28">
        <v>100000</v>
      </c>
      <c r="G3213" s="43"/>
    </row>
    <row r="3214" spans="1:7" x14ac:dyDescent="0.3">
      <c r="A3214" s="45">
        <v>43027</v>
      </c>
      <c r="B3214" s="5" t="s">
        <v>16</v>
      </c>
      <c r="C3214" s="5" t="s">
        <v>31</v>
      </c>
      <c r="D3214" s="43">
        <v>30000</v>
      </c>
      <c r="E3214" s="43"/>
      <c r="F3214" s="28">
        <f t="shared" si="51"/>
        <v>70000</v>
      </c>
      <c r="G3214" s="43"/>
    </row>
    <row r="3215" spans="1:7" x14ac:dyDescent="0.3">
      <c r="A3215" s="45">
        <v>43027</v>
      </c>
      <c r="B3215" s="5" t="s">
        <v>2330</v>
      </c>
      <c r="C3215" s="5" t="s">
        <v>2472</v>
      </c>
      <c r="D3215" s="43">
        <v>5000</v>
      </c>
      <c r="E3215" s="43"/>
      <c r="F3215" s="28">
        <f t="shared" si="51"/>
        <v>65000</v>
      </c>
      <c r="G3215" s="43"/>
    </row>
    <row r="3216" spans="1:7" ht="37.5" x14ac:dyDescent="0.3">
      <c r="A3216" s="45">
        <v>43027</v>
      </c>
      <c r="B3216" s="5" t="s">
        <v>25</v>
      </c>
      <c r="C3216" s="92" t="s">
        <v>2473</v>
      </c>
      <c r="D3216" s="43">
        <v>2050</v>
      </c>
      <c r="E3216" s="43"/>
      <c r="F3216" s="28">
        <f t="shared" si="51"/>
        <v>62950</v>
      </c>
      <c r="G3216" s="43"/>
    </row>
    <row r="3217" spans="1:7" ht="37.5" x14ac:dyDescent="0.3">
      <c r="A3217" s="45">
        <v>43027</v>
      </c>
      <c r="B3217" s="5" t="s">
        <v>56</v>
      </c>
      <c r="C3217" s="92" t="s">
        <v>2609</v>
      </c>
      <c r="D3217" s="65">
        <v>680</v>
      </c>
      <c r="E3217" s="43"/>
      <c r="F3217" s="28">
        <f t="shared" si="51"/>
        <v>62270</v>
      </c>
      <c r="G3217" s="43"/>
    </row>
    <row r="3218" spans="1:7" x14ac:dyDescent="0.3">
      <c r="A3218" s="45">
        <v>43027</v>
      </c>
      <c r="B3218" s="61" t="s">
        <v>56</v>
      </c>
      <c r="C3218" s="61" t="s">
        <v>2608</v>
      </c>
      <c r="D3218" s="62">
        <v>1000</v>
      </c>
      <c r="E3218" s="43"/>
      <c r="F3218" s="28">
        <f t="shared" si="51"/>
        <v>61270</v>
      </c>
      <c r="G3218" s="43"/>
    </row>
    <row r="3219" spans="1:7" x14ac:dyDescent="0.3">
      <c r="A3219" s="45">
        <v>43027</v>
      </c>
      <c r="B3219" s="5" t="s">
        <v>2204</v>
      </c>
      <c r="C3219" s="5" t="s">
        <v>2480</v>
      </c>
      <c r="D3219" s="43">
        <v>13000</v>
      </c>
      <c r="E3219" s="43"/>
      <c r="F3219" s="28">
        <f t="shared" si="51"/>
        <v>48270</v>
      </c>
      <c r="G3219" s="43"/>
    </row>
    <row r="3220" spans="1:7" x14ac:dyDescent="0.3">
      <c r="A3220" s="45">
        <v>43027</v>
      </c>
      <c r="B3220" s="5" t="s">
        <v>1343</v>
      </c>
      <c r="C3220" s="5" t="s">
        <v>2474</v>
      </c>
      <c r="D3220" s="43">
        <v>1000</v>
      </c>
      <c r="E3220" s="43"/>
      <c r="F3220" s="28">
        <f t="shared" si="51"/>
        <v>47270</v>
      </c>
      <c r="G3220" s="43"/>
    </row>
    <row r="3221" spans="1:7" x14ac:dyDescent="0.3">
      <c r="A3221" s="45">
        <v>43027</v>
      </c>
      <c r="B3221" s="5" t="s">
        <v>54</v>
      </c>
      <c r="C3221" s="5" t="s">
        <v>2475</v>
      </c>
      <c r="D3221" s="43">
        <v>3000</v>
      </c>
      <c r="E3221" s="43"/>
      <c r="F3221" s="28">
        <f t="shared" si="51"/>
        <v>44270</v>
      </c>
      <c r="G3221" s="43"/>
    </row>
    <row r="3222" spans="1:7" x14ac:dyDescent="0.3">
      <c r="A3222" s="45">
        <v>43027</v>
      </c>
      <c r="B3222" s="5" t="s">
        <v>14</v>
      </c>
      <c r="C3222" s="5" t="s">
        <v>2481</v>
      </c>
      <c r="D3222" s="65">
        <v>25000</v>
      </c>
      <c r="E3222" s="43"/>
      <c r="F3222" s="28">
        <f t="shared" si="51"/>
        <v>19270</v>
      </c>
      <c r="G3222" s="43"/>
    </row>
    <row r="3223" spans="1:7" x14ac:dyDescent="0.3">
      <c r="A3223" s="45">
        <v>43027</v>
      </c>
      <c r="B3223" s="5" t="s">
        <v>84</v>
      </c>
      <c r="C3223" s="5" t="s">
        <v>2476</v>
      </c>
      <c r="D3223" s="43">
        <v>500</v>
      </c>
      <c r="E3223" s="43"/>
      <c r="F3223" s="28">
        <f t="shared" si="51"/>
        <v>18770</v>
      </c>
      <c r="G3223" s="43"/>
    </row>
    <row r="3224" spans="1:7" ht="37.5" x14ac:dyDescent="0.3">
      <c r="A3224" s="45">
        <v>43028</v>
      </c>
      <c r="B3224" s="5" t="s">
        <v>58</v>
      </c>
      <c r="C3224" s="92" t="s">
        <v>2479</v>
      </c>
      <c r="D3224" s="65">
        <v>600</v>
      </c>
      <c r="E3224" s="43"/>
      <c r="F3224" s="28">
        <f t="shared" si="51"/>
        <v>18170</v>
      </c>
      <c r="G3224" s="43"/>
    </row>
    <row r="3225" spans="1:7" x14ac:dyDescent="0.3">
      <c r="A3225" s="45">
        <v>43028</v>
      </c>
      <c r="B3225" s="5" t="s">
        <v>25</v>
      </c>
      <c r="C3225" s="5" t="s">
        <v>2477</v>
      </c>
      <c r="D3225" s="43">
        <v>120</v>
      </c>
      <c r="E3225" s="43"/>
      <c r="F3225" s="28">
        <f t="shared" si="51"/>
        <v>18050</v>
      </c>
      <c r="G3225" s="43"/>
    </row>
    <row r="3226" spans="1:7" x14ac:dyDescent="0.3">
      <c r="A3226" s="45">
        <v>43028</v>
      </c>
      <c r="B3226" s="5" t="s">
        <v>60</v>
      </c>
      <c r="C3226" s="5" t="s">
        <v>2478</v>
      </c>
      <c r="D3226" s="43">
        <v>200</v>
      </c>
      <c r="E3226" s="43"/>
      <c r="F3226" s="28">
        <f t="shared" si="51"/>
        <v>17850</v>
      </c>
      <c r="G3226" s="43"/>
    </row>
    <row r="3227" spans="1:7" x14ac:dyDescent="0.3">
      <c r="A3227" s="45">
        <v>43028</v>
      </c>
      <c r="B3227" s="5" t="s">
        <v>88</v>
      </c>
      <c r="C3227" s="5" t="s">
        <v>2499</v>
      </c>
      <c r="D3227" s="65">
        <v>7000</v>
      </c>
      <c r="E3227" s="43"/>
      <c r="F3227" s="28">
        <f t="shared" si="51"/>
        <v>10850</v>
      </c>
      <c r="G3227" s="43"/>
    </row>
    <row r="3228" spans="1:7" x14ac:dyDescent="0.3">
      <c r="A3228" s="45">
        <v>43028</v>
      </c>
      <c r="B3228" s="5" t="s">
        <v>16</v>
      </c>
      <c r="C3228" s="5" t="s">
        <v>2499</v>
      </c>
      <c r="D3228" s="65">
        <v>6000</v>
      </c>
      <c r="E3228" s="43"/>
      <c r="F3228" s="28">
        <f t="shared" si="51"/>
        <v>4850</v>
      </c>
      <c r="G3228" s="43"/>
    </row>
    <row r="3229" spans="1:7" x14ac:dyDescent="0.3">
      <c r="A3229" s="45">
        <v>43028</v>
      </c>
      <c r="B3229" s="5" t="s">
        <v>2482</v>
      </c>
      <c r="C3229" s="5" t="s">
        <v>2483</v>
      </c>
      <c r="D3229" s="43">
        <v>2000</v>
      </c>
      <c r="E3229" s="43"/>
      <c r="F3229" s="28">
        <f t="shared" si="51"/>
        <v>2850</v>
      </c>
      <c r="G3229" s="43"/>
    </row>
    <row r="3230" spans="1:7" x14ac:dyDescent="0.3">
      <c r="A3230" s="45">
        <v>43028</v>
      </c>
      <c r="B3230" s="5" t="s">
        <v>60</v>
      </c>
      <c r="C3230" s="5" t="s">
        <v>31</v>
      </c>
      <c r="D3230" s="43">
        <v>500</v>
      </c>
      <c r="E3230" s="43"/>
      <c r="F3230" s="28">
        <f t="shared" si="51"/>
        <v>2350</v>
      </c>
      <c r="G3230" s="43"/>
    </row>
    <row r="3231" spans="1:7" x14ac:dyDescent="0.3">
      <c r="A3231" s="45">
        <v>43028</v>
      </c>
      <c r="B3231" s="5" t="s">
        <v>25</v>
      </c>
      <c r="C3231" s="5" t="s">
        <v>2484</v>
      </c>
      <c r="D3231" s="43">
        <v>100</v>
      </c>
      <c r="E3231" s="43"/>
      <c r="F3231" s="28">
        <f t="shared" si="51"/>
        <v>2250</v>
      </c>
      <c r="G3231" s="43"/>
    </row>
    <row r="3232" spans="1:7" ht="56.25" x14ac:dyDescent="0.3">
      <c r="A3232" s="45">
        <v>43031</v>
      </c>
      <c r="B3232" s="5" t="s">
        <v>25</v>
      </c>
      <c r="C3232" s="92" t="s">
        <v>2485</v>
      </c>
      <c r="D3232" s="43">
        <v>2460</v>
      </c>
      <c r="E3232" s="43"/>
      <c r="F3232" s="28">
        <f t="shared" si="51"/>
        <v>-210</v>
      </c>
      <c r="G3232" s="43"/>
    </row>
    <row r="3233" spans="1:7" x14ac:dyDescent="0.3">
      <c r="A3233" s="45"/>
      <c r="B3233" s="756" t="s">
        <v>2489</v>
      </c>
      <c r="C3233" s="756"/>
      <c r="D3233" s="71"/>
      <c r="E3233" s="72">
        <v>100000</v>
      </c>
      <c r="F3233" s="28">
        <f t="shared" si="51"/>
        <v>99790</v>
      </c>
      <c r="G3233" s="43"/>
    </row>
    <row r="3234" spans="1:7" x14ac:dyDescent="0.3">
      <c r="A3234" s="45">
        <v>43031</v>
      </c>
      <c r="B3234" s="5" t="s">
        <v>25</v>
      </c>
      <c r="C3234" s="5" t="s">
        <v>2486</v>
      </c>
      <c r="D3234" s="43">
        <v>220</v>
      </c>
      <c r="E3234" s="43"/>
      <c r="F3234" s="28">
        <f t="shared" si="51"/>
        <v>99570</v>
      </c>
      <c r="G3234" s="43"/>
    </row>
    <row r="3235" spans="1:7" x14ac:dyDescent="0.3">
      <c r="A3235" s="45">
        <v>43031</v>
      </c>
      <c r="B3235" s="5" t="s">
        <v>60</v>
      </c>
      <c r="C3235" s="5" t="s">
        <v>31</v>
      </c>
      <c r="D3235" s="65">
        <v>1000</v>
      </c>
      <c r="E3235" s="43"/>
      <c r="F3235" s="28">
        <f t="shared" si="51"/>
        <v>98570</v>
      </c>
      <c r="G3235" s="43"/>
    </row>
    <row r="3236" spans="1:7" x14ac:dyDescent="0.3">
      <c r="A3236" s="45">
        <v>43031</v>
      </c>
      <c r="B3236" s="5" t="s">
        <v>1074</v>
      </c>
      <c r="C3236" s="5" t="s">
        <v>2487</v>
      </c>
      <c r="D3236" s="43">
        <f>24303+16458</f>
        <v>40761</v>
      </c>
      <c r="E3236" s="43"/>
      <c r="F3236" s="28">
        <f t="shared" si="51"/>
        <v>57809</v>
      </c>
      <c r="G3236" s="43"/>
    </row>
    <row r="3237" spans="1:7" x14ac:dyDescent="0.3">
      <c r="A3237" s="45">
        <v>43031</v>
      </c>
      <c r="B3237" s="5" t="s">
        <v>541</v>
      </c>
      <c r="C3237" s="5" t="s">
        <v>2488</v>
      </c>
      <c r="D3237" s="43">
        <v>37632</v>
      </c>
      <c r="E3237" s="43"/>
      <c r="F3237" s="28">
        <f t="shared" si="51"/>
        <v>20177</v>
      </c>
      <c r="G3237" s="43"/>
    </row>
    <row r="3238" spans="1:7" x14ac:dyDescent="0.3">
      <c r="A3238" s="45">
        <v>43031</v>
      </c>
      <c r="B3238" s="5" t="s">
        <v>25</v>
      </c>
      <c r="C3238" s="5" t="s">
        <v>2490</v>
      </c>
      <c r="D3238" s="65">
        <v>88</v>
      </c>
      <c r="E3238" s="43"/>
      <c r="F3238" s="28">
        <f t="shared" si="51"/>
        <v>20089</v>
      </c>
      <c r="G3238" s="43"/>
    </row>
    <row r="3239" spans="1:7" ht="37.5" x14ac:dyDescent="0.3">
      <c r="A3239" s="45">
        <v>43031</v>
      </c>
      <c r="B3239" s="44" t="s">
        <v>58</v>
      </c>
      <c r="C3239" s="124" t="s">
        <v>2491</v>
      </c>
      <c r="D3239" s="28">
        <v>460</v>
      </c>
      <c r="E3239" s="28"/>
      <c r="F3239" s="28">
        <f t="shared" si="51"/>
        <v>19629</v>
      </c>
      <c r="G3239" s="28"/>
    </row>
    <row r="3240" spans="1:7" x14ac:dyDescent="0.3">
      <c r="A3240" s="45">
        <v>43031</v>
      </c>
      <c r="B3240" s="5" t="s">
        <v>1343</v>
      </c>
      <c r="C3240" s="5" t="s">
        <v>294</v>
      </c>
      <c r="D3240" s="43">
        <v>5000</v>
      </c>
      <c r="E3240" s="43"/>
      <c r="F3240" s="28">
        <f t="shared" si="51"/>
        <v>14629</v>
      </c>
      <c r="G3240" s="43"/>
    </row>
    <row r="3241" spans="1:7" x14ac:dyDescent="0.3">
      <c r="A3241" s="45">
        <v>43031</v>
      </c>
      <c r="B3241" s="5" t="s">
        <v>2346</v>
      </c>
      <c r="C3241" s="5" t="s">
        <v>2492</v>
      </c>
      <c r="D3241" s="43">
        <v>2500</v>
      </c>
      <c r="E3241" s="43"/>
      <c r="F3241" s="28">
        <f t="shared" si="51"/>
        <v>12129</v>
      </c>
      <c r="G3241" s="43"/>
    </row>
    <row r="3242" spans="1:7" x14ac:dyDescent="0.3">
      <c r="A3242" s="45">
        <v>43031</v>
      </c>
      <c r="B3242" s="5" t="s">
        <v>0</v>
      </c>
      <c r="C3242" s="5" t="s">
        <v>31</v>
      </c>
      <c r="D3242" s="43">
        <v>1000</v>
      </c>
      <c r="E3242" s="43"/>
      <c r="F3242" s="28">
        <f t="shared" si="51"/>
        <v>11129</v>
      </c>
      <c r="G3242" s="43"/>
    </row>
    <row r="3243" spans="1:7" x14ac:dyDescent="0.3">
      <c r="A3243" s="45">
        <v>43032</v>
      </c>
      <c r="B3243" s="5" t="s">
        <v>16</v>
      </c>
      <c r="C3243" s="5" t="s">
        <v>294</v>
      </c>
      <c r="D3243" s="43">
        <v>4000</v>
      </c>
      <c r="E3243" s="43"/>
      <c r="F3243" s="28">
        <f t="shared" si="51"/>
        <v>7129</v>
      </c>
      <c r="G3243" s="43"/>
    </row>
    <row r="3244" spans="1:7" x14ac:dyDescent="0.3">
      <c r="A3244" s="45">
        <v>43032</v>
      </c>
      <c r="B3244" s="5" t="s">
        <v>2103</v>
      </c>
      <c r="C3244" s="5" t="s">
        <v>2493</v>
      </c>
      <c r="D3244" s="43">
        <v>3500</v>
      </c>
      <c r="E3244" s="43"/>
      <c r="F3244" s="28">
        <f t="shared" si="51"/>
        <v>3629</v>
      </c>
      <c r="G3244" s="43"/>
    </row>
    <row r="3245" spans="1:7" x14ac:dyDescent="0.3">
      <c r="A3245" s="45">
        <v>43032</v>
      </c>
      <c r="B3245" s="5" t="s">
        <v>16</v>
      </c>
      <c r="C3245" s="5" t="s">
        <v>2497</v>
      </c>
      <c r="D3245" s="43">
        <v>3650</v>
      </c>
      <c r="E3245" s="43"/>
      <c r="F3245" s="28">
        <f t="shared" si="51"/>
        <v>-21</v>
      </c>
      <c r="G3245" s="43"/>
    </row>
    <row r="3246" spans="1:7" x14ac:dyDescent="0.3">
      <c r="A3246" s="45">
        <v>43033</v>
      </c>
      <c r="B3246" s="756" t="s">
        <v>2494</v>
      </c>
      <c r="C3246" s="756"/>
      <c r="D3246" s="71"/>
      <c r="E3246" s="72">
        <v>50000</v>
      </c>
      <c r="F3246" s="28">
        <f t="shared" si="51"/>
        <v>49979</v>
      </c>
      <c r="G3246" s="43"/>
    </row>
    <row r="3247" spans="1:7" x14ac:dyDescent="0.3">
      <c r="A3247" s="45">
        <v>43033</v>
      </c>
      <c r="B3247" s="5" t="s">
        <v>16</v>
      </c>
      <c r="C3247" s="5" t="s">
        <v>294</v>
      </c>
      <c r="D3247" s="65">
        <v>20000</v>
      </c>
      <c r="E3247" s="43"/>
      <c r="F3247" s="28">
        <f t="shared" si="51"/>
        <v>29979</v>
      </c>
      <c r="G3247" s="43"/>
    </row>
    <row r="3248" spans="1:7" x14ac:dyDescent="0.3">
      <c r="A3248" s="45">
        <v>43033</v>
      </c>
      <c r="B3248" s="5" t="s">
        <v>541</v>
      </c>
      <c r="C3248" s="5" t="s">
        <v>2495</v>
      </c>
      <c r="D3248" s="43">
        <v>300</v>
      </c>
      <c r="E3248" s="43"/>
      <c r="F3248" s="28">
        <f t="shared" si="51"/>
        <v>29679</v>
      </c>
      <c r="G3248" s="43"/>
    </row>
    <row r="3249" spans="1:7" x14ac:dyDescent="0.3">
      <c r="A3249" s="45">
        <v>43033</v>
      </c>
      <c r="B3249" s="5" t="s">
        <v>97</v>
      </c>
      <c r="C3249" s="5" t="s">
        <v>2496</v>
      </c>
      <c r="D3249" s="43">
        <v>2100</v>
      </c>
      <c r="E3249" s="43"/>
      <c r="F3249" s="28">
        <f t="shared" si="51"/>
        <v>27579</v>
      </c>
      <c r="G3249" s="43"/>
    </row>
    <row r="3250" spans="1:7" x14ac:dyDescent="0.3">
      <c r="A3250" s="45">
        <v>43032</v>
      </c>
      <c r="B3250" s="5" t="s">
        <v>2103</v>
      </c>
      <c r="C3250" s="5" t="s">
        <v>31</v>
      </c>
      <c r="D3250" s="65">
        <v>270</v>
      </c>
      <c r="E3250" s="43"/>
      <c r="F3250" s="28">
        <f t="shared" si="51"/>
        <v>27309</v>
      </c>
      <c r="G3250" s="43"/>
    </row>
    <row r="3251" spans="1:7" x14ac:dyDescent="0.3">
      <c r="A3251" s="45">
        <v>43034</v>
      </c>
      <c r="B3251" s="5" t="s">
        <v>60</v>
      </c>
      <c r="C3251" s="5" t="s">
        <v>2498</v>
      </c>
      <c r="D3251" s="43">
        <v>15000</v>
      </c>
      <c r="E3251" s="43"/>
      <c r="F3251" s="28">
        <f t="shared" si="51"/>
        <v>12309</v>
      </c>
      <c r="G3251" s="43"/>
    </row>
    <row r="3252" spans="1:7" x14ac:dyDescent="0.3">
      <c r="A3252" s="45">
        <v>43034</v>
      </c>
      <c r="B3252" s="5" t="s">
        <v>60</v>
      </c>
      <c r="C3252" s="5" t="s">
        <v>31</v>
      </c>
      <c r="D3252" s="43">
        <v>1000</v>
      </c>
      <c r="E3252" s="43"/>
      <c r="F3252" s="28">
        <f t="shared" si="51"/>
        <v>11309</v>
      </c>
      <c r="G3252" s="43"/>
    </row>
    <row r="3253" spans="1:7" x14ac:dyDescent="0.3">
      <c r="A3253" s="45">
        <v>43034</v>
      </c>
      <c r="B3253" s="5" t="s">
        <v>60</v>
      </c>
      <c r="C3253" s="5" t="s">
        <v>31</v>
      </c>
      <c r="D3253" s="43">
        <v>5300</v>
      </c>
      <c r="E3253" s="43"/>
      <c r="F3253" s="28">
        <f t="shared" si="51"/>
        <v>6009</v>
      </c>
      <c r="G3253" s="43"/>
    </row>
    <row r="3254" spans="1:7" x14ac:dyDescent="0.3">
      <c r="A3254" s="45">
        <v>43034</v>
      </c>
      <c r="B3254" s="5" t="s">
        <v>60</v>
      </c>
      <c r="C3254" s="5" t="s">
        <v>31</v>
      </c>
      <c r="D3254" s="62">
        <v>6000</v>
      </c>
      <c r="E3254" s="43"/>
      <c r="F3254" s="28">
        <f t="shared" si="51"/>
        <v>9</v>
      </c>
      <c r="G3254" s="43"/>
    </row>
    <row r="3255" spans="1:7" x14ac:dyDescent="0.3">
      <c r="A3255" s="45">
        <v>43034</v>
      </c>
      <c r="B3255" s="5" t="s">
        <v>25</v>
      </c>
      <c r="C3255" s="5" t="s">
        <v>2501</v>
      </c>
      <c r="D3255" s="43">
        <v>2860</v>
      </c>
      <c r="E3255" s="43"/>
      <c r="F3255" s="28">
        <f t="shared" si="51"/>
        <v>-2851</v>
      </c>
      <c r="G3255" s="43"/>
    </row>
    <row r="3256" spans="1:7" x14ac:dyDescent="0.3">
      <c r="A3256" s="45">
        <v>43034</v>
      </c>
      <c r="B3256" s="756" t="s">
        <v>32</v>
      </c>
      <c r="C3256" s="756"/>
      <c r="D3256" s="71"/>
      <c r="E3256" s="72">
        <v>100000</v>
      </c>
      <c r="F3256" s="28">
        <v>100000</v>
      </c>
      <c r="G3256" s="43"/>
    </row>
    <row r="3257" spans="1:7" x14ac:dyDescent="0.3">
      <c r="A3257" s="45">
        <v>43034</v>
      </c>
      <c r="B3257" s="5" t="s">
        <v>2086</v>
      </c>
      <c r="C3257" s="5" t="s">
        <v>2500</v>
      </c>
      <c r="D3257" s="65">
        <v>14000</v>
      </c>
      <c r="E3257" s="43"/>
      <c r="F3257" s="28">
        <f t="shared" ref="F3257:F3304" si="52">F3256-D3257+E3257</f>
        <v>86000</v>
      </c>
      <c r="G3257" s="43"/>
    </row>
    <row r="3258" spans="1:7" x14ac:dyDescent="0.3">
      <c r="A3258" s="45">
        <v>43034</v>
      </c>
      <c r="B3258" s="5" t="s">
        <v>28</v>
      </c>
      <c r="C3258" s="5" t="s">
        <v>294</v>
      </c>
      <c r="D3258" s="43">
        <v>35000</v>
      </c>
      <c r="E3258" s="43"/>
      <c r="F3258" s="28">
        <f t="shared" si="52"/>
        <v>51000</v>
      </c>
      <c r="G3258" s="43"/>
    </row>
    <row r="3259" spans="1:7" x14ac:dyDescent="0.3">
      <c r="A3259" s="45">
        <v>43034</v>
      </c>
      <c r="B3259" s="5" t="s">
        <v>25</v>
      </c>
      <c r="C3259" s="5" t="s">
        <v>2503</v>
      </c>
      <c r="D3259" s="43">
        <v>1000</v>
      </c>
      <c r="E3259" s="43"/>
      <c r="F3259" s="28">
        <f t="shared" si="52"/>
        <v>50000</v>
      </c>
      <c r="G3259" s="43"/>
    </row>
    <row r="3260" spans="1:7" x14ac:dyDescent="0.3">
      <c r="A3260" s="45">
        <v>43034</v>
      </c>
      <c r="B3260" s="5" t="s">
        <v>25</v>
      </c>
      <c r="C3260" s="5" t="s">
        <v>294</v>
      </c>
      <c r="D3260" s="43">
        <v>50000</v>
      </c>
      <c r="E3260" s="43"/>
      <c r="F3260" s="28">
        <f t="shared" si="52"/>
        <v>0</v>
      </c>
      <c r="G3260" s="43"/>
    </row>
    <row r="3261" spans="1:7" x14ac:dyDescent="0.3">
      <c r="A3261" s="45">
        <v>43035</v>
      </c>
      <c r="B3261" s="756" t="s">
        <v>2433</v>
      </c>
      <c r="C3261" s="756"/>
      <c r="D3261" s="71"/>
      <c r="E3261" s="72">
        <v>100000</v>
      </c>
      <c r="F3261" s="28">
        <f t="shared" si="52"/>
        <v>100000</v>
      </c>
      <c r="G3261" s="43"/>
    </row>
    <row r="3262" spans="1:7" x14ac:dyDescent="0.3">
      <c r="A3262" s="45">
        <v>43035</v>
      </c>
      <c r="B3262" s="5" t="s">
        <v>58</v>
      </c>
      <c r="C3262" s="92" t="s">
        <v>2505</v>
      </c>
      <c r="D3262" s="65">
        <v>5970</v>
      </c>
      <c r="E3262" s="43"/>
      <c r="F3262" s="28">
        <f t="shared" si="52"/>
        <v>94030</v>
      </c>
      <c r="G3262" s="43"/>
    </row>
    <row r="3263" spans="1:7" ht="56.25" x14ac:dyDescent="0.3">
      <c r="A3263" s="45">
        <v>43035</v>
      </c>
      <c r="B3263" s="44" t="s">
        <v>2502</v>
      </c>
      <c r="C3263" s="124" t="s">
        <v>2504</v>
      </c>
      <c r="D3263" s="28">
        <v>1200</v>
      </c>
      <c r="E3263" s="28"/>
      <c r="F3263" s="28">
        <f t="shared" si="52"/>
        <v>92830</v>
      </c>
      <c r="G3263" s="28"/>
    </row>
    <row r="3264" spans="1:7" ht="37.5" x14ac:dyDescent="0.3">
      <c r="A3264" s="45">
        <v>43035</v>
      </c>
      <c r="B3264" s="5" t="s">
        <v>25</v>
      </c>
      <c r="C3264" s="92" t="s">
        <v>2514</v>
      </c>
      <c r="D3264" s="43">
        <v>1000</v>
      </c>
      <c r="E3264" s="43"/>
      <c r="F3264" s="28">
        <f t="shared" si="52"/>
        <v>91830</v>
      </c>
      <c r="G3264" s="43"/>
    </row>
    <row r="3265" spans="1:7" x14ac:dyDescent="0.3">
      <c r="A3265" s="45">
        <v>43035</v>
      </c>
      <c r="B3265" s="5" t="s">
        <v>25</v>
      </c>
      <c r="C3265" s="92" t="s">
        <v>2526</v>
      </c>
      <c r="D3265" s="43">
        <v>2900</v>
      </c>
      <c r="E3265" s="43"/>
      <c r="F3265" s="28">
        <f t="shared" si="52"/>
        <v>88930</v>
      </c>
      <c r="G3265" s="43"/>
    </row>
    <row r="3266" spans="1:7" x14ac:dyDescent="0.3">
      <c r="A3266" s="45">
        <v>43035</v>
      </c>
      <c r="B3266" s="5" t="s">
        <v>0</v>
      </c>
      <c r="C3266" s="92" t="s">
        <v>2506</v>
      </c>
      <c r="D3266" s="43">
        <v>3000</v>
      </c>
      <c r="E3266" s="43"/>
      <c r="F3266" s="28">
        <f t="shared" si="52"/>
        <v>85930</v>
      </c>
      <c r="G3266" s="43"/>
    </row>
    <row r="3267" spans="1:7" ht="56.25" x14ac:dyDescent="0.3">
      <c r="A3267" s="45">
        <v>43035</v>
      </c>
      <c r="B3267" s="44" t="s">
        <v>58</v>
      </c>
      <c r="C3267" s="124" t="s">
        <v>2508</v>
      </c>
      <c r="D3267" s="48">
        <v>200</v>
      </c>
      <c r="E3267" s="48"/>
      <c r="F3267" s="48">
        <f t="shared" si="52"/>
        <v>85730</v>
      </c>
      <c r="G3267" s="48"/>
    </row>
    <row r="3268" spans="1:7" x14ac:dyDescent="0.3">
      <c r="A3268" s="45">
        <v>43035</v>
      </c>
      <c r="B3268" s="5" t="s">
        <v>0</v>
      </c>
      <c r="C3268" s="92" t="s">
        <v>2507</v>
      </c>
      <c r="D3268" s="43">
        <v>100</v>
      </c>
      <c r="E3268" s="43"/>
      <c r="F3268" s="48">
        <f t="shared" si="52"/>
        <v>85630</v>
      </c>
      <c r="G3268" s="43"/>
    </row>
    <row r="3269" spans="1:7" ht="56.25" x14ac:dyDescent="0.3">
      <c r="A3269" s="45">
        <v>43036</v>
      </c>
      <c r="B3269" s="44" t="s">
        <v>60</v>
      </c>
      <c r="C3269" s="124" t="s">
        <v>2510</v>
      </c>
      <c r="D3269" s="28">
        <v>1730</v>
      </c>
      <c r="E3269" s="28"/>
      <c r="F3269" s="48">
        <f t="shared" si="52"/>
        <v>83900</v>
      </c>
      <c r="G3269" s="28"/>
    </row>
    <row r="3270" spans="1:7" x14ac:dyDescent="0.3">
      <c r="A3270" s="45">
        <v>43036</v>
      </c>
      <c r="B3270" s="5" t="s">
        <v>84</v>
      </c>
      <c r="C3270" s="92" t="s">
        <v>2527</v>
      </c>
      <c r="D3270" s="43">
        <v>1000</v>
      </c>
      <c r="E3270" s="43"/>
      <c r="F3270" s="48">
        <f t="shared" si="52"/>
        <v>82900</v>
      </c>
      <c r="G3270" s="43"/>
    </row>
    <row r="3271" spans="1:7" x14ac:dyDescent="0.3">
      <c r="A3271" s="45">
        <v>43036</v>
      </c>
      <c r="B3271" s="5" t="s">
        <v>58</v>
      </c>
      <c r="C3271" s="92" t="s">
        <v>2516</v>
      </c>
      <c r="D3271" s="43">
        <v>3680</v>
      </c>
      <c r="E3271" s="43"/>
      <c r="F3271" s="48">
        <f t="shared" si="52"/>
        <v>79220</v>
      </c>
      <c r="G3271" s="43"/>
    </row>
    <row r="3272" spans="1:7" x14ac:dyDescent="0.3">
      <c r="A3272" s="45">
        <v>43036</v>
      </c>
      <c r="B3272" s="5" t="s">
        <v>58</v>
      </c>
      <c r="C3272" s="92" t="s">
        <v>2517</v>
      </c>
      <c r="D3272" s="43">
        <v>4230</v>
      </c>
      <c r="E3272" s="43"/>
      <c r="F3272" s="48">
        <f t="shared" si="52"/>
        <v>74990</v>
      </c>
      <c r="G3272" s="43"/>
    </row>
    <row r="3273" spans="1:7" x14ac:dyDescent="0.3">
      <c r="A3273" s="45">
        <v>43036</v>
      </c>
      <c r="B3273" s="5" t="s">
        <v>58</v>
      </c>
      <c r="C3273" s="92" t="s">
        <v>2518</v>
      </c>
      <c r="D3273" s="43">
        <v>5000</v>
      </c>
      <c r="E3273" s="43"/>
      <c r="F3273" s="48">
        <f t="shared" si="52"/>
        <v>69990</v>
      </c>
      <c r="G3273" s="43"/>
    </row>
    <row r="3274" spans="1:7" ht="37.5" x14ac:dyDescent="0.3">
      <c r="A3274" s="45">
        <v>43036</v>
      </c>
      <c r="B3274" s="5" t="s">
        <v>2509</v>
      </c>
      <c r="C3274" s="92" t="s">
        <v>2522</v>
      </c>
      <c r="D3274" s="43">
        <v>15000</v>
      </c>
      <c r="E3274" s="43"/>
      <c r="F3274" s="48">
        <f t="shared" si="52"/>
        <v>54990</v>
      </c>
      <c r="G3274" s="43"/>
    </row>
    <row r="3275" spans="1:7" x14ac:dyDescent="0.3">
      <c r="A3275" s="45">
        <v>43036</v>
      </c>
      <c r="B3275" s="5" t="s">
        <v>16</v>
      </c>
      <c r="C3275" s="92" t="s">
        <v>2523</v>
      </c>
      <c r="D3275" s="43">
        <v>40000</v>
      </c>
      <c r="E3275" s="43"/>
      <c r="F3275" s="48">
        <f t="shared" si="52"/>
        <v>14990</v>
      </c>
      <c r="G3275" s="43"/>
    </row>
    <row r="3276" spans="1:7" x14ac:dyDescent="0.3">
      <c r="A3276" s="45">
        <v>43036</v>
      </c>
      <c r="B3276" s="5" t="s">
        <v>47</v>
      </c>
      <c r="C3276" s="92" t="s">
        <v>2511</v>
      </c>
      <c r="D3276" s="43">
        <v>150</v>
      </c>
      <c r="E3276" s="43"/>
      <c r="F3276" s="48">
        <f t="shared" si="52"/>
        <v>14840</v>
      </c>
      <c r="G3276" s="43"/>
    </row>
    <row r="3277" spans="1:7" ht="37.5" x14ac:dyDescent="0.3">
      <c r="A3277" s="45">
        <v>43036</v>
      </c>
      <c r="B3277" s="5" t="s">
        <v>60</v>
      </c>
      <c r="C3277" s="92" t="s">
        <v>2524</v>
      </c>
      <c r="D3277" s="62">
        <v>6000</v>
      </c>
      <c r="E3277" s="43"/>
      <c r="F3277" s="48">
        <f t="shared" si="52"/>
        <v>8840</v>
      </c>
      <c r="G3277" s="43"/>
    </row>
    <row r="3278" spans="1:7" x14ac:dyDescent="0.3">
      <c r="A3278" s="45">
        <v>43036</v>
      </c>
      <c r="B3278" s="5" t="s">
        <v>0</v>
      </c>
      <c r="C3278" s="92" t="s">
        <v>2528</v>
      </c>
      <c r="D3278" s="43">
        <v>2000</v>
      </c>
      <c r="E3278" s="43"/>
      <c r="F3278" s="48">
        <f t="shared" si="52"/>
        <v>6840</v>
      </c>
      <c r="G3278" s="43"/>
    </row>
    <row r="3279" spans="1:7" x14ac:dyDescent="0.3">
      <c r="A3279" s="45">
        <v>43036</v>
      </c>
      <c r="B3279" s="5" t="s">
        <v>84</v>
      </c>
      <c r="C3279" s="92" t="s">
        <v>2521</v>
      </c>
      <c r="D3279" s="43">
        <v>2000</v>
      </c>
      <c r="E3279" s="43"/>
      <c r="F3279" s="48">
        <f t="shared" si="52"/>
        <v>4840</v>
      </c>
      <c r="G3279" s="43"/>
    </row>
    <row r="3280" spans="1:7" ht="37.5" x14ac:dyDescent="0.3">
      <c r="A3280" s="45">
        <v>43036</v>
      </c>
      <c r="B3280" s="5" t="s">
        <v>1837</v>
      </c>
      <c r="C3280" s="92" t="s">
        <v>2513</v>
      </c>
      <c r="D3280" s="65">
        <v>1000</v>
      </c>
      <c r="E3280" s="43"/>
      <c r="F3280" s="48">
        <f t="shared" si="52"/>
        <v>3840</v>
      </c>
      <c r="G3280" s="43"/>
    </row>
    <row r="3281" spans="1:7" x14ac:dyDescent="0.3">
      <c r="A3281" s="45">
        <v>43036</v>
      </c>
      <c r="B3281" s="5" t="s">
        <v>14</v>
      </c>
      <c r="C3281" s="92" t="s">
        <v>2515</v>
      </c>
      <c r="D3281" s="43">
        <v>2000</v>
      </c>
      <c r="E3281" s="43"/>
      <c r="F3281" s="48">
        <f t="shared" si="52"/>
        <v>1840</v>
      </c>
      <c r="G3281" s="43"/>
    </row>
    <row r="3282" spans="1:7" x14ac:dyDescent="0.3">
      <c r="A3282" s="45">
        <v>43036</v>
      </c>
      <c r="B3282" s="756" t="s">
        <v>2512</v>
      </c>
      <c r="C3282" s="756"/>
      <c r="D3282" s="71"/>
      <c r="E3282" s="72">
        <v>50000</v>
      </c>
      <c r="F3282" s="28">
        <f>F3281-D3282+E3282</f>
        <v>51840</v>
      </c>
      <c r="G3282" s="43"/>
    </row>
    <row r="3283" spans="1:7" ht="37.5" x14ac:dyDescent="0.3">
      <c r="A3283" s="45">
        <v>43036</v>
      </c>
      <c r="B3283" s="44" t="s">
        <v>88</v>
      </c>
      <c r="C3283" s="124" t="s">
        <v>2519</v>
      </c>
      <c r="D3283" s="28">
        <v>15000</v>
      </c>
      <c r="E3283" s="28"/>
      <c r="F3283" s="28">
        <f t="shared" si="52"/>
        <v>36840</v>
      </c>
      <c r="G3283" s="28"/>
    </row>
    <row r="3284" spans="1:7" x14ac:dyDescent="0.3">
      <c r="A3284" s="45">
        <v>43036</v>
      </c>
      <c r="B3284" s="5" t="s">
        <v>84</v>
      </c>
      <c r="C3284" s="5" t="s">
        <v>2520</v>
      </c>
      <c r="D3284" s="43">
        <v>10000</v>
      </c>
      <c r="E3284" s="43"/>
      <c r="F3284" s="28">
        <f t="shared" si="52"/>
        <v>26840</v>
      </c>
      <c r="G3284" s="43"/>
    </row>
    <row r="3285" spans="1:7" ht="37.5" x14ac:dyDescent="0.3">
      <c r="A3285" s="45">
        <v>43038</v>
      </c>
      <c r="B3285" s="5" t="s">
        <v>1837</v>
      </c>
      <c r="C3285" s="92" t="s">
        <v>2525</v>
      </c>
      <c r="D3285" s="65">
        <v>2000</v>
      </c>
      <c r="E3285" s="43"/>
      <c r="F3285" s="28">
        <f t="shared" si="52"/>
        <v>24840</v>
      </c>
      <c r="G3285" s="43"/>
    </row>
    <row r="3286" spans="1:7" x14ac:dyDescent="0.3">
      <c r="A3286" s="45">
        <v>43038</v>
      </c>
      <c r="B3286" s="5" t="s">
        <v>247</v>
      </c>
      <c r="C3286" s="5" t="s">
        <v>2469</v>
      </c>
      <c r="D3286" s="43">
        <v>730</v>
      </c>
      <c r="E3286" s="43"/>
      <c r="F3286" s="28">
        <f t="shared" si="52"/>
        <v>24110</v>
      </c>
      <c r="G3286" s="43"/>
    </row>
    <row r="3287" spans="1:7" x14ac:dyDescent="0.3">
      <c r="A3287" s="45">
        <v>43038</v>
      </c>
      <c r="B3287" s="5" t="s">
        <v>47</v>
      </c>
      <c r="C3287" s="5" t="s">
        <v>2545</v>
      </c>
      <c r="D3287" s="65">
        <v>420</v>
      </c>
      <c r="E3287" s="43"/>
      <c r="F3287" s="28">
        <f t="shared" si="52"/>
        <v>23690</v>
      </c>
      <c r="G3287" s="43"/>
    </row>
    <row r="3288" spans="1:7" x14ac:dyDescent="0.3">
      <c r="A3288" s="45">
        <v>43038</v>
      </c>
      <c r="B3288" s="5" t="s">
        <v>58</v>
      </c>
      <c r="C3288" s="5" t="s">
        <v>2529</v>
      </c>
      <c r="D3288" s="43">
        <v>23470</v>
      </c>
      <c r="E3288" s="43"/>
      <c r="F3288" s="28">
        <f t="shared" si="52"/>
        <v>220</v>
      </c>
      <c r="G3288" s="43"/>
    </row>
    <row r="3289" spans="1:7" x14ac:dyDescent="0.3">
      <c r="A3289" s="45">
        <v>43039</v>
      </c>
      <c r="B3289" s="756" t="s">
        <v>2530</v>
      </c>
      <c r="C3289" s="756"/>
      <c r="D3289" s="71"/>
      <c r="E3289" s="72">
        <v>75000</v>
      </c>
      <c r="F3289" s="28">
        <f>E3289</f>
        <v>75000</v>
      </c>
      <c r="G3289" s="43"/>
    </row>
    <row r="3290" spans="1:7" x14ac:dyDescent="0.3">
      <c r="A3290" s="45">
        <v>43039</v>
      </c>
      <c r="B3290" s="5" t="s">
        <v>14</v>
      </c>
      <c r="C3290" s="5" t="s">
        <v>2543</v>
      </c>
      <c r="D3290" s="43">
        <v>25000</v>
      </c>
      <c r="E3290" s="43"/>
      <c r="F3290" s="28">
        <f t="shared" si="52"/>
        <v>50000</v>
      </c>
      <c r="G3290" s="43"/>
    </row>
    <row r="3291" spans="1:7" x14ac:dyDescent="0.3">
      <c r="A3291" s="45">
        <v>43039</v>
      </c>
      <c r="B3291" s="5" t="s">
        <v>2096</v>
      </c>
      <c r="C3291" s="5" t="s">
        <v>2531</v>
      </c>
      <c r="D3291" s="43">
        <v>25000</v>
      </c>
      <c r="E3291" s="43"/>
      <c r="F3291" s="28">
        <f t="shared" si="52"/>
        <v>25000</v>
      </c>
      <c r="G3291" s="43"/>
    </row>
    <row r="3292" spans="1:7" x14ac:dyDescent="0.3">
      <c r="A3292" s="45">
        <v>43039</v>
      </c>
      <c r="B3292" s="5" t="s">
        <v>25</v>
      </c>
      <c r="C3292" s="5" t="s">
        <v>2535</v>
      </c>
      <c r="D3292" s="43">
        <v>150</v>
      </c>
      <c r="E3292" s="43"/>
      <c r="F3292" s="28">
        <f t="shared" si="52"/>
        <v>24850</v>
      </c>
      <c r="G3292" s="43"/>
    </row>
    <row r="3293" spans="1:7" ht="37.5" x14ac:dyDescent="0.3">
      <c r="A3293" s="45">
        <v>43039</v>
      </c>
      <c r="B3293" s="44" t="s">
        <v>25</v>
      </c>
      <c r="C3293" s="124" t="s">
        <v>2532</v>
      </c>
      <c r="D3293" s="28">
        <v>800</v>
      </c>
      <c r="E3293" s="28"/>
      <c r="F3293" s="28">
        <f t="shared" si="52"/>
        <v>24050</v>
      </c>
      <c r="G3293" s="28"/>
    </row>
    <row r="3294" spans="1:7" x14ac:dyDescent="0.3">
      <c r="A3294" s="45">
        <v>43038</v>
      </c>
      <c r="B3294" s="5" t="s">
        <v>14</v>
      </c>
      <c r="C3294" s="5" t="s">
        <v>640</v>
      </c>
      <c r="D3294" s="43">
        <v>1000</v>
      </c>
      <c r="E3294" s="43"/>
      <c r="F3294" s="28">
        <f t="shared" si="52"/>
        <v>23050</v>
      </c>
      <c r="G3294" s="43"/>
    </row>
    <row r="3295" spans="1:7" ht="37.5" x14ac:dyDescent="0.3">
      <c r="A3295" s="45">
        <v>43039</v>
      </c>
      <c r="B3295" s="124" t="s">
        <v>2204</v>
      </c>
      <c r="C3295" s="165" t="s">
        <v>2533</v>
      </c>
      <c r="D3295" s="43">
        <v>500</v>
      </c>
      <c r="E3295" s="43"/>
      <c r="F3295" s="28">
        <f t="shared" si="52"/>
        <v>22550</v>
      </c>
      <c r="G3295" s="43"/>
    </row>
    <row r="3296" spans="1:7" x14ac:dyDescent="0.3">
      <c r="A3296" s="45">
        <v>43039</v>
      </c>
      <c r="B3296" s="5" t="s">
        <v>0</v>
      </c>
      <c r="C3296" s="5" t="s">
        <v>2534</v>
      </c>
      <c r="D3296" s="43">
        <v>2000</v>
      </c>
      <c r="E3296" s="43"/>
      <c r="F3296" s="28">
        <f t="shared" si="52"/>
        <v>20550</v>
      </c>
      <c r="G3296" s="43"/>
    </row>
    <row r="3297" spans="1:7" ht="37.5" x14ac:dyDescent="0.3">
      <c r="A3297" s="45">
        <v>43039</v>
      </c>
      <c r="B3297" s="44" t="s">
        <v>1837</v>
      </c>
      <c r="C3297" s="124" t="s">
        <v>2538</v>
      </c>
      <c r="D3297" s="28">
        <v>500</v>
      </c>
      <c r="E3297" s="28"/>
      <c r="F3297" s="28">
        <f t="shared" si="52"/>
        <v>20050</v>
      </c>
      <c r="G3297" s="28"/>
    </row>
    <row r="3298" spans="1:7" x14ac:dyDescent="0.3">
      <c r="A3298" s="45">
        <v>43039</v>
      </c>
      <c r="B3298" s="5" t="s">
        <v>247</v>
      </c>
      <c r="C3298" s="5" t="s">
        <v>2536</v>
      </c>
      <c r="D3298" s="43">
        <v>840</v>
      </c>
      <c r="E3298" s="43"/>
      <c r="F3298" s="28">
        <f t="shared" si="52"/>
        <v>19210</v>
      </c>
      <c r="G3298" s="43"/>
    </row>
    <row r="3299" spans="1:7" x14ac:dyDescent="0.3">
      <c r="A3299" s="45">
        <v>43040</v>
      </c>
      <c r="B3299" s="5" t="s">
        <v>1837</v>
      </c>
      <c r="C3299" s="5" t="s">
        <v>2537</v>
      </c>
      <c r="D3299" s="65">
        <v>3000</v>
      </c>
      <c r="E3299" s="43"/>
      <c r="F3299" s="28">
        <f t="shared" si="52"/>
        <v>16210</v>
      </c>
      <c r="G3299" s="43"/>
    </row>
    <row r="3300" spans="1:7" x14ac:dyDescent="0.3">
      <c r="A3300" s="45">
        <v>43040</v>
      </c>
      <c r="B3300" s="5" t="s">
        <v>60</v>
      </c>
      <c r="C3300" s="5" t="s">
        <v>2544</v>
      </c>
      <c r="D3300" s="65">
        <v>1000</v>
      </c>
      <c r="E3300" s="43"/>
      <c r="F3300" s="28">
        <f t="shared" si="52"/>
        <v>15210</v>
      </c>
      <c r="G3300" s="43"/>
    </row>
    <row r="3301" spans="1:7" x14ac:dyDescent="0.3">
      <c r="A3301" s="45">
        <v>43040</v>
      </c>
      <c r="B3301" s="5" t="s">
        <v>2346</v>
      </c>
      <c r="C3301" s="5" t="s">
        <v>2539</v>
      </c>
      <c r="D3301" s="43">
        <v>1000</v>
      </c>
      <c r="E3301" s="43"/>
      <c r="F3301" s="28">
        <f t="shared" si="52"/>
        <v>14210</v>
      </c>
      <c r="G3301" s="43"/>
    </row>
    <row r="3302" spans="1:7" x14ac:dyDescent="0.3">
      <c r="A3302" s="45">
        <v>43040</v>
      </c>
      <c r="B3302" s="44" t="s">
        <v>25</v>
      </c>
      <c r="C3302" s="44" t="s">
        <v>2540</v>
      </c>
      <c r="D3302" s="28">
        <v>12100</v>
      </c>
      <c r="E3302" s="28"/>
      <c r="F3302" s="28">
        <f t="shared" si="52"/>
        <v>2110</v>
      </c>
      <c r="G3302" s="28"/>
    </row>
    <row r="3303" spans="1:7" ht="56.25" x14ac:dyDescent="0.3">
      <c r="A3303" s="45">
        <v>43040</v>
      </c>
      <c r="B3303" s="44" t="s">
        <v>25</v>
      </c>
      <c r="C3303" s="124" t="s">
        <v>2541</v>
      </c>
      <c r="D3303" s="28">
        <v>1940</v>
      </c>
      <c r="E3303" s="28"/>
      <c r="F3303" s="28">
        <f t="shared" si="52"/>
        <v>170</v>
      </c>
      <c r="G3303" s="28"/>
    </row>
    <row r="3304" spans="1:7" x14ac:dyDescent="0.3">
      <c r="A3304" s="79">
        <v>43040</v>
      </c>
      <c r="B3304" s="61" t="s">
        <v>2204</v>
      </c>
      <c r="C3304" s="61" t="s">
        <v>2542</v>
      </c>
      <c r="D3304" s="62">
        <v>350</v>
      </c>
      <c r="E3304" s="43"/>
      <c r="F3304" s="166">
        <f t="shared" si="52"/>
        <v>-180</v>
      </c>
      <c r="G3304" s="43"/>
    </row>
    <row r="3305" spans="1:7" x14ac:dyDescent="0.3">
      <c r="A3305" s="79">
        <v>43040</v>
      </c>
      <c r="B3305" s="756" t="s">
        <v>2546</v>
      </c>
      <c r="C3305" s="756"/>
      <c r="D3305" s="71"/>
      <c r="E3305" s="72">
        <v>50000</v>
      </c>
      <c r="F3305" s="43">
        <v>50000</v>
      </c>
      <c r="G3305" s="43"/>
    </row>
    <row r="3306" spans="1:7" x14ac:dyDescent="0.3">
      <c r="A3306" s="79">
        <v>43040</v>
      </c>
      <c r="B3306" s="5" t="s">
        <v>58</v>
      </c>
      <c r="C3306" s="5" t="s">
        <v>2547</v>
      </c>
      <c r="D3306" s="43">
        <v>1000</v>
      </c>
      <c r="E3306" s="118"/>
      <c r="F3306" s="43">
        <f t="shared" ref="F3306:F3369" si="53">F3305+E3306-D3306</f>
        <v>49000</v>
      </c>
      <c r="G3306" s="43"/>
    </row>
    <row r="3307" spans="1:7" x14ac:dyDescent="0.3">
      <c r="A3307" s="79">
        <v>43040</v>
      </c>
      <c r="B3307" s="5" t="s">
        <v>25</v>
      </c>
      <c r="C3307" s="5" t="s">
        <v>2548</v>
      </c>
      <c r="D3307" s="43">
        <v>1600</v>
      </c>
      <c r="E3307" s="43"/>
      <c r="F3307" s="43">
        <f t="shared" si="53"/>
        <v>47400</v>
      </c>
      <c r="G3307" s="43"/>
    </row>
    <row r="3308" spans="1:7" ht="37.5" x14ac:dyDescent="0.3">
      <c r="A3308" s="79">
        <v>43041</v>
      </c>
      <c r="B3308" s="5" t="s">
        <v>1837</v>
      </c>
      <c r="C3308" s="92" t="s">
        <v>2552</v>
      </c>
      <c r="D3308" s="43">
        <v>2000</v>
      </c>
      <c r="E3308" s="43"/>
      <c r="F3308" s="43">
        <f t="shared" si="53"/>
        <v>45400</v>
      </c>
      <c r="G3308" s="43"/>
    </row>
    <row r="3309" spans="1:7" x14ac:dyDescent="0.3">
      <c r="A3309" s="79">
        <v>43041</v>
      </c>
      <c r="B3309" s="5" t="s">
        <v>25</v>
      </c>
      <c r="C3309" s="5" t="s">
        <v>2549</v>
      </c>
      <c r="D3309" s="43">
        <v>270</v>
      </c>
      <c r="E3309" s="43"/>
      <c r="F3309" s="43">
        <f t="shared" si="53"/>
        <v>45130</v>
      </c>
      <c r="G3309" s="43"/>
    </row>
    <row r="3310" spans="1:7" x14ac:dyDescent="0.3">
      <c r="A3310" s="79">
        <v>43041</v>
      </c>
      <c r="B3310" s="5" t="s">
        <v>60</v>
      </c>
      <c r="C3310" s="5" t="s">
        <v>2544</v>
      </c>
      <c r="D3310" s="43">
        <v>300</v>
      </c>
      <c r="E3310" s="43"/>
      <c r="F3310" s="43">
        <f t="shared" si="53"/>
        <v>44830</v>
      </c>
      <c r="G3310" s="43"/>
    </row>
    <row r="3311" spans="1:7" x14ac:dyDescent="0.3">
      <c r="A3311" s="79">
        <v>43041</v>
      </c>
      <c r="B3311" s="5" t="s">
        <v>2550</v>
      </c>
      <c r="C3311" s="5" t="s">
        <v>2551</v>
      </c>
      <c r="D3311" s="43">
        <v>1650</v>
      </c>
      <c r="E3311" s="43"/>
      <c r="F3311" s="43">
        <f t="shared" si="53"/>
        <v>43180</v>
      </c>
      <c r="G3311" s="43"/>
    </row>
    <row r="3312" spans="1:7" ht="37.5" x14ac:dyDescent="0.3">
      <c r="A3312" s="45">
        <v>43041</v>
      </c>
      <c r="B3312" s="44" t="s">
        <v>247</v>
      </c>
      <c r="C3312" s="124" t="s">
        <v>2553</v>
      </c>
      <c r="D3312" s="28">
        <v>5060</v>
      </c>
      <c r="E3312" s="28"/>
      <c r="F3312" s="43">
        <f t="shared" si="53"/>
        <v>38120</v>
      </c>
      <c r="G3312" s="28"/>
    </row>
    <row r="3313" spans="1:7" x14ac:dyDescent="0.3">
      <c r="A3313" s="45">
        <v>43041</v>
      </c>
      <c r="B3313" s="44" t="s">
        <v>58</v>
      </c>
      <c r="C3313" s="124" t="s">
        <v>2555</v>
      </c>
      <c r="D3313" s="28">
        <v>1000</v>
      </c>
      <c r="E3313" s="28"/>
      <c r="F3313" s="43">
        <f t="shared" si="53"/>
        <v>37120</v>
      </c>
      <c r="G3313" s="28"/>
    </row>
    <row r="3314" spans="1:7" x14ac:dyDescent="0.3">
      <c r="A3314" s="45">
        <v>43041</v>
      </c>
      <c r="B3314" s="44" t="s">
        <v>58</v>
      </c>
      <c r="C3314" s="124" t="s">
        <v>2556</v>
      </c>
      <c r="D3314" s="28">
        <v>100</v>
      </c>
      <c r="E3314" s="28"/>
      <c r="F3314" s="43">
        <f t="shared" si="53"/>
        <v>37020</v>
      </c>
      <c r="G3314" s="28"/>
    </row>
    <row r="3315" spans="1:7" x14ac:dyDescent="0.3">
      <c r="A3315" s="79">
        <v>43042</v>
      </c>
      <c r="B3315" s="5" t="s">
        <v>2096</v>
      </c>
      <c r="C3315" s="5" t="s">
        <v>294</v>
      </c>
      <c r="D3315" s="43">
        <v>25000</v>
      </c>
      <c r="E3315" s="43"/>
      <c r="F3315" s="43">
        <f t="shared" si="53"/>
        <v>12020</v>
      </c>
      <c r="G3315" s="43"/>
    </row>
    <row r="3316" spans="1:7" x14ac:dyDescent="0.3">
      <c r="A3316" s="79">
        <v>43042</v>
      </c>
      <c r="B3316" s="5" t="s">
        <v>2550</v>
      </c>
      <c r="C3316" s="5" t="s">
        <v>1049</v>
      </c>
      <c r="D3316" s="43">
        <v>350</v>
      </c>
      <c r="E3316" s="43"/>
      <c r="F3316" s="43">
        <f t="shared" si="53"/>
        <v>11670</v>
      </c>
      <c r="G3316" s="43"/>
    </row>
    <row r="3317" spans="1:7" x14ac:dyDescent="0.3">
      <c r="A3317" s="79">
        <v>43042</v>
      </c>
      <c r="B3317" s="5" t="s">
        <v>58</v>
      </c>
      <c r="C3317" s="5" t="s">
        <v>2554</v>
      </c>
      <c r="D3317" s="43">
        <v>5500</v>
      </c>
      <c r="E3317" s="43"/>
      <c r="F3317" s="43">
        <f t="shared" si="53"/>
        <v>6170</v>
      </c>
      <c r="G3317" s="43"/>
    </row>
    <row r="3318" spans="1:7" x14ac:dyDescent="0.3">
      <c r="A3318" s="79">
        <v>43042</v>
      </c>
      <c r="B3318" s="5" t="s">
        <v>60</v>
      </c>
      <c r="C3318" s="5" t="s">
        <v>2558</v>
      </c>
      <c r="D3318" s="43">
        <v>5000</v>
      </c>
      <c r="E3318" s="43"/>
      <c r="F3318" s="43">
        <f t="shared" si="53"/>
        <v>1170</v>
      </c>
      <c r="G3318" s="43"/>
    </row>
    <row r="3319" spans="1:7" x14ac:dyDescent="0.3">
      <c r="A3319" s="79">
        <v>43042</v>
      </c>
      <c r="B3319" s="5" t="s">
        <v>247</v>
      </c>
      <c r="C3319" s="5" t="s">
        <v>2559</v>
      </c>
      <c r="D3319" s="43">
        <v>290</v>
      </c>
      <c r="E3319" s="43"/>
      <c r="F3319" s="43">
        <f t="shared" si="53"/>
        <v>880</v>
      </c>
      <c r="G3319" s="43"/>
    </row>
    <row r="3320" spans="1:7" x14ac:dyDescent="0.3">
      <c r="A3320" s="79">
        <v>43042</v>
      </c>
      <c r="B3320" s="5" t="s">
        <v>541</v>
      </c>
      <c r="C3320" s="5" t="s">
        <v>1744</v>
      </c>
      <c r="D3320" s="43">
        <v>600</v>
      </c>
      <c r="E3320" s="43"/>
      <c r="F3320" s="43">
        <f t="shared" si="53"/>
        <v>280</v>
      </c>
      <c r="G3320" s="43"/>
    </row>
    <row r="3321" spans="1:7" x14ac:dyDescent="0.3">
      <c r="A3321" s="79">
        <v>43042</v>
      </c>
      <c r="B3321" s="5" t="s">
        <v>25</v>
      </c>
      <c r="C3321" s="5" t="s">
        <v>2569</v>
      </c>
      <c r="D3321" s="43">
        <f>20+90+70</f>
        <v>180</v>
      </c>
      <c r="E3321" s="43"/>
      <c r="F3321" s="43">
        <f t="shared" si="53"/>
        <v>100</v>
      </c>
      <c r="G3321" s="43"/>
    </row>
    <row r="3322" spans="1:7" x14ac:dyDescent="0.3">
      <c r="A3322" s="79">
        <v>43042</v>
      </c>
      <c r="B3322" s="756" t="s">
        <v>2557</v>
      </c>
      <c r="C3322" s="756"/>
      <c r="D3322" s="71"/>
      <c r="E3322" s="72">
        <v>100000</v>
      </c>
      <c r="F3322" s="43">
        <f t="shared" si="53"/>
        <v>100100</v>
      </c>
      <c r="G3322" s="43"/>
    </row>
    <row r="3323" spans="1:7" x14ac:dyDescent="0.3">
      <c r="A3323" s="79">
        <v>43042</v>
      </c>
      <c r="B3323" s="5" t="s">
        <v>541</v>
      </c>
      <c r="C3323" s="5" t="s">
        <v>2572</v>
      </c>
      <c r="D3323" s="43">
        <v>50000</v>
      </c>
      <c r="E3323" s="43"/>
      <c r="F3323" s="43">
        <f t="shared" si="53"/>
        <v>50100</v>
      </c>
      <c r="G3323" s="43"/>
    </row>
    <row r="3324" spans="1:7" x14ac:dyDescent="0.3">
      <c r="A3324" s="79">
        <v>43042</v>
      </c>
      <c r="B3324" s="5" t="s">
        <v>84</v>
      </c>
      <c r="C3324" s="5" t="s">
        <v>2573</v>
      </c>
      <c r="D3324" s="43">
        <v>3000</v>
      </c>
      <c r="E3324" s="43"/>
      <c r="F3324" s="43">
        <f t="shared" si="53"/>
        <v>47100</v>
      </c>
      <c r="G3324" s="43"/>
    </row>
    <row r="3325" spans="1:7" ht="37.5" x14ac:dyDescent="0.3">
      <c r="A3325" s="45">
        <v>43042</v>
      </c>
      <c r="B3325" s="44" t="s">
        <v>1837</v>
      </c>
      <c r="C3325" s="124" t="s">
        <v>2560</v>
      </c>
      <c r="D3325" s="28">
        <v>2000</v>
      </c>
      <c r="E3325" s="28"/>
      <c r="F3325" s="43">
        <f t="shared" si="53"/>
        <v>45100</v>
      </c>
      <c r="G3325" s="28"/>
    </row>
    <row r="3326" spans="1:7" x14ac:dyDescent="0.3">
      <c r="A3326" s="45">
        <v>43042</v>
      </c>
      <c r="B3326" s="5" t="s">
        <v>84</v>
      </c>
      <c r="C3326" s="5" t="s">
        <v>2561</v>
      </c>
      <c r="D3326" s="43">
        <v>3000</v>
      </c>
      <c r="E3326" s="43"/>
      <c r="F3326" s="43">
        <f t="shared" si="53"/>
        <v>42100</v>
      </c>
      <c r="G3326" s="43"/>
    </row>
    <row r="3327" spans="1:7" x14ac:dyDescent="0.3">
      <c r="A3327" s="45">
        <v>43042</v>
      </c>
      <c r="B3327" s="61" t="s">
        <v>88</v>
      </c>
      <c r="C3327" s="61" t="s">
        <v>2562</v>
      </c>
      <c r="D3327" s="62">
        <v>500</v>
      </c>
      <c r="E3327" s="43"/>
      <c r="F3327" s="43">
        <f t="shared" si="53"/>
        <v>41600</v>
      </c>
      <c r="G3327" s="43"/>
    </row>
    <row r="3328" spans="1:7" ht="37.5" x14ac:dyDescent="0.3">
      <c r="A3328" s="45">
        <v>43042</v>
      </c>
      <c r="B3328" s="5" t="s">
        <v>2563</v>
      </c>
      <c r="C3328" s="92" t="s">
        <v>2568</v>
      </c>
      <c r="D3328" s="43">
        <v>10000</v>
      </c>
      <c r="E3328" s="43"/>
      <c r="F3328" s="43">
        <f t="shared" si="53"/>
        <v>31600</v>
      </c>
      <c r="G3328" s="43"/>
    </row>
    <row r="3329" spans="1:7" x14ac:dyDescent="0.3">
      <c r="A3329" s="45">
        <v>43043</v>
      </c>
      <c r="B3329" s="5" t="s">
        <v>1343</v>
      </c>
      <c r="C3329" s="5" t="s">
        <v>2574</v>
      </c>
      <c r="D3329" s="43">
        <v>5000</v>
      </c>
      <c r="E3329" s="43"/>
      <c r="F3329" s="43">
        <f t="shared" si="53"/>
        <v>26600</v>
      </c>
      <c r="G3329" s="43"/>
    </row>
    <row r="3330" spans="1:7" x14ac:dyDescent="0.3">
      <c r="A3330" s="45">
        <v>43043</v>
      </c>
      <c r="B3330" s="5" t="s">
        <v>25</v>
      </c>
      <c r="C3330" s="5" t="s">
        <v>2564</v>
      </c>
      <c r="D3330" s="43">
        <v>3500</v>
      </c>
      <c r="E3330" s="43"/>
      <c r="F3330" s="43">
        <f t="shared" si="53"/>
        <v>23100</v>
      </c>
      <c r="G3330" s="43"/>
    </row>
    <row r="3331" spans="1:7" x14ac:dyDescent="0.3">
      <c r="A3331" s="45">
        <v>43043</v>
      </c>
      <c r="B3331" s="5" t="s">
        <v>25</v>
      </c>
      <c r="C3331" s="5" t="s">
        <v>2565</v>
      </c>
      <c r="D3331" s="43">
        <v>475</v>
      </c>
      <c r="E3331" s="43"/>
      <c r="F3331" s="43">
        <f t="shared" si="53"/>
        <v>22625</v>
      </c>
      <c r="G3331" s="43"/>
    </row>
    <row r="3332" spans="1:7" x14ac:dyDescent="0.3">
      <c r="A3332" s="45">
        <v>43043</v>
      </c>
      <c r="B3332" s="5" t="s">
        <v>1616</v>
      </c>
      <c r="C3332" s="5" t="s">
        <v>2566</v>
      </c>
      <c r="D3332" s="43">
        <v>600</v>
      </c>
      <c r="E3332" s="43"/>
      <c r="F3332" s="43">
        <f t="shared" si="53"/>
        <v>22025</v>
      </c>
      <c r="G3332" s="43"/>
    </row>
    <row r="3333" spans="1:7" x14ac:dyDescent="0.3">
      <c r="A3333" s="45">
        <v>43043</v>
      </c>
      <c r="B3333" s="5" t="s">
        <v>2550</v>
      </c>
      <c r="C3333" s="5" t="s">
        <v>2567</v>
      </c>
      <c r="D3333" s="43">
        <v>2100</v>
      </c>
      <c r="E3333" s="43"/>
      <c r="F3333" s="43">
        <f t="shared" si="53"/>
        <v>19925</v>
      </c>
      <c r="G3333" s="43"/>
    </row>
    <row r="3334" spans="1:7" x14ac:dyDescent="0.3">
      <c r="A3334" s="45">
        <v>43043</v>
      </c>
      <c r="B3334" s="61" t="s">
        <v>14</v>
      </c>
      <c r="C3334" s="61" t="s">
        <v>294</v>
      </c>
      <c r="D3334" s="62">
        <v>5500</v>
      </c>
      <c r="E3334" s="43"/>
      <c r="F3334" s="43">
        <f t="shared" si="53"/>
        <v>14425</v>
      </c>
      <c r="G3334" s="43"/>
    </row>
    <row r="3335" spans="1:7" x14ac:dyDescent="0.3">
      <c r="A3335" s="45">
        <v>43043</v>
      </c>
      <c r="B3335" s="5" t="s">
        <v>73</v>
      </c>
      <c r="C3335" s="5" t="s">
        <v>2575</v>
      </c>
      <c r="D3335" s="43">
        <v>3000</v>
      </c>
      <c r="E3335" s="43"/>
      <c r="F3335" s="43">
        <f t="shared" si="53"/>
        <v>11425</v>
      </c>
      <c r="G3335" s="43"/>
    </row>
    <row r="3336" spans="1:7" x14ac:dyDescent="0.3">
      <c r="A3336" s="45">
        <v>43043</v>
      </c>
      <c r="B3336" s="5" t="s">
        <v>1787</v>
      </c>
      <c r="C3336" s="5" t="s">
        <v>2576</v>
      </c>
      <c r="D3336" s="43">
        <v>1300</v>
      </c>
      <c r="E3336" s="43"/>
      <c r="F3336" s="43">
        <f t="shared" si="53"/>
        <v>10125</v>
      </c>
      <c r="G3336" s="43"/>
    </row>
    <row r="3337" spans="1:7" ht="56.25" x14ac:dyDescent="0.3">
      <c r="A3337" s="45">
        <v>43043</v>
      </c>
      <c r="B3337" s="44" t="s">
        <v>25</v>
      </c>
      <c r="C3337" s="124" t="s">
        <v>2571</v>
      </c>
      <c r="D3337" s="28">
        <v>1550</v>
      </c>
      <c r="E3337" s="28"/>
      <c r="F3337" s="28">
        <f t="shared" si="53"/>
        <v>8575</v>
      </c>
      <c r="G3337" s="28"/>
    </row>
    <row r="3338" spans="1:7" x14ac:dyDescent="0.3">
      <c r="A3338" s="45">
        <v>43043</v>
      </c>
      <c r="B3338" s="5" t="s">
        <v>2570</v>
      </c>
      <c r="C3338" s="5" t="s">
        <v>2577</v>
      </c>
      <c r="D3338" s="43">
        <v>240</v>
      </c>
      <c r="E3338" s="43"/>
      <c r="F3338" s="43">
        <f t="shared" si="53"/>
        <v>8335</v>
      </c>
      <c r="G3338" s="43"/>
    </row>
    <row r="3339" spans="1:7" x14ac:dyDescent="0.3">
      <c r="A3339" s="45">
        <v>43043</v>
      </c>
      <c r="B3339" s="5" t="s">
        <v>16</v>
      </c>
      <c r="C3339" s="5" t="s">
        <v>31</v>
      </c>
      <c r="D3339" s="43">
        <v>6000</v>
      </c>
      <c r="E3339" s="43"/>
      <c r="F3339" s="43">
        <f t="shared" si="53"/>
        <v>2335</v>
      </c>
      <c r="G3339" s="43"/>
    </row>
    <row r="3340" spans="1:7" x14ac:dyDescent="0.3">
      <c r="A3340" s="45">
        <v>43043</v>
      </c>
      <c r="B3340" s="5" t="s">
        <v>25</v>
      </c>
      <c r="C3340" s="5" t="s">
        <v>2578</v>
      </c>
      <c r="D3340" s="43">
        <v>350</v>
      </c>
      <c r="E3340" s="43"/>
      <c r="F3340" s="43">
        <f t="shared" si="53"/>
        <v>1985</v>
      </c>
      <c r="G3340" s="43"/>
    </row>
    <row r="3341" spans="1:7" x14ac:dyDescent="0.3">
      <c r="A3341" s="45">
        <v>43043</v>
      </c>
      <c r="B3341" s="5" t="s">
        <v>16</v>
      </c>
      <c r="C3341" s="5" t="s">
        <v>2566</v>
      </c>
      <c r="D3341" s="43">
        <v>600</v>
      </c>
      <c r="E3341" s="43"/>
      <c r="F3341" s="43">
        <f t="shared" si="53"/>
        <v>1385</v>
      </c>
      <c r="G3341" s="43"/>
    </row>
    <row r="3342" spans="1:7" x14ac:dyDescent="0.3">
      <c r="A3342" s="45">
        <v>43043</v>
      </c>
      <c r="B3342" s="5" t="s">
        <v>1837</v>
      </c>
      <c r="C3342" s="5" t="s">
        <v>2579</v>
      </c>
      <c r="D3342" s="43">
        <v>135</v>
      </c>
      <c r="E3342" s="43"/>
      <c r="F3342" s="43">
        <f t="shared" si="53"/>
        <v>1250</v>
      </c>
      <c r="G3342" s="43"/>
    </row>
    <row r="3343" spans="1:7" x14ac:dyDescent="0.3">
      <c r="A3343" s="45">
        <v>43045</v>
      </c>
      <c r="B3343" s="61" t="s">
        <v>2159</v>
      </c>
      <c r="C3343" s="61" t="s">
        <v>2588</v>
      </c>
      <c r="D3343" s="62">
        <v>200</v>
      </c>
      <c r="E3343" s="43"/>
      <c r="F3343" s="43">
        <f t="shared" si="53"/>
        <v>1050</v>
      </c>
      <c r="G3343" s="43"/>
    </row>
    <row r="3344" spans="1:7" x14ac:dyDescent="0.3">
      <c r="A3344" s="45">
        <v>43045</v>
      </c>
      <c r="B3344" s="756" t="s">
        <v>2583</v>
      </c>
      <c r="C3344" s="756"/>
      <c r="D3344" s="71"/>
      <c r="E3344" s="72">
        <v>50000</v>
      </c>
      <c r="F3344" s="43">
        <f t="shared" si="53"/>
        <v>51050</v>
      </c>
      <c r="G3344" s="43"/>
    </row>
    <row r="3345" spans="1:7" x14ac:dyDescent="0.3">
      <c r="A3345" s="45">
        <v>43045</v>
      </c>
      <c r="B3345" s="5" t="s">
        <v>16</v>
      </c>
      <c r="C3345" s="5" t="s">
        <v>2580</v>
      </c>
      <c r="D3345" s="43">
        <v>8000</v>
      </c>
      <c r="E3345" s="43"/>
      <c r="F3345" s="43">
        <f t="shared" si="53"/>
        <v>43050</v>
      </c>
      <c r="G3345" s="43"/>
    </row>
    <row r="3346" spans="1:7" x14ac:dyDescent="0.3">
      <c r="A3346" s="45">
        <v>43045</v>
      </c>
      <c r="B3346" s="5" t="s">
        <v>2350</v>
      </c>
      <c r="C3346" s="5" t="s">
        <v>2581</v>
      </c>
      <c r="D3346" s="43">
        <v>50</v>
      </c>
      <c r="E3346" s="43"/>
      <c r="F3346" s="43">
        <f t="shared" si="53"/>
        <v>43000</v>
      </c>
      <c r="G3346" s="43"/>
    </row>
    <row r="3347" spans="1:7" x14ac:dyDescent="0.3">
      <c r="A3347" s="45">
        <v>43045</v>
      </c>
      <c r="B3347" s="756" t="s">
        <v>2587</v>
      </c>
      <c r="C3347" s="756"/>
      <c r="D3347" s="71"/>
      <c r="E3347" s="72">
        <v>1770</v>
      </c>
      <c r="F3347" s="43">
        <f t="shared" si="53"/>
        <v>44770</v>
      </c>
      <c r="G3347" s="43"/>
    </row>
    <row r="3348" spans="1:7" x14ac:dyDescent="0.3">
      <c r="A3348" s="45">
        <v>43046</v>
      </c>
      <c r="B3348" s="5" t="s">
        <v>57</v>
      </c>
      <c r="C3348" s="5" t="s">
        <v>2582</v>
      </c>
      <c r="D3348" s="43">
        <v>7000</v>
      </c>
      <c r="E3348" s="43"/>
      <c r="F3348" s="43">
        <f t="shared" si="53"/>
        <v>37770</v>
      </c>
      <c r="G3348" s="43"/>
    </row>
    <row r="3349" spans="1:7" x14ac:dyDescent="0.3">
      <c r="A3349" s="45">
        <v>43046</v>
      </c>
      <c r="B3349" s="61" t="s">
        <v>1343</v>
      </c>
      <c r="C3349" s="61" t="s">
        <v>2544</v>
      </c>
      <c r="D3349" s="62">
        <v>3000</v>
      </c>
      <c r="E3349" s="43"/>
      <c r="F3349" s="43">
        <f t="shared" si="53"/>
        <v>34770</v>
      </c>
      <c r="G3349" s="43"/>
    </row>
    <row r="3350" spans="1:7" x14ac:dyDescent="0.3">
      <c r="A3350" s="45">
        <v>43046</v>
      </c>
      <c r="B3350" s="5" t="s">
        <v>10</v>
      </c>
      <c r="C3350" s="5" t="s">
        <v>2584</v>
      </c>
      <c r="D3350" s="43">
        <v>2000</v>
      </c>
      <c r="E3350" s="43"/>
      <c r="F3350" s="43">
        <f t="shared" si="53"/>
        <v>32770</v>
      </c>
      <c r="G3350" s="43"/>
    </row>
    <row r="3351" spans="1:7" x14ac:dyDescent="0.3">
      <c r="A3351" s="45">
        <v>43046</v>
      </c>
      <c r="B3351" s="5" t="s">
        <v>2585</v>
      </c>
      <c r="C3351" s="5" t="s">
        <v>2590</v>
      </c>
      <c r="D3351" s="43">
        <v>10000</v>
      </c>
      <c r="E3351" s="43"/>
      <c r="F3351" s="43">
        <f t="shared" si="53"/>
        <v>22770</v>
      </c>
      <c r="G3351" s="43"/>
    </row>
    <row r="3352" spans="1:7" ht="37.5" x14ac:dyDescent="0.3">
      <c r="A3352" s="45">
        <v>43046</v>
      </c>
      <c r="B3352" s="5" t="s">
        <v>2586</v>
      </c>
      <c r="C3352" s="92" t="s">
        <v>2591</v>
      </c>
      <c r="D3352" s="43">
        <v>17400</v>
      </c>
      <c r="E3352" s="43"/>
      <c r="F3352" s="43">
        <f t="shared" si="53"/>
        <v>5370</v>
      </c>
      <c r="G3352" s="43"/>
    </row>
    <row r="3353" spans="1:7" x14ac:dyDescent="0.3">
      <c r="A3353" s="45">
        <v>43046</v>
      </c>
      <c r="B3353" s="5" t="s">
        <v>25</v>
      </c>
      <c r="C3353" s="5" t="s">
        <v>2589</v>
      </c>
      <c r="D3353" s="43">
        <v>1300</v>
      </c>
      <c r="E3353" s="43"/>
      <c r="F3353" s="43">
        <f t="shared" si="53"/>
        <v>4070</v>
      </c>
      <c r="G3353" s="43"/>
    </row>
    <row r="3354" spans="1:7" x14ac:dyDescent="0.3">
      <c r="A3354" s="45">
        <v>43046</v>
      </c>
      <c r="B3354" s="5" t="s">
        <v>2159</v>
      </c>
      <c r="C3354" s="5" t="s">
        <v>2592</v>
      </c>
      <c r="D3354" s="43">
        <v>960</v>
      </c>
      <c r="E3354" s="43"/>
      <c r="F3354" s="43">
        <f t="shared" si="53"/>
        <v>3110</v>
      </c>
      <c r="G3354" s="43"/>
    </row>
    <row r="3355" spans="1:7" x14ac:dyDescent="0.3">
      <c r="A3355" s="45">
        <v>43046</v>
      </c>
      <c r="B3355" s="5" t="s">
        <v>2159</v>
      </c>
      <c r="C3355" s="5" t="s">
        <v>2597</v>
      </c>
      <c r="D3355" s="43">
        <v>250</v>
      </c>
      <c r="E3355" s="43"/>
      <c r="F3355" s="43">
        <f t="shared" si="53"/>
        <v>2860</v>
      </c>
      <c r="G3355" s="43"/>
    </row>
    <row r="3356" spans="1:7" x14ac:dyDescent="0.3">
      <c r="A3356" s="45">
        <v>43046</v>
      </c>
      <c r="B3356" s="5" t="s">
        <v>855</v>
      </c>
      <c r="C3356" s="5" t="s">
        <v>2593</v>
      </c>
      <c r="D3356" s="43">
        <v>2000</v>
      </c>
      <c r="E3356" s="43"/>
      <c r="F3356" s="43">
        <f t="shared" si="53"/>
        <v>860</v>
      </c>
      <c r="G3356" s="43"/>
    </row>
    <row r="3357" spans="1:7" ht="37.5" x14ac:dyDescent="0.3">
      <c r="A3357" s="45">
        <v>43046</v>
      </c>
      <c r="B3357" s="5" t="s">
        <v>2594</v>
      </c>
      <c r="C3357" s="92" t="s">
        <v>2595</v>
      </c>
      <c r="D3357" s="43">
        <v>420</v>
      </c>
      <c r="E3357" s="43"/>
      <c r="F3357" s="43">
        <f t="shared" si="53"/>
        <v>440</v>
      </c>
      <c r="G3357" s="43"/>
    </row>
    <row r="3358" spans="1:7" x14ac:dyDescent="0.3">
      <c r="A3358" s="45">
        <v>43046</v>
      </c>
      <c r="B3358" s="5" t="s">
        <v>2594</v>
      </c>
      <c r="C3358" s="5" t="s">
        <v>2596</v>
      </c>
      <c r="D3358" s="43">
        <v>100</v>
      </c>
      <c r="E3358" s="43"/>
      <c r="F3358" s="43">
        <f t="shared" si="53"/>
        <v>340</v>
      </c>
      <c r="G3358" s="43"/>
    </row>
    <row r="3359" spans="1:7" x14ac:dyDescent="0.3">
      <c r="A3359" s="45">
        <v>43046</v>
      </c>
      <c r="B3359" s="5" t="s">
        <v>2502</v>
      </c>
      <c r="C3359" s="5" t="s">
        <v>2598</v>
      </c>
      <c r="D3359" s="43">
        <v>260</v>
      </c>
      <c r="E3359" s="43"/>
      <c r="F3359" s="43">
        <f t="shared" si="53"/>
        <v>80</v>
      </c>
      <c r="G3359" s="43"/>
    </row>
    <row r="3360" spans="1:7" x14ac:dyDescent="0.3">
      <c r="A3360" s="45">
        <v>43046</v>
      </c>
      <c r="B3360" s="5" t="s">
        <v>25</v>
      </c>
      <c r="C3360" s="5" t="s">
        <v>2599</v>
      </c>
      <c r="D3360" s="43">
        <v>50</v>
      </c>
      <c r="E3360" s="43"/>
      <c r="F3360" s="43">
        <f t="shared" si="53"/>
        <v>30</v>
      </c>
      <c r="G3360" s="43"/>
    </row>
    <row r="3361" spans="1:7" x14ac:dyDescent="0.3">
      <c r="A3361" s="45">
        <v>43046</v>
      </c>
      <c r="B3361" s="756" t="s">
        <v>2617</v>
      </c>
      <c r="C3361" s="756"/>
      <c r="D3361" s="71"/>
      <c r="E3361" s="72">
        <v>50000</v>
      </c>
      <c r="F3361" s="43">
        <f t="shared" si="53"/>
        <v>50030</v>
      </c>
      <c r="G3361" s="43"/>
    </row>
    <row r="3362" spans="1:7" ht="37.5" x14ac:dyDescent="0.3">
      <c r="A3362" s="45">
        <v>43047</v>
      </c>
      <c r="B3362" s="5" t="s">
        <v>541</v>
      </c>
      <c r="C3362" s="92" t="s">
        <v>2616</v>
      </c>
      <c r="D3362" s="43">
        <v>1000</v>
      </c>
      <c r="E3362" s="43"/>
      <c r="F3362" s="43">
        <f>F3361+E3362-D3362</f>
        <v>49030</v>
      </c>
      <c r="G3362" s="43"/>
    </row>
    <row r="3363" spans="1:7" x14ac:dyDescent="0.3">
      <c r="A3363" s="45">
        <v>43047</v>
      </c>
      <c r="B3363" s="5" t="s">
        <v>58</v>
      </c>
      <c r="C3363" s="5" t="s">
        <v>2600</v>
      </c>
      <c r="D3363" s="43">
        <v>70</v>
      </c>
      <c r="E3363" s="43"/>
      <c r="F3363" s="43">
        <f>F3362+E3363-D3363</f>
        <v>48960</v>
      </c>
      <c r="G3363" s="43"/>
    </row>
    <row r="3364" spans="1:7" x14ac:dyDescent="0.3">
      <c r="A3364" s="45">
        <v>43047</v>
      </c>
      <c r="B3364" s="5" t="s">
        <v>58</v>
      </c>
      <c r="C3364" s="5" t="s">
        <v>2601</v>
      </c>
      <c r="D3364" s="43">
        <v>70</v>
      </c>
      <c r="E3364" s="43"/>
      <c r="F3364" s="43">
        <f t="shared" si="53"/>
        <v>48890</v>
      </c>
      <c r="G3364" s="43"/>
    </row>
    <row r="3365" spans="1:7" ht="75" x14ac:dyDescent="0.3">
      <c r="A3365" s="45">
        <v>43047</v>
      </c>
      <c r="B3365" s="44" t="s">
        <v>58</v>
      </c>
      <c r="C3365" s="124" t="s">
        <v>2603</v>
      </c>
      <c r="D3365" s="28">
        <v>120</v>
      </c>
      <c r="E3365" s="28"/>
      <c r="F3365" s="28">
        <f t="shared" si="53"/>
        <v>48770</v>
      </c>
      <c r="G3365" s="28"/>
    </row>
    <row r="3366" spans="1:7" x14ac:dyDescent="0.3">
      <c r="A3366" s="45">
        <v>43047</v>
      </c>
      <c r="B3366" s="5" t="s">
        <v>58</v>
      </c>
      <c r="C3366" s="5" t="s">
        <v>2602</v>
      </c>
      <c r="D3366" s="43">
        <v>100</v>
      </c>
      <c r="E3366" s="43"/>
      <c r="F3366" s="28">
        <f t="shared" si="53"/>
        <v>48670</v>
      </c>
      <c r="G3366" s="43"/>
    </row>
    <row r="3367" spans="1:7" x14ac:dyDescent="0.3">
      <c r="A3367" s="45">
        <v>43047</v>
      </c>
      <c r="B3367" s="5" t="s">
        <v>93</v>
      </c>
      <c r="C3367" s="5" t="s">
        <v>2604</v>
      </c>
      <c r="D3367" s="43">
        <v>7000</v>
      </c>
      <c r="E3367" s="43"/>
      <c r="F3367" s="28">
        <f t="shared" si="53"/>
        <v>41670</v>
      </c>
      <c r="G3367" s="43"/>
    </row>
    <row r="3368" spans="1:7" x14ac:dyDescent="0.3">
      <c r="A3368" s="45">
        <v>43047</v>
      </c>
      <c r="B3368" s="5" t="s">
        <v>93</v>
      </c>
      <c r="C3368" s="5" t="s">
        <v>2605</v>
      </c>
      <c r="D3368" s="43">
        <v>5000</v>
      </c>
      <c r="E3368" s="43"/>
      <c r="F3368" s="28">
        <f t="shared" si="53"/>
        <v>36670</v>
      </c>
      <c r="G3368" s="43"/>
    </row>
    <row r="3369" spans="1:7" x14ac:dyDescent="0.3">
      <c r="A3369" s="45">
        <v>43047</v>
      </c>
      <c r="B3369" s="5" t="s">
        <v>2204</v>
      </c>
      <c r="C3369" s="5" t="s">
        <v>2606</v>
      </c>
      <c r="D3369" s="43">
        <v>980</v>
      </c>
      <c r="E3369" s="43"/>
      <c r="F3369" s="28">
        <f t="shared" si="53"/>
        <v>35690</v>
      </c>
      <c r="G3369" s="43"/>
    </row>
    <row r="3370" spans="1:7" x14ac:dyDescent="0.3">
      <c r="A3370" s="45">
        <v>43047</v>
      </c>
      <c r="B3370" s="5" t="s">
        <v>56</v>
      </c>
      <c r="C3370" s="5" t="s">
        <v>2607</v>
      </c>
      <c r="D3370" s="43">
        <v>2000</v>
      </c>
      <c r="E3370" s="43"/>
      <c r="F3370" s="28">
        <f t="shared" ref="F3370:F3389" si="54">F3369+E3370-D3370</f>
        <v>33690</v>
      </c>
      <c r="G3370" s="43"/>
    </row>
    <row r="3371" spans="1:7" ht="37.5" x14ac:dyDescent="0.3">
      <c r="A3371" s="45">
        <v>43047</v>
      </c>
      <c r="B3371" s="44" t="s">
        <v>2610</v>
      </c>
      <c r="C3371" s="124" t="s">
        <v>2611</v>
      </c>
      <c r="D3371" s="28">
        <v>2200</v>
      </c>
      <c r="E3371" s="28"/>
      <c r="F3371" s="28">
        <f t="shared" si="54"/>
        <v>31490</v>
      </c>
      <c r="G3371" s="28"/>
    </row>
    <row r="3372" spans="1:7" x14ac:dyDescent="0.3">
      <c r="A3372" s="45">
        <v>43047</v>
      </c>
      <c r="B3372" s="5" t="s">
        <v>25</v>
      </c>
      <c r="C3372" s="5" t="s">
        <v>2614</v>
      </c>
      <c r="D3372" s="43">
        <v>500</v>
      </c>
      <c r="E3372" s="43"/>
      <c r="F3372" s="28">
        <f t="shared" si="54"/>
        <v>30990</v>
      </c>
      <c r="G3372" s="43"/>
    </row>
    <row r="3373" spans="1:7" x14ac:dyDescent="0.3">
      <c r="A3373" s="45">
        <v>43047</v>
      </c>
      <c r="B3373" s="5" t="s">
        <v>25</v>
      </c>
      <c r="C3373" s="5" t="s">
        <v>2612</v>
      </c>
      <c r="D3373" s="43">
        <v>220</v>
      </c>
      <c r="E3373" s="43"/>
      <c r="F3373" s="28">
        <f t="shared" si="54"/>
        <v>30770</v>
      </c>
      <c r="G3373" s="43"/>
    </row>
    <row r="3374" spans="1:7" x14ac:dyDescent="0.3">
      <c r="A3374" s="45">
        <v>43047</v>
      </c>
      <c r="B3374" s="5" t="s">
        <v>25</v>
      </c>
      <c r="C3374" s="5" t="s">
        <v>2613</v>
      </c>
      <c r="D3374" s="43">
        <v>420</v>
      </c>
      <c r="E3374" s="43"/>
      <c r="F3374" s="28">
        <f t="shared" si="54"/>
        <v>30350</v>
      </c>
      <c r="G3374" s="43"/>
    </row>
    <row r="3375" spans="1:7" x14ac:dyDescent="0.3">
      <c r="A3375" s="45">
        <v>43047</v>
      </c>
      <c r="B3375" s="5" t="s">
        <v>25</v>
      </c>
      <c r="C3375" s="5" t="s">
        <v>2615</v>
      </c>
      <c r="D3375" s="43">
        <v>40</v>
      </c>
      <c r="E3375" s="43"/>
      <c r="F3375" s="28">
        <f t="shared" si="54"/>
        <v>30310</v>
      </c>
      <c r="G3375" s="43"/>
    </row>
    <row r="3376" spans="1:7" ht="37.5" x14ac:dyDescent="0.3">
      <c r="A3376" s="45">
        <v>43048</v>
      </c>
      <c r="B3376" s="44" t="s">
        <v>14</v>
      </c>
      <c r="C3376" s="124" t="s">
        <v>2618</v>
      </c>
      <c r="D3376" s="28">
        <v>30000</v>
      </c>
      <c r="E3376" s="28"/>
      <c r="F3376" s="28">
        <f t="shared" si="54"/>
        <v>310</v>
      </c>
      <c r="G3376" s="28"/>
    </row>
    <row r="3377" spans="1:10" x14ac:dyDescent="0.3">
      <c r="A3377" s="45">
        <v>43048</v>
      </c>
      <c r="B3377" s="756" t="s">
        <v>2619</v>
      </c>
      <c r="C3377" s="756"/>
      <c r="D3377" s="71"/>
      <c r="E3377" s="72">
        <v>18150</v>
      </c>
      <c r="F3377" s="28">
        <f t="shared" si="54"/>
        <v>18460</v>
      </c>
      <c r="G3377" s="43"/>
    </row>
    <row r="3378" spans="1:10" x14ac:dyDescent="0.3">
      <c r="A3378" s="45">
        <v>43049</v>
      </c>
      <c r="B3378" s="5" t="s">
        <v>16</v>
      </c>
      <c r="C3378" s="5" t="s">
        <v>294</v>
      </c>
      <c r="D3378" s="43">
        <v>200</v>
      </c>
      <c r="E3378" s="43"/>
      <c r="F3378" s="28">
        <f t="shared" si="54"/>
        <v>18260</v>
      </c>
      <c r="G3378" s="43"/>
    </row>
    <row r="3379" spans="1:10" x14ac:dyDescent="0.3">
      <c r="A3379" s="45">
        <v>43049</v>
      </c>
      <c r="B3379" s="5" t="s">
        <v>0</v>
      </c>
      <c r="C3379" s="5" t="s">
        <v>2620</v>
      </c>
      <c r="D3379" s="43">
        <v>2000</v>
      </c>
      <c r="E3379" s="43"/>
      <c r="F3379" s="28">
        <f t="shared" si="54"/>
        <v>16260</v>
      </c>
      <c r="G3379" s="43"/>
    </row>
    <row r="3380" spans="1:10" x14ac:dyDescent="0.3">
      <c r="A3380" s="45">
        <v>43049</v>
      </c>
      <c r="B3380" s="61" t="s">
        <v>247</v>
      </c>
      <c r="C3380" s="61" t="s">
        <v>2629</v>
      </c>
      <c r="D3380" s="62">
        <v>2500</v>
      </c>
      <c r="E3380" s="43"/>
      <c r="F3380" s="28">
        <f t="shared" si="54"/>
        <v>13760</v>
      </c>
      <c r="G3380" s="43"/>
    </row>
    <row r="3381" spans="1:10" x14ac:dyDescent="0.3">
      <c r="A3381" s="45">
        <v>43050</v>
      </c>
      <c r="B3381" s="5" t="s">
        <v>541</v>
      </c>
      <c r="C3381" s="5" t="s">
        <v>2621</v>
      </c>
      <c r="D3381" s="43">
        <v>12000</v>
      </c>
      <c r="E3381" s="43"/>
      <c r="F3381" s="28">
        <f t="shared" si="54"/>
        <v>1760</v>
      </c>
      <c r="G3381" s="43"/>
    </row>
    <row r="3382" spans="1:10" x14ac:dyDescent="0.3">
      <c r="A3382" s="45">
        <v>43050</v>
      </c>
      <c r="B3382" s="5" t="s">
        <v>58</v>
      </c>
      <c r="C3382" s="92" t="s">
        <v>2630</v>
      </c>
      <c r="D3382" s="43">
        <v>350</v>
      </c>
      <c r="E3382" s="43"/>
      <c r="F3382" s="28">
        <f t="shared" si="54"/>
        <v>1410</v>
      </c>
      <c r="G3382" s="43"/>
    </row>
    <row r="3383" spans="1:10" x14ac:dyDescent="0.3">
      <c r="A3383" s="45">
        <v>43050</v>
      </c>
      <c r="B3383" s="5" t="s">
        <v>58</v>
      </c>
      <c r="C3383" s="92" t="s">
        <v>2631</v>
      </c>
      <c r="D3383" s="43">
        <v>50</v>
      </c>
      <c r="E3383" s="43"/>
      <c r="F3383" s="28">
        <f t="shared" si="54"/>
        <v>1360</v>
      </c>
      <c r="G3383" s="43"/>
    </row>
    <row r="3384" spans="1:10" x14ac:dyDescent="0.3">
      <c r="A3384" s="45">
        <v>43050</v>
      </c>
      <c r="B3384" s="5" t="s">
        <v>58</v>
      </c>
      <c r="C3384" s="92" t="s">
        <v>2632</v>
      </c>
      <c r="D3384" s="43">
        <v>100</v>
      </c>
      <c r="E3384" s="43"/>
      <c r="F3384" s="28">
        <f t="shared" si="54"/>
        <v>1260</v>
      </c>
      <c r="G3384" s="43"/>
    </row>
    <row r="3385" spans="1:10" x14ac:dyDescent="0.3">
      <c r="A3385" s="45">
        <v>43050</v>
      </c>
      <c r="B3385" s="5" t="s">
        <v>25</v>
      </c>
      <c r="C3385" s="5" t="s">
        <v>2633</v>
      </c>
      <c r="D3385" s="43">
        <v>110</v>
      </c>
      <c r="E3385" s="43"/>
      <c r="F3385" s="28">
        <f t="shared" si="54"/>
        <v>1150</v>
      </c>
      <c r="G3385" s="43"/>
    </row>
    <row r="3386" spans="1:10" x14ac:dyDescent="0.3">
      <c r="A3386" s="45">
        <v>43050</v>
      </c>
      <c r="B3386" s="5" t="s">
        <v>25</v>
      </c>
      <c r="C3386" s="5" t="s">
        <v>2622</v>
      </c>
      <c r="D3386" s="43">
        <v>150</v>
      </c>
      <c r="E3386" s="43"/>
      <c r="F3386" s="28">
        <f t="shared" si="54"/>
        <v>1000</v>
      </c>
      <c r="G3386" s="43"/>
    </row>
    <row r="3387" spans="1:10" x14ac:dyDescent="0.3">
      <c r="A3387" s="45">
        <v>43050</v>
      </c>
      <c r="B3387" s="5" t="s">
        <v>25</v>
      </c>
      <c r="C3387" s="5" t="s">
        <v>2623</v>
      </c>
      <c r="D3387" s="43">
        <v>70</v>
      </c>
      <c r="E3387" s="43"/>
      <c r="F3387" s="28">
        <f t="shared" si="54"/>
        <v>930</v>
      </c>
      <c r="G3387" s="43"/>
    </row>
    <row r="3388" spans="1:10" x14ac:dyDescent="0.3">
      <c r="A3388" s="45">
        <v>43050</v>
      </c>
      <c r="B3388" s="5" t="s">
        <v>25</v>
      </c>
      <c r="C3388" s="5" t="s">
        <v>2624</v>
      </c>
      <c r="D3388" s="43">
        <v>350</v>
      </c>
      <c r="E3388" s="43"/>
      <c r="F3388" s="28">
        <f t="shared" si="54"/>
        <v>580</v>
      </c>
      <c r="G3388" s="43"/>
    </row>
    <row r="3389" spans="1:10" x14ac:dyDescent="0.3">
      <c r="A3389" s="45">
        <v>43050</v>
      </c>
      <c r="B3389" s="5" t="s">
        <v>25</v>
      </c>
      <c r="C3389" s="5" t="s">
        <v>2626</v>
      </c>
      <c r="D3389" s="43">
        <f>40+190+60</f>
        <v>290</v>
      </c>
      <c r="E3389" s="43"/>
      <c r="F3389" s="28">
        <f t="shared" si="54"/>
        <v>290</v>
      </c>
      <c r="G3389" s="43"/>
      <c r="H3389" s="167"/>
      <c r="I3389" s="167"/>
      <c r="J3389" s="167"/>
    </row>
    <row r="3390" spans="1:10" x14ac:dyDescent="0.3">
      <c r="A3390" s="45">
        <v>43050</v>
      </c>
      <c r="B3390" s="5" t="s">
        <v>25</v>
      </c>
      <c r="C3390" s="5" t="s">
        <v>2625</v>
      </c>
      <c r="D3390" s="43">
        <v>300</v>
      </c>
      <c r="E3390" s="43"/>
      <c r="F3390" s="28">
        <f>F3389+E3390-D3390</f>
        <v>-10</v>
      </c>
      <c r="G3390" s="43"/>
      <c r="H3390" s="167"/>
      <c r="I3390" s="135"/>
      <c r="J3390" s="167"/>
    </row>
    <row r="3391" spans="1:10" x14ac:dyDescent="0.3">
      <c r="A3391" s="45">
        <v>43052</v>
      </c>
      <c r="B3391" s="756" t="s">
        <v>2641</v>
      </c>
      <c r="C3391" s="756"/>
      <c r="D3391" s="71"/>
      <c r="E3391" s="72">
        <v>50000</v>
      </c>
      <c r="F3391" s="28">
        <v>50000</v>
      </c>
      <c r="G3391" s="43"/>
      <c r="H3391" s="167"/>
      <c r="I3391" s="135"/>
      <c r="J3391" s="167"/>
    </row>
    <row r="3392" spans="1:10" x14ac:dyDescent="0.3">
      <c r="A3392" s="45">
        <v>43052</v>
      </c>
      <c r="B3392" s="5" t="s">
        <v>16</v>
      </c>
      <c r="C3392" s="5" t="s">
        <v>2634</v>
      </c>
      <c r="D3392" s="43">
        <v>100</v>
      </c>
      <c r="E3392" s="43"/>
      <c r="F3392" s="28">
        <f>F3391+E3392-D3392</f>
        <v>49900</v>
      </c>
      <c r="G3392" s="43"/>
      <c r="H3392" s="167"/>
      <c r="I3392" s="135"/>
      <c r="J3392" s="167"/>
    </row>
    <row r="3393" spans="1:10" ht="56.25" x14ac:dyDescent="0.3">
      <c r="A3393" s="45">
        <v>43052</v>
      </c>
      <c r="B3393" s="5" t="s">
        <v>2638</v>
      </c>
      <c r="C3393" s="92" t="s">
        <v>2652</v>
      </c>
      <c r="D3393" s="43">
        <v>14100</v>
      </c>
      <c r="E3393" s="43"/>
      <c r="F3393" s="28">
        <f t="shared" ref="F3393:F3420" si="55">F3392+E3393-D3393</f>
        <v>35800</v>
      </c>
      <c r="G3393" s="43"/>
      <c r="H3393" s="167"/>
      <c r="I3393" s="167"/>
      <c r="J3393" s="167"/>
    </row>
    <row r="3394" spans="1:10" x14ac:dyDescent="0.3">
      <c r="A3394" s="45">
        <v>43052</v>
      </c>
      <c r="B3394" s="5" t="s">
        <v>1837</v>
      </c>
      <c r="C3394" s="5" t="s">
        <v>2636</v>
      </c>
      <c r="D3394" s="43">
        <v>2800</v>
      </c>
      <c r="E3394" s="43"/>
      <c r="F3394" s="28">
        <f t="shared" si="55"/>
        <v>33000</v>
      </c>
      <c r="G3394" s="43"/>
    </row>
    <row r="3395" spans="1:10" x14ac:dyDescent="0.3">
      <c r="A3395" s="45">
        <v>43052</v>
      </c>
      <c r="B3395" s="5" t="s">
        <v>1837</v>
      </c>
      <c r="C3395" s="5" t="s">
        <v>2635</v>
      </c>
      <c r="D3395" s="43">
        <v>3000</v>
      </c>
      <c r="E3395" s="43"/>
      <c r="F3395" s="28">
        <f t="shared" si="55"/>
        <v>30000</v>
      </c>
      <c r="G3395" s="43"/>
    </row>
    <row r="3396" spans="1:10" x14ac:dyDescent="0.3">
      <c r="A3396" s="45">
        <v>43052</v>
      </c>
      <c r="B3396" s="5" t="s">
        <v>14</v>
      </c>
      <c r="C3396" s="5" t="s">
        <v>2637</v>
      </c>
      <c r="D3396" s="43">
        <v>1000</v>
      </c>
      <c r="E3396" s="43"/>
      <c r="F3396" s="28">
        <f t="shared" si="55"/>
        <v>29000</v>
      </c>
      <c r="G3396" s="43"/>
    </row>
    <row r="3397" spans="1:10" x14ac:dyDescent="0.3">
      <c r="A3397" s="45">
        <v>43052</v>
      </c>
      <c r="B3397" s="5" t="s">
        <v>1837</v>
      </c>
      <c r="C3397" s="5" t="s">
        <v>2653</v>
      </c>
      <c r="D3397" s="43">
        <v>9000</v>
      </c>
      <c r="E3397" s="43"/>
      <c r="F3397" s="28">
        <f t="shared" si="55"/>
        <v>20000</v>
      </c>
      <c r="G3397" s="43"/>
    </row>
    <row r="3398" spans="1:10" x14ac:dyDescent="0.3">
      <c r="A3398" s="45">
        <v>43052</v>
      </c>
      <c r="B3398" s="5" t="s">
        <v>1837</v>
      </c>
      <c r="C3398" s="5" t="s">
        <v>2639</v>
      </c>
      <c r="D3398" s="43">
        <v>600</v>
      </c>
      <c r="E3398" s="43"/>
      <c r="F3398" s="28">
        <f t="shared" si="55"/>
        <v>19400</v>
      </c>
      <c r="G3398" s="43"/>
    </row>
    <row r="3399" spans="1:10" x14ac:dyDescent="0.3">
      <c r="A3399" s="45">
        <v>43052</v>
      </c>
      <c r="B3399" s="5" t="s">
        <v>57</v>
      </c>
      <c r="C3399" s="5" t="s">
        <v>2640</v>
      </c>
      <c r="D3399" s="43">
        <v>2000</v>
      </c>
      <c r="E3399" s="43"/>
      <c r="F3399" s="28">
        <f t="shared" si="55"/>
        <v>17400</v>
      </c>
      <c r="G3399" s="43"/>
    </row>
    <row r="3400" spans="1:10" ht="37.5" x14ac:dyDescent="0.3">
      <c r="A3400" s="45">
        <v>43053</v>
      </c>
      <c r="B3400" s="5" t="s">
        <v>25</v>
      </c>
      <c r="C3400" s="92" t="s">
        <v>2642</v>
      </c>
      <c r="D3400" s="43">
        <v>900</v>
      </c>
      <c r="E3400" s="43"/>
      <c r="F3400" s="28">
        <f t="shared" si="55"/>
        <v>16500</v>
      </c>
      <c r="G3400" s="43"/>
    </row>
    <row r="3401" spans="1:10" x14ac:dyDescent="0.3">
      <c r="A3401" s="45">
        <v>43053</v>
      </c>
      <c r="B3401" s="5" t="s">
        <v>25</v>
      </c>
      <c r="C3401" s="5" t="s">
        <v>2643</v>
      </c>
      <c r="D3401" s="43">
        <v>250</v>
      </c>
      <c r="E3401" s="43"/>
      <c r="F3401" s="28">
        <f t="shared" si="55"/>
        <v>16250</v>
      </c>
      <c r="G3401" s="43"/>
    </row>
    <row r="3402" spans="1:10" x14ac:dyDescent="0.3">
      <c r="A3402" s="45">
        <v>43053</v>
      </c>
      <c r="B3402" s="5" t="s">
        <v>25</v>
      </c>
      <c r="C3402" s="5" t="s">
        <v>2627</v>
      </c>
      <c r="D3402" s="43">
        <v>150</v>
      </c>
      <c r="E3402" s="43"/>
      <c r="F3402" s="28">
        <f t="shared" si="55"/>
        <v>16100</v>
      </c>
      <c r="G3402" s="43"/>
    </row>
    <row r="3403" spans="1:10" x14ac:dyDescent="0.3">
      <c r="A3403" s="45">
        <v>43053</v>
      </c>
      <c r="B3403" s="5" t="s">
        <v>25</v>
      </c>
      <c r="C3403" s="5" t="s">
        <v>2628</v>
      </c>
      <c r="D3403" s="43">
        <v>170</v>
      </c>
      <c r="E3403" s="43"/>
      <c r="F3403" s="28">
        <f t="shared" si="55"/>
        <v>15930</v>
      </c>
      <c r="G3403" s="43"/>
    </row>
    <row r="3404" spans="1:10" x14ac:dyDescent="0.3">
      <c r="A3404" s="45">
        <v>43053</v>
      </c>
      <c r="B3404" s="5" t="s">
        <v>25</v>
      </c>
      <c r="C3404" s="5" t="s">
        <v>939</v>
      </c>
      <c r="D3404" s="43">
        <v>370</v>
      </c>
      <c r="E3404" s="43"/>
      <c r="F3404" s="28">
        <f t="shared" si="55"/>
        <v>15560</v>
      </c>
      <c r="G3404" s="43"/>
    </row>
    <row r="3405" spans="1:10" ht="37.5" x14ac:dyDescent="0.3">
      <c r="A3405" s="45">
        <v>43053</v>
      </c>
      <c r="B3405" s="44" t="s">
        <v>20</v>
      </c>
      <c r="C3405" s="124" t="s">
        <v>2644</v>
      </c>
      <c r="D3405" s="28">
        <v>1000</v>
      </c>
      <c r="E3405" s="28"/>
      <c r="F3405" s="28">
        <f t="shared" si="55"/>
        <v>14560</v>
      </c>
      <c r="G3405" s="28"/>
    </row>
    <row r="3406" spans="1:10" x14ac:dyDescent="0.3">
      <c r="A3406" s="45">
        <v>43053</v>
      </c>
      <c r="B3406" s="5" t="s">
        <v>2645</v>
      </c>
      <c r="C3406" s="5" t="s">
        <v>2646</v>
      </c>
      <c r="D3406" s="43">
        <v>1000</v>
      </c>
      <c r="E3406" s="43"/>
      <c r="F3406" s="28">
        <f t="shared" si="55"/>
        <v>13560</v>
      </c>
      <c r="G3406" s="43"/>
    </row>
    <row r="3407" spans="1:10" x14ac:dyDescent="0.3">
      <c r="A3407" s="45">
        <v>43053</v>
      </c>
      <c r="B3407" s="5" t="s">
        <v>2159</v>
      </c>
      <c r="C3407" s="5" t="s">
        <v>2647</v>
      </c>
      <c r="D3407" s="43">
        <v>360</v>
      </c>
      <c r="E3407" s="43"/>
      <c r="F3407" s="28">
        <f t="shared" si="55"/>
        <v>13200</v>
      </c>
      <c r="G3407" s="43"/>
    </row>
    <row r="3408" spans="1:10" x14ac:dyDescent="0.3">
      <c r="A3408" s="45">
        <v>43054</v>
      </c>
      <c r="B3408" s="5" t="s">
        <v>16</v>
      </c>
      <c r="C3408" s="5" t="s">
        <v>2648</v>
      </c>
      <c r="D3408" s="43">
        <v>5000</v>
      </c>
      <c r="E3408" s="43"/>
      <c r="F3408" s="28">
        <f t="shared" si="55"/>
        <v>8200</v>
      </c>
      <c r="G3408" s="43"/>
    </row>
    <row r="3409" spans="1:7" x14ac:dyDescent="0.3">
      <c r="A3409" s="45">
        <v>43054</v>
      </c>
      <c r="B3409" s="5" t="s">
        <v>60</v>
      </c>
      <c r="C3409" s="5" t="s">
        <v>2649</v>
      </c>
      <c r="D3409" s="43">
        <v>2000</v>
      </c>
      <c r="E3409" s="43"/>
      <c r="F3409" s="28">
        <f t="shared" si="55"/>
        <v>6200</v>
      </c>
      <c r="G3409" s="43"/>
    </row>
    <row r="3410" spans="1:7" x14ac:dyDescent="0.3">
      <c r="A3410" s="45">
        <v>43054</v>
      </c>
      <c r="B3410" s="5" t="s">
        <v>2650</v>
      </c>
      <c r="C3410" s="5" t="s">
        <v>2651</v>
      </c>
      <c r="D3410" s="43">
        <v>2400</v>
      </c>
      <c r="E3410" s="43"/>
      <c r="F3410" s="28">
        <f t="shared" si="55"/>
        <v>3800</v>
      </c>
      <c r="G3410" s="43"/>
    </row>
    <row r="3411" spans="1:7" x14ac:dyDescent="0.3">
      <c r="A3411" s="45">
        <v>43054</v>
      </c>
      <c r="B3411" s="5" t="s">
        <v>1193</v>
      </c>
      <c r="C3411" s="5" t="s">
        <v>2654</v>
      </c>
      <c r="D3411" s="43">
        <v>2500</v>
      </c>
      <c r="E3411" s="43"/>
      <c r="F3411" s="28">
        <f t="shared" si="55"/>
        <v>1300</v>
      </c>
      <c r="G3411" s="43"/>
    </row>
    <row r="3412" spans="1:7" x14ac:dyDescent="0.3">
      <c r="A3412" s="45">
        <v>43055</v>
      </c>
      <c r="B3412" s="5" t="s">
        <v>25</v>
      </c>
      <c r="C3412" s="5" t="s">
        <v>2655</v>
      </c>
      <c r="D3412" s="43">
        <v>210</v>
      </c>
      <c r="E3412" s="43"/>
      <c r="F3412" s="28">
        <f t="shared" si="55"/>
        <v>1090</v>
      </c>
      <c r="G3412" s="43"/>
    </row>
    <row r="3413" spans="1:7" x14ac:dyDescent="0.3">
      <c r="A3413" s="45">
        <v>43055</v>
      </c>
      <c r="B3413" s="5" t="s">
        <v>2645</v>
      </c>
      <c r="C3413" s="5" t="s">
        <v>2656</v>
      </c>
      <c r="D3413" s="43">
        <v>50</v>
      </c>
      <c r="E3413" s="43"/>
      <c r="F3413" s="28">
        <f t="shared" si="55"/>
        <v>1040</v>
      </c>
      <c r="G3413" s="43"/>
    </row>
    <row r="3414" spans="1:7" x14ac:dyDescent="0.3">
      <c r="A3414" s="45">
        <v>43055</v>
      </c>
      <c r="B3414" s="5" t="s">
        <v>25</v>
      </c>
      <c r="C3414" s="5" t="s">
        <v>667</v>
      </c>
      <c r="D3414" s="43">
        <v>130</v>
      </c>
      <c r="E3414" s="43"/>
      <c r="F3414" s="28">
        <f t="shared" si="55"/>
        <v>910</v>
      </c>
      <c r="G3414" s="43"/>
    </row>
    <row r="3415" spans="1:7" x14ac:dyDescent="0.3">
      <c r="A3415" s="45">
        <v>43055</v>
      </c>
      <c r="B3415" s="5" t="s">
        <v>25</v>
      </c>
      <c r="C3415" s="5" t="s">
        <v>2657</v>
      </c>
      <c r="D3415" s="43">
        <v>70</v>
      </c>
      <c r="E3415" s="43"/>
      <c r="F3415" s="28">
        <f t="shared" si="55"/>
        <v>840</v>
      </c>
      <c r="G3415" s="43"/>
    </row>
    <row r="3416" spans="1:7" x14ac:dyDescent="0.3">
      <c r="A3416" s="45">
        <v>43055</v>
      </c>
      <c r="B3416" s="5" t="s">
        <v>25</v>
      </c>
      <c r="C3416" s="5" t="s">
        <v>2658</v>
      </c>
      <c r="D3416" s="43">
        <v>100</v>
      </c>
      <c r="E3416" s="43"/>
      <c r="F3416" s="28">
        <f t="shared" si="55"/>
        <v>740</v>
      </c>
      <c r="G3416" s="43"/>
    </row>
    <row r="3417" spans="1:7" x14ac:dyDescent="0.3">
      <c r="A3417" s="45">
        <v>43055</v>
      </c>
      <c r="B3417" s="5" t="s">
        <v>25</v>
      </c>
      <c r="C3417" s="5" t="s">
        <v>2659</v>
      </c>
      <c r="D3417" s="43">
        <v>350</v>
      </c>
      <c r="E3417" s="43"/>
      <c r="F3417" s="28">
        <f t="shared" si="55"/>
        <v>390</v>
      </c>
      <c r="G3417" s="43"/>
    </row>
    <row r="3418" spans="1:7" x14ac:dyDescent="0.3">
      <c r="A3418" s="45">
        <v>43055</v>
      </c>
      <c r="B3418" s="5" t="s">
        <v>25</v>
      </c>
      <c r="C3418" s="5" t="s">
        <v>2660</v>
      </c>
      <c r="D3418" s="43">
        <v>200</v>
      </c>
      <c r="E3418" s="43"/>
      <c r="F3418" s="28">
        <f t="shared" si="55"/>
        <v>190</v>
      </c>
      <c r="G3418" s="43"/>
    </row>
    <row r="3419" spans="1:7" x14ac:dyDescent="0.3">
      <c r="A3419" s="45">
        <v>43055</v>
      </c>
      <c r="B3419" s="5" t="s">
        <v>25</v>
      </c>
      <c r="C3419" s="5" t="s">
        <v>2661</v>
      </c>
      <c r="D3419" s="43">
        <v>250</v>
      </c>
      <c r="E3419" s="43"/>
      <c r="F3419" s="28">
        <f t="shared" si="55"/>
        <v>-60</v>
      </c>
      <c r="G3419" s="43"/>
    </row>
    <row r="3420" spans="1:7" x14ac:dyDescent="0.3">
      <c r="A3420" s="45">
        <v>43055</v>
      </c>
      <c r="B3420" s="756" t="s">
        <v>2665</v>
      </c>
      <c r="C3420" s="756"/>
      <c r="D3420" s="71"/>
      <c r="E3420" s="72">
        <v>50000</v>
      </c>
      <c r="F3420" s="28">
        <f t="shared" si="55"/>
        <v>49940</v>
      </c>
      <c r="G3420" s="43"/>
    </row>
    <row r="3421" spans="1:7" x14ac:dyDescent="0.3">
      <c r="A3421" s="45">
        <v>43055</v>
      </c>
      <c r="B3421" s="44" t="s">
        <v>16</v>
      </c>
      <c r="C3421" s="44" t="s">
        <v>2666</v>
      </c>
      <c r="D3421" s="28">
        <v>11000</v>
      </c>
      <c r="E3421" s="28"/>
      <c r="F3421" s="28">
        <f>F3420+E3421-D3421</f>
        <v>38940</v>
      </c>
      <c r="G3421" s="28"/>
    </row>
    <row r="3422" spans="1:7" x14ac:dyDescent="0.3">
      <c r="A3422" s="45">
        <v>43055</v>
      </c>
      <c r="B3422" s="44" t="s">
        <v>1512</v>
      </c>
      <c r="C3422" s="44" t="s">
        <v>2667</v>
      </c>
      <c r="D3422" s="28">
        <v>1000</v>
      </c>
      <c r="E3422" s="28"/>
      <c r="F3422" s="28">
        <f>F3421+E3422-D3422</f>
        <v>37940</v>
      </c>
      <c r="G3422" s="28"/>
    </row>
    <row r="3423" spans="1:7" x14ac:dyDescent="0.3">
      <c r="A3423" s="45">
        <v>43055</v>
      </c>
      <c r="B3423" s="44" t="s">
        <v>60</v>
      </c>
      <c r="C3423" s="44" t="s">
        <v>31</v>
      </c>
      <c r="D3423" s="28">
        <v>2000</v>
      </c>
      <c r="E3423" s="28"/>
      <c r="F3423" s="28">
        <f>F3422+E3423-D3423</f>
        <v>35940</v>
      </c>
      <c r="G3423" s="28"/>
    </row>
    <row r="3424" spans="1:7" ht="37.5" x14ac:dyDescent="0.3">
      <c r="A3424" s="45">
        <v>43055</v>
      </c>
      <c r="B3424" s="44" t="s">
        <v>2594</v>
      </c>
      <c r="C3424" s="124" t="s">
        <v>2668</v>
      </c>
      <c r="D3424" s="28">
        <v>550</v>
      </c>
      <c r="E3424" s="28"/>
      <c r="F3424" s="28">
        <f>F3423+E3424-D3424</f>
        <v>35390</v>
      </c>
      <c r="G3424" s="28"/>
    </row>
    <row r="3425" spans="1:7" ht="56.25" x14ac:dyDescent="0.3">
      <c r="A3425" s="45">
        <v>43055</v>
      </c>
      <c r="B3425" s="44" t="s">
        <v>2502</v>
      </c>
      <c r="C3425" s="124" t="s">
        <v>2669</v>
      </c>
      <c r="D3425" s="28">
        <v>800</v>
      </c>
      <c r="E3425" s="28"/>
      <c r="F3425" s="28">
        <f t="shared" ref="F3425:F3465" si="56">F3424+E3425-D3425</f>
        <v>34590</v>
      </c>
      <c r="G3425" s="28"/>
    </row>
    <row r="3426" spans="1:7" x14ac:dyDescent="0.3">
      <c r="A3426" s="45">
        <v>43055</v>
      </c>
      <c r="B3426" s="44" t="s">
        <v>25</v>
      </c>
      <c r="C3426" s="44" t="s">
        <v>2326</v>
      </c>
      <c r="D3426" s="28">
        <v>150</v>
      </c>
      <c r="E3426" s="28"/>
      <c r="F3426" s="28">
        <f t="shared" si="56"/>
        <v>34440</v>
      </c>
      <c r="G3426" s="28"/>
    </row>
    <row r="3427" spans="1:7" x14ac:dyDescent="0.3">
      <c r="A3427" s="45">
        <v>43055</v>
      </c>
      <c r="B3427" s="44" t="s">
        <v>25</v>
      </c>
      <c r="C3427" s="44" t="s">
        <v>2662</v>
      </c>
      <c r="D3427" s="28">
        <v>50</v>
      </c>
      <c r="E3427" s="28"/>
      <c r="F3427" s="28">
        <f t="shared" si="56"/>
        <v>34390</v>
      </c>
      <c r="G3427" s="28"/>
    </row>
    <row r="3428" spans="1:7" x14ac:dyDescent="0.3">
      <c r="A3428" s="45">
        <v>43055</v>
      </c>
      <c r="B3428" s="44" t="s">
        <v>25</v>
      </c>
      <c r="C3428" s="44" t="s">
        <v>2663</v>
      </c>
      <c r="D3428" s="28">
        <v>170</v>
      </c>
      <c r="E3428" s="28"/>
      <c r="F3428" s="28">
        <f t="shared" si="56"/>
        <v>34220</v>
      </c>
      <c r="G3428" s="28"/>
    </row>
    <row r="3429" spans="1:7" x14ac:dyDescent="0.3">
      <c r="A3429" s="45">
        <v>43055</v>
      </c>
      <c r="B3429" s="44" t="s">
        <v>25</v>
      </c>
      <c r="C3429" s="44" t="s">
        <v>2664</v>
      </c>
      <c r="D3429" s="28">
        <v>360</v>
      </c>
      <c r="E3429" s="28"/>
      <c r="F3429" s="28">
        <f t="shared" si="56"/>
        <v>33860</v>
      </c>
      <c r="G3429" s="28"/>
    </row>
    <row r="3430" spans="1:7" x14ac:dyDescent="0.3">
      <c r="A3430" s="45">
        <v>43055</v>
      </c>
      <c r="B3430" s="44" t="s">
        <v>25</v>
      </c>
      <c r="C3430" s="44" t="s">
        <v>51</v>
      </c>
      <c r="D3430" s="28">
        <v>170</v>
      </c>
      <c r="E3430" s="28"/>
      <c r="F3430" s="28">
        <f t="shared" si="56"/>
        <v>33690</v>
      </c>
      <c r="G3430" s="28"/>
    </row>
    <row r="3431" spans="1:7" x14ac:dyDescent="0.3">
      <c r="A3431" s="45">
        <v>43055</v>
      </c>
      <c r="B3431" s="44" t="s">
        <v>25</v>
      </c>
      <c r="C3431" s="44" t="s">
        <v>2689</v>
      </c>
      <c r="D3431" s="28">
        <v>70</v>
      </c>
      <c r="E3431" s="28"/>
      <c r="F3431" s="28">
        <f t="shared" si="56"/>
        <v>33620</v>
      </c>
      <c r="G3431" s="28"/>
    </row>
    <row r="3432" spans="1:7" ht="37.5" x14ac:dyDescent="0.3">
      <c r="A3432" s="45">
        <v>43056</v>
      </c>
      <c r="B3432" s="44" t="s">
        <v>1837</v>
      </c>
      <c r="C3432" s="124" t="s">
        <v>2670</v>
      </c>
      <c r="D3432" s="28">
        <v>200</v>
      </c>
      <c r="E3432" s="28"/>
      <c r="F3432" s="28">
        <f t="shared" si="56"/>
        <v>33420</v>
      </c>
      <c r="G3432" s="28"/>
    </row>
    <row r="3433" spans="1:7" ht="56.25" x14ac:dyDescent="0.3">
      <c r="A3433" s="45">
        <v>43056</v>
      </c>
      <c r="B3433" s="44" t="s">
        <v>28</v>
      </c>
      <c r="C3433" s="124" t="s">
        <v>2671</v>
      </c>
      <c r="D3433" s="28">
        <v>5000</v>
      </c>
      <c r="E3433" s="28"/>
      <c r="F3433" s="28">
        <f t="shared" si="56"/>
        <v>28420</v>
      </c>
      <c r="G3433" s="28"/>
    </row>
    <row r="3434" spans="1:7" x14ac:dyDescent="0.3">
      <c r="A3434" s="45">
        <v>43056</v>
      </c>
      <c r="B3434" s="5" t="s">
        <v>1616</v>
      </c>
      <c r="C3434" s="92" t="s">
        <v>2672</v>
      </c>
      <c r="D3434" s="43">
        <v>1000</v>
      </c>
      <c r="E3434" s="43"/>
      <c r="F3434" s="28">
        <f t="shared" si="56"/>
        <v>27420</v>
      </c>
      <c r="G3434" s="43"/>
    </row>
    <row r="3435" spans="1:7" x14ac:dyDescent="0.3">
      <c r="A3435" s="45">
        <v>43056</v>
      </c>
      <c r="B3435" s="5" t="s">
        <v>1616</v>
      </c>
      <c r="C3435" s="92" t="s">
        <v>2673</v>
      </c>
      <c r="D3435" s="43">
        <v>520</v>
      </c>
      <c r="E3435" s="43"/>
      <c r="F3435" s="28">
        <f t="shared" si="56"/>
        <v>26900</v>
      </c>
      <c r="G3435" s="43"/>
    </row>
    <row r="3436" spans="1:7" x14ac:dyDescent="0.3">
      <c r="A3436" s="45">
        <v>43056</v>
      </c>
      <c r="B3436" s="5" t="s">
        <v>2674</v>
      </c>
      <c r="C3436" s="92" t="s">
        <v>2675</v>
      </c>
      <c r="D3436" s="43">
        <v>1010</v>
      </c>
      <c r="E3436" s="43"/>
      <c r="F3436" s="28">
        <f t="shared" si="56"/>
        <v>25890</v>
      </c>
      <c r="G3436" s="43"/>
    </row>
    <row r="3437" spans="1:7" x14ac:dyDescent="0.3">
      <c r="A3437" s="45">
        <v>43056</v>
      </c>
      <c r="B3437" s="5" t="s">
        <v>247</v>
      </c>
      <c r="C3437" s="92" t="s">
        <v>2676</v>
      </c>
      <c r="D3437" s="43">
        <v>2955</v>
      </c>
      <c r="E3437" s="43"/>
      <c r="F3437" s="28">
        <f t="shared" si="56"/>
        <v>22935</v>
      </c>
      <c r="G3437" s="43"/>
    </row>
    <row r="3438" spans="1:7" x14ac:dyDescent="0.3">
      <c r="A3438" s="45">
        <v>43056</v>
      </c>
      <c r="B3438" s="5" t="s">
        <v>247</v>
      </c>
      <c r="C3438" s="92" t="s">
        <v>2677</v>
      </c>
      <c r="D3438" s="43">
        <v>2100</v>
      </c>
      <c r="E3438" s="43"/>
      <c r="F3438" s="28">
        <f t="shared" si="56"/>
        <v>20835</v>
      </c>
      <c r="G3438" s="43"/>
    </row>
    <row r="3439" spans="1:7" x14ac:dyDescent="0.3">
      <c r="A3439" s="45">
        <v>43056</v>
      </c>
      <c r="B3439" s="139" t="s">
        <v>58</v>
      </c>
      <c r="C3439" s="151" t="s">
        <v>2678</v>
      </c>
      <c r="D3439" s="140">
        <v>850</v>
      </c>
      <c r="E3439" s="43"/>
      <c r="F3439" s="28">
        <f t="shared" si="56"/>
        <v>19985</v>
      </c>
      <c r="G3439" s="43"/>
    </row>
    <row r="3440" spans="1:7" x14ac:dyDescent="0.3">
      <c r="A3440" s="45">
        <v>43056</v>
      </c>
      <c r="B3440" s="5" t="s">
        <v>20</v>
      </c>
      <c r="C3440" s="92" t="s">
        <v>2679</v>
      </c>
      <c r="D3440" s="43">
        <v>1000</v>
      </c>
      <c r="E3440" s="43"/>
      <c r="F3440" s="28">
        <f t="shared" si="56"/>
        <v>18985</v>
      </c>
      <c r="G3440" s="43"/>
    </row>
    <row r="3441" spans="1:7" x14ac:dyDescent="0.3">
      <c r="A3441" s="45">
        <v>43056</v>
      </c>
      <c r="B3441" s="5" t="s">
        <v>25</v>
      </c>
      <c r="C3441" s="92" t="s">
        <v>2687</v>
      </c>
      <c r="D3441" s="43">
        <v>70</v>
      </c>
      <c r="E3441" s="43"/>
      <c r="F3441" s="28">
        <f t="shared" si="56"/>
        <v>18915</v>
      </c>
      <c r="G3441" s="43"/>
    </row>
    <row r="3442" spans="1:7" x14ac:dyDescent="0.3">
      <c r="A3442" s="45">
        <v>43056</v>
      </c>
      <c r="B3442" s="5" t="s">
        <v>25</v>
      </c>
      <c r="C3442" s="92" t="s">
        <v>2680</v>
      </c>
      <c r="D3442" s="43">
        <v>200</v>
      </c>
      <c r="E3442" s="43"/>
      <c r="F3442" s="28">
        <f t="shared" si="56"/>
        <v>18715</v>
      </c>
      <c r="G3442" s="43"/>
    </row>
    <row r="3443" spans="1:7" x14ac:dyDescent="0.3">
      <c r="A3443" s="45">
        <v>43056</v>
      </c>
      <c r="B3443" s="5" t="s">
        <v>247</v>
      </c>
      <c r="C3443" s="92" t="s">
        <v>2013</v>
      </c>
      <c r="D3443" s="43">
        <v>50</v>
      </c>
      <c r="E3443" s="43"/>
      <c r="F3443" s="28">
        <f t="shared" si="56"/>
        <v>18665</v>
      </c>
      <c r="G3443" s="43"/>
    </row>
    <row r="3444" spans="1:7" x14ac:dyDescent="0.3">
      <c r="A3444" s="45">
        <v>43056</v>
      </c>
      <c r="B3444" s="139" t="s">
        <v>1343</v>
      </c>
      <c r="C3444" s="151" t="s">
        <v>2697</v>
      </c>
      <c r="D3444" s="140">
        <v>10000</v>
      </c>
      <c r="E3444" s="43"/>
      <c r="F3444" s="28">
        <f t="shared" si="56"/>
        <v>8665</v>
      </c>
      <c r="G3444" s="43"/>
    </row>
    <row r="3445" spans="1:7" x14ac:dyDescent="0.3">
      <c r="A3445" s="45">
        <v>43056</v>
      </c>
      <c r="B3445" s="5" t="s">
        <v>25</v>
      </c>
      <c r="C3445" s="92" t="s">
        <v>2682</v>
      </c>
      <c r="D3445" s="43">
        <v>70</v>
      </c>
      <c r="E3445" s="43"/>
      <c r="F3445" s="28">
        <f t="shared" si="56"/>
        <v>8595</v>
      </c>
      <c r="G3445" s="43"/>
    </row>
    <row r="3446" spans="1:7" x14ac:dyDescent="0.3">
      <c r="A3446" s="45">
        <v>43056</v>
      </c>
      <c r="B3446" s="5" t="s">
        <v>25</v>
      </c>
      <c r="C3446" s="92" t="s">
        <v>2683</v>
      </c>
      <c r="D3446" s="43">
        <v>130</v>
      </c>
      <c r="E3446" s="43"/>
      <c r="F3446" s="28">
        <f t="shared" si="56"/>
        <v>8465</v>
      </c>
      <c r="G3446" s="43"/>
    </row>
    <row r="3447" spans="1:7" x14ac:dyDescent="0.3">
      <c r="A3447" s="45">
        <v>43056</v>
      </c>
      <c r="B3447" s="5" t="s">
        <v>25</v>
      </c>
      <c r="C3447" s="92" t="s">
        <v>2684</v>
      </c>
      <c r="D3447" s="43">
        <v>130</v>
      </c>
      <c r="E3447" s="43"/>
      <c r="F3447" s="28">
        <f t="shared" si="56"/>
        <v>8335</v>
      </c>
      <c r="G3447" s="43"/>
    </row>
    <row r="3448" spans="1:7" x14ac:dyDescent="0.3">
      <c r="A3448" s="45">
        <v>43056</v>
      </c>
      <c r="B3448" s="5" t="s">
        <v>84</v>
      </c>
      <c r="C3448" s="92" t="s">
        <v>2690</v>
      </c>
      <c r="D3448" s="43">
        <v>1000</v>
      </c>
      <c r="E3448" s="43"/>
      <c r="F3448" s="28">
        <f t="shared" si="56"/>
        <v>7335</v>
      </c>
      <c r="G3448" s="43"/>
    </row>
    <row r="3449" spans="1:7" x14ac:dyDescent="0.3">
      <c r="A3449" s="45">
        <v>43056</v>
      </c>
      <c r="B3449" s="5" t="s">
        <v>25</v>
      </c>
      <c r="C3449" s="92" t="s">
        <v>2685</v>
      </c>
      <c r="D3449" s="43">
        <v>15</v>
      </c>
      <c r="E3449" s="43"/>
      <c r="F3449" s="28">
        <f t="shared" si="56"/>
        <v>7320</v>
      </c>
      <c r="G3449" s="43"/>
    </row>
    <row r="3450" spans="1:7" x14ac:dyDescent="0.3">
      <c r="A3450" s="45">
        <v>43056</v>
      </c>
      <c r="B3450" s="5" t="s">
        <v>25</v>
      </c>
      <c r="C3450" s="92" t="s">
        <v>2688</v>
      </c>
      <c r="D3450" s="43">
        <v>150</v>
      </c>
      <c r="E3450" s="43"/>
      <c r="F3450" s="28">
        <f>F3449+E3450-D3450</f>
        <v>7170</v>
      </c>
      <c r="G3450" s="43"/>
    </row>
    <row r="3451" spans="1:7" x14ac:dyDescent="0.3">
      <c r="A3451" s="45">
        <v>43056</v>
      </c>
      <c r="B3451" s="5" t="s">
        <v>25</v>
      </c>
      <c r="C3451" s="92" t="s">
        <v>2701</v>
      </c>
      <c r="D3451" s="43">
        <v>100</v>
      </c>
      <c r="E3451" s="43"/>
      <c r="F3451" s="28">
        <f>F3450+E3451-D3451</f>
        <v>7070</v>
      </c>
      <c r="G3451" s="28"/>
    </row>
    <row r="3452" spans="1:7" x14ac:dyDescent="0.3">
      <c r="A3452" s="45">
        <v>43057</v>
      </c>
      <c r="B3452" s="5" t="s">
        <v>10</v>
      </c>
      <c r="C3452" s="92" t="s">
        <v>2681</v>
      </c>
      <c r="D3452" s="65">
        <v>1000</v>
      </c>
      <c r="E3452" s="43"/>
      <c r="F3452" s="28">
        <f t="shared" si="56"/>
        <v>6070</v>
      </c>
      <c r="G3452" s="28"/>
    </row>
    <row r="3453" spans="1:7" ht="30" customHeight="1" x14ac:dyDescent="0.3">
      <c r="A3453" s="45">
        <v>43057</v>
      </c>
      <c r="B3453" s="5" t="s">
        <v>2594</v>
      </c>
      <c r="C3453" s="92" t="s">
        <v>2698</v>
      </c>
      <c r="D3453" s="65">
        <v>3400</v>
      </c>
      <c r="E3453" s="43"/>
      <c r="F3453" s="28">
        <f t="shared" si="56"/>
        <v>2670</v>
      </c>
      <c r="G3453" s="28"/>
    </row>
    <row r="3454" spans="1:7" ht="37.5" x14ac:dyDescent="0.3">
      <c r="A3454" s="45">
        <v>43057</v>
      </c>
      <c r="B3454" s="5" t="s">
        <v>2594</v>
      </c>
      <c r="C3454" s="92" t="s">
        <v>2699</v>
      </c>
      <c r="D3454" s="65">
        <v>400</v>
      </c>
      <c r="E3454" s="43"/>
      <c r="F3454" s="28">
        <f t="shared" si="56"/>
        <v>2270</v>
      </c>
      <c r="G3454" s="28"/>
    </row>
    <row r="3455" spans="1:7" ht="37.5" x14ac:dyDescent="0.3">
      <c r="A3455" s="45">
        <v>43057</v>
      </c>
      <c r="B3455" s="5" t="s">
        <v>2594</v>
      </c>
      <c r="C3455" s="92" t="s">
        <v>2700</v>
      </c>
      <c r="D3455" s="65">
        <v>200</v>
      </c>
      <c r="E3455" s="43"/>
      <c r="F3455" s="28">
        <f t="shared" si="56"/>
        <v>2070</v>
      </c>
      <c r="G3455" s="28"/>
    </row>
    <row r="3456" spans="1:7" ht="37.5" x14ac:dyDescent="0.3">
      <c r="A3456" s="45">
        <v>43057</v>
      </c>
      <c r="B3456" s="44" t="s">
        <v>58</v>
      </c>
      <c r="C3456" s="124" t="s">
        <v>2686</v>
      </c>
      <c r="D3456" s="28">
        <v>250</v>
      </c>
      <c r="E3456" s="28"/>
      <c r="F3456" s="28">
        <f t="shared" si="56"/>
        <v>1820</v>
      </c>
      <c r="G3456" s="28"/>
    </row>
    <row r="3457" spans="1:7" ht="37.5" x14ac:dyDescent="0.3">
      <c r="A3457" s="45">
        <v>43057</v>
      </c>
      <c r="B3457" s="44" t="s">
        <v>58</v>
      </c>
      <c r="C3457" s="124" t="s">
        <v>2695</v>
      </c>
      <c r="D3457" s="28">
        <v>120</v>
      </c>
      <c r="E3457" s="28"/>
      <c r="F3457" s="28">
        <f t="shared" si="56"/>
        <v>1700</v>
      </c>
      <c r="G3457" s="28"/>
    </row>
    <row r="3458" spans="1:7" x14ac:dyDescent="0.3">
      <c r="A3458" s="45">
        <v>43057</v>
      </c>
      <c r="B3458" s="44" t="s">
        <v>58</v>
      </c>
      <c r="C3458" s="124" t="s">
        <v>2691</v>
      </c>
      <c r="D3458" s="28">
        <v>50</v>
      </c>
      <c r="E3458" s="28"/>
      <c r="F3458" s="28">
        <f t="shared" si="56"/>
        <v>1650</v>
      </c>
      <c r="G3458" s="28"/>
    </row>
    <row r="3459" spans="1:7" x14ac:dyDescent="0.3">
      <c r="A3459" s="45">
        <v>43061</v>
      </c>
      <c r="B3459" s="5" t="s">
        <v>25</v>
      </c>
      <c r="C3459" s="92" t="s">
        <v>2692</v>
      </c>
      <c r="D3459" s="43">
        <v>480</v>
      </c>
      <c r="E3459" s="43"/>
      <c r="F3459" s="28">
        <f t="shared" si="56"/>
        <v>1170</v>
      </c>
      <c r="G3459" s="43"/>
    </row>
    <row r="3460" spans="1:7" x14ac:dyDescent="0.3">
      <c r="A3460" s="45">
        <v>43061</v>
      </c>
      <c r="B3460" s="5" t="s">
        <v>25</v>
      </c>
      <c r="C3460" s="92" t="s">
        <v>2659</v>
      </c>
      <c r="D3460" s="43">
        <v>350</v>
      </c>
      <c r="E3460" s="43"/>
      <c r="F3460" s="28">
        <f t="shared" si="56"/>
        <v>820</v>
      </c>
      <c r="G3460" s="43"/>
    </row>
    <row r="3461" spans="1:7" x14ac:dyDescent="0.3">
      <c r="A3461" s="45">
        <v>43061</v>
      </c>
      <c r="B3461" s="5" t="s">
        <v>25</v>
      </c>
      <c r="C3461" s="92" t="s">
        <v>2693</v>
      </c>
      <c r="D3461" s="43">
        <v>100</v>
      </c>
      <c r="E3461" s="43"/>
      <c r="F3461" s="28">
        <f t="shared" si="56"/>
        <v>720</v>
      </c>
      <c r="G3461" s="43"/>
    </row>
    <row r="3462" spans="1:7" x14ac:dyDescent="0.3">
      <c r="A3462" s="45">
        <v>43061</v>
      </c>
      <c r="B3462" s="5" t="s">
        <v>25</v>
      </c>
      <c r="C3462" s="92" t="s">
        <v>2694</v>
      </c>
      <c r="D3462" s="43">
        <v>150</v>
      </c>
      <c r="E3462" s="43"/>
      <c r="F3462" s="28">
        <f t="shared" si="56"/>
        <v>570</v>
      </c>
      <c r="G3462" s="43"/>
    </row>
    <row r="3463" spans="1:7" x14ac:dyDescent="0.3">
      <c r="A3463" s="45">
        <v>43061</v>
      </c>
      <c r="B3463" s="5" t="s">
        <v>25</v>
      </c>
      <c r="C3463" s="92" t="s">
        <v>939</v>
      </c>
      <c r="D3463" s="43">
        <v>380</v>
      </c>
      <c r="E3463" s="43"/>
      <c r="F3463" s="28">
        <f t="shared" si="56"/>
        <v>190</v>
      </c>
      <c r="G3463" s="43"/>
    </row>
    <row r="3464" spans="1:7" x14ac:dyDescent="0.3">
      <c r="A3464" s="45">
        <v>43061</v>
      </c>
      <c r="B3464" s="5" t="s">
        <v>25</v>
      </c>
      <c r="C3464" s="92" t="s">
        <v>2696</v>
      </c>
      <c r="D3464" s="43">
        <v>150</v>
      </c>
      <c r="E3464" s="43"/>
      <c r="F3464" s="28">
        <f t="shared" si="56"/>
        <v>40</v>
      </c>
      <c r="G3464" s="43"/>
    </row>
    <row r="3465" spans="1:7" x14ac:dyDescent="0.3">
      <c r="A3465" s="45">
        <v>43061</v>
      </c>
      <c r="B3465" s="5" t="s">
        <v>25</v>
      </c>
      <c r="C3465" s="92" t="s">
        <v>2685</v>
      </c>
      <c r="D3465" s="43">
        <v>50</v>
      </c>
      <c r="E3465" s="43"/>
      <c r="F3465" s="28">
        <f t="shared" si="56"/>
        <v>-10</v>
      </c>
      <c r="G3465" s="43"/>
    </row>
    <row r="3466" spans="1:7" x14ac:dyDescent="0.3">
      <c r="A3466" s="45">
        <v>43061</v>
      </c>
      <c r="B3466" s="756" t="s">
        <v>2713</v>
      </c>
      <c r="C3466" s="756"/>
      <c r="D3466" s="71"/>
      <c r="E3466" s="72">
        <v>50000</v>
      </c>
      <c r="F3466" s="28">
        <v>50000</v>
      </c>
      <c r="G3466" s="43"/>
    </row>
    <row r="3467" spans="1:7" x14ac:dyDescent="0.3">
      <c r="A3467" s="45">
        <v>43061</v>
      </c>
      <c r="B3467" s="5" t="s">
        <v>0</v>
      </c>
      <c r="C3467" s="92" t="s">
        <v>489</v>
      </c>
      <c r="D3467" s="43">
        <v>8000</v>
      </c>
      <c r="E3467" s="43"/>
      <c r="F3467" s="28">
        <f t="shared" ref="F3467:F3530" si="57">F3466-D3467+E3467</f>
        <v>42000</v>
      </c>
      <c r="G3467" s="43"/>
    </row>
    <row r="3468" spans="1:7" x14ac:dyDescent="0.3">
      <c r="A3468" s="45">
        <v>43061</v>
      </c>
      <c r="B3468" s="5" t="s">
        <v>25</v>
      </c>
      <c r="C3468" s="92" t="s">
        <v>2702</v>
      </c>
      <c r="D3468" s="43">
        <v>900</v>
      </c>
      <c r="E3468" s="43"/>
      <c r="F3468" s="28">
        <f t="shared" si="57"/>
        <v>41100</v>
      </c>
      <c r="G3468" s="43"/>
    </row>
    <row r="3469" spans="1:7" ht="37.5" x14ac:dyDescent="0.3">
      <c r="A3469" s="45">
        <v>43061</v>
      </c>
      <c r="B3469" s="5" t="s">
        <v>60</v>
      </c>
      <c r="C3469" s="92" t="s">
        <v>2703</v>
      </c>
      <c r="D3469" s="43">
        <v>500</v>
      </c>
      <c r="E3469" s="43"/>
      <c r="F3469" s="28">
        <f t="shared" si="57"/>
        <v>40600</v>
      </c>
      <c r="G3469" s="43"/>
    </row>
    <row r="3470" spans="1:7" ht="37.5" x14ac:dyDescent="0.3">
      <c r="A3470" s="45">
        <v>43061</v>
      </c>
      <c r="B3470" s="5" t="s">
        <v>48</v>
      </c>
      <c r="C3470" s="92" t="s">
        <v>2704</v>
      </c>
      <c r="D3470" s="43">
        <v>125</v>
      </c>
      <c r="E3470" s="43"/>
      <c r="F3470" s="28">
        <f t="shared" si="57"/>
        <v>40475</v>
      </c>
      <c r="G3470" s="43"/>
    </row>
    <row r="3471" spans="1:7" ht="37.5" x14ac:dyDescent="0.3">
      <c r="A3471" s="45">
        <v>43061</v>
      </c>
      <c r="B3471" s="5" t="s">
        <v>84</v>
      </c>
      <c r="C3471" s="92" t="s">
        <v>2705</v>
      </c>
      <c r="D3471" s="43">
        <v>3000</v>
      </c>
      <c r="E3471" s="43"/>
      <c r="F3471" s="28">
        <f t="shared" si="57"/>
        <v>37475</v>
      </c>
      <c r="G3471" s="43"/>
    </row>
    <row r="3472" spans="1:7" x14ac:dyDescent="0.3">
      <c r="A3472" s="45">
        <v>43061</v>
      </c>
      <c r="B3472" s="5" t="s">
        <v>25</v>
      </c>
      <c r="C3472" s="92" t="s">
        <v>2706</v>
      </c>
      <c r="D3472" s="43">
        <v>250</v>
      </c>
      <c r="E3472" s="43"/>
      <c r="F3472" s="28">
        <f t="shared" si="57"/>
        <v>37225</v>
      </c>
      <c r="G3472" s="43"/>
    </row>
    <row r="3473" spans="1:7" x14ac:dyDescent="0.3">
      <c r="A3473" s="45">
        <v>43061</v>
      </c>
      <c r="B3473" s="5" t="s">
        <v>25</v>
      </c>
      <c r="C3473" s="92" t="s">
        <v>2707</v>
      </c>
      <c r="D3473" s="43">
        <v>70</v>
      </c>
      <c r="E3473" s="43"/>
      <c r="F3473" s="28">
        <f t="shared" si="57"/>
        <v>37155</v>
      </c>
      <c r="G3473" s="43"/>
    </row>
    <row r="3474" spans="1:7" x14ac:dyDescent="0.3">
      <c r="A3474" s="45">
        <v>43061</v>
      </c>
      <c r="B3474" s="5" t="s">
        <v>25</v>
      </c>
      <c r="C3474" s="92" t="s">
        <v>2708</v>
      </c>
      <c r="D3474" s="43">
        <v>60</v>
      </c>
      <c r="E3474" s="43"/>
      <c r="F3474" s="28">
        <f t="shared" si="57"/>
        <v>37095</v>
      </c>
      <c r="G3474" s="43"/>
    </row>
    <row r="3475" spans="1:7" x14ac:dyDescent="0.3">
      <c r="A3475" s="45">
        <v>43062</v>
      </c>
      <c r="B3475" s="5" t="s">
        <v>84</v>
      </c>
      <c r="C3475" s="92" t="s">
        <v>2709</v>
      </c>
      <c r="D3475" s="43">
        <v>20000</v>
      </c>
      <c r="E3475" s="43"/>
      <c r="F3475" s="28">
        <f t="shared" si="57"/>
        <v>17095</v>
      </c>
      <c r="G3475" s="43"/>
    </row>
    <row r="3476" spans="1:7" x14ac:dyDescent="0.3">
      <c r="A3476" s="45">
        <v>43062</v>
      </c>
      <c r="B3476" s="5" t="s">
        <v>1837</v>
      </c>
      <c r="C3476" s="92" t="s">
        <v>2710</v>
      </c>
      <c r="D3476" s="43">
        <v>1000</v>
      </c>
      <c r="E3476" s="43"/>
      <c r="F3476" s="28">
        <f t="shared" si="57"/>
        <v>16095</v>
      </c>
      <c r="G3476" s="43"/>
    </row>
    <row r="3477" spans="1:7" x14ac:dyDescent="0.3">
      <c r="A3477" s="45">
        <v>43062</v>
      </c>
      <c r="B3477" s="5" t="s">
        <v>28</v>
      </c>
      <c r="C3477" s="92" t="s">
        <v>2711</v>
      </c>
      <c r="D3477" s="43">
        <v>2000</v>
      </c>
      <c r="E3477" s="43"/>
      <c r="F3477" s="28">
        <f t="shared" si="57"/>
        <v>14095</v>
      </c>
      <c r="G3477" s="43"/>
    </row>
    <row r="3478" spans="1:7" x14ac:dyDescent="0.3">
      <c r="A3478" s="45">
        <v>43062</v>
      </c>
      <c r="B3478" s="5" t="s">
        <v>2594</v>
      </c>
      <c r="C3478" s="92" t="s">
        <v>2712</v>
      </c>
      <c r="D3478" s="65">
        <v>9000</v>
      </c>
      <c r="E3478" s="43"/>
      <c r="F3478" s="28">
        <f t="shared" si="57"/>
        <v>5095</v>
      </c>
      <c r="G3478" s="43"/>
    </row>
    <row r="3479" spans="1:7" x14ac:dyDescent="0.3">
      <c r="A3479" s="45">
        <v>43062</v>
      </c>
      <c r="B3479" s="5" t="s">
        <v>60</v>
      </c>
      <c r="C3479" s="92" t="s">
        <v>2714</v>
      </c>
      <c r="D3479" s="43">
        <v>1500</v>
      </c>
      <c r="E3479" s="43"/>
      <c r="F3479" s="28">
        <f t="shared" si="57"/>
        <v>3595</v>
      </c>
      <c r="G3479" s="43"/>
    </row>
    <row r="3480" spans="1:7" ht="21.75" customHeight="1" x14ac:dyDescent="0.3">
      <c r="A3480" s="45">
        <v>43062</v>
      </c>
      <c r="B3480" s="5" t="s">
        <v>2594</v>
      </c>
      <c r="C3480" s="92" t="s">
        <v>2715</v>
      </c>
      <c r="D3480" s="43">
        <v>150</v>
      </c>
      <c r="E3480" s="43"/>
      <c r="F3480" s="28">
        <f t="shared" si="57"/>
        <v>3445</v>
      </c>
      <c r="G3480" s="43"/>
    </row>
    <row r="3481" spans="1:7" ht="37.5" x14ac:dyDescent="0.3">
      <c r="A3481" s="45">
        <v>43062</v>
      </c>
      <c r="B3481" s="5" t="s">
        <v>2594</v>
      </c>
      <c r="C3481" s="92" t="s">
        <v>2716</v>
      </c>
      <c r="D3481" s="43">
        <v>150</v>
      </c>
      <c r="E3481" s="43"/>
      <c r="F3481" s="28">
        <f t="shared" si="57"/>
        <v>3295</v>
      </c>
      <c r="G3481" s="43"/>
    </row>
    <row r="3482" spans="1:7" ht="37.5" x14ac:dyDescent="0.3">
      <c r="A3482" s="45">
        <v>43062</v>
      </c>
      <c r="B3482" s="5" t="s">
        <v>2594</v>
      </c>
      <c r="C3482" s="92" t="s">
        <v>2717</v>
      </c>
      <c r="D3482" s="43">
        <v>120</v>
      </c>
      <c r="E3482" s="43"/>
      <c r="F3482" s="28">
        <f t="shared" si="57"/>
        <v>3175</v>
      </c>
      <c r="G3482" s="43"/>
    </row>
    <row r="3483" spans="1:7" x14ac:dyDescent="0.3">
      <c r="A3483" s="45">
        <v>43062</v>
      </c>
      <c r="B3483" s="5" t="s">
        <v>10</v>
      </c>
      <c r="C3483" s="92" t="s">
        <v>2718</v>
      </c>
      <c r="D3483" s="43">
        <v>2000</v>
      </c>
      <c r="E3483" s="43"/>
      <c r="F3483" s="28">
        <f t="shared" si="57"/>
        <v>1175</v>
      </c>
      <c r="G3483" s="43"/>
    </row>
    <row r="3484" spans="1:7" x14ac:dyDescent="0.3">
      <c r="A3484" s="45" t="s">
        <v>2750</v>
      </c>
      <c r="B3484" s="756" t="s">
        <v>2719</v>
      </c>
      <c r="C3484" s="756"/>
      <c r="D3484" s="71"/>
      <c r="E3484" s="72">
        <v>50000</v>
      </c>
      <c r="F3484" s="28">
        <f t="shared" si="57"/>
        <v>51175</v>
      </c>
      <c r="G3484" s="43"/>
    </row>
    <row r="3485" spans="1:7" x14ac:dyDescent="0.3">
      <c r="A3485" s="45">
        <v>43062</v>
      </c>
      <c r="B3485" s="5" t="s">
        <v>2594</v>
      </c>
      <c r="C3485" s="92" t="s">
        <v>2720</v>
      </c>
      <c r="D3485" s="65">
        <v>2000</v>
      </c>
      <c r="E3485" s="43"/>
      <c r="F3485" s="28">
        <f t="shared" si="57"/>
        <v>49175</v>
      </c>
      <c r="G3485" s="43"/>
    </row>
    <row r="3486" spans="1:7" x14ac:dyDescent="0.3">
      <c r="A3486" s="45">
        <v>43062</v>
      </c>
      <c r="B3486" s="5" t="s">
        <v>181</v>
      </c>
      <c r="C3486" s="92" t="s">
        <v>2721</v>
      </c>
      <c r="D3486" s="43">
        <v>1000</v>
      </c>
      <c r="E3486" s="43"/>
      <c r="F3486" s="28">
        <f t="shared" si="57"/>
        <v>48175</v>
      </c>
      <c r="G3486" s="43"/>
    </row>
    <row r="3487" spans="1:7" x14ac:dyDescent="0.3">
      <c r="A3487" s="45">
        <v>43062</v>
      </c>
      <c r="B3487" s="5" t="s">
        <v>181</v>
      </c>
      <c r="C3487" s="92" t="s">
        <v>2722</v>
      </c>
      <c r="D3487" s="43">
        <v>240</v>
      </c>
      <c r="E3487" s="43"/>
      <c r="F3487" s="28">
        <f t="shared" si="57"/>
        <v>47935</v>
      </c>
      <c r="G3487" s="43"/>
    </row>
    <row r="3488" spans="1:7" ht="37.5" x14ac:dyDescent="0.3">
      <c r="A3488" s="45">
        <v>43062</v>
      </c>
      <c r="B3488" s="44" t="s">
        <v>181</v>
      </c>
      <c r="C3488" s="124" t="s">
        <v>2723</v>
      </c>
      <c r="D3488" s="28">
        <v>300</v>
      </c>
      <c r="E3488" s="28"/>
      <c r="F3488" s="28">
        <f t="shared" si="57"/>
        <v>47635</v>
      </c>
      <c r="G3488" s="28"/>
    </row>
    <row r="3489" spans="1:7" ht="37.5" x14ac:dyDescent="0.3">
      <c r="A3489" s="45">
        <v>43062</v>
      </c>
      <c r="B3489" s="5" t="s">
        <v>25</v>
      </c>
      <c r="C3489" s="92" t="s">
        <v>2724</v>
      </c>
      <c r="D3489" s="43">
        <v>1600</v>
      </c>
      <c r="E3489" s="43"/>
      <c r="F3489" s="28">
        <f t="shared" si="57"/>
        <v>46035</v>
      </c>
      <c r="G3489" s="43"/>
    </row>
    <row r="3490" spans="1:7" x14ac:dyDescent="0.3">
      <c r="A3490" s="45">
        <v>43062</v>
      </c>
      <c r="B3490" s="5" t="s">
        <v>97</v>
      </c>
      <c r="C3490" s="92" t="s">
        <v>2725</v>
      </c>
      <c r="D3490" s="43">
        <v>450</v>
      </c>
      <c r="E3490" s="43"/>
      <c r="F3490" s="28">
        <f t="shared" si="57"/>
        <v>45585</v>
      </c>
      <c r="G3490" s="43"/>
    </row>
    <row r="3491" spans="1:7" x14ac:dyDescent="0.3">
      <c r="A3491" s="45">
        <v>43062</v>
      </c>
      <c r="B3491" s="5" t="s">
        <v>1343</v>
      </c>
      <c r="C3491" s="92" t="s">
        <v>2726</v>
      </c>
      <c r="D3491" s="43">
        <v>3170</v>
      </c>
      <c r="E3491" s="43"/>
      <c r="F3491" s="28">
        <f t="shared" si="57"/>
        <v>42415</v>
      </c>
      <c r="G3491" s="43"/>
    </row>
    <row r="3492" spans="1:7" x14ac:dyDescent="0.3">
      <c r="A3492" s="45">
        <v>43063</v>
      </c>
      <c r="B3492" s="5" t="s">
        <v>0</v>
      </c>
      <c r="C3492" s="92" t="s">
        <v>77</v>
      </c>
      <c r="D3492" s="43">
        <v>1000</v>
      </c>
      <c r="E3492" s="43"/>
      <c r="F3492" s="28">
        <f t="shared" si="57"/>
        <v>41415</v>
      </c>
      <c r="G3492" s="43"/>
    </row>
    <row r="3493" spans="1:7" x14ac:dyDescent="0.3">
      <c r="A3493" s="45">
        <v>43063</v>
      </c>
      <c r="B3493" s="5" t="s">
        <v>247</v>
      </c>
      <c r="C3493" s="92" t="s">
        <v>2729</v>
      </c>
      <c r="D3493" s="43">
        <f>140+140+840</f>
        <v>1120</v>
      </c>
      <c r="E3493" s="43"/>
      <c r="F3493" s="28">
        <f t="shared" si="57"/>
        <v>40295</v>
      </c>
      <c r="G3493" s="43"/>
    </row>
    <row r="3494" spans="1:7" x14ac:dyDescent="0.3">
      <c r="A3494" s="45">
        <v>43063</v>
      </c>
      <c r="B3494" s="5" t="s">
        <v>247</v>
      </c>
      <c r="C3494" s="92" t="s">
        <v>2729</v>
      </c>
      <c r="D3494" s="43">
        <v>1680</v>
      </c>
      <c r="E3494" s="43"/>
      <c r="F3494" s="28">
        <f t="shared" si="57"/>
        <v>38615</v>
      </c>
      <c r="G3494" s="43"/>
    </row>
    <row r="3495" spans="1:7" x14ac:dyDescent="0.3">
      <c r="A3495" s="45">
        <v>43063</v>
      </c>
      <c r="B3495" s="5" t="s">
        <v>247</v>
      </c>
      <c r="C3495" s="92" t="s">
        <v>2730</v>
      </c>
      <c r="D3495" s="43">
        <v>1680</v>
      </c>
      <c r="E3495" s="43"/>
      <c r="F3495" s="28">
        <f t="shared" si="57"/>
        <v>36935</v>
      </c>
      <c r="G3495" s="43"/>
    </row>
    <row r="3496" spans="1:7" x14ac:dyDescent="0.3">
      <c r="A3496" s="45">
        <v>43063</v>
      </c>
      <c r="B3496" s="5" t="s">
        <v>14</v>
      </c>
      <c r="C3496" s="92" t="s">
        <v>287</v>
      </c>
      <c r="D3496" s="43">
        <v>15000</v>
      </c>
      <c r="E3496" s="43"/>
      <c r="F3496" s="28">
        <f t="shared" si="57"/>
        <v>21935</v>
      </c>
      <c r="G3496" s="43"/>
    </row>
    <row r="3497" spans="1:7" x14ac:dyDescent="0.3">
      <c r="A3497" s="45">
        <v>43063</v>
      </c>
      <c r="B3497" s="5" t="s">
        <v>541</v>
      </c>
      <c r="C3497" s="92" t="s">
        <v>640</v>
      </c>
      <c r="D3497" s="43">
        <v>1000</v>
      </c>
      <c r="E3497" s="43"/>
      <c r="F3497" s="28">
        <f t="shared" si="57"/>
        <v>20935</v>
      </c>
      <c r="G3497" s="43"/>
    </row>
    <row r="3498" spans="1:7" x14ac:dyDescent="0.3">
      <c r="A3498" s="45">
        <v>43063</v>
      </c>
      <c r="B3498" s="5" t="s">
        <v>58</v>
      </c>
      <c r="C3498" s="92" t="s">
        <v>2731</v>
      </c>
      <c r="D3498" s="43">
        <v>290</v>
      </c>
      <c r="E3498" s="43"/>
      <c r="F3498" s="28">
        <f t="shared" si="57"/>
        <v>20645</v>
      </c>
      <c r="G3498" s="43"/>
    </row>
    <row r="3499" spans="1:7" x14ac:dyDescent="0.3">
      <c r="A3499" s="45">
        <v>43063</v>
      </c>
      <c r="B3499" s="5" t="s">
        <v>2727</v>
      </c>
      <c r="C3499" s="92" t="s">
        <v>2728</v>
      </c>
      <c r="D3499" s="43">
        <v>260</v>
      </c>
      <c r="E3499" s="43"/>
      <c r="F3499" s="28">
        <f t="shared" si="57"/>
        <v>20385</v>
      </c>
      <c r="G3499" s="43"/>
    </row>
    <row r="3500" spans="1:7" ht="37.5" x14ac:dyDescent="0.3">
      <c r="A3500" s="45">
        <v>43063</v>
      </c>
      <c r="B3500" s="5" t="s">
        <v>58</v>
      </c>
      <c r="C3500" s="92" t="s">
        <v>2746</v>
      </c>
      <c r="D3500" s="43">
        <v>18550</v>
      </c>
      <c r="E3500" s="43"/>
      <c r="F3500" s="28">
        <f t="shared" si="57"/>
        <v>1835</v>
      </c>
      <c r="G3500" s="43"/>
    </row>
    <row r="3501" spans="1:7" x14ac:dyDescent="0.3">
      <c r="A3501" s="45">
        <v>43063</v>
      </c>
      <c r="B3501" s="5" t="s">
        <v>247</v>
      </c>
      <c r="C3501" s="92" t="s">
        <v>2013</v>
      </c>
      <c r="D3501" s="43">
        <v>50</v>
      </c>
      <c r="E3501" s="43"/>
      <c r="F3501" s="28">
        <f t="shared" si="57"/>
        <v>1785</v>
      </c>
      <c r="G3501" s="43"/>
    </row>
    <row r="3502" spans="1:7" ht="37.5" x14ac:dyDescent="0.3">
      <c r="A3502" s="45">
        <v>43063</v>
      </c>
      <c r="B3502" s="61" t="s">
        <v>2674</v>
      </c>
      <c r="C3502" s="132" t="s">
        <v>2747</v>
      </c>
      <c r="D3502" s="62">
        <v>500</v>
      </c>
      <c r="E3502" s="43"/>
      <c r="F3502" s="28">
        <f t="shared" si="57"/>
        <v>1285</v>
      </c>
      <c r="G3502" s="43"/>
    </row>
    <row r="3503" spans="1:7" x14ac:dyDescent="0.3">
      <c r="A3503" s="45">
        <v>43063</v>
      </c>
      <c r="B3503" s="5" t="s">
        <v>25</v>
      </c>
      <c r="C3503" s="92" t="s">
        <v>2737</v>
      </c>
      <c r="D3503" s="43">
        <v>500</v>
      </c>
      <c r="E3503" s="43"/>
      <c r="F3503" s="28">
        <f t="shared" si="57"/>
        <v>785</v>
      </c>
      <c r="G3503" s="43"/>
    </row>
    <row r="3504" spans="1:7" x14ac:dyDescent="0.3">
      <c r="A3504" s="45">
        <v>43063</v>
      </c>
      <c r="B3504" s="5" t="s">
        <v>25</v>
      </c>
      <c r="C3504" s="92" t="s">
        <v>2738</v>
      </c>
      <c r="D3504" s="43">
        <v>50</v>
      </c>
      <c r="E3504" s="43"/>
      <c r="F3504" s="28">
        <f t="shared" si="57"/>
        <v>735</v>
      </c>
      <c r="G3504" s="43"/>
    </row>
    <row r="3505" spans="1:7" x14ac:dyDescent="0.3">
      <c r="A3505" s="45">
        <v>43063</v>
      </c>
      <c r="B3505" s="5" t="s">
        <v>25</v>
      </c>
      <c r="C3505" s="92" t="s">
        <v>2739</v>
      </c>
      <c r="D3505" s="43">
        <v>100</v>
      </c>
      <c r="E3505" s="43"/>
      <c r="F3505" s="28">
        <f t="shared" si="57"/>
        <v>635</v>
      </c>
      <c r="G3505" s="43"/>
    </row>
    <row r="3506" spans="1:7" x14ac:dyDescent="0.3">
      <c r="A3506" s="45">
        <v>43063</v>
      </c>
      <c r="B3506" s="5" t="s">
        <v>25</v>
      </c>
      <c r="C3506" s="92" t="s">
        <v>2740</v>
      </c>
      <c r="D3506" s="43">
        <v>110</v>
      </c>
      <c r="E3506" s="43"/>
      <c r="F3506" s="28">
        <f t="shared" si="57"/>
        <v>525</v>
      </c>
      <c r="G3506" s="43"/>
    </row>
    <row r="3507" spans="1:7" x14ac:dyDescent="0.3">
      <c r="A3507" s="45">
        <v>43063</v>
      </c>
      <c r="B3507" s="5" t="s">
        <v>25</v>
      </c>
      <c r="C3507" s="92" t="s">
        <v>2741</v>
      </c>
      <c r="D3507" s="43">
        <v>280</v>
      </c>
      <c r="E3507" s="43"/>
      <c r="F3507" s="28">
        <f t="shared" si="57"/>
        <v>245</v>
      </c>
      <c r="G3507" s="43"/>
    </row>
    <row r="3508" spans="1:7" x14ac:dyDescent="0.3">
      <c r="A3508" s="45">
        <v>43063</v>
      </c>
      <c r="B3508" s="5" t="s">
        <v>25</v>
      </c>
      <c r="C3508" s="92" t="s">
        <v>2742</v>
      </c>
      <c r="D3508" s="43">
        <v>50</v>
      </c>
      <c r="E3508" s="43"/>
      <c r="F3508" s="28">
        <f t="shared" si="57"/>
        <v>195</v>
      </c>
      <c r="G3508" s="43"/>
    </row>
    <row r="3509" spans="1:7" x14ac:dyDescent="0.3">
      <c r="A3509" s="45">
        <v>43063</v>
      </c>
      <c r="B3509" s="5" t="s">
        <v>25</v>
      </c>
      <c r="C3509" s="92" t="s">
        <v>2743</v>
      </c>
      <c r="D3509" s="43">
        <v>70</v>
      </c>
      <c r="E3509" s="43"/>
      <c r="F3509" s="28">
        <f t="shared" si="57"/>
        <v>125</v>
      </c>
      <c r="G3509" s="43"/>
    </row>
    <row r="3510" spans="1:7" x14ac:dyDescent="0.3">
      <c r="A3510" s="45">
        <v>43063</v>
      </c>
      <c r="B3510" s="756" t="s">
        <v>2733</v>
      </c>
      <c r="C3510" s="756"/>
      <c r="D3510" s="71"/>
      <c r="E3510" s="72">
        <v>50000</v>
      </c>
      <c r="F3510" s="28">
        <f t="shared" si="57"/>
        <v>50125</v>
      </c>
      <c r="G3510" s="43"/>
    </row>
    <row r="3511" spans="1:7" ht="37.5" x14ac:dyDescent="0.3">
      <c r="A3511" s="45">
        <v>43063</v>
      </c>
      <c r="B3511" s="5" t="s">
        <v>25</v>
      </c>
      <c r="C3511" s="92" t="s">
        <v>2732</v>
      </c>
      <c r="D3511" s="43"/>
      <c r="E3511" s="43">
        <v>2792</v>
      </c>
      <c r="F3511" s="28">
        <f t="shared" si="57"/>
        <v>52917</v>
      </c>
      <c r="G3511" s="43"/>
    </row>
    <row r="3512" spans="1:7" x14ac:dyDescent="0.3">
      <c r="A3512" s="45">
        <v>43063</v>
      </c>
      <c r="B3512" s="5" t="s">
        <v>14</v>
      </c>
      <c r="C3512" s="92" t="s">
        <v>2734</v>
      </c>
      <c r="D3512" s="43">
        <v>5233</v>
      </c>
      <c r="E3512" s="43"/>
      <c r="F3512" s="28">
        <f t="shared" si="57"/>
        <v>47684</v>
      </c>
      <c r="G3512" s="43"/>
    </row>
    <row r="3513" spans="1:7" x14ac:dyDescent="0.3">
      <c r="A3513" s="45">
        <v>43063</v>
      </c>
      <c r="B3513" s="5" t="s">
        <v>14</v>
      </c>
      <c r="C3513" s="92" t="s">
        <v>2735</v>
      </c>
      <c r="D3513" s="168">
        <v>20000</v>
      </c>
      <c r="E3513" s="43"/>
      <c r="F3513" s="28">
        <f t="shared" si="57"/>
        <v>27684</v>
      </c>
      <c r="G3513" s="43"/>
    </row>
    <row r="3514" spans="1:7" x14ac:dyDescent="0.3">
      <c r="A3514" s="45">
        <v>43063</v>
      </c>
      <c r="B3514" s="5" t="s">
        <v>2645</v>
      </c>
      <c r="C3514" s="92" t="s">
        <v>2748</v>
      </c>
      <c r="D3514" s="43">
        <v>1000</v>
      </c>
      <c r="E3514" s="43"/>
      <c r="F3514" s="28">
        <f t="shared" si="57"/>
        <v>26684</v>
      </c>
      <c r="G3514" s="43"/>
    </row>
    <row r="3515" spans="1:7" x14ac:dyDescent="0.3">
      <c r="A3515" s="45">
        <v>43063</v>
      </c>
      <c r="B3515" s="5" t="s">
        <v>0</v>
      </c>
      <c r="C3515" s="92" t="s">
        <v>252</v>
      </c>
      <c r="D3515" s="43">
        <v>2000</v>
      </c>
      <c r="E3515" s="43"/>
      <c r="F3515" s="28">
        <f t="shared" si="57"/>
        <v>24684</v>
      </c>
      <c r="G3515" s="43"/>
    </row>
    <row r="3516" spans="1:7" x14ac:dyDescent="0.3">
      <c r="A3516" s="45">
        <v>43063</v>
      </c>
      <c r="B3516" s="5" t="s">
        <v>247</v>
      </c>
      <c r="C3516" s="92" t="s">
        <v>2736</v>
      </c>
      <c r="D3516" s="43">
        <v>100</v>
      </c>
      <c r="E3516" s="43"/>
      <c r="F3516" s="28">
        <f t="shared" si="57"/>
        <v>24584</v>
      </c>
      <c r="G3516" s="43"/>
    </row>
    <row r="3517" spans="1:7" x14ac:dyDescent="0.3">
      <c r="A3517" s="45">
        <v>43064</v>
      </c>
      <c r="B3517" s="5" t="s">
        <v>16</v>
      </c>
      <c r="C3517" s="92" t="s">
        <v>2749</v>
      </c>
      <c r="D3517" s="43">
        <v>2000</v>
      </c>
      <c r="E3517" s="43"/>
      <c r="F3517" s="28">
        <f t="shared" si="57"/>
        <v>22584</v>
      </c>
      <c r="G3517" s="43"/>
    </row>
    <row r="3518" spans="1:7" x14ac:dyDescent="0.3">
      <c r="A3518" s="45">
        <v>43064</v>
      </c>
      <c r="B3518" s="5" t="s">
        <v>2594</v>
      </c>
      <c r="C3518" s="92" t="s">
        <v>2744</v>
      </c>
      <c r="D3518" s="65">
        <v>15000</v>
      </c>
      <c r="E3518" s="43"/>
      <c r="F3518" s="28">
        <f t="shared" si="57"/>
        <v>7584</v>
      </c>
      <c r="G3518" s="43"/>
    </row>
    <row r="3519" spans="1:7" x14ac:dyDescent="0.3">
      <c r="A3519" s="45">
        <v>43064</v>
      </c>
      <c r="B3519" s="5" t="s">
        <v>14</v>
      </c>
      <c r="C3519" s="92" t="s">
        <v>1530</v>
      </c>
      <c r="D3519" s="43">
        <v>5000</v>
      </c>
      <c r="E3519" s="43"/>
      <c r="F3519" s="28">
        <f t="shared" si="57"/>
        <v>2584</v>
      </c>
      <c r="G3519" s="43"/>
    </row>
    <row r="3520" spans="1:7" x14ac:dyDescent="0.3">
      <c r="A3520" s="45">
        <v>43066</v>
      </c>
      <c r="B3520" s="5" t="s">
        <v>1837</v>
      </c>
      <c r="C3520" s="92" t="s">
        <v>2745</v>
      </c>
      <c r="D3520" s="43">
        <v>1500</v>
      </c>
      <c r="E3520" s="43"/>
      <c r="F3520" s="28">
        <f t="shared" si="57"/>
        <v>1084</v>
      </c>
      <c r="G3520" s="43"/>
    </row>
    <row r="3521" spans="1:7" x14ac:dyDescent="0.3">
      <c r="A3521" s="45">
        <v>43066</v>
      </c>
      <c r="B3521" s="756" t="s">
        <v>2751</v>
      </c>
      <c r="C3521" s="756"/>
      <c r="D3521" s="71"/>
      <c r="E3521" s="72">
        <v>50000</v>
      </c>
      <c r="F3521" s="28">
        <f t="shared" si="57"/>
        <v>51084</v>
      </c>
      <c r="G3521" s="43"/>
    </row>
    <row r="3522" spans="1:7" x14ac:dyDescent="0.3">
      <c r="A3522" s="45">
        <v>43067</v>
      </c>
      <c r="B3522" s="5" t="s">
        <v>14</v>
      </c>
      <c r="C3522" s="92" t="s">
        <v>2752</v>
      </c>
      <c r="D3522" s="43">
        <v>20000</v>
      </c>
      <c r="E3522" s="43"/>
      <c r="F3522" s="28">
        <f t="shared" si="57"/>
        <v>31084</v>
      </c>
      <c r="G3522" s="43"/>
    </row>
    <row r="3523" spans="1:7" x14ac:dyDescent="0.3">
      <c r="A3523" s="45">
        <v>43067</v>
      </c>
      <c r="B3523" s="5" t="s">
        <v>25</v>
      </c>
      <c r="C3523" s="92" t="s">
        <v>2659</v>
      </c>
      <c r="D3523" s="43">
        <v>370</v>
      </c>
      <c r="E3523" s="43"/>
      <c r="F3523" s="28">
        <f t="shared" si="57"/>
        <v>30714</v>
      </c>
      <c r="G3523" s="43"/>
    </row>
    <row r="3524" spans="1:7" x14ac:dyDescent="0.3">
      <c r="A3524" s="45">
        <v>43067</v>
      </c>
      <c r="B3524" s="5" t="s">
        <v>25</v>
      </c>
      <c r="C3524" s="92" t="s">
        <v>2708</v>
      </c>
      <c r="D3524" s="43">
        <v>60</v>
      </c>
      <c r="E3524" s="43"/>
      <c r="F3524" s="28">
        <f t="shared" si="57"/>
        <v>30654</v>
      </c>
      <c r="G3524" s="43"/>
    </row>
    <row r="3525" spans="1:7" x14ac:dyDescent="0.3">
      <c r="A3525" s="45">
        <v>43067</v>
      </c>
      <c r="B3525" s="5" t="s">
        <v>25</v>
      </c>
      <c r="C3525" s="92" t="s">
        <v>2753</v>
      </c>
      <c r="D3525" s="43">
        <v>190</v>
      </c>
      <c r="E3525" s="43"/>
      <c r="F3525" s="28">
        <f t="shared" si="57"/>
        <v>30464</v>
      </c>
      <c r="G3525" s="43"/>
    </row>
    <row r="3526" spans="1:7" x14ac:dyDescent="0.3">
      <c r="A3526" s="45">
        <v>43067</v>
      </c>
      <c r="B3526" s="5" t="s">
        <v>25</v>
      </c>
      <c r="C3526" s="92" t="s">
        <v>2006</v>
      </c>
      <c r="D3526" s="43">
        <v>50</v>
      </c>
      <c r="E3526" s="43"/>
      <c r="F3526" s="28">
        <f t="shared" si="57"/>
        <v>30414</v>
      </c>
      <c r="G3526" s="43"/>
    </row>
    <row r="3527" spans="1:7" x14ac:dyDescent="0.3">
      <c r="A3527" s="45">
        <v>43067</v>
      </c>
      <c r="B3527" s="5" t="s">
        <v>25</v>
      </c>
      <c r="C3527" s="92" t="s">
        <v>62</v>
      </c>
      <c r="D3527" s="43">
        <v>120</v>
      </c>
      <c r="E3527" s="43"/>
      <c r="F3527" s="28">
        <f t="shared" si="57"/>
        <v>30294</v>
      </c>
      <c r="G3527" s="43"/>
    </row>
    <row r="3528" spans="1:7" x14ac:dyDescent="0.3">
      <c r="A3528" s="45">
        <v>43068</v>
      </c>
      <c r="B3528" s="61" t="s">
        <v>2594</v>
      </c>
      <c r="C3528" s="132" t="s">
        <v>2754</v>
      </c>
      <c r="D3528" s="62">
        <v>10000</v>
      </c>
      <c r="E3528" s="43"/>
      <c r="F3528" s="28">
        <f t="shared" si="57"/>
        <v>20294</v>
      </c>
      <c r="G3528" s="43"/>
    </row>
    <row r="3529" spans="1:7" x14ac:dyDescent="0.3">
      <c r="A3529" s="45">
        <v>43068</v>
      </c>
      <c r="B3529" s="5" t="s">
        <v>2594</v>
      </c>
      <c r="C3529" s="92" t="s">
        <v>2755</v>
      </c>
      <c r="D3529" s="65">
        <v>5000</v>
      </c>
      <c r="E3529" s="43"/>
      <c r="F3529" s="28">
        <f t="shared" si="57"/>
        <v>15294</v>
      </c>
      <c r="G3529" s="43"/>
    </row>
    <row r="3530" spans="1:7" x14ac:dyDescent="0.3">
      <c r="A3530" s="45">
        <v>43068</v>
      </c>
      <c r="B3530" s="5" t="s">
        <v>2502</v>
      </c>
      <c r="C3530" s="92" t="s">
        <v>2763</v>
      </c>
      <c r="D3530" s="43">
        <v>1300</v>
      </c>
      <c r="E3530" s="43"/>
      <c r="F3530" s="28">
        <f t="shared" si="57"/>
        <v>13994</v>
      </c>
      <c r="G3530" s="43"/>
    </row>
    <row r="3531" spans="1:7" ht="37.5" x14ac:dyDescent="0.3">
      <c r="A3531" s="45">
        <v>43068</v>
      </c>
      <c r="B3531" s="5" t="s">
        <v>2502</v>
      </c>
      <c r="C3531" s="92" t="s">
        <v>2764</v>
      </c>
      <c r="D3531" s="43">
        <v>600</v>
      </c>
      <c r="E3531" s="43"/>
      <c r="F3531" s="28">
        <f t="shared" ref="F3531:F3594" si="58">F3530-D3531+E3531</f>
        <v>13394</v>
      </c>
      <c r="G3531" s="43"/>
    </row>
    <row r="3532" spans="1:7" x14ac:dyDescent="0.3">
      <c r="A3532" s="45">
        <v>43068</v>
      </c>
      <c r="B3532" s="5" t="s">
        <v>16</v>
      </c>
      <c r="C3532" s="92" t="s">
        <v>2756</v>
      </c>
      <c r="D3532" s="43">
        <v>2000</v>
      </c>
      <c r="E3532" s="43"/>
      <c r="F3532" s="28">
        <f t="shared" si="58"/>
        <v>11394</v>
      </c>
      <c r="G3532" s="43"/>
    </row>
    <row r="3533" spans="1:7" ht="37.5" x14ac:dyDescent="0.3">
      <c r="A3533" s="45">
        <v>43068</v>
      </c>
      <c r="B3533" s="5" t="s">
        <v>58</v>
      </c>
      <c r="C3533" s="92" t="s">
        <v>2757</v>
      </c>
      <c r="D3533" s="43">
        <v>120</v>
      </c>
      <c r="E3533" s="43"/>
      <c r="F3533" s="28">
        <f t="shared" si="58"/>
        <v>11274</v>
      </c>
      <c r="G3533" s="43"/>
    </row>
    <row r="3534" spans="1:7" x14ac:dyDescent="0.3">
      <c r="A3534" s="45">
        <v>43068</v>
      </c>
      <c r="B3534" s="5" t="s">
        <v>2502</v>
      </c>
      <c r="C3534" s="92" t="s">
        <v>2758</v>
      </c>
      <c r="D3534" s="43">
        <v>350</v>
      </c>
      <c r="E3534" s="43"/>
      <c r="F3534" s="28">
        <f t="shared" si="58"/>
        <v>10924</v>
      </c>
      <c r="G3534" s="43"/>
    </row>
    <row r="3535" spans="1:7" x14ac:dyDescent="0.3">
      <c r="A3535" s="45">
        <v>43068</v>
      </c>
      <c r="B3535" s="5" t="s">
        <v>84</v>
      </c>
      <c r="C3535" s="92" t="s">
        <v>2759</v>
      </c>
      <c r="D3535" s="43">
        <v>2000</v>
      </c>
      <c r="E3535" s="43"/>
      <c r="F3535" s="28">
        <f t="shared" si="58"/>
        <v>8924</v>
      </c>
      <c r="G3535" s="43"/>
    </row>
    <row r="3536" spans="1:7" x14ac:dyDescent="0.3">
      <c r="A3536" s="45">
        <v>43068</v>
      </c>
      <c r="B3536" s="756" t="s">
        <v>2760</v>
      </c>
      <c r="C3536" s="756"/>
      <c r="D3536" s="71"/>
      <c r="E3536" s="72">
        <v>4825</v>
      </c>
      <c r="F3536" s="28">
        <f t="shared" si="58"/>
        <v>13749</v>
      </c>
      <c r="G3536" s="43"/>
    </row>
    <row r="3537" spans="1:7" x14ac:dyDescent="0.3">
      <c r="A3537" s="45">
        <v>43068</v>
      </c>
      <c r="B3537" s="5" t="s">
        <v>58</v>
      </c>
      <c r="C3537" s="92" t="s">
        <v>2013</v>
      </c>
      <c r="D3537" s="43">
        <v>150</v>
      </c>
      <c r="E3537" s="43"/>
      <c r="F3537" s="28">
        <f t="shared" si="58"/>
        <v>13599</v>
      </c>
      <c r="G3537" s="43"/>
    </row>
    <row r="3538" spans="1:7" x14ac:dyDescent="0.3">
      <c r="A3538" s="45">
        <v>43068</v>
      </c>
      <c r="B3538" s="5" t="s">
        <v>16</v>
      </c>
      <c r="C3538" s="92" t="s">
        <v>2761</v>
      </c>
      <c r="D3538" s="43">
        <v>5000</v>
      </c>
      <c r="E3538" s="43"/>
      <c r="F3538" s="28">
        <f t="shared" si="58"/>
        <v>8599</v>
      </c>
      <c r="G3538" s="43"/>
    </row>
    <row r="3539" spans="1:7" x14ac:dyDescent="0.3">
      <c r="A3539" s="45">
        <v>43068</v>
      </c>
      <c r="B3539" s="5" t="s">
        <v>0</v>
      </c>
      <c r="C3539" s="92" t="s">
        <v>2762</v>
      </c>
      <c r="D3539" s="43">
        <v>840</v>
      </c>
      <c r="E3539" s="43"/>
      <c r="F3539" s="28">
        <f t="shared" si="58"/>
        <v>7759</v>
      </c>
      <c r="G3539" s="43"/>
    </row>
    <row r="3540" spans="1:7" x14ac:dyDescent="0.3">
      <c r="A3540" s="45">
        <v>43068</v>
      </c>
      <c r="B3540" s="5" t="s">
        <v>2330</v>
      </c>
      <c r="C3540" s="92" t="s">
        <v>634</v>
      </c>
      <c r="D3540" s="43">
        <v>1150</v>
      </c>
      <c r="E3540" s="43"/>
      <c r="F3540" s="28">
        <f t="shared" si="58"/>
        <v>6609</v>
      </c>
      <c r="G3540" s="43"/>
    </row>
    <row r="3541" spans="1:7" x14ac:dyDescent="0.3">
      <c r="A3541" s="45">
        <v>43068</v>
      </c>
      <c r="B3541" s="5" t="s">
        <v>25</v>
      </c>
      <c r="C3541" s="92" t="s">
        <v>939</v>
      </c>
      <c r="D3541" s="43">
        <v>370</v>
      </c>
      <c r="E3541" s="43"/>
      <c r="F3541" s="28">
        <f t="shared" si="58"/>
        <v>6239</v>
      </c>
      <c r="G3541" s="43"/>
    </row>
    <row r="3542" spans="1:7" x14ac:dyDescent="0.3">
      <c r="A3542" s="45">
        <v>43068</v>
      </c>
      <c r="B3542" s="5" t="s">
        <v>25</v>
      </c>
      <c r="C3542" s="92" t="s">
        <v>667</v>
      </c>
      <c r="D3542" s="43">
        <v>110</v>
      </c>
      <c r="E3542" s="43"/>
      <c r="F3542" s="28">
        <f t="shared" si="58"/>
        <v>6129</v>
      </c>
      <c r="G3542" s="43"/>
    </row>
    <row r="3543" spans="1:7" x14ac:dyDescent="0.3">
      <c r="A3543" s="45">
        <v>43068</v>
      </c>
      <c r="B3543" s="5" t="s">
        <v>25</v>
      </c>
      <c r="C3543" s="92" t="s">
        <v>2769</v>
      </c>
      <c r="D3543" s="43">
        <v>140</v>
      </c>
      <c r="E3543" s="43"/>
      <c r="F3543" s="28">
        <f t="shared" si="58"/>
        <v>5989</v>
      </c>
      <c r="G3543" s="43"/>
    </row>
    <row r="3544" spans="1:7" x14ac:dyDescent="0.3">
      <c r="A3544" s="45">
        <v>43068</v>
      </c>
      <c r="B3544" s="5" t="s">
        <v>25</v>
      </c>
      <c r="C3544" s="92" t="s">
        <v>2770</v>
      </c>
      <c r="D3544" s="43">
        <v>80</v>
      </c>
      <c r="E3544" s="43"/>
      <c r="F3544" s="28">
        <f t="shared" si="58"/>
        <v>5909</v>
      </c>
      <c r="G3544" s="43"/>
    </row>
    <row r="3545" spans="1:7" x14ac:dyDescent="0.3">
      <c r="A3545" s="45">
        <v>43068</v>
      </c>
      <c r="B3545" s="756" t="s">
        <v>2768</v>
      </c>
      <c r="C3545" s="756"/>
      <c r="D3545" s="71"/>
      <c r="E3545" s="72">
        <v>27500</v>
      </c>
      <c r="F3545" s="28">
        <f t="shared" si="58"/>
        <v>33409</v>
      </c>
      <c r="G3545" s="43"/>
    </row>
    <row r="3546" spans="1:7" x14ac:dyDescent="0.3">
      <c r="A3546" s="45">
        <v>43068</v>
      </c>
      <c r="B3546" s="5" t="s">
        <v>2204</v>
      </c>
      <c r="C3546" s="92" t="s">
        <v>2765</v>
      </c>
      <c r="D3546" s="43">
        <v>2500</v>
      </c>
      <c r="E3546" s="43"/>
      <c r="F3546" s="28">
        <f t="shared" si="58"/>
        <v>30909</v>
      </c>
      <c r="G3546" s="43"/>
    </row>
    <row r="3547" spans="1:7" x14ac:dyDescent="0.3">
      <c r="A3547" s="45">
        <v>43068</v>
      </c>
      <c r="B3547" s="5" t="s">
        <v>2204</v>
      </c>
      <c r="C3547" s="92" t="s">
        <v>2766</v>
      </c>
      <c r="D3547" s="43">
        <v>1000</v>
      </c>
      <c r="E3547" s="43"/>
      <c r="F3547" s="28">
        <f t="shared" si="58"/>
        <v>29909</v>
      </c>
      <c r="G3547" s="43"/>
    </row>
    <row r="3548" spans="1:7" x14ac:dyDescent="0.3">
      <c r="A3548" s="45">
        <v>43068</v>
      </c>
      <c r="B3548" s="5" t="s">
        <v>84</v>
      </c>
      <c r="C3548" s="92" t="s">
        <v>2767</v>
      </c>
      <c r="D3548" s="43">
        <v>2000</v>
      </c>
      <c r="E3548" s="43"/>
      <c r="F3548" s="28">
        <f t="shared" si="58"/>
        <v>27909</v>
      </c>
      <c r="G3548" s="43"/>
    </row>
    <row r="3549" spans="1:7" x14ac:dyDescent="0.3">
      <c r="A3549" s="45">
        <v>43068</v>
      </c>
      <c r="B3549" s="5" t="s">
        <v>1837</v>
      </c>
      <c r="C3549" s="92" t="s">
        <v>2771</v>
      </c>
      <c r="D3549" s="43">
        <v>2000</v>
      </c>
      <c r="E3549" s="43"/>
      <c r="F3549" s="28">
        <f t="shared" si="58"/>
        <v>25909</v>
      </c>
      <c r="G3549" s="43"/>
    </row>
    <row r="3550" spans="1:7" x14ac:dyDescent="0.3">
      <c r="A3550" s="45">
        <v>43068</v>
      </c>
      <c r="B3550" s="139" t="s">
        <v>58</v>
      </c>
      <c r="C3550" s="151" t="s">
        <v>2772</v>
      </c>
      <c r="D3550" s="140">
        <v>22000</v>
      </c>
      <c r="E3550" s="43"/>
      <c r="F3550" s="28">
        <f t="shared" si="58"/>
        <v>3909</v>
      </c>
      <c r="G3550" s="43"/>
    </row>
    <row r="3551" spans="1:7" x14ac:dyDescent="0.3">
      <c r="A3551" s="45">
        <v>43068</v>
      </c>
      <c r="B3551" s="5" t="s">
        <v>2159</v>
      </c>
      <c r="C3551" s="92" t="s">
        <v>2773</v>
      </c>
      <c r="D3551" s="43">
        <v>200</v>
      </c>
      <c r="E3551" s="43"/>
      <c r="F3551" s="28">
        <f t="shared" si="58"/>
        <v>3709</v>
      </c>
      <c r="G3551" s="43"/>
    </row>
    <row r="3552" spans="1:7" x14ac:dyDescent="0.3">
      <c r="A3552" s="45">
        <v>43068</v>
      </c>
      <c r="B3552" s="5" t="s">
        <v>247</v>
      </c>
      <c r="C3552" s="92" t="s">
        <v>2774</v>
      </c>
      <c r="D3552" s="43">
        <v>100</v>
      </c>
      <c r="E3552" s="43"/>
      <c r="F3552" s="28">
        <f t="shared" si="58"/>
        <v>3609</v>
      </c>
      <c r="G3552" s="43"/>
    </row>
    <row r="3553" spans="1:7" ht="37.5" x14ac:dyDescent="0.3">
      <c r="A3553" s="45">
        <v>43068</v>
      </c>
      <c r="B3553" s="5" t="s">
        <v>2775</v>
      </c>
      <c r="C3553" s="92" t="s">
        <v>2776</v>
      </c>
      <c r="D3553" s="43">
        <v>150</v>
      </c>
      <c r="E3553" s="43"/>
      <c r="F3553" s="28">
        <f t="shared" si="58"/>
        <v>3459</v>
      </c>
      <c r="G3553" s="43"/>
    </row>
    <row r="3554" spans="1:7" ht="37.5" x14ac:dyDescent="0.3">
      <c r="A3554" s="45">
        <v>43068</v>
      </c>
      <c r="B3554" s="61" t="s">
        <v>58</v>
      </c>
      <c r="C3554" s="132" t="s">
        <v>2777</v>
      </c>
      <c r="D3554" s="62">
        <v>500</v>
      </c>
      <c r="E3554" s="43"/>
      <c r="F3554" s="28">
        <f t="shared" si="58"/>
        <v>2959</v>
      </c>
      <c r="G3554" s="43"/>
    </row>
    <row r="3555" spans="1:7" x14ac:dyDescent="0.3">
      <c r="A3555" s="45">
        <v>43068</v>
      </c>
      <c r="B3555" s="756" t="s">
        <v>2779</v>
      </c>
      <c r="C3555" s="756"/>
      <c r="D3555" s="71"/>
      <c r="E3555" s="72">
        <v>50000</v>
      </c>
      <c r="F3555" s="28">
        <f t="shared" si="58"/>
        <v>52959</v>
      </c>
      <c r="G3555" s="43"/>
    </row>
    <row r="3556" spans="1:7" x14ac:dyDescent="0.3">
      <c r="A3556" s="45">
        <v>43068</v>
      </c>
      <c r="B3556" s="5" t="s">
        <v>14</v>
      </c>
      <c r="C3556" s="92" t="s">
        <v>2778</v>
      </c>
      <c r="D3556" s="43">
        <v>25000</v>
      </c>
      <c r="E3556" s="43"/>
      <c r="F3556" s="28">
        <f t="shared" si="58"/>
        <v>27959</v>
      </c>
      <c r="G3556" s="43"/>
    </row>
    <row r="3557" spans="1:7" x14ac:dyDescent="0.3">
      <c r="A3557" s="45">
        <v>43068</v>
      </c>
      <c r="B3557" s="5" t="s">
        <v>1837</v>
      </c>
      <c r="C3557" s="92" t="s">
        <v>2771</v>
      </c>
      <c r="D3557" s="43">
        <v>8000</v>
      </c>
      <c r="E3557" s="43"/>
      <c r="F3557" s="28">
        <f t="shared" si="58"/>
        <v>19959</v>
      </c>
      <c r="G3557" s="43"/>
    </row>
    <row r="3558" spans="1:7" x14ac:dyDescent="0.3">
      <c r="A3558" s="45">
        <v>43068</v>
      </c>
      <c r="B3558" s="5" t="s">
        <v>84</v>
      </c>
      <c r="C3558" s="92" t="s">
        <v>2780</v>
      </c>
      <c r="D3558" s="43">
        <v>1500</v>
      </c>
      <c r="E3558" s="43"/>
      <c r="F3558" s="28">
        <f t="shared" si="58"/>
        <v>18459</v>
      </c>
      <c r="G3558" s="43"/>
    </row>
    <row r="3559" spans="1:7" x14ac:dyDescent="0.3">
      <c r="A3559" s="45">
        <v>43068</v>
      </c>
      <c r="B3559" s="5" t="s">
        <v>84</v>
      </c>
      <c r="C3559" s="92" t="s">
        <v>2767</v>
      </c>
      <c r="D3559" s="43">
        <v>200</v>
      </c>
      <c r="E3559" s="43"/>
      <c r="F3559" s="28">
        <f t="shared" si="58"/>
        <v>18259</v>
      </c>
      <c r="G3559" s="43"/>
    </row>
    <row r="3560" spans="1:7" x14ac:dyDescent="0.3">
      <c r="A3560" s="45">
        <v>43070</v>
      </c>
      <c r="B3560" s="5" t="s">
        <v>16</v>
      </c>
      <c r="C3560" s="92" t="s">
        <v>1530</v>
      </c>
      <c r="D3560" s="43">
        <v>3000</v>
      </c>
      <c r="E3560" s="43"/>
      <c r="F3560" s="28">
        <f t="shared" si="58"/>
        <v>15259</v>
      </c>
      <c r="G3560" s="43"/>
    </row>
    <row r="3561" spans="1:7" x14ac:dyDescent="0.3">
      <c r="A3561" s="45">
        <v>43070</v>
      </c>
      <c r="B3561" s="5" t="s">
        <v>2674</v>
      </c>
      <c r="C3561" s="92" t="s">
        <v>2781</v>
      </c>
      <c r="D3561" s="43">
        <v>10000</v>
      </c>
      <c r="E3561" s="43"/>
      <c r="F3561" s="28">
        <f t="shared" si="58"/>
        <v>5259</v>
      </c>
      <c r="G3561" s="43"/>
    </row>
    <row r="3562" spans="1:7" x14ac:dyDescent="0.3">
      <c r="A3562" s="45">
        <v>43070</v>
      </c>
      <c r="B3562" s="5" t="s">
        <v>25</v>
      </c>
      <c r="C3562" s="92" t="s">
        <v>2782</v>
      </c>
      <c r="D3562" s="43">
        <v>350</v>
      </c>
      <c r="E3562" s="43"/>
      <c r="F3562" s="28">
        <f t="shared" si="58"/>
        <v>4909</v>
      </c>
      <c r="G3562" s="43"/>
    </row>
    <row r="3563" spans="1:7" x14ac:dyDescent="0.3">
      <c r="A3563" s="45">
        <v>43070</v>
      </c>
      <c r="B3563" s="5" t="s">
        <v>25</v>
      </c>
      <c r="C3563" s="92" t="s">
        <v>2783</v>
      </c>
      <c r="D3563" s="43">
        <v>480</v>
      </c>
      <c r="E3563" s="43"/>
      <c r="F3563" s="28">
        <f t="shared" si="58"/>
        <v>4429</v>
      </c>
      <c r="G3563" s="43"/>
    </row>
    <row r="3564" spans="1:7" x14ac:dyDescent="0.3">
      <c r="A3564" s="45">
        <v>43070</v>
      </c>
      <c r="B3564" s="5" t="s">
        <v>25</v>
      </c>
      <c r="C3564" s="92" t="s">
        <v>2784</v>
      </c>
      <c r="D3564" s="43">
        <v>500</v>
      </c>
      <c r="E3564" s="43"/>
      <c r="F3564" s="28">
        <f t="shared" si="58"/>
        <v>3929</v>
      </c>
      <c r="G3564" s="43"/>
    </row>
    <row r="3565" spans="1:7" x14ac:dyDescent="0.3">
      <c r="A3565" s="45">
        <v>43070</v>
      </c>
      <c r="B3565" s="5" t="s">
        <v>1837</v>
      </c>
      <c r="C3565" s="92" t="s">
        <v>2785</v>
      </c>
      <c r="D3565" s="43">
        <v>3000</v>
      </c>
      <c r="E3565" s="43"/>
      <c r="F3565" s="28">
        <f t="shared" si="58"/>
        <v>929</v>
      </c>
      <c r="G3565" s="43"/>
    </row>
    <row r="3566" spans="1:7" x14ac:dyDescent="0.3">
      <c r="A3566" s="45">
        <v>43070</v>
      </c>
      <c r="B3566" s="5" t="s">
        <v>25</v>
      </c>
      <c r="C3566" s="92" t="s">
        <v>2786</v>
      </c>
      <c r="D3566" s="43">
        <v>300</v>
      </c>
      <c r="E3566" s="43"/>
      <c r="F3566" s="28">
        <f t="shared" si="58"/>
        <v>629</v>
      </c>
      <c r="G3566" s="43"/>
    </row>
    <row r="3567" spans="1:7" x14ac:dyDescent="0.3">
      <c r="A3567" s="45">
        <v>43073</v>
      </c>
      <c r="B3567" s="756" t="s">
        <v>2779</v>
      </c>
      <c r="C3567" s="756"/>
      <c r="D3567" s="71"/>
      <c r="E3567" s="72">
        <v>50000</v>
      </c>
      <c r="F3567" s="28">
        <f t="shared" si="58"/>
        <v>50629</v>
      </c>
      <c r="G3567" s="43"/>
    </row>
    <row r="3568" spans="1:7" ht="37.5" x14ac:dyDescent="0.3">
      <c r="A3568" s="45">
        <v>43073</v>
      </c>
      <c r="B3568" s="5" t="s">
        <v>1343</v>
      </c>
      <c r="C3568" s="92" t="s">
        <v>2819</v>
      </c>
      <c r="D3568" s="43">
        <v>2500</v>
      </c>
      <c r="E3568" s="43"/>
      <c r="F3568" s="28">
        <f t="shared" si="58"/>
        <v>48129</v>
      </c>
      <c r="G3568" s="43"/>
    </row>
    <row r="3569" spans="1:7" x14ac:dyDescent="0.3">
      <c r="A3569" s="45">
        <v>43073</v>
      </c>
      <c r="B3569" s="5" t="s">
        <v>1343</v>
      </c>
      <c r="C3569" s="92" t="s">
        <v>2815</v>
      </c>
      <c r="D3569" s="43">
        <v>4000</v>
      </c>
      <c r="E3569" s="43"/>
      <c r="F3569" s="28">
        <f t="shared" si="58"/>
        <v>44129</v>
      </c>
      <c r="G3569" s="43"/>
    </row>
    <row r="3570" spans="1:7" ht="37.5" x14ac:dyDescent="0.3">
      <c r="A3570" s="45">
        <v>43073</v>
      </c>
      <c r="B3570" s="5" t="s">
        <v>1343</v>
      </c>
      <c r="C3570" s="92" t="s">
        <v>2818</v>
      </c>
      <c r="D3570" s="43">
        <v>1000</v>
      </c>
      <c r="E3570" s="43"/>
      <c r="F3570" s="28">
        <f t="shared" si="58"/>
        <v>43129</v>
      </c>
      <c r="G3570" s="43"/>
    </row>
    <row r="3571" spans="1:7" x14ac:dyDescent="0.3">
      <c r="A3571" s="45">
        <v>43073</v>
      </c>
      <c r="B3571" s="5" t="s">
        <v>0</v>
      </c>
      <c r="C3571" s="92" t="s">
        <v>2787</v>
      </c>
      <c r="D3571" s="43">
        <v>2000</v>
      </c>
      <c r="E3571" s="43"/>
      <c r="F3571" s="28">
        <f t="shared" si="58"/>
        <v>41129</v>
      </c>
      <c r="G3571" s="43"/>
    </row>
    <row r="3572" spans="1:7" x14ac:dyDescent="0.3">
      <c r="A3572" s="45">
        <v>43073</v>
      </c>
      <c r="B3572" s="5" t="s">
        <v>2330</v>
      </c>
      <c r="C3572" s="92" t="s">
        <v>2311</v>
      </c>
      <c r="D3572" s="43">
        <v>6220</v>
      </c>
      <c r="E3572" s="43"/>
      <c r="F3572" s="28">
        <f t="shared" si="58"/>
        <v>34909</v>
      </c>
      <c r="G3572" s="43"/>
    </row>
    <row r="3573" spans="1:7" x14ac:dyDescent="0.3">
      <c r="A3573" s="45">
        <v>43073</v>
      </c>
      <c r="B3573" s="5" t="s">
        <v>541</v>
      </c>
      <c r="C3573" s="92" t="s">
        <v>2788</v>
      </c>
      <c r="D3573" s="43">
        <v>600</v>
      </c>
      <c r="E3573" s="43"/>
      <c r="F3573" s="28">
        <f t="shared" si="58"/>
        <v>34309</v>
      </c>
      <c r="G3573" s="43"/>
    </row>
    <row r="3574" spans="1:7" x14ac:dyDescent="0.3">
      <c r="A3574" s="45">
        <v>43073</v>
      </c>
      <c r="B3574" s="5" t="s">
        <v>1616</v>
      </c>
      <c r="C3574" s="92" t="s">
        <v>2788</v>
      </c>
      <c r="D3574" s="43">
        <v>600</v>
      </c>
      <c r="E3574" s="43"/>
      <c r="F3574" s="28">
        <f t="shared" si="58"/>
        <v>33709</v>
      </c>
      <c r="G3574" s="43"/>
    </row>
    <row r="3575" spans="1:7" ht="37.5" x14ac:dyDescent="0.3">
      <c r="A3575" s="45">
        <v>43073</v>
      </c>
      <c r="B3575" s="5" t="s">
        <v>2330</v>
      </c>
      <c r="C3575" s="92" t="s">
        <v>2817</v>
      </c>
      <c r="D3575" s="43">
        <v>160</v>
      </c>
      <c r="E3575" s="43"/>
      <c r="F3575" s="28">
        <f t="shared" si="58"/>
        <v>33549</v>
      </c>
      <c r="G3575" s="43"/>
    </row>
    <row r="3576" spans="1:7" x14ac:dyDescent="0.3">
      <c r="A3576" s="45">
        <v>43073</v>
      </c>
      <c r="B3576" s="5" t="s">
        <v>2204</v>
      </c>
      <c r="C3576" s="92" t="s">
        <v>2793</v>
      </c>
      <c r="D3576" s="43">
        <v>9075</v>
      </c>
      <c r="E3576" s="43"/>
      <c r="F3576" s="28">
        <f t="shared" si="58"/>
        <v>24474</v>
      </c>
      <c r="G3576" s="43"/>
    </row>
    <row r="3577" spans="1:7" x14ac:dyDescent="0.3">
      <c r="A3577" s="45">
        <v>43073</v>
      </c>
      <c r="B3577" s="5" t="s">
        <v>14</v>
      </c>
      <c r="C3577" s="92" t="s">
        <v>252</v>
      </c>
      <c r="D3577" s="43">
        <v>5000</v>
      </c>
      <c r="E3577" s="43"/>
      <c r="F3577" s="28">
        <f t="shared" si="58"/>
        <v>19474</v>
      </c>
      <c r="G3577" s="43"/>
    </row>
    <row r="3578" spans="1:7" x14ac:dyDescent="0.3">
      <c r="A3578" s="45">
        <v>43073</v>
      </c>
      <c r="B3578" s="5" t="s">
        <v>2674</v>
      </c>
      <c r="C3578" s="92" t="s">
        <v>2789</v>
      </c>
      <c r="D3578" s="43">
        <v>3635</v>
      </c>
      <c r="E3578" s="43"/>
      <c r="F3578" s="28">
        <f t="shared" si="58"/>
        <v>15839</v>
      </c>
      <c r="G3578" s="43"/>
    </row>
    <row r="3579" spans="1:7" x14ac:dyDescent="0.3">
      <c r="A3579" s="45">
        <v>43073</v>
      </c>
      <c r="B3579" s="5" t="s">
        <v>2674</v>
      </c>
      <c r="C3579" s="92" t="s">
        <v>2790</v>
      </c>
      <c r="D3579" s="43">
        <v>240</v>
      </c>
      <c r="E3579" s="43"/>
      <c r="F3579" s="28">
        <f t="shared" si="58"/>
        <v>15599</v>
      </c>
      <c r="G3579" s="43"/>
    </row>
    <row r="3580" spans="1:7" x14ac:dyDescent="0.3">
      <c r="A3580" s="45">
        <v>43073</v>
      </c>
      <c r="B3580" s="5" t="s">
        <v>25</v>
      </c>
      <c r="C3580" s="92" t="s">
        <v>2791</v>
      </c>
      <c r="D3580" s="43">
        <v>50</v>
      </c>
      <c r="E3580" s="43"/>
      <c r="F3580" s="28">
        <f t="shared" si="58"/>
        <v>15549</v>
      </c>
      <c r="G3580" s="43"/>
    </row>
    <row r="3581" spans="1:7" x14ac:dyDescent="0.3">
      <c r="A3581" s="45">
        <v>43073</v>
      </c>
      <c r="B3581" s="5" t="s">
        <v>25</v>
      </c>
      <c r="C3581" s="92" t="s">
        <v>2792</v>
      </c>
      <c r="D3581" s="43">
        <v>30</v>
      </c>
      <c r="E3581" s="43"/>
      <c r="F3581" s="28">
        <f t="shared" si="58"/>
        <v>15519</v>
      </c>
      <c r="G3581" s="43"/>
    </row>
    <row r="3582" spans="1:7" x14ac:dyDescent="0.3">
      <c r="A3582" s="45">
        <v>43073</v>
      </c>
      <c r="B3582" s="5" t="s">
        <v>2086</v>
      </c>
      <c r="C3582" s="92" t="s">
        <v>2794</v>
      </c>
      <c r="D3582" s="43">
        <v>100</v>
      </c>
      <c r="E3582" s="43"/>
      <c r="F3582" s="28">
        <f t="shared" si="58"/>
        <v>15419</v>
      </c>
      <c r="G3582" s="43"/>
    </row>
    <row r="3583" spans="1:7" x14ac:dyDescent="0.3">
      <c r="A3583" s="45">
        <v>43073</v>
      </c>
      <c r="B3583" s="5" t="s">
        <v>25</v>
      </c>
      <c r="C3583" s="92" t="s">
        <v>2659</v>
      </c>
      <c r="D3583" s="43">
        <v>350</v>
      </c>
      <c r="E3583" s="43"/>
      <c r="F3583" s="28">
        <f t="shared" si="58"/>
        <v>15069</v>
      </c>
      <c r="G3583" s="43"/>
    </row>
    <row r="3584" spans="1:7" x14ac:dyDescent="0.3">
      <c r="A3584" s="45">
        <v>43073</v>
      </c>
      <c r="B3584" s="5" t="s">
        <v>25</v>
      </c>
      <c r="C3584" s="92" t="s">
        <v>51</v>
      </c>
      <c r="D3584" s="43">
        <v>60</v>
      </c>
      <c r="E3584" s="43"/>
      <c r="F3584" s="28">
        <f t="shared" si="58"/>
        <v>15009</v>
      </c>
      <c r="G3584" s="43"/>
    </row>
    <row r="3585" spans="1:7" x14ac:dyDescent="0.3">
      <c r="A3585" s="45">
        <v>43073</v>
      </c>
      <c r="B3585" s="5" t="s">
        <v>25</v>
      </c>
      <c r="C3585" s="92" t="s">
        <v>2795</v>
      </c>
      <c r="D3585" s="43">
        <v>200</v>
      </c>
      <c r="E3585" s="43"/>
      <c r="F3585" s="28">
        <f t="shared" si="58"/>
        <v>14809</v>
      </c>
      <c r="G3585" s="43"/>
    </row>
    <row r="3586" spans="1:7" x14ac:dyDescent="0.3">
      <c r="A3586" s="45">
        <v>43073</v>
      </c>
      <c r="B3586" s="5" t="s">
        <v>25</v>
      </c>
      <c r="C3586" s="92" t="s">
        <v>1829</v>
      </c>
      <c r="D3586" s="43">
        <v>60</v>
      </c>
      <c r="E3586" s="43"/>
      <c r="F3586" s="28">
        <f t="shared" si="58"/>
        <v>14749</v>
      </c>
      <c r="G3586" s="43"/>
    </row>
    <row r="3587" spans="1:7" x14ac:dyDescent="0.3">
      <c r="A3587" s="45">
        <v>43073</v>
      </c>
      <c r="B3587" s="5" t="s">
        <v>25</v>
      </c>
      <c r="C3587" s="92" t="s">
        <v>2796</v>
      </c>
      <c r="D3587" s="43">
        <v>105</v>
      </c>
      <c r="E3587" s="43"/>
      <c r="F3587" s="28">
        <f t="shared" si="58"/>
        <v>14644</v>
      </c>
      <c r="G3587" s="43"/>
    </row>
    <row r="3588" spans="1:7" x14ac:dyDescent="0.3">
      <c r="A3588" s="45">
        <v>43073</v>
      </c>
      <c r="B3588" s="5" t="s">
        <v>25</v>
      </c>
      <c r="C3588" s="92" t="s">
        <v>83</v>
      </c>
      <c r="D3588" s="43">
        <v>140</v>
      </c>
      <c r="E3588" s="43"/>
      <c r="F3588" s="28">
        <f t="shared" si="58"/>
        <v>14504</v>
      </c>
      <c r="G3588" s="43"/>
    </row>
    <row r="3589" spans="1:7" ht="37.5" x14ac:dyDescent="0.3">
      <c r="A3589" s="45">
        <v>43073</v>
      </c>
      <c r="B3589" s="44" t="s">
        <v>25</v>
      </c>
      <c r="C3589" s="124" t="s">
        <v>2797</v>
      </c>
      <c r="D3589" s="28">
        <v>70</v>
      </c>
      <c r="E3589" s="28"/>
      <c r="F3589" s="28">
        <f t="shared" si="58"/>
        <v>14434</v>
      </c>
      <c r="G3589" s="28"/>
    </row>
    <row r="3590" spans="1:7" x14ac:dyDescent="0.3">
      <c r="A3590" s="45">
        <v>43074</v>
      </c>
      <c r="B3590" s="44" t="s">
        <v>25</v>
      </c>
      <c r="C3590" s="92" t="s">
        <v>2798</v>
      </c>
      <c r="D3590" s="43">
        <v>130</v>
      </c>
      <c r="E3590" s="43"/>
      <c r="F3590" s="28">
        <f t="shared" si="58"/>
        <v>14304</v>
      </c>
      <c r="G3590" s="43"/>
    </row>
    <row r="3591" spans="1:7" x14ac:dyDescent="0.3">
      <c r="A3591" s="45">
        <v>43074</v>
      </c>
      <c r="B3591" s="44" t="s">
        <v>25</v>
      </c>
      <c r="C3591" s="92" t="s">
        <v>2799</v>
      </c>
      <c r="D3591" s="43">
        <v>150</v>
      </c>
      <c r="E3591" s="43"/>
      <c r="F3591" s="28">
        <f t="shared" si="58"/>
        <v>14154</v>
      </c>
      <c r="G3591" s="43"/>
    </row>
    <row r="3592" spans="1:7" x14ac:dyDescent="0.3">
      <c r="A3592" s="45">
        <v>43074</v>
      </c>
      <c r="B3592" s="44" t="s">
        <v>25</v>
      </c>
      <c r="C3592" s="92" t="s">
        <v>2800</v>
      </c>
      <c r="D3592" s="43">
        <v>500</v>
      </c>
      <c r="E3592" s="43"/>
      <c r="F3592" s="28">
        <f t="shared" si="58"/>
        <v>13654</v>
      </c>
      <c r="G3592" s="43"/>
    </row>
    <row r="3593" spans="1:7" ht="37.5" x14ac:dyDescent="0.3">
      <c r="A3593" s="45">
        <v>43074</v>
      </c>
      <c r="B3593" s="44" t="s">
        <v>2674</v>
      </c>
      <c r="C3593" s="92" t="s">
        <v>2801</v>
      </c>
      <c r="D3593" s="65">
        <v>490</v>
      </c>
      <c r="E3593" s="43"/>
      <c r="F3593" s="28">
        <f t="shared" si="58"/>
        <v>13164</v>
      </c>
      <c r="G3593" s="43"/>
    </row>
    <row r="3594" spans="1:7" ht="37.5" x14ac:dyDescent="0.3">
      <c r="A3594" s="45">
        <v>43074</v>
      </c>
      <c r="B3594" s="44" t="s">
        <v>2674</v>
      </c>
      <c r="C3594" s="92" t="s">
        <v>2802</v>
      </c>
      <c r="D3594" s="43">
        <v>1100</v>
      </c>
      <c r="E3594" s="43"/>
      <c r="F3594" s="28">
        <f t="shared" si="58"/>
        <v>12064</v>
      </c>
      <c r="G3594" s="43"/>
    </row>
    <row r="3595" spans="1:7" x14ac:dyDescent="0.3">
      <c r="A3595" s="45">
        <v>43074</v>
      </c>
      <c r="B3595" s="5" t="s">
        <v>1837</v>
      </c>
      <c r="C3595" s="92" t="s">
        <v>2803</v>
      </c>
      <c r="D3595" s="43">
        <v>1000</v>
      </c>
      <c r="E3595" s="43"/>
      <c r="F3595" s="28">
        <f t="shared" ref="F3595:F3658" si="59">F3594-D3595+E3595</f>
        <v>11064</v>
      </c>
      <c r="G3595" s="43"/>
    </row>
    <row r="3596" spans="1:7" x14ac:dyDescent="0.3">
      <c r="A3596" s="45">
        <v>43074</v>
      </c>
      <c r="B3596" s="5" t="s">
        <v>84</v>
      </c>
      <c r="C3596" s="92" t="s">
        <v>2804</v>
      </c>
      <c r="D3596" s="43">
        <v>1000</v>
      </c>
      <c r="E3596" s="43"/>
      <c r="F3596" s="28">
        <f t="shared" si="59"/>
        <v>10064</v>
      </c>
      <c r="G3596" s="43"/>
    </row>
    <row r="3597" spans="1:7" x14ac:dyDescent="0.3">
      <c r="A3597" s="45">
        <v>43074</v>
      </c>
      <c r="B3597" s="5" t="s">
        <v>60</v>
      </c>
      <c r="C3597" s="92" t="s">
        <v>2805</v>
      </c>
      <c r="D3597" s="43">
        <v>1000</v>
      </c>
      <c r="E3597" s="43"/>
      <c r="F3597" s="28">
        <f t="shared" si="59"/>
        <v>9064</v>
      </c>
      <c r="G3597" s="43"/>
    </row>
    <row r="3598" spans="1:7" x14ac:dyDescent="0.3">
      <c r="A3598" s="45">
        <v>43074</v>
      </c>
      <c r="B3598" s="5" t="s">
        <v>16</v>
      </c>
      <c r="C3598" s="92" t="s">
        <v>2435</v>
      </c>
      <c r="D3598" s="43">
        <v>600</v>
      </c>
      <c r="E3598" s="43"/>
      <c r="F3598" s="28">
        <f t="shared" si="59"/>
        <v>8464</v>
      </c>
      <c r="G3598" s="43"/>
    </row>
    <row r="3599" spans="1:7" x14ac:dyDescent="0.3">
      <c r="A3599" s="45">
        <v>43074</v>
      </c>
      <c r="B3599" s="5" t="s">
        <v>247</v>
      </c>
      <c r="C3599" s="92" t="s">
        <v>2807</v>
      </c>
      <c r="D3599" s="65">
        <v>1980</v>
      </c>
      <c r="E3599" s="43"/>
      <c r="F3599" s="28">
        <f t="shared" si="59"/>
        <v>6484</v>
      </c>
      <c r="G3599" s="43"/>
    </row>
    <row r="3600" spans="1:7" x14ac:dyDescent="0.3">
      <c r="A3600" s="45">
        <v>43074</v>
      </c>
      <c r="B3600" s="5" t="s">
        <v>2594</v>
      </c>
      <c r="C3600" s="92" t="s">
        <v>2806</v>
      </c>
      <c r="D3600" s="43">
        <v>3500</v>
      </c>
      <c r="E3600" s="43"/>
      <c r="F3600" s="28">
        <f t="shared" si="59"/>
        <v>2984</v>
      </c>
      <c r="G3600" s="43"/>
    </row>
    <row r="3601" spans="1:7" x14ac:dyDescent="0.3">
      <c r="A3601" s="45">
        <v>43074</v>
      </c>
      <c r="B3601" s="5" t="s">
        <v>25</v>
      </c>
      <c r="C3601" s="92" t="s">
        <v>2808</v>
      </c>
      <c r="D3601" s="43">
        <v>280</v>
      </c>
      <c r="E3601" s="43"/>
      <c r="F3601" s="28">
        <f t="shared" si="59"/>
        <v>2704</v>
      </c>
      <c r="G3601" s="43"/>
    </row>
    <row r="3602" spans="1:7" x14ac:dyDescent="0.3">
      <c r="A3602" s="45">
        <v>43074</v>
      </c>
      <c r="B3602" s="5" t="s">
        <v>25</v>
      </c>
      <c r="C3602" s="92" t="s">
        <v>2809</v>
      </c>
      <c r="D3602" s="43">
        <v>20</v>
      </c>
      <c r="E3602" s="43"/>
      <c r="F3602" s="28">
        <f t="shared" si="59"/>
        <v>2684</v>
      </c>
      <c r="G3602" s="43"/>
    </row>
    <row r="3603" spans="1:7" x14ac:dyDescent="0.3">
      <c r="A3603" s="45">
        <v>43074</v>
      </c>
      <c r="B3603" s="5" t="s">
        <v>25</v>
      </c>
      <c r="C3603" s="92" t="s">
        <v>401</v>
      </c>
      <c r="D3603" s="43">
        <v>510</v>
      </c>
      <c r="E3603" s="43"/>
      <c r="F3603" s="28">
        <f t="shared" si="59"/>
        <v>2174</v>
      </c>
      <c r="G3603" s="43"/>
    </row>
    <row r="3604" spans="1:7" x14ac:dyDescent="0.3">
      <c r="A3604" s="45">
        <v>43074</v>
      </c>
      <c r="B3604" s="5" t="s">
        <v>25</v>
      </c>
      <c r="C3604" s="92" t="s">
        <v>2810</v>
      </c>
      <c r="D3604" s="43">
        <v>20</v>
      </c>
      <c r="E3604" s="43"/>
      <c r="F3604" s="28">
        <f t="shared" si="59"/>
        <v>2154</v>
      </c>
      <c r="G3604" s="43"/>
    </row>
    <row r="3605" spans="1:7" x14ac:dyDescent="0.3">
      <c r="A3605" s="45">
        <v>43074</v>
      </c>
      <c r="B3605" s="5" t="s">
        <v>25</v>
      </c>
      <c r="C3605" s="92" t="s">
        <v>2659</v>
      </c>
      <c r="D3605" s="43">
        <v>350</v>
      </c>
      <c r="E3605" s="43"/>
      <c r="F3605" s="28">
        <f t="shared" si="59"/>
        <v>1804</v>
      </c>
      <c r="G3605" s="43"/>
    </row>
    <row r="3606" spans="1:7" x14ac:dyDescent="0.3">
      <c r="A3606" s="45">
        <v>43074</v>
      </c>
      <c r="B3606" s="5" t="s">
        <v>25</v>
      </c>
      <c r="C3606" s="92" t="s">
        <v>2813</v>
      </c>
      <c r="D3606" s="43">
        <v>150</v>
      </c>
      <c r="E3606" s="43"/>
      <c r="F3606" s="28">
        <f t="shared" si="59"/>
        <v>1654</v>
      </c>
      <c r="G3606" s="43"/>
    </row>
    <row r="3607" spans="1:7" x14ac:dyDescent="0.3">
      <c r="A3607" s="45">
        <v>43074</v>
      </c>
      <c r="B3607" s="5" t="s">
        <v>25</v>
      </c>
      <c r="C3607" s="92" t="s">
        <v>2811</v>
      </c>
      <c r="D3607" s="43">
        <v>140</v>
      </c>
      <c r="E3607" s="43"/>
      <c r="F3607" s="28">
        <f t="shared" si="59"/>
        <v>1514</v>
      </c>
      <c r="G3607" s="43"/>
    </row>
    <row r="3608" spans="1:7" x14ac:dyDescent="0.3">
      <c r="A3608" s="45">
        <v>43074</v>
      </c>
      <c r="B3608" s="5" t="s">
        <v>25</v>
      </c>
      <c r="C3608" s="92" t="s">
        <v>2816</v>
      </c>
      <c r="D3608" s="43">
        <v>80</v>
      </c>
      <c r="E3608" s="43"/>
      <c r="F3608" s="28">
        <f t="shared" si="59"/>
        <v>1434</v>
      </c>
      <c r="G3608" s="43"/>
    </row>
    <row r="3609" spans="1:7" x14ac:dyDescent="0.3">
      <c r="A3609" s="45">
        <v>43074</v>
      </c>
      <c r="B3609" s="5" t="s">
        <v>25</v>
      </c>
      <c r="C3609" s="92" t="s">
        <v>2814</v>
      </c>
      <c r="D3609" s="43">
        <v>110</v>
      </c>
      <c r="E3609" s="43"/>
      <c r="F3609" s="28">
        <f t="shared" si="59"/>
        <v>1324</v>
      </c>
      <c r="G3609" s="43"/>
    </row>
    <row r="3610" spans="1:7" x14ac:dyDescent="0.3">
      <c r="A3610" s="45">
        <v>43074</v>
      </c>
      <c r="B3610" s="5" t="s">
        <v>25</v>
      </c>
      <c r="C3610" s="92" t="s">
        <v>2812</v>
      </c>
      <c r="D3610" s="43">
        <v>600</v>
      </c>
      <c r="E3610" s="43"/>
      <c r="F3610" s="28">
        <f t="shared" si="59"/>
        <v>724</v>
      </c>
      <c r="G3610" s="43"/>
    </row>
    <row r="3611" spans="1:7" ht="37.5" x14ac:dyDescent="0.3">
      <c r="A3611" s="45">
        <v>43074</v>
      </c>
      <c r="B3611" s="5" t="s">
        <v>25</v>
      </c>
      <c r="C3611" s="92" t="s">
        <v>2820</v>
      </c>
      <c r="D3611" s="43">
        <v>50</v>
      </c>
      <c r="E3611" s="43"/>
      <c r="F3611" s="28">
        <f t="shared" si="59"/>
        <v>674</v>
      </c>
      <c r="G3611" s="43"/>
    </row>
    <row r="3612" spans="1:7" x14ac:dyDescent="0.3">
      <c r="A3612" s="45">
        <v>43075</v>
      </c>
      <c r="B3612" s="5" t="s">
        <v>25</v>
      </c>
      <c r="C3612" s="92" t="s">
        <v>2821</v>
      </c>
      <c r="D3612" s="43">
        <v>350</v>
      </c>
      <c r="E3612" s="43"/>
      <c r="F3612" s="28">
        <f t="shared" si="59"/>
        <v>324</v>
      </c>
      <c r="G3612" s="43"/>
    </row>
    <row r="3613" spans="1:7" x14ac:dyDescent="0.3">
      <c r="A3613" s="45">
        <v>43075</v>
      </c>
      <c r="B3613" s="5" t="s">
        <v>25</v>
      </c>
      <c r="C3613" s="92" t="s">
        <v>2821</v>
      </c>
      <c r="D3613" s="43">
        <v>60</v>
      </c>
      <c r="E3613" s="43"/>
      <c r="F3613" s="28">
        <f t="shared" si="59"/>
        <v>264</v>
      </c>
      <c r="G3613" s="43"/>
    </row>
    <row r="3614" spans="1:7" x14ac:dyDescent="0.3">
      <c r="A3614" s="45">
        <v>43075</v>
      </c>
      <c r="B3614" s="5" t="s">
        <v>25</v>
      </c>
      <c r="C3614" s="92" t="s">
        <v>2822</v>
      </c>
      <c r="D3614" s="43">
        <v>40</v>
      </c>
      <c r="E3614" s="43"/>
      <c r="F3614" s="28">
        <f t="shared" si="59"/>
        <v>224</v>
      </c>
      <c r="G3614" s="43"/>
    </row>
    <row r="3615" spans="1:7" x14ac:dyDescent="0.3">
      <c r="A3615" s="45">
        <v>43075</v>
      </c>
      <c r="B3615" s="5" t="s">
        <v>58</v>
      </c>
      <c r="C3615" s="92" t="s">
        <v>2785</v>
      </c>
      <c r="D3615" s="43">
        <v>100</v>
      </c>
      <c r="E3615" s="43"/>
      <c r="F3615" s="28">
        <f t="shared" si="59"/>
        <v>124</v>
      </c>
      <c r="G3615" s="43"/>
    </row>
    <row r="3616" spans="1:7" x14ac:dyDescent="0.3">
      <c r="A3616" s="45">
        <v>43075</v>
      </c>
      <c r="B3616" s="756" t="s">
        <v>2665</v>
      </c>
      <c r="C3616" s="756"/>
      <c r="D3616" s="71"/>
      <c r="E3616" s="72">
        <v>50000</v>
      </c>
      <c r="F3616" s="28">
        <f t="shared" si="59"/>
        <v>50124</v>
      </c>
      <c r="G3616" s="43"/>
    </row>
    <row r="3617" spans="1:7" x14ac:dyDescent="0.3">
      <c r="A3617" s="45">
        <v>43075</v>
      </c>
      <c r="B3617" s="5" t="s">
        <v>2594</v>
      </c>
      <c r="C3617" s="92" t="s">
        <v>2823</v>
      </c>
      <c r="D3617" s="43">
        <v>5000</v>
      </c>
      <c r="E3617" s="43"/>
      <c r="F3617" s="28">
        <f t="shared" si="59"/>
        <v>45124</v>
      </c>
      <c r="G3617" s="43"/>
    </row>
    <row r="3618" spans="1:7" x14ac:dyDescent="0.3">
      <c r="A3618" s="45">
        <v>43075</v>
      </c>
      <c r="B3618" s="5" t="s">
        <v>2824</v>
      </c>
      <c r="C3618" s="92" t="s">
        <v>2825</v>
      </c>
      <c r="D3618" s="43">
        <v>4000</v>
      </c>
      <c r="E3618" s="43"/>
      <c r="F3618" s="28">
        <f t="shared" si="59"/>
        <v>41124</v>
      </c>
      <c r="G3618" s="43"/>
    </row>
    <row r="3619" spans="1:7" x14ac:dyDescent="0.3">
      <c r="A3619" s="45">
        <v>43075</v>
      </c>
      <c r="B3619" s="5" t="s">
        <v>2827</v>
      </c>
      <c r="C3619" s="92" t="s">
        <v>2828</v>
      </c>
      <c r="D3619" s="43">
        <v>680</v>
      </c>
      <c r="E3619" s="43"/>
      <c r="F3619" s="28">
        <f t="shared" si="59"/>
        <v>40444</v>
      </c>
      <c r="G3619" s="43"/>
    </row>
    <row r="3620" spans="1:7" x14ac:dyDescent="0.3">
      <c r="A3620" s="45">
        <v>43076</v>
      </c>
      <c r="B3620" s="5" t="s">
        <v>14</v>
      </c>
      <c r="C3620" s="92" t="s">
        <v>640</v>
      </c>
      <c r="D3620" s="43">
        <v>1000</v>
      </c>
      <c r="E3620" s="43"/>
      <c r="F3620" s="28">
        <f t="shared" si="59"/>
        <v>39444</v>
      </c>
      <c r="G3620" s="43"/>
    </row>
    <row r="3621" spans="1:7" x14ac:dyDescent="0.3">
      <c r="A3621" s="45">
        <v>43076</v>
      </c>
      <c r="B3621" s="5" t="s">
        <v>2502</v>
      </c>
      <c r="C3621" s="92" t="s">
        <v>2826</v>
      </c>
      <c r="D3621" s="43">
        <v>5000</v>
      </c>
      <c r="E3621" s="43"/>
      <c r="F3621" s="28">
        <f t="shared" si="59"/>
        <v>34444</v>
      </c>
      <c r="G3621" s="43"/>
    </row>
    <row r="3622" spans="1:7" x14ac:dyDescent="0.3">
      <c r="A3622" s="45">
        <v>43076</v>
      </c>
      <c r="B3622" s="5" t="s">
        <v>247</v>
      </c>
      <c r="C3622" s="92" t="s">
        <v>2830</v>
      </c>
      <c r="D3622" s="65">
        <v>1200</v>
      </c>
      <c r="E3622" s="43"/>
      <c r="F3622" s="28">
        <f t="shared" si="59"/>
        <v>33244</v>
      </c>
      <c r="G3622" s="43"/>
    </row>
    <row r="3623" spans="1:7" x14ac:dyDescent="0.3">
      <c r="A3623" s="45">
        <v>43076</v>
      </c>
      <c r="B3623" s="5" t="s">
        <v>14</v>
      </c>
      <c r="C3623" s="92" t="s">
        <v>1530</v>
      </c>
      <c r="D3623" s="43">
        <v>2000</v>
      </c>
      <c r="E3623" s="43"/>
      <c r="F3623" s="28">
        <f t="shared" si="59"/>
        <v>31244</v>
      </c>
      <c r="G3623" s="43"/>
    </row>
    <row r="3624" spans="1:7" x14ac:dyDescent="0.3">
      <c r="A3624" s="45">
        <v>43076</v>
      </c>
      <c r="B3624" s="5" t="s">
        <v>2827</v>
      </c>
      <c r="C3624" s="92" t="s">
        <v>1530</v>
      </c>
      <c r="D3624" s="43">
        <v>1150</v>
      </c>
      <c r="E3624" s="43"/>
      <c r="F3624" s="28">
        <f t="shared" si="59"/>
        <v>30094</v>
      </c>
      <c r="G3624" s="43"/>
    </row>
    <row r="3625" spans="1:7" x14ac:dyDescent="0.3">
      <c r="A3625" s="45">
        <v>43076</v>
      </c>
      <c r="B3625" s="5" t="s">
        <v>16</v>
      </c>
      <c r="C3625" s="92" t="s">
        <v>2829</v>
      </c>
      <c r="D3625" s="43">
        <v>5000</v>
      </c>
      <c r="E3625" s="43"/>
      <c r="F3625" s="28">
        <f t="shared" si="59"/>
        <v>25094</v>
      </c>
      <c r="G3625" s="43"/>
    </row>
    <row r="3626" spans="1:7" x14ac:dyDescent="0.3">
      <c r="A3626" s="45">
        <v>43076</v>
      </c>
      <c r="B3626" s="5" t="s">
        <v>2594</v>
      </c>
      <c r="C3626" s="92" t="s">
        <v>2831</v>
      </c>
      <c r="D3626" s="43">
        <v>10000</v>
      </c>
      <c r="E3626" s="43"/>
      <c r="F3626" s="28">
        <f t="shared" si="59"/>
        <v>15094</v>
      </c>
      <c r="G3626" s="43"/>
    </row>
    <row r="3627" spans="1:7" x14ac:dyDescent="0.3">
      <c r="A3627" s="45">
        <v>43076</v>
      </c>
      <c r="B3627" s="5" t="s">
        <v>247</v>
      </c>
      <c r="C3627" s="92" t="s">
        <v>2832</v>
      </c>
      <c r="D3627" s="43">
        <v>780</v>
      </c>
      <c r="E3627" s="43"/>
      <c r="F3627" s="28">
        <f t="shared" si="59"/>
        <v>14314</v>
      </c>
      <c r="G3627" s="43"/>
    </row>
    <row r="3628" spans="1:7" x14ac:dyDescent="0.3">
      <c r="A3628" s="45">
        <v>43076</v>
      </c>
      <c r="B3628" s="5" t="s">
        <v>84</v>
      </c>
      <c r="C3628" s="92" t="s">
        <v>2833</v>
      </c>
      <c r="D3628" s="43">
        <v>1000</v>
      </c>
      <c r="E3628" s="43"/>
      <c r="F3628" s="28">
        <f t="shared" si="59"/>
        <v>13314</v>
      </c>
      <c r="G3628" s="43"/>
    </row>
    <row r="3629" spans="1:7" x14ac:dyDescent="0.3">
      <c r="A3629" s="45">
        <v>43076</v>
      </c>
      <c r="B3629" s="5" t="s">
        <v>84</v>
      </c>
      <c r="C3629" s="92" t="s">
        <v>2834</v>
      </c>
      <c r="D3629" s="43">
        <v>1000</v>
      </c>
      <c r="E3629" s="43"/>
      <c r="F3629" s="28">
        <f t="shared" si="59"/>
        <v>12314</v>
      </c>
      <c r="G3629" s="43"/>
    </row>
    <row r="3630" spans="1:7" ht="37.5" x14ac:dyDescent="0.3">
      <c r="A3630" s="45">
        <v>43077</v>
      </c>
      <c r="B3630" s="5" t="s">
        <v>25</v>
      </c>
      <c r="C3630" s="92" t="s">
        <v>2835</v>
      </c>
      <c r="D3630" s="43">
        <v>420</v>
      </c>
      <c r="E3630" s="43"/>
      <c r="F3630" s="28">
        <f t="shared" si="59"/>
        <v>11894</v>
      </c>
      <c r="G3630" s="43"/>
    </row>
    <row r="3631" spans="1:7" x14ac:dyDescent="0.3">
      <c r="A3631" s="45">
        <v>43077</v>
      </c>
      <c r="B3631" s="5" t="s">
        <v>2645</v>
      </c>
      <c r="C3631" s="92" t="s">
        <v>2836</v>
      </c>
      <c r="D3631" s="43">
        <v>3100</v>
      </c>
      <c r="E3631" s="43"/>
      <c r="F3631" s="28">
        <f t="shared" si="59"/>
        <v>8794</v>
      </c>
      <c r="G3631" s="43"/>
    </row>
    <row r="3632" spans="1:7" x14ac:dyDescent="0.3">
      <c r="A3632" s="45">
        <v>43077</v>
      </c>
      <c r="B3632" s="5" t="s">
        <v>2594</v>
      </c>
      <c r="C3632" s="92" t="s">
        <v>2837</v>
      </c>
      <c r="D3632" s="43">
        <v>2000</v>
      </c>
      <c r="E3632" s="43"/>
      <c r="F3632" s="28">
        <f t="shared" si="59"/>
        <v>6794</v>
      </c>
      <c r="G3632" s="43"/>
    </row>
    <row r="3633" spans="1:7" x14ac:dyDescent="0.3">
      <c r="A3633" s="45">
        <v>43077</v>
      </c>
      <c r="B3633" s="5" t="s">
        <v>2827</v>
      </c>
      <c r="C3633" s="92" t="s">
        <v>2865</v>
      </c>
      <c r="D3633" s="43">
        <v>400</v>
      </c>
      <c r="E3633" s="43"/>
      <c r="F3633" s="28">
        <f t="shared" si="59"/>
        <v>6394</v>
      </c>
      <c r="G3633" s="43"/>
    </row>
    <row r="3634" spans="1:7" x14ac:dyDescent="0.3">
      <c r="A3634" s="45">
        <v>43077</v>
      </c>
      <c r="B3634" s="5" t="s">
        <v>14</v>
      </c>
      <c r="C3634" s="92" t="s">
        <v>31</v>
      </c>
      <c r="D3634" s="43">
        <v>3000</v>
      </c>
      <c r="E3634" s="43"/>
      <c r="F3634" s="28">
        <f t="shared" si="59"/>
        <v>3394</v>
      </c>
      <c r="G3634" s="43"/>
    </row>
    <row r="3635" spans="1:7" x14ac:dyDescent="0.3">
      <c r="A3635" s="45">
        <v>43077</v>
      </c>
      <c r="B3635" s="756" t="s">
        <v>2587</v>
      </c>
      <c r="C3635" s="756"/>
      <c r="D3635" s="71"/>
      <c r="E3635" s="72">
        <v>33534</v>
      </c>
      <c r="F3635" s="28">
        <f t="shared" si="59"/>
        <v>36928</v>
      </c>
      <c r="G3635" s="43"/>
    </row>
    <row r="3636" spans="1:7" x14ac:dyDescent="0.3">
      <c r="A3636" s="45">
        <v>43078</v>
      </c>
      <c r="B3636" s="5" t="s">
        <v>16</v>
      </c>
      <c r="C3636" s="92" t="s">
        <v>2838</v>
      </c>
      <c r="D3636" s="43">
        <v>10000</v>
      </c>
      <c r="E3636" s="43"/>
      <c r="F3636" s="28">
        <f t="shared" si="59"/>
        <v>26928</v>
      </c>
      <c r="G3636" s="43"/>
    </row>
    <row r="3637" spans="1:7" x14ac:dyDescent="0.3">
      <c r="A3637" s="45">
        <v>43078</v>
      </c>
      <c r="B3637" s="5" t="s">
        <v>25</v>
      </c>
      <c r="C3637" s="92" t="s">
        <v>939</v>
      </c>
      <c r="D3637" s="43">
        <v>380</v>
      </c>
      <c r="E3637" s="43"/>
      <c r="F3637" s="28">
        <f t="shared" si="59"/>
        <v>26548</v>
      </c>
      <c r="G3637" s="43"/>
    </row>
    <row r="3638" spans="1:7" x14ac:dyDescent="0.3">
      <c r="A3638" s="45">
        <v>43078</v>
      </c>
      <c r="B3638" s="5" t="s">
        <v>25</v>
      </c>
      <c r="C3638" s="92" t="s">
        <v>2615</v>
      </c>
      <c r="D3638" s="43">
        <v>80</v>
      </c>
      <c r="E3638" s="43"/>
      <c r="F3638" s="28">
        <f t="shared" si="59"/>
        <v>26468</v>
      </c>
      <c r="G3638" s="43"/>
    </row>
    <row r="3639" spans="1:7" x14ac:dyDescent="0.3">
      <c r="A3639" s="45">
        <v>43078</v>
      </c>
      <c r="B3639" s="5" t="s">
        <v>25</v>
      </c>
      <c r="C3639" s="92" t="s">
        <v>2839</v>
      </c>
      <c r="D3639" s="43">
        <v>110</v>
      </c>
      <c r="E3639" s="43"/>
      <c r="F3639" s="28">
        <f t="shared" si="59"/>
        <v>26358</v>
      </c>
      <c r="G3639" s="43"/>
    </row>
    <row r="3640" spans="1:7" x14ac:dyDescent="0.3">
      <c r="A3640" s="45">
        <v>43078</v>
      </c>
      <c r="B3640" s="5" t="s">
        <v>25</v>
      </c>
      <c r="C3640" s="92" t="s">
        <v>2840</v>
      </c>
      <c r="D3640" s="43">
        <v>360</v>
      </c>
      <c r="E3640" s="43"/>
      <c r="F3640" s="28">
        <f t="shared" si="59"/>
        <v>25998</v>
      </c>
      <c r="G3640" s="43"/>
    </row>
    <row r="3641" spans="1:7" x14ac:dyDescent="0.3">
      <c r="A3641" s="45">
        <v>43078</v>
      </c>
      <c r="B3641" s="5" t="s">
        <v>25</v>
      </c>
      <c r="C3641" s="92" t="s">
        <v>2841</v>
      </c>
      <c r="D3641" s="43">
        <v>360</v>
      </c>
      <c r="E3641" s="43"/>
      <c r="F3641" s="28">
        <f t="shared" si="59"/>
        <v>25638</v>
      </c>
      <c r="G3641" s="43"/>
    </row>
    <row r="3642" spans="1:7" x14ac:dyDescent="0.3">
      <c r="A3642" s="45">
        <v>43078</v>
      </c>
      <c r="B3642" s="5" t="s">
        <v>25</v>
      </c>
      <c r="C3642" s="92" t="s">
        <v>1522</v>
      </c>
      <c r="D3642" s="43">
        <v>140</v>
      </c>
      <c r="E3642" s="43"/>
      <c r="F3642" s="28">
        <f t="shared" si="59"/>
        <v>25498</v>
      </c>
      <c r="G3642" s="43"/>
    </row>
    <row r="3643" spans="1:7" x14ac:dyDescent="0.3">
      <c r="A3643" s="45">
        <v>43078</v>
      </c>
      <c r="B3643" s="5" t="s">
        <v>2842</v>
      </c>
      <c r="C3643" s="92" t="s">
        <v>2847</v>
      </c>
      <c r="D3643" s="43">
        <v>130</v>
      </c>
      <c r="E3643" s="43"/>
      <c r="F3643" s="28">
        <f t="shared" si="59"/>
        <v>25368</v>
      </c>
      <c r="G3643" s="43"/>
    </row>
    <row r="3644" spans="1:7" x14ac:dyDescent="0.3">
      <c r="A3644" s="45">
        <v>43078</v>
      </c>
      <c r="B3644" s="5" t="s">
        <v>25</v>
      </c>
      <c r="C3644" s="92" t="s">
        <v>2843</v>
      </c>
      <c r="D3644" s="43">
        <v>130</v>
      </c>
      <c r="E3644" s="43"/>
      <c r="F3644" s="28">
        <f t="shared" si="59"/>
        <v>25238</v>
      </c>
      <c r="G3644" s="43"/>
    </row>
    <row r="3645" spans="1:7" x14ac:dyDescent="0.3">
      <c r="A3645" s="45">
        <v>43078</v>
      </c>
      <c r="B3645" s="5" t="s">
        <v>25</v>
      </c>
      <c r="C3645" s="92" t="s">
        <v>2685</v>
      </c>
      <c r="D3645" s="43">
        <v>15</v>
      </c>
      <c r="E3645" s="43"/>
      <c r="F3645" s="28">
        <f t="shared" si="59"/>
        <v>25223</v>
      </c>
      <c r="G3645" s="43"/>
    </row>
    <row r="3646" spans="1:7" x14ac:dyDescent="0.3">
      <c r="A3646" s="45">
        <v>43078</v>
      </c>
      <c r="B3646" s="5" t="s">
        <v>25</v>
      </c>
      <c r="C3646" s="92" t="s">
        <v>2844</v>
      </c>
      <c r="D3646" s="43">
        <v>60</v>
      </c>
      <c r="E3646" s="43"/>
      <c r="F3646" s="28">
        <f t="shared" si="59"/>
        <v>25163</v>
      </c>
      <c r="G3646" s="43"/>
    </row>
    <row r="3647" spans="1:7" x14ac:dyDescent="0.3">
      <c r="A3647" s="45">
        <v>43078</v>
      </c>
      <c r="B3647" s="5" t="s">
        <v>25</v>
      </c>
      <c r="C3647" s="92" t="s">
        <v>2845</v>
      </c>
      <c r="D3647" s="43">
        <v>140</v>
      </c>
      <c r="E3647" s="43"/>
      <c r="F3647" s="28">
        <f t="shared" si="59"/>
        <v>25023</v>
      </c>
      <c r="G3647" s="43"/>
    </row>
    <row r="3648" spans="1:7" x14ac:dyDescent="0.3">
      <c r="A3648" s="45">
        <v>43078</v>
      </c>
      <c r="B3648" s="5" t="s">
        <v>2330</v>
      </c>
      <c r="C3648" s="92" t="s">
        <v>2846</v>
      </c>
      <c r="D3648" s="43">
        <v>300</v>
      </c>
      <c r="E3648" s="43"/>
      <c r="F3648" s="28">
        <f t="shared" si="59"/>
        <v>24723</v>
      </c>
      <c r="G3648" s="43"/>
    </row>
    <row r="3649" spans="1:7" x14ac:dyDescent="0.3">
      <c r="A3649" s="45">
        <v>43078</v>
      </c>
      <c r="B3649" s="5" t="s">
        <v>2842</v>
      </c>
      <c r="C3649" s="92" t="s">
        <v>2848</v>
      </c>
      <c r="D3649" s="43">
        <v>390</v>
      </c>
      <c r="E3649" s="43"/>
      <c r="F3649" s="28">
        <f t="shared" si="59"/>
        <v>24333</v>
      </c>
      <c r="G3649" s="43"/>
    </row>
    <row r="3650" spans="1:7" x14ac:dyDescent="0.3">
      <c r="A3650" s="45">
        <v>43078</v>
      </c>
      <c r="B3650" s="5" t="s">
        <v>2330</v>
      </c>
      <c r="C3650" s="92" t="s">
        <v>2849</v>
      </c>
      <c r="D3650" s="43">
        <v>60</v>
      </c>
      <c r="E3650" s="43"/>
      <c r="F3650" s="28">
        <f t="shared" si="59"/>
        <v>24273</v>
      </c>
      <c r="G3650" s="43"/>
    </row>
    <row r="3651" spans="1:7" x14ac:dyDescent="0.3">
      <c r="A3651" s="45">
        <v>43078</v>
      </c>
      <c r="B3651" s="5" t="s">
        <v>247</v>
      </c>
      <c r="C3651" s="92" t="s">
        <v>2263</v>
      </c>
      <c r="D3651" s="43">
        <v>200</v>
      </c>
      <c r="E3651" s="43"/>
      <c r="F3651" s="28">
        <f t="shared" si="59"/>
        <v>24073</v>
      </c>
      <c r="G3651" s="43"/>
    </row>
    <row r="3652" spans="1:7" x14ac:dyDescent="0.3">
      <c r="A3652" s="45">
        <v>43078</v>
      </c>
      <c r="B3652" s="5" t="s">
        <v>247</v>
      </c>
      <c r="C3652" s="92" t="s">
        <v>2850</v>
      </c>
      <c r="D3652" s="43">
        <v>60</v>
      </c>
      <c r="E3652" s="43"/>
      <c r="F3652" s="28">
        <f t="shared" si="59"/>
        <v>24013</v>
      </c>
      <c r="G3652" s="43"/>
    </row>
    <row r="3653" spans="1:7" x14ac:dyDescent="0.3">
      <c r="A3653" s="45">
        <v>43078</v>
      </c>
      <c r="B3653" s="5" t="s">
        <v>25</v>
      </c>
      <c r="C3653" s="92" t="s">
        <v>2851</v>
      </c>
      <c r="D3653" s="43">
        <v>1700</v>
      </c>
      <c r="E3653" s="43"/>
      <c r="F3653" s="28">
        <f t="shared" si="59"/>
        <v>22313</v>
      </c>
      <c r="G3653" s="43"/>
    </row>
    <row r="3654" spans="1:7" x14ac:dyDescent="0.3">
      <c r="A3654" s="45">
        <v>43078</v>
      </c>
      <c r="B3654" s="5" t="s">
        <v>2096</v>
      </c>
      <c r="C3654" s="92" t="s">
        <v>2863</v>
      </c>
      <c r="D3654" s="43">
        <v>10000</v>
      </c>
      <c r="E3654" s="43"/>
      <c r="F3654" s="28">
        <f t="shared" si="59"/>
        <v>12313</v>
      </c>
      <c r="G3654" s="43"/>
    </row>
    <row r="3655" spans="1:7" x14ac:dyDescent="0.3">
      <c r="A3655" s="45">
        <v>43078</v>
      </c>
      <c r="B3655" s="756" t="s">
        <v>2857</v>
      </c>
      <c r="C3655" s="756"/>
      <c r="D3655" s="71"/>
      <c r="E3655" s="72">
        <v>10000</v>
      </c>
      <c r="F3655" s="28">
        <f t="shared" si="59"/>
        <v>22313</v>
      </c>
      <c r="G3655" s="43"/>
    </row>
    <row r="3656" spans="1:7" x14ac:dyDescent="0.3">
      <c r="A3656" s="45">
        <v>43078</v>
      </c>
      <c r="B3656" s="5" t="s">
        <v>247</v>
      </c>
      <c r="C3656" s="92" t="s">
        <v>2469</v>
      </c>
      <c r="D3656" s="43">
        <v>1500</v>
      </c>
      <c r="E3656" s="43"/>
      <c r="F3656" s="28">
        <f t="shared" si="59"/>
        <v>20813</v>
      </c>
      <c r="G3656" s="43"/>
    </row>
    <row r="3657" spans="1:7" x14ac:dyDescent="0.3">
      <c r="A3657" s="45">
        <v>43078</v>
      </c>
      <c r="B3657" s="5" t="s">
        <v>2594</v>
      </c>
      <c r="C3657" s="92" t="s">
        <v>2852</v>
      </c>
      <c r="D3657" s="43">
        <v>6400</v>
      </c>
      <c r="E3657" s="43"/>
      <c r="F3657" s="28">
        <f t="shared" si="59"/>
        <v>14413</v>
      </c>
      <c r="G3657" s="43"/>
    </row>
    <row r="3658" spans="1:7" x14ac:dyDescent="0.3">
      <c r="A3658" s="45">
        <v>43080</v>
      </c>
      <c r="B3658" s="5" t="s">
        <v>2853</v>
      </c>
      <c r="C3658" s="92" t="s">
        <v>2854</v>
      </c>
      <c r="D3658" s="43">
        <v>300</v>
      </c>
      <c r="E3658" s="43"/>
      <c r="F3658" s="28">
        <f t="shared" si="59"/>
        <v>14113</v>
      </c>
      <c r="G3658" s="43"/>
    </row>
    <row r="3659" spans="1:7" x14ac:dyDescent="0.3">
      <c r="A3659" s="45">
        <v>43080</v>
      </c>
      <c r="B3659" s="5" t="s">
        <v>2853</v>
      </c>
      <c r="C3659" s="92" t="s">
        <v>2855</v>
      </c>
      <c r="D3659" s="43">
        <v>200</v>
      </c>
      <c r="E3659" s="43"/>
      <c r="F3659" s="28">
        <f t="shared" ref="F3659:F3722" si="60">F3658-D3659+E3659</f>
        <v>13913</v>
      </c>
      <c r="G3659" s="43"/>
    </row>
    <row r="3660" spans="1:7" ht="37.5" x14ac:dyDescent="0.3">
      <c r="A3660" s="45">
        <v>43080</v>
      </c>
      <c r="B3660" s="5" t="s">
        <v>2853</v>
      </c>
      <c r="C3660" s="92" t="s">
        <v>2856</v>
      </c>
      <c r="D3660" s="43">
        <v>100</v>
      </c>
      <c r="E3660" s="43"/>
      <c r="F3660" s="28">
        <f t="shared" si="60"/>
        <v>13813</v>
      </c>
      <c r="G3660" s="28"/>
    </row>
    <row r="3661" spans="1:7" x14ac:dyDescent="0.3">
      <c r="A3661" s="45">
        <v>43080</v>
      </c>
      <c r="B3661" s="5" t="s">
        <v>2853</v>
      </c>
      <c r="C3661" s="92" t="s">
        <v>2013</v>
      </c>
      <c r="D3661" s="43">
        <v>100</v>
      </c>
      <c r="E3661" s="43"/>
      <c r="F3661" s="28">
        <f t="shared" si="60"/>
        <v>13713</v>
      </c>
      <c r="G3661" s="43"/>
    </row>
    <row r="3662" spans="1:7" x14ac:dyDescent="0.3">
      <c r="A3662" s="45">
        <v>43081</v>
      </c>
      <c r="B3662" s="5" t="s">
        <v>2502</v>
      </c>
      <c r="C3662" s="92" t="s">
        <v>1049</v>
      </c>
      <c r="D3662" s="43">
        <v>1000</v>
      </c>
      <c r="E3662" s="43"/>
      <c r="F3662" s="28">
        <f t="shared" si="60"/>
        <v>12713</v>
      </c>
      <c r="G3662" s="43"/>
    </row>
    <row r="3663" spans="1:7" x14ac:dyDescent="0.3">
      <c r="A3663" s="45">
        <v>43081</v>
      </c>
      <c r="B3663" s="5" t="s">
        <v>2727</v>
      </c>
      <c r="C3663" s="92" t="s">
        <v>2858</v>
      </c>
      <c r="D3663" s="43">
        <v>1515</v>
      </c>
      <c r="E3663" s="43"/>
      <c r="F3663" s="28">
        <f t="shared" si="60"/>
        <v>11198</v>
      </c>
      <c r="G3663" s="43"/>
    </row>
    <row r="3664" spans="1:7" x14ac:dyDescent="0.3">
      <c r="A3664" s="45">
        <v>43081</v>
      </c>
      <c r="B3664" s="5" t="s">
        <v>2727</v>
      </c>
      <c r="C3664" s="92" t="s">
        <v>2859</v>
      </c>
      <c r="D3664" s="43">
        <v>700</v>
      </c>
      <c r="E3664" s="43"/>
      <c r="F3664" s="28">
        <f t="shared" si="60"/>
        <v>10498</v>
      </c>
      <c r="G3664" s="43"/>
    </row>
    <row r="3665" spans="1:7" x14ac:dyDescent="0.3">
      <c r="A3665" s="45">
        <v>43081</v>
      </c>
      <c r="B3665" s="5" t="s">
        <v>84</v>
      </c>
      <c r="C3665" s="92" t="s">
        <v>2860</v>
      </c>
      <c r="D3665" s="43">
        <v>2000</v>
      </c>
      <c r="E3665" s="43"/>
      <c r="F3665" s="28">
        <f t="shared" si="60"/>
        <v>8498</v>
      </c>
      <c r="G3665" s="43"/>
    </row>
    <row r="3666" spans="1:7" x14ac:dyDescent="0.3">
      <c r="A3666" s="45">
        <v>43081</v>
      </c>
      <c r="B3666" s="5" t="s">
        <v>84</v>
      </c>
      <c r="C3666" s="92" t="s">
        <v>2861</v>
      </c>
      <c r="D3666" s="43">
        <v>2000</v>
      </c>
      <c r="E3666" s="43"/>
      <c r="F3666" s="28">
        <f t="shared" si="60"/>
        <v>6498</v>
      </c>
      <c r="G3666" s="43"/>
    </row>
    <row r="3667" spans="1:7" x14ac:dyDescent="0.3">
      <c r="A3667" s="45">
        <v>43081</v>
      </c>
      <c r="B3667" s="5" t="s">
        <v>10</v>
      </c>
      <c r="C3667" s="92" t="s">
        <v>2862</v>
      </c>
      <c r="D3667" s="43">
        <v>1000</v>
      </c>
      <c r="E3667" s="43"/>
      <c r="F3667" s="28">
        <f t="shared" si="60"/>
        <v>5498</v>
      </c>
      <c r="G3667" s="43"/>
    </row>
    <row r="3668" spans="1:7" x14ac:dyDescent="0.3">
      <c r="A3668" s="45">
        <v>43081</v>
      </c>
      <c r="B3668" s="5" t="s">
        <v>60</v>
      </c>
      <c r="C3668" s="92" t="s">
        <v>2864</v>
      </c>
      <c r="D3668" s="43">
        <v>380</v>
      </c>
      <c r="E3668" s="43"/>
      <c r="F3668" s="28">
        <f t="shared" si="60"/>
        <v>5118</v>
      </c>
      <c r="G3668" s="43"/>
    </row>
    <row r="3669" spans="1:7" x14ac:dyDescent="0.3">
      <c r="A3669" s="45">
        <v>43081</v>
      </c>
      <c r="B3669" s="756" t="s">
        <v>2866</v>
      </c>
      <c r="C3669" s="756"/>
      <c r="D3669" s="71"/>
      <c r="E3669" s="72">
        <v>50000</v>
      </c>
      <c r="F3669" s="28">
        <f t="shared" si="60"/>
        <v>55118</v>
      </c>
      <c r="G3669" s="43"/>
    </row>
    <row r="3670" spans="1:7" ht="37.5" x14ac:dyDescent="0.3">
      <c r="A3670" s="45">
        <v>43081</v>
      </c>
      <c r="B3670" s="5" t="s">
        <v>1193</v>
      </c>
      <c r="C3670" s="92" t="s">
        <v>2869</v>
      </c>
      <c r="D3670" s="43">
        <v>5200</v>
      </c>
      <c r="E3670" s="43"/>
      <c r="F3670" s="28">
        <f t="shared" si="60"/>
        <v>49918</v>
      </c>
      <c r="G3670" s="43"/>
    </row>
    <row r="3671" spans="1:7" ht="37.5" x14ac:dyDescent="0.3">
      <c r="A3671" s="45">
        <v>43081</v>
      </c>
      <c r="B3671" s="5" t="s">
        <v>25</v>
      </c>
      <c r="C3671" s="92" t="s">
        <v>2867</v>
      </c>
      <c r="D3671" s="43">
        <v>1700</v>
      </c>
      <c r="E3671" s="43"/>
      <c r="F3671" s="28">
        <f t="shared" si="60"/>
        <v>48218</v>
      </c>
      <c r="G3671" s="43"/>
    </row>
    <row r="3672" spans="1:7" x14ac:dyDescent="0.3">
      <c r="A3672" s="45">
        <v>43081</v>
      </c>
      <c r="B3672" s="5" t="s">
        <v>25</v>
      </c>
      <c r="C3672" s="92" t="s">
        <v>2872</v>
      </c>
      <c r="D3672" s="43">
        <v>1270</v>
      </c>
      <c r="E3672" s="43"/>
      <c r="F3672" s="28">
        <f t="shared" si="60"/>
        <v>46948</v>
      </c>
      <c r="G3672" s="43"/>
    </row>
    <row r="3673" spans="1:7" x14ac:dyDescent="0.3">
      <c r="A3673" s="45">
        <v>43081</v>
      </c>
      <c r="B3673" s="5" t="s">
        <v>1193</v>
      </c>
      <c r="C3673" s="92" t="s">
        <v>2593</v>
      </c>
      <c r="D3673" s="43">
        <v>2400</v>
      </c>
      <c r="E3673" s="43"/>
      <c r="F3673" s="28">
        <f t="shared" si="60"/>
        <v>44548</v>
      </c>
      <c r="G3673" s="43"/>
    </row>
    <row r="3674" spans="1:7" x14ac:dyDescent="0.3">
      <c r="A3674" s="45">
        <v>43081</v>
      </c>
      <c r="B3674" s="5" t="s">
        <v>84</v>
      </c>
      <c r="C3674" s="92" t="s">
        <v>2868</v>
      </c>
      <c r="D3674" s="43">
        <v>10000</v>
      </c>
      <c r="E3674" s="43"/>
      <c r="F3674" s="28">
        <f t="shared" si="60"/>
        <v>34548</v>
      </c>
      <c r="G3674" s="43"/>
    </row>
    <row r="3675" spans="1:7" x14ac:dyDescent="0.3">
      <c r="A3675" s="45">
        <v>43081</v>
      </c>
      <c r="B3675" s="5" t="s">
        <v>2853</v>
      </c>
      <c r="C3675" s="92" t="s">
        <v>2871</v>
      </c>
      <c r="D3675" s="43">
        <v>690</v>
      </c>
      <c r="E3675" s="43"/>
      <c r="F3675" s="28">
        <f t="shared" si="60"/>
        <v>33858</v>
      </c>
      <c r="G3675" s="43"/>
    </row>
    <row r="3676" spans="1:7" ht="37.5" x14ac:dyDescent="0.3">
      <c r="A3676" s="45">
        <v>43082</v>
      </c>
      <c r="B3676" s="5" t="s">
        <v>2096</v>
      </c>
      <c r="C3676" s="92" t="s">
        <v>2870</v>
      </c>
      <c r="D3676" s="43">
        <v>10000</v>
      </c>
      <c r="E3676" s="43"/>
      <c r="F3676" s="28">
        <f t="shared" si="60"/>
        <v>23858</v>
      </c>
      <c r="G3676" s="43"/>
    </row>
    <row r="3677" spans="1:7" ht="37.5" x14ac:dyDescent="0.3">
      <c r="A3677" s="45">
        <v>43082</v>
      </c>
      <c r="B3677" s="5" t="s">
        <v>2853</v>
      </c>
      <c r="C3677" s="92" t="s">
        <v>2881</v>
      </c>
      <c r="D3677" s="65">
        <v>4900</v>
      </c>
      <c r="E3677" s="43"/>
      <c r="F3677" s="28">
        <f t="shared" si="60"/>
        <v>18958</v>
      </c>
      <c r="G3677" s="43"/>
    </row>
    <row r="3678" spans="1:7" x14ac:dyDescent="0.3">
      <c r="A3678" s="45">
        <v>43082</v>
      </c>
      <c r="B3678" s="5" t="s">
        <v>2853</v>
      </c>
      <c r="C3678" s="92" t="s">
        <v>2873</v>
      </c>
      <c r="D3678" s="43">
        <v>300</v>
      </c>
      <c r="E3678" s="43"/>
      <c r="F3678" s="28">
        <f t="shared" si="60"/>
        <v>18658</v>
      </c>
      <c r="G3678" s="43"/>
    </row>
    <row r="3679" spans="1:7" x14ac:dyDescent="0.3">
      <c r="A3679" s="45">
        <v>43082</v>
      </c>
      <c r="B3679" s="5" t="s">
        <v>2330</v>
      </c>
      <c r="C3679" s="92" t="s">
        <v>2128</v>
      </c>
      <c r="D3679" s="43">
        <v>7600</v>
      </c>
      <c r="E3679" s="43"/>
      <c r="F3679" s="28">
        <f t="shared" si="60"/>
        <v>11058</v>
      </c>
      <c r="G3679" s="43"/>
    </row>
    <row r="3680" spans="1:7" x14ac:dyDescent="0.3">
      <c r="A3680" s="45">
        <v>43082</v>
      </c>
      <c r="B3680" s="5" t="s">
        <v>2330</v>
      </c>
      <c r="C3680" s="92" t="s">
        <v>2874</v>
      </c>
      <c r="D3680" s="43">
        <v>850</v>
      </c>
      <c r="E3680" s="43"/>
      <c r="F3680" s="28">
        <f t="shared" si="60"/>
        <v>10208</v>
      </c>
      <c r="G3680" s="43"/>
    </row>
    <row r="3681" spans="1:7" x14ac:dyDescent="0.3">
      <c r="A3681" s="45">
        <v>43082</v>
      </c>
      <c r="B3681" s="5" t="s">
        <v>541</v>
      </c>
      <c r="C3681" s="92" t="s">
        <v>640</v>
      </c>
      <c r="D3681" s="43">
        <v>5500</v>
      </c>
      <c r="E3681" s="43"/>
      <c r="F3681" s="28">
        <f t="shared" si="60"/>
        <v>4708</v>
      </c>
      <c r="G3681" s="43"/>
    </row>
    <row r="3682" spans="1:7" x14ac:dyDescent="0.3">
      <c r="A3682" s="45">
        <v>43082</v>
      </c>
      <c r="B3682" s="5" t="s">
        <v>25</v>
      </c>
      <c r="C3682" s="92" t="s">
        <v>2202</v>
      </c>
      <c r="D3682" s="43">
        <v>350</v>
      </c>
      <c r="E3682" s="43"/>
      <c r="F3682" s="28">
        <f t="shared" si="60"/>
        <v>4358</v>
      </c>
      <c r="G3682" s="43"/>
    </row>
    <row r="3683" spans="1:7" x14ac:dyDescent="0.3">
      <c r="A3683" s="45">
        <v>43082</v>
      </c>
      <c r="B3683" s="5" t="s">
        <v>25</v>
      </c>
      <c r="C3683" s="92" t="s">
        <v>2708</v>
      </c>
      <c r="D3683" s="43">
        <v>60</v>
      </c>
      <c r="E3683" s="43"/>
      <c r="F3683" s="28">
        <f t="shared" si="60"/>
        <v>4298</v>
      </c>
      <c r="G3683" s="43"/>
    </row>
    <row r="3684" spans="1:7" x14ac:dyDescent="0.3">
      <c r="A3684" s="45">
        <v>43082</v>
      </c>
      <c r="B3684" s="5" t="s">
        <v>25</v>
      </c>
      <c r="C3684" s="5" t="s">
        <v>939</v>
      </c>
      <c r="D3684" s="43">
        <v>380</v>
      </c>
      <c r="E3684" s="43"/>
      <c r="F3684" s="28">
        <f t="shared" si="60"/>
        <v>3918</v>
      </c>
      <c r="G3684" s="43"/>
    </row>
    <row r="3685" spans="1:7" x14ac:dyDescent="0.3">
      <c r="A3685" s="45">
        <v>43082</v>
      </c>
      <c r="B3685" s="5" t="s">
        <v>25</v>
      </c>
      <c r="C3685" s="5" t="s">
        <v>2875</v>
      </c>
      <c r="D3685" s="43">
        <v>140</v>
      </c>
      <c r="E3685" s="43"/>
      <c r="F3685" s="28">
        <f t="shared" si="60"/>
        <v>3778</v>
      </c>
      <c r="G3685" s="43"/>
    </row>
    <row r="3686" spans="1:7" x14ac:dyDescent="0.3">
      <c r="A3686" s="45">
        <v>43082</v>
      </c>
      <c r="B3686" s="5" t="s">
        <v>25</v>
      </c>
      <c r="C3686" s="5" t="s">
        <v>2006</v>
      </c>
      <c r="D3686" s="43">
        <v>50</v>
      </c>
      <c r="E3686" s="43"/>
      <c r="F3686" s="28">
        <f t="shared" si="60"/>
        <v>3728</v>
      </c>
      <c r="G3686" s="43"/>
    </row>
    <row r="3687" spans="1:7" x14ac:dyDescent="0.3">
      <c r="A3687" s="45">
        <v>43082</v>
      </c>
      <c r="B3687" s="5" t="s">
        <v>25</v>
      </c>
      <c r="C3687" s="5" t="s">
        <v>2685</v>
      </c>
      <c r="D3687" s="43">
        <v>50</v>
      </c>
      <c r="E3687" s="43"/>
      <c r="F3687" s="28">
        <f t="shared" si="60"/>
        <v>3678</v>
      </c>
      <c r="G3687" s="43"/>
    </row>
    <row r="3688" spans="1:7" x14ac:dyDescent="0.3">
      <c r="A3688" s="45">
        <v>43082</v>
      </c>
      <c r="B3688" s="5" t="s">
        <v>25</v>
      </c>
      <c r="C3688" s="5" t="s">
        <v>2876</v>
      </c>
      <c r="D3688" s="43">
        <v>200</v>
      </c>
      <c r="E3688" s="43"/>
      <c r="F3688" s="28">
        <f t="shared" si="60"/>
        <v>3478</v>
      </c>
      <c r="G3688" s="43"/>
    </row>
    <row r="3689" spans="1:7" x14ac:dyDescent="0.3">
      <c r="A3689" s="45">
        <v>43082</v>
      </c>
      <c r="B3689" s="5" t="s">
        <v>25</v>
      </c>
      <c r="C3689" s="5" t="s">
        <v>2877</v>
      </c>
      <c r="D3689" s="43">
        <v>200</v>
      </c>
      <c r="E3689" s="43"/>
      <c r="F3689" s="28">
        <f t="shared" si="60"/>
        <v>3278</v>
      </c>
      <c r="G3689" s="43"/>
    </row>
    <row r="3690" spans="1:7" x14ac:dyDescent="0.3">
      <c r="A3690" s="45">
        <v>43082</v>
      </c>
      <c r="B3690" s="5" t="s">
        <v>25</v>
      </c>
      <c r="C3690" s="5" t="s">
        <v>2878</v>
      </c>
      <c r="D3690" s="43">
        <v>150</v>
      </c>
      <c r="E3690" s="43"/>
      <c r="F3690" s="28">
        <f t="shared" si="60"/>
        <v>3128</v>
      </c>
      <c r="G3690" s="43"/>
    </row>
    <row r="3691" spans="1:7" x14ac:dyDescent="0.3">
      <c r="A3691" s="45">
        <v>43082</v>
      </c>
      <c r="B3691" s="5" t="s">
        <v>25</v>
      </c>
      <c r="C3691" s="5" t="s">
        <v>62</v>
      </c>
      <c r="D3691" s="43">
        <v>210</v>
      </c>
      <c r="E3691" s="43"/>
      <c r="F3691" s="28">
        <f t="shared" si="60"/>
        <v>2918</v>
      </c>
      <c r="G3691" s="43"/>
    </row>
    <row r="3692" spans="1:7" x14ac:dyDescent="0.3">
      <c r="A3692" s="45">
        <v>43082</v>
      </c>
      <c r="B3692" s="5" t="s">
        <v>25</v>
      </c>
      <c r="C3692" s="5" t="s">
        <v>2879</v>
      </c>
      <c r="D3692" s="43">
        <v>30</v>
      </c>
      <c r="E3692" s="43"/>
      <c r="F3692" s="28">
        <f t="shared" si="60"/>
        <v>2888</v>
      </c>
      <c r="G3692" s="43"/>
    </row>
    <row r="3693" spans="1:7" x14ac:dyDescent="0.3">
      <c r="A3693" s="45">
        <v>43082</v>
      </c>
      <c r="B3693" s="5" t="s">
        <v>25</v>
      </c>
      <c r="C3693" s="5" t="s">
        <v>2880</v>
      </c>
      <c r="D3693" s="43">
        <v>110</v>
      </c>
      <c r="E3693" s="43"/>
      <c r="F3693" s="28">
        <f t="shared" si="60"/>
        <v>2778</v>
      </c>
      <c r="G3693" s="43"/>
    </row>
    <row r="3694" spans="1:7" x14ac:dyDescent="0.3">
      <c r="A3694" s="45">
        <v>43082</v>
      </c>
      <c r="B3694" s="5" t="s">
        <v>2853</v>
      </c>
      <c r="C3694" s="5" t="s">
        <v>2882</v>
      </c>
      <c r="D3694" s="43">
        <v>50</v>
      </c>
      <c r="E3694" s="43"/>
      <c r="F3694" s="28">
        <f t="shared" si="60"/>
        <v>2728</v>
      </c>
      <c r="G3694" s="43"/>
    </row>
    <row r="3695" spans="1:7" x14ac:dyDescent="0.3">
      <c r="A3695" s="45">
        <v>43082</v>
      </c>
      <c r="B3695" s="5" t="s">
        <v>2853</v>
      </c>
      <c r="C3695" s="5" t="s">
        <v>2883</v>
      </c>
      <c r="D3695" s="43">
        <v>100</v>
      </c>
      <c r="E3695" s="43"/>
      <c r="F3695" s="28">
        <f t="shared" si="60"/>
        <v>2628</v>
      </c>
      <c r="G3695" s="65"/>
    </row>
    <row r="3696" spans="1:7" x14ac:dyDescent="0.3">
      <c r="A3696" s="45">
        <v>43082</v>
      </c>
      <c r="B3696" s="5" t="s">
        <v>25</v>
      </c>
      <c r="C3696" s="5" t="s">
        <v>2884</v>
      </c>
      <c r="D3696" s="43">
        <v>70</v>
      </c>
      <c r="E3696" s="43"/>
      <c r="F3696" s="28">
        <f t="shared" si="60"/>
        <v>2558</v>
      </c>
      <c r="G3696" s="65"/>
    </row>
    <row r="3697" spans="1:7" x14ac:dyDescent="0.3">
      <c r="A3697" s="45">
        <v>43083</v>
      </c>
      <c r="B3697" s="5" t="s">
        <v>47</v>
      </c>
      <c r="C3697" s="5" t="s">
        <v>2885</v>
      </c>
      <c r="D3697" s="43">
        <v>500</v>
      </c>
      <c r="E3697" s="43"/>
      <c r="F3697" s="28">
        <f t="shared" si="60"/>
        <v>2058</v>
      </c>
      <c r="G3697" s="65"/>
    </row>
    <row r="3698" spans="1:7" x14ac:dyDescent="0.3">
      <c r="A3698" s="45">
        <v>43083</v>
      </c>
      <c r="B3698" s="5" t="s">
        <v>26</v>
      </c>
      <c r="C3698" s="5" t="s">
        <v>2886</v>
      </c>
      <c r="D3698" s="43">
        <v>2000</v>
      </c>
      <c r="E3698" s="43"/>
      <c r="F3698" s="28">
        <f t="shared" si="60"/>
        <v>58</v>
      </c>
      <c r="G3698" s="65"/>
    </row>
    <row r="3699" spans="1:7" x14ac:dyDescent="0.3">
      <c r="A3699" s="45">
        <v>43083</v>
      </c>
      <c r="B3699" s="756" t="s">
        <v>2665</v>
      </c>
      <c r="C3699" s="756"/>
      <c r="D3699" s="71"/>
      <c r="E3699" s="72">
        <v>35000</v>
      </c>
      <c r="F3699" s="28">
        <f t="shared" si="60"/>
        <v>35058</v>
      </c>
      <c r="G3699" s="65"/>
    </row>
    <row r="3700" spans="1:7" x14ac:dyDescent="0.3">
      <c r="A3700" s="45">
        <v>43083</v>
      </c>
      <c r="B3700" s="5" t="s">
        <v>26</v>
      </c>
      <c r="C3700" s="5" t="s">
        <v>2887</v>
      </c>
      <c r="D3700" s="43">
        <v>4000</v>
      </c>
      <c r="E3700" s="43"/>
      <c r="F3700" s="28">
        <f t="shared" si="60"/>
        <v>31058</v>
      </c>
      <c r="G3700" s="65"/>
    </row>
    <row r="3701" spans="1:7" x14ac:dyDescent="0.3">
      <c r="A3701" s="45">
        <v>43083</v>
      </c>
      <c r="B3701" s="5" t="s">
        <v>693</v>
      </c>
      <c r="C3701" s="5" t="s">
        <v>2888</v>
      </c>
      <c r="D3701" s="43">
        <v>1450</v>
      </c>
      <c r="E3701" s="43"/>
      <c r="F3701" s="28">
        <f t="shared" si="60"/>
        <v>29608</v>
      </c>
      <c r="G3701" s="65"/>
    </row>
    <row r="3702" spans="1:7" x14ac:dyDescent="0.3">
      <c r="A3702" s="45">
        <v>43083</v>
      </c>
      <c r="B3702" s="5" t="s">
        <v>2594</v>
      </c>
      <c r="C3702" s="5" t="s">
        <v>2895</v>
      </c>
      <c r="D3702" s="43">
        <v>13500</v>
      </c>
      <c r="E3702" s="43"/>
      <c r="F3702" s="28">
        <f t="shared" si="60"/>
        <v>16108</v>
      </c>
      <c r="G3702" s="43"/>
    </row>
    <row r="3703" spans="1:7" x14ac:dyDescent="0.3">
      <c r="A3703" s="45">
        <v>43083</v>
      </c>
      <c r="B3703" s="5" t="s">
        <v>60</v>
      </c>
      <c r="C3703" s="5" t="s">
        <v>2891</v>
      </c>
      <c r="D3703" s="43">
        <v>1000</v>
      </c>
      <c r="E3703" s="43"/>
      <c r="F3703" s="28">
        <f t="shared" si="60"/>
        <v>15108</v>
      </c>
      <c r="G3703" s="43"/>
    </row>
    <row r="3704" spans="1:7" x14ac:dyDescent="0.3">
      <c r="A3704" s="45">
        <v>43083</v>
      </c>
      <c r="B3704" s="5" t="s">
        <v>2594</v>
      </c>
      <c r="C3704" s="5" t="s">
        <v>2894</v>
      </c>
      <c r="D3704" s="43">
        <v>1500</v>
      </c>
      <c r="E3704" s="43"/>
      <c r="F3704" s="28">
        <f t="shared" si="60"/>
        <v>13608</v>
      </c>
      <c r="G3704" s="43"/>
    </row>
    <row r="3705" spans="1:7" x14ac:dyDescent="0.3">
      <c r="A3705" s="45">
        <v>43083</v>
      </c>
      <c r="B3705" s="5" t="s">
        <v>26</v>
      </c>
      <c r="C3705" s="5" t="s">
        <v>2889</v>
      </c>
      <c r="D3705" s="43">
        <v>3000</v>
      </c>
      <c r="E3705" s="43"/>
      <c r="F3705" s="28">
        <f t="shared" si="60"/>
        <v>10608</v>
      </c>
      <c r="G3705" s="43"/>
    </row>
    <row r="3706" spans="1:7" ht="56.25" x14ac:dyDescent="0.3">
      <c r="A3706" s="45">
        <v>43083</v>
      </c>
      <c r="B3706" s="44" t="s">
        <v>26</v>
      </c>
      <c r="C3706" s="124" t="s">
        <v>2890</v>
      </c>
      <c r="D3706" s="28">
        <v>3080</v>
      </c>
      <c r="E3706" s="28"/>
      <c r="F3706" s="28">
        <f t="shared" si="60"/>
        <v>7528</v>
      </c>
      <c r="G3706" s="28"/>
    </row>
    <row r="3707" spans="1:7" x14ac:dyDescent="0.3">
      <c r="A3707" s="45">
        <v>43083</v>
      </c>
      <c r="B3707" s="5" t="s">
        <v>25</v>
      </c>
      <c r="C3707" s="5" t="s">
        <v>1218</v>
      </c>
      <c r="D3707" s="43">
        <v>350</v>
      </c>
      <c r="E3707" s="43"/>
      <c r="F3707" s="28">
        <f t="shared" si="60"/>
        <v>7178</v>
      </c>
      <c r="G3707" s="43"/>
    </row>
    <row r="3708" spans="1:7" x14ac:dyDescent="0.3">
      <c r="A3708" s="45">
        <v>43083</v>
      </c>
      <c r="B3708" s="5" t="s">
        <v>84</v>
      </c>
      <c r="C3708" s="5" t="s">
        <v>2892</v>
      </c>
      <c r="D3708" s="43">
        <v>4000</v>
      </c>
      <c r="E3708" s="43"/>
      <c r="F3708" s="28">
        <f t="shared" si="60"/>
        <v>3178</v>
      </c>
      <c r="G3708" s="43"/>
    </row>
    <row r="3709" spans="1:7" x14ac:dyDescent="0.3">
      <c r="A3709" s="45">
        <v>43083</v>
      </c>
      <c r="B3709" s="5" t="s">
        <v>26</v>
      </c>
      <c r="C3709" s="5" t="s">
        <v>2893</v>
      </c>
      <c r="D3709" s="43">
        <v>100</v>
      </c>
      <c r="E3709" s="43"/>
      <c r="F3709" s="28">
        <f t="shared" si="60"/>
        <v>3078</v>
      </c>
      <c r="G3709" s="43"/>
    </row>
    <row r="3710" spans="1:7" x14ac:dyDescent="0.3">
      <c r="A3710" s="45">
        <v>43083</v>
      </c>
      <c r="B3710" s="5" t="s">
        <v>25</v>
      </c>
      <c r="C3710" s="5" t="s">
        <v>2896</v>
      </c>
      <c r="D3710" s="43">
        <v>30</v>
      </c>
      <c r="E3710" s="43"/>
      <c r="F3710" s="28">
        <f t="shared" si="60"/>
        <v>3048</v>
      </c>
      <c r="G3710" s="43"/>
    </row>
    <row r="3711" spans="1:7" x14ac:dyDescent="0.3">
      <c r="A3711" s="45">
        <v>43083</v>
      </c>
      <c r="B3711" s="5" t="s">
        <v>25</v>
      </c>
      <c r="C3711" s="5" t="s">
        <v>2623</v>
      </c>
      <c r="D3711" s="43">
        <v>30</v>
      </c>
      <c r="E3711" s="43"/>
      <c r="F3711" s="28">
        <f t="shared" si="60"/>
        <v>3018</v>
      </c>
      <c r="G3711" s="43"/>
    </row>
    <row r="3712" spans="1:7" x14ac:dyDescent="0.3">
      <c r="A3712" s="45">
        <v>43083</v>
      </c>
      <c r="B3712" s="5" t="s">
        <v>25</v>
      </c>
      <c r="C3712" s="5" t="s">
        <v>2897</v>
      </c>
      <c r="D3712" s="43">
        <v>160</v>
      </c>
      <c r="E3712" s="43"/>
      <c r="F3712" s="28">
        <f t="shared" si="60"/>
        <v>2858</v>
      </c>
      <c r="G3712" s="43"/>
    </row>
    <row r="3713" spans="1:7" x14ac:dyDescent="0.3">
      <c r="A3713" s="45">
        <v>43083</v>
      </c>
      <c r="B3713" s="5" t="s">
        <v>247</v>
      </c>
      <c r="C3713" s="5" t="s">
        <v>2898</v>
      </c>
      <c r="D3713" s="43">
        <v>780</v>
      </c>
      <c r="E3713" s="43"/>
      <c r="F3713" s="28">
        <f t="shared" si="60"/>
        <v>2078</v>
      </c>
      <c r="G3713" s="43"/>
    </row>
    <row r="3714" spans="1:7" x14ac:dyDescent="0.3">
      <c r="A3714" s="45">
        <v>43083</v>
      </c>
      <c r="B3714" s="5" t="s">
        <v>25</v>
      </c>
      <c r="C3714" s="5" t="s">
        <v>62</v>
      </c>
      <c r="D3714" s="43">
        <v>80</v>
      </c>
      <c r="E3714" s="43"/>
      <c r="F3714" s="28">
        <f t="shared" si="60"/>
        <v>1998</v>
      </c>
      <c r="G3714" s="43"/>
    </row>
    <row r="3715" spans="1:7" x14ac:dyDescent="0.3">
      <c r="A3715" s="45">
        <v>43083</v>
      </c>
      <c r="B3715" s="5" t="s">
        <v>47</v>
      </c>
      <c r="C3715" s="5" t="s">
        <v>2908</v>
      </c>
      <c r="D3715" s="43">
        <v>300</v>
      </c>
      <c r="E3715" s="43"/>
      <c r="F3715" s="28">
        <f t="shared" si="60"/>
        <v>1698</v>
      </c>
      <c r="G3715" s="43"/>
    </row>
    <row r="3716" spans="1:7" x14ac:dyDescent="0.3">
      <c r="A3716" s="45">
        <v>43083</v>
      </c>
      <c r="B3716" s="5" t="s">
        <v>25</v>
      </c>
      <c r="C3716" s="5" t="s">
        <v>2899</v>
      </c>
      <c r="D3716" s="43">
        <v>415</v>
      </c>
      <c r="E3716" s="43"/>
      <c r="F3716" s="28">
        <f t="shared" si="60"/>
        <v>1283</v>
      </c>
      <c r="G3716" s="43"/>
    </row>
    <row r="3717" spans="1:7" x14ac:dyDescent="0.3">
      <c r="A3717" s="45">
        <v>43083</v>
      </c>
      <c r="B3717" s="756" t="s">
        <v>2665</v>
      </c>
      <c r="C3717" s="756"/>
      <c r="D3717" s="71"/>
      <c r="E3717" s="72">
        <v>50000</v>
      </c>
      <c r="F3717" s="28">
        <f t="shared" si="60"/>
        <v>51283</v>
      </c>
      <c r="G3717" s="43"/>
    </row>
    <row r="3718" spans="1:7" x14ac:dyDescent="0.3">
      <c r="A3718" s="45">
        <v>43083</v>
      </c>
      <c r="B3718" s="5" t="s">
        <v>25</v>
      </c>
      <c r="C3718" s="5" t="s">
        <v>2900</v>
      </c>
      <c r="D3718" s="43">
        <v>1510</v>
      </c>
      <c r="E3718" s="43"/>
      <c r="F3718" s="28">
        <f t="shared" si="60"/>
        <v>49773</v>
      </c>
      <c r="G3718" s="43"/>
    </row>
    <row r="3719" spans="1:7" x14ac:dyDescent="0.3">
      <c r="A3719" s="45">
        <v>43083</v>
      </c>
      <c r="B3719" s="5" t="s">
        <v>25</v>
      </c>
      <c r="C3719" s="5" t="s">
        <v>2902</v>
      </c>
      <c r="D3719" s="43">
        <v>130</v>
      </c>
      <c r="E3719" s="43"/>
      <c r="F3719" s="28">
        <f t="shared" si="60"/>
        <v>49643</v>
      </c>
      <c r="G3719" s="43"/>
    </row>
    <row r="3720" spans="1:7" x14ac:dyDescent="0.3">
      <c r="A3720" s="45">
        <v>43083</v>
      </c>
      <c r="B3720" s="5" t="s">
        <v>25</v>
      </c>
      <c r="C3720" s="5" t="s">
        <v>62</v>
      </c>
      <c r="D3720" s="43">
        <v>90</v>
      </c>
      <c r="E3720" s="43"/>
      <c r="F3720" s="28">
        <f t="shared" si="60"/>
        <v>49553</v>
      </c>
      <c r="G3720" s="43"/>
    </row>
    <row r="3721" spans="1:7" x14ac:dyDescent="0.3">
      <c r="A3721" s="45">
        <v>43083</v>
      </c>
      <c r="B3721" s="5" t="s">
        <v>25</v>
      </c>
      <c r="C3721" s="5" t="s">
        <v>2685</v>
      </c>
      <c r="D3721" s="43">
        <v>60</v>
      </c>
      <c r="E3721" s="43"/>
      <c r="F3721" s="28">
        <f t="shared" si="60"/>
        <v>49493</v>
      </c>
      <c r="G3721" s="43"/>
    </row>
    <row r="3722" spans="1:7" x14ac:dyDescent="0.3">
      <c r="A3722" s="45">
        <v>43083</v>
      </c>
      <c r="B3722" s="5" t="s">
        <v>25</v>
      </c>
      <c r="C3722" s="5" t="s">
        <v>2901</v>
      </c>
      <c r="D3722" s="43">
        <v>110</v>
      </c>
      <c r="E3722" s="43"/>
      <c r="F3722" s="28">
        <f t="shared" si="60"/>
        <v>49383</v>
      </c>
      <c r="G3722" s="43"/>
    </row>
    <row r="3723" spans="1:7" x14ac:dyDescent="0.3">
      <c r="A3723" s="45">
        <v>43083</v>
      </c>
      <c r="B3723" s="5" t="s">
        <v>25</v>
      </c>
      <c r="C3723" s="5" t="s">
        <v>2875</v>
      </c>
      <c r="D3723" s="43">
        <v>140</v>
      </c>
      <c r="E3723" s="43"/>
      <c r="F3723" s="28">
        <f t="shared" ref="F3723:F3786" si="61">F3722-D3723+E3723</f>
        <v>49243</v>
      </c>
      <c r="G3723" s="43"/>
    </row>
    <row r="3724" spans="1:7" x14ac:dyDescent="0.3">
      <c r="A3724" s="45">
        <v>43085</v>
      </c>
      <c r="B3724" s="5" t="s">
        <v>2594</v>
      </c>
      <c r="C3724" s="5" t="s">
        <v>2903</v>
      </c>
      <c r="D3724" s="43">
        <v>20000</v>
      </c>
      <c r="E3724" s="43"/>
      <c r="F3724" s="28">
        <f t="shared" si="61"/>
        <v>29243</v>
      </c>
      <c r="G3724" s="43"/>
    </row>
    <row r="3725" spans="1:7" x14ac:dyDescent="0.3">
      <c r="A3725" s="45">
        <v>43086</v>
      </c>
      <c r="B3725" s="5" t="s">
        <v>2096</v>
      </c>
      <c r="C3725" s="5" t="s">
        <v>1049</v>
      </c>
      <c r="D3725" s="43">
        <v>5000</v>
      </c>
      <c r="E3725" s="43"/>
      <c r="F3725" s="28">
        <f t="shared" si="61"/>
        <v>24243</v>
      </c>
      <c r="G3725" s="43"/>
    </row>
    <row r="3726" spans="1:7" x14ac:dyDescent="0.3">
      <c r="A3726" s="45">
        <v>43086</v>
      </c>
      <c r="B3726" s="5" t="s">
        <v>2827</v>
      </c>
      <c r="C3726" s="5" t="s">
        <v>2828</v>
      </c>
      <c r="D3726" s="43">
        <v>1200</v>
      </c>
      <c r="E3726" s="43"/>
      <c r="F3726" s="28">
        <f t="shared" si="61"/>
        <v>23043</v>
      </c>
      <c r="G3726" s="43"/>
    </row>
    <row r="3727" spans="1:7" x14ac:dyDescent="0.3">
      <c r="A3727" s="45">
        <v>43086</v>
      </c>
      <c r="B3727" s="5" t="s">
        <v>2594</v>
      </c>
      <c r="C3727" s="5" t="s">
        <v>31</v>
      </c>
      <c r="D3727" s="65">
        <v>7000</v>
      </c>
      <c r="E3727" s="43"/>
      <c r="F3727" s="28">
        <f t="shared" si="61"/>
        <v>16043</v>
      </c>
      <c r="G3727" s="43"/>
    </row>
    <row r="3728" spans="1:7" x14ac:dyDescent="0.3">
      <c r="A3728" s="45">
        <v>43086</v>
      </c>
      <c r="B3728" s="5" t="s">
        <v>541</v>
      </c>
      <c r="C3728" s="5" t="s">
        <v>2904</v>
      </c>
      <c r="D3728" s="43">
        <v>2000</v>
      </c>
      <c r="E3728" s="43"/>
      <c r="F3728" s="28">
        <f t="shared" si="61"/>
        <v>14043</v>
      </c>
      <c r="G3728" s="43"/>
    </row>
    <row r="3729" spans="1:7" x14ac:dyDescent="0.3">
      <c r="A3729" s="45">
        <v>43086</v>
      </c>
      <c r="B3729" s="5" t="s">
        <v>1193</v>
      </c>
      <c r="C3729" s="5" t="s">
        <v>2930</v>
      </c>
      <c r="D3729" s="43">
        <v>4000</v>
      </c>
      <c r="E3729" s="43"/>
      <c r="F3729" s="28">
        <f t="shared" si="61"/>
        <v>10043</v>
      </c>
      <c r="G3729" s="43"/>
    </row>
    <row r="3730" spans="1:7" x14ac:dyDescent="0.3">
      <c r="A3730" s="45">
        <v>43086</v>
      </c>
      <c r="B3730" s="5" t="s">
        <v>2330</v>
      </c>
      <c r="C3730" s="5" t="s">
        <v>2128</v>
      </c>
      <c r="D3730" s="43">
        <v>4000</v>
      </c>
      <c r="E3730" s="43"/>
      <c r="F3730" s="28">
        <f t="shared" si="61"/>
        <v>6043</v>
      </c>
      <c r="G3730" s="43"/>
    </row>
    <row r="3731" spans="1:7" x14ac:dyDescent="0.3">
      <c r="A3731" s="45">
        <v>43086</v>
      </c>
      <c r="B3731" s="5" t="s">
        <v>2853</v>
      </c>
      <c r="C3731" s="5" t="s">
        <v>2914</v>
      </c>
      <c r="D3731" s="43">
        <v>2640</v>
      </c>
      <c r="E3731" s="43"/>
      <c r="F3731" s="28">
        <f t="shared" si="61"/>
        <v>3403</v>
      </c>
      <c r="G3731" s="43"/>
    </row>
    <row r="3732" spans="1:7" x14ac:dyDescent="0.3">
      <c r="A3732" s="45">
        <v>43086</v>
      </c>
      <c r="B3732" s="5" t="s">
        <v>1193</v>
      </c>
      <c r="C3732" s="5" t="s">
        <v>2906</v>
      </c>
      <c r="D3732" s="43">
        <v>500</v>
      </c>
      <c r="E3732" s="43"/>
      <c r="F3732" s="28">
        <f t="shared" si="61"/>
        <v>2903</v>
      </c>
      <c r="G3732" s="43"/>
    </row>
    <row r="3733" spans="1:7" x14ac:dyDescent="0.3">
      <c r="A3733" s="45">
        <v>43086</v>
      </c>
      <c r="B3733" s="61" t="s">
        <v>58</v>
      </c>
      <c r="C3733" s="61" t="s">
        <v>2929</v>
      </c>
      <c r="D3733" s="62">
        <v>1100</v>
      </c>
      <c r="E3733" s="43"/>
      <c r="F3733" s="28">
        <f t="shared" si="61"/>
        <v>1803</v>
      </c>
      <c r="G3733" s="43"/>
    </row>
    <row r="3734" spans="1:7" x14ac:dyDescent="0.3">
      <c r="A3734" s="45">
        <v>43087</v>
      </c>
      <c r="B3734" s="756" t="s">
        <v>2433</v>
      </c>
      <c r="C3734" s="756"/>
      <c r="D3734" s="71"/>
      <c r="E3734" s="72">
        <v>200000</v>
      </c>
      <c r="F3734" s="28">
        <f t="shared" si="61"/>
        <v>201803</v>
      </c>
      <c r="G3734" s="43"/>
    </row>
    <row r="3735" spans="1:7" x14ac:dyDescent="0.3">
      <c r="A3735" s="45">
        <v>43087</v>
      </c>
      <c r="B3735" s="5" t="s">
        <v>181</v>
      </c>
      <c r="C3735" s="5" t="s">
        <v>2905</v>
      </c>
      <c r="D3735" s="43">
        <v>25000</v>
      </c>
      <c r="E3735" s="43"/>
      <c r="F3735" s="28">
        <f t="shared" si="61"/>
        <v>176803</v>
      </c>
      <c r="G3735" s="43"/>
    </row>
    <row r="3736" spans="1:7" x14ac:dyDescent="0.3">
      <c r="A3736" s="45">
        <v>43087</v>
      </c>
      <c r="B3736" s="5" t="s">
        <v>2594</v>
      </c>
      <c r="C3736" s="5" t="s">
        <v>2907</v>
      </c>
      <c r="D3736" s="65">
        <v>20000</v>
      </c>
      <c r="E3736" s="43"/>
      <c r="F3736" s="28">
        <f t="shared" si="61"/>
        <v>156803</v>
      </c>
      <c r="G3736" s="43"/>
    </row>
    <row r="3737" spans="1:7" x14ac:dyDescent="0.3">
      <c r="A3737" s="45">
        <v>43087</v>
      </c>
      <c r="B3737" s="5" t="s">
        <v>2346</v>
      </c>
      <c r="C3737" s="5" t="s">
        <v>2909</v>
      </c>
      <c r="D3737" s="43">
        <v>1000</v>
      </c>
      <c r="E3737" s="43"/>
      <c r="F3737" s="28">
        <f t="shared" si="61"/>
        <v>155803</v>
      </c>
      <c r="G3737" s="43"/>
    </row>
    <row r="3738" spans="1:7" x14ac:dyDescent="0.3">
      <c r="A3738" s="45">
        <v>43087</v>
      </c>
      <c r="B3738" s="5" t="s">
        <v>2096</v>
      </c>
      <c r="C3738" s="5" t="s">
        <v>2910</v>
      </c>
      <c r="D3738" s="43">
        <v>10000</v>
      </c>
      <c r="E3738" s="43"/>
      <c r="F3738" s="28">
        <f t="shared" si="61"/>
        <v>145803</v>
      </c>
      <c r="G3738" s="43"/>
    </row>
    <row r="3739" spans="1:7" x14ac:dyDescent="0.3">
      <c r="A3739" s="45">
        <v>43087</v>
      </c>
      <c r="B3739" s="5" t="s">
        <v>14</v>
      </c>
      <c r="C3739" s="5" t="s">
        <v>2912</v>
      </c>
      <c r="D3739" s="43">
        <v>50000</v>
      </c>
      <c r="E3739" s="43"/>
      <c r="F3739" s="28">
        <f t="shared" si="61"/>
        <v>95803</v>
      </c>
      <c r="G3739" s="43"/>
    </row>
    <row r="3740" spans="1:7" x14ac:dyDescent="0.3">
      <c r="A3740" s="45">
        <v>43087</v>
      </c>
      <c r="B3740" s="5" t="s">
        <v>2330</v>
      </c>
      <c r="C3740" s="5" t="s">
        <v>2911</v>
      </c>
      <c r="D3740" s="43">
        <v>5000</v>
      </c>
      <c r="E3740" s="43"/>
      <c r="F3740" s="28">
        <f t="shared" si="61"/>
        <v>90803</v>
      </c>
      <c r="G3740" s="43"/>
    </row>
    <row r="3741" spans="1:7" x14ac:dyDescent="0.3">
      <c r="A3741" s="45">
        <v>43087</v>
      </c>
      <c r="B3741" s="5" t="s">
        <v>2330</v>
      </c>
      <c r="C3741" s="5" t="s">
        <v>2013</v>
      </c>
      <c r="D3741" s="43">
        <v>1500</v>
      </c>
      <c r="E3741" s="43"/>
      <c r="F3741" s="28">
        <f t="shared" si="61"/>
        <v>89303</v>
      </c>
      <c r="G3741" s="43"/>
    </row>
    <row r="3742" spans="1:7" x14ac:dyDescent="0.3">
      <c r="A3742" s="45">
        <v>43087</v>
      </c>
      <c r="B3742" s="5" t="s">
        <v>2330</v>
      </c>
      <c r="C3742" s="5" t="s">
        <v>2128</v>
      </c>
      <c r="D3742" s="43">
        <v>910</v>
      </c>
      <c r="E3742" s="43"/>
      <c r="F3742" s="28">
        <f t="shared" si="61"/>
        <v>88393</v>
      </c>
      <c r="G3742" s="43"/>
    </row>
    <row r="3743" spans="1:7" x14ac:dyDescent="0.3">
      <c r="A3743" s="45">
        <v>43088</v>
      </c>
      <c r="B3743" s="756" t="s">
        <v>2913</v>
      </c>
      <c r="C3743" s="756"/>
      <c r="D3743" s="71"/>
      <c r="E3743" s="72">
        <v>2000</v>
      </c>
      <c r="F3743" s="28">
        <f t="shared" si="61"/>
        <v>90393</v>
      </c>
      <c r="G3743" s="43"/>
    </row>
    <row r="3744" spans="1:7" x14ac:dyDescent="0.3">
      <c r="A3744" s="45">
        <v>43088</v>
      </c>
      <c r="B3744" s="5" t="s">
        <v>2853</v>
      </c>
      <c r="C3744" s="5" t="s">
        <v>2915</v>
      </c>
      <c r="D3744" s="43">
        <v>80</v>
      </c>
      <c r="E3744" s="43"/>
      <c r="F3744" s="28">
        <f t="shared" si="61"/>
        <v>90313</v>
      </c>
      <c r="G3744" s="43"/>
    </row>
    <row r="3745" spans="1:10" x14ac:dyDescent="0.3">
      <c r="A3745" s="45">
        <v>43088</v>
      </c>
      <c r="B3745" s="5" t="s">
        <v>60</v>
      </c>
      <c r="C3745" s="5" t="s">
        <v>2916</v>
      </c>
      <c r="D3745" s="43">
        <v>3000</v>
      </c>
      <c r="E3745" s="43"/>
      <c r="F3745" s="28">
        <f t="shared" si="61"/>
        <v>87313</v>
      </c>
      <c r="G3745" s="43"/>
    </row>
    <row r="3746" spans="1:10" x14ac:dyDescent="0.3">
      <c r="A3746" s="45">
        <v>43088</v>
      </c>
      <c r="B3746" s="5" t="s">
        <v>2645</v>
      </c>
      <c r="C3746" s="5" t="s">
        <v>2917</v>
      </c>
      <c r="D3746" s="43">
        <v>5200</v>
      </c>
      <c r="E3746" s="43"/>
      <c r="F3746" s="28">
        <f t="shared" si="61"/>
        <v>82113</v>
      </c>
      <c r="G3746" s="43"/>
    </row>
    <row r="3747" spans="1:10" x14ac:dyDescent="0.3">
      <c r="A3747" s="45">
        <v>43088</v>
      </c>
      <c r="B3747" s="5" t="s">
        <v>2330</v>
      </c>
      <c r="C3747" s="5" t="s">
        <v>2918</v>
      </c>
      <c r="D3747" s="43">
        <v>15000</v>
      </c>
      <c r="E3747" s="43"/>
      <c r="F3747" s="28">
        <f t="shared" si="61"/>
        <v>67113</v>
      </c>
      <c r="G3747" s="43"/>
    </row>
    <row r="3748" spans="1:10" x14ac:dyDescent="0.3">
      <c r="A3748" s="45">
        <v>43088</v>
      </c>
      <c r="B3748" s="5" t="s">
        <v>25</v>
      </c>
      <c r="C3748" s="5" t="s">
        <v>2919</v>
      </c>
      <c r="D3748" s="43">
        <v>420</v>
      </c>
      <c r="E3748" s="43"/>
      <c r="F3748" s="28">
        <f t="shared" si="61"/>
        <v>66693</v>
      </c>
      <c r="G3748" s="43"/>
    </row>
    <row r="3749" spans="1:10" x14ac:dyDescent="0.3">
      <c r="A3749" s="45">
        <v>43088</v>
      </c>
      <c r="B3749" s="5" t="s">
        <v>25</v>
      </c>
      <c r="C3749" s="5" t="s">
        <v>2920</v>
      </c>
      <c r="D3749" s="43">
        <v>370</v>
      </c>
      <c r="E3749" s="43"/>
      <c r="F3749" s="28">
        <f t="shared" si="61"/>
        <v>66323</v>
      </c>
      <c r="G3749" s="43"/>
    </row>
    <row r="3750" spans="1:10" x14ac:dyDescent="0.3">
      <c r="A3750" s="45">
        <v>43088</v>
      </c>
      <c r="B3750" s="5" t="s">
        <v>25</v>
      </c>
      <c r="C3750" s="5" t="s">
        <v>2921</v>
      </c>
      <c r="D3750" s="43">
        <v>80</v>
      </c>
      <c r="E3750" s="43"/>
      <c r="F3750" s="28">
        <f t="shared" si="61"/>
        <v>66243</v>
      </c>
      <c r="G3750" s="43"/>
    </row>
    <row r="3751" spans="1:10" x14ac:dyDescent="0.3">
      <c r="A3751" s="45">
        <v>43088</v>
      </c>
      <c r="B3751" s="5" t="s">
        <v>25</v>
      </c>
      <c r="C3751" s="5" t="s">
        <v>2922</v>
      </c>
      <c r="D3751" s="43">
        <v>290</v>
      </c>
      <c r="E3751" s="43"/>
      <c r="F3751" s="28">
        <f t="shared" si="61"/>
        <v>65953</v>
      </c>
      <c r="G3751" s="43"/>
    </row>
    <row r="3752" spans="1:10" x14ac:dyDescent="0.3">
      <c r="A3752" s="45">
        <v>43088</v>
      </c>
      <c r="B3752" s="5" t="s">
        <v>247</v>
      </c>
      <c r="C3752" s="5" t="s">
        <v>2923</v>
      </c>
      <c r="D3752" s="43">
        <v>4970</v>
      </c>
      <c r="E3752" s="43"/>
      <c r="F3752" s="28">
        <f t="shared" si="61"/>
        <v>60983</v>
      </c>
      <c r="G3752" s="43"/>
    </row>
    <row r="3753" spans="1:10" x14ac:dyDescent="0.3">
      <c r="A3753" s="45">
        <v>43088</v>
      </c>
      <c r="B3753" s="5" t="s">
        <v>2594</v>
      </c>
      <c r="C3753" s="5" t="s">
        <v>2924</v>
      </c>
      <c r="D3753" s="43">
        <v>1000</v>
      </c>
      <c r="E3753" s="43"/>
      <c r="F3753" s="28">
        <f t="shared" si="61"/>
        <v>59983</v>
      </c>
      <c r="G3753" s="43"/>
    </row>
    <row r="3754" spans="1:10" x14ac:dyDescent="0.3">
      <c r="A3754" s="45">
        <v>43088</v>
      </c>
      <c r="B3754" s="5" t="s">
        <v>2594</v>
      </c>
      <c r="C3754" s="5" t="s">
        <v>2925</v>
      </c>
      <c r="D3754" s="43">
        <v>1250</v>
      </c>
      <c r="E3754" s="43"/>
      <c r="F3754" s="28">
        <f t="shared" si="61"/>
        <v>58733</v>
      </c>
      <c r="G3754" s="43"/>
      <c r="J3754" s="169"/>
    </row>
    <row r="3755" spans="1:10" x14ac:dyDescent="0.3">
      <c r="A3755" s="45">
        <v>43088</v>
      </c>
      <c r="B3755" s="5" t="s">
        <v>25</v>
      </c>
      <c r="C3755" s="5" t="s">
        <v>2927</v>
      </c>
      <c r="D3755" s="43">
        <v>6000</v>
      </c>
      <c r="E3755" s="43"/>
      <c r="F3755" s="28">
        <f t="shared" si="61"/>
        <v>52733</v>
      </c>
      <c r="G3755" s="43"/>
      <c r="J3755" s="169"/>
    </row>
    <row r="3756" spans="1:10" x14ac:dyDescent="0.3">
      <c r="A3756" s="45">
        <v>43088</v>
      </c>
      <c r="B3756" s="5" t="s">
        <v>16</v>
      </c>
      <c r="C3756" s="5" t="s">
        <v>2928</v>
      </c>
      <c r="D3756" s="43">
        <v>37000</v>
      </c>
      <c r="E3756" s="43"/>
      <c r="F3756" s="28">
        <f t="shared" si="61"/>
        <v>15733</v>
      </c>
      <c r="G3756" s="43"/>
    </row>
    <row r="3757" spans="1:10" x14ac:dyDescent="0.3">
      <c r="A3757" s="45">
        <v>43089</v>
      </c>
      <c r="B3757" s="5" t="s">
        <v>58</v>
      </c>
      <c r="C3757" s="5" t="s">
        <v>2931</v>
      </c>
      <c r="D3757" s="43">
        <v>1830</v>
      </c>
      <c r="E3757" s="43"/>
      <c r="F3757" s="28">
        <f t="shared" si="61"/>
        <v>13903</v>
      </c>
      <c r="G3757" s="43"/>
    </row>
    <row r="3758" spans="1:10" x14ac:dyDescent="0.3">
      <c r="A3758" s="45">
        <v>43089</v>
      </c>
      <c r="B3758" s="61" t="s">
        <v>247</v>
      </c>
      <c r="C3758" s="61" t="s">
        <v>2932</v>
      </c>
      <c r="D3758" s="62">
        <v>1000</v>
      </c>
      <c r="E3758" s="62"/>
      <c r="F3758" s="28">
        <f t="shared" si="61"/>
        <v>12903</v>
      </c>
      <c r="G3758" s="43"/>
    </row>
    <row r="3759" spans="1:10" x14ac:dyDescent="0.3">
      <c r="A3759" s="45">
        <v>43089</v>
      </c>
      <c r="B3759" s="5" t="s">
        <v>2594</v>
      </c>
      <c r="C3759" s="5" t="s">
        <v>2933</v>
      </c>
      <c r="D3759" s="43">
        <v>3000</v>
      </c>
      <c r="E3759" s="43"/>
      <c r="F3759" s="28">
        <f t="shared" si="61"/>
        <v>9903</v>
      </c>
      <c r="G3759" s="43"/>
    </row>
    <row r="3760" spans="1:10" x14ac:dyDescent="0.3">
      <c r="A3760" s="45">
        <v>43090</v>
      </c>
      <c r="B3760" s="5" t="s">
        <v>14</v>
      </c>
      <c r="C3760" s="5" t="s">
        <v>2934</v>
      </c>
      <c r="D3760" s="43">
        <v>7500</v>
      </c>
      <c r="E3760" s="43"/>
      <c r="F3760" s="28">
        <f t="shared" si="61"/>
        <v>2403</v>
      </c>
      <c r="G3760" s="43"/>
    </row>
    <row r="3761" spans="1:7" x14ac:dyDescent="0.3">
      <c r="A3761" s="45">
        <v>43090</v>
      </c>
      <c r="B3761" s="5" t="s">
        <v>25</v>
      </c>
      <c r="C3761" s="5" t="s">
        <v>2942</v>
      </c>
      <c r="D3761" s="65">
        <v>360</v>
      </c>
      <c r="E3761" s="65"/>
      <c r="F3761" s="28">
        <f t="shared" si="61"/>
        <v>2043</v>
      </c>
      <c r="G3761" s="43"/>
    </row>
    <row r="3762" spans="1:7" x14ac:dyDescent="0.3">
      <c r="A3762" s="45">
        <v>43090</v>
      </c>
      <c r="B3762" s="5" t="s">
        <v>25</v>
      </c>
      <c r="C3762" s="5" t="s">
        <v>2943</v>
      </c>
      <c r="D3762" s="43">
        <v>70</v>
      </c>
      <c r="E3762" s="43"/>
      <c r="F3762" s="28">
        <f t="shared" si="61"/>
        <v>1973</v>
      </c>
      <c r="G3762" s="43"/>
    </row>
    <row r="3763" spans="1:7" x14ac:dyDescent="0.3">
      <c r="A3763" s="45">
        <v>43090</v>
      </c>
      <c r="B3763" s="5" t="s">
        <v>25</v>
      </c>
      <c r="C3763" s="5" t="s">
        <v>2944</v>
      </c>
      <c r="D3763" s="43">
        <v>50</v>
      </c>
      <c r="E3763" s="43"/>
      <c r="F3763" s="28">
        <f t="shared" si="61"/>
        <v>1923</v>
      </c>
      <c r="G3763" s="43"/>
    </row>
    <row r="3764" spans="1:7" x14ac:dyDescent="0.3">
      <c r="A3764" s="45">
        <v>43090</v>
      </c>
      <c r="B3764" s="5" t="s">
        <v>26</v>
      </c>
      <c r="C3764" s="5" t="s">
        <v>2945</v>
      </c>
      <c r="D3764" s="43">
        <v>140</v>
      </c>
      <c r="E3764" s="43"/>
      <c r="F3764" s="28">
        <f t="shared" si="61"/>
        <v>1783</v>
      </c>
      <c r="G3764" s="43"/>
    </row>
    <row r="3765" spans="1:7" x14ac:dyDescent="0.3">
      <c r="A3765" s="45">
        <v>43090</v>
      </c>
      <c r="B3765" s="5" t="s">
        <v>25</v>
      </c>
      <c r="C3765" s="5" t="s">
        <v>2946</v>
      </c>
      <c r="D3765" s="43">
        <v>100</v>
      </c>
      <c r="E3765" s="43"/>
      <c r="F3765" s="28">
        <f t="shared" si="61"/>
        <v>1683</v>
      </c>
      <c r="G3765" s="43"/>
    </row>
    <row r="3766" spans="1:7" x14ac:dyDescent="0.3">
      <c r="A3766" s="45">
        <v>43090</v>
      </c>
      <c r="B3766" s="5" t="s">
        <v>47</v>
      </c>
      <c r="C3766" s="5" t="s">
        <v>2947</v>
      </c>
      <c r="D3766" s="43">
        <v>100</v>
      </c>
      <c r="E3766" s="43"/>
      <c r="F3766" s="28">
        <f t="shared" si="61"/>
        <v>1583</v>
      </c>
      <c r="G3766" s="43"/>
    </row>
    <row r="3767" spans="1:7" x14ac:dyDescent="0.3">
      <c r="A3767" s="45">
        <v>43090</v>
      </c>
      <c r="B3767" s="5" t="s">
        <v>2948</v>
      </c>
      <c r="C3767" s="5" t="s">
        <v>2949</v>
      </c>
      <c r="D3767" s="43">
        <v>80</v>
      </c>
      <c r="E3767" s="43"/>
      <c r="F3767" s="28">
        <f t="shared" si="61"/>
        <v>1503</v>
      </c>
      <c r="G3767" s="43"/>
    </row>
    <row r="3768" spans="1:7" x14ac:dyDescent="0.3">
      <c r="A3768" s="45">
        <v>43090</v>
      </c>
      <c r="B3768" s="5" t="s">
        <v>2330</v>
      </c>
      <c r="C3768" s="5" t="s">
        <v>2950</v>
      </c>
      <c r="D3768" s="43">
        <v>320</v>
      </c>
      <c r="E3768" s="43"/>
      <c r="F3768" s="28">
        <f t="shared" si="61"/>
        <v>1183</v>
      </c>
      <c r="G3768" s="43"/>
    </row>
    <row r="3769" spans="1:7" x14ac:dyDescent="0.3">
      <c r="A3769" s="45">
        <v>43090</v>
      </c>
      <c r="B3769" s="5" t="s">
        <v>25</v>
      </c>
      <c r="C3769" s="5" t="s">
        <v>2951</v>
      </c>
      <c r="D3769" s="43">
        <v>180</v>
      </c>
      <c r="E3769" s="43"/>
      <c r="F3769" s="28">
        <f t="shared" si="61"/>
        <v>1003</v>
      </c>
      <c r="G3769" s="43"/>
    </row>
    <row r="3770" spans="1:7" x14ac:dyDescent="0.3">
      <c r="A3770" s="45">
        <v>43090</v>
      </c>
      <c r="B3770" s="5" t="s">
        <v>25</v>
      </c>
      <c r="C3770" s="5" t="s">
        <v>2952</v>
      </c>
      <c r="D3770" s="43">
        <v>360</v>
      </c>
      <c r="E3770" s="43"/>
      <c r="F3770" s="28">
        <f t="shared" si="61"/>
        <v>643</v>
      </c>
      <c r="G3770" s="43"/>
    </row>
    <row r="3771" spans="1:7" x14ac:dyDescent="0.3">
      <c r="A3771" s="45">
        <v>43090</v>
      </c>
      <c r="B3771" s="5" t="s">
        <v>2938</v>
      </c>
      <c r="C3771" s="5" t="s">
        <v>2939</v>
      </c>
      <c r="D3771" s="43">
        <v>160</v>
      </c>
      <c r="E3771" s="43"/>
      <c r="F3771" s="28">
        <f t="shared" si="61"/>
        <v>483</v>
      </c>
      <c r="G3771" s="43"/>
    </row>
    <row r="3772" spans="1:7" x14ac:dyDescent="0.3">
      <c r="A3772" s="45">
        <v>43090</v>
      </c>
      <c r="B3772" s="5" t="s">
        <v>2853</v>
      </c>
      <c r="C3772" s="5" t="s">
        <v>2940</v>
      </c>
      <c r="D3772" s="43">
        <v>120</v>
      </c>
      <c r="E3772" s="43"/>
      <c r="F3772" s="28">
        <f t="shared" si="61"/>
        <v>363</v>
      </c>
      <c r="G3772" s="43"/>
    </row>
    <row r="3773" spans="1:7" x14ac:dyDescent="0.3">
      <c r="A3773" s="45">
        <v>43090</v>
      </c>
      <c r="B3773" s="756" t="s">
        <v>2433</v>
      </c>
      <c r="C3773" s="756"/>
      <c r="D3773" s="71"/>
      <c r="E3773" s="72">
        <v>50000</v>
      </c>
      <c r="F3773" s="28">
        <f t="shared" si="61"/>
        <v>50363</v>
      </c>
      <c r="G3773" s="43"/>
    </row>
    <row r="3774" spans="1:7" x14ac:dyDescent="0.3">
      <c r="A3774" s="45">
        <v>43090</v>
      </c>
      <c r="B3774" s="5" t="s">
        <v>2594</v>
      </c>
      <c r="C3774" s="5" t="s">
        <v>2935</v>
      </c>
      <c r="D3774" s="43">
        <v>10000</v>
      </c>
      <c r="E3774" s="43"/>
      <c r="F3774" s="28">
        <f t="shared" si="61"/>
        <v>40363</v>
      </c>
      <c r="G3774" s="43"/>
    </row>
    <row r="3775" spans="1:7" x14ac:dyDescent="0.3">
      <c r="A3775" s="45">
        <v>43090</v>
      </c>
      <c r="B3775" s="5" t="s">
        <v>181</v>
      </c>
      <c r="C3775" s="5" t="s">
        <v>2958</v>
      </c>
      <c r="D3775" s="43">
        <v>1000</v>
      </c>
      <c r="E3775" s="43"/>
      <c r="F3775" s="28">
        <f t="shared" si="61"/>
        <v>39363</v>
      </c>
      <c r="G3775" s="43"/>
    </row>
    <row r="3776" spans="1:7" ht="37.5" x14ac:dyDescent="0.3">
      <c r="A3776" s="45">
        <v>43090</v>
      </c>
      <c r="B3776" s="5" t="s">
        <v>25</v>
      </c>
      <c r="C3776" s="92" t="s">
        <v>2959</v>
      </c>
      <c r="D3776" s="62">
        <v>10000</v>
      </c>
      <c r="E3776" s="43"/>
      <c r="F3776" s="28">
        <f t="shared" si="61"/>
        <v>29363</v>
      </c>
      <c r="G3776" s="43"/>
    </row>
    <row r="3777" spans="1:7" x14ac:dyDescent="0.3">
      <c r="A3777" s="45">
        <v>43091</v>
      </c>
      <c r="B3777" s="5" t="s">
        <v>2330</v>
      </c>
      <c r="C3777" s="5" t="s">
        <v>2954</v>
      </c>
      <c r="D3777" s="43">
        <v>3620</v>
      </c>
      <c r="E3777" s="43"/>
      <c r="F3777" s="28">
        <f t="shared" si="61"/>
        <v>25743</v>
      </c>
      <c r="G3777" s="43"/>
    </row>
    <row r="3778" spans="1:7" x14ac:dyDescent="0.3">
      <c r="A3778" s="45">
        <v>43091</v>
      </c>
      <c r="B3778" s="5" t="s">
        <v>60</v>
      </c>
      <c r="C3778" s="5" t="s">
        <v>2936</v>
      </c>
      <c r="D3778" s="43">
        <v>2000</v>
      </c>
      <c r="E3778" s="43"/>
      <c r="F3778" s="28">
        <f t="shared" si="61"/>
        <v>23743</v>
      </c>
      <c r="G3778" s="43"/>
    </row>
    <row r="3779" spans="1:7" x14ac:dyDescent="0.3">
      <c r="A3779" s="45">
        <v>43091</v>
      </c>
      <c r="B3779" s="5" t="s">
        <v>60</v>
      </c>
      <c r="C3779" s="5" t="s">
        <v>2937</v>
      </c>
      <c r="D3779" s="43">
        <v>6000</v>
      </c>
      <c r="E3779" s="43"/>
      <c r="F3779" s="28">
        <f t="shared" si="61"/>
        <v>17743</v>
      </c>
      <c r="G3779" s="43"/>
    </row>
    <row r="3780" spans="1:7" x14ac:dyDescent="0.3">
      <c r="A3780" s="45">
        <v>43091</v>
      </c>
      <c r="B3780" s="5" t="s">
        <v>0</v>
      </c>
      <c r="C3780" s="5" t="s">
        <v>2941</v>
      </c>
      <c r="D3780" s="65">
        <v>10500</v>
      </c>
      <c r="E3780" s="65"/>
      <c r="F3780" s="28">
        <f t="shared" si="61"/>
        <v>7243</v>
      </c>
      <c r="G3780" s="43"/>
    </row>
    <row r="3781" spans="1:7" x14ac:dyDescent="0.3">
      <c r="A3781" s="45">
        <v>43091</v>
      </c>
      <c r="B3781" s="5" t="s">
        <v>25</v>
      </c>
      <c r="C3781" s="5" t="s">
        <v>2953</v>
      </c>
      <c r="D3781" s="43">
        <v>40</v>
      </c>
      <c r="E3781" s="43"/>
      <c r="F3781" s="28">
        <f t="shared" si="61"/>
        <v>7203</v>
      </c>
      <c r="G3781" s="43"/>
    </row>
    <row r="3782" spans="1:7" x14ac:dyDescent="0.3">
      <c r="A3782" s="45">
        <v>43091</v>
      </c>
      <c r="B3782" s="5" t="s">
        <v>2955</v>
      </c>
      <c r="C3782" s="5" t="s">
        <v>2956</v>
      </c>
      <c r="D3782" s="43">
        <v>3000</v>
      </c>
      <c r="E3782" s="43"/>
      <c r="F3782" s="28">
        <f t="shared" si="61"/>
        <v>4203</v>
      </c>
      <c r="G3782" s="43"/>
    </row>
    <row r="3783" spans="1:7" x14ac:dyDescent="0.3">
      <c r="A3783" s="45">
        <v>43092</v>
      </c>
      <c r="B3783" s="5" t="s">
        <v>2330</v>
      </c>
      <c r="C3783" s="5" t="s">
        <v>2957</v>
      </c>
      <c r="D3783" s="43">
        <v>1560</v>
      </c>
      <c r="E3783" s="43"/>
      <c r="F3783" s="28">
        <f t="shared" si="61"/>
        <v>2643</v>
      </c>
      <c r="G3783" s="43"/>
    </row>
    <row r="3784" spans="1:7" x14ac:dyDescent="0.3">
      <c r="A3784" s="45">
        <v>43092</v>
      </c>
      <c r="B3784" s="756" t="s">
        <v>2960</v>
      </c>
      <c r="C3784" s="756"/>
      <c r="D3784" s="71"/>
      <c r="E3784" s="72">
        <v>25000</v>
      </c>
      <c r="F3784" s="28">
        <f t="shared" si="61"/>
        <v>27643</v>
      </c>
      <c r="G3784" s="43"/>
    </row>
    <row r="3785" spans="1:7" x14ac:dyDescent="0.3">
      <c r="A3785" s="45">
        <v>43092</v>
      </c>
      <c r="B3785" s="5" t="s">
        <v>2961</v>
      </c>
      <c r="C3785" s="5" t="s">
        <v>2962</v>
      </c>
      <c r="D3785" s="43">
        <v>17620</v>
      </c>
      <c r="E3785" s="43"/>
      <c r="F3785" s="28">
        <f t="shared" si="61"/>
        <v>10023</v>
      </c>
      <c r="G3785" s="43"/>
    </row>
    <row r="3786" spans="1:7" ht="37.5" x14ac:dyDescent="0.3">
      <c r="A3786" s="45">
        <v>43092</v>
      </c>
      <c r="B3786" s="5" t="s">
        <v>2594</v>
      </c>
      <c r="C3786" s="92" t="s">
        <v>2963</v>
      </c>
      <c r="D3786" s="65">
        <v>4880</v>
      </c>
      <c r="E3786" s="43"/>
      <c r="F3786" s="28">
        <f t="shared" si="61"/>
        <v>5143</v>
      </c>
      <c r="G3786" s="43"/>
    </row>
    <row r="3787" spans="1:7" x14ac:dyDescent="0.3">
      <c r="A3787" s="45">
        <v>43095</v>
      </c>
      <c r="B3787" s="5" t="s">
        <v>1837</v>
      </c>
      <c r="C3787" s="5" t="s">
        <v>2964</v>
      </c>
      <c r="D3787" s="43">
        <v>1500</v>
      </c>
      <c r="E3787" s="43"/>
      <c r="F3787" s="28">
        <f t="shared" ref="F3787:F3850" si="62">F3786-D3787+E3787</f>
        <v>3643</v>
      </c>
      <c r="G3787" s="43"/>
    </row>
    <row r="3788" spans="1:7" x14ac:dyDescent="0.3">
      <c r="A3788" s="45">
        <v>43095</v>
      </c>
      <c r="B3788" s="5" t="s">
        <v>25</v>
      </c>
      <c r="C3788" s="5" t="s">
        <v>1829</v>
      </c>
      <c r="D3788" s="43">
        <v>60</v>
      </c>
      <c r="E3788" s="43"/>
      <c r="F3788" s="28">
        <f t="shared" si="62"/>
        <v>3583</v>
      </c>
      <c r="G3788" s="43"/>
    </row>
    <row r="3789" spans="1:7" x14ac:dyDescent="0.3">
      <c r="A3789" s="45">
        <v>43095</v>
      </c>
      <c r="B3789" s="5" t="s">
        <v>25</v>
      </c>
      <c r="C3789" s="5" t="s">
        <v>2965</v>
      </c>
      <c r="D3789" s="43">
        <v>120</v>
      </c>
      <c r="E3789" s="43"/>
      <c r="F3789" s="28">
        <f t="shared" si="62"/>
        <v>3463</v>
      </c>
      <c r="G3789" s="43"/>
    </row>
    <row r="3790" spans="1:7" x14ac:dyDescent="0.3">
      <c r="A3790" s="45">
        <v>43095</v>
      </c>
      <c r="B3790" s="5" t="s">
        <v>25</v>
      </c>
      <c r="C3790" s="5" t="s">
        <v>2966</v>
      </c>
      <c r="D3790" s="43">
        <v>140</v>
      </c>
      <c r="E3790" s="43"/>
      <c r="F3790" s="28">
        <f t="shared" si="62"/>
        <v>3323</v>
      </c>
      <c r="G3790" s="43"/>
    </row>
    <row r="3791" spans="1:7" x14ac:dyDescent="0.3">
      <c r="A3791" s="45">
        <v>43095</v>
      </c>
      <c r="B3791" s="5" t="s">
        <v>25</v>
      </c>
      <c r="C3791" s="5" t="s">
        <v>2967</v>
      </c>
      <c r="D3791" s="43">
        <v>350</v>
      </c>
      <c r="E3791" s="43"/>
      <c r="F3791" s="28">
        <f t="shared" si="62"/>
        <v>2973</v>
      </c>
      <c r="G3791" s="43"/>
    </row>
    <row r="3792" spans="1:7" x14ac:dyDescent="0.3">
      <c r="A3792" s="45">
        <v>43095</v>
      </c>
      <c r="B3792" s="5" t="s">
        <v>2674</v>
      </c>
      <c r="C3792" s="5" t="s">
        <v>2968</v>
      </c>
      <c r="D3792" s="43">
        <v>630</v>
      </c>
      <c r="E3792" s="43"/>
      <c r="F3792" s="28">
        <f t="shared" si="62"/>
        <v>2343</v>
      </c>
      <c r="G3792" s="43"/>
    </row>
    <row r="3793" spans="1:9" x14ac:dyDescent="0.3">
      <c r="A3793" s="45">
        <v>43095</v>
      </c>
      <c r="B3793" s="5" t="s">
        <v>2502</v>
      </c>
      <c r="C3793" s="5" t="s">
        <v>2969</v>
      </c>
      <c r="D3793" s="43">
        <v>630</v>
      </c>
      <c r="E3793" s="43"/>
      <c r="F3793" s="28">
        <f t="shared" si="62"/>
        <v>1713</v>
      </c>
      <c r="G3793" s="43"/>
    </row>
    <row r="3794" spans="1:9" x14ac:dyDescent="0.3">
      <c r="A3794" s="45">
        <v>43095</v>
      </c>
      <c r="B3794" s="5" t="s">
        <v>247</v>
      </c>
      <c r="C3794" s="5" t="s">
        <v>2469</v>
      </c>
      <c r="D3794" s="43">
        <v>160</v>
      </c>
      <c r="E3794" s="43"/>
      <c r="F3794" s="28">
        <f t="shared" si="62"/>
        <v>1553</v>
      </c>
      <c r="G3794" s="43"/>
      <c r="I3794" s="169"/>
    </row>
    <row r="3795" spans="1:9" x14ac:dyDescent="0.3">
      <c r="A3795" s="45">
        <v>43095</v>
      </c>
      <c r="B3795" s="756" t="s">
        <v>2960</v>
      </c>
      <c r="C3795" s="756"/>
      <c r="D3795" s="71"/>
      <c r="E3795" s="72">
        <v>50000</v>
      </c>
      <c r="F3795" s="28">
        <f t="shared" si="62"/>
        <v>51553</v>
      </c>
      <c r="G3795" s="43"/>
    </row>
    <row r="3796" spans="1:9" x14ac:dyDescent="0.3">
      <c r="A3796" s="45">
        <v>43095</v>
      </c>
      <c r="B3796" s="5" t="s">
        <v>58</v>
      </c>
      <c r="C3796" s="5" t="s">
        <v>2941</v>
      </c>
      <c r="D3796" s="43">
        <v>3600</v>
      </c>
      <c r="E3796" s="43"/>
      <c r="F3796" s="28">
        <f t="shared" si="62"/>
        <v>47953</v>
      </c>
      <c r="G3796" s="43"/>
    </row>
    <row r="3797" spans="1:9" ht="37.5" x14ac:dyDescent="0.3">
      <c r="A3797" s="45">
        <v>43095</v>
      </c>
      <c r="B3797" s="5" t="s">
        <v>58</v>
      </c>
      <c r="C3797" s="92" t="s">
        <v>2972</v>
      </c>
      <c r="D3797" s="43">
        <v>250</v>
      </c>
      <c r="E3797" s="43"/>
      <c r="F3797" s="28">
        <f t="shared" si="62"/>
        <v>47703</v>
      </c>
      <c r="G3797" s="43"/>
    </row>
    <row r="3798" spans="1:9" ht="37.5" x14ac:dyDescent="0.3">
      <c r="A3798" s="45">
        <v>43095</v>
      </c>
      <c r="B3798" s="5" t="s">
        <v>2594</v>
      </c>
      <c r="C3798" s="92" t="s">
        <v>2974</v>
      </c>
      <c r="D3798" s="43">
        <v>16130</v>
      </c>
      <c r="E3798" s="43"/>
      <c r="F3798" s="28">
        <f t="shared" si="62"/>
        <v>31573</v>
      </c>
      <c r="G3798" s="43"/>
    </row>
    <row r="3799" spans="1:9" x14ac:dyDescent="0.3">
      <c r="A3799" s="45">
        <v>43095</v>
      </c>
      <c r="B3799" s="5" t="s">
        <v>2594</v>
      </c>
      <c r="C3799" s="92" t="s">
        <v>2975</v>
      </c>
      <c r="D3799" s="43">
        <v>2000</v>
      </c>
      <c r="E3799" s="43"/>
      <c r="F3799" s="28">
        <f t="shared" si="62"/>
        <v>29573</v>
      </c>
      <c r="G3799" s="43"/>
    </row>
    <row r="3800" spans="1:9" x14ac:dyDescent="0.3">
      <c r="A3800" s="45">
        <v>43095</v>
      </c>
      <c r="B3800" s="5" t="s">
        <v>2096</v>
      </c>
      <c r="C3800" s="5" t="s">
        <v>1049</v>
      </c>
      <c r="D3800" s="43">
        <v>12000</v>
      </c>
      <c r="E3800" s="43"/>
      <c r="F3800" s="28">
        <f t="shared" si="62"/>
        <v>17573</v>
      </c>
      <c r="G3800" s="43"/>
    </row>
    <row r="3801" spans="1:9" x14ac:dyDescent="0.3">
      <c r="A3801" s="45">
        <v>43095</v>
      </c>
      <c r="B3801" s="5" t="s">
        <v>16</v>
      </c>
      <c r="C3801" s="5" t="s">
        <v>1049</v>
      </c>
      <c r="D3801" s="43">
        <v>3000</v>
      </c>
      <c r="E3801" s="43"/>
      <c r="F3801" s="28">
        <f t="shared" si="62"/>
        <v>14573</v>
      </c>
      <c r="G3801" s="43"/>
    </row>
    <row r="3802" spans="1:9" x14ac:dyDescent="0.3">
      <c r="A3802" s="45">
        <v>43095</v>
      </c>
      <c r="B3802" s="5" t="s">
        <v>2727</v>
      </c>
      <c r="C3802" s="5" t="s">
        <v>2970</v>
      </c>
      <c r="D3802" s="43">
        <v>5000</v>
      </c>
      <c r="E3802" s="43"/>
      <c r="F3802" s="28">
        <f t="shared" si="62"/>
        <v>9573</v>
      </c>
      <c r="G3802" s="43"/>
    </row>
    <row r="3803" spans="1:9" x14ac:dyDescent="0.3">
      <c r="A3803" s="45">
        <v>43095</v>
      </c>
      <c r="B3803" s="5" t="s">
        <v>0</v>
      </c>
      <c r="C3803" s="5" t="s">
        <v>2971</v>
      </c>
      <c r="D3803" s="43">
        <v>2000</v>
      </c>
      <c r="E3803" s="43"/>
      <c r="F3803" s="28">
        <f t="shared" si="62"/>
        <v>7573</v>
      </c>
      <c r="G3803" s="43"/>
    </row>
    <row r="3804" spans="1:9" x14ac:dyDescent="0.3">
      <c r="A3804" s="45">
        <v>43095</v>
      </c>
      <c r="B3804" s="5" t="s">
        <v>25</v>
      </c>
      <c r="C3804" s="5" t="s">
        <v>2548</v>
      </c>
      <c r="D3804" s="43">
        <v>1600</v>
      </c>
      <c r="E3804" s="43"/>
      <c r="F3804" s="28">
        <f t="shared" si="62"/>
        <v>5973</v>
      </c>
      <c r="G3804" s="205"/>
    </row>
    <row r="3805" spans="1:9" x14ac:dyDescent="0.3">
      <c r="A3805" s="45">
        <v>43095</v>
      </c>
      <c r="B3805" s="5" t="s">
        <v>25</v>
      </c>
      <c r="C3805" s="5" t="s">
        <v>2973</v>
      </c>
      <c r="D3805" s="43">
        <v>300</v>
      </c>
      <c r="E3805" s="43"/>
      <c r="F3805" s="28">
        <f t="shared" si="62"/>
        <v>5673</v>
      </c>
      <c r="G3805" s="205"/>
    </row>
    <row r="3806" spans="1:9" x14ac:dyDescent="0.3">
      <c r="A3806" s="45">
        <v>43096</v>
      </c>
      <c r="B3806" s="5" t="s">
        <v>25</v>
      </c>
      <c r="C3806" s="5" t="s">
        <v>939</v>
      </c>
      <c r="D3806" s="43">
        <v>380</v>
      </c>
      <c r="E3806" s="43"/>
      <c r="F3806" s="28">
        <f t="shared" si="62"/>
        <v>5293</v>
      </c>
      <c r="G3806" s="205"/>
    </row>
    <row r="3807" spans="1:9" x14ac:dyDescent="0.3">
      <c r="A3807" s="45">
        <v>43096</v>
      </c>
      <c r="B3807" s="5" t="s">
        <v>25</v>
      </c>
      <c r="C3807" s="5" t="s">
        <v>2202</v>
      </c>
      <c r="D3807" s="43">
        <v>360</v>
      </c>
      <c r="E3807" s="43"/>
      <c r="F3807" s="28">
        <f t="shared" si="62"/>
        <v>4933</v>
      </c>
      <c r="G3807" s="301"/>
    </row>
    <row r="3808" spans="1:9" x14ac:dyDescent="0.3">
      <c r="A3808" s="45">
        <v>43096</v>
      </c>
      <c r="B3808" s="5" t="s">
        <v>25</v>
      </c>
      <c r="C3808" s="5" t="s">
        <v>2976</v>
      </c>
      <c r="D3808" s="43">
        <v>350</v>
      </c>
      <c r="E3808" s="43"/>
      <c r="F3808" s="28">
        <f t="shared" si="62"/>
        <v>4583</v>
      </c>
    </row>
    <row r="3809" spans="1:6" x14ac:dyDescent="0.3">
      <c r="A3809" s="45">
        <v>43096</v>
      </c>
      <c r="B3809" s="5" t="s">
        <v>25</v>
      </c>
      <c r="C3809" s="5" t="s">
        <v>2981</v>
      </c>
      <c r="D3809" s="43">
        <v>160</v>
      </c>
      <c r="E3809" s="43"/>
      <c r="F3809" s="28">
        <f t="shared" si="62"/>
        <v>4423</v>
      </c>
    </row>
    <row r="3810" spans="1:6" x14ac:dyDescent="0.3">
      <c r="A3810" s="45">
        <v>43096</v>
      </c>
      <c r="B3810" s="5" t="s">
        <v>25</v>
      </c>
      <c r="C3810" s="5" t="s">
        <v>2977</v>
      </c>
      <c r="D3810" s="43">
        <v>80</v>
      </c>
      <c r="E3810" s="43"/>
      <c r="F3810" s="28">
        <f t="shared" si="62"/>
        <v>4343</v>
      </c>
    </row>
    <row r="3811" spans="1:6" x14ac:dyDescent="0.3">
      <c r="A3811" s="45">
        <v>43096</v>
      </c>
      <c r="B3811" s="756" t="s">
        <v>2960</v>
      </c>
      <c r="C3811" s="756"/>
      <c r="D3811" s="71"/>
      <c r="E3811" s="72">
        <v>45000</v>
      </c>
      <c r="F3811" s="28">
        <f t="shared" si="62"/>
        <v>49343</v>
      </c>
    </row>
    <row r="3812" spans="1:6" x14ac:dyDescent="0.3">
      <c r="A3812" s="45">
        <v>43096</v>
      </c>
      <c r="B3812" s="5" t="s">
        <v>2594</v>
      </c>
      <c r="C3812" s="5" t="s">
        <v>2978</v>
      </c>
      <c r="D3812" s="43">
        <v>25000</v>
      </c>
      <c r="E3812" s="43"/>
      <c r="F3812" s="28">
        <f t="shared" si="62"/>
        <v>24343</v>
      </c>
    </row>
    <row r="3813" spans="1:6" x14ac:dyDescent="0.3">
      <c r="A3813" s="45">
        <v>43096</v>
      </c>
      <c r="B3813" s="5" t="s">
        <v>2096</v>
      </c>
      <c r="C3813" s="5" t="s">
        <v>2979</v>
      </c>
      <c r="D3813" s="43">
        <v>20000</v>
      </c>
      <c r="E3813" s="43"/>
      <c r="F3813" s="28">
        <f t="shared" si="62"/>
        <v>4343</v>
      </c>
    </row>
    <row r="3814" spans="1:6" x14ac:dyDescent="0.3">
      <c r="A3814" s="45">
        <v>43096</v>
      </c>
      <c r="B3814" s="5" t="s">
        <v>84</v>
      </c>
      <c r="C3814" s="5" t="s">
        <v>2980</v>
      </c>
      <c r="D3814" s="43">
        <v>3000</v>
      </c>
      <c r="E3814" s="43"/>
      <c r="F3814" s="28">
        <f t="shared" si="62"/>
        <v>1343</v>
      </c>
    </row>
    <row r="3815" spans="1:6" x14ac:dyDescent="0.3">
      <c r="A3815" s="45">
        <v>43096</v>
      </c>
      <c r="B3815" s="5" t="s">
        <v>2853</v>
      </c>
      <c r="C3815" s="5" t="s">
        <v>2982</v>
      </c>
      <c r="D3815" s="43">
        <v>610</v>
      </c>
      <c r="E3815" s="43"/>
      <c r="F3815" s="28">
        <f t="shared" si="62"/>
        <v>733</v>
      </c>
    </row>
    <row r="3816" spans="1:6" x14ac:dyDescent="0.3">
      <c r="A3816" s="45">
        <v>43097</v>
      </c>
      <c r="B3816" s="756" t="s">
        <v>2665</v>
      </c>
      <c r="C3816" s="756"/>
      <c r="D3816" s="71"/>
      <c r="E3816" s="72">
        <v>50000</v>
      </c>
      <c r="F3816" s="28">
        <f t="shared" si="62"/>
        <v>50733</v>
      </c>
    </row>
    <row r="3817" spans="1:6" x14ac:dyDescent="0.3">
      <c r="A3817" s="45">
        <v>43097</v>
      </c>
      <c r="B3817" s="5" t="s">
        <v>14</v>
      </c>
      <c r="C3817" s="5" t="s">
        <v>2983</v>
      </c>
      <c r="D3817" s="168">
        <v>20000</v>
      </c>
      <c r="E3817" s="118"/>
      <c r="F3817" s="28">
        <f t="shared" si="62"/>
        <v>30733</v>
      </c>
    </row>
    <row r="3818" spans="1:6" x14ac:dyDescent="0.3">
      <c r="A3818" s="45">
        <v>43097</v>
      </c>
      <c r="B3818" s="5" t="s">
        <v>2984</v>
      </c>
      <c r="C3818" s="5" t="s">
        <v>2985</v>
      </c>
      <c r="D3818" s="43">
        <v>20000</v>
      </c>
      <c r="E3818" s="43"/>
      <c r="F3818" s="28">
        <f t="shared" si="62"/>
        <v>10733</v>
      </c>
    </row>
    <row r="3819" spans="1:6" x14ac:dyDescent="0.3">
      <c r="A3819" s="45">
        <v>43097</v>
      </c>
      <c r="B3819" s="5" t="s">
        <v>2502</v>
      </c>
      <c r="C3819" s="5" t="s">
        <v>2986</v>
      </c>
      <c r="D3819" s="43">
        <v>5000</v>
      </c>
      <c r="E3819" s="43"/>
      <c r="F3819" s="28">
        <f t="shared" si="62"/>
        <v>5733</v>
      </c>
    </row>
    <row r="3820" spans="1:6" x14ac:dyDescent="0.3">
      <c r="A3820" s="45">
        <v>43097</v>
      </c>
      <c r="B3820" s="5" t="s">
        <v>2330</v>
      </c>
      <c r="C3820" s="5" t="s">
        <v>2987</v>
      </c>
      <c r="D3820" s="43">
        <v>400</v>
      </c>
      <c r="E3820" s="43"/>
      <c r="F3820" s="28">
        <f t="shared" si="62"/>
        <v>5333</v>
      </c>
    </row>
    <row r="3821" spans="1:6" x14ac:dyDescent="0.3">
      <c r="A3821" s="45">
        <v>43097</v>
      </c>
      <c r="B3821" s="5" t="s">
        <v>58</v>
      </c>
      <c r="C3821" s="5" t="s">
        <v>2988</v>
      </c>
      <c r="D3821" s="43">
        <v>100</v>
      </c>
      <c r="E3821" s="43"/>
      <c r="F3821" s="28">
        <f t="shared" si="62"/>
        <v>5233</v>
      </c>
    </row>
    <row r="3822" spans="1:6" x14ac:dyDescent="0.3">
      <c r="A3822" s="45">
        <v>43097</v>
      </c>
      <c r="B3822" s="5" t="s">
        <v>2727</v>
      </c>
      <c r="C3822" s="5" t="s">
        <v>2989</v>
      </c>
      <c r="D3822" s="43">
        <v>1050</v>
      </c>
      <c r="E3822" s="43"/>
      <c r="F3822" s="28">
        <f t="shared" si="62"/>
        <v>4183</v>
      </c>
    </row>
    <row r="3823" spans="1:6" x14ac:dyDescent="0.3">
      <c r="A3823" s="45">
        <v>43097</v>
      </c>
      <c r="B3823" s="5" t="s">
        <v>247</v>
      </c>
      <c r="C3823" s="5" t="s">
        <v>2990</v>
      </c>
      <c r="D3823" s="43">
        <v>1780</v>
      </c>
      <c r="E3823" s="43"/>
      <c r="F3823" s="28">
        <f t="shared" si="62"/>
        <v>2403</v>
      </c>
    </row>
    <row r="3824" spans="1:6" x14ac:dyDescent="0.3">
      <c r="A3824" s="45">
        <v>43097</v>
      </c>
      <c r="B3824" s="5" t="s">
        <v>0</v>
      </c>
      <c r="C3824" s="5" t="s">
        <v>1049</v>
      </c>
      <c r="D3824" s="43">
        <v>500</v>
      </c>
      <c r="E3824" s="43"/>
      <c r="F3824" s="28">
        <f t="shared" si="62"/>
        <v>1903</v>
      </c>
    </row>
    <row r="3825" spans="1:6" x14ac:dyDescent="0.3">
      <c r="A3825" s="45">
        <v>43098</v>
      </c>
      <c r="B3825" s="756" t="s">
        <v>2991</v>
      </c>
      <c r="C3825" s="756"/>
      <c r="D3825" s="71"/>
      <c r="E3825" s="72">
        <v>1530</v>
      </c>
      <c r="F3825" s="28">
        <f t="shared" si="62"/>
        <v>3433</v>
      </c>
    </row>
    <row r="3826" spans="1:6" x14ac:dyDescent="0.3">
      <c r="A3826" s="45">
        <v>43098</v>
      </c>
      <c r="B3826" s="5" t="s">
        <v>25</v>
      </c>
      <c r="C3826" s="5" t="s">
        <v>2992</v>
      </c>
      <c r="D3826" s="43">
        <v>1720</v>
      </c>
      <c r="E3826" s="43"/>
      <c r="F3826" s="28">
        <f t="shared" si="62"/>
        <v>1713</v>
      </c>
    </row>
    <row r="3827" spans="1:6" x14ac:dyDescent="0.3">
      <c r="A3827" s="45">
        <v>43098</v>
      </c>
      <c r="B3827" s="5" t="s">
        <v>2993</v>
      </c>
      <c r="C3827" s="5" t="s">
        <v>2994</v>
      </c>
      <c r="D3827" s="43">
        <v>800</v>
      </c>
      <c r="E3827" s="43"/>
      <c r="F3827" s="28">
        <f t="shared" si="62"/>
        <v>913</v>
      </c>
    </row>
    <row r="3828" spans="1:6" x14ac:dyDescent="0.3">
      <c r="A3828" s="45">
        <v>43098</v>
      </c>
      <c r="B3828" s="756" t="s">
        <v>2960</v>
      </c>
      <c r="C3828" s="756"/>
      <c r="D3828" s="71"/>
      <c r="E3828" s="72">
        <v>25000</v>
      </c>
      <c r="F3828" s="28">
        <f t="shared" si="62"/>
        <v>25913</v>
      </c>
    </row>
    <row r="3829" spans="1:6" x14ac:dyDescent="0.3">
      <c r="A3829" s="45">
        <v>43098</v>
      </c>
      <c r="B3829" s="5" t="s">
        <v>2995</v>
      </c>
      <c r="C3829" s="5" t="s">
        <v>2996</v>
      </c>
      <c r="D3829" s="43">
        <v>22000</v>
      </c>
      <c r="E3829" s="43"/>
      <c r="F3829" s="28">
        <f t="shared" si="62"/>
        <v>3913</v>
      </c>
    </row>
    <row r="3830" spans="1:6" x14ac:dyDescent="0.3">
      <c r="A3830" s="45">
        <v>43098</v>
      </c>
      <c r="B3830" s="5" t="s">
        <v>0</v>
      </c>
      <c r="C3830" s="5" t="s">
        <v>31</v>
      </c>
      <c r="D3830" s="43">
        <v>2000</v>
      </c>
      <c r="E3830" s="43"/>
      <c r="F3830" s="28">
        <f t="shared" si="62"/>
        <v>1913</v>
      </c>
    </row>
    <row r="3831" spans="1:6" x14ac:dyDescent="0.3">
      <c r="A3831" s="45">
        <v>43098</v>
      </c>
      <c r="B3831" s="5" t="s">
        <v>58</v>
      </c>
      <c r="C3831" s="5" t="s">
        <v>2997</v>
      </c>
      <c r="D3831" s="43">
        <v>100</v>
      </c>
      <c r="E3831" s="43"/>
      <c r="F3831" s="28">
        <f t="shared" si="62"/>
        <v>1813</v>
      </c>
    </row>
    <row r="3832" spans="1:6" x14ac:dyDescent="0.3">
      <c r="A3832" s="45">
        <v>43098</v>
      </c>
      <c r="B3832" s="5" t="s">
        <v>25</v>
      </c>
      <c r="C3832" s="5" t="s">
        <v>3003</v>
      </c>
      <c r="D3832" s="43">
        <v>100</v>
      </c>
      <c r="E3832" s="43"/>
      <c r="F3832" s="28">
        <f t="shared" si="62"/>
        <v>1713</v>
      </c>
    </row>
    <row r="3833" spans="1:6" x14ac:dyDescent="0.3">
      <c r="A3833" s="45">
        <v>43098</v>
      </c>
      <c r="B3833" s="5" t="s">
        <v>25</v>
      </c>
      <c r="C3833" s="5" t="s">
        <v>2998</v>
      </c>
      <c r="D3833" s="43">
        <v>100</v>
      </c>
      <c r="E3833" s="43"/>
      <c r="F3833" s="28">
        <f t="shared" si="62"/>
        <v>1613</v>
      </c>
    </row>
    <row r="3834" spans="1:6" x14ac:dyDescent="0.3">
      <c r="A3834" s="45">
        <v>43098</v>
      </c>
      <c r="B3834" s="5" t="s">
        <v>25</v>
      </c>
      <c r="C3834" s="5" t="s">
        <v>3001</v>
      </c>
      <c r="D3834" s="43">
        <v>90</v>
      </c>
      <c r="E3834" s="43"/>
      <c r="F3834" s="28">
        <f t="shared" si="62"/>
        <v>1523</v>
      </c>
    </row>
    <row r="3835" spans="1:6" x14ac:dyDescent="0.3">
      <c r="A3835" s="45">
        <v>43098</v>
      </c>
      <c r="B3835" s="5" t="s">
        <v>25</v>
      </c>
      <c r="C3835" s="5" t="s">
        <v>3000</v>
      </c>
      <c r="D3835" s="43">
        <v>130</v>
      </c>
      <c r="E3835" s="43"/>
      <c r="F3835" s="28">
        <f t="shared" si="62"/>
        <v>1393</v>
      </c>
    </row>
    <row r="3836" spans="1:6" x14ac:dyDescent="0.3">
      <c r="A3836" s="45">
        <v>43098</v>
      </c>
      <c r="B3836" s="5" t="s">
        <v>25</v>
      </c>
      <c r="C3836" s="5" t="s">
        <v>1829</v>
      </c>
      <c r="D3836" s="43">
        <v>60</v>
      </c>
      <c r="E3836" s="43"/>
      <c r="F3836" s="28">
        <f t="shared" si="62"/>
        <v>1333</v>
      </c>
    </row>
    <row r="3837" spans="1:6" x14ac:dyDescent="0.3">
      <c r="A3837" s="45">
        <v>43098</v>
      </c>
      <c r="B3837" s="5" t="s">
        <v>25</v>
      </c>
      <c r="C3837" s="5" t="s">
        <v>2999</v>
      </c>
      <c r="D3837" s="43">
        <v>100</v>
      </c>
      <c r="E3837" s="43"/>
      <c r="F3837" s="28">
        <f t="shared" si="62"/>
        <v>1233</v>
      </c>
    </row>
    <row r="3838" spans="1:6" x14ac:dyDescent="0.3">
      <c r="A3838" s="45">
        <v>43098</v>
      </c>
      <c r="B3838" s="5" t="s">
        <v>25</v>
      </c>
      <c r="C3838" s="5" t="s">
        <v>2875</v>
      </c>
      <c r="D3838" s="43">
        <v>140</v>
      </c>
      <c r="E3838" s="43"/>
      <c r="F3838" s="28">
        <f t="shared" si="62"/>
        <v>1093</v>
      </c>
    </row>
    <row r="3839" spans="1:6" x14ac:dyDescent="0.3">
      <c r="A3839" s="45">
        <v>43098</v>
      </c>
      <c r="B3839" s="5" t="s">
        <v>25</v>
      </c>
      <c r="C3839" s="5" t="s">
        <v>3002</v>
      </c>
      <c r="D3839" s="43">
        <v>180</v>
      </c>
      <c r="E3839" s="43"/>
      <c r="F3839" s="28">
        <f t="shared" si="62"/>
        <v>913</v>
      </c>
    </row>
    <row r="3840" spans="1:6" x14ac:dyDescent="0.3">
      <c r="A3840" s="45">
        <v>43098</v>
      </c>
      <c r="B3840" s="5" t="s">
        <v>25</v>
      </c>
      <c r="C3840" s="5" t="s">
        <v>3004</v>
      </c>
      <c r="D3840" s="43">
        <v>100</v>
      </c>
      <c r="E3840" s="43"/>
      <c r="F3840" s="28">
        <f t="shared" si="62"/>
        <v>813</v>
      </c>
    </row>
    <row r="3841" spans="1:6" x14ac:dyDescent="0.3">
      <c r="A3841" s="45">
        <v>43098</v>
      </c>
      <c r="B3841" s="5" t="s">
        <v>25</v>
      </c>
      <c r="C3841" s="5" t="s">
        <v>2624</v>
      </c>
      <c r="D3841" s="43">
        <v>750</v>
      </c>
      <c r="E3841" s="43"/>
      <c r="F3841" s="28">
        <f t="shared" si="62"/>
        <v>63</v>
      </c>
    </row>
    <row r="3842" spans="1:6" x14ac:dyDescent="0.3">
      <c r="A3842" s="45">
        <v>43102</v>
      </c>
      <c r="B3842" s="756" t="s">
        <v>2665</v>
      </c>
      <c r="C3842" s="756"/>
      <c r="D3842" s="71"/>
      <c r="E3842" s="72">
        <v>50000</v>
      </c>
      <c r="F3842" s="28">
        <f t="shared" si="62"/>
        <v>50063</v>
      </c>
    </row>
    <row r="3843" spans="1:6" x14ac:dyDescent="0.3">
      <c r="A3843" s="45">
        <v>43102</v>
      </c>
      <c r="B3843" s="5" t="s">
        <v>3005</v>
      </c>
      <c r="C3843" s="5" t="s">
        <v>3007</v>
      </c>
      <c r="D3843" s="43">
        <v>2000</v>
      </c>
      <c r="E3843" s="43"/>
      <c r="F3843" s="28">
        <f t="shared" si="62"/>
        <v>48063</v>
      </c>
    </row>
    <row r="3844" spans="1:6" x14ac:dyDescent="0.3">
      <c r="A3844" s="45">
        <v>43102</v>
      </c>
      <c r="B3844" s="5" t="s">
        <v>3005</v>
      </c>
      <c r="C3844" s="5" t="s">
        <v>3006</v>
      </c>
      <c r="D3844" s="43">
        <v>4300</v>
      </c>
      <c r="E3844" s="43"/>
      <c r="F3844" s="28">
        <f t="shared" si="62"/>
        <v>43763</v>
      </c>
    </row>
    <row r="3845" spans="1:6" x14ac:dyDescent="0.3">
      <c r="A3845" s="45">
        <v>43102</v>
      </c>
      <c r="B3845" s="5" t="s">
        <v>2096</v>
      </c>
      <c r="C3845" s="5" t="s">
        <v>3012</v>
      </c>
      <c r="D3845" s="43">
        <v>700</v>
      </c>
      <c r="E3845" s="43"/>
      <c r="F3845" s="28">
        <f t="shared" si="62"/>
        <v>43063</v>
      </c>
    </row>
    <row r="3846" spans="1:6" x14ac:dyDescent="0.3">
      <c r="A3846" s="45">
        <v>43102</v>
      </c>
      <c r="B3846" s="756" t="s">
        <v>3010</v>
      </c>
      <c r="C3846" s="756"/>
      <c r="D3846" s="71"/>
      <c r="E3846" s="72">
        <v>1600</v>
      </c>
      <c r="F3846" s="28">
        <f t="shared" si="62"/>
        <v>44663</v>
      </c>
    </row>
    <row r="3847" spans="1:6" x14ac:dyDescent="0.3">
      <c r="A3847" s="45">
        <v>43102</v>
      </c>
      <c r="B3847" s="5" t="s">
        <v>541</v>
      </c>
      <c r="C3847" s="5" t="s">
        <v>3008</v>
      </c>
      <c r="D3847" s="43">
        <v>600</v>
      </c>
      <c r="E3847" s="43"/>
      <c r="F3847" s="28">
        <f t="shared" si="62"/>
        <v>44063</v>
      </c>
    </row>
    <row r="3848" spans="1:6" x14ac:dyDescent="0.3">
      <c r="A3848" s="45">
        <v>43102</v>
      </c>
      <c r="B3848" s="5" t="s">
        <v>25</v>
      </c>
      <c r="C3848" s="5" t="s">
        <v>3009</v>
      </c>
      <c r="D3848" s="43">
        <v>200</v>
      </c>
      <c r="E3848" s="43"/>
      <c r="F3848" s="28">
        <f t="shared" si="62"/>
        <v>43863</v>
      </c>
    </row>
    <row r="3849" spans="1:6" x14ac:dyDescent="0.3">
      <c r="A3849" s="45">
        <v>43102</v>
      </c>
      <c r="B3849" s="5" t="s">
        <v>2346</v>
      </c>
      <c r="C3849" s="5" t="s">
        <v>3011</v>
      </c>
      <c r="D3849" s="43">
        <v>1500</v>
      </c>
      <c r="E3849" s="43"/>
      <c r="F3849" s="28">
        <f t="shared" si="62"/>
        <v>42363</v>
      </c>
    </row>
    <row r="3850" spans="1:6" x14ac:dyDescent="0.3">
      <c r="A3850" s="45">
        <v>43102</v>
      </c>
      <c r="B3850" s="5" t="s">
        <v>2570</v>
      </c>
      <c r="C3850" s="5" t="s">
        <v>3013</v>
      </c>
      <c r="D3850" s="43">
        <v>430</v>
      </c>
      <c r="E3850" s="43"/>
      <c r="F3850" s="28">
        <f t="shared" si="62"/>
        <v>41933</v>
      </c>
    </row>
    <row r="3851" spans="1:6" x14ac:dyDescent="0.3">
      <c r="A3851" s="45">
        <v>43102</v>
      </c>
      <c r="B3851" s="5" t="s">
        <v>16</v>
      </c>
      <c r="C3851" s="5" t="s">
        <v>3017</v>
      </c>
      <c r="D3851" s="43">
        <v>70</v>
      </c>
      <c r="E3851" s="43"/>
      <c r="F3851" s="28">
        <f t="shared" ref="F3851:F3914" si="63">F3850-D3851+E3851</f>
        <v>41863</v>
      </c>
    </row>
    <row r="3852" spans="1:6" x14ac:dyDescent="0.3">
      <c r="A3852" s="45">
        <v>43102</v>
      </c>
      <c r="B3852" s="5" t="s">
        <v>11</v>
      </c>
      <c r="C3852" s="5" t="s">
        <v>3014</v>
      </c>
      <c r="D3852" s="43">
        <v>260</v>
      </c>
      <c r="E3852" s="43"/>
      <c r="F3852" s="28">
        <f t="shared" si="63"/>
        <v>41603</v>
      </c>
    </row>
    <row r="3853" spans="1:6" x14ac:dyDescent="0.3">
      <c r="A3853" s="45">
        <v>43102</v>
      </c>
      <c r="B3853" s="5" t="s">
        <v>11</v>
      </c>
      <c r="C3853" s="5" t="s">
        <v>3015</v>
      </c>
      <c r="D3853" s="43">
        <v>85</v>
      </c>
      <c r="E3853" s="43"/>
      <c r="F3853" s="28">
        <f t="shared" si="63"/>
        <v>41518</v>
      </c>
    </row>
    <row r="3854" spans="1:6" x14ac:dyDescent="0.3">
      <c r="A3854" s="45">
        <v>43102</v>
      </c>
      <c r="B3854" s="5" t="s">
        <v>11</v>
      </c>
      <c r="C3854" s="5" t="s">
        <v>3016</v>
      </c>
      <c r="D3854" s="43">
        <v>2000</v>
      </c>
      <c r="E3854" s="43"/>
      <c r="F3854" s="28">
        <f t="shared" si="63"/>
        <v>39518</v>
      </c>
    </row>
    <row r="3855" spans="1:6" x14ac:dyDescent="0.3">
      <c r="A3855" s="45">
        <v>43103</v>
      </c>
      <c r="B3855" s="5" t="s">
        <v>2674</v>
      </c>
      <c r="C3855" s="5" t="s">
        <v>3023</v>
      </c>
      <c r="D3855" s="43">
        <v>140</v>
      </c>
      <c r="E3855" s="43"/>
      <c r="F3855" s="28">
        <f t="shared" si="63"/>
        <v>39378</v>
      </c>
    </row>
    <row r="3856" spans="1:6" x14ac:dyDescent="0.3">
      <c r="A3856" s="45">
        <v>43102</v>
      </c>
      <c r="B3856" s="5" t="s">
        <v>54</v>
      </c>
      <c r="C3856" s="5" t="s">
        <v>3021</v>
      </c>
      <c r="D3856" s="43">
        <v>2000</v>
      </c>
      <c r="E3856" s="43"/>
      <c r="F3856" s="28">
        <f t="shared" si="63"/>
        <v>37378</v>
      </c>
    </row>
    <row r="3857" spans="1:6" x14ac:dyDescent="0.3">
      <c r="A3857" s="45">
        <v>43102</v>
      </c>
      <c r="B3857" s="5" t="s">
        <v>2330</v>
      </c>
      <c r="C3857" s="5" t="s">
        <v>3018</v>
      </c>
      <c r="D3857" s="43">
        <v>1700</v>
      </c>
      <c r="E3857" s="43"/>
      <c r="F3857" s="28">
        <f t="shared" si="63"/>
        <v>35678</v>
      </c>
    </row>
    <row r="3858" spans="1:6" x14ac:dyDescent="0.3">
      <c r="A3858" s="45">
        <v>43102</v>
      </c>
      <c r="B3858" s="5" t="s">
        <v>25</v>
      </c>
      <c r="C3858" s="5" t="s">
        <v>939</v>
      </c>
      <c r="D3858" s="43">
        <v>380</v>
      </c>
      <c r="E3858" s="43"/>
      <c r="F3858" s="28">
        <f t="shared" si="63"/>
        <v>35298</v>
      </c>
    </row>
    <row r="3859" spans="1:6" x14ac:dyDescent="0.3">
      <c r="A3859" s="45">
        <v>43102</v>
      </c>
      <c r="B3859" s="5" t="s">
        <v>25</v>
      </c>
      <c r="C3859" s="5" t="s">
        <v>3035</v>
      </c>
      <c r="D3859" s="43">
        <v>100</v>
      </c>
      <c r="E3859" s="43"/>
      <c r="F3859" s="28">
        <f t="shared" si="63"/>
        <v>35198</v>
      </c>
    </row>
    <row r="3860" spans="1:6" x14ac:dyDescent="0.3">
      <c r="A3860" s="45">
        <v>43102</v>
      </c>
      <c r="B3860" s="5" t="s">
        <v>25</v>
      </c>
      <c r="C3860" s="5" t="s">
        <v>3029</v>
      </c>
      <c r="D3860" s="43">
        <v>120</v>
      </c>
      <c r="E3860" s="43"/>
      <c r="F3860" s="28">
        <f t="shared" si="63"/>
        <v>35078</v>
      </c>
    </row>
    <row r="3861" spans="1:6" x14ac:dyDescent="0.3">
      <c r="A3861" s="45">
        <v>43102</v>
      </c>
      <c r="B3861" s="5" t="s">
        <v>25</v>
      </c>
      <c r="C3861" s="5" t="s">
        <v>3030</v>
      </c>
      <c r="D3861" s="43">
        <v>100</v>
      </c>
      <c r="E3861" s="43"/>
      <c r="F3861" s="28">
        <f t="shared" si="63"/>
        <v>34978</v>
      </c>
    </row>
    <row r="3862" spans="1:6" x14ac:dyDescent="0.3">
      <c r="A3862" s="45">
        <v>43102</v>
      </c>
      <c r="B3862" s="5" t="s">
        <v>25</v>
      </c>
      <c r="C3862" s="5" t="s">
        <v>62</v>
      </c>
      <c r="D3862" s="43">
        <v>90</v>
      </c>
      <c r="E3862" s="43"/>
      <c r="F3862" s="28">
        <f t="shared" si="63"/>
        <v>34888</v>
      </c>
    </row>
    <row r="3863" spans="1:6" x14ac:dyDescent="0.3">
      <c r="A3863" s="45">
        <v>43102</v>
      </c>
      <c r="B3863" s="5" t="s">
        <v>25</v>
      </c>
      <c r="C3863" s="5" t="s">
        <v>3031</v>
      </c>
      <c r="D3863" s="43">
        <v>220</v>
      </c>
      <c r="E3863" s="43"/>
      <c r="F3863" s="28">
        <f t="shared" si="63"/>
        <v>34668</v>
      </c>
    </row>
    <row r="3864" spans="1:6" x14ac:dyDescent="0.3">
      <c r="A3864" s="45">
        <v>43103</v>
      </c>
      <c r="B3864" s="5" t="s">
        <v>1616</v>
      </c>
      <c r="C3864" s="5" t="s">
        <v>2435</v>
      </c>
      <c r="D3864" s="43">
        <v>520</v>
      </c>
      <c r="E3864" s="43"/>
      <c r="F3864" s="28">
        <f t="shared" si="63"/>
        <v>34148</v>
      </c>
    </row>
    <row r="3865" spans="1:6" x14ac:dyDescent="0.3">
      <c r="A3865" s="45">
        <v>43103</v>
      </c>
      <c r="B3865" s="5" t="s">
        <v>1616</v>
      </c>
      <c r="C3865" s="5" t="s">
        <v>2672</v>
      </c>
      <c r="D3865" s="43">
        <v>1500</v>
      </c>
      <c r="E3865" s="43"/>
      <c r="F3865" s="28">
        <f t="shared" si="63"/>
        <v>32648</v>
      </c>
    </row>
    <row r="3866" spans="1:6" x14ac:dyDescent="0.3">
      <c r="A3866" s="45">
        <v>43103</v>
      </c>
      <c r="B3866" s="5" t="s">
        <v>1837</v>
      </c>
      <c r="C3866" s="5" t="s">
        <v>3019</v>
      </c>
      <c r="D3866" s="43">
        <v>1000</v>
      </c>
      <c r="E3866" s="43"/>
      <c r="F3866" s="28">
        <f t="shared" si="63"/>
        <v>31648</v>
      </c>
    </row>
    <row r="3867" spans="1:6" x14ac:dyDescent="0.3">
      <c r="A3867" s="45">
        <v>43103</v>
      </c>
      <c r="B3867" s="5" t="s">
        <v>84</v>
      </c>
      <c r="C3867" s="5" t="s">
        <v>3028</v>
      </c>
      <c r="D3867" s="43">
        <v>500</v>
      </c>
      <c r="E3867" s="43"/>
      <c r="F3867" s="28">
        <f t="shared" si="63"/>
        <v>31148</v>
      </c>
    </row>
    <row r="3868" spans="1:6" x14ac:dyDescent="0.3">
      <c r="A3868" s="45">
        <v>43103</v>
      </c>
      <c r="B3868" s="5" t="s">
        <v>60</v>
      </c>
      <c r="C3868" s="5" t="s">
        <v>3020</v>
      </c>
      <c r="D3868" s="43">
        <v>2000</v>
      </c>
      <c r="E3868" s="43"/>
      <c r="F3868" s="28">
        <f t="shared" si="63"/>
        <v>29148</v>
      </c>
    </row>
    <row r="3869" spans="1:6" x14ac:dyDescent="0.3">
      <c r="A3869" s="45">
        <v>43103</v>
      </c>
      <c r="B3869" s="5" t="s">
        <v>247</v>
      </c>
      <c r="C3869" s="5" t="s">
        <v>3022</v>
      </c>
      <c r="D3869" s="43">
        <v>1400</v>
      </c>
      <c r="E3869" s="43"/>
      <c r="F3869" s="28">
        <f t="shared" si="63"/>
        <v>27748</v>
      </c>
    </row>
    <row r="3870" spans="1:6" x14ac:dyDescent="0.3">
      <c r="A3870" s="45">
        <v>43103</v>
      </c>
      <c r="B3870" s="5" t="s">
        <v>247</v>
      </c>
      <c r="C3870" s="5" t="s">
        <v>3022</v>
      </c>
      <c r="D3870" s="43">
        <v>2215</v>
      </c>
      <c r="E3870" s="43"/>
      <c r="F3870" s="28">
        <f t="shared" si="63"/>
        <v>25533</v>
      </c>
    </row>
    <row r="3871" spans="1:6" x14ac:dyDescent="0.3">
      <c r="A3871" s="45">
        <v>43103</v>
      </c>
      <c r="B3871" s="5" t="s">
        <v>2674</v>
      </c>
      <c r="C3871" s="5" t="s">
        <v>3024</v>
      </c>
      <c r="D3871" s="43">
        <v>140</v>
      </c>
      <c r="E3871" s="43"/>
      <c r="F3871" s="28">
        <f t="shared" si="63"/>
        <v>25393</v>
      </c>
    </row>
    <row r="3872" spans="1:6" x14ac:dyDescent="0.3">
      <c r="A3872" s="45">
        <v>43103</v>
      </c>
      <c r="B3872" s="5" t="s">
        <v>2594</v>
      </c>
      <c r="C3872" s="5" t="s">
        <v>3025</v>
      </c>
      <c r="D3872" s="43">
        <v>2250</v>
      </c>
      <c r="E3872" s="43"/>
      <c r="F3872" s="28">
        <f t="shared" si="63"/>
        <v>23143</v>
      </c>
    </row>
    <row r="3873" spans="1:6" x14ac:dyDescent="0.3">
      <c r="A3873" s="45">
        <v>43103</v>
      </c>
      <c r="B3873" s="5" t="s">
        <v>2330</v>
      </c>
      <c r="C3873" s="5" t="s">
        <v>3026</v>
      </c>
      <c r="D3873" s="43">
        <v>2725</v>
      </c>
      <c r="E3873" s="43"/>
      <c r="F3873" s="28">
        <f t="shared" si="63"/>
        <v>20418</v>
      </c>
    </row>
    <row r="3874" spans="1:6" x14ac:dyDescent="0.3">
      <c r="A3874" s="45">
        <v>43103</v>
      </c>
      <c r="B3874" s="95" t="s">
        <v>2594</v>
      </c>
      <c r="C3874" s="95" t="s">
        <v>3027</v>
      </c>
      <c r="D3874" s="97">
        <v>1100</v>
      </c>
      <c r="E3874" s="97"/>
      <c r="F3874" s="170">
        <f t="shared" si="63"/>
        <v>19318</v>
      </c>
    </row>
    <row r="3875" spans="1:6" ht="37.5" x14ac:dyDescent="0.3">
      <c r="A3875" s="45">
        <v>43103</v>
      </c>
      <c r="B3875" s="5" t="s">
        <v>1616</v>
      </c>
      <c r="C3875" s="92" t="s">
        <v>3032</v>
      </c>
      <c r="D3875" s="65">
        <v>520</v>
      </c>
      <c r="E3875" s="65"/>
      <c r="F3875" s="48">
        <f t="shared" si="63"/>
        <v>18798</v>
      </c>
    </row>
    <row r="3876" spans="1:6" x14ac:dyDescent="0.3">
      <c r="A3876" s="45">
        <v>43103</v>
      </c>
      <c r="B3876" s="5" t="s">
        <v>25</v>
      </c>
      <c r="C3876" s="5" t="s">
        <v>3033</v>
      </c>
      <c r="D3876" s="65">
        <v>100</v>
      </c>
      <c r="E3876" s="65"/>
      <c r="F3876" s="48">
        <f t="shared" si="63"/>
        <v>18698</v>
      </c>
    </row>
    <row r="3877" spans="1:6" x14ac:dyDescent="0.3">
      <c r="A3877" s="45">
        <v>43103</v>
      </c>
      <c r="B3877" s="5" t="s">
        <v>25</v>
      </c>
      <c r="C3877" s="5" t="s">
        <v>3034</v>
      </c>
      <c r="D3877" s="65">
        <v>240</v>
      </c>
      <c r="E3877" s="65"/>
      <c r="F3877" s="48">
        <f t="shared" si="63"/>
        <v>18458</v>
      </c>
    </row>
    <row r="3878" spans="1:6" x14ac:dyDescent="0.3">
      <c r="A3878" s="45">
        <v>43103</v>
      </c>
      <c r="B3878" s="5" t="s">
        <v>25</v>
      </c>
      <c r="C3878" s="5" t="s">
        <v>2659</v>
      </c>
      <c r="D3878" s="65">
        <v>350</v>
      </c>
      <c r="E3878" s="65"/>
      <c r="F3878" s="48">
        <f t="shared" si="63"/>
        <v>18108</v>
      </c>
    </row>
    <row r="3879" spans="1:6" x14ac:dyDescent="0.3">
      <c r="A3879" s="45">
        <v>43103</v>
      </c>
      <c r="B3879" s="756" t="s">
        <v>3045</v>
      </c>
      <c r="C3879" s="756"/>
      <c r="D3879" s="71"/>
      <c r="E3879" s="72">
        <v>5000</v>
      </c>
      <c r="F3879" s="48">
        <f t="shared" si="63"/>
        <v>23108</v>
      </c>
    </row>
    <row r="3880" spans="1:6" ht="37.5" x14ac:dyDescent="0.3">
      <c r="A3880" s="45">
        <v>43103</v>
      </c>
      <c r="B3880" s="5" t="s">
        <v>58</v>
      </c>
      <c r="C3880" s="92" t="s">
        <v>3042</v>
      </c>
      <c r="D3880" s="65">
        <v>21200</v>
      </c>
      <c r="E3880" s="65"/>
      <c r="F3880" s="48">
        <f t="shared" si="63"/>
        <v>1908</v>
      </c>
    </row>
    <row r="3881" spans="1:6" x14ac:dyDescent="0.3">
      <c r="A3881" s="45">
        <v>43105</v>
      </c>
      <c r="B3881" s="5" t="s">
        <v>25</v>
      </c>
      <c r="C3881" s="5" t="s">
        <v>3036</v>
      </c>
      <c r="D3881" s="65">
        <v>260</v>
      </c>
      <c r="E3881" s="65"/>
      <c r="F3881" s="48">
        <f t="shared" si="63"/>
        <v>1648</v>
      </c>
    </row>
    <row r="3882" spans="1:6" x14ac:dyDescent="0.3">
      <c r="A3882" s="45">
        <v>43106</v>
      </c>
      <c r="B3882" s="5" t="s">
        <v>58</v>
      </c>
      <c r="C3882" s="5" t="s">
        <v>3041</v>
      </c>
      <c r="D3882" s="43">
        <v>1000</v>
      </c>
      <c r="E3882" s="43"/>
      <c r="F3882" s="48">
        <f t="shared" si="63"/>
        <v>648</v>
      </c>
    </row>
    <row r="3883" spans="1:6" x14ac:dyDescent="0.3">
      <c r="A3883" s="45">
        <v>43105</v>
      </c>
      <c r="B3883" s="5" t="s">
        <v>25</v>
      </c>
      <c r="C3883" s="5" t="s">
        <v>3037</v>
      </c>
      <c r="D3883" s="43">
        <v>150</v>
      </c>
      <c r="E3883" s="43"/>
      <c r="F3883" s="48">
        <f t="shared" si="63"/>
        <v>498</v>
      </c>
    </row>
    <row r="3884" spans="1:6" x14ac:dyDescent="0.3">
      <c r="A3884" s="45">
        <v>43105</v>
      </c>
      <c r="B3884" s="5" t="s">
        <v>25</v>
      </c>
      <c r="C3884" s="5" t="s">
        <v>3004</v>
      </c>
      <c r="D3884" s="43">
        <v>100</v>
      </c>
      <c r="E3884" s="43"/>
      <c r="F3884" s="48">
        <f t="shared" si="63"/>
        <v>398</v>
      </c>
    </row>
    <row r="3885" spans="1:6" x14ac:dyDescent="0.3">
      <c r="A3885" s="45">
        <v>43105</v>
      </c>
      <c r="B3885" s="5" t="s">
        <v>25</v>
      </c>
      <c r="C3885" s="5" t="s">
        <v>3038</v>
      </c>
      <c r="D3885" s="43">
        <v>150</v>
      </c>
      <c r="E3885" s="43"/>
      <c r="F3885" s="48">
        <f t="shared" si="63"/>
        <v>248</v>
      </c>
    </row>
    <row r="3886" spans="1:6" x14ac:dyDescent="0.3">
      <c r="A3886" s="45">
        <v>43105</v>
      </c>
      <c r="B3886" s="5" t="s">
        <v>58</v>
      </c>
      <c r="C3886" s="5" t="s">
        <v>3039</v>
      </c>
      <c r="D3886" s="43">
        <v>100</v>
      </c>
      <c r="E3886" s="43"/>
      <c r="F3886" s="48">
        <f t="shared" si="63"/>
        <v>148</v>
      </c>
    </row>
    <row r="3887" spans="1:6" x14ac:dyDescent="0.3">
      <c r="A3887" s="45">
        <v>43106</v>
      </c>
      <c r="B3887" s="5" t="s">
        <v>25</v>
      </c>
      <c r="C3887" s="5" t="s">
        <v>3004</v>
      </c>
      <c r="D3887" s="43">
        <v>100</v>
      </c>
      <c r="E3887" s="43"/>
      <c r="F3887" s="48">
        <f t="shared" si="63"/>
        <v>48</v>
      </c>
    </row>
    <row r="3888" spans="1:6" x14ac:dyDescent="0.3">
      <c r="A3888" s="45">
        <v>43106</v>
      </c>
      <c r="B3888" s="5" t="s">
        <v>25</v>
      </c>
      <c r="C3888" s="5" t="s">
        <v>2901</v>
      </c>
      <c r="D3888" s="43">
        <v>50</v>
      </c>
      <c r="E3888" s="43"/>
      <c r="F3888" s="48">
        <f t="shared" si="63"/>
        <v>-2</v>
      </c>
    </row>
    <row r="3889" spans="1:6" x14ac:dyDescent="0.3">
      <c r="A3889" s="45">
        <v>43106</v>
      </c>
      <c r="B3889" s="756" t="s">
        <v>3046</v>
      </c>
      <c r="C3889" s="756"/>
      <c r="D3889" s="71"/>
      <c r="E3889" s="72">
        <v>25000</v>
      </c>
      <c r="F3889" s="48">
        <f>F3886-D3889+E3889</f>
        <v>25148</v>
      </c>
    </row>
    <row r="3890" spans="1:6" x14ac:dyDescent="0.3">
      <c r="A3890" s="45">
        <v>43106</v>
      </c>
      <c r="B3890" s="5" t="s">
        <v>1837</v>
      </c>
      <c r="C3890" s="5" t="s">
        <v>3047</v>
      </c>
      <c r="D3890" s="65">
        <v>5000</v>
      </c>
      <c r="E3890" s="65"/>
      <c r="F3890" s="48">
        <f t="shared" si="63"/>
        <v>20148</v>
      </c>
    </row>
    <row r="3891" spans="1:6" x14ac:dyDescent="0.3">
      <c r="A3891" s="45">
        <v>43106</v>
      </c>
      <c r="B3891" s="5" t="s">
        <v>2594</v>
      </c>
      <c r="C3891" s="5" t="s">
        <v>3050</v>
      </c>
      <c r="D3891" s="65">
        <v>8870</v>
      </c>
      <c r="E3891" s="65"/>
      <c r="F3891" s="48">
        <f t="shared" si="63"/>
        <v>11278</v>
      </c>
    </row>
    <row r="3892" spans="1:6" x14ac:dyDescent="0.3">
      <c r="A3892" s="45">
        <v>43106</v>
      </c>
      <c r="B3892" s="5" t="s">
        <v>2594</v>
      </c>
      <c r="C3892" s="5" t="s">
        <v>3049</v>
      </c>
      <c r="D3892" s="65">
        <v>1000</v>
      </c>
      <c r="E3892" s="65"/>
      <c r="F3892" s="48">
        <f t="shared" si="63"/>
        <v>10278</v>
      </c>
    </row>
    <row r="3893" spans="1:6" ht="37.5" x14ac:dyDescent="0.3">
      <c r="A3893" s="45">
        <v>43106</v>
      </c>
      <c r="B3893" s="5" t="s">
        <v>25</v>
      </c>
      <c r="C3893" s="92" t="s">
        <v>3048</v>
      </c>
      <c r="D3893" s="43">
        <v>7000</v>
      </c>
      <c r="E3893" s="43"/>
      <c r="F3893" s="48">
        <f t="shared" si="63"/>
        <v>3278</v>
      </c>
    </row>
    <row r="3894" spans="1:6" x14ac:dyDescent="0.3">
      <c r="A3894" s="45">
        <v>43106</v>
      </c>
      <c r="B3894" s="5" t="s">
        <v>58</v>
      </c>
      <c r="C3894" s="5" t="s">
        <v>3040</v>
      </c>
      <c r="D3894" s="43">
        <v>500</v>
      </c>
      <c r="E3894" s="43"/>
      <c r="F3894" s="48">
        <f t="shared" si="63"/>
        <v>2778</v>
      </c>
    </row>
    <row r="3895" spans="1:6" x14ac:dyDescent="0.3">
      <c r="A3895" s="45">
        <v>43103</v>
      </c>
      <c r="B3895" s="5" t="s">
        <v>25</v>
      </c>
      <c r="C3895" s="5" t="s">
        <v>3043</v>
      </c>
      <c r="D3895" s="65">
        <v>800</v>
      </c>
      <c r="E3895" s="65"/>
      <c r="F3895" s="48">
        <f t="shared" si="63"/>
        <v>1978</v>
      </c>
    </row>
    <row r="3896" spans="1:6" x14ac:dyDescent="0.3">
      <c r="A3896" s="45">
        <v>43106</v>
      </c>
      <c r="B3896" s="5" t="s">
        <v>25</v>
      </c>
      <c r="C3896" s="5" t="s">
        <v>3044</v>
      </c>
      <c r="D3896" s="43">
        <v>1700</v>
      </c>
      <c r="E3896" s="43"/>
      <c r="F3896" s="48">
        <f t="shared" si="63"/>
        <v>278</v>
      </c>
    </row>
    <row r="3897" spans="1:6" x14ac:dyDescent="0.3">
      <c r="A3897" s="45">
        <v>43106</v>
      </c>
      <c r="B3897" s="756" t="s">
        <v>94</v>
      </c>
      <c r="C3897" s="756"/>
      <c r="D3897" s="43"/>
      <c r="E3897" s="43">
        <v>21883</v>
      </c>
      <c r="F3897" s="48">
        <f t="shared" si="63"/>
        <v>22161</v>
      </c>
    </row>
    <row r="3898" spans="1:6" x14ac:dyDescent="0.3">
      <c r="A3898" s="45">
        <v>43108</v>
      </c>
      <c r="B3898" s="5" t="s">
        <v>2330</v>
      </c>
      <c r="C3898" s="5" t="s">
        <v>2311</v>
      </c>
      <c r="D3898" s="43">
        <v>3100</v>
      </c>
      <c r="E3898" s="43"/>
      <c r="F3898" s="48">
        <f t="shared" si="63"/>
        <v>19061</v>
      </c>
    </row>
    <row r="3899" spans="1:6" x14ac:dyDescent="0.3">
      <c r="A3899" s="45">
        <v>43108</v>
      </c>
      <c r="B3899" s="5" t="s">
        <v>2594</v>
      </c>
      <c r="C3899" s="5" t="s">
        <v>3052</v>
      </c>
      <c r="D3899" s="43">
        <v>5800</v>
      </c>
      <c r="E3899" s="43"/>
      <c r="F3899" s="48">
        <f t="shared" si="63"/>
        <v>13261</v>
      </c>
    </row>
    <row r="3900" spans="1:6" x14ac:dyDescent="0.3">
      <c r="A3900" s="45">
        <v>43108</v>
      </c>
      <c r="B3900" s="5" t="s">
        <v>1193</v>
      </c>
      <c r="C3900" s="5" t="s">
        <v>3059</v>
      </c>
      <c r="D3900" s="43">
        <v>1500</v>
      </c>
      <c r="E3900" s="43"/>
      <c r="F3900" s="48">
        <f t="shared" si="63"/>
        <v>11761</v>
      </c>
    </row>
    <row r="3901" spans="1:6" x14ac:dyDescent="0.3">
      <c r="A3901" s="45">
        <v>43108</v>
      </c>
      <c r="B3901" s="5" t="s">
        <v>2570</v>
      </c>
      <c r="C3901" s="5" t="s">
        <v>3053</v>
      </c>
      <c r="D3901" s="43">
        <v>1140</v>
      </c>
      <c r="E3901" s="43"/>
      <c r="F3901" s="48">
        <f t="shared" si="63"/>
        <v>10621</v>
      </c>
    </row>
    <row r="3902" spans="1:6" x14ac:dyDescent="0.3">
      <c r="A3902" s="45">
        <v>43108</v>
      </c>
      <c r="B3902" s="5" t="s">
        <v>2155</v>
      </c>
      <c r="C3902" s="5" t="s">
        <v>3051</v>
      </c>
      <c r="D3902" s="43">
        <v>50</v>
      </c>
      <c r="E3902" s="43"/>
      <c r="F3902" s="48">
        <f t="shared" si="63"/>
        <v>10571</v>
      </c>
    </row>
    <row r="3903" spans="1:6" x14ac:dyDescent="0.3">
      <c r="A3903" s="45">
        <v>43108</v>
      </c>
      <c r="B3903" s="5" t="s">
        <v>10</v>
      </c>
      <c r="C3903" s="5" t="s">
        <v>3057</v>
      </c>
      <c r="D3903" s="43">
        <v>50</v>
      </c>
      <c r="E3903" s="43"/>
      <c r="F3903" s="48">
        <f t="shared" si="63"/>
        <v>10521</v>
      </c>
    </row>
    <row r="3904" spans="1:6" x14ac:dyDescent="0.3">
      <c r="A3904" s="45">
        <v>43108</v>
      </c>
      <c r="B3904" s="5" t="s">
        <v>2594</v>
      </c>
      <c r="C3904" s="5" t="s">
        <v>3054</v>
      </c>
      <c r="D3904" s="43">
        <v>5000</v>
      </c>
      <c r="E3904" s="43"/>
      <c r="F3904" s="48">
        <f t="shared" si="63"/>
        <v>5521</v>
      </c>
    </row>
    <row r="3905" spans="1:6" x14ac:dyDescent="0.3">
      <c r="A3905" s="45">
        <v>43108</v>
      </c>
      <c r="B3905" s="5" t="s">
        <v>16</v>
      </c>
      <c r="C3905" s="5" t="s">
        <v>1530</v>
      </c>
      <c r="D3905" s="43">
        <v>2000</v>
      </c>
      <c r="E3905" s="43"/>
      <c r="F3905" s="48">
        <f t="shared" si="63"/>
        <v>3521</v>
      </c>
    </row>
    <row r="3906" spans="1:6" x14ac:dyDescent="0.3">
      <c r="A3906" s="45">
        <v>43108</v>
      </c>
      <c r="B3906" s="5" t="s">
        <v>25</v>
      </c>
      <c r="C3906" s="5" t="s">
        <v>2202</v>
      </c>
      <c r="D3906" s="43">
        <v>410</v>
      </c>
      <c r="E3906" s="43"/>
      <c r="F3906" s="48">
        <f t="shared" si="63"/>
        <v>3111</v>
      </c>
    </row>
    <row r="3907" spans="1:6" x14ac:dyDescent="0.3">
      <c r="A3907" s="45">
        <v>43108</v>
      </c>
      <c r="B3907" s="5" t="s">
        <v>25</v>
      </c>
      <c r="C3907" s="5" t="s">
        <v>939</v>
      </c>
      <c r="D3907" s="43">
        <v>380</v>
      </c>
      <c r="E3907" s="43"/>
      <c r="F3907" s="48">
        <f t="shared" si="63"/>
        <v>2731</v>
      </c>
    </row>
    <row r="3908" spans="1:6" x14ac:dyDescent="0.3">
      <c r="A3908" s="45">
        <v>43108</v>
      </c>
      <c r="B3908" s="5" t="s">
        <v>25</v>
      </c>
      <c r="C3908" s="5" t="s">
        <v>3055</v>
      </c>
      <c r="D3908" s="43">
        <v>100</v>
      </c>
      <c r="E3908" s="43"/>
      <c r="F3908" s="48">
        <f t="shared" si="63"/>
        <v>2631</v>
      </c>
    </row>
    <row r="3909" spans="1:6" x14ac:dyDescent="0.3">
      <c r="A3909" s="45">
        <v>43108</v>
      </c>
      <c r="B3909" s="5" t="s">
        <v>25</v>
      </c>
      <c r="C3909" s="5" t="s">
        <v>3056</v>
      </c>
      <c r="D3909" s="43">
        <v>150</v>
      </c>
      <c r="E3909" s="43"/>
      <c r="F3909" s="48">
        <f t="shared" si="63"/>
        <v>2481</v>
      </c>
    </row>
    <row r="3910" spans="1:6" x14ac:dyDescent="0.3">
      <c r="A3910" s="45">
        <v>43108</v>
      </c>
      <c r="B3910" s="5" t="s">
        <v>25</v>
      </c>
      <c r="C3910" s="5" t="s">
        <v>3004</v>
      </c>
      <c r="D3910" s="43">
        <v>100</v>
      </c>
      <c r="E3910" s="43"/>
      <c r="F3910" s="48">
        <f t="shared" si="63"/>
        <v>2381</v>
      </c>
    </row>
    <row r="3911" spans="1:6" x14ac:dyDescent="0.3">
      <c r="A3911" s="45">
        <v>43109</v>
      </c>
      <c r="B3911" s="5" t="s">
        <v>14</v>
      </c>
      <c r="C3911" s="5" t="s">
        <v>3052</v>
      </c>
      <c r="D3911" s="43">
        <v>250</v>
      </c>
      <c r="E3911" s="43"/>
      <c r="F3911" s="48">
        <f t="shared" si="63"/>
        <v>2131</v>
      </c>
    </row>
    <row r="3912" spans="1:6" x14ac:dyDescent="0.3">
      <c r="A3912" s="45">
        <v>43109</v>
      </c>
      <c r="B3912" s="5" t="s">
        <v>2594</v>
      </c>
      <c r="C3912" s="5" t="s">
        <v>3058</v>
      </c>
      <c r="D3912" s="43">
        <v>1000</v>
      </c>
      <c r="E3912" s="43"/>
      <c r="F3912" s="48">
        <f t="shared" si="63"/>
        <v>1131</v>
      </c>
    </row>
    <row r="3913" spans="1:6" x14ac:dyDescent="0.3">
      <c r="A3913" s="45">
        <v>43109</v>
      </c>
      <c r="B3913" s="5" t="s">
        <v>58</v>
      </c>
      <c r="C3913" s="5" t="s">
        <v>3060</v>
      </c>
      <c r="D3913" s="43">
        <v>50</v>
      </c>
      <c r="E3913" s="43"/>
      <c r="F3913" s="48">
        <f t="shared" si="63"/>
        <v>1081</v>
      </c>
    </row>
    <row r="3914" spans="1:6" x14ac:dyDescent="0.3">
      <c r="A3914" s="45">
        <v>43109</v>
      </c>
      <c r="B3914" s="5" t="s">
        <v>2674</v>
      </c>
      <c r="C3914" s="5" t="s">
        <v>3061</v>
      </c>
      <c r="D3914" s="43">
        <v>100</v>
      </c>
      <c r="E3914" s="43"/>
      <c r="F3914" s="48">
        <f t="shared" si="63"/>
        <v>981</v>
      </c>
    </row>
    <row r="3915" spans="1:6" x14ac:dyDescent="0.3">
      <c r="A3915" s="45">
        <v>43109</v>
      </c>
      <c r="B3915" s="5" t="s">
        <v>25</v>
      </c>
      <c r="C3915" s="5" t="s">
        <v>3035</v>
      </c>
      <c r="D3915" s="43">
        <v>100</v>
      </c>
      <c r="E3915" s="43"/>
      <c r="F3915" s="48">
        <f t="shared" ref="F3915:F3978" si="64">F3914-D3915+E3915</f>
        <v>881</v>
      </c>
    </row>
    <row r="3916" spans="1:6" x14ac:dyDescent="0.3">
      <c r="A3916" s="45">
        <v>43110</v>
      </c>
      <c r="B3916" s="5" t="s">
        <v>25</v>
      </c>
      <c r="C3916" s="5" t="s">
        <v>2659</v>
      </c>
      <c r="D3916" s="43">
        <v>360</v>
      </c>
      <c r="E3916" s="43"/>
      <c r="F3916" s="48">
        <f t="shared" si="64"/>
        <v>521</v>
      </c>
    </row>
    <row r="3917" spans="1:6" x14ac:dyDescent="0.3">
      <c r="A3917" s="45">
        <v>43110</v>
      </c>
      <c r="B3917" s="5" t="s">
        <v>25</v>
      </c>
      <c r="C3917" s="5" t="s">
        <v>3065</v>
      </c>
      <c r="D3917" s="43">
        <v>90</v>
      </c>
      <c r="E3917" s="43"/>
      <c r="F3917" s="48">
        <f t="shared" si="64"/>
        <v>431</v>
      </c>
    </row>
    <row r="3918" spans="1:6" x14ac:dyDescent="0.3">
      <c r="A3918" s="45">
        <v>43111</v>
      </c>
      <c r="B3918" s="756" t="s">
        <v>1981</v>
      </c>
      <c r="C3918" s="756"/>
      <c r="D3918" s="43"/>
      <c r="E3918" s="43">
        <v>20000</v>
      </c>
      <c r="F3918" s="48">
        <f t="shared" si="64"/>
        <v>20431</v>
      </c>
    </row>
    <row r="3919" spans="1:6" x14ac:dyDescent="0.3">
      <c r="A3919" s="45">
        <v>43111</v>
      </c>
      <c r="B3919" s="5" t="s">
        <v>14</v>
      </c>
      <c r="C3919" s="5" t="s">
        <v>1531</v>
      </c>
      <c r="D3919" s="43">
        <v>4000</v>
      </c>
      <c r="E3919" s="43"/>
      <c r="F3919" s="48">
        <f t="shared" si="64"/>
        <v>16431</v>
      </c>
    </row>
    <row r="3920" spans="1:6" x14ac:dyDescent="0.3">
      <c r="A3920" s="45">
        <v>43111</v>
      </c>
      <c r="B3920" s="5" t="s">
        <v>25</v>
      </c>
      <c r="C3920" s="5" t="s">
        <v>3062</v>
      </c>
      <c r="D3920" s="43">
        <v>4000</v>
      </c>
      <c r="E3920" s="43"/>
      <c r="F3920" s="48">
        <f t="shared" si="64"/>
        <v>12431</v>
      </c>
    </row>
    <row r="3921" spans="1:6" x14ac:dyDescent="0.3">
      <c r="A3921" s="45">
        <v>43111</v>
      </c>
      <c r="B3921" s="5" t="s">
        <v>25</v>
      </c>
      <c r="C3921" s="5" t="s">
        <v>3063</v>
      </c>
      <c r="D3921" s="43">
        <v>7500</v>
      </c>
      <c r="E3921" s="43"/>
      <c r="F3921" s="48">
        <f t="shared" si="64"/>
        <v>4931</v>
      </c>
    </row>
    <row r="3922" spans="1:6" x14ac:dyDescent="0.3">
      <c r="A3922" s="45">
        <v>43111</v>
      </c>
      <c r="B3922" s="5" t="s">
        <v>25</v>
      </c>
      <c r="C3922" s="5" t="s">
        <v>3035</v>
      </c>
      <c r="D3922" s="43">
        <v>100</v>
      </c>
      <c r="E3922" s="43"/>
      <c r="F3922" s="48">
        <f t="shared" si="64"/>
        <v>4831</v>
      </c>
    </row>
    <row r="3923" spans="1:6" x14ac:dyDescent="0.3">
      <c r="A3923" s="45">
        <v>43111</v>
      </c>
      <c r="B3923" s="5" t="s">
        <v>2594</v>
      </c>
      <c r="C3923" s="5" t="s">
        <v>3052</v>
      </c>
      <c r="D3923" s="43">
        <v>1000</v>
      </c>
      <c r="E3923" s="43"/>
      <c r="F3923" s="48">
        <f t="shared" si="64"/>
        <v>3831</v>
      </c>
    </row>
    <row r="3924" spans="1:6" x14ac:dyDescent="0.3">
      <c r="A3924" s="45">
        <v>43111</v>
      </c>
      <c r="B3924" s="61" t="s">
        <v>58</v>
      </c>
      <c r="C3924" s="61" t="s">
        <v>438</v>
      </c>
      <c r="D3924" s="62">
        <v>500</v>
      </c>
      <c r="E3924" s="43"/>
      <c r="F3924" s="48">
        <f t="shared" si="64"/>
        <v>3331</v>
      </c>
    </row>
    <row r="3925" spans="1:6" x14ac:dyDescent="0.3">
      <c r="A3925" s="45">
        <v>43111</v>
      </c>
      <c r="B3925" s="5" t="s">
        <v>1837</v>
      </c>
      <c r="C3925" s="5" t="s">
        <v>3066</v>
      </c>
      <c r="D3925" s="43">
        <v>600</v>
      </c>
      <c r="E3925" s="43"/>
      <c r="F3925" s="48">
        <f t="shared" si="64"/>
        <v>2731</v>
      </c>
    </row>
    <row r="3926" spans="1:6" x14ac:dyDescent="0.3">
      <c r="A3926" s="45">
        <v>43111</v>
      </c>
      <c r="B3926" s="5" t="s">
        <v>247</v>
      </c>
      <c r="C3926" s="5" t="s">
        <v>3071</v>
      </c>
      <c r="D3926" s="43">
        <v>915</v>
      </c>
      <c r="E3926" s="43"/>
      <c r="F3926" s="48">
        <f t="shared" si="64"/>
        <v>1816</v>
      </c>
    </row>
    <row r="3927" spans="1:6" x14ac:dyDescent="0.3">
      <c r="A3927" s="45">
        <v>43111</v>
      </c>
      <c r="B3927" s="5" t="s">
        <v>247</v>
      </c>
      <c r="C3927" s="5" t="s">
        <v>3072</v>
      </c>
      <c r="D3927" s="43">
        <v>70</v>
      </c>
      <c r="E3927" s="43"/>
      <c r="F3927" s="48">
        <f t="shared" si="64"/>
        <v>1746</v>
      </c>
    </row>
    <row r="3928" spans="1:6" x14ac:dyDescent="0.3">
      <c r="A3928" s="45">
        <v>43111</v>
      </c>
      <c r="B3928" s="5" t="s">
        <v>25</v>
      </c>
      <c r="C3928" s="5" t="s">
        <v>1829</v>
      </c>
      <c r="D3928" s="43">
        <v>70</v>
      </c>
      <c r="E3928" s="43"/>
      <c r="F3928" s="48">
        <f t="shared" si="64"/>
        <v>1676</v>
      </c>
    </row>
    <row r="3929" spans="1:6" x14ac:dyDescent="0.3">
      <c r="A3929" s="45">
        <v>43111</v>
      </c>
      <c r="B3929" s="5" t="s">
        <v>25</v>
      </c>
      <c r="C3929" s="5" t="s">
        <v>3079</v>
      </c>
      <c r="D3929" s="43">
        <v>120</v>
      </c>
      <c r="E3929" s="43"/>
      <c r="F3929" s="48">
        <f t="shared" si="64"/>
        <v>1556</v>
      </c>
    </row>
    <row r="3930" spans="1:6" x14ac:dyDescent="0.3">
      <c r="A3930" s="45">
        <v>43112</v>
      </c>
      <c r="B3930" s="5" t="s">
        <v>25</v>
      </c>
      <c r="C3930" s="5" t="s">
        <v>3080</v>
      </c>
      <c r="D3930" s="43">
        <v>260</v>
      </c>
      <c r="E3930" s="43"/>
      <c r="F3930" s="48">
        <f t="shared" si="64"/>
        <v>1296</v>
      </c>
    </row>
    <row r="3931" spans="1:6" x14ac:dyDescent="0.3">
      <c r="A3931" s="45">
        <v>43112</v>
      </c>
      <c r="B3931" s="5" t="s">
        <v>25</v>
      </c>
      <c r="C3931" s="5" t="s">
        <v>2659</v>
      </c>
      <c r="D3931" s="43">
        <v>360</v>
      </c>
      <c r="E3931" s="43"/>
      <c r="F3931" s="48">
        <f t="shared" si="64"/>
        <v>936</v>
      </c>
    </row>
    <row r="3932" spans="1:6" x14ac:dyDescent="0.3">
      <c r="A3932" s="45">
        <v>43112</v>
      </c>
      <c r="B3932" s="756" t="s">
        <v>3084</v>
      </c>
      <c r="C3932" s="756"/>
      <c r="D3932" s="43"/>
      <c r="E3932" s="43">
        <v>100000</v>
      </c>
      <c r="F3932" s="48">
        <f t="shared" si="64"/>
        <v>100936</v>
      </c>
    </row>
    <row r="3933" spans="1:6" x14ac:dyDescent="0.3">
      <c r="A3933" s="45">
        <v>43112</v>
      </c>
      <c r="B3933" s="5" t="s">
        <v>16</v>
      </c>
      <c r="C3933" s="5" t="s">
        <v>1049</v>
      </c>
      <c r="D3933" s="43">
        <v>5000</v>
      </c>
      <c r="E3933" s="43"/>
      <c r="F3933" s="48">
        <f t="shared" si="64"/>
        <v>95936</v>
      </c>
    </row>
    <row r="3934" spans="1:6" x14ac:dyDescent="0.3">
      <c r="A3934" s="45">
        <v>43112</v>
      </c>
      <c r="B3934" s="5" t="s">
        <v>16</v>
      </c>
      <c r="C3934" s="5" t="s">
        <v>3067</v>
      </c>
      <c r="D3934" s="43">
        <v>20000</v>
      </c>
      <c r="E3934" s="43"/>
      <c r="F3934" s="48">
        <f t="shared" si="64"/>
        <v>75936</v>
      </c>
    </row>
    <row r="3935" spans="1:6" x14ac:dyDescent="0.3">
      <c r="A3935" s="45">
        <v>43112</v>
      </c>
      <c r="B3935" s="5" t="s">
        <v>117</v>
      </c>
      <c r="C3935" s="5" t="s">
        <v>3068</v>
      </c>
      <c r="D3935" s="43">
        <v>25000</v>
      </c>
      <c r="E3935" s="43"/>
      <c r="F3935" s="48">
        <f t="shared" si="64"/>
        <v>50936</v>
      </c>
    </row>
    <row r="3936" spans="1:6" x14ac:dyDescent="0.3">
      <c r="A3936" s="45">
        <v>43112</v>
      </c>
      <c r="B3936" s="5" t="s">
        <v>28</v>
      </c>
      <c r="C3936" s="5" t="s">
        <v>3069</v>
      </c>
      <c r="D3936" s="43">
        <v>5000</v>
      </c>
      <c r="E3936" s="43"/>
      <c r="F3936" s="48">
        <f t="shared" si="64"/>
        <v>45936</v>
      </c>
    </row>
    <row r="3937" spans="1:10" x14ac:dyDescent="0.3">
      <c r="A3937" s="45">
        <v>43112</v>
      </c>
      <c r="B3937" s="5" t="s">
        <v>93</v>
      </c>
      <c r="C3937" s="5" t="s">
        <v>3064</v>
      </c>
      <c r="D3937" s="43">
        <v>5000</v>
      </c>
      <c r="E3937" s="43"/>
      <c r="F3937" s="48">
        <f t="shared" si="64"/>
        <v>40936</v>
      </c>
    </row>
    <row r="3938" spans="1:10" ht="37.5" x14ac:dyDescent="0.3">
      <c r="A3938" s="45">
        <v>43113</v>
      </c>
      <c r="B3938" s="44" t="s">
        <v>2594</v>
      </c>
      <c r="C3938" s="124" t="s">
        <v>3070</v>
      </c>
      <c r="D3938" s="28">
        <v>30000</v>
      </c>
      <c r="E3938" s="28"/>
      <c r="F3938" s="48">
        <f t="shared" si="64"/>
        <v>10936</v>
      </c>
    </row>
    <row r="3939" spans="1:10" x14ac:dyDescent="0.3">
      <c r="A3939" s="45">
        <v>43113</v>
      </c>
      <c r="B3939" s="5" t="s">
        <v>84</v>
      </c>
      <c r="C3939" s="5" t="s">
        <v>3073</v>
      </c>
      <c r="D3939" s="43">
        <v>1000</v>
      </c>
      <c r="E3939" s="43"/>
      <c r="F3939" s="48">
        <f t="shared" si="64"/>
        <v>9936</v>
      </c>
    </row>
    <row r="3940" spans="1:10" x14ac:dyDescent="0.3">
      <c r="A3940" s="45">
        <v>43113</v>
      </c>
      <c r="B3940" s="5" t="s">
        <v>84</v>
      </c>
      <c r="C3940" s="5" t="s">
        <v>3074</v>
      </c>
      <c r="D3940" s="43">
        <v>2000</v>
      </c>
      <c r="E3940" s="43"/>
      <c r="F3940" s="48">
        <f t="shared" si="64"/>
        <v>7936</v>
      </c>
    </row>
    <row r="3941" spans="1:10" x14ac:dyDescent="0.3">
      <c r="A3941" s="45">
        <v>43113</v>
      </c>
      <c r="B3941" s="5" t="s">
        <v>14</v>
      </c>
      <c r="C3941" s="5" t="s">
        <v>3075</v>
      </c>
      <c r="D3941" s="43">
        <v>5000</v>
      </c>
      <c r="E3941" s="43"/>
      <c r="F3941" s="48">
        <f t="shared" si="64"/>
        <v>2936</v>
      </c>
    </row>
    <row r="3942" spans="1:10" x14ac:dyDescent="0.3">
      <c r="A3942" s="45">
        <v>43113</v>
      </c>
      <c r="B3942" s="756" t="s">
        <v>3076</v>
      </c>
      <c r="C3942" s="756"/>
      <c r="D3942" s="43"/>
      <c r="E3942" s="43">
        <v>18150</v>
      </c>
      <c r="F3942" s="48">
        <f t="shared" si="64"/>
        <v>21086</v>
      </c>
    </row>
    <row r="3943" spans="1:10" x14ac:dyDescent="0.3">
      <c r="A3943" s="45">
        <v>43113</v>
      </c>
      <c r="B3943" s="5" t="s">
        <v>3077</v>
      </c>
      <c r="C3943" s="5" t="s">
        <v>3078</v>
      </c>
      <c r="D3943" s="43">
        <v>20000</v>
      </c>
      <c r="E3943" s="43"/>
      <c r="F3943" s="48">
        <f t="shared" si="64"/>
        <v>1086</v>
      </c>
    </row>
    <row r="3944" spans="1:10" x14ac:dyDescent="0.3">
      <c r="A3944" s="45">
        <v>43115</v>
      </c>
      <c r="B3944" s="5" t="s">
        <v>1837</v>
      </c>
      <c r="C3944" s="5" t="s">
        <v>3082</v>
      </c>
      <c r="D3944" s="43">
        <v>1000</v>
      </c>
      <c r="E3944" s="43"/>
      <c r="F3944" s="48">
        <f t="shared" si="64"/>
        <v>86</v>
      </c>
    </row>
    <row r="3945" spans="1:10" x14ac:dyDescent="0.3">
      <c r="A3945" s="45">
        <v>43115</v>
      </c>
      <c r="B3945" s="5" t="s">
        <v>247</v>
      </c>
      <c r="C3945" s="5" t="s">
        <v>3081</v>
      </c>
      <c r="D3945" s="43">
        <v>70</v>
      </c>
      <c r="E3945" s="43"/>
      <c r="F3945" s="48">
        <f t="shared" si="64"/>
        <v>16</v>
      </c>
    </row>
    <row r="3946" spans="1:10" x14ac:dyDescent="0.3">
      <c r="A3946" s="45">
        <v>43115</v>
      </c>
      <c r="B3946" s="756" t="s">
        <v>3084</v>
      </c>
      <c r="C3946" s="756"/>
      <c r="D3946" s="43"/>
      <c r="E3946" s="43">
        <v>100000</v>
      </c>
      <c r="F3946" s="48">
        <f t="shared" si="64"/>
        <v>100016</v>
      </c>
    </row>
    <row r="3947" spans="1:10" x14ac:dyDescent="0.3">
      <c r="A3947" s="171">
        <v>43115</v>
      </c>
      <c r="B3947" s="172" t="s">
        <v>14</v>
      </c>
      <c r="C3947" s="172" t="s">
        <v>3085</v>
      </c>
      <c r="D3947" s="65">
        <v>42500</v>
      </c>
      <c r="E3947" s="65"/>
      <c r="F3947" s="48">
        <f t="shared" si="64"/>
        <v>57516</v>
      </c>
      <c r="G3947" s="102"/>
      <c r="H3947" s="102"/>
      <c r="I3947" s="102"/>
      <c r="J3947" s="102"/>
    </row>
    <row r="3948" spans="1:10" x14ac:dyDescent="0.3">
      <c r="A3948" s="171">
        <v>43115</v>
      </c>
      <c r="B3948" s="172" t="s">
        <v>25</v>
      </c>
      <c r="C3948" s="172" t="s">
        <v>3088</v>
      </c>
      <c r="D3948" s="65">
        <v>70</v>
      </c>
      <c r="E3948" s="65"/>
      <c r="F3948" s="48">
        <f t="shared" si="64"/>
        <v>57446</v>
      </c>
      <c r="G3948" s="102"/>
      <c r="H3948" s="102"/>
      <c r="I3948" s="102"/>
      <c r="J3948" s="102"/>
    </row>
    <row r="3949" spans="1:10" x14ac:dyDescent="0.3">
      <c r="A3949" s="171">
        <v>43115</v>
      </c>
      <c r="B3949" s="172" t="s">
        <v>25</v>
      </c>
      <c r="C3949" s="172" t="s">
        <v>3089</v>
      </c>
      <c r="D3949" s="65">
        <v>25</v>
      </c>
      <c r="E3949" s="65"/>
      <c r="F3949" s="48">
        <f t="shared" si="64"/>
        <v>57421</v>
      </c>
      <c r="G3949" s="102"/>
      <c r="H3949" s="102"/>
      <c r="I3949" s="102"/>
      <c r="J3949" s="102"/>
    </row>
    <row r="3950" spans="1:10" x14ac:dyDescent="0.3">
      <c r="A3950" s="171">
        <v>43115</v>
      </c>
      <c r="B3950" s="172" t="s">
        <v>25</v>
      </c>
      <c r="C3950" s="172" t="s">
        <v>3090</v>
      </c>
      <c r="D3950" s="65">
        <v>50</v>
      </c>
      <c r="E3950" s="65"/>
      <c r="F3950" s="48">
        <f t="shared" si="64"/>
        <v>57371</v>
      </c>
      <c r="G3950" s="102"/>
      <c r="H3950" s="102"/>
      <c r="I3950" s="102"/>
      <c r="J3950" s="102"/>
    </row>
    <row r="3951" spans="1:10" x14ac:dyDescent="0.3">
      <c r="A3951" s="171">
        <v>43115</v>
      </c>
      <c r="B3951" s="172" t="s">
        <v>25</v>
      </c>
      <c r="C3951" s="172" t="s">
        <v>939</v>
      </c>
      <c r="D3951" s="65">
        <v>380</v>
      </c>
      <c r="E3951" s="65"/>
      <c r="F3951" s="48">
        <f t="shared" si="64"/>
        <v>56991</v>
      </c>
      <c r="G3951" s="102"/>
      <c r="H3951" s="102"/>
      <c r="I3951" s="102"/>
      <c r="J3951" s="102"/>
    </row>
    <row r="3952" spans="1:10" x14ac:dyDescent="0.3">
      <c r="A3952" s="171">
        <v>43115</v>
      </c>
      <c r="B3952" s="5" t="s">
        <v>60</v>
      </c>
      <c r="C3952" s="5" t="s">
        <v>3083</v>
      </c>
      <c r="D3952" s="43">
        <v>8000</v>
      </c>
      <c r="E3952" s="43"/>
      <c r="F3952" s="48">
        <f t="shared" si="64"/>
        <v>48991</v>
      </c>
    </row>
    <row r="3953" spans="1:6" x14ac:dyDescent="0.3">
      <c r="A3953" s="171">
        <v>43115</v>
      </c>
      <c r="B3953" s="5" t="s">
        <v>2096</v>
      </c>
      <c r="C3953" s="5" t="s">
        <v>3086</v>
      </c>
      <c r="D3953" s="43">
        <v>45000</v>
      </c>
      <c r="E3953" s="43"/>
      <c r="F3953" s="48">
        <f t="shared" si="64"/>
        <v>3991</v>
      </c>
    </row>
    <row r="3954" spans="1:6" x14ac:dyDescent="0.3">
      <c r="A3954" s="171">
        <v>43115</v>
      </c>
      <c r="B3954" s="5" t="s">
        <v>84</v>
      </c>
      <c r="C3954" s="5" t="s">
        <v>3087</v>
      </c>
      <c r="D3954" s="43">
        <v>4000</v>
      </c>
      <c r="E3954" s="43"/>
      <c r="F3954" s="48">
        <f t="shared" si="64"/>
        <v>-9</v>
      </c>
    </row>
    <row r="3955" spans="1:6" x14ac:dyDescent="0.3">
      <c r="A3955" s="171">
        <v>43116</v>
      </c>
      <c r="B3955" s="756" t="s">
        <v>2665</v>
      </c>
      <c r="C3955" s="756"/>
      <c r="D3955" s="71"/>
      <c r="E3955" s="72">
        <v>50000</v>
      </c>
      <c r="F3955" s="48">
        <v>50000</v>
      </c>
    </row>
    <row r="3956" spans="1:6" x14ac:dyDescent="0.3">
      <c r="A3956" s="171">
        <v>43116</v>
      </c>
      <c r="B3956" s="5" t="s">
        <v>14</v>
      </c>
      <c r="C3956" s="5" t="s">
        <v>640</v>
      </c>
      <c r="D3956" s="43">
        <v>1000</v>
      </c>
      <c r="E3956" s="43"/>
      <c r="F3956" s="48">
        <f t="shared" si="64"/>
        <v>49000</v>
      </c>
    </row>
    <row r="3957" spans="1:6" x14ac:dyDescent="0.3">
      <c r="A3957" s="171">
        <v>43116</v>
      </c>
      <c r="B3957" s="5" t="s">
        <v>58</v>
      </c>
      <c r="C3957" s="5" t="s">
        <v>3091</v>
      </c>
      <c r="D3957" s="43">
        <v>4800</v>
      </c>
      <c r="E3957" s="43"/>
      <c r="F3957" s="48">
        <f t="shared" si="64"/>
        <v>44200</v>
      </c>
    </row>
    <row r="3958" spans="1:6" x14ac:dyDescent="0.3">
      <c r="A3958" s="171">
        <v>43116</v>
      </c>
      <c r="B3958" s="5" t="s">
        <v>2086</v>
      </c>
      <c r="C3958" s="5" t="s">
        <v>3092</v>
      </c>
      <c r="D3958" s="43">
        <v>1610</v>
      </c>
      <c r="E3958" s="43"/>
      <c r="F3958" s="48">
        <f t="shared" si="64"/>
        <v>42590</v>
      </c>
    </row>
    <row r="3959" spans="1:6" x14ac:dyDescent="0.3">
      <c r="A3959" s="171">
        <v>43116</v>
      </c>
      <c r="B3959" s="5" t="s">
        <v>25</v>
      </c>
      <c r="C3959" s="5" t="s">
        <v>1829</v>
      </c>
      <c r="D3959" s="43">
        <v>60</v>
      </c>
      <c r="E3959" s="43"/>
      <c r="F3959" s="48">
        <f t="shared" si="64"/>
        <v>42530</v>
      </c>
    </row>
    <row r="3960" spans="1:6" x14ac:dyDescent="0.3">
      <c r="A3960" s="171">
        <v>43116</v>
      </c>
      <c r="B3960" s="5" t="s">
        <v>25</v>
      </c>
      <c r="C3960" s="5" t="s">
        <v>3098</v>
      </c>
      <c r="D3960" s="43">
        <v>40</v>
      </c>
      <c r="E3960" s="43"/>
      <c r="F3960" s="48">
        <f t="shared" si="64"/>
        <v>42490</v>
      </c>
    </row>
    <row r="3961" spans="1:6" x14ac:dyDescent="0.3">
      <c r="A3961" s="171">
        <v>43116</v>
      </c>
      <c r="B3961" s="5" t="s">
        <v>25</v>
      </c>
      <c r="C3961" s="5" t="s">
        <v>3097</v>
      </c>
      <c r="D3961" s="43">
        <v>120</v>
      </c>
      <c r="E3961" s="43"/>
      <c r="F3961" s="48">
        <f t="shared" si="64"/>
        <v>42370</v>
      </c>
    </row>
    <row r="3962" spans="1:6" x14ac:dyDescent="0.3">
      <c r="A3962" s="171">
        <v>43116</v>
      </c>
      <c r="B3962" s="5" t="s">
        <v>25</v>
      </c>
      <c r="C3962" s="5" t="s">
        <v>3100</v>
      </c>
      <c r="D3962" s="43">
        <v>140</v>
      </c>
      <c r="E3962" s="43"/>
      <c r="F3962" s="48">
        <f t="shared" si="64"/>
        <v>42230</v>
      </c>
    </row>
    <row r="3963" spans="1:6" x14ac:dyDescent="0.3">
      <c r="A3963" s="171">
        <v>43116</v>
      </c>
      <c r="B3963" s="5" t="s">
        <v>58</v>
      </c>
      <c r="C3963" s="5" t="s">
        <v>3093</v>
      </c>
      <c r="D3963" s="43">
        <v>5000</v>
      </c>
      <c r="E3963" s="43"/>
      <c r="F3963" s="48">
        <f t="shared" si="64"/>
        <v>37230</v>
      </c>
    </row>
    <row r="3964" spans="1:6" x14ac:dyDescent="0.3">
      <c r="A3964" s="171">
        <v>43116</v>
      </c>
      <c r="B3964" s="5" t="s">
        <v>1193</v>
      </c>
      <c r="C3964" s="5" t="s">
        <v>3094</v>
      </c>
      <c r="D3964" s="43">
        <v>2400</v>
      </c>
      <c r="E3964" s="43"/>
      <c r="F3964" s="48">
        <f t="shared" si="64"/>
        <v>34830</v>
      </c>
    </row>
    <row r="3965" spans="1:6" x14ac:dyDescent="0.3">
      <c r="A3965" s="171">
        <v>43116</v>
      </c>
      <c r="B3965" s="5" t="s">
        <v>2086</v>
      </c>
      <c r="C3965" s="5" t="s">
        <v>3096</v>
      </c>
      <c r="D3965" s="65">
        <v>12000</v>
      </c>
      <c r="E3965" s="43"/>
      <c r="F3965" s="48">
        <f t="shared" si="64"/>
        <v>22830</v>
      </c>
    </row>
    <row r="3966" spans="1:6" x14ac:dyDescent="0.3">
      <c r="A3966" s="171">
        <v>43117</v>
      </c>
      <c r="B3966" s="5" t="s">
        <v>25</v>
      </c>
      <c r="C3966" s="5" t="s">
        <v>2659</v>
      </c>
      <c r="D3966" s="43">
        <v>360</v>
      </c>
      <c r="E3966" s="43"/>
      <c r="F3966" s="48">
        <f t="shared" si="64"/>
        <v>22470</v>
      </c>
    </row>
    <row r="3967" spans="1:6" x14ac:dyDescent="0.3">
      <c r="A3967" s="171">
        <v>43117</v>
      </c>
      <c r="B3967" s="5" t="s">
        <v>25</v>
      </c>
      <c r="C3967" s="5" t="s">
        <v>1461</v>
      </c>
      <c r="D3967" s="43">
        <v>180</v>
      </c>
      <c r="E3967" s="43"/>
      <c r="F3967" s="48">
        <f t="shared" si="64"/>
        <v>22290</v>
      </c>
    </row>
    <row r="3968" spans="1:6" x14ac:dyDescent="0.3">
      <c r="A3968" s="171">
        <v>43117</v>
      </c>
      <c r="B3968" s="5" t="s">
        <v>2086</v>
      </c>
      <c r="C3968" s="5" t="s">
        <v>3099</v>
      </c>
      <c r="D3968" s="43">
        <v>150</v>
      </c>
      <c r="E3968" s="43"/>
      <c r="F3968" s="48">
        <f t="shared" si="64"/>
        <v>22140</v>
      </c>
    </row>
    <row r="3969" spans="1:6" x14ac:dyDescent="0.3">
      <c r="A3969" s="171">
        <v>43117</v>
      </c>
      <c r="B3969" s="5" t="s">
        <v>86</v>
      </c>
      <c r="C3969" s="5" t="s">
        <v>3102</v>
      </c>
      <c r="D3969" s="43">
        <v>15000</v>
      </c>
      <c r="E3969" s="43"/>
      <c r="F3969" s="48">
        <f t="shared" si="64"/>
        <v>7140</v>
      </c>
    </row>
    <row r="3970" spans="1:6" x14ac:dyDescent="0.3">
      <c r="A3970" s="171">
        <v>43117</v>
      </c>
      <c r="B3970" s="756" t="s">
        <v>3101</v>
      </c>
      <c r="C3970" s="756"/>
      <c r="D3970" s="64"/>
      <c r="E3970" s="72">
        <v>500</v>
      </c>
      <c r="F3970" s="48">
        <f t="shared" si="64"/>
        <v>7640</v>
      </c>
    </row>
    <row r="3971" spans="1:6" x14ac:dyDescent="0.3">
      <c r="A3971" s="171">
        <v>43117</v>
      </c>
      <c r="B3971" s="5" t="s">
        <v>2594</v>
      </c>
      <c r="C3971" s="5" t="s">
        <v>3095</v>
      </c>
      <c r="D3971" s="43">
        <v>7500</v>
      </c>
      <c r="E3971" s="43"/>
      <c r="F3971" s="48">
        <f t="shared" si="64"/>
        <v>140</v>
      </c>
    </row>
    <row r="3972" spans="1:6" x14ac:dyDescent="0.3">
      <c r="A3972" s="171">
        <v>43118</v>
      </c>
      <c r="B3972" s="756" t="s">
        <v>2665</v>
      </c>
      <c r="C3972" s="756"/>
      <c r="D3972" s="71"/>
      <c r="E3972" s="72">
        <v>50000</v>
      </c>
      <c r="F3972" s="48">
        <f t="shared" si="64"/>
        <v>50140</v>
      </c>
    </row>
    <row r="3973" spans="1:6" x14ac:dyDescent="0.3">
      <c r="A3973" s="171">
        <v>43118</v>
      </c>
      <c r="B3973" s="5" t="s">
        <v>1316</v>
      </c>
      <c r="C3973" s="5" t="s">
        <v>3114</v>
      </c>
      <c r="D3973" s="43">
        <v>15000</v>
      </c>
      <c r="E3973" s="43"/>
      <c r="F3973" s="48">
        <f t="shared" si="64"/>
        <v>35140</v>
      </c>
    </row>
    <row r="3974" spans="1:6" x14ac:dyDescent="0.3">
      <c r="A3974" s="171">
        <v>43118</v>
      </c>
      <c r="B3974" s="756" t="s">
        <v>3103</v>
      </c>
      <c r="C3974" s="756"/>
      <c r="D3974" s="64"/>
      <c r="E3974" s="72">
        <v>600</v>
      </c>
      <c r="F3974" s="48">
        <f t="shared" si="64"/>
        <v>35740</v>
      </c>
    </row>
    <row r="3975" spans="1:6" x14ac:dyDescent="0.3">
      <c r="A3975" s="171">
        <v>43118</v>
      </c>
      <c r="B3975" s="5" t="s">
        <v>84</v>
      </c>
      <c r="C3975" s="5" t="s">
        <v>3104</v>
      </c>
      <c r="D3975" s="43">
        <v>1000</v>
      </c>
      <c r="E3975" s="43"/>
      <c r="F3975" s="48">
        <f t="shared" si="64"/>
        <v>34740</v>
      </c>
    </row>
    <row r="3976" spans="1:6" x14ac:dyDescent="0.3">
      <c r="A3976" s="171">
        <v>43118</v>
      </c>
      <c r="B3976" s="5" t="s">
        <v>54</v>
      </c>
      <c r="C3976" s="5" t="s">
        <v>3105</v>
      </c>
      <c r="D3976" s="43">
        <v>7800</v>
      </c>
      <c r="E3976" s="43"/>
      <c r="F3976" s="48">
        <f t="shared" si="64"/>
        <v>26940</v>
      </c>
    </row>
    <row r="3977" spans="1:6" x14ac:dyDescent="0.3">
      <c r="A3977" s="171">
        <v>43118</v>
      </c>
      <c r="B3977" s="5" t="s">
        <v>86</v>
      </c>
      <c r="C3977" s="5" t="s">
        <v>3106</v>
      </c>
      <c r="D3977" s="43">
        <v>7000</v>
      </c>
      <c r="E3977" s="43"/>
      <c r="F3977" s="48">
        <f t="shared" si="64"/>
        <v>19940</v>
      </c>
    </row>
    <row r="3978" spans="1:6" x14ac:dyDescent="0.3">
      <c r="A3978" s="171">
        <v>43118</v>
      </c>
      <c r="B3978" s="5" t="s">
        <v>60</v>
      </c>
      <c r="C3978" s="5" t="s">
        <v>3107</v>
      </c>
      <c r="D3978" s="43">
        <v>1620</v>
      </c>
      <c r="E3978" s="43"/>
      <c r="F3978" s="48">
        <f t="shared" si="64"/>
        <v>18320</v>
      </c>
    </row>
    <row r="3979" spans="1:6" ht="37.5" x14ac:dyDescent="0.3">
      <c r="A3979" s="171">
        <v>43118</v>
      </c>
      <c r="B3979" s="5" t="s">
        <v>60</v>
      </c>
      <c r="C3979" s="92" t="s">
        <v>3108</v>
      </c>
      <c r="D3979" s="43">
        <v>1000</v>
      </c>
      <c r="E3979" s="43"/>
      <c r="F3979" s="48">
        <f t="shared" ref="F3979:F4042" si="65">F3978-D3979+E3979</f>
        <v>17320</v>
      </c>
    </row>
    <row r="3980" spans="1:6" x14ac:dyDescent="0.3">
      <c r="A3980" s="171">
        <v>43118</v>
      </c>
      <c r="B3980" s="5" t="s">
        <v>1410</v>
      </c>
      <c r="C3980" s="5" t="s">
        <v>3109</v>
      </c>
      <c r="D3980" s="43">
        <v>4000</v>
      </c>
      <c r="E3980" s="43"/>
      <c r="F3980" s="48">
        <f t="shared" si="65"/>
        <v>13320</v>
      </c>
    </row>
    <row r="3981" spans="1:6" x14ac:dyDescent="0.3">
      <c r="A3981" s="171">
        <v>43118</v>
      </c>
      <c r="B3981" s="5" t="s">
        <v>16</v>
      </c>
      <c r="C3981" s="5" t="s">
        <v>31</v>
      </c>
      <c r="D3981" s="43">
        <v>1700</v>
      </c>
      <c r="E3981" s="43"/>
      <c r="F3981" s="48">
        <f t="shared" si="65"/>
        <v>11620</v>
      </c>
    </row>
    <row r="3982" spans="1:6" x14ac:dyDescent="0.3">
      <c r="A3982" s="171">
        <v>43118</v>
      </c>
      <c r="B3982" s="5" t="s">
        <v>247</v>
      </c>
      <c r="C3982" s="5" t="s">
        <v>3110</v>
      </c>
      <c r="D3982" s="43">
        <v>80</v>
      </c>
      <c r="E3982" s="43"/>
      <c r="F3982" s="48">
        <f t="shared" si="65"/>
        <v>11540</v>
      </c>
    </row>
    <row r="3983" spans="1:6" x14ac:dyDescent="0.3">
      <c r="A3983" s="171">
        <v>43119</v>
      </c>
      <c r="B3983" s="5" t="s">
        <v>84</v>
      </c>
      <c r="C3983" s="5" t="s">
        <v>3111</v>
      </c>
      <c r="D3983" s="43">
        <v>2000</v>
      </c>
      <c r="E3983" s="43"/>
      <c r="F3983" s="48">
        <f t="shared" si="65"/>
        <v>9540</v>
      </c>
    </row>
    <row r="3984" spans="1:6" x14ac:dyDescent="0.3">
      <c r="A3984" s="171">
        <v>43119</v>
      </c>
      <c r="B3984" s="5" t="s">
        <v>1837</v>
      </c>
      <c r="C3984" s="5" t="s">
        <v>3112</v>
      </c>
      <c r="D3984" s="43">
        <v>1000</v>
      </c>
      <c r="E3984" s="43"/>
      <c r="F3984" s="48">
        <f t="shared" si="65"/>
        <v>8540</v>
      </c>
    </row>
    <row r="3985" spans="1:6" x14ac:dyDescent="0.3">
      <c r="A3985" s="171">
        <v>43119</v>
      </c>
      <c r="B3985" s="61" t="s">
        <v>1837</v>
      </c>
      <c r="C3985" s="61" t="s">
        <v>3113</v>
      </c>
      <c r="D3985" s="62">
        <v>1500</v>
      </c>
      <c r="E3985" s="43"/>
      <c r="F3985" s="48">
        <f t="shared" si="65"/>
        <v>7040</v>
      </c>
    </row>
    <row r="3986" spans="1:6" x14ac:dyDescent="0.3">
      <c r="A3986" s="171">
        <v>43119</v>
      </c>
      <c r="B3986" s="5" t="s">
        <v>2330</v>
      </c>
      <c r="C3986" s="5" t="s">
        <v>3115</v>
      </c>
      <c r="D3986" s="43">
        <v>4050</v>
      </c>
      <c r="E3986" s="43"/>
      <c r="F3986" s="48">
        <f t="shared" si="65"/>
        <v>2990</v>
      </c>
    </row>
    <row r="3987" spans="1:6" x14ac:dyDescent="0.3">
      <c r="A3987" s="171">
        <v>43119</v>
      </c>
      <c r="B3987" s="5" t="s">
        <v>25</v>
      </c>
      <c r="C3987" s="5" t="s">
        <v>3116</v>
      </c>
      <c r="D3987" s="43">
        <v>370</v>
      </c>
      <c r="E3987" s="43"/>
      <c r="F3987" s="48">
        <f t="shared" si="65"/>
        <v>2620</v>
      </c>
    </row>
    <row r="3988" spans="1:6" x14ac:dyDescent="0.3">
      <c r="A3988" s="171">
        <v>43119</v>
      </c>
      <c r="B3988" s="5" t="s">
        <v>25</v>
      </c>
      <c r="C3988" s="5" t="s">
        <v>1829</v>
      </c>
      <c r="D3988" s="43">
        <v>60</v>
      </c>
      <c r="E3988" s="43"/>
      <c r="F3988" s="48">
        <f t="shared" si="65"/>
        <v>2560</v>
      </c>
    </row>
    <row r="3989" spans="1:6" x14ac:dyDescent="0.3">
      <c r="A3989" s="171">
        <v>43119</v>
      </c>
      <c r="B3989" s="5" t="s">
        <v>25</v>
      </c>
      <c r="C3989" s="5" t="s">
        <v>3117</v>
      </c>
      <c r="D3989" s="43">
        <v>100</v>
      </c>
      <c r="E3989" s="43"/>
      <c r="F3989" s="48">
        <f t="shared" si="65"/>
        <v>2460</v>
      </c>
    </row>
    <row r="3990" spans="1:6" x14ac:dyDescent="0.3">
      <c r="A3990" s="171">
        <v>43119</v>
      </c>
      <c r="B3990" s="5" t="s">
        <v>25</v>
      </c>
      <c r="C3990" s="5" t="s">
        <v>3118</v>
      </c>
      <c r="D3990" s="43">
        <v>84</v>
      </c>
      <c r="E3990" s="43"/>
      <c r="F3990" s="48">
        <f t="shared" si="65"/>
        <v>2376</v>
      </c>
    </row>
    <row r="3991" spans="1:6" x14ac:dyDescent="0.3">
      <c r="A3991" s="171">
        <v>43122</v>
      </c>
      <c r="B3991" s="756" t="s">
        <v>1981</v>
      </c>
      <c r="C3991" s="756"/>
      <c r="D3991" s="64"/>
      <c r="E3991" s="72">
        <v>20000</v>
      </c>
      <c r="F3991" s="48">
        <f t="shared" si="65"/>
        <v>22376</v>
      </c>
    </row>
    <row r="3992" spans="1:6" x14ac:dyDescent="0.3">
      <c r="A3992" s="171">
        <v>43122</v>
      </c>
      <c r="B3992" s="5" t="s">
        <v>54</v>
      </c>
      <c r="C3992" s="5" t="s">
        <v>3119</v>
      </c>
      <c r="D3992" s="43">
        <v>15980</v>
      </c>
      <c r="E3992" s="43"/>
      <c r="F3992" s="48">
        <f t="shared" si="65"/>
        <v>6396</v>
      </c>
    </row>
    <row r="3993" spans="1:6" x14ac:dyDescent="0.3">
      <c r="A3993" s="171">
        <v>43122</v>
      </c>
      <c r="B3993" s="5" t="s">
        <v>2594</v>
      </c>
      <c r="C3993" s="5" t="s">
        <v>3120</v>
      </c>
      <c r="D3993" s="43">
        <v>1150</v>
      </c>
      <c r="E3993" s="43"/>
      <c r="F3993" s="48">
        <f t="shared" si="65"/>
        <v>5246</v>
      </c>
    </row>
    <row r="3994" spans="1:6" x14ac:dyDescent="0.3">
      <c r="A3994" s="171">
        <v>43122</v>
      </c>
      <c r="B3994" s="5" t="s">
        <v>2594</v>
      </c>
      <c r="C3994" s="5" t="s">
        <v>3134</v>
      </c>
      <c r="D3994" s="43">
        <v>2000</v>
      </c>
      <c r="E3994" s="43"/>
      <c r="F3994" s="48">
        <f t="shared" si="65"/>
        <v>3246</v>
      </c>
    </row>
    <row r="3995" spans="1:6" x14ac:dyDescent="0.3">
      <c r="A3995" s="171">
        <v>43122</v>
      </c>
      <c r="B3995" s="61" t="s">
        <v>28</v>
      </c>
      <c r="C3995" s="61" t="s">
        <v>3121</v>
      </c>
      <c r="D3995" s="62">
        <v>2000</v>
      </c>
      <c r="E3995" s="43"/>
      <c r="F3995" s="48">
        <f t="shared" si="65"/>
        <v>1246</v>
      </c>
    </row>
    <row r="3996" spans="1:6" x14ac:dyDescent="0.3">
      <c r="A3996" s="171">
        <v>43122</v>
      </c>
      <c r="B3996" s="5" t="s">
        <v>25</v>
      </c>
      <c r="C3996" s="5" t="s">
        <v>3122</v>
      </c>
      <c r="D3996" s="43">
        <v>218</v>
      </c>
      <c r="E3996" s="43"/>
      <c r="F3996" s="48">
        <f t="shared" si="65"/>
        <v>1028</v>
      </c>
    </row>
    <row r="3997" spans="1:6" x14ac:dyDescent="0.3">
      <c r="A3997" s="171">
        <v>43122</v>
      </c>
      <c r="B3997" s="5" t="s">
        <v>25</v>
      </c>
      <c r="C3997" s="5" t="s">
        <v>3123</v>
      </c>
      <c r="D3997" s="43">
        <f>380+220</f>
        <v>600</v>
      </c>
      <c r="E3997" s="43"/>
      <c r="F3997" s="48">
        <f t="shared" si="65"/>
        <v>428</v>
      </c>
    </row>
    <row r="3998" spans="1:6" x14ac:dyDescent="0.3">
      <c r="A3998" s="171">
        <v>43122</v>
      </c>
      <c r="B3998" s="5" t="s">
        <v>2727</v>
      </c>
      <c r="C3998" s="5" t="s">
        <v>3124</v>
      </c>
      <c r="D3998" s="43">
        <v>260</v>
      </c>
      <c r="E3998" s="43"/>
      <c r="F3998" s="48">
        <f t="shared" si="65"/>
        <v>168</v>
      </c>
    </row>
    <row r="3999" spans="1:6" x14ac:dyDescent="0.3">
      <c r="A3999" s="171">
        <v>43123</v>
      </c>
      <c r="B3999" s="756" t="s">
        <v>2665</v>
      </c>
      <c r="C3999" s="756"/>
      <c r="D3999" s="71"/>
      <c r="E3999" s="72">
        <v>50000</v>
      </c>
      <c r="F3999" s="48">
        <f t="shared" si="65"/>
        <v>50168</v>
      </c>
    </row>
    <row r="4000" spans="1:6" x14ac:dyDescent="0.3">
      <c r="A4000" s="171">
        <v>43123</v>
      </c>
      <c r="B4000" s="5" t="s">
        <v>84</v>
      </c>
      <c r="C4000" s="5" t="s">
        <v>3125</v>
      </c>
      <c r="D4000" s="43">
        <v>2000</v>
      </c>
      <c r="E4000" s="43"/>
      <c r="F4000" s="48">
        <f t="shared" si="65"/>
        <v>48168</v>
      </c>
    </row>
    <row r="4001" spans="1:6" x14ac:dyDescent="0.3">
      <c r="A4001" s="171">
        <v>43123</v>
      </c>
      <c r="B4001" s="5" t="s">
        <v>2594</v>
      </c>
      <c r="C4001" s="5" t="s">
        <v>3126</v>
      </c>
      <c r="D4001" s="43">
        <v>30000</v>
      </c>
      <c r="E4001" s="43"/>
      <c r="F4001" s="48">
        <f t="shared" si="65"/>
        <v>18168</v>
      </c>
    </row>
    <row r="4002" spans="1:6" x14ac:dyDescent="0.3">
      <c r="A4002" s="171">
        <v>43123</v>
      </c>
      <c r="B4002" s="5" t="s">
        <v>1343</v>
      </c>
      <c r="C4002" s="5" t="s">
        <v>3127</v>
      </c>
      <c r="D4002" s="43">
        <v>7000</v>
      </c>
      <c r="E4002" s="43"/>
      <c r="F4002" s="48">
        <f t="shared" si="65"/>
        <v>11168</v>
      </c>
    </row>
    <row r="4003" spans="1:6" x14ac:dyDescent="0.3">
      <c r="A4003" s="171">
        <v>43123</v>
      </c>
      <c r="B4003" s="5" t="s">
        <v>2330</v>
      </c>
      <c r="C4003" s="5" t="s">
        <v>3128</v>
      </c>
      <c r="D4003" s="43">
        <v>5284</v>
      </c>
      <c r="E4003" s="43"/>
      <c r="F4003" s="48">
        <f t="shared" si="65"/>
        <v>5884</v>
      </c>
    </row>
    <row r="4004" spans="1:6" x14ac:dyDescent="0.3">
      <c r="A4004" s="171">
        <v>43123</v>
      </c>
      <c r="B4004" s="5" t="s">
        <v>1193</v>
      </c>
      <c r="C4004" s="5" t="s">
        <v>3129</v>
      </c>
      <c r="D4004" s="43">
        <v>1800</v>
      </c>
      <c r="E4004" s="43"/>
      <c r="F4004" s="48">
        <f t="shared" si="65"/>
        <v>4084</v>
      </c>
    </row>
    <row r="4005" spans="1:6" x14ac:dyDescent="0.3">
      <c r="A4005" s="171">
        <v>43123</v>
      </c>
      <c r="B4005" s="5" t="s">
        <v>25</v>
      </c>
      <c r="C4005" s="5" t="s">
        <v>3035</v>
      </c>
      <c r="D4005" s="43">
        <v>70</v>
      </c>
      <c r="E4005" s="43"/>
      <c r="F4005" s="48">
        <f t="shared" si="65"/>
        <v>4014</v>
      </c>
    </row>
    <row r="4006" spans="1:6" x14ac:dyDescent="0.3">
      <c r="A4006" s="171">
        <v>43123</v>
      </c>
      <c r="B4006" s="5" t="s">
        <v>86</v>
      </c>
      <c r="C4006" s="5" t="s">
        <v>3130</v>
      </c>
      <c r="D4006" s="43">
        <v>500</v>
      </c>
      <c r="E4006" s="43"/>
      <c r="F4006" s="48">
        <f t="shared" si="65"/>
        <v>3514</v>
      </c>
    </row>
    <row r="4007" spans="1:6" x14ac:dyDescent="0.3">
      <c r="A4007" s="171">
        <v>43123</v>
      </c>
      <c r="B4007" s="5" t="s">
        <v>0</v>
      </c>
      <c r="C4007" s="5" t="s">
        <v>3131</v>
      </c>
      <c r="D4007" s="43">
        <v>170</v>
      </c>
      <c r="E4007" s="43"/>
      <c r="F4007" s="48">
        <f t="shared" si="65"/>
        <v>3344</v>
      </c>
    </row>
    <row r="4008" spans="1:6" x14ac:dyDescent="0.3">
      <c r="A4008" s="171">
        <v>43123</v>
      </c>
      <c r="B4008" s="5" t="s">
        <v>25</v>
      </c>
      <c r="C4008" s="5" t="s">
        <v>2659</v>
      </c>
      <c r="D4008" s="43">
        <v>360</v>
      </c>
      <c r="E4008" s="43"/>
      <c r="F4008" s="48">
        <f t="shared" si="65"/>
        <v>2984</v>
      </c>
    </row>
    <row r="4009" spans="1:6" x14ac:dyDescent="0.3">
      <c r="A4009" s="171">
        <v>43123</v>
      </c>
      <c r="B4009" s="5" t="s">
        <v>16</v>
      </c>
      <c r="C4009" s="5" t="s">
        <v>3132</v>
      </c>
      <c r="D4009" s="43">
        <v>566</v>
      </c>
      <c r="E4009" s="43"/>
      <c r="F4009" s="48">
        <f t="shared" si="65"/>
        <v>2418</v>
      </c>
    </row>
    <row r="4010" spans="1:6" x14ac:dyDescent="0.3">
      <c r="A4010" s="171">
        <v>43123</v>
      </c>
      <c r="B4010" s="5" t="s">
        <v>25</v>
      </c>
      <c r="C4010" s="5" t="s">
        <v>667</v>
      </c>
      <c r="D4010" s="43">
        <v>100</v>
      </c>
      <c r="E4010" s="43"/>
      <c r="F4010" s="48">
        <f t="shared" si="65"/>
        <v>2318</v>
      </c>
    </row>
    <row r="4011" spans="1:6" x14ac:dyDescent="0.3">
      <c r="A4011" s="171">
        <v>43123</v>
      </c>
      <c r="B4011" s="5" t="s">
        <v>60</v>
      </c>
      <c r="C4011" s="5" t="s">
        <v>3133</v>
      </c>
      <c r="D4011" s="43">
        <v>2100</v>
      </c>
      <c r="E4011" s="43"/>
      <c r="F4011" s="48">
        <f t="shared" si="65"/>
        <v>218</v>
      </c>
    </row>
    <row r="4012" spans="1:6" x14ac:dyDescent="0.3">
      <c r="A4012" s="171">
        <v>43124</v>
      </c>
      <c r="B4012" s="756" t="s">
        <v>2665</v>
      </c>
      <c r="C4012" s="756"/>
      <c r="D4012" s="71"/>
      <c r="E4012" s="72">
        <v>75000</v>
      </c>
      <c r="F4012" s="48">
        <f t="shared" si="65"/>
        <v>75218</v>
      </c>
    </row>
    <row r="4013" spans="1:6" ht="37.5" x14ac:dyDescent="0.3">
      <c r="A4013" s="171">
        <v>43124</v>
      </c>
      <c r="B4013" s="5" t="s">
        <v>25</v>
      </c>
      <c r="C4013" s="92" t="s">
        <v>3135</v>
      </c>
      <c r="D4013" s="43">
        <v>300</v>
      </c>
      <c r="E4013" s="43"/>
      <c r="F4013" s="48">
        <f t="shared" si="65"/>
        <v>74918</v>
      </c>
    </row>
    <row r="4014" spans="1:6" x14ac:dyDescent="0.3">
      <c r="A4014" s="171">
        <v>43124</v>
      </c>
      <c r="B4014" s="5" t="s">
        <v>58</v>
      </c>
      <c r="C4014" s="92" t="s">
        <v>2013</v>
      </c>
      <c r="D4014" s="43">
        <v>50</v>
      </c>
      <c r="E4014" s="43"/>
      <c r="F4014" s="48">
        <f t="shared" si="65"/>
        <v>74868</v>
      </c>
    </row>
    <row r="4015" spans="1:6" x14ac:dyDescent="0.3">
      <c r="A4015" s="171">
        <v>43124</v>
      </c>
      <c r="B4015" s="5" t="s">
        <v>2594</v>
      </c>
      <c r="C4015" s="5" t="s">
        <v>3136</v>
      </c>
      <c r="D4015" s="43">
        <v>40000</v>
      </c>
      <c r="E4015" s="43"/>
      <c r="F4015" s="48">
        <f t="shared" si="65"/>
        <v>34868</v>
      </c>
    </row>
    <row r="4016" spans="1:6" x14ac:dyDescent="0.3">
      <c r="A4016" s="171">
        <v>43124</v>
      </c>
      <c r="B4016" s="5" t="s">
        <v>1837</v>
      </c>
      <c r="C4016" s="5" t="s">
        <v>3137</v>
      </c>
      <c r="D4016" s="43">
        <v>1500</v>
      </c>
      <c r="E4016" s="43"/>
      <c r="F4016" s="48">
        <f t="shared" si="65"/>
        <v>33368</v>
      </c>
    </row>
    <row r="4017" spans="1:6" x14ac:dyDescent="0.3">
      <c r="A4017" s="171">
        <v>43124</v>
      </c>
      <c r="B4017" s="5" t="s">
        <v>3138</v>
      </c>
      <c r="C4017" s="5" t="s">
        <v>3139</v>
      </c>
      <c r="D4017" s="43">
        <v>21494</v>
      </c>
      <c r="E4017" s="43"/>
      <c r="F4017" s="48">
        <f t="shared" si="65"/>
        <v>11874</v>
      </c>
    </row>
    <row r="4018" spans="1:6" x14ac:dyDescent="0.3">
      <c r="A4018" s="171">
        <v>43124</v>
      </c>
      <c r="B4018" s="5" t="s">
        <v>16</v>
      </c>
      <c r="C4018" s="5" t="s">
        <v>3140</v>
      </c>
      <c r="D4018" s="43">
        <v>1550</v>
      </c>
      <c r="E4018" s="43"/>
      <c r="F4018" s="48">
        <f t="shared" si="65"/>
        <v>10324</v>
      </c>
    </row>
    <row r="4019" spans="1:6" x14ac:dyDescent="0.3">
      <c r="A4019" s="171">
        <v>43124</v>
      </c>
      <c r="B4019" s="5" t="s">
        <v>693</v>
      </c>
      <c r="C4019" s="5" t="s">
        <v>3141</v>
      </c>
      <c r="D4019" s="43">
        <v>8000</v>
      </c>
      <c r="E4019" s="43"/>
      <c r="F4019" s="48">
        <f t="shared" si="65"/>
        <v>2324</v>
      </c>
    </row>
    <row r="4020" spans="1:6" x14ac:dyDescent="0.3">
      <c r="A4020" s="171">
        <v>43124</v>
      </c>
      <c r="B4020" s="5" t="s">
        <v>14</v>
      </c>
      <c r="C4020" s="5" t="s">
        <v>1530</v>
      </c>
      <c r="D4020" s="43">
        <v>450</v>
      </c>
      <c r="E4020" s="43"/>
      <c r="F4020" s="48">
        <f t="shared" si="65"/>
        <v>1874</v>
      </c>
    </row>
    <row r="4021" spans="1:6" x14ac:dyDescent="0.3">
      <c r="A4021" s="171">
        <v>43124</v>
      </c>
      <c r="B4021" s="5" t="s">
        <v>2955</v>
      </c>
      <c r="C4021" s="5" t="s">
        <v>3142</v>
      </c>
      <c r="D4021" s="43">
        <v>1624</v>
      </c>
      <c r="E4021" s="43"/>
      <c r="F4021" s="48">
        <f t="shared" si="65"/>
        <v>250</v>
      </c>
    </row>
    <row r="4022" spans="1:6" x14ac:dyDescent="0.3">
      <c r="A4022" s="171">
        <v>43125</v>
      </c>
      <c r="B4022" s="756" t="s">
        <v>2665</v>
      </c>
      <c r="C4022" s="756"/>
      <c r="D4022" s="71"/>
      <c r="E4022" s="72">
        <v>50000</v>
      </c>
      <c r="F4022" s="48">
        <f t="shared" si="65"/>
        <v>50250</v>
      </c>
    </row>
    <row r="4023" spans="1:6" x14ac:dyDescent="0.3">
      <c r="A4023" s="171">
        <v>43125</v>
      </c>
      <c r="B4023" s="5" t="s">
        <v>2594</v>
      </c>
      <c r="C4023" s="5" t="s">
        <v>3143</v>
      </c>
      <c r="D4023" s="43">
        <v>25000</v>
      </c>
      <c r="E4023" s="43"/>
      <c r="F4023" s="48">
        <f t="shared" si="65"/>
        <v>25250</v>
      </c>
    </row>
    <row r="4024" spans="1:6" x14ac:dyDescent="0.3">
      <c r="A4024" s="171">
        <v>43125</v>
      </c>
      <c r="B4024" s="5" t="s">
        <v>58</v>
      </c>
      <c r="C4024" s="5" t="s">
        <v>3147</v>
      </c>
      <c r="D4024" s="43">
        <v>300</v>
      </c>
      <c r="E4024" s="43"/>
      <c r="F4024" s="48">
        <f t="shared" si="65"/>
        <v>24950</v>
      </c>
    </row>
    <row r="4025" spans="1:6" x14ac:dyDescent="0.3">
      <c r="A4025" s="171">
        <v>43125</v>
      </c>
      <c r="B4025" s="5" t="s">
        <v>2674</v>
      </c>
      <c r="C4025" s="5" t="s">
        <v>3144</v>
      </c>
      <c r="D4025" s="43">
        <v>3360</v>
      </c>
      <c r="E4025" s="43"/>
      <c r="F4025" s="48">
        <f t="shared" si="65"/>
        <v>21590</v>
      </c>
    </row>
    <row r="4026" spans="1:6" x14ac:dyDescent="0.3">
      <c r="A4026" s="171">
        <v>43125</v>
      </c>
      <c r="B4026" s="5" t="s">
        <v>2096</v>
      </c>
      <c r="C4026" s="5" t="s">
        <v>438</v>
      </c>
      <c r="D4026" s="43">
        <v>10000</v>
      </c>
      <c r="E4026" s="43"/>
      <c r="F4026" s="48">
        <f>F4025-D4026+E4026</f>
        <v>11590</v>
      </c>
    </row>
    <row r="4027" spans="1:6" x14ac:dyDescent="0.3">
      <c r="A4027" s="171">
        <v>43125</v>
      </c>
      <c r="B4027" s="5" t="s">
        <v>2330</v>
      </c>
      <c r="C4027" s="5" t="s">
        <v>2128</v>
      </c>
      <c r="D4027" s="43">
        <v>4840</v>
      </c>
      <c r="E4027" s="43"/>
      <c r="F4027" s="48">
        <f t="shared" si="65"/>
        <v>6750</v>
      </c>
    </row>
    <row r="4028" spans="1:6" x14ac:dyDescent="0.3">
      <c r="A4028" s="171">
        <v>43125</v>
      </c>
      <c r="B4028" s="5" t="s">
        <v>1837</v>
      </c>
      <c r="C4028" s="5" t="s">
        <v>3145</v>
      </c>
      <c r="D4028" s="43">
        <v>70</v>
      </c>
      <c r="E4028" s="43"/>
      <c r="F4028" s="48">
        <f t="shared" si="65"/>
        <v>6680</v>
      </c>
    </row>
    <row r="4029" spans="1:6" x14ac:dyDescent="0.3">
      <c r="A4029" s="171">
        <v>43125</v>
      </c>
      <c r="B4029" s="5" t="s">
        <v>16</v>
      </c>
      <c r="C4029" s="5" t="s">
        <v>3146</v>
      </c>
      <c r="D4029" s="43">
        <v>1100</v>
      </c>
      <c r="E4029" s="43"/>
      <c r="F4029" s="48">
        <f t="shared" si="65"/>
        <v>5580</v>
      </c>
    </row>
    <row r="4030" spans="1:6" x14ac:dyDescent="0.3">
      <c r="A4030" s="171">
        <v>43125</v>
      </c>
      <c r="B4030" s="5" t="s">
        <v>84</v>
      </c>
      <c r="C4030" s="5" t="s">
        <v>3148</v>
      </c>
      <c r="D4030" s="43">
        <v>5000</v>
      </c>
      <c r="E4030" s="43"/>
      <c r="F4030" s="48">
        <f t="shared" si="65"/>
        <v>580</v>
      </c>
    </row>
    <row r="4031" spans="1:6" x14ac:dyDescent="0.3">
      <c r="A4031" s="171">
        <v>43125</v>
      </c>
      <c r="B4031" s="5" t="s">
        <v>25</v>
      </c>
      <c r="C4031" s="5" t="s">
        <v>3149</v>
      </c>
      <c r="D4031" s="43">
        <v>100</v>
      </c>
      <c r="E4031" s="43"/>
      <c r="F4031" s="48">
        <f t="shared" si="65"/>
        <v>480</v>
      </c>
    </row>
    <row r="4032" spans="1:6" x14ac:dyDescent="0.3">
      <c r="A4032" s="171">
        <v>43125</v>
      </c>
      <c r="B4032" s="5" t="s">
        <v>25</v>
      </c>
      <c r="C4032" s="5" t="s">
        <v>3150</v>
      </c>
      <c r="D4032" s="43">
        <v>90</v>
      </c>
      <c r="E4032" s="43"/>
      <c r="F4032" s="48">
        <f t="shared" si="65"/>
        <v>390</v>
      </c>
    </row>
    <row r="4033" spans="1:6" x14ac:dyDescent="0.3">
      <c r="A4033" s="171">
        <v>43125</v>
      </c>
      <c r="B4033" s="5" t="s">
        <v>25</v>
      </c>
      <c r="C4033" s="5" t="s">
        <v>1829</v>
      </c>
      <c r="D4033" s="43">
        <v>60</v>
      </c>
      <c r="E4033" s="43"/>
      <c r="F4033" s="48">
        <f t="shared" si="65"/>
        <v>330</v>
      </c>
    </row>
    <row r="4034" spans="1:6" x14ac:dyDescent="0.3">
      <c r="A4034" s="171">
        <v>43125</v>
      </c>
      <c r="B4034" s="5" t="s">
        <v>25</v>
      </c>
      <c r="C4034" s="5" t="s">
        <v>2202</v>
      </c>
      <c r="D4034" s="43">
        <v>360</v>
      </c>
      <c r="E4034" s="43"/>
      <c r="F4034" s="48">
        <f t="shared" si="65"/>
        <v>-30</v>
      </c>
    </row>
    <row r="4035" spans="1:6" x14ac:dyDescent="0.3">
      <c r="A4035" s="171">
        <v>43125</v>
      </c>
      <c r="B4035" s="5" t="s">
        <v>25</v>
      </c>
      <c r="C4035" s="5" t="s">
        <v>3029</v>
      </c>
      <c r="D4035" s="43">
        <v>40</v>
      </c>
      <c r="E4035" s="43"/>
      <c r="F4035" s="48">
        <f t="shared" si="65"/>
        <v>-70</v>
      </c>
    </row>
    <row r="4036" spans="1:6" x14ac:dyDescent="0.3">
      <c r="A4036" s="171">
        <v>43126</v>
      </c>
      <c r="B4036" s="756" t="s">
        <v>2665</v>
      </c>
      <c r="C4036" s="756"/>
      <c r="D4036" s="71"/>
      <c r="E4036" s="72">
        <v>50000</v>
      </c>
      <c r="F4036" s="48">
        <f t="shared" si="65"/>
        <v>49930</v>
      </c>
    </row>
    <row r="4037" spans="1:6" x14ac:dyDescent="0.3">
      <c r="A4037" s="173">
        <v>43126</v>
      </c>
      <c r="B4037" s="61" t="s">
        <v>1837</v>
      </c>
      <c r="C4037" s="61" t="s">
        <v>3151</v>
      </c>
      <c r="D4037" s="62">
        <v>1000</v>
      </c>
      <c r="E4037" s="62"/>
      <c r="F4037" s="174">
        <f t="shared" si="65"/>
        <v>48930</v>
      </c>
    </row>
    <row r="4038" spans="1:6" ht="37.5" x14ac:dyDescent="0.3">
      <c r="A4038" s="171">
        <v>43126</v>
      </c>
      <c r="B4038" s="5" t="s">
        <v>58</v>
      </c>
      <c r="C4038" s="92" t="s">
        <v>3152</v>
      </c>
      <c r="D4038" s="43">
        <v>150</v>
      </c>
      <c r="E4038" s="43"/>
      <c r="F4038" s="48">
        <f t="shared" si="65"/>
        <v>48780</v>
      </c>
    </row>
    <row r="4039" spans="1:6" x14ac:dyDescent="0.3">
      <c r="A4039" s="171">
        <v>43126</v>
      </c>
      <c r="B4039" s="5" t="s">
        <v>541</v>
      </c>
      <c r="C4039" s="5" t="s">
        <v>3165</v>
      </c>
      <c r="D4039" s="43">
        <v>9500</v>
      </c>
      <c r="E4039" s="43"/>
      <c r="F4039" s="48">
        <f t="shared" si="65"/>
        <v>39280</v>
      </c>
    </row>
    <row r="4040" spans="1:6" x14ac:dyDescent="0.3">
      <c r="A4040" s="171">
        <v>43126</v>
      </c>
      <c r="B4040" s="5" t="s">
        <v>84</v>
      </c>
      <c r="C4040" s="5" t="s">
        <v>3153</v>
      </c>
      <c r="D4040" s="43">
        <v>500</v>
      </c>
      <c r="E4040" s="43"/>
      <c r="F4040" s="48">
        <f t="shared" si="65"/>
        <v>38780</v>
      </c>
    </row>
    <row r="4041" spans="1:6" x14ac:dyDescent="0.3">
      <c r="A4041" s="171">
        <v>43126</v>
      </c>
      <c r="B4041" s="5" t="s">
        <v>247</v>
      </c>
      <c r="C4041" s="5" t="s">
        <v>3154</v>
      </c>
      <c r="D4041" s="43">
        <f>140+420</f>
        <v>560</v>
      </c>
      <c r="E4041" s="43"/>
      <c r="F4041" s="48">
        <f t="shared" si="65"/>
        <v>38220</v>
      </c>
    </row>
    <row r="4042" spans="1:6" x14ac:dyDescent="0.3">
      <c r="A4042" s="171">
        <v>43126</v>
      </c>
      <c r="B4042" s="5" t="s">
        <v>60</v>
      </c>
      <c r="C4042" s="5" t="s">
        <v>2745</v>
      </c>
      <c r="D4042" s="43">
        <v>2500</v>
      </c>
      <c r="E4042" s="43"/>
      <c r="F4042" s="48">
        <f t="shared" si="65"/>
        <v>35720</v>
      </c>
    </row>
    <row r="4043" spans="1:6" x14ac:dyDescent="0.3">
      <c r="A4043" s="171">
        <v>43127</v>
      </c>
      <c r="B4043" s="5" t="s">
        <v>1343</v>
      </c>
      <c r="C4043" s="5" t="s">
        <v>3166</v>
      </c>
      <c r="D4043" s="43">
        <v>5000</v>
      </c>
      <c r="E4043" s="43"/>
      <c r="F4043" s="48">
        <f t="shared" ref="F4043:F4106" si="66">F4042-D4043+E4043</f>
        <v>30720</v>
      </c>
    </row>
    <row r="4044" spans="1:6" x14ac:dyDescent="0.3">
      <c r="A4044" s="171">
        <v>43127</v>
      </c>
      <c r="B4044" s="5" t="s">
        <v>2594</v>
      </c>
      <c r="C4044" s="5" t="s">
        <v>3155</v>
      </c>
      <c r="D4044" s="43">
        <v>20000</v>
      </c>
      <c r="E4044" s="43"/>
      <c r="F4044" s="48">
        <f t="shared" si="66"/>
        <v>10720</v>
      </c>
    </row>
    <row r="4045" spans="1:6" x14ac:dyDescent="0.3">
      <c r="A4045" s="171">
        <v>43127</v>
      </c>
      <c r="B4045" s="5" t="s">
        <v>14</v>
      </c>
      <c r="C4045" s="5" t="s">
        <v>3155</v>
      </c>
      <c r="D4045" s="43">
        <v>10000</v>
      </c>
      <c r="E4045" s="43"/>
      <c r="F4045" s="48">
        <f t="shared" si="66"/>
        <v>720</v>
      </c>
    </row>
    <row r="4046" spans="1:6" x14ac:dyDescent="0.3">
      <c r="A4046" s="171">
        <v>43127</v>
      </c>
      <c r="B4046" s="5" t="s">
        <v>16</v>
      </c>
      <c r="C4046" s="5" t="s">
        <v>3008</v>
      </c>
      <c r="D4046" s="43">
        <v>600</v>
      </c>
      <c r="E4046" s="43"/>
      <c r="F4046" s="48">
        <f t="shared" si="66"/>
        <v>120</v>
      </c>
    </row>
    <row r="4047" spans="1:6" x14ac:dyDescent="0.3">
      <c r="A4047" s="171">
        <v>43127</v>
      </c>
      <c r="B4047" s="756" t="s">
        <v>3159</v>
      </c>
      <c r="C4047" s="756"/>
      <c r="D4047" s="71"/>
      <c r="E4047" s="72">
        <v>20000</v>
      </c>
      <c r="F4047" s="48">
        <f t="shared" si="66"/>
        <v>20120</v>
      </c>
    </row>
    <row r="4048" spans="1:6" x14ac:dyDescent="0.3">
      <c r="A4048" s="171">
        <v>43127</v>
      </c>
      <c r="B4048" s="5" t="s">
        <v>16</v>
      </c>
      <c r="C4048" s="5" t="s">
        <v>3156</v>
      </c>
      <c r="D4048" s="43">
        <v>240</v>
      </c>
      <c r="E4048" s="43"/>
      <c r="F4048" s="48">
        <f t="shared" si="66"/>
        <v>19880</v>
      </c>
    </row>
    <row r="4049" spans="1:6" x14ac:dyDescent="0.3">
      <c r="A4049" s="171">
        <v>43127</v>
      </c>
      <c r="B4049" s="5" t="s">
        <v>25</v>
      </c>
      <c r="C4049" s="5" t="s">
        <v>3157</v>
      </c>
      <c r="D4049" s="43">
        <v>450</v>
      </c>
      <c r="E4049" s="43"/>
      <c r="F4049" s="48">
        <f t="shared" si="66"/>
        <v>19430</v>
      </c>
    </row>
    <row r="4050" spans="1:6" x14ac:dyDescent="0.3">
      <c r="A4050" s="171">
        <v>43127</v>
      </c>
      <c r="B4050" s="5" t="s">
        <v>3158</v>
      </c>
      <c r="C4050" s="5" t="s">
        <v>3167</v>
      </c>
      <c r="D4050" s="43">
        <v>90</v>
      </c>
      <c r="E4050" s="43"/>
      <c r="F4050" s="48">
        <f t="shared" si="66"/>
        <v>19340</v>
      </c>
    </row>
    <row r="4051" spans="1:6" x14ac:dyDescent="0.3">
      <c r="A4051" s="171">
        <v>43127</v>
      </c>
      <c r="B4051" s="5" t="s">
        <v>84</v>
      </c>
      <c r="C4051" s="5" t="s">
        <v>3161</v>
      </c>
      <c r="D4051" s="43">
        <v>7000</v>
      </c>
      <c r="E4051" s="43"/>
      <c r="F4051" s="48">
        <f t="shared" si="66"/>
        <v>12340</v>
      </c>
    </row>
    <row r="4052" spans="1:6" x14ac:dyDescent="0.3">
      <c r="A4052" s="171">
        <v>43127</v>
      </c>
      <c r="B4052" s="5" t="s">
        <v>16</v>
      </c>
      <c r="C4052" s="5" t="s">
        <v>3160</v>
      </c>
      <c r="D4052" s="43">
        <v>1000</v>
      </c>
      <c r="E4052" s="43"/>
      <c r="F4052" s="48">
        <f t="shared" si="66"/>
        <v>11340</v>
      </c>
    </row>
    <row r="4053" spans="1:6" x14ac:dyDescent="0.3">
      <c r="A4053" s="171">
        <v>43127</v>
      </c>
      <c r="B4053" s="5" t="s">
        <v>247</v>
      </c>
      <c r="C4053" s="5" t="s">
        <v>3162</v>
      </c>
      <c r="D4053" s="43">
        <v>255</v>
      </c>
      <c r="E4053" s="43"/>
      <c r="F4053" s="48">
        <f t="shared" si="66"/>
        <v>11085</v>
      </c>
    </row>
    <row r="4054" spans="1:6" x14ac:dyDescent="0.3">
      <c r="A4054" s="171">
        <v>43127</v>
      </c>
      <c r="B4054" s="5" t="s">
        <v>247</v>
      </c>
      <c r="C4054" s="5" t="s">
        <v>2968</v>
      </c>
      <c r="D4054" s="43">
        <v>140</v>
      </c>
      <c r="E4054" s="43"/>
      <c r="F4054" s="48">
        <f t="shared" si="66"/>
        <v>10945</v>
      </c>
    </row>
    <row r="4055" spans="1:6" x14ac:dyDescent="0.3">
      <c r="A4055" s="171">
        <v>43127</v>
      </c>
      <c r="B4055" s="5" t="s">
        <v>247</v>
      </c>
      <c r="C4055" s="5" t="s">
        <v>3163</v>
      </c>
      <c r="D4055" s="43">
        <v>50</v>
      </c>
      <c r="E4055" s="43"/>
      <c r="F4055" s="48">
        <f t="shared" si="66"/>
        <v>10895</v>
      </c>
    </row>
    <row r="4056" spans="1:6" x14ac:dyDescent="0.3">
      <c r="A4056" s="171">
        <v>43127</v>
      </c>
      <c r="B4056" s="5" t="s">
        <v>2570</v>
      </c>
      <c r="C4056" s="5" t="s">
        <v>3164</v>
      </c>
      <c r="D4056" s="43">
        <v>200</v>
      </c>
      <c r="E4056" s="43"/>
      <c r="F4056" s="48">
        <f t="shared" si="66"/>
        <v>10695</v>
      </c>
    </row>
    <row r="4057" spans="1:6" x14ac:dyDescent="0.3">
      <c r="A4057" s="171">
        <v>43129</v>
      </c>
      <c r="B4057" s="5" t="s">
        <v>25</v>
      </c>
      <c r="C4057" s="5" t="s">
        <v>2968</v>
      </c>
      <c r="D4057" s="43">
        <v>140</v>
      </c>
      <c r="E4057" s="43"/>
      <c r="F4057" s="48">
        <f t="shared" si="66"/>
        <v>10555</v>
      </c>
    </row>
    <row r="4058" spans="1:6" x14ac:dyDescent="0.3">
      <c r="A4058" s="171">
        <v>43129</v>
      </c>
      <c r="B4058" s="5" t="s">
        <v>25</v>
      </c>
      <c r="C4058" s="5" t="s">
        <v>3168</v>
      </c>
      <c r="D4058" s="43">
        <v>280</v>
      </c>
      <c r="E4058" s="43"/>
      <c r="F4058" s="48">
        <f t="shared" si="66"/>
        <v>10275</v>
      </c>
    </row>
    <row r="4059" spans="1:6" x14ac:dyDescent="0.3">
      <c r="A4059" s="171">
        <v>43129</v>
      </c>
      <c r="B4059" s="5" t="s">
        <v>25</v>
      </c>
      <c r="C4059" s="5" t="s">
        <v>81</v>
      </c>
      <c r="D4059" s="43">
        <v>50</v>
      </c>
      <c r="E4059" s="43"/>
      <c r="F4059" s="48">
        <f t="shared" si="66"/>
        <v>10225</v>
      </c>
    </row>
    <row r="4060" spans="1:6" x14ac:dyDescent="0.3">
      <c r="A4060" s="171">
        <v>43129</v>
      </c>
      <c r="B4060" s="5" t="s">
        <v>25</v>
      </c>
      <c r="C4060" s="5" t="s">
        <v>939</v>
      </c>
      <c r="D4060" s="43">
        <v>380</v>
      </c>
      <c r="E4060" s="43"/>
      <c r="F4060" s="48">
        <f t="shared" si="66"/>
        <v>9845</v>
      </c>
    </row>
    <row r="4061" spans="1:6" x14ac:dyDescent="0.3">
      <c r="A4061" s="171">
        <v>43129</v>
      </c>
      <c r="B4061" s="5" t="s">
        <v>84</v>
      </c>
      <c r="C4061" s="5" t="s">
        <v>3169</v>
      </c>
      <c r="D4061" s="43">
        <v>1000</v>
      </c>
      <c r="E4061" s="43"/>
      <c r="F4061" s="48">
        <f t="shared" si="66"/>
        <v>8845</v>
      </c>
    </row>
    <row r="4062" spans="1:6" x14ac:dyDescent="0.3">
      <c r="A4062" s="171">
        <v>43129</v>
      </c>
      <c r="B4062" s="5" t="s">
        <v>58</v>
      </c>
      <c r="C4062" s="5" t="s">
        <v>3170</v>
      </c>
      <c r="D4062" s="43">
        <v>4800</v>
      </c>
      <c r="E4062" s="43"/>
      <c r="F4062" s="48">
        <f t="shared" si="66"/>
        <v>4045</v>
      </c>
    </row>
    <row r="4063" spans="1:6" x14ac:dyDescent="0.3">
      <c r="A4063" s="171">
        <v>43129</v>
      </c>
      <c r="B4063" s="5" t="s">
        <v>16</v>
      </c>
      <c r="C4063" s="5" t="s">
        <v>3171</v>
      </c>
      <c r="D4063" s="43">
        <v>1000</v>
      </c>
      <c r="E4063" s="43"/>
      <c r="F4063" s="48">
        <f t="shared" si="66"/>
        <v>3045</v>
      </c>
    </row>
    <row r="4064" spans="1:6" x14ac:dyDescent="0.3">
      <c r="A4064" s="171">
        <v>43129</v>
      </c>
      <c r="B4064" s="756" t="s">
        <v>2665</v>
      </c>
      <c r="C4064" s="756"/>
      <c r="D4064" s="71"/>
      <c r="E4064" s="72">
        <v>100000</v>
      </c>
      <c r="F4064" s="48">
        <f t="shared" si="66"/>
        <v>103045</v>
      </c>
    </row>
    <row r="4065" spans="1:6" x14ac:dyDescent="0.3">
      <c r="A4065" s="171">
        <v>43129</v>
      </c>
      <c r="B4065" s="5" t="s">
        <v>14</v>
      </c>
      <c r="C4065" s="5" t="s">
        <v>3183</v>
      </c>
      <c r="D4065" s="43">
        <v>10000</v>
      </c>
      <c r="E4065" s="43"/>
      <c r="F4065" s="48">
        <f t="shared" si="66"/>
        <v>93045</v>
      </c>
    </row>
    <row r="4066" spans="1:6" x14ac:dyDescent="0.3">
      <c r="A4066" s="171">
        <v>43129</v>
      </c>
      <c r="B4066" s="5" t="s">
        <v>2330</v>
      </c>
      <c r="C4066" s="5" t="s">
        <v>3184</v>
      </c>
      <c r="D4066" s="43">
        <v>20000</v>
      </c>
      <c r="E4066" s="43"/>
      <c r="F4066" s="48">
        <f t="shared" si="66"/>
        <v>73045</v>
      </c>
    </row>
    <row r="4067" spans="1:6" x14ac:dyDescent="0.3">
      <c r="A4067" s="171">
        <v>43129</v>
      </c>
      <c r="B4067" s="5" t="s">
        <v>2330</v>
      </c>
      <c r="C4067" s="5" t="s">
        <v>3172</v>
      </c>
      <c r="D4067" s="43">
        <v>12311</v>
      </c>
      <c r="E4067" s="43"/>
      <c r="F4067" s="48">
        <f t="shared" si="66"/>
        <v>60734</v>
      </c>
    </row>
    <row r="4068" spans="1:6" x14ac:dyDescent="0.3">
      <c r="A4068" s="171">
        <v>43129</v>
      </c>
      <c r="B4068" s="61" t="s">
        <v>58</v>
      </c>
      <c r="C4068" s="61" t="s">
        <v>3173</v>
      </c>
      <c r="D4068" s="62">
        <v>3500</v>
      </c>
      <c r="E4068" s="43"/>
      <c r="F4068" s="48">
        <f t="shared" si="66"/>
        <v>57234</v>
      </c>
    </row>
    <row r="4069" spans="1:6" x14ac:dyDescent="0.3">
      <c r="A4069" s="171">
        <v>43129</v>
      </c>
      <c r="B4069" s="5" t="s">
        <v>2155</v>
      </c>
      <c r="C4069" s="5" t="s">
        <v>3174</v>
      </c>
      <c r="D4069" s="43">
        <v>50</v>
      </c>
      <c r="E4069" s="43"/>
      <c r="F4069" s="48">
        <f t="shared" si="66"/>
        <v>57184</v>
      </c>
    </row>
    <row r="4070" spans="1:6" x14ac:dyDescent="0.3">
      <c r="A4070" s="171">
        <v>43129</v>
      </c>
      <c r="B4070" s="5" t="s">
        <v>28</v>
      </c>
      <c r="C4070" s="5" t="s">
        <v>3175</v>
      </c>
      <c r="D4070" s="43">
        <v>4000</v>
      </c>
      <c r="E4070" s="43"/>
      <c r="F4070" s="48">
        <f t="shared" si="66"/>
        <v>53184</v>
      </c>
    </row>
    <row r="4071" spans="1:6" ht="37.5" x14ac:dyDescent="0.3">
      <c r="A4071" s="171">
        <v>43130</v>
      </c>
      <c r="B4071" s="44" t="s">
        <v>60</v>
      </c>
      <c r="C4071" s="92" t="s">
        <v>3176</v>
      </c>
      <c r="D4071" s="28">
        <v>26000</v>
      </c>
      <c r="E4071" s="43"/>
      <c r="F4071" s="48">
        <f t="shared" si="66"/>
        <v>27184</v>
      </c>
    </row>
    <row r="4072" spans="1:6" x14ac:dyDescent="0.3">
      <c r="A4072" s="171">
        <v>43130</v>
      </c>
      <c r="B4072" s="5" t="s">
        <v>58</v>
      </c>
      <c r="C4072" s="5" t="s">
        <v>3177</v>
      </c>
      <c r="D4072" s="43">
        <v>9000</v>
      </c>
      <c r="E4072" s="43"/>
      <c r="F4072" s="48">
        <f t="shared" si="66"/>
        <v>18184</v>
      </c>
    </row>
    <row r="4073" spans="1:6" x14ac:dyDescent="0.3">
      <c r="A4073" s="171">
        <v>43130</v>
      </c>
      <c r="B4073" s="5" t="s">
        <v>247</v>
      </c>
      <c r="C4073" s="5" t="s">
        <v>3154</v>
      </c>
      <c r="D4073" s="43">
        <v>140</v>
      </c>
      <c r="E4073" s="43"/>
      <c r="F4073" s="48">
        <f t="shared" si="66"/>
        <v>18044</v>
      </c>
    </row>
    <row r="4074" spans="1:6" x14ac:dyDescent="0.3">
      <c r="A4074" s="171">
        <v>43130</v>
      </c>
      <c r="B4074" s="5" t="s">
        <v>28</v>
      </c>
      <c r="C4074" s="5" t="s">
        <v>3178</v>
      </c>
      <c r="D4074" s="43">
        <v>8000</v>
      </c>
      <c r="E4074" s="43"/>
      <c r="F4074" s="48">
        <f t="shared" si="66"/>
        <v>10044</v>
      </c>
    </row>
    <row r="4075" spans="1:6" x14ac:dyDescent="0.3">
      <c r="A4075" s="171">
        <v>43130</v>
      </c>
      <c r="B4075" s="5" t="s">
        <v>84</v>
      </c>
      <c r="C4075" s="5" t="s">
        <v>3179</v>
      </c>
      <c r="D4075" s="43">
        <v>1000</v>
      </c>
      <c r="E4075" s="43"/>
      <c r="F4075" s="48">
        <f t="shared" si="66"/>
        <v>9044</v>
      </c>
    </row>
    <row r="4076" spans="1:6" x14ac:dyDescent="0.3">
      <c r="A4076" s="171">
        <v>43130</v>
      </c>
      <c r="B4076" s="5" t="s">
        <v>58</v>
      </c>
      <c r="C4076" s="5" t="s">
        <v>3180</v>
      </c>
      <c r="D4076" s="43">
        <v>5000</v>
      </c>
      <c r="E4076" s="43"/>
      <c r="F4076" s="48">
        <f t="shared" si="66"/>
        <v>4044</v>
      </c>
    </row>
    <row r="4077" spans="1:6" x14ac:dyDescent="0.3">
      <c r="A4077" s="171">
        <v>43130</v>
      </c>
      <c r="B4077" s="5" t="s">
        <v>247</v>
      </c>
      <c r="C4077" s="5" t="s">
        <v>3163</v>
      </c>
      <c r="D4077" s="43">
        <v>50</v>
      </c>
      <c r="E4077" s="43"/>
      <c r="F4077" s="48">
        <f t="shared" si="66"/>
        <v>3994</v>
      </c>
    </row>
    <row r="4078" spans="1:6" x14ac:dyDescent="0.3">
      <c r="A4078" s="171">
        <v>43130</v>
      </c>
      <c r="B4078" s="5" t="s">
        <v>25</v>
      </c>
      <c r="C4078" s="5" t="s">
        <v>2202</v>
      </c>
      <c r="D4078" s="43">
        <v>360</v>
      </c>
      <c r="E4078" s="43"/>
      <c r="F4078" s="48">
        <f t="shared" si="66"/>
        <v>3634</v>
      </c>
    </row>
    <row r="4079" spans="1:6" x14ac:dyDescent="0.3">
      <c r="A4079" s="171">
        <v>43130</v>
      </c>
      <c r="B4079" s="5" t="s">
        <v>25</v>
      </c>
      <c r="C4079" s="5" t="s">
        <v>1829</v>
      </c>
      <c r="D4079" s="43">
        <v>60</v>
      </c>
      <c r="E4079" s="43"/>
      <c r="F4079" s="48">
        <f t="shared" si="66"/>
        <v>3574</v>
      </c>
    </row>
    <row r="4080" spans="1:6" x14ac:dyDescent="0.3">
      <c r="A4080" s="171">
        <v>43130</v>
      </c>
      <c r="B4080" s="5" t="s">
        <v>25</v>
      </c>
      <c r="C4080" s="5" t="s">
        <v>3055</v>
      </c>
      <c r="D4080" s="43">
        <v>100</v>
      </c>
      <c r="E4080" s="43"/>
      <c r="F4080" s="48">
        <f t="shared" si="66"/>
        <v>3474</v>
      </c>
    </row>
    <row r="4081" spans="1:6" x14ac:dyDescent="0.3">
      <c r="A4081" s="171">
        <v>43130</v>
      </c>
      <c r="B4081" s="5" t="s">
        <v>25</v>
      </c>
      <c r="C4081" s="5" t="s">
        <v>3090</v>
      </c>
      <c r="D4081" s="43">
        <v>30</v>
      </c>
      <c r="E4081" s="43"/>
      <c r="F4081" s="48">
        <f t="shared" si="66"/>
        <v>3444</v>
      </c>
    </row>
    <row r="4082" spans="1:6" x14ac:dyDescent="0.3">
      <c r="A4082" s="171">
        <v>43130</v>
      </c>
      <c r="B4082" s="5" t="s">
        <v>25</v>
      </c>
      <c r="C4082" s="5" t="s">
        <v>3181</v>
      </c>
      <c r="D4082" s="43">
        <v>90</v>
      </c>
      <c r="E4082" s="43"/>
      <c r="F4082" s="48">
        <f t="shared" si="66"/>
        <v>3354</v>
      </c>
    </row>
    <row r="4083" spans="1:6" x14ac:dyDescent="0.3">
      <c r="A4083" s="171">
        <v>43130</v>
      </c>
      <c r="B4083" s="5" t="s">
        <v>25</v>
      </c>
      <c r="C4083" s="5" t="s">
        <v>3182</v>
      </c>
      <c r="D4083" s="43">
        <v>90</v>
      </c>
      <c r="E4083" s="43"/>
      <c r="F4083" s="48">
        <f t="shared" si="66"/>
        <v>3264</v>
      </c>
    </row>
    <row r="4084" spans="1:6" x14ac:dyDescent="0.3">
      <c r="A4084" s="171">
        <v>43131</v>
      </c>
      <c r="B4084" s="5" t="s">
        <v>1616</v>
      </c>
      <c r="C4084" s="5" t="s">
        <v>2435</v>
      </c>
      <c r="D4084" s="43">
        <v>520</v>
      </c>
      <c r="E4084" s="43"/>
      <c r="F4084" s="48">
        <f t="shared" si="66"/>
        <v>2744</v>
      </c>
    </row>
    <row r="4085" spans="1:6" x14ac:dyDescent="0.3">
      <c r="A4085" s="171">
        <v>43131</v>
      </c>
      <c r="B4085" s="756" t="s">
        <v>3185</v>
      </c>
      <c r="C4085" s="756"/>
      <c r="D4085" s="71"/>
      <c r="E4085" s="72">
        <v>500</v>
      </c>
      <c r="F4085" s="48">
        <f t="shared" si="66"/>
        <v>3244</v>
      </c>
    </row>
    <row r="4086" spans="1:6" ht="37.5" x14ac:dyDescent="0.3">
      <c r="A4086" s="171">
        <v>43131</v>
      </c>
      <c r="B4086" s="44" t="s">
        <v>11</v>
      </c>
      <c r="C4086" s="124" t="s">
        <v>3186</v>
      </c>
      <c r="D4086" s="28">
        <v>2190</v>
      </c>
      <c r="E4086" s="28"/>
      <c r="F4086" s="48">
        <f t="shared" si="66"/>
        <v>1054</v>
      </c>
    </row>
    <row r="4087" spans="1:6" x14ac:dyDescent="0.3">
      <c r="A4087" s="171">
        <v>43131</v>
      </c>
      <c r="B4087" s="44" t="s">
        <v>58</v>
      </c>
      <c r="C4087" s="124" t="s">
        <v>3192</v>
      </c>
      <c r="D4087" s="28">
        <v>500</v>
      </c>
      <c r="E4087" s="28"/>
      <c r="F4087" s="48">
        <f t="shared" si="66"/>
        <v>554</v>
      </c>
    </row>
    <row r="4088" spans="1:6" x14ac:dyDescent="0.3">
      <c r="A4088" s="171">
        <v>43131</v>
      </c>
      <c r="B4088" s="5" t="s">
        <v>60</v>
      </c>
      <c r="C4088" s="5" t="s">
        <v>3187</v>
      </c>
      <c r="D4088" s="43">
        <v>500</v>
      </c>
      <c r="E4088" s="43"/>
      <c r="F4088" s="48">
        <f t="shared" si="66"/>
        <v>54</v>
      </c>
    </row>
    <row r="4089" spans="1:6" x14ac:dyDescent="0.3">
      <c r="A4089" s="171">
        <v>43132</v>
      </c>
      <c r="B4089" s="5" t="s">
        <v>247</v>
      </c>
      <c r="C4089" s="5" t="s">
        <v>2013</v>
      </c>
      <c r="D4089" s="43">
        <v>50</v>
      </c>
      <c r="E4089" s="43"/>
      <c r="F4089" s="48">
        <f t="shared" si="66"/>
        <v>4</v>
      </c>
    </row>
    <row r="4090" spans="1:6" x14ac:dyDescent="0.3">
      <c r="A4090" s="171">
        <v>43137</v>
      </c>
      <c r="B4090" s="756" t="s">
        <v>3193</v>
      </c>
      <c r="C4090" s="756"/>
      <c r="D4090" s="71"/>
      <c r="E4090" s="72">
        <v>49000</v>
      </c>
      <c r="F4090" s="48">
        <f t="shared" si="66"/>
        <v>49004</v>
      </c>
    </row>
    <row r="4091" spans="1:6" x14ac:dyDescent="0.3">
      <c r="A4091" s="171">
        <v>43137</v>
      </c>
      <c r="B4091" s="5" t="s">
        <v>14</v>
      </c>
      <c r="C4091" s="5" t="s">
        <v>3183</v>
      </c>
      <c r="D4091" s="43">
        <v>14000</v>
      </c>
      <c r="E4091" s="43"/>
      <c r="F4091" s="48">
        <f t="shared" si="66"/>
        <v>35004</v>
      </c>
    </row>
    <row r="4092" spans="1:6" x14ac:dyDescent="0.3">
      <c r="A4092" s="171">
        <v>43137</v>
      </c>
      <c r="B4092" s="5" t="s">
        <v>16</v>
      </c>
      <c r="C4092" s="5" t="s">
        <v>1049</v>
      </c>
      <c r="D4092" s="43">
        <v>8000</v>
      </c>
      <c r="E4092" s="43"/>
      <c r="F4092" s="48">
        <f t="shared" si="66"/>
        <v>27004</v>
      </c>
    </row>
    <row r="4093" spans="1:6" x14ac:dyDescent="0.3">
      <c r="A4093" s="171">
        <v>43137</v>
      </c>
      <c r="B4093" s="5" t="s">
        <v>247</v>
      </c>
      <c r="C4093" s="5" t="s">
        <v>3022</v>
      </c>
      <c r="D4093" s="65">
        <v>255</v>
      </c>
      <c r="E4093" s="43"/>
      <c r="F4093" s="48">
        <f t="shared" si="66"/>
        <v>26749</v>
      </c>
    </row>
    <row r="4094" spans="1:6" x14ac:dyDescent="0.3">
      <c r="A4094" s="171">
        <v>43137</v>
      </c>
      <c r="B4094" s="5" t="s">
        <v>247</v>
      </c>
      <c r="C4094" s="5" t="s">
        <v>3022</v>
      </c>
      <c r="D4094" s="65">
        <v>910</v>
      </c>
      <c r="E4094" s="43"/>
      <c r="F4094" s="48">
        <f t="shared" si="66"/>
        <v>25839</v>
      </c>
    </row>
    <row r="4095" spans="1:6" x14ac:dyDescent="0.3">
      <c r="A4095" s="171">
        <v>43137</v>
      </c>
      <c r="B4095" s="5" t="s">
        <v>14</v>
      </c>
      <c r="C4095" s="5" t="s">
        <v>640</v>
      </c>
      <c r="D4095" s="43">
        <v>1000</v>
      </c>
      <c r="E4095" s="43"/>
      <c r="F4095" s="48">
        <f t="shared" si="66"/>
        <v>24839</v>
      </c>
    </row>
    <row r="4096" spans="1:6" x14ac:dyDescent="0.3">
      <c r="A4096" s="171">
        <v>43137</v>
      </c>
      <c r="B4096" s="5" t="s">
        <v>247</v>
      </c>
      <c r="C4096" s="5" t="s">
        <v>3201</v>
      </c>
      <c r="D4096" s="43">
        <v>1920</v>
      </c>
      <c r="E4096" s="43"/>
      <c r="F4096" s="48">
        <f t="shared" si="66"/>
        <v>22919</v>
      </c>
    </row>
    <row r="4097" spans="1:6" x14ac:dyDescent="0.3">
      <c r="A4097" s="171">
        <v>43137</v>
      </c>
      <c r="B4097" s="5" t="s">
        <v>25</v>
      </c>
      <c r="C4097" s="5" t="s">
        <v>3202</v>
      </c>
      <c r="D4097" s="43">
        <v>300</v>
      </c>
      <c r="E4097" s="43"/>
      <c r="F4097" s="48">
        <f t="shared" si="66"/>
        <v>22619</v>
      </c>
    </row>
    <row r="4098" spans="1:6" x14ac:dyDescent="0.3">
      <c r="A4098" s="171">
        <v>43137</v>
      </c>
      <c r="B4098" s="5" t="s">
        <v>25</v>
      </c>
      <c r="C4098" s="5" t="s">
        <v>667</v>
      </c>
      <c r="D4098" s="43">
        <v>100</v>
      </c>
      <c r="E4098" s="43"/>
      <c r="F4098" s="48">
        <f t="shared" si="66"/>
        <v>22519</v>
      </c>
    </row>
    <row r="4099" spans="1:6" x14ac:dyDescent="0.3">
      <c r="A4099" s="171">
        <v>43137</v>
      </c>
      <c r="B4099" s="5" t="s">
        <v>541</v>
      </c>
      <c r="C4099" s="5" t="s">
        <v>2875</v>
      </c>
      <c r="D4099" s="43">
        <v>140</v>
      </c>
      <c r="E4099" s="43"/>
      <c r="F4099" s="48">
        <f t="shared" si="66"/>
        <v>22379</v>
      </c>
    </row>
    <row r="4100" spans="1:6" x14ac:dyDescent="0.3">
      <c r="A4100" s="171">
        <v>43137</v>
      </c>
      <c r="B4100" s="5" t="s">
        <v>1410</v>
      </c>
      <c r="C4100" s="5" t="s">
        <v>3194</v>
      </c>
      <c r="D4100" s="43">
        <v>2000</v>
      </c>
      <c r="E4100" s="43"/>
      <c r="F4100" s="48">
        <f t="shared" si="66"/>
        <v>20379</v>
      </c>
    </row>
    <row r="4101" spans="1:6" x14ac:dyDescent="0.3">
      <c r="A4101" s="171">
        <v>43137</v>
      </c>
      <c r="B4101" s="5" t="s">
        <v>2330</v>
      </c>
      <c r="C4101" s="5" t="s">
        <v>3195</v>
      </c>
      <c r="D4101" s="43">
        <v>2000</v>
      </c>
      <c r="E4101" s="43"/>
      <c r="F4101" s="48">
        <f t="shared" si="66"/>
        <v>18379</v>
      </c>
    </row>
    <row r="4102" spans="1:6" x14ac:dyDescent="0.3">
      <c r="A4102" s="171">
        <v>43137</v>
      </c>
      <c r="B4102" s="5" t="s">
        <v>2346</v>
      </c>
      <c r="C4102" s="5" t="s">
        <v>3196</v>
      </c>
      <c r="D4102" s="43">
        <v>1000</v>
      </c>
      <c r="E4102" s="43"/>
      <c r="F4102" s="48">
        <f t="shared" si="66"/>
        <v>17379</v>
      </c>
    </row>
    <row r="4103" spans="1:6" x14ac:dyDescent="0.3">
      <c r="A4103" s="171">
        <v>43137</v>
      </c>
      <c r="B4103" s="5" t="s">
        <v>2330</v>
      </c>
      <c r="C4103" s="5" t="s">
        <v>3203</v>
      </c>
      <c r="D4103" s="43">
        <v>4990</v>
      </c>
      <c r="E4103" s="43"/>
      <c r="F4103" s="48">
        <f t="shared" si="66"/>
        <v>12389</v>
      </c>
    </row>
    <row r="4104" spans="1:6" x14ac:dyDescent="0.3">
      <c r="A4104" s="171">
        <v>43137</v>
      </c>
      <c r="B4104" s="5" t="s">
        <v>14</v>
      </c>
      <c r="C4104" s="5" t="s">
        <v>3197</v>
      </c>
      <c r="D4104" s="43">
        <v>3641</v>
      </c>
      <c r="E4104" s="43"/>
      <c r="F4104" s="48">
        <f t="shared" si="66"/>
        <v>8748</v>
      </c>
    </row>
    <row r="4105" spans="1:6" x14ac:dyDescent="0.3">
      <c r="A4105" s="171">
        <v>43137</v>
      </c>
      <c r="B4105" s="5" t="s">
        <v>11</v>
      </c>
      <c r="C4105" s="5" t="s">
        <v>3199</v>
      </c>
      <c r="D4105" s="43">
        <v>200</v>
      </c>
      <c r="E4105" s="43"/>
      <c r="F4105" s="48">
        <f t="shared" si="66"/>
        <v>8548</v>
      </c>
    </row>
    <row r="4106" spans="1:6" x14ac:dyDescent="0.3">
      <c r="A4106" s="171">
        <v>43137</v>
      </c>
      <c r="B4106" s="5" t="s">
        <v>25</v>
      </c>
      <c r="C4106" s="5" t="s">
        <v>2657</v>
      </c>
      <c r="D4106" s="43">
        <v>100</v>
      </c>
      <c r="E4106" s="43"/>
      <c r="F4106" s="48">
        <f t="shared" si="66"/>
        <v>8448</v>
      </c>
    </row>
    <row r="4107" spans="1:6" x14ac:dyDescent="0.3">
      <c r="A4107" s="171">
        <v>43137</v>
      </c>
      <c r="B4107" s="5" t="s">
        <v>247</v>
      </c>
      <c r="C4107" s="5" t="s">
        <v>2990</v>
      </c>
      <c r="D4107" s="43">
        <v>430</v>
      </c>
      <c r="E4107" s="43"/>
      <c r="F4107" s="48">
        <f t="shared" ref="F4107:F4170" si="67">F4106-D4107+E4107</f>
        <v>8018</v>
      </c>
    </row>
    <row r="4108" spans="1:6" x14ac:dyDescent="0.3">
      <c r="A4108" s="171">
        <v>43137</v>
      </c>
      <c r="B4108" s="5" t="s">
        <v>25</v>
      </c>
      <c r="C4108" s="5" t="s">
        <v>3188</v>
      </c>
      <c r="D4108" s="43">
        <v>760</v>
      </c>
      <c r="E4108" s="43"/>
      <c r="F4108" s="48">
        <f t="shared" si="67"/>
        <v>7258</v>
      </c>
    </row>
    <row r="4109" spans="1:6" x14ac:dyDescent="0.3">
      <c r="A4109" s="171">
        <v>43137</v>
      </c>
      <c r="B4109" s="5" t="s">
        <v>25</v>
      </c>
      <c r="C4109" s="5" t="s">
        <v>82</v>
      </c>
      <c r="D4109" s="43">
        <v>180</v>
      </c>
      <c r="E4109" s="43"/>
      <c r="F4109" s="48">
        <f t="shared" si="67"/>
        <v>7078</v>
      </c>
    </row>
    <row r="4110" spans="1:6" x14ac:dyDescent="0.3">
      <c r="A4110" s="171">
        <v>43137</v>
      </c>
      <c r="B4110" s="5" t="s">
        <v>25</v>
      </c>
      <c r="C4110" s="5" t="s">
        <v>3189</v>
      </c>
      <c r="D4110" s="43">
        <v>235</v>
      </c>
      <c r="E4110" s="43"/>
      <c r="F4110" s="48">
        <f t="shared" si="67"/>
        <v>6843</v>
      </c>
    </row>
    <row r="4111" spans="1:6" x14ac:dyDescent="0.3">
      <c r="A4111" s="171">
        <v>43137</v>
      </c>
      <c r="B4111" s="5" t="s">
        <v>25</v>
      </c>
      <c r="C4111" s="5" t="s">
        <v>3190</v>
      </c>
      <c r="D4111" s="43">
        <v>150</v>
      </c>
      <c r="E4111" s="43"/>
      <c r="F4111" s="48">
        <f t="shared" si="67"/>
        <v>6693</v>
      </c>
    </row>
    <row r="4112" spans="1:6" x14ac:dyDescent="0.3">
      <c r="A4112" s="171">
        <v>43137</v>
      </c>
      <c r="B4112" s="5" t="s">
        <v>25</v>
      </c>
      <c r="C4112" s="5" t="s">
        <v>3191</v>
      </c>
      <c r="D4112" s="43">
        <v>190</v>
      </c>
      <c r="E4112" s="43"/>
      <c r="F4112" s="48">
        <f t="shared" si="67"/>
        <v>6503</v>
      </c>
    </row>
    <row r="4113" spans="1:6" x14ac:dyDescent="0.3">
      <c r="A4113" s="171">
        <v>43137</v>
      </c>
      <c r="B4113" s="5" t="s">
        <v>25</v>
      </c>
      <c r="C4113" s="5" t="s">
        <v>1829</v>
      </c>
      <c r="D4113" s="43">
        <v>60</v>
      </c>
      <c r="E4113" s="43"/>
      <c r="F4113" s="48">
        <f t="shared" si="67"/>
        <v>6443</v>
      </c>
    </row>
    <row r="4114" spans="1:6" x14ac:dyDescent="0.3">
      <c r="A4114" s="171">
        <v>43137</v>
      </c>
      <c r="B4114" s="5" t="s">
        <v>25</v>
      </c>
      <c r="C4114" s="5" t="s">
        <v>939</v>
      </c>
      <c r="D4114" s="43">
        <v>100</v>
      </c>
      <c r="E4114" s="43"/>
      <c r="F4114" s="48">
        <f t="shared" si="67"/>
        <v>6343</v>
      </c>
    </row>
    <row r="4115" spans="1:6" x14ac:dyDescent="0.3">
      <c r="A4115" s="171">
        <v>43137</v>
      </c>
      <c r="B4115" s="5" t="s">
        <v>11</v>
      </c>
      <c r="C4115" s="5" t="s">
        <v>3198</v>
      </c>
      <c r="D4115" s="43">
        <v>4000</v>
      </c>
      <c r="E4115" s="43"/>
      <c r="F4115" s="48">
        <f t="shared" si="67"/>
        <v>2343</v>
      </c>
    </row>
    <row r="4116" spans="1:6" x14ac:dyDescent="0.3">
      <c r="A4116" s="171">
        <v>43137</v>
      </c>
      <c r="B4116" s="5" t="s">
        <v>2674</v>
      </c>
      <c r="C4116" s="5" t="s">
        <v>3200</v>
      </c>
      <c r="D4116" s="43">
        <v>100</v>
      </c>
      <c r="E4116" s="43"/>
      <c r="F4116" s="48">
        <f t="shared" si="67"/>
        <v>2243</v>
      </c>
    </row>
    <row r="4117" spans="1:6" x14ac:dyDescent="0.3">
      <c r="A4117" s="171">
        <v>43138</v>
      </c>
      <c r="B4117" s="5" t="s">
        <v>25</v>
      </c>
      <c r="C4117" s="5" t="s">
        <v>3204</v>
      </c>
      <c r="D4117" s="43">
        <v>120</v>
      </c>
      <c r="E4117" s="43"/>
      <c r="F4117" s="48">
        <f t="shared" si="67"/>
        <v>2123</v>
      </c>
    </row>
    <row r="4118" spans="1:6" x14ac:dyDescent="0.3">
      <c r="A4118" s="171">
        <v>43139</v>
      </c>
      <c r="B4118" s="756" t="s">
        <v>3206</v>
      </c>
      <c r="C4118" s="756"/>
      <c r="D4118" s="71"/>
      <c r="E4118" s="72">
        <v>50000</v>
      </c>
      <c r="F4118" s="48">
        <f t="shared" si="67"/>
        <v>52123</v>
      </c>
    </row>
    <row r="4119" spans="1:6" x14ac:dyDescent="0.3">
      <c r="A4119" s="171">
        <v>43139</v>
      </c>
      <c r="B4119" s="5" t="s">
        <v>3207</v>
      </c>
      <c r="C4119" s="5" t="s">
        <v>3208</v>
      </c>
      <c r="D4119" s="43">
        <f>8500+4000</f>
        <v>12500</v>
      </c>
      <c r="E4119" s="43"/>
      <c r="F4119" s="48">
        <f t="shared" si="67"/>
        <v>39623</v>
      </c>
    </row>
    <row r="4120" spans="1:6" x14ac:dyDescent="0.3">
      <c r="A4120" s="171">
        <v>43139</v>
      </c>
      <c r="B4120" s="5" t="s">
        <v>58</v>
      </c>
      <c r="C4120" s="5" t="s">
        <v>3209</v>
      </c>
      <c r="D4120" s="43">
        <v>20000</v>
      </c>
      <c r="E4120" s="43"/>
      <c r="F4120" s="48">
        <f t="shared" si="67"/>
        <v>19623</v>
      </c>
    </row>
    <row r="4121" spans="1:6" ht="37.5" x14ac:dyDescent="0.3">
      <c r="A4121" s="171">
        <v>43139</v>
      </c>
      <c r="B4121" s="5" t="s">
        <v>2330</v>
      </c>
      <c r="C4121" s="92" t="s">
        <v>3210</v>
      </c>
      <c r="D4121" s="43">
        <v>13587</v>
      </c>
      <c r="E4121" s="43"/>
      <c r="F4121" s="48">
        <f t="shared" si="67"/>
        <v>6036</v>
      </c>
    </row>
    <row r="4122" spans="1:6" x14ac:dyDescent="0.3">
      <c r="A4122" s="171">
        <v>43139</v>
      </c>
      <c r="B4122" s="5" t="s">
        <v>3205</v>
      </c>
      <c r="C4122" s="92" t="s">
        <v>3215</v>
      </c>
      <c r="D4122" s="43">
        <v>1700</v>
      </c>
      <c r="E4122" s="43"/>
      <c r="F4122" s="48">
        <f t="shared" si="67"/>
        <v>4336</v>
      </c>
    </row>
    <row r="4123" spans="1:6" x14ac:dyDescent="0.3">
      <c r="A4123" s="171">
        <v>43139</v>
      </c>
      <c r="B4123" s="5" t="s">
        <v>25</v>
      </c>
      <c r="C4123" s="5" t="s">
        <v>939</v>
      </c>
      <c r="D4123" s="43">
        <v>380</v>
      </c>
      <c r="E4123" s="43"/>
      <c r="F4123" s="48">
        <f t="shared" si="67"/>
        <v>3956</v>
      </c>
    </row>
    <row r="4124" spans="1:6" x14ac:dyDescent="0.3">
      <c r="A4124" s="171">
        <v>43139</v>
      </c>
      <c r="B4124" s="5" t="s">
        <v>25</v>
      </c>
      <c r="C4124" s="5" t="s">
        <v>3214</v>
      </c>
      <c r="D4124" s="43">
        <f>120+25</f>
        <v>145</v>
      </c>
      <c r="E4124" s="43"/>
      <c r="F4124" s="48">
        <f t="shared" si="67"/>
        <v>3811</v>
      </c>
    </row>
    <row r="4125" spans="1:6" x14ac:dyDescent="0.3">
      <c r="A4125" s="171">
        <v>43139</v>
      </c>
      <c r="B4125" s="5" t="s">
        <v>25</v>
      </c>
      <c r="C4125" s="5" t="s">
        <v>3117</v>
      </c>
      <c r="D4125" s="43">
        <v>90</v>
      </c>
      <c r="E4125" s="43"/>
      <c r="F4125" s="48">
        <f t="shared" si="67"/>
        <v>3721</v>
      </c>
    </row>
    <row r="4126" spans="1:6" x14ac:dyDescent="0.3">
      <c r="A4126" s="171">
        <v>43139</v>
      </c>
      <c r="B4126" s="5" t="s">
        <v>25</v>
      </c>
      <c r="C4126" s="5" t="s">
        <v>3211</v>
      </c>
      <c r="D4126" s="43">
        <v>570</v>
      </c>
      <c r="E4126" s="43"/>
      <c r="F4126" s="48">
        <f t="shared" si="67"/>
        <v>3151</v>
      </c>
    </row>
    <row r="4127" spans="1:6" x14ac:dyDescent="0.3">
      <c r="A4127" s="171">
        <v>43139</v>
      </c>
      <c r="B4127" s="5" t="s">
        <v>247</v>
      </c>
      <c r="C4127" s="5" t="s">
        <v>3212</v>
      </c>
      <c r="D4127" s="43">
        <v>250</v>
      </c>
      <c r="E4127" s="43"/>
      <c r="F4127" s="48">
        <f t="shared" si="67"/>
        <v>2901</v>
      </c>
    </row>
    <row r="4128" spans="1:6" x14ac:dyDescent="0.3">
      <c r="A4128" s="171">
        <v>43139</v>
      </c>
      <c r="B4128" s="5" t="s">
        <v>247</v>
      </c>
      <c r="C4128" s="5" t="s">
        <v>3212</v>
      </c>
      <c r="D4128" s="43">
        <v>85</v>
      </c>
      <c r="E4128" s="43"/>
      <c r="F4128" s="48">
        <f t="shared" si="67"/>
        <v>2816</v>
      </c>
    </row>
    <row r="4129" spans="1:6" x14ac:dyDescent="0.3">
      <c r="A4129" s="171">
        <v>43139</v>
      </c>
      <c r="B4129" s="5" t="s">
        <v>25</v>
      </c>
      <c r="C4129" s="5" t="s">
        <v>3181</v>
      </c>
      <c r="D4129" s="43">
        <v>110</v>
      </c>
      <c r="E4129" s="43"/>
      <c r="F4129" s="48">
        <f t="shared" si="67"/>
        <v>2706</v>
      </c>
    </row>
    <row r="4130" spans="1:6" x14ac:dyDescent="0.3">
      <c r="A4130" s="171">
        <v>43139</v>
      </c>
      <c r="B4130" s="5" t="s">
        <v>25</v>
      </c>
      <c r="C4130" s="5" t="s">
        <v>3213</v>
      </c>
      <c r="D4130" s="43">
        <v>80</v>
      </c>
      <c r="E4130" s="43"/>
      <c r="F4130" s="48">
        <f t="shared" si="67"/>
        <v>2626</v>
      </c>
    </row>
    <row r="4131" spans="1:6" x14ac:dyDescent="0.3">
      <c r="A4131" s="171">
        <v>43139</v>
      </c>
      <c r="B4131" s="5" t="s">
        <v>2159</v>
      </c>
      <c r="C4131" s="5" t="s">
        <v>3216</v>
      </c>
      <c r="D4131" s="43">
        <v>3000</v>
      </c>
      <c r="E4131" s="43"/>
      <c r="F4131" s="48">
        <f t="shared" si="67"/>
        <v>-374</v>
      </c>
    </row>
    <row r="4132" spans="1:6" x14ac:dyDescent="0.3">
      <c r="A4132" s="171">
        <v>43140</v>
      </c>
      <c r="B4132" s="756" t="s">
        <v>2665</v>
      </c>
      <c r="C4132" s="756"/>
      <c r="D4132" s="71"/>
      <c r="E4132" s="72">
        <v>100000</v>
      </c>
      <c r="F4132" s="48">
        <f t="shared" si="67"/>
        <v>99626</v>
      </c>
    </row>
    <row r="4133" spans="1:6" x14ac:dyDescent="0.3">
      <c r="A4133" s="171">
        <v>43140</v>
      </c>
      <c r="B4133" s="5" t="s">
        <v>247</v>
      </c>
      <c r="C4133" s="5" t="s">
        <v>3217</v>
      </c>
      <c r="D4133" s="43">
        <v>120</v>
      </c>
      <c r="E4133" s="43"/>
      <c r="F4133" s="48">
        <f t="shared" si="67"/>
        <v>99506</v>
      </c>
    </row>
    <row r="4134" spans="1:6" x14ac:dyDescent="0.3">
      <c r="A4134" s="171">
        <v>43140</v>
      </c>
      <c r="B4134" s="756" t="s">
        <v>3228</v>
      </c>
      <c r="C4134" s="756"/>
      <c r="D4134" s="71"/>
      <c r="E4134" s="72">
        <v>6052</v>
      </c>
      <c r="F4134" s="48">
        <f t="shared" si="67"/>
        <v>105558</v>
      </c>
    </row>
    <row r="4135" spans="1:6" x14ac:dyDescent="0.3">
      <c r="A4135" s="171">
        <v>43140</v>
      </c>
      <c r="B4135" s="5" t="s">
        <v>247</v>
      </c>
      <c r="C4135" s="5" t="s">
        <v>3218</v>
      </c>
      <c r="D4135" s="43">
        <v>3000</v>
      </c>
      <c r="E4135" s="43"/>
      <c r="F4135" s="48">
        <f t="shared" si="67"/>
        <v>102558</v>
      </c>
    </row>
    <row r="4136" spans="1:6" x14ac:dyDescent="0.3">
      <c r="A4136" s="171">
        <v>43140</v>
      </c>
      <c r="B4136" s="5" t="s">
        <v>14</v>
      </c>
      <c r="C4136" s="5" t="s">
        <v>3140</v>
      </c>
      <c r="D4136" s="43">
        <v>5000</v>
      </c>
      <c r="E4136" s="43"/>
      <c r="F4136" s="48">
        <f t="shared" si="67"/>
        <v>97558</v>
      </c>
    </row>
    <row r="4137" spans="1:6" x14ac:dyDescent="0.3">
      <c r="A4137" s="171">
        <v>43141</v>
      </c>
      <c r="B4137" s="5" t="s">
        <v>2159</v>
      </c>
      <c r="C4137" s="5" t="s">
        <v>3219</v>
      </c>
      <c r="D4137" s="43">
        <v>55000</v>
      </c>
      <c r="E4137" s="43"/>
      <c r="F4137" s="48">
        <f t="shared" si="67"/>
        <v>42558</v>
      </c>
    </row>
    <row r="4138" spans="1:6" x14ac:dyDescent="0.3">
      <c r="A4138" s="171">
        <v>43141</v>
      </c>
      <c r="B4138" s="5" t="s">
        <v>1193</v>
      </c>
      <c r="C4138" s="5" t="s">
        <v>3233</v>
      </c>
      <c r="D4138" s="43">
        <v>2000</v>
      </c>
      <c r="E4138" s="43"/>
      <c r="F4138" s="48">
        <f t="shared" si="67"/>
        <v>40558</v>
      </c>
    </row>
    <row r="4139" spans="1:6" x14ac:dyDescent="0.3">
      <c r="A4139" s="171">
        <v>43141</v>
      </c>
      <c r="B4139" s="5" t="s">
        <v>3220</v>
      </c>
      <c r="C4139" s="5" t="s">
        <v>1256</v>
      </c>
      <c r="D4139" s="43">
        <v>10000</v>
      </c>
      <c r="E4139" s="43"/>
      <c r="F4139" s="48">
        <f t="shared" si="67"/>
        <v>30558</v>
      </c>
    </row>
    <row r="4140" spans="1:6" x14ac:dyDescent="0.3">
      <c r="A4140" s="171">
        <v>43141</v>
      </c>
      <c r="B4140" s="5" t="s">
        <v>25</v>
      </c>
      <c r="C4140" s="5" t="s">
        <v>3221</v>
      </c>
      <c r="D4140" s="43">
        <v>2200</v>
      </c>
      <c r="E4140" s="43"/>
      <c r="F4140" s="48">
        <f t="shared" si="67"/>
        <v>28358</v>
      </c>
    </row>
    <row r="4141" spans="1:6" x14ac:dyDescent="0.3">
      <c r="A4141" s="171">
        <v>43141</v>
      </c>
      <c r="B4141" s="5" t="s">
        <v>60</v>
      </c>
      <c r="C4141" s="5" t="s">
        <v>3234</v>
      </c>
      <c r="D4141" s="43">
        <v>500</v>
      </c>
      <c r="E4141" s="43"/>
      <c r="F4141" s="48">
        <f t="shared" si="67"/>
        <v>27858</v>
      </c>
    </row>
    <row r="4142" spans="1:6" x14ac:dyDescent="0.3">
      <c r="A4142" s="171">
        <v>43141</v>
      </c>
      <c r="B4142" s="5" t="s">
        <v>2155</v>
      </c>
      <c r="C4142" s="5" t="s">
        <v>3222</v>
      </c>
      <c r="D4142" s="43">
        <v>5000</v>
      </c>
      <c r="E4142" s="43"/>
      <c r="F4142" s="48">
        <f t="shared" si="67"/>
        <v>22858</v>
      </c>
    </row>
    <row r="4143" spans="1:6" x14ac:dyDescent="0.3">
      <c r="A4143" s="171">
        <v>43141</v>
      </c>
      <c r="B4143" s="5" t="s">
        <v>25</v>
      </c>
      <c r="C4143" s="5" t="s">
        <v>3223</v>
      </c>
      <c r="D4143" s="43">
        <v>300</v>
      </c>
      <c r="E4143" s="43"/>
      <c r="F4143" s="48">
        <f t="shared" si="67"/>
        <v>22558</v>
      </c>
    </row>
    <row r="4144" spans="1:6" x14ac:dyDescent="0.3">
      <c r="A4144" s="171">
        <v>43141</v>
      </c>
      <c r="B4144" s="5" t="s">
        <v>16</v>
      </c>
      <c r="C4144" s="5" t="s">
        <v>3224</v>
      </c>
      <c r="D4144" s="43">
        <v>100</v>
      </c>
      <c r="E4144" s="43"/>
      <c r="F4144" s="48">
        <f t="shared" si="67"/>
        <v>22458</v>
      </c>
    </row>
    <row r="4145" spans="1:6" x14ac:dyDescent="0.3">
      <c r="A4145" s="171">
        <v>43141</v>
      </c>
      <c r="B4145" s="5" t="s">
        <v>1343</v>
      </c>
      <c r="C4145" s="5" t="s">
        <v>3225</v>
      </c>
      <c r="D4145" s="43">
        <v>2000</v>
      </c>
      <c r="E4145" s="43"/>
      <c r="F4145" s="48">
        <f t="shared" si="67"/>
        <v>20458</v>
      </c>
    </row>
    <row r="4146" spans="1:6" x14ac:dyDescent="0.3">
      <c r="A4146" s="171">
        <v>43141</v>
      </c>
      <c r="B4146" s="5" t="s">
        <v>3205</v>
      </c>
      <c r="C4146" s="5" t="s">
        <v>3226</v>
      </c>
      <c r="D4146" s="43">
        <v>500</v>
      </c>
      <c r="E4146" s="43"/>
      <c r="F4146" s="48">
        <f t="shared" si="67"/>
        <v>19958</v>
      </c>
    </row>
    <row r="4147" spans="1:6" x14ac:dyDescent="0.3">
      <c r="A4147" s="171">
        <v>43141</v>
      </c>
      <c r="B4147" s="5" t="s">
        <v>14</v>
      </c>
      <c r="C4147" s="5" t="s">
        <v>294</v>
      </c>
      <c r="D4147" s="43">
        <v>15000</v>
      </c>
      <c r="E4147" s="43"/>
      <c r="F4147" s="48">
        <f t="shared" si="67"/>
        <v>4958</v>
      </c>
    </row>
    <row r="4148" spans="1:6" x14ac:dyDescent="0.3">
      <c r="A4148" s="171">
        <v>43141</v>
      </c>
      <c r="B4148" s="5" t="s">
        <v>2155</v>
      </c>
      <c r="C4148" s="5" t="s">
        <v>3227</v>
      </c>
      <c r="D4148" s="43">
        <v>520</v>
      </c>
      <c r="E4148" s="43"/>
      <c r="F4148" s="48">
        <f t="shared" si="67"/>
        <v>4438</v>
      </c>
    </row>
    <row r="4149" spans="1:6" x14ac:dyDescent="0.3">
      <c r="A4149" s="171">
        <v>43141</v>
      </c>
      <c r="B4149" s="5" t="s">
        <v>25</v>
      </c>
      <c r="C4149" s="5" t="s">
        <v>3229</v>
      </c>
      <c r="D4149" s="43">
        <v>170</v>
      </c>
      <c r="E4149" s="43"/>
      <c r="F4149" s="48">
        <f t="shared" si="67"/>
        <v>4268</v>
      </c>
    </row>
    <row r="4150" spans="1:6" x14ac:dyDescent="0.3">
      <c r="A4150" s="171">
        <v>43141</v>
      </c>
      <c r="B4150" s="5" t="s">
        <v>541</v>
      </c>
      <c r="C4150" s="5" t="s">
        <v>3231</v>
      </c>
      <c r="D4150" s="43">
        <v>80</v>
      </c>
      <c r="E4150" s="43"/>
      <c r="F4150" s="48">
        <f t="shared" si="67"/>
        <v>4188</v>
      </c>
    </row>
    <row r="4151" spans="1:6" x14ac:dyDescent="0.3">
      <c r="A4151" s="171">
        <v>43141</v>
      </c>
      <c r="B4151" s="5" t="s">
        <v>25</v>
      </c>
      <c r="C4151" s="5" t="s">
        <v>3230</v>
      </c>
      <c r="D4151" s="43">
        <v>220</v>
      </c>
      <c r="E4151" s="43"/>
      <c r="F4151" s="48">
        <f t="shared" si="67"/>
        <v>3968</v>
      </c>
    </row>
    <row r="4152" spans="1:6" x14ac:dyDescent="0.3">
      <c r="A4152" s="171">
        <v>43141</v>
      </c>
      <c r="B4152" s="5" t="s">
        <v>25</v>
      </c>
      <c r="C4152" s="5" t="s">
        <v>1829</v>
      </c>
      <c r="D4152" s="43">
        <v>60</v>
      </c>
      <c r="E4152" s="43"/>
      <c r="F4152" s="48">
        <f t="shared" si="67"/>
        <v>3908</v>
      </c>
    </row>
    <row r="4153" spans="1:6" x14ac:dyDescent="0.3">
      <c r="A4153" s="171">
        <v>43141</v>
      </c>
      <c r="B4153" s="5" t="s">
        <v>25</v>
      </c>
      <c r="C4153" s="5" t="s">
        <v>3232</v>
      </c>
      <c r="D4153" s="43">
        <v>80</v>
      </c>
      <c r="E4153" s="43"/>
      <c r="F4153" s="48">
        <f t="shared" si="67"/>
        <v>3828</v>
      </c>
    </row>
    <row r="4154" spans="1:6" x14ac:dyDescent="0.3">
      <c r="A4154" s="171">
        <v>43141</v>
      </c>
      <c r="B4154" s="756" t="s">
        <v>3238</v>
      </c>
      <c r="C4154" s="756"/>
      <c r="D4154" s="71"/>
      <c r="E4154" s="72">
        <v>3648</v>
      </c>
      <c r="F4154" s="48">
        <v>3648</v>
      </c>
    </row>
    <row r="4155" spans="1:6" x14ac:dyDescent="0.3">
      <c r="A4155" s="171">
        <v>43143</v>
      </c>
      <c r="B4155" s="756" t="s">
        <v>3235</v>
      </c>
      <c r="C4155" s="756"/>
      <c r="D4155" s="71"/>
      <c r="E4155" s="72">
        <v>9100</v>
      </c>
      <c r="F4155" s="48">
        <f t="shared" si="67"/>
        <v>12748</v>
      </c>
    </row>
    <row r="4156" spans="1:6" x14ac:dyDescent="0.3">
      <c r="A4156" s="171">
        <v>43143</v>
      </c>
      <c r="B4156" s="5" t="s">
        <v>60</v>
      </c>
      <c r="C4156" s="5" t="s">
        <v>3236</v>
      </c>
      <c r="D4156" s="43">
        <v>2500</v>
      </c>
      <c r="E4156" s="43"/>
      <c r="F4156" s="48">
        <f t="shared" si="67"/>
        <v>10248</v>
      </c>
    </row>
    <row r="4157" spans="1:6" x14ac:dyDescent="0.3">
      <c r="A4157" s="171">
        <v>43143</v>
      </c>
      <c r="B4157" s="5" t="s">
        <v>58</v>
      </c>
      <c r="C4157" s="5" t="s">
        <v>3237</v>
      </c>
      <c r="D4157" s="43">
        <v>9500</v>
      </c>
      <c r="E4157" s="43"/>
      <c r="F4157" s="48">
        <f t="shared" si="67"/>
        <v>748</v>
      </c>
    </row>
    <row r="4158" spans="1:6" x14ac:dyDescent="0.3">
      <c r="A4158" s="171">
        <v>43144</v>
      </c>
      <c r="B4158" s="756" t="s">
        <v>3239</v>
      </c>
      <c r="C4158" s="756"/>
      <c r="D4158" s="71"/>
      <c r="E4158" s="72"/>
      <c r="F4158" s="48">
        <v>748</v>
      </c>
    </row>
    <row r="4159" spans="1:6" x14ac:dyDescent="0.3">
      <c r="A4159" s="171">
        <v>43144</v>
      </c>
      <c r="B4159" s="5" t="s">
        <v>541</v>
      </c>
      <c r="C4159" s="5" t="s">
        <v>2985</v>
      </c>
      <c r="D4159" s="43">
        <v>748</v>
      </c>
      <c r="E4159" s="43"/>
      <c r="F4159" s="48">
        <f t="shared" si="67"/>
        <v>0</v>
      </c>
    </row>
    <row r="4160" spans="1:6" x14ac:dyDescent="0.3">
      <c r="A4160" s="171">
        <v>43144</v>
      </c>
      <c r="B4160" s="756" t="s">
        <v>1981</v>
      </c>
      <c r="C4160" s="756"/>
      <c r="D4160" s="71"/>
      <c r="E4160" s="72">
        <v>180000</v>
      </c>
      <c r="F4160" s="48">
        <f t="shared" si="67"/>
        <v>180000</v>
      </c>
    </row>
    <row r="4161" spans="1:6" x14ac:dyDescent="0.3">
      <c r="A4161" s="171">
        <v>43145</v>
      </c>
      <c r="B4161" s="5" t="s">
        <v>2594</v>
      </c>
      <c r="C4161" s="5" t="s">
        <v>3258</v>
      </c>
      <c r="D4161" s="43">
        <v>37000</v>
      </c>
      <c r="E4161" s="43"/>
      <c r="F4161" s="48">
        <f t="shared" si="67"/>
        <v>143000</v>
      </c>
    </row>
    <row r="4162" spans="1:6" x14ac:dyDescent="0.3">
      <c r="A4162" s="171">
        <v>43146</v>
      </c>
      <c r="B4162" s="5" t="s">
        <v>541</v>
      </c>
      <c r="C4162" s="5" t="s">
        <v>3247</v>
      </c>
      <c r="D4162" s="43">
        <v>25150</v>
      </c>
      <c r="E4162" s="43"/>
      <c r="F4162" s="48">
        <f t="shared" si="67"/>
        <v>117850</v>
      </c>
    </row>
    <row r="4163" spans="1:6" ht="37.5" x14ac:dyDescent="0.3">
      <c r="A4163" s="171">
        <v>43145</v>
      </c>
      <c r="B4163" s="5" t="s">
        <v>58</v>
      </c>
      <c r="C4163" s="92" t="s">
        <v>3250</v>
      </c>
      <c r="D4163" s="43">
        <v>8500</v>
      </c>
      <c r="E4163" s="43"/>
      <c r="F4163" s="48">
        <f t="shared" si="67"/>
        <v>109350</v>
      </c>
    </row>
    <row r="4164" spans="1:6" x14ac:dyDescent="0.3">
      <c r="A4164" s="171">
        <v>43145</v>
      </c>
      <c r="B4164" s="5" t="s">
        <v>84</v>
      </c>
      <c r="C4164" s="5" t="s">
        <v>3104</v>
      </c>
      <c r="D4164" s="43">
        <v>1500</v>
      </c>
      <c r="E4164" s="43"/>
      <c r="F4164" s="48">
        <f t="shared" si="67"/>
        <v>107850</v>
      </c>
    </row>
    <row r="4165" spans="1:6" x14ac:dyDescent="0.3">
      <c r="A4165" s="171">
        <v>43145</v>
      </c>
      <c r="B4165" s="5" t="s">
        <v>84</v>
      </c>
      <c r="C4165" s="5" t="s">
        <v>3251</v>
      </c>
      <c r="D4165" s="43">
        <v>4000</v>
      </c>
      <c r="E4165" s="43"/>
      <c r="F4165" s="48">
        <f t="shared" si="67"/>
        <v>103850</v>
      </c>
    </row>
    <row r="4166" spans="1:6" x14ac:dyDescent="0.3">
      <c r="A4166" s="171">
        <v>43145</v>
      </c>
      <c r="B4166" s="5" t="s">
        <v>2159</v>
      </c>
      <c r="C4166" s="5" t="s">
        <v>3259</v>
      </c>
      <c r="D4166" s="43">
        <v>15000</v>
      </c>
      <c r="E4166" s="43"/>
      <c r="F4166" s="48">
        <f t="shared" si="67"/>
        <v>88850</v>
      </c>
    </row>
    <row r="4167" spans="1:6" x14ac:dyDescent="0.3">
      <c r="A4167" s="171">
        <v>43144</v>
      </c>
      <c r="B4167" s="5" t="s">
        <v>2330</v>
      </c>
      <c r="C4167" s="5" t="s">
        <v>3245</v>
      </c>
      <c r="D4167" s="43">
        <f>10200+2500</f>
        <v>12700</v>
      </c>
      <c r="E4167" s="43"/>
      <c r="F4167" s="48">
        <f t="shared" si="67"/>
        <v>76150</v>
      </c>
    </row>
    <row r="4168" spans="1:6" x14ac:dyDescent="0.3">
      <c r="A4168" s="171">
        <v>43146</v>
      </c>
      <c r="B4168" s="5" t="s">
        <v>58</v>
      </c>
      <c r="C4168" s="5" t="s">
        <v>3249</v>
      </c>
      <c r="D4168" s="43">
        <v>10000</v>
      </c>
      <c r="E4168" s="43"/>
      <c r="F4168" s="48">
        <f t="shared" si="67"/>
        <v>66150</v>
      </c>
    </row>
    <row r="4169" spans="1:6" x14ac:dyDescent="0.3">
      <c r="A4169" s="171">
        <v>43145</v>
      </c>
      <c r="B4169" s="5" t="s">
        <v>3207</v>
      </c>
      <c r="C4169" s="5" t="s">
        <v>3260</v>
      </c>
      <c r="D4169" s="43">
        <v>7500</v>
      </c>
      <c r="E4169" s="43"/>
      <c r="F4169" s="48">
        <f t="shared" si="67"/>
        <v>58650</v>
      </c>
    </row>
    <row r="4170" spans="1:6" x14ac:dyDescent="0.3">
      <c r="A4170" s="171">
        <v>43144</v>
      </c>
      <c r="B4170" s="5" t="s">
        <v>16</v>
      </c>
      <c r="C4170" s="5" t="s">
        <v>3270</v>
      </c>
      <c r="D4170" s="43">
        <v>3600</v>
      </c>
      <c r="E4170" s="43"/>
      <c r="F4170" s="48">
        <f t="shared" si="67"/>
        <v>55050</v>
      </c>
    </row>
    <row r="4171" spans="1:6" x14ac:dyDescent="0.3">
      <c r="A4171" s="171">
        <v>43144</v>
      </c>
      <c r="B4171" s="5" t="s">
        <v>1616</v>
      </c>
      <c r="C4171" s="5" t="s">
        <v>3244</v>
      </c>
      <c r="D4171" s="43">
        <v>3000</v>
      </c>
      <c r="E4171" s="43"/>
      <c r="F4171" s="48">
        <f t="shared" ref="F4171:F4234" si="68">F4170-D4171+E4171</f>
        <v>52050</v>
      </c>
    </row>
    <row r="4172" spans="1:6" ht="37.5" x14ac:dyDescent="0.3">
      <c r="A4172" s="171">
        <v>43144</v>
      </c>
      <c r="B4172" s="44" t="s">
        <v>11</v>
      </c>
      <c r="C4172" s="92" t="s">
        <v>3243</v>
      </c>
      <c r="D4172" s="43">
        <v>1620</v>
      </c>
      <c r="E4172" s="43"/>
      <c r="F4172" s="48">
        <f t="shared" si="68"/>
        <v>50430</v>
      </c>
    </row>
    <row r="4173" spans="1:6" x14ac:dyDescent="0.3">
      <c r="A4173" s="171">
        <v>43144</v>
      </c>
      <c r="B4173" s="5" t="s">
        <v>1616</v>
      </c>
      <c r="C4173" s="5" t="s">
        <v>3261</v>
      </c>
      <c r="D4173" s="43">
        <v>1500</v>
      </c>
      <c r="E4173" s="43"/>
      <c r="F4173" s="48">
        <f t="shared" si="68"/>
        <v>48930</v>
      </c>
    </row>
    <row r="4174" spans="1:6" ht="56.25" x14ac:dyDescent="0.3">
      <c r="A4174" s="171">
        <v>43146</v>
      </c>
      <c r="B4174" s="5" t="s">
        <v>3246</v>
      </c>
      <c r="C4174" s="92" t="s">
        <v>3255</v>
      </c>
      <c r="D4174" s="43">
        <v>2460</v>
      </c>
      <c r="E4174" s="43"/>
      <c r="F4174" s="48">
        <f t="shared" si="68"/>
        <v>46470</v>
      </c>
    </row>
    <row r="4175" spans="1:6" x14ac:dyDescent="0.3">
      <c r="A4175" s="171">
        <v>43144</v>
      </c>
      <c r="B4175" s="5" t="s">
        <v>84</v>
      </c>
      <c r="C4175" s="5" t="s">
        <v>3242</v>
      </c>
      <c r="D4175" s="43">
        <v>1000</v>
      </c>
      <c r="E4175" s="43"/>
      <c r="F4175" s="48">
        <f t="shared" si="68"/>
        <v>45470</v>
      </c>
    </row>
    <row r="4176" spans="1:6" x14ac:dyDescent="0.3">
      <c r="A4176" s="171">
        <v>43144</v>
      </c>
      <c r="B4176" s="5" t="s">
        <v>3240</v>
      </c>
      <c r="C4176" s="5" t="s">
        <v>3241</v>
      </c>
      <c r="D4176" s="43">
        <v>850</v>
      </c>
      <c r="E4176" s="43"/>
      <c r="F4176" s="48">
        <f t="shared" si="68"/>
        <v>44620</v>
      </c>
    </row>
    <row r="4177" spans="1:6" x14ac:dyDescent="0.3">
      <c r="A4177" s="171">
        <v>43146</v>
      </c>
      <c r="B4177" s="128" t="s">
        <v>247</v>
      </c>
      <c r="C4177" s="128" t="s">
        <v>3248</v>
      </c>
      <c r="D4177" s="130">
        <v>500</v>
      </c>
      <c r="E4177" s="43"/>
      <c r="F4177" s="48">
        <f t="shared" si="68"/>
        <v>44120</v>
      </c>
    </row>
    <row r="4178" spans="1:6" x14ac:dyDescent="0.3">
      <c r="A4178" s="171">
        <v>43146</v>
      </c>
      <c r="B4178" s="5" t="s">
        <v>3252</v>
      </c>
      <c r="C4178" s="5" t="s">
        <v>3253</v>
      </c>
      <c r="D4178" s="43">
        <v>300</v>
      </c>
      <c r="E4178" s="43"/>
      <c r="F4178" s="48">
        <f t="shared" si="68"/>
        <v>43820</v>
      </c>
    </row>
    <row r="4179" spans="1:6" x14ac:dyDescent="0.3">
      <c r="A4179" s="171">
        <v>43146</v>
      </c>
      <c r="B4179" s="5" t="s">
        <v>2594</v>
      </c>
      <c r="C4179" s="5" t="s">
        <v>40</v>
      </c>
      <c r="D4179" s="43">
        <v>40000</v>
      </c>
      <c r="E4179" s="43"/>
      <c r="F4179" s="48">
        <f t="shared" si="68"/>
        <v>3820</v>
      </c>
    </row>
    <row r="4180" spans="1:6" x14ac:dyDescent="0.3">
      <c r="A4180" s="171">
        <v>43146</v>
      </c>
      <c r="B4180" s="756" t="s">
        <v>2665</v>
      </c>
      <c r="C4180" s="756"/>
      <c r="D4180" s="71"/>
      <c r="E4180" s="72">
        <v>50000</v>
      </c>
      <c r="F4180" s="48">
        <f t="shared" si="68"/>
        <v>53820</v>
      </c>
    </row>
    <row r="4181" spans="1:6" x14ac:dyDescent="0.3">
      <c r="A4181" s="171">
        <v>43146</v>
      </c>
      <c r="B4181" s="5" t="s">
        <v>58</v>
      </c>
      <c r="C4181" s="5" t="s">
        <v>3257</v>
      </c>
      <c r="D4181" s="43">
        <v>7500</v>
      </c>
      <c r="E4181" s="43"/>
      <c r="F4181" s="48">
        <f t="shared" si="68"/>
        <v>46320</v>
      </c>
    </row>
    <row r="4182" spans="1:6" ht="37.5" x14ac:dyDescent="0.3">
      <c r="A4182" s="171">
        <v>43147</v>
      </c>
      <c r="B4182" s="44" t="s">
        <v>1837</v>
      </c>
      <c r="C4182" s="124" t="s">
        <v>3254</v>
      </c>
      <c r="D4182" s="28">
        <v>5000</v>
      </c>
      <c r="E4182" s="28"/>
      <c r="F4182" s="48">
        <f t="shared" si="68"/>
        <v>41320</v>
      </c>
    </row>
    <row r="4183" spans="1:6" x14ac:dyDescent="0.3">
      <c r="A4183" s="171">
        <v>43147</v>
      </c>
      <c r="B4183" s="128" t="s">
        <v>58</v>
      </c>
      <c r="C4183" s="128" t="s">
        <v>3256</v>
      </c>
      <c r="D4183" s="130">
        <v>500</v>
      </c>
      <c r="E4183" s="43"/>
      <c r="F4183" s="48">
        <f t="shared" si="68"/>
        <v>40820</v>
      </c>
    </row>
    <row r="4184" spans="1:6" x14ac:dyDescent="0.3">
      <c r="A4184" s="171">
        <v>43147</v>
      </c>
      <c r="B4184" s="5" t="s">
        <v>2594</v>
      </c>
      <c r="C4184" s="5" t="s">
        <v>294</v>
      </c>
      <c r="D4184" s="43">
        <v>30000</v>
      </c>
      <c r="E4184" s="43"/>
      <c r="F4184" s="48">
        <f t="shared" si="68"/>
        <v>10820</v>
      </c>
    </row>
    <row r="4185" spans="1:6" x14ac:dyDescent="0.3">
      <c r="A4185" s="171">
        <v>43147</v>
      </c>
      <c r="B4185" s="5" t="s">
        <v>25</v>
      </c>
      <c r="C4185" s="5" t="s">
        <v>3262</v>
      </c>
      <c r="D4185" s="43">
        <v>210</v>
      </c>
      <c r="E4185" s="43"/>
      <c r="F4185" s="48">
        <f t="shared" si="68"/>
        <v>10610</v>
      </c>
    </row>
    <row r="4186" spans="1:6" x14ac:dyDescent="0.3">
      <c r="A4186" s="171">
        <v>43147</v>
      </c>
      <c r="B4186" s="5" t="s">
        <v>25</v>
      </c>
      <c r="C4186" s="5" t="s">
        <v>939</v>
      </c>
      <c r="D4186" s="43">
        <v>380</v>
      </c>
      <c r="E4186" s="43"/>
      <c r="F4186" s="48">
        <f t="shared" si="68"/>
        <v>10230</v>
      </c>
    </row>
    <row r="4187" spans="1:6" x14ac:dyDescent="0.3">
      <c r="A4187" s="171">
        <v>43147</v>
      </c>
      <c r="B4187" s="5" t="s">
        <v>25</v>
      </c>
      <c r="C4187" s="5" t="s">
        <v>3267</v>
      </c>
      <c r="D4187" s="43">
        <v>80</v>
      </c>
      <c r="E4187" s="43"/>
      <c r="F4187" s="48">
        <f t="shared" si="68"/>
        <v>10150</v>
      </c>
    </row>
    <row r="4188" spans="1:6" x14ac:dyDescent="0.3">
      <c r="A4188" s="171">
        <v>43147</v>
      </c>
      <c r="B4188" s="5" t="s">
        <v>25</v>
      </c>
      <c r="C4188" s="5" t="s">
        <v>51</v>
      </c>
      <c r="D4188" s="43">
        <v>270</v>
      </c>
      <c r="E4188" s="43"/>
      <c r="F4188" s="48">
        <f t="shared" si="68"/>
        <v>9880</v>
      </c>
    </row>
    <row r="4189" spans="1:6" x14ac:dyDescent="0.3">
      <c r="A4189" s="171">
        <v>43147</v>
      </c>
      <c r="B4189" s="5" t="s">
        <v>25</v>
      </c>
      <c r="C4189" s="5" t="s">
        <v>81</v>
      </c>
      <c r="D4189" s="43">
        <v>100</v>
      </c>
      <c r="E4189" s="43"/>
      <c r="F4189" s="48">
        <f t="shared" si="68"/>
        <v>9780</v>
      </c>
    </row>
    <row r="4190" spans="1:6" x14ac:dyDescent="0.3">
      <c r="A4190" s="171">
        <v>43147</v>
      </c>
      <c r="B4190" s="5" t="s">
        <v>25</v>
      </c>
      <c r="C4190" s="5" t="s">
        <v>2659</v>
      </c>
      <c r="D4190" s="43">
        <v>350</v>
      </c>
      <c r="E4190" s="43"/>
      <c r="F4190" s="48">
        <f t="shared" si="68"/>
        <v>9430</v>
      </c>
    </row>
    <row r="4191" spans="1:6" x14ac:dyDescent="0.3">
      <c r="A4191" s="171">
        <v>43147</v>
      </c>
      <c r="B4191" s="5" t="s">
        <v>25</v>
      </c>
      <c r="C4191" s="5" t="s">
        <v>2741</v>
      </c>
      <c r="D4191" s="43">
        <v>240</v>
      </c>
      <c r="E4191" s="43"/>
      <c r="F4191" s="48">
        <f t="shared" si="68"/>
        <v>9190</v>
      </c>
    </row>
    <row r="4192" spans="1:6" x14ac:dyDescent="0.3">
      <c r="A4192" s="171">
        <v>43147</v>
      </c>
      <c r="B4192" s="5" t="s">
        <v>25</v>
      </c>
      <c r="C4192" s="5" t="s">
        <v>3263</v>
      </c>
      <c r="D4192" s="43">
        <v>70</v>
      </c>
      <c r="E4192" s="43"/>
      <c r="F4192" s="48">
        <f t="shared" si="68"/>
        <v>9120</v>
      </c>
    </row>
    <row r="4193" spans="1:6" x14ac:dyDescent="0.3">
      <c r="A4193" s="171">
        <v>43147</v>
      </c>
      <c r="B4193" s="5" t="s">
        <v>25</v>
      </c>
      <c r="C4193" s="5" t="s">
        <v>2685</v>
      </c>
      <c r="D4193" s="43">
        <v>20</v>
      </c>
      <c r="E4193" s="43"/>
      <c r="F4193" s="48">
        <f t="shared" si="68"/>
        <v>9100</v>
      </c>
    </row>
    <row r="4194" spans="1:6" x14ac:dyDescent="0.3">
      <c r="A4194" s="171">
        <v>43147</v>
      </c>
      <c r="B4194" s="5" t="s">
        <v>3264</v>
      </c>
      <c r="C4194" s="5" t="s">
        <v>2013</v>
      </c>
      <c r="D4194" s="43">
        <v>50</v>
      </c>
      <c r="E4194" s="43"/>
      <c r="F4194" s="48">
        <f t="shared" si="68"/>
        <v>9050</v>
      </c>
    </row>
    <row r="4195" spans="1:6" x14ac:dyDescent="0.3">
      <c r="A4195" s="171">
        <v>43147</v>
      </c>
      <c r="B4195" s="5" t="s">
        <v>25</v>
      </c>
      <c r="C4195" s="5" t="s">
        <v>667</v>
      </c>
      <c r="D4195" s="43">
        <v>100</v>
      </c>
      <c r="E4195" s="43"/>
      <c r="F4195" s="48">
        <f t="shared" si="68"/>
        <v>8950</v>
      </c>
    </row>
    <row r="4196" spans="1:6" x14ac:dyDescent="0.3">
      <c r="A4196" s="171">
        <v>43147</v>
      </c>
      <c r="B4196" s="5" t="s">
        <v>1837</v>
      </c>
      <c r="C4196" s="5" t="s">
        <v>3266</v>
      </c>
      <c r="D4196" s="43">
        <v>2300</v>
      </c>
      <c r="E4196" s="43"/>
      <c r="F4196" s="48">
        <f t="shared" si="68"/>
        <v>6650</v>
      </c>
    </row>
    <row r="4197" spans="1:6" x14ac:dyDescent="0.3">
      <c r="A4197" s="171">
        <v>43147</v>
      </c>
      <c r="B4197" s="5" t="s">
        <v>16</v>
      </c>
      <c r="C4197" s="5" t="s">
        <v>3271</v>
      </c>
      <c r="D4197" s="43">
        <v>1200</v>
      </c>
      <c r="E4197" s="43"/>
      <c r="F4197" s="48">
        <f t="shared" si="68"/>
        <v>5450</v>
      </c>
    </row>
    <row r="4198" spans="1:6" x14ac:dyDescent="0.3">
      <c r="A4198" s="171">
        <v>43147</v>
      </c>
      <c r="B4198" s="5" t="s">
        <v>0</v>
      </c>
      <c r="C4198" s="5" t="s">
        <v>1049</v>
      </c>
      <c r="D4198" s="43">
        <v>100</v>
      </c>
      <c r="E4198" s="43"/>
      <c r="F4198" s="48">
        <f t="shared" si="68"/>
        <v>5350</v>
      </c>
    </row>
    <row r="4199" spans="1:6" x14ac:dyDescent="0.3">
      <c r="A4199" s="171">
        <v>43148</v>
      </c>
      <c r="B4199" s="756" t="s">
        <v>3265</v>
      </c>
      <c r="C4199" s="756"/>
      <c r="D4199" s="71"/>
      <c r="E4199" s="72">
        <v>5750</v>
      </c>
      <c r="F4199" s="48">
        <f t="shared" si="68"/>
        <v>11100</v>
      </c>
    </row>
    <row r="4200" spans="1:6" x14ac:dyDescent="0.3">
      <c r="A4200" s="171">
        <v>43148</v>
      </c>
      <c r="B4200" s="5" t="s">
        <v>25</v>
      </c>
      <c r="C4200" s="5" t="s">
        <v>3117</v>
      </c>
      <c r="D4200" s="43">
        <v>80</v>
      </c>
      <c r="E4200" s="43"/>
      <c r="F4200" s="48">
        <f t="shared" si="68"/>
        <v>11020</v>
      </c>
    </row>
    <row r="4201" spans="1:6" x14ac:dyDescent="0.3">
      <c r="A4201" s="171">
        <v>43148</v>
      </c>
      <c r="B4201" s="5" t="s">
        <v>25</v>
      </c>
      <c r="C4201" s="5" t="s">
        <v>2659</v>
      </c>
      <c r="D4201" s="43">
        <v>350</v>
      </c>
      <c r="E4201" s="43"/>
      <c r="F4201" s="48">
        <f t="shared" si="68"/>
        <v>10670</v>
      </c>
    </row>
    <row r="4202" spans="1:6" x14ac:dyDescent="0.3">
      <c r="A4202" s="171">
        <v>43148</v>
      </c>
      <c r="B4202" s="5" t="s">
        <v>25</v>
      </c>
      <c r="C4202" s="5" t="s">
        <v>1829</v>
      </c>
      <c r="D4202" s="43">
        <v>60</v>
      </c>
      <c r="E4202" s="43"/>
      <c r="F4202" s="48">
        <f t="shared" si="68"/>
        <v>10610</v>
      </c>
    </row>
    <row r="4203" spans="1:6" x14ac:dyDescent="0.3">
      <c r="A4203" s="171">
        <v>43148</v>
      </c>
      <c r="B4203" s="5" t="s">
        <v>25</v>
      </c>
      <c r="C4203" s="5" t="s">
        <v>3268</v>
      </c>
      <c r="D4203" s="43">
        <v>350</v>
      </c>
      <c r="E4203" s="43"/>
      <c r="F4203" s="48">
        <f t="shared" si="68"/>
        <v>10260</v>
      </c>
    </row>
    <row r="4204" spans="1:6" x14ac:dyDescent="0.3">
      <c r="A4204" s="171">
        <v>43148</v>
      </c>
      <c r="B4204" s="5" t="s">
        <v>25</v>
      </c>
      <c r="C4204" s="5" t="s">
        <v>3269</v>
      </c>
      <c r="D4204" s="43">
        <v>410</v>
      </c>
      <c r="E4204" s="43"/>
      <c r="F4204" s="48">
        <f t="shared" si="68"/>
        <v>9850</v>
      </c>
    </row>
    <row r="4205" spans="1:6" x14ac:dyDescent="0.3">
      <c r="A4205" s="171">
        <v>43148</v>
      </c>
      <c r="B4205" s="5" t="s">
        <v>25</v>
      </c>
      <c r="C4205" s="5" t="s">
        <v>3272</v>
      </c>
      <c r="D4205" s="43">
        <v>480</v>
      </c>
      <c r="E4205" s="43"/>
      <c r="F4205" s="48">
        <f t="shared" si="68"/>
        <v>9370</v>
      </c>
    </row>
    <row r="4206" spans="1:6" x14ac:dyDescent="0.3">
      <c r="A4206" s="171">
        <v>43150</v>
      </c>
      <c r="B4206" s="5" t="s">
        <v>541</v>
      </c>
      <c r="C4206" s="5" t="s">
        <v>640</v>
      </c>
      <c r="D4206" s="43">
        <v>5000</v>
      </c>
      <c r="E4206" s="43"/>
      <c r="F4206" s="48">
        <f t="shared" si="68"/>
        <v>4370</v>
      </c>
    </row>
    <row r="4207" spans="1:6" x14ac:dyDescent="0.3">
      <c r="A4207" s="171">
        <v>43150</v>
      </c>
      <c r="B4207" s="5" t="s">
        <v>58</v>
      </c>
      <c r="C4207" s="5" t="s">
        <v>3273</v>
      </c>
      <c r="D4207" s="65">
        <v>200</v>
      </c>
      <c r="E4207" s="43"/>
      <c r="F4207" s="48">
        <f t="shared" si="68"/>
        <v>4170</v>
      </c>
    </row>
    <row r="4208" spans="1:6" ht="56.25" x14ac:dyDescent="0.3">
      <c r="A4208" s="171">
        <v>43150</v>
      </c>
      <c r="B4208" s="5" t="s">
        <v>2159</v>
      </c>
      <c r="C4208" s="92" t="s">
        <v>3349</v>
      </c>
      <c r="D4208" s="43">
        <v>3500</v>
      </c>
      <c r="E4208" s="43"/>
      <c r="F4208" s="48">
        <f t="shared" si="68"/>
        <v>670</v>
      </c>
    </row>
    <row r="4209" spans="1:6" x14ac:dyDescent="0.3">
      <c r="A4209" s="171">
        <v>43152</v>
      </c>
      <c r="B4209" s="5" t="s">
        <v>25</v>
      </c>
      <c r="C4209" s="5" t="s">
        <v>3274</v>
      </c>
      <c r="D4209" s="43">
        <v>160</v>
      </c>
      <c r="E4209" s="43"/>
      <c r="F4209" s="48">
        <f t="shared" si="68"/>
        <v>510</v>
      </c>
    </row>
    <row r="4210" spans="1:6" x14ac:dyDescent="0.3">
      <c r="A4210" s="171">
        <v>43152</v>
      </c>
      <c r="B4210" s="5" t="s">
        <v>25</v>
      </c>
      <c r="C4210" s="5" t="s">
        <v>3275</v>
      </c>
      <c r="D4210" s="43">
        <v>70</v>
      </c>
      <c r="E4210" s="43"/>
      <c r="F4210" s="48">
        <f t="shared" si="68"/>
        <v>440</v>
      </c>
    </row>
    <row r="4211" spans="1:6" x14ac:dyDescent="0.3">
      <c r="A4211" s="171">
        <v>43152</v>
      </c>
      <c r="B4211" s="5" t="s">
        <v>25</v>
      </c>
      <c r="C4211" s="5" t="s">
        <v>1829</v>
      </c>
      <c r="D4211" s="43">
        <v>70</v>
      </c>
      <c r="E4211" s="43"/>
      <c r="F4211" s="48">
        <f t="shared" si="68"/>
        <v>370</v>
      </c>
    </row>
    <row r="4212" spans="1:6" x14ac:dyDescent="0.3">
      <c r="A4212" s="171">
        <v>43152</v>
      </c>
      <c r="B4212" s="756" t="s">
        <v>1981</v>
      </c>
      <c r="C4212" s="756"/>
      <c r="D4212" s="71"/>
      <c r="E4212" s="72">
        <v>5000</v>
      </c>
      <c r="F4212" s="48">
        <f t="shared" si="68"/>
        <v>5370</v>
      </c>
    </row>
    <row r="4213" spans="1:6" x14ac:dyDescent="0.3">
      <c r="A4213" s="171">
        <v>43152</v>
      </c>
      <c r="B4213" s="5" t="s">
        <v>25</v>
      </c>
      <c r="C4213" s="5" t="s">
        <v>3276</v>
      </c>
      <c r="D4213" s="43">
        <v>1040</v>
      </c>
      <c r="E4213" s="43"/>
      <c r="F4213" s="48">
        <f t="shared" si="68"/>
        <v>4330</v>
      </c>
    </row>
    <row r="4214" spans="1:6" x14ac:dyDescent="0.3">
      <c r="A4214" s="171">
        <v>43152</v>
      </c>
      <c r="B4214" s="5" t="s">
        <v>25</v>
      </c>
      <c r="C4214" s="5" t="s">
        <v>3277</v>
      </c>
      <c r="D4214" s="43">
        <v>150</v>
      </c>
      <c r="E4214" s="43"/>
      <c r="F4214" s="48">
        <f t="shared" si="68"/>
        <v>4180</v>
      </c>
    </row>
    <row r="4215" spans="1:6" x14ac:dyDescent="0.3">
      <c r="A4215" s="171">
        <v>43152</v>
      </c>
      <c r="B4215" s="5" t="s">
        <v>541</v>
      </c>
      <c r="C4215" s="5" t="s">
        <v>3117</v>
      </c>
      <c r="D4215" s="43">
        <v>70</v>
      </c>
      <c r="E4215" s="43"/>
      <c r="F4215" s="48">
        <f t="shared" si="68"/>
        <v>4110</v>
      </c>
    </row>
    <row r="4216" spans="1:6" x14ac:dyDescent="0.3">
      <c r="A4216" s="171">
        <v>43152</v>
      </c>
      <c r="B4216" s="5" t="s">
        <v>84</v>
      </c>
      <c r="C4216" s="5" t="s">
        <v>3278</v>
      </c>
      <c r="D4216" s="43">
        <v>2000</v>
      </c>
      <c r="E4216" s="43"/>
      <c r="F4216" s="48">
        <f t="shared" si="68"/>
        <v>2110</v>
      </c>
    </row>
    <row r="4217" spans="1:6" x14ac:dyDescent="0.3">
      <c r="A4217" s="171">
        <v>43152</v>
      </c>
      <c r="B4217" s="5" t="s">
        <v>58</v>
      </c>
      <c r="C4217" s="5" t="s">
        <v>3279</v>
      </c>
      <c r="D4217" s="43">
        <v>750</v>
      </c>
      <c r="E4217" s="43"/>
      <c r="F4217" s="48">
        <f t="shared" si="68"/>
        <v>1360</v>
      </c>
    </row>
    <row r="4218" spans="1:6" x14ac:dyDescent="0.3">
      <c r="A4218" s="171">
        <v>43152</v>
      </c>
      <c r="B4218" s="5" t="s">
        <v>58</v>
      </c>
      <c r="C4218" s="5" t="s">
        <v>3280</v>
      </c>
      <c r="D4218" s="43">
        <v>250</v>
      </c>
      <c r="E4218" s="43"/>
      <c r="F4218" s="48">
        <f t="shared" si="68"/>
        <v>1110</v>
      </c>
    </row>
    <row r="4219" spans="1:6" x14ac:dyDescent="0.3">
      <c r="A4219" s="171">
        <v>43153</v>
      </c>
      <c r="B4219" s="5" t="s">
        <v>247</v>
      </c>
      <c r="C4219" s="5" t="s">
        <v>3281</v>
      </c>
      <c r="D4219" s="43">
        <v>185</v>
      </c>
      <c r="E4219" s="43"/>
      <c r="F4219" s="48">
        <f t="shared" si="68"/>
        <v>925</v>
      </c>
    </row>
    <row r="4220" spans="1:6" x14ac:dyDescent="0.3">
      <c r="A4220" s="171">
        <v>43153</v>
      </c>
      <c r="B4220" s="5" t="s">
        <v>25</v>
      </c>
      <c r="C4220" s="5" t="s">
        <v>2659</v>
      </c>
      <c r="D4220" s="43">
        <v>360</v>
      </c>
      <c r="E4220" s="43"/>
      <c r="F4220" s="48">
        <f t="shared" si="68"/>
        <v>565</v>
      </c>
    </row>
    <row r="4221" spans="1:6" x14ac:dyDescent="0.3">
      <c r="A4221" s="171">
        <v>43153</v>
      </c>
      <c r="B4221" s="5" t="s">
        <v>25</v>
      </c>
      <c r="C4221" s="5" t="s">
        <v>3282</v>
      </c>
      <c r="D4221" s="43">
        <v>30</v>
      </c>
      <c r="E4221" s="43"/>
      <c r="F4221" s="48">
        <f t="shared" si="68"/>
        <v>535</v>
      </c>
    </row>
    <row r="4222" spans="1:6" x14ac:dyDescent="0.3">
      <c r="A4222" s="171">
        <v>43152</v>
      </c>
      <c r="B4222" s="5" t="s">
        <v>541</v>
      </c>
      <c r="C4222" s="5" t="s">
        <v>3117</v>
      </c>
      <c r="D4222" s="43">
        <v>70</v>
      </c>
      <c r="E4222" s="43"/>
      <c r="F4222" s="48">
        <f t="shared" si="68"/>
        <v>465</v>
      </c>
    </row>
    <row r="4223" spans="1:6" x14ac:dyDescent="0.3">
      <c r="A4223" s="171">
        <v>43152</v>
      </c>
      <c r="B4223" s="5" t="s">
        <v>25</v>
      </c>
      <c r="C4223" s="5" t="s">
        <v>3037</v>
      </c>
      <c r="D4223" s="43">
        <v>150</v>
      </c>
      <c r="E4223" s="43"/>
      <c r="F4223" s="48">
        <f t="shared" si="68"/>
        <v>315</v>
      </c>
    </row>
    <row r="4224" spans="1:6" x14ac:dyDescent="0.3">
      <c r="A4224" s="171">
        <v>43152</v>
      </c>
      <c r="B4224" s="5" t="s">
        <v>25</v>
      </c>
      <c r="C4224" s="5" t="s">
        <v>3283</v>
      </c>
      <c r="D4224" s="43">
        <v>240</v>
      </c>
      <c r="E4224" s="43"/>
      <c r="F4224" s="48">
        <f t="shared" si="68"/>
        <v>75</v>
      </c>
    </row>
    <row r="4225" spans="1:6" x14ac:dyDescent="0.3">
      <c r="A4225" s="171">
        <v>43153</v>
      </c>
      <c r="B4225" s="756" t="s">
        <v>1981</v>
      </c>
      <c r="C4225" s="756"/>
      <c r="D4225" s="71"/>
      <c r="E4225" s="72">
        <v>97000</v>
      </c>
      <c r="F4225" s="48">
        <f t="shared" si="68"/>
        <v>97075</v>
      </c>
    </row>
    <row r="4226" spans="1:6" x14ac:dyDescent="0.3">
      <c r="A4226" s="171">
        <v>43154</v>
      </c>
      <c r="B4226" s="5" t="s">
        <v>25</v>
      </c>
      <c r="C4226" s="5" t="s">
        <v>3293</v>
      </c>
      <c r="D4226" s="43">
        <v>5000</v>
      </c>
      <c r="E4226" s="43"/>
      <c r="F4226" s="48">
        <f t="shared" si="68"/>
        <v>92075</v>
      </c>
    </row>
    <row r="4227" spans="1:6" x14ac:dyDescent="0.3">
      <c r="A4227" s="171">
        <v>43154</v>
      </c>
      <c r="B4227" s="5" t="s">
        <v>14</v>
      </c>
      <c r="C4227" s="5" t="s">
        <v>3288</v>
      </c>
      <c r="D4227" s="43">
        <v>2000</v>
      </c>
      <c r="E4227" s="43"/>
      <c r="F4227" s="48">
        <f t="shared" si="68"/>
        <v>90075</v>
      </c>
    </row>
    <row r="4228" spans="1:6" x14ac:dyDescent="0.3">
      <c r="A4228" s="171">
        <v>43154</v>
      </c>
      <c r="B4228" s="5" t="s">
        <v>28</v>
      </c>
      <c r="C4228" s="5" t="s">
        <v>3294</v>
      </c>
      <c r="D4228" s="43">
        <v>5000</v>
      </c>
      <c r="E4228" s="43"/>
      <c r="F4228" s="48">
        <f t="shared" si="68"/>
        <v>85075</v>
      </c>
    </row>
    <row r="4229" spans="1:6" x14ac:dyDescent="0.3">
      <c r="A4229" s="171">
        <v>43154</v>
      </c>
      <c r="B4229" s="5" t="s">
        <v>3207</v>
      </c>
      <c r="C4229" s="5" t="s">
        <v>3284</v>
      </c>
      <c r="D4229" s="43">
        <v>5000</v>
      </c>
      <c r="E4229" s="43"/>
      <c r="F4229" s="48">
        <f t="shared" si="68"/>
        <v>80075</v>
      </c>
    </row>
    <row r="4230" spans="1:6" x14ac:dyDescent="0.3">
      <c r="A4230" s="171">
        <v>43154</v>
      </c>
      <c r="B4230" s="5" t="s">
        <v>14</v>
      </c>
      <c r="C4230" s="5" t="s">
        <v>2637</v>
      </c>
      <c r="D4230" s="43">
        <v>1000</v>
      </c>
      <c r="E4230" s="43"/>
      <c r="F4230" s="48">
        <f t="shared" si="68"/>
        <v>79075</v>
      </c>
    </row>
    <row r="4231" spans="1:6" x14ac:dyDescent="0.3">
      <c r="A4231" s="171">
        <v>43154</v>
      </c>
      <c r="B4231" s="5" t="s">
        <v>14</v>
      </c>
      <c r="C4231" s="5" t="s">
        <v>3295</v>
      </c>
      <c r="D4231" s="168">
        <v>2300</v>
      </c>
      <c r="E4231" s="43"/>
      <c r="F4231" s="48">
        <f t="shared" si="68"/>
        <v>76775</v>
      </c>
    </row>
    <row r="4232" spans="1:6" x14ac:dyDescent="0.3">
      <c r="A4232" s="171">
        <v>43154</v>
      </c>
      <c r="B4232" s="5" t="s">
        <v>25</v>
      </c>
      <c r="C4232" s="5" t="s">
        <v>3285</v>
      </c>
      <c r="D4232" s="43">
        <v>700</v>
      </c>
      <c r="E4232" s="43"/>
      <c r="F4232" s="48">
        <f t="shared" si="68"/>
        <v>76075</v>
      </c>
    </row>
    <row r="4233" spans="1:6" x14ac:dyDescent="0.3">
      <c r="A4233" s="171">
        <v>43154</v>
      </c>
      <c r="B4233" s="5" t="s">
        <v>28</v>
      </c>
      <c r="C4233" s="5" t="s">
        <v>3296</v>
      </c>
      <c r="D4233" s="43">
        <v>5000</v>
      </c>
      <c r="E4233" s="43"/>
      <c r="F4233" s="48">
        <f t="shared" si="68"/>
        <v>71075</v>
      </c>
    </row>
    <row r="4234" spans="1:6" x14ac:dyDescent="0.3">
      <c r="A4234" s="171">
        <v>43154</v>
      </c>
      <c r="B4234" s="5" t="s">
        <v>2594</v>
      </c>
      <c r="C4234" s="5" t="s">
        <v>3286</v>
      </c>
      <c r="D4234" s="43">
        <v>2500</v>
      </c>
      <c r="E4234" s="43"/>
      <c r="F4234" s="48">
        <f t="shared" si="68"/>
        <v>68575</v>
      </c>
    </row>
    <row r="4235" spans="1:6" x14ac:dyDescent="0.3">
      <c r="A4235" s="171">
        <v>43154</v>
      </c>
      <c r="B4235" s="5" t="s">
        <v>60</v>
      </c>
      <c r="C4235" s="5" t="s">
        <v>3292</v>
      </c>
      <c r="D4235" s="43">
        <v>1100</v>
      </c>
      <c r="E4235" s="43"/>
      <c r="F4235" s="48">
        <f t="shared" ref="F4235:F4298" si="69">F4234-D4235+E4235</f>
        <v>67475</v>
      </c>
    </row>
    <row r="4236" spans="1:6" x14ac:dyDescent="0.3">
      <c r="A4236" s="171">
        <v>43154</v>
      </c>
      <c r="B4236" s="5" t="s">
        <v>14</v>
      </c>
      <c r="C4236" s="5" t="s">
        <v>3288</v>
      </c>
      <c r="D4236" s="43">
        <v>5000</v>
      </c>
      <c r="E4236" s="43"/>
      <c r="F4236" s="48">
        <f t="shared" si="69"/>
        <v>62475</v>
      </c>
    </row>
    <row r="4237" spans="1:6" x14ac:dyDescent="0.3">
      <c r="A4237" s="171">
        <v>43154</v>
      </c>
      <c r="B4237" s="5" t="s">
        <v>3207</v>
      </c>
      <c r="C4237" s="5" t="s">
        <v>3287</v>
      </c>
      <c r="D4237" s="43">
        <v>5000</v>
      </c>
      <c r="E4237" s="43"/>
      <c r="F4237" s="48">
        <f t="shared" si="69"/>
        <v>57475</v>
      </c>
    </row>
    <row r="4238" spans="1:6" x14ac:dyDescent="0.3">
      <c r="A4238" s="171">
        <v>43154</v>
      </c>
      <c r="B4238" s="5" t="s">
        <v>1193</v>
      </c>
      <c r="C4238" s="5" t="s">
        <v>3289</v>
      </c>
      <c r="D4238" s="43">
        <v>1500</v>
      </c>
      <c r="E4238" s="43"/>
      <c r="F4238" s="48">
        <f t="shared" si="69"/>
        <v>55975</v>
      </c>
    </row>
    <row r="4239" spans="1:6" x14ac:dyDescent="0.3">
      <c r="A4239" s="171">
        <v>43155</v>
      </c>
      <c r="B4239" s="5" t="s">
        <v>3207</v>
      </c>
      <c r="C4239" s="5" t="s">
        <v>3290</v>
      </c>
      <c r="D4239" s="43">
        <v>5000</v>
      </c>
      <c r="E4239" s="43"/>
      <c r="F4239" s="48">
        <f t="shared" si="69"/>
        <v>50975</v>
      </c>
    </row>
    <row r="4240" spans="1:6" x14ac:dyDescent="0.3">
      <c r="A4240" s="171">
        <v>43155</v>
      </c>
      <c r="B4240" s="5" t="s">
        <v>60</v>
      </c>
      <c r="C4240" s="5" t="s">
        <v>3291</v>
      </c>
      <c r="D4240" s="43">
        <v>2000</v>
      </c>
      <c r="E4240" s="43"/>
      <c r="F4240" s="48">
        <f t="shared" si="69"/>
        <v>48975</v>
      </c>
    </row>
    <row r="4241" spans="1:6" x14ac:dyDescent="0.3">
      <c r="A4241" s="171">
        <v>43155</v>
      </c>
      <c r="B4241" s="5" t="s">
        <v>0</v>
      </c>
      <c r="C4241" s="5" t="s">
        <v>3297</v>
      </c>
      <c r="D4241" s="43">
        <v>500</v>
      </c>
      <c r="E4241" s="43"/>
      <c r="F4241" s="48">
        <f t="shared" si="69"/>
        <v>48475</v>
      </c>
    </row>
    <row r="4242" spans="1:6" x14ac:dyDescent="0.3">
      <c r="A4242" s="171">
        <v>43155</v>
      </c>
      <c r="B4242" s="5" t="s">
        <v>16</v>
      </c>
      <c r="C4242" s="5" t="s">
        <v>3298</v>
      </c>
      <c r="D4242" s="43">
        <v>1500</v>
      </c>
      <c r="E4242" s="43"/>
      <c r="F4242" s="48">
        <f t="shared" si="69"/>
        <v>46975</v>
      </c>
    </row>
    <row r="4243" spans="1:6" x14ac:dyDescent="0.3">
      <c r="A4243" s="171">
        <v>43155</v>
      </c>
      <c r="B4243" s="5" t="s">
        <v>60</v>
      </c>
      <c r="C4243" s="5" t="s">
        <v>3300</v>
      </c>
      <c r="D4243" s="43">
        <v>1000</v>
      </c>
      <c r="E4243" s="43"/>
      <c r="F4243" s="48">
        <f t="shared" si="69"/>
        <v>45975</v>
      </c>
    </row>
    <row r="4244" spans="1:6" x14ac:dyDescent="0.3">
      <c r="A4244" s="171">
        <v>43155</v>
      </c>
      <c r="B4244" s="5" t="s">
        <v>84</v>
      </c>
      <c r="C4244" s="5" t="s">
        <v>3299</v>
      </c>
      <c r="D4244" s="43">
        <v>5000</v>
      </c>
      <c r="E4244" s="43"/>
      <c r="F4244" s="48">
        <f t="shared" si="69"/>
        <v>40975</v>
      </c>
    </row>
    <row r="4245" spans="1:6" x14ac:dyDescent="0.3">
      <c r="A4245" s="171">
        <v>43155</v>
      </c>
      <c r="B4245" s="5" t="s">
        <v>28</v>
      </c>
      <c r="C4245" s="5" t="s">
        <v>3296</v>
      </c>
      <c r="D4245" s="43">
        <v>4000</v>
      </c>
      <c r="E4245" s="43"/>
      <c r="F4245" s="48">
        <f t="shared" si="69"/>
        <v>36975</v>
      </c>
    </row>
    <row r="4246" spans="1:6" x14ac:dyDescent="0.3">
      <c r="A4246" s="171">
        <v>43155</v>
      </c>
      <c r="B4246" s="5" t="s">
        <v>16</v>
      </c>
      <c r="C4246" s="5" t="s">
        <v>1530</v>
      </c>
      <c r="D4246" s="43">
        <v>1200</v>
      </c>
      <c r="E4246" s="43"/>
      <c r="F4246" s="48">
        <f t="shared" si="69"/>
        <v>35775</v>
      </c>
    </row>
    <row r="4247" spans="1:6" x14ac:dyDescent="0.3">
      <c r="A4247" s="171">
        <v>43155</v>
      </c>
      <c r="B4247" s="5" t="s">
        <v>25</v>
      </c>
      <c r="C4247" s="5" t="s">
        <v>3301</v>
      </c>
      <c r="D4247" s="43">
        <v>140</v>
      </c>
      <c r="E4247" s="43"/>
      <c r="F4247" s="48">
        <f t="shared" si="69"/>
        <v>35635</v>
      </c>
    </row>
    <row r="4248" spans="1:6" x14ac:dyDescent="0.3">
      <c r="A4248" s="171">
        <v>43155</v>
      </c>
      <c r="B4248" s="5" t="s">
        <v>25</v>
      </c>
      <c r="C4248" s="5" t="s">
        <v>3302</v>
      </c>
      <c r="D4248" s="43">
        <v>440</v>
      </c>
      <c r="E4248" s="43"/>
      <c r="F4248" s="48">
        <f t="shared" si="69"/>
        <v>35195</v>
      </c>
    </row>
    <row r="4249" spans="1:6" x14ac:dyDescent="0.3">
      <c r="A4249" s="171">
        <v>43155</v>
      </c>
      <c r="B4249" s="5" t="s">
        <v>541</v>
      </c>
      <c r="C4249" s="5" t="s">
        <v>3117</v>
      </c>
      <c r="D4249" s="43">
        <v>90</v>
      </c>
      <c r="E4249" s="43"/>
      <c r="F4249" s="48">
        <f t="shared" si="69"/>
        <v>35105</v>
      </c>
    </row>
    <row r="4250" spans="1:6" x14ac:dyDescent="0.3">
      <c r="A4250" s="171">
        <v>43155</v>
      </c>
      <c r="B4250" s="5" t="s">
        <v>14</v>
      </c>
      <c r="C4250" s="5" t="s">
        <v>51</v>
      </c>
      <c r="D4250" s="43">
        <v>75</v>
      </c>
      <c r="E4250" s="43"/>
      <c r="F4250" s="48">
        <f t="shared" si="69"/>
        <v>35030</v>
      </c>
    </row>
    <row r="4251" spans="1:6" x14ac:dyDescent="0.3">
      <c r="A4251" s="171">
        <v>43157</v>
      </c>
      <c r="B4251" s="5" t="s">
        <v>1837</v>
      </c>
      <c r="C4251" s="5" t="s">
        <v>3303</v>
      </c>
      <c r="D4251" s="43">
        <v>5000</v>
      </c>
      <c r="E4251" s="43"/>
      <c r="F4251" s="48">
        <f t="shared" si="69"/>
        <v>30030</v>
      </c>
    </row>
    <row r="4252" spans="1:6" x14ac:dyDescent="0.3">
      <c r="A4252" s="171">
        <v>43157</v>
      </c>
      <c r="B4252" s="5" t="s">
        <v>2594</v>
      </c>
      <c r="C4252" s="5" t="s">
        <v>3304</v>
      </c>
      <c r="D4252" s="43">
        <v>25000</v>
      </c>
      <c r="E4252" s="43"/>
      <c r="F4252" s="48">
        <f t="shared" si="69"/>
        <v>5030</v>
      </c>
    </row>
    <row r="4253" spans="1:6" x14ac:dyDescent="0.3">
      <c r="A4253" s="171">
        <v>43157</v>
      </c>
      <c r="B4253" s="5" t="s">
        <v>2096</v>
      </c>
      <c r="C4253" s="5" t="s">
        <v>1530</v>
      </c>
      <c r="D4253" s="43">
        <v>4000</v>
      </c>
      <c r="E4253" s="43"/>
      <c r="F4253" s="48">
        <f t="shared" si="69"/>
        <v>1030</v>
      </c>
    </row>
    <row r="4254" spans="1:6" x14ac:dyDescent="0.3">
      <c r="A4254" s="171">
        <v>43157</v>
      </c>
      <c r="B4254" s="5" t="s">
        <v>3305</v>
      </c>
      <c r="C4254" s="5" t="s">
        <v>3306</v>
      </c>
      <c r="D4254" s="43">
        <v>100</v>
      </c>
      <c r="E4254" s="43"/>
      <c r="F4254" s="48">
        <f t="shared" si="69"/>
        <v>930</v>
      </c>
    </row>
    <row r="4255" spans="1:6" x14ac:dyDescent="0.3">
      <c r="A4255" s="171">
        <v>43157</v>
      </c>
      <c r="B4255" s="5" t="s">
        <v>25</v>
      </c>
      <c r="C4255" s="5" t="s">
        <v>3307</v>
      </c>
      <c r="D4255" s="43">
        <v>40</v>
      </c>
      <c r="E4255" s="43"/>
      <c r="F4255" s="48">
        <f t="shared" si="69"/>
        <v>890</v>
      </c>
    </row>
    <row r="4256" spans="1:6" x14ac:dyDescent="0.3">
      <c r="A4256" s="171">
        <v>43157</v>
      </c>
      <c r="B4256" s="5" t="s">
        <v>25</v>
      </c>
      <c r="C4256" s="5" t="s">
        <v>3308</v>
      </c>
      <c r="D4256" s="43">
        <v>135</v>
      </c>
      <c r="E4256" s="43"/>
      <c r="F4256" s="48">
        <f t="shared" si="69"/>
        <v>755</v>
      </c>
    </row>
    <row r="4257" spans="1:6" x14ac:dyDescent="0.3">
      <c r="A4257" s="171">
        <v>43157</v>
      </c>
      <c r="B4257" s="5" t="s">
        <v>25</v>
      </c>
      <c r="C4257" s="5" t="s">
        <v>2659</v>
      </c>
      <c r="D4257" s="43">
        <v>360</v>
      </c>
      <c r="E4257" s="43"/>
      <c r="F4257" s="48">
        <f t="shared" si="69"/>
        <v>395</v>
      </c>
    </row>
    <row r="4258" spans="1:6" x14ac:dyDescent="0.3">
      <c r="A4258" s="171">
        <v>43157</v>
      </c>
      <c r="B4258" s="5" t="s">
        <v>25</v>
      </c>
      <c r="C4258" s="5" t="s">
        <v>667</v>
      </c>
      <c r="D4258" s="43">
        <v>110</v>
      </c>
      <c r="E4258" s="43"/>
      <c r="F4258" s="48">
        <f t="shared" si="69"/>
        <v>285</v>
      </c>
    </row>
    <row r="4259" spans="1:6" x14ac:dyDescent="0.3">
      <c r="A4259" s="171">
        <v>43157</v>
      </c>
      <c r="B4259" s="5" t="s">
        <v>25</v>
      </c>
      <c r="C4259" s="5" t="s">
        <v>3309</v>
      </c>
      <c r="D4259" s="43">
        <v>170</v>
      </c>
      <c r="E4259" s="43"/>
      <c r="F4259" s="48">
        <f t="shared" si="69"/>
        <v>115</v>
      </c>
    </row>
    <row r="4260" spans="1:6" x14ac:dyDescent="0.3">
      <c r="A4260" s="171">
        <v>43157</v>
      </c>
      <c r="B4260" s="756" t="s">
        <v>2665</v>
      </c>
      <c r="C4260" s="756"/>
      <c r="D4260" s="71"/>
      <c r="E4260" s="72">
        <v>100000</v>
      </c>
      <c r="F4260" s="48">
        <f t="shared" si="69"/>
        <v>100115</v>
      </c>
    </row>
    <row r="4261" spans="1:6" x14ac:dyDescent="0.3">
      <c r="A4261" s="171">
        <v>43157</v>
      </c>
      <c r="B4261" s="5" t="s">
        <v>0</v>
      </c>
      <c r="C4261" s="5" t="s">
        <v>3310</v>
      </c>
      <c r="D4261" s="43">
        <v>720</v>
      </c>
      <c r="E4261" s="43"/>
      <c r="F4261" s="48">
        <f t="shared" si="69"/>
        <v>99395</v>
      </c>
    </row>
    <row r="4262" spans="1:6" x14ac:dyDescent="0.3">
      <c r="A4262" s="171">
        <v>43157</v>
      </c>
      <c r="B4262" s="5" t="s">
        <v>3138</v>
      </c>
      <c r="C4262" s="5" t="s">
        <v>3311</v>
      </c>
      <c r="D4262" s="43">
        <v>25736</v>
      </c>
      <c r="E4262" s="43"/>
      <c r="F4262" s="48">
        <f t="shared" si="69"/>
        <v>73659</v>
      </c>
    </row>
    <row r="4263" spans="1:6" x14ac:dyDescent="0.3">
      <c r="A4263" s="171">
        <v>43157</v>
      </c>
      <c r="B4263" s="5" t="s">
        <v>2330</v>
      </c>
      <c r="C4263" s="5" t="s">
        <v>1530</v>
      </c>
      <c r="D4263" s="43">
        <v>26000</v>
      </c>
      <c r="E4263" s="43"/>
      <c r="F4263" s="48">
        <f t="shared" si="69"/>
        <v>47659</v>
      </c>
    </row>
    <row r="4264" spans="1:6" x14ac:dyDescent="0.3">
      <c r="A4264" s="171">
        <v>43157</v>
      </c>
      <c r="B4264" s="5" t="s">
        <v>54</v>
      </c>
      <c r="C4264" s="5" t="s">
        <v>3334</v>
      </c>
      <c r="D4264" s="43">
        <v>12000</v>
      </c>
      <c r="E4264" s="43"/>
      <c r="F4264" s="48">
        <f t="shared" si="69"/>
        <v>35659</v>
      </c>
    </row>
    <row r="4265" spans="1:6" x14ac:dyDescent="0.3">
      <c r="A4265" s="171">
        <v>43157</v>
      </c>
      <c r="B4265" s="5" t="s">
        <v>1316</v>
      </c>
      <c r="C4265" s="5" t="s">
        <v>3312</v>
      </c>
      <c r="D4265" s="43">
        <v>5000</v>
      </c>
      <c r="E4265" s="43"/>
      <c r="F4265" s="48">
        <f t="shared" si="69"/>
        <v>30659</v>
      </c>
    </row>
    <row r="4266" spans="1:6" x14ac:dyDescent="0.3">
      <c r="A4266" s="171">
        <v>43157</v>
      </c>
      <c r="B4266" s="5" t="s">
        <v>14</v>
      </c>
      <c r="C4266" s="5" t="s">
        <v>294</v>
      </c>
      <c r="D4266" s="43">
        <v>5000</v>
      </c>
      <c r="E4266" s="43"/>
      <c r="F4266" s="48">
        <f t="shared" si="69"/>
        <v>25659</v>
      </c>
    </row>
    <row r="4267" spans="1:6" x14ac:dyDescent="0.3">
      <c r="A4267" s="171">
        <v>43157</v>
      </c>
      <c r="B4267" s="5" t="s">
        <v>3207</v>
      </c>
      <c r="C4267" s="5" t="s">
        <v>3313</v>
      </c>
      <c r="D4267" s="43">
        <v>11000</v>
      </c>
      <c r="E4267" s="43"/>
      <c r="F4267" s="48">
        <f t="shared" si="69"/>
        <v>14659</v>
      </c>
    </row>
    <row r="4268" spans="1:6" x14ac:dyDescent="0.3">
      <c r="A4268" s="171">
        <v>43157</v>
      </c>
      <c r="B4268" s="5" t="s">
        <v>60</v>
      </c>
      <c r="C4268" s="5" t="s">
        <v>3225</v>
      </c>
      <c r="D4268" s="43">
        <v>1500</v>
      </c>
      <c r="E4268" s="43"/>
      <c r="F4268" s="48">
        <f t="shared" si="69"/>
        <v>13159</v>
      </c>
    </row>
    <row r="4269" spans="1:6" ht="37.5" x14ac:dyDescent="0.3">
      <c r="A4269" s="171">
        <v>43158</v>
      </c>
      <c r="B4269" s="5" t="s">
        <v>2594</v>
      </c>
      <c r="C4269" s="92" t="s">
        <v>3314</v>
      </c>
      <c r="D4269" s="43">
        <v>13000</v>
      </c>
      <c r="E4269" s="43"/>
      <c r="F4269" s="48">
        <f t="shared" si="69"/>
        <v>159</v>
      </c>
    </row>
    <row r="4270" spans="1:6" x14ac:dyDescent="0.3">
      <c r="A4270" s="171">
        <v>43158</v>
      </c>
      <c r="B4270" s="756" t="s">
        <v>2665</v>
      </c>
      <c r="C4270" s="756"/>
      <c r="D4270" s="71"/>
      <c r="E4270" s="72">
        <v>50000</v>
      </c>
      <c r="F4270" s="48">
        <f t="shared" si="69"/>
        <v>50159</v>
      </c>
    </row>
    <row r="4271" spans="1:6" x14ac:dyDescent="0.3">
      <c r="A4271" s="171">
        <v>43158</v>
      </c>
      <c r="B4271" s="5" t="s">
        <v>58</v>
      </c>
      <c r="C4271" s="5" t="s">
        <v>3315</v>
      </c>
      <c r="D4271" s="43">
        <v>2300</v>
      </c>
      <c r="E4271" s="43"/>
      <c r="F4271" s="48">
        <f t="shared" si="69"/>
        <v>47859</v>
      </c>
    </row>
    <row r="4272" spans="1:6" x14ac:dyDescent="0.3">
      <c r="A4272" s="171">
        <v>43158</v>
      </c>
      <c r="B4272" s="5" t="s">
        <v>25</v>
      </c>
      <c r="C4272" s="5" t="s">
        <v>3274</v>
      </c>
      <c r="D4272" s="43">
        <v>170</v>
      </c>
      <c r="E4272" s="43"/>
      <c r="F4272" s="48">
        <f t="shared" si="69"/>
        <v>47689</v>
      </c>
    </row>
    <row r="4273" spans="1:6" x14ac:dyDescent="0.3">
      <c r="A4273" s="171">
        <v>43158</v>
      </c>
      <c r="B4273" s="5" t="s">
        <v>541</v>
      </c>
      <c r="C4273" s="5" t="s">
        <v>3297</v>
      </c>
      <c r="D4273" s="43">
        <v>600</v>
      </c>
      <c r="E4273" s="43"/>
      <c r="F4273" s="48">
        <f t="shared" si="69"/>
        <v>47089</v>
      </c>
    </row>
    <row r="4274" spans="1:6" x14ac:dyDescent="0.3">
      <c r="A4274" s="171">
        <v>43158</v>
      </c>
      <c r="B4274" s="5" t="s">
        <v>541</v>
      </c>
      <c r="C4274" s="5" t="s">
        <v>3117</v>
      </c>
      <c r="D4274" s="43">
        <v>90</v>
      </c>
      <c r="E4274" s="43"/>
      <c r="F4274" s="48">
        <f t="shared" si="69"/>
        <v>46999</v>
      </c>
    </row>
    <row r="4275" spans="1:6" x14ac:dyDescent="0.3">
      <c r="A4275" s="171">
        <v>43158</v>
      </c>
      <c r="B4275" s="5" t="s">
        <v>541</v>
      </c>
      <c r="C4275" s="5" t="s">
        <v>3323</v>
      </c>
      <c r="D4275" s="43">
        <v>120</v>
      </c>
      <c r="E4275" s="43"/>
      <c r="F4275" s="48">
        <f t="shared" si="69"/>
        <v>46879</v>
      </c>
    </row>
    <row r="4276" spans="1:6" x14ac:dyDescent="0.3">
      <c r="A4276" s="171">
        <v>43158</v>
      </c>
      <c r="B4276" s="5" t="s">
        <v>247</v>
      </c>
      <c r="C4276" s="5" t="s">
        <v>3324</v>
      </c>
      <c r="D4276" s="43">
        <v>280</v>
      </c>
      <c r="E4276" s="43"/>
      <c r="F4276" s="48">
        <f t="shared" si="69"/>
        <v>46599</v>
      </c>
    </row>
    <row r="4277" spans="1:6" x14ac:dyDescent="0.3">
      <c r="A4277" s="171">
        <v>43158</v>
      </c>
      <c r="B4277" s="5" t="s">
        <v>247</v>
      </c>
      <c r="C4277" s="5" t="s">
        <v>3316</v>
      </c>
      <c r="D4277" s="43">
        <v>500</v>
      </c>
      <c r="E4277" s="43"/>
      <c r="F4277" s="48">
        <f t="shared" si="69"/>
        <v>46099</v>
      </c>
    </row>
    <row r="4278" spans="1:6" ht="37.5" x14ac:dyDescent="0.3">
      <c r="A4278" s="171">
        <v>43158</v>
      </c>
      <c r="B4278" s="5" t="s">
        <v>3317</v>
      </c>
      <c r="C4278" s="92" t="s">
        <v>3318</v>
      </c>
      <c r="D4278" s="43">
        <v>12000</v>
      </c>
      <c r="E4278" s="43"/>
      <c r="F4278" s="48">
        <f t="shared" si="69"/>
        <v>34099</v>
      </c>
    </row>
    <row r="4279" spans="1:6" x14ac:dyDescent="0.3">
      <c r="A4279" s="171">
        <v>43158</v>
      </c>
      <c r="B4279" s="5" t="s">
        <v>1343</v>
      </c>
      <c r="C4279" s="5" t="s">
        <v>3319</v>
      </c>
      <c r="D4279" s="43">
        <v>5000</v>
      </c>
      <c r="E4279" s="43"/>
      <c r="F4279" s="48">
        <f t="shared" si="69"/>
        <v>29099</v>
      </c>
    </row>
    <row r="4280" spans="1:6" x14ac:dyDescent="0.3">
      <c r="A4280" s="171">
        <v>43158</v>
      </c>
      <c r="B4280" s="5" t="s">
        <v>0</v>
      </c>
      <c r="C4280" s="5" t="s">
        <v>3320</v>
      </c>
      <c r="D4280" s="43">
        <v>1000</v>
      </c>
      <c r="E4280" s="43"/>
      <c r="F4280" s="48">
        <f t="shared" si="69"/>
        <v>28099</v>
      </c>
    </row>
    <row r="4281" spans="1:6" x14ac:dyDescent="0.3">
      <c r="A4281" s="171">
        <v>43159</v>
      </c>
      <c r="B4281" s="5" t="s">
        <v>2096</v>
      </c>
      <c r="C4281" s="5" t="s">
        <v>1530</v>
      </c>
      <c r="D4281" s="43">
        <v>15000</v>
      </c>
      <c r="E4281" s="43"/>
      <c r="F4281" s="48">
        <f t="shared" si="69"/>
        <v>13099</v>
      </c>
    </row>
    <row r="4282" spans="1:6" x14ac:dyDescent="0.3">
      <c r="A4282" s="171">
        <v>43159</v>
      </c>
      <c r="B4282" s="756" t="s">
        <v>3321</v>
      </c>
      <c r="C4282" s="756"/>
      <c r="D4282" s="71"/>
      <c r="E4282" s="72">
        <v>210</v>
      </c>
      <c r="F4282" s="48">
        <f t="shared" si="69"/>
        <v>13309</v>
      </c>
    </row>
    <row r="4283" spans="1:6" x14ac:dyDescent="0.3">
      <c r="A4283" s="171">
        <v>43159</v>
      </c>
      <c r="B4283" s="5" t="s">
        <v>1410</v>
      </c>
      <c r="C4283" s="5" t="s">
        <v>3322</v>
      </c>
      <c r="D4283" s="43">
        <v>2000</v>
      </c>
      <c r="E4283" s="43"/>
      <c r="F4283" s="48">
        <f t="shared" si="69"/>
        <v>11309</v>
      </c>
    </row>
    <row r="4284" spans="1:6" x14ac:dyDescent="0.3">
      <c r="A4284" s="171">
        <v>43159</v>
      </c>
      <c r="B4284" s="5" t="s">
        <v>2086</v>
      </c>
      <c r="C4284" s="5" t="s">
        <v>3326</v>
      </c>
      <c r="D4284" s="43">
        <v>630</v>
      </c>
      <c r="E4284" s="43"/>
      <c r="F4284" s="48">
        <f t="shared" si="69"/>
        <v>10679</v>
      </c>
    </row>
    <row r="4285" spans="1:6" x14ac:dyDescent="0.3">
      <c r="A4285" s="171">
        <v>43159</v>
      </c>
      <c r="B4285" s="5" t="s">
        <v>25</v>
      </c>
      <c r="C4285" s="5" t="s">
        <v>81</v>
      </c>
      <c r="D4285" s="43">
        <v>60</v>
      </c>
      <c r="E4285" s="43"/>
      <c r="F4285" s="48">
        <f t="shared" si="69"/>
        <v>10619</v>
      </c>
    </row>
    <row r="4286" spans="1:6" x14ac:dyDescent="0.3">
      <c r="A4286" s="171">
        <v>43159</v>
      </c>
      <c r="B4286" s="5" t="s">
        <v>247</v>
      </c>
      <c r="C4286" s="5" t="s">
        <v>3325</v>
      </c>
      <c r="D4286" s="43">
        <v>140</v>
      </c>
      <c r="E4286" s="43"/>
      <c r="F4286" s="48">
        <f t="shared" si="69"/>
        <v>10479</v>
      </c>
    </row>
    <row r="4287" spans="1:6" x14ac:dyDescent="0.3">
      <c r="A4287" s="171">
        <v>43159</v>
      </c>
      <c r="B4287" s="5" t="s">
        <v>1616</v>
      </c>
      <c r="C4287" s="5" t="s">
        <v>3297</v>
      </c>
      <c r="D4287" s="43">
        <v>520</v>
      </c>
      <c r="E4287" s="43"/>
      <c r="F4287" s="48">
        <f t="shared" si="69"/>
        <v>9959</v>
      </c>
    </row>
    <row r="4288" spans="1:6" x14ac:dyDescent="0.3">
      <c r="A4288" s="171">
        <v>43159</v>
      </c>
      <c r="B4288" s="5" t="s">
        <v>25</v>
      </c>
      <c r="C4288" s="5" t="s">
        <v>3327</v>
      </c>
      <c r="D4288" s="43">
        <v>60</v>
      </c>
      <c r="E4288" s="43"/>
      <c r="F4288" s="48">
        <f t="shared" si="69"/>
        <v>9899</v>
      </c>
    </row>
    <row r="4289" spans="1:6" x14ac:dyDescent="0.3">
      <c r="A4289" s="171">
        <v>43159</v>
      </c>
      <c r="B4289" s="5" t="s">
        <v>1343</v>
      </c>
      <c r="C4289" s="5" t="s">
        <v>3328</v>
      </c>
      <c r="D4289" s="43">
        <v>4000</v>
      </c>
      <c r="E4289" s="43"/>
      <c r="F4289" s="48">
        <f t="shared" si="69"/>
        <v>5899</v>
      </c>
    </row>
    <row r="4290" spans="1:6" x14ac:dyDescent="0.3">
      <c r="A4290" s="171">
        <v>43160</v>
      </c>
      <c r="B4290" s="5" t="s">
        <v>2346</v>
      </c>
      <c r="C4290" s="5" t="s">
        <v>3329</v>
      </c>
      <c r="D4290" s="43">
        <v>1000</v>
      </c>
      <c r="E4290" s="43"/>
      <c r="F4290" s="48">
        <f t="shared" si="69"/>
        <v>4899</v>
      </c>
    </row>
    <row r="4291" spans="1:6" x14ac:dyDescent="0.3">
      <c r="A4291" s="171">
        <v>43160</v>
      </c>
      <c r="B4291" s="5" t="s">
        <v>247</v>
      </c>
      <c r="C4291" s="5" t="s">
        <v>3330</v>
      </c>
      <c r="D4291" s="43">
        <v>1200</v>
      </c>
      <c r="E4291" s="43"/>
      <c r="F4291" s="48">
        <f t="shared" si="69"/>
        <v>3699</v>
      </c>
    </row>
    <row r="4292" spans="1:6" x14ac:dyDescent="0.3">
      <c r="A4292" s="171">
        <v>43160</v>
      </c>
      <c r="B4292" s="5" t="s">
        <v>2086</v>
      </c>
      <c r="C4292" s="5" t="s">
        <v>3331</v>
      </c>
      <c r="D4292" s="43">
        <v>30</v>
      </c>
      <c r="E4292" s="43"/>
      <c r="F4292" s="48">
        <f t="shared" si="69"/>
        <v>3669</v>
      </c>
    </row>
    <row r="4293" spans="1:6" x14ac:dyDescent="0.3">
      <c r="A4293" s="171">
        <v>43160</v>
      </c>
      <c r="B4293" s="5" t="s">
        <v>2086</v>
      </c>
      <c r="C4293" s="5" t="s">
        <v>1624</v>
      </c>
      <c r="D4293" s="43">
        <v>70</v>
      </c>
      <c r="E4293" s="43"/>
      <c r="F4293" s="48">
        <f t="shared" si="69"/>
        <v>3599</v>
      </c>
    </row>
    <row r="4294" spans="1:6" x14ac:dyDescent="0.3">
      <c r="A4294" s="171">
        <v>43160</v>
      </c>
      <c r="B4294" s="756" t="s">
        <v>1981</v>
      </c>
      <c r="C4294" s="756"/>
      <c r="D4294" s="71"/>
      <c r="E4294" s="72">
        <v>120000</v>
      </c>
      <c r="F4294" s="48">
        <f t="shared" si="69"/>
        <v>123599</v>
      </c>
    </row>
    <row r="4295" spans="1:6" x14ac:dyDescent="0.3">
      <c r="A4295" s="171">
        <v>43160</v>
      </c>
      <c r="B4295" s="5" t="s">
        <v>1837</v>
      </c>
      <c r="C4295" s="5" t="s">
        <v>3333</v>
      </c>
      <c r="D4295" s="43">
        <v>10000</v>
      </c>
      <c r="E4295" s="43"/>
      <c r="F4295" s="48">
        <f t="shared" si="69"/>
        <v>113599</v>
      </c>
    </row>
    <row r="4296" spans="1:6" x14ac:dyDescent="0.3">
      <c r="A4296" s="171">
        <v>43160</v>
      </c>
      <c r="B4296" s="5" t="s">
        <v>57</v>
      </c>
      <c r="C4296" s="5" t="s">
        <v>2697</v>
      </c>
      <c r="D4296" s="43">
        <v>3000</v>
      </c>
      <c r="E4296" s="43"/>
      <c r="F4296" s="48">
        <f t="shared" si="69"/>
        <v>110599</v>
      </c>
    </row>
    <row r="4297" spans="1:6" x14ac:dyDescent="0.3">
      <c r="A4297" s="171">
        <v>43160</v>
      </c>
      <c r="B4297" s="5" t="s">
        <v>2824</v>
      </c>
      <c r="C4297" s="5" t="s">
        <v>3332</v>
      </c>
      <c r="D4297" s="43">
        <v>2000</v>
      </c>
      <c r="E4297" s="43"/>
      <c r="F4297" s="48">
        <f t="shared" si="69"/>
        <v>108599</v>
      </c>
    </row>
    <row r="4298" spans="1:6" x14ac:dyDescent="0.3">
      <c r="A4298" s="171">
        <v>43161</v>
      </c>
      <c r="B4298" s="5" t="s">
        <v>58</v>
      </c>
      <c r="C4298" s="5" t="s">
        <v>3337</v>
      </c>
      <c r="D4298" s="43">
        <v>2290</v>
      </c>
      <c r="E4298" s="43"/>
      <c r="F4298" s="48">
        <f t="shared" si="69"/>
        <v>106309</v>
      </c>
    </row>
    <row r="4299" spans="1:6" x14ac:dyDescent="0.3">
      <c r="A4299" s="171">
        <v>43161</v>
      </c>
      <c r="B4299" s="5" t="s">
        <v>3335</v>
      </c>
      <c r="C4299" s="5" t="s">
        <v>3336</v>
      </c>
      <c r="D4299" s="43">
        <v>2000</v>
      </c>
      <c r="E4299" s="43"/>
      <c r="F4299" s="48">
        <f t="shared" ref="F4299:F4362" si="70">F4298-D4299+E4299</f>
        <v>104309</v>
      </c>
    </row>
    <row r="4300" spans="1:6" x14ac:dyDescent="0.3">
      <c r="A4300" s="171">
        <v>43161</v>
      </c>
      <c r="B4300" s="5" t="s">
        <v>28</v>
      </c>
      <c r="C4300" s="5" t="s">
        <v>3296</v>
      </c>
      <c r="D4300" s="43">
        <v>3000</v>
      </c>
      <c r="E4300" s="43"/>
      <c r="F4300" s="48">
        <f>F4299-D4300+E4300</f>
        <v>101309</v>
      </c>
    </row>
    <row r="4301" spans="1:6" x14ac:dyDescent="0.3">
      <c r="A4301" s="171">
        <v>43161</v>
      </c>
      <c r="B4301" s="5" t="s">
        <v>2346</v>
      </c>
      <c r="C4301" s="5" t="s">
        <v>3332</v>
      </c>
      <c r="D4301" s="43">
        <v>1200</v>
      </c>
      <c r="E4301" s="43"/>
      <c r="F4301" s="48">
        <f t="shared" si="70"/>
        <v>100109</v>
      </c>
    </row>
    <row r="4302" spans="1:6" x14ac:dyDescent="0.3">
      <c r="A4302" s="171">
        <v>43162</v>
      </c>
      <c r="B4302" s="5" t="s">
        <v>0</v>
      </c>
      <c r="C4302" s="5" t="s">
        <v>1049</v>
      </c>
      <c r="D4302" s="43">
        <v>2000</v>
      </c>
      <c r="E4302" s="43"/>
      <c r="F4302" s="48">
        <f t="shared" si="70"/>
        <v>98109</v>
      </c>
    </row>
    <row r="4303" spans="1:6" ht="56.25" x14ac:dyDescent="0.3">
      <c r="A4303" s="171">
        <v>43162</v>
      </c>
      <c r="B4303" s="5" t="s">
        <v>58</v>
      </c>
      <c r="C4303" s="92" t="s">
        <v>3338</v>
      </c>
      <c r="D4303" s="43">
        <v>650</v>
      </c>
      <c r="E4303" s="43"/>
      <c r="F4303" s="48">
        <f t="shared" si="70"/>
        <v>97459</v>
      </c>
    </row>
    <row r="4304" spans="1:6" x14ac:dyDescent="0.3">
      <c r="A4304" s="171">
        <v>43162</v>
      </c>
      <c r="B4304" s="5" t="s">
        <v>84</v>
      </c>
      <c r="C4304" s="5" t="s">
        <v>3371</v>
      </c>
      <c r="D4304" s="43">
        <v>1000</v>
      </c>
      <c r="E4304" s="43"/>
      <c r="F4304" s="48">
        <f t="shared" si="70"/>
        <v>96459</v>
      </c>
    </row>
    <row r="4305" spans="1:6" x14ac:dyDescent="0.3">
      <c r="A4305" s="171">
        <v>43162</v>
      </c>
      <c r="B4305" s="5" t="s">
        <v>14</v>
      </c>
      <c r="C4305" s="5" t="s">
        <v>294</v>
      </c>
      <c r="D4305" s="43">
        <v>5000</v>
      </c>
      <c r="E4305" s="43"/>
      <c r="F4305" s="48">
        <f t="shared" si="70"/>
        <v>91459</v>
      </c>
    </row>
    <row r="4306" spans="1:6" x14ac:dyDescent="0.3">
      <c r="A4306" s="171">
        <v>43162</v>
      </c>
      <c r="B4306" s="5" t="s">
        <v>25</v>
      </c>
      <c r="C4306" s="5" t="s">
        <v>3339</v>
      </c>
      <c r="D4306" s="43">
        <f>60+160+130+50+60+130</f>
        <v>590</v>
      </c>
      <c r="E4306" s="43"/>
      <c r="F4306" s="48">
        <f t="shared" si="70"/>
        <v>90869</v>
      </c>
    </row>
    <row r="4307" spans="1:6" x14ac:dyDescent="0.3">
      <c r="A4307" s="171">
        <v>43162</v>
      </c>
      <c r="B4307" s="5" t="s">
        <v>25</v>
      </c>
      <c r="C4307" s="5" t="s">
        <v>3340</v>
      </c>
      <c r="D4307" s="43">
        <v>1600</v>
      </c>
      <c r="E4307" s="43"/>
      <c r="F4307" s="48">
        <f t="shared" si="70"/>
        <v>89269</v>
      </c>
    </row>
    <row r="4308" spans="1:6" x14ac:dyDescent="0.3">
      <c r="A4308" s="171">
        <v>43162</v>
      </c>
      <c r="B4308" s="5" t="s">
        <v>25</v>
      </c>
      <c r="C4308" s="5" t="s">
        <v>939</v>
      </c>
      <c r="D4308" s="43">
        <v>380</v>
      </c>
      <c r="E4308" s="43"/>
      <c r="F4308" s="48">
        <f t="shared" si="70"/>
        <v>88889</v>
      </c>
    </row>
    <row r="4309" spans="1:6" x14ac:dyDescent="0.3">
      <c r="A4309" s="171">
        <v>43162</v>
      </c>
      <c r="B4309" s="5" t="s">
        <v>25</v>
      </c>
      <c r="C4309" s="5" t="s">
        <v>2202</v>
      </c>
      <c r="D4309" s="43">
        <v>360</v>
      </c>
      <c r="E4309" s="43"/>
      <c r="F4309" s="48">
        <f t="shared" si="70"/>
        <v>88529</v>
      </c>
    </row>
    <row r="4310" spans="1:6" x14ac:dyDescent="0.3">
      <c r="A4310" s="171">
        <v>43162</v>
      </c>
      <c r="B4310" s="5" t="s">
        <v>25</v>
      </c>
      <c r="C4310" s="5" t="s">
        <v>3341</v>
      </c>
      <c r="D4310" s="43">
        <v>120</v>
      </c>
      <c r="E4310" s="43"/>
      <c r="F4310" s="48">
        <f t="shared" si="70"/>
        <v>88409</v>
      </c>
    </row>
    <row r="4311" spans="1:6" x14ac:dyDescent="0.3">
      <c r="A4311" s="171">
        <v>43162</v>
      </c>
      <c r="B4311" s="5" t="s">
        <v>25</v>
      </c>
      <c r="C4311" s="5" t="s">
        <v>3342</v>
      </c>
      <c r="D4311" s="43">
        <v>120</v>
      </c>
      <c r="E4311" s="43"/>
      <c r="F4311" s="48">
        <f t="shared" si="70"/>
        <v>88289</v>
      </c>
    </row>
    <row r="4312" spans="1:6" x14ac:dyDescent="0.3">
      <c r="A4312" s="171">
        <v>43164</v>
      </c>
      <c r="B4312" s="5" t="s">
        <v>2346</v>
      </c>
      <c r="C4312" s="5" t="s">
        <v>3343</v>
      </c>
      <c r="D4312" s="43">
        <v>1000</v>
      </c>
      <c r="E4312" s="43"/>
      <c r="F4312" s="48">
        <f t="shared" si="70"/>
        <v>87289</v>
      </c>
    </row>
    <row r="4313" spans="1:6" ht="37.5" x14ac:dyDescent="0.3">
      <c r="A4313" s="171">
        <v>43164</v>
      </c>
      <c r="B4313" s="5" t="s">
        <v>58</v>
      </c>
      <c r="C4313" s="92" t="s">
        <v>3346</v>
      </c>
      <c r="D4313" s="43">
        <v>42500</v>
      </c>
      <c r="E4313" s="43"/>
      <c r="F4313" s="48">
        <f t="shared" si="70"/>
        <v>44789</v>
      </c>
    </row>
    <row r="4314" spans="1:6" x14ac:dyDescent="0.3">
      <c r="A4314" s="171">
        <v>43164</v>
      </c>
      <c r="B4314" s="5" t="s">
        <v>2086</v>
      </c>
      <c r="C4314" s="5" t="s">
        <v>3344</v>
      </c>
      <c r="D4314" s="43">
        <v>1000</v>
      </c>
      <c r="E4314" s="43"/>
      <c r="F4314" s="48">
        <f t="shared" si="70"/>
        <v>43789</v>
      </c>
    </row>
    <row r="4315" spans="1:6" x14ac:dyDescent="0.3">
      <c r="A4315" s="171">
        <v>43164</v>
      </c>
      <c r="B4315" s="5" t="s">
        <v>76</v>
      </c>
      <c r="C4315" s="5" t="s">
        <v>3347</v>
      </c>
      <c r="D4315" s="43">
        <v>2000</v>
      </c>
      <c r="E4315" s="43"/>
      <c r="F4315" s="48">
        <f t="shared" si="70"/>
        <v>41789</v>
      </c>
    </row>
    <row r="4316" spans="1:6" x14ac:dyDescent="0.3">
      <c r="A4316" s="171">
        <v>43165</v>
      </c>
      <c r="B4316" s="5" t="s">
        <v>58</v>
      </c>
      <c r="C4316" s="5" t="s">
        <v>3348</v>
      </c>
      <c r="D4316" s="43">
        <v>35000</v>
      </c>
      <c r="E4316" s="43"/>
      <c r="F4316" s="48">
        <f t="shared" si="70"/>
        <v>6789</v>
      </c>
    </row>
    <row r="4317" spans="1:6" x14ac:dyDescent="0.3">
      <c r="A4317" s="171">
        <v>43165</v>
      </c>
      <c r="B4317" s="5" t="s">
        <v>2570</v>
      </c>
      <c r="C4317" s="5" t="s">
        <v>3345</v>
      </c>
      <c r="D4317" s="43">
        <v>2580</v>
      </c>
      <c r="E4317" s="43"/>
      <c r="F4317" s="48">
        <f t="shared" si="70"/>
        <v>4209</v>
      </c>
    </row>
    <row r="4318" spans="1:6" x14ac:dyDescent="0.3">
      <c r="A4318" s="171">
        <v>43165</v>
      </c>
      <c r="B4318" s="5" t="s">
        <v>541</v>
      </c>
      <c r="C4318" s="5" t="s">
        <v>3117</v>
      </c>
      <c r="D4318" s="43">
        <v>90</v>
      </c>
      <c r="E4318" s="43"/>
      <c r="F4318" s="48">
        <f t="shared" si="70"/>
        <v>4119</v>
      </c>
    </row>
    <row r="4319" spans="1:6" x14ac:dyDescent="0.3">
      <c r="A4319" s="171">
        <v>43165</v>
      </c>
      <c r="B4319" s="5" t="s">
        <v>2674</v>
      </c>
      <c r="C4319" s="5" t="s">
        <v>2469</v>
      </c>
      <c r="D4319" s="43">
        <v>200</v>
      </c>
      <c r="E4319" s="43"/>
      <c r="F4319" s="48">
        <f t="shared" si="70"/>
        <v>3919</v>
      </c>
    </row>
    <row r="4320" spans="1:6" x14ac:dyDescent="0.3">
      <c r="A4320" s="171">
        <v>43165</v>
      </c>
      <c r="B4320" s="756" t="s">
        <v>2665</v>
      </c>
      <c r="C4320" s="756"/>
      <c r="D4320" s="71"/>
      <c r="E4320" s="72">
        <v>100000</v>
      </c>
      <c r="F4320" s="48">
        <f t="shared" si="70"/>
        <v>103919</v>
      </c>
    </row>
    <row r="4321" spans="1:6" x14ac:dyDescent="0.3">
      <c r="A4321" s="171">
        <v>43166</v>
      </c>
      <c r="B4321" s="5" t="s">
        <v>14</v>
      </c>
      <c r="C4321" s="5" t="s">
        <v>1049</v>
      </c>
      <c r="D4321" s="43">
        <v>50000</v>
      </c>
      <c r="E4321" s="43"/>
      <c r="F4321" s="48">
        <f t="shared" si="70"/>
        <v>53919</v>
      </c>
    </row>
    <row r="4322" spans="1:6" x14ac:dyDescent="0.3">
      <c r="A4322" s="171">
        <v>43166</v>
      </c>
      <c r="B4322" s="5" t="s">
        <v>1193</v>
      </c>
      <c r="C4322" s="5" t="s">
        <v>3351</v>
      </c>
      <c r="D4322" s="43">
        <v>3000</v>
      </c>
      <c r="E4322" s="43"/>
      <c r="F4322" s="48">
        <f t="shared" si="70"/>
        <v>50919</v>
      </c>
    </row>
    <row r="4323" spans="1:6" x14ac:dyDescent="0.3">
      <c r="A4323" s="171">
        <v>43166</v>
      </c>
      <c r="B4323" s="5" t="s">
        <v>3220</v>
      </c>
      <c r="C4323" s="5" t="s">
        <v>3352</v>
      </c>
      <c r="D4323" s="43">
        <v>15000</v>
      </c>
      <c r="E4323" s="43"/>
      <c r="F4323" s="48">
        <f t="shared" si="70"/>
        <v>35919</v>
      </c>
    </row>
    <row r="4324" spans="1:6" x14ac:dyDescent="0.3">
      <c r="A4324" s="171">
        <v>43166</v>
      </c>
      <c r="B4324" s="5" t="s">
        <v>541</v>
      </c>
      <c r="C4324" s="5" t="s">
        <v>3117</v>
      </c>
      <c r="D4324" s="43">
        <v>80</v>
      </c>
      <c r="E4324" s="43"/>
      <c r="F4324" s="48">
        <f t="shared" si="70"/>
        <v>35839</v>
      </c>
    </row>
    <row r="4325" spans="1:6" x14ac:dyDescent="0.3">
      <c r="A4325" s="171">
        <v>43166</v>
      </c>
      <c r="B4325" s="5" t="s">
        <v>14</v>
      </c>
      <c r="C4325" s="5" t="s">
        <v>1049</v>
      </c>
      <c r="D4325" s="43">
        <f>22000+10000</f>
        <v>32000</v>
      </c>
      <c r="E4325" s="43"/>
      <c r="F4325" s="48">
        <f t="shared" si="70"/>
        <v>3839</v>
      </c>
    </row>
    <row r="4326" spans="1:6" x14ac:dyDescent="0.3">
      <c r="A4326" s="171">
        <v>43166</v>
      </c>
      <c r="B4326" s="5" t="s">
        <v>2674</v>
      </c>
      <c r="C4326" s="5" t="s">
        <v>3350</v>
      </c>
      <c r="D4326" s="43">
        <v>380</v>
      </c>
      <c r="E4326" s="43"/>
      <c r="F4326" s="48">
        <f t="shared" si="70"/>
        <v>3459</v>
      </c>
    </row>
    <row r="4327" spans="1:6" x14ac:dyDescent="0.3">
      <c r="A4327" s="171">
        <v>43166</v>
      </c>
      <c r="B4327" s="5" t="s">
        <v>3205</v>
      </c>
      <c r="C4327" s="5" t="s">
        <v>3372</v>
      </c>
      <c r="D4327" s="43">
        <v>1700</v>
      </c>
      <c r="E4327" s="43"/>
      <c r="F4327" s="48">
        <f t="shared" si="70"/>
        <v>1759</v>
      </c>
    </row>
    <row r="4328" spans="1:6" x14ac:dyDescent="0.3">
      <c r="A4328" s="171">
        <v>43167</v>
      </c>
      <c r="B4328" s="5" t="s">
        <v>3353</v>
      </c>
      <c r="C4328" s="5" t="s">
        <v>3354</v>
      </c>
      <c r="D4328" s="43">
        <v>100</v>
      </c>
      <c r="E4328" s="43"/>
      <c r="F4328" s="48">
        <f t="shared" si="70"/>
        <v>1659</v>
      </c>
    </row>
    <row r="4329" spans="1:6" x14ac:dyDescent="0.3">
      <c r="A4329" s="171">
        <v>43167</v>
      </c>
      <c r="B4329" s="5" t="s">
        <v>25</v>
      </c>
      <c r="C4329" s="5" t="s">
        <v>667</v>
      </c>
      <c r="D4329" s="43">
        <v>110</v>
      </c>
      <c r="E4329" s="43"/>
      <c r="F4329" s="48">
        <f t="shared" si="70"/>
        <v>1549</v>
      </c>
    </row>
    <row r="4330" spans="1:6" x14ac:dyDescent="0.3">
      <c r="A4330" s="171">
        <v>43167</v>
      </c>
      <c r="B4330" s="5" t="s">
        <v>25</v>
      </c>
      <c r="C4330" s="5" t="s">
        <v>3117</v>
      </c>
      <c r="D4330" s="43">
        <v>120</v>
      </c>
      <c r="E4330" s="43"/>
      <c r="F4330" s="48">
        <f t="shared" si="70"/>
        <v>1429</v>
      </c>
    </row>
    <row r="4331" spans="1:6" x14ac:dyDescent="0.3">
      <c r="A4331" s="171">
        <v>43167</v>
      </c>
      <c r="B4331" s="5" t="s">
        <v>25</v>
      </c>
      <c r="C4331" s="5" t="s">
        <v>3355</v>
      </c>
      <c r="D4331" s="43">
        <v>50</v>
      </c>
      <c r="E4331" s="43"/>
      <c r="F4331" s="48">
        <f t="shared" si="70"/>
        <v>1379</v>
      </c>
    </row>
    <row r="4332" spans="1:6" x14ac:dyDescent="0.3">
      <c r="A4332" s="171">
        <v>43167</v>
      </c>
      <c r="B4332" s="5" t="s">
        <v>25</v>
      </c>
      <c r="C4332" s="5" t="s">
        <v>3181</v>
      </c>
      <c r="D4332" s="43">
        <v>110</v>
      </c>
      <c r="E4332" s="43"/>
      <c r="F4332" s="48">
        <f t="shared" si="70"/>
        <v>1269</v>
      </c>
    </row>
    <row r="4333" spans="1:6" x14ac:dyDescent="0.3">
      <c r="A4333" s="171">
        <v>43167</v>
      </c>
      <c r="B4333" s="5" t="s">
        <v>25</v>
      </c>
      <c r="C4333" s="5" t="s">
        <v>2875</v>
      </c>
      <c r="D4333" s="43">
        <v>150</v>
      </c>
      <c r="E4333" s="43"/>
      <c r="F4333" s="48">
        <f t="shared" si="70"/>
        <v>1119</v>
      </c>
    </row>
    <row r="4334" spans="1:6" x14ac:dyDescent="0.3">
      <c r="A4334" s="171">
        <v>43167</v>
      </c>
      <c r="B4334" s="5" t="s">
        <v>25</v>
      </c>
      <c r="C4334" s="5" t="s">
        <v>3356</v>
      </c>
      <c r="D4334" s="43">
        <v>180</v>
      </c>
      <c r="E4334" s="43"/>
      <c r="F4334" s="48">
        <f t="shared" si="70"/>
        <v>939</v>
      </c>
    </row>
    <row r="4335" spans="1:6" x14ac:dyDescent="0.3">
      <c r="A4335" s="171">
        <v>43167</v>
      </c>
      <c r="B4335" s="5" t="s">
        <v>25</v>
      </c>
      <c r="C4335" s="5" t="s">
        <v>3357</v>
      </c>
      <c r="D4335" s="43">
        <v>100</v>
      </c>
      <c r="E4335" s="43"/>
      <c r="F4335" s="48">
        <f t="shared" si="70"/>
        <v>839</v>
      </c>
    </row>
    <row r="4336" spans="1:6" x14ac:dyDescent="0.3">
      <c r="A4336" s="171">
        <v>43167</v>
      </c>
      <c r="B4336" s="5" t="s">
        <v>3359</v>
      </c>
      <c r="C4336" s="5" t="s">
        <v>3360</v>
      </c>
      <c r="D4336" s="43">
        <v>100</v>
      </c>
      <c r="E4336" s="43"/>
      <c r="F4336" s="48">
        <f t="shared" si="70"/>
        <v>739</v>
      </c>
    </row>
    <row r="4337" spans="1:6" x14ac:dyDescent="0.3">
      <c r="A4337" s="171">
        <v>43167</v>
      </c>
      <c r="B4337" s="756" t="s">
        <v>94</v>
      </c>
      <c r="C4337" s="756"/>
      <c r="D4337" s="71"/>
      <c r="E4337" s="72">
        <v>14772</v>
      </c>
      <c r="F4337" s="48">
        <f t="shared" si="70"/>
        <v>15511</v>
      </c>
    </row>
    <row r="4338" spans="1:6" x14ac:dyDescent="0.3">
      <c r="A4338" s="171">
        <v>43168</v>
      </c>
      <c r="B4338" s="5" t="s">
        <v>28</v>
      </c>
      <c r="C4338" s="5" t="s">
        <v>3373</v>
      </c>
      <c r="D4338" s="43">
        <v>3000</v>
      </c>
      <c r="E4338" s="43"/>
      <c r="F4338" s="48">
        <f t="shared" si="70"/>
        <v>12511</v>
      </c>
    </row>
    <row r="4339" spans="1:6" x14ac:dyDescent="0.3">
      <c r="A4339" s="171">
        <v>43168</v>
      </c>
      <c r="B4339" s="5" t="s">
        <v>2346</v>
      </c>
      <c r="C4339" s="5" t="s">
        <v>3364</v>
      </c>
      <c r="D4339" s="43">
        <v>1000</v>
      </c>
      <c r="E4339" s="43"/>
      <c r="F4339" s="48">
        <f t="shared" si="70"/>
        <v>11511</v>
      </c>
    </row>
    <row r="4340" spans="1:6" x14ac:dyDescent="0.3">
      <c r="A4340" s="171">
        <v>43168</v>
      </c>
      <c r="B4340" s="756" t="s">
        <v>3369</v>
      </c>
      <c r="C4340" s="756"/>
      <c r="D4340" s="71"/>
      <c r="E4340" s="72">
        <v>70</v>
      </c>
      <c r="F4340" s="48">
        <f t="shared" si="70"/>
        <v>11581</v>
      </c>
    </row>
    <row r="4341" spans="1:6" x14ac:dyDescent="0.3">
      <c r="A4341" s="171">
        <v>43168</v>
      </c>
      <c r="B4341" s="5" t="s">
        <v>3205</v>
      </c>
      <c r="C4341" s="5" t="s">
        <v>3365</v>
      </c>
      <c r="D4341" s="43">
        <v>900</v>
      </c>
      <c r="E4341" s="43"/>
      <c r="F4341" s="48">
        <f t="shared" si="70"/>
        <v>10681</v>
      </c>
    </row>
    <row r="4342" spans="1:6" x14ac:dyDescent="0.3">
      <c r="A4342" s="171">
        <v>43168</v>
      </c>
      <c r="B4342" s="5" t="s">
        <v>3205</v>
      </c>
      <c r="C4342" s="5" t="s">
        <v>3366</v>
      </c>
      <c r="D4342" s="43">
        <v>140</v>
      </c>
      <c r="E4342" s="43"/>
      <c r="F4342" s="48">
        <f t="shared" si="70"/>
        <v>10541</v>
      </c>
    </row>
    <row r="4343" spans="1:6" x14ac:dyDescent="0.3">
      <c r="A4343" s="171">
        <v>43168</v>
      </c>
      <c r="B4343" s="5" t="s">
        <v>47</v>
      </c>
      <c r="C4343" s="175" t="s">
        <v>3367</v>
      </c>
      <c r="D4343" s="43">
        <v>500</v>
      </c>
      <c r="E4343" s="43"/>
      <c r="F4343" s="48">
        <f t="shared" si="70"/>
        <v>10041</v>
      </c>
    </row>
    <row r="4344" spans="1:6" x14ac:dyDescent="0.3">
      <c r="A4344" s="171">
        <v>43168</v>
      </c>
      <c r="B4344" s="5" t="s">
        <v>84</v>
      </c>
      <c r="C4344" s="175" t="s">
        <v>3362</v>
      </c>
      <c r="D4344" s="43">
        <v>5000</v>
      </c>
      <c r="E4344" s="43"/>
      <c r="F4344" s="48">
        <f t="shared" si="70"/>
        <v>5041</v>
      </c>
    </row>
    <row r="4345" spans="1:6" x14ac:dyDescent="0.3">
      <c r="A4345" s="171">
        <v>43168</v>
      </c>
      <c r="B4345" s="5" t="s">
        <v>1410</v>
      </c>
      <c r="C4345" s="175" t="s">
        <v>3363</v>
      </c>
      <c r="D4345" s="43">
        <v>2000</v>
      </c>
      <c r="E4345" s="43"/>
      <c r="F4345" s="48">
        <f t="shared" si="70"/>
        <v>3041</v>
      </c>
    </row>
    <row r="4346" spans="1:6" x14ac:dyDescent="0.3">
      <c r="A4346" s="171">
        <v>43169</v>
      </c>
      <c r="B4346" s="756" t="s">
        <v>3368</v>
      </c>
      <c r="C4346" s="756"/>
      <c r="D4346" s="176"/>
      <c r="E4346" s="72">
        <v>45000</v>
      </c>
      <c r="F4346" s="48">
        <f t="shared" si="70"/>
        <v>48041</v>
      </c>
    </row>
    <row r="4347" spans="1:6" x14ac:dyDescent="0.3">
      <c r="A4347" s="171">
        <v>43169</v>
      </c>
      <c r="B4347" s="5" t="s">
        <v>1193</v>
      </c>
      <c r="C4347" s="175" t="s">
        <v>3361</v>
      </c>
      <c r="D4347" s="43">
        <v>3000</v>
      </c>
      <c r="E4347" s="43"/>
      <c r="F4347" s="48">
        <f t="shared" si="70"/>
        <v>45041</v>
      </c>
    </row>
    <row r="4348" spans="1:6" x14ac:dyDescent="0.3">
      <c r="A4348" s="171">
        <v>43169</v>
      </c>
      <c r="B4348" s="5" t="s">
        <v>1193</v>
      </c>
      <c r="C4348" s="175" t="s">
        <v>1232</v>
      </c>
      <c r="D4348" s="43">
        <v>2000</v>
      </c>
      <c r="E4348" s="43"/>
      <c r="F4348" s="48">
        <f t="shared" si="70"/>
        <v>43041</v>
      </c>
    </row>
    <row r="4349" spans="1:6" x14ac:dyDescent="0.3">
      <c r="A4349" s="171">
        <v>43169</v>
      </c>
      <c r="B4349" s="5" t="s">
        <v>58</v>
      </c>
      <c r="C4349" s="5" t="s">
        <v>3348</v>
      </c>
      <c r="D4349" s="43">
        <v>41000</v>
      </c>
      <c r="E4349" s="43"/>
      <c r="F4349" s="48">
        <f t="shared" si="70"/>
        <v>2041</v>
      </c>
    </row>
    <row r="4350" spans="1:6" x14ac:dyDescent="0.3">
      <c r="A4350" s="171">
        <v>43169</v>
      </c>
      <c r="B4350" s="5" t="s">
        <v>3205</v>
      </c>
      <c r="C4350" s="5" t="s">
        <v>3370</v>
      </c>
      <c r="D4350" s="43">
        <v>500</v>
      </c>
      <c r="E4350" s="43"/>
      <c r="F4350" s="48">
        <f t="shared" si="70"/>
        <v>1541</v>
      </c>
    </row>
    <row r="4351" spans="1:6" x14ac:dyDescent="0.3">
      <c r="A4351" s="171">
        <v>43169</v>
      </c>
      <c r="B4351" s="5" t="s">
        <v>25</v>
      </c>
      <c r="C4351" s="5" t="s">
        <v>3374</v>
      </c>
      <c r="D4351" s="43">
        <f>360+60+33+30</f>
        <v>483</v>
      </c>
      <c r="E4351" s="43"/>
      <c r="F4351" s="48">
        <f t="shared" si="70"/>
        <v>1058</v>
      </c>
    </row>
    <row r="4352" spans="1:6" x14ac:dyDescent="0.3">
      <c r="A4352" s="171">
        <v>43169</v>
      </c>
      <c r="B4352" s="5" t="s">
        <v>25</v>
      </c>
      <c r="C4352" s="5" t="s">
        <v>3375</v>
      </c>
      <c r="D4352" s="43">
        <v>180</v>
      </c>
      <c r="E4352" s="43"/>
      <c r="F4352" s="48">
        <f t="shared" si="70"/>
        <v>878</v>
      </c>
    </row>
    <row r="4353" spans="1:6" x14ac:dyDescent="0.3">
      <c r="A4353" s="171">
        <v>43169</v>
      </c>
      <c r="B4353" s="5" t="s">
        <v>541</v>
      </c>
      <c r="C4353" s="5" t="s">
        <v>3376</v>
      </c>
      <c r="D4353" s="43">
        <v>220</v>
      </c>
      <c r="E4353" s="43"/>
      <c r="F4353" s="48">
        <f t="shared" si="70"/>
        <v>658</v>
      </c>
    </row>
    <row r="4354" spans="1:6" x14ac:dyDescent="0.3">
      <c r="A4354" s="171">
        <v>43169</v>
      </c>
      <c r="B4354" s="5" t="s">
        <v>25</v>
      </c>
      <c r="C4354" s="5" t="s">
        <v>1730</v>
      </c>
      <c r="D4354" s="43">
        <v>50</v>
      </c>
      <c r="E4354" s="43"/>
      <c r="F4354" s="48">
        <f t="shared" si="70"/>
        <v>608</v>
      </c>
    </row>
    <row r="4355" spans="1:6" x14ac:dyDescent="0.3">
      <c r="A4355" s="171">
        <v>43172</v>
      </c>
      <c r="B4355" s="5" t="s">
        <v>16</v>
      </c>
      <c r="C4355" s="5" t="s">
        <v>87</v>
      </c>
      <c r="D4355" s="43">
        <v>100</v>
      </c>
      <c r="E4355" s="43"/>
      <c r="F4355" s="48">
        <f t="shared" si="70"/>
        <v>508</v>
      </c>
    </row>
    <row r="4356" spans="1:6" x14ac:dyDescent="0.3">
      <c r="A4356" s="171">
        <v>43173</v>
      </c>
      <c r="B4356" s="5" t="s">
        <v>25</v>
      </c>
      <c r="C4356" s="5" t="s">
        <v>3377</v>
      </c>
      <c r="D4356" s="43">
        <v>60</v>
      </c>
      <c r="E4356" s="43"/>
      <c r="F4356" s="48">
        <f t="shared" si="70"/>
        <v>448</v>
      </c>
    </row>
    <row r="4357" spans="1:6" x14ac:dyDescent="0.3">
      <c r="A4357" s="171">
        <v>43173</v>
      </c>
      <c r="B4357" s="5" t="s">
        <v>541</v>
      </c>
      <c r="C4357" s="5" t="s">
        <v>2875</v>
      </c>
      <c r="D4357" s="43">
        <v>150</v>
      </c>
      <c r="E4357" s="43"/>
      <c r="F4357" s="48">
        <f t="shared" si="70"/>
        <v>298</v>
      </c>
    </row>
    <row r="4358" spans="1:6" x14ac:dyDescent="0.3">
      <c r="A4358" s="171">
        <v>43173</v>
      </c>
      <c r="B4358" s="5" t="s">
        <v>25</v>
      </c>
      <c r="C4358" s="5" t="s">
        <v>939</v>
      </c>
      <c r="D4358" s="43">
        <v>480</v>
      </c>
      <c r="E4358" s="43"/>
      <c r="F4358" s="48">
        <f t="shared" si="70"/>
        <v>-182</v>
      </c>
    </row>
    <row r="4359" spans="1:6" x14ac:dyDescent="0.3">
      <c r="A4359" s="171">
        <v>43168</v>
      </c>
      <c r="B4359" s="756" t="s">
        <v>3379</v>
      </c>
      <c r="C4359" s="756"/>
      <c r="D4359" s="71"/>
      <c r="E4359" s="72">
        <v>13000</v>
      </c>
      <c r="F4359" s="48">
        <f t="shared" si="70"/>
        <v>12818</v>
      </c>
    </row>
    <row r="4360" spans="1:6" x14ac:dyDescent="0.3">
      <c r="A4360" s="171">
        <v>43173</v>
      </c>
      <c r="B4360" s="5" t="s">
        <v>25</v>
      </c>
      <c r="C4360" s="5" t="s">
        <v>667</v>
      </c>
      <c r="D4360" s="43">
        <v>110</v>
      </c>
      <c r="E4360" s="43"/>
      <c r="F4360" s="48">
        <f t="shared" si="70"/>
        <v>12708</v>
      </c>
    </row>
    <row r="4361" spans="1:6" x14ac:dyDescent="0.3">
      <c r="A4361" s="171">
        <v>43173</v>
      </c>
      <c r="B4361" s="5" t="s">
        <v>0</v>
      </c>
      <c r="C4361" s="5" t="s">
        <v>3378</v>
      </c>
      <c r="D4361" s="43">
        <v>300</v>
      </c>
      <c r="E4361" s="43"/>
      <c r="F4361" s="48">
        <f t="shared" si="70"/>
        <v>12408</v>
      </c>
    </row>
    <row r="4362" spans="1:6" x14ac:dyDescent="0.3">
      <c r="A4362" s="171">
        <v>43173</v>
      </c>
      <c r="B4362" s="756" t="s">
        <v>1981</v>
      </c>
      <c r="C4362" s="756"/>
      <c r="D4362" s="71"/>
      <c r="E4362" s="72">
        <v>100000</v>
      </c>
      <c r="F4362" s="48">
        <f t="shared" si="70"/>
        <v>112408</v>
      </c>
    </row>
    <row r="4363" spans="1:6" x14ac:dyDescent="0.3">
      <c r="A4363" s="171">
        <v>43173</v>
      </c>
      <c r="B4363" s="5" t="s">
        <v>0</v>
      </c>
      <c r="C4363" s="5" t="s">
        <v>1530</v>
      </c>
      <c r="D4363" s="43">
        <v>6000</v>
      </c>
      <c r="E4363" s="43"/>
      <c r="F4363" s="48">
        <f t="shared" ref="F4363:F4426" si="71">F4362-D4363+E4363</f>
        <v>106408</v>
      </c>
    </row>
    <row r="4364" spans="1:6" x14ac:dyDescent="0.3">
      <c r="A4364" s="171">
        <v>43173</v>
      </c>
      <c r="B4364" s="5" t="s">
        <v>58</v>
      </c>
      <c r="C4364" s="5" t="s">
        <v>3143</v>
      </c>
      <c r="D4364" s="43">
        <v>50000</v>
      </c>
      <c r="E4364" s="43"/>
      <c r="F4364" s="48">
        <f t="shared" si="71"/>
        <v>56408</v>
      </c>
    </row>
    <row r="4365" spans="1:6" x14ac:dyDescent="0.3">
      <c r="A4365" s="171">
        <v>43173</v>
      </c>
      <c r="B4365" s="5" t="s">
        <v>107</v>
      </c>
      <c r="C4365" s="5" t="s">
        <v>3380</v>
      </c>
      <c r="D4365" s="43">
        <v>1800</v>
      </c>
      <c r="E4365" s="43"/>
      <c r="F4365" s="48">
        <f t="shared" si="71"/>
        <v>54608</v>
      </c>
    </row>
    <row r="4366" spans="1:6" x14ac:dyDescent="0.3">
      <c r="A4366" s="171">
        <v>43173</v>
      </c>
      <c r="B4366" s="5" t="s">
        <v>1410</v>
      </c>
      <c r="C4366" s="5" t="s">
        <v>3381</v>
      </c>
      <c r="D4366" s="43">
        <v>2000</v>
      </c>
      <c r="E4366" s="43"/>
      <c r="F4366" s="48">
        <f t="shared" si="71"/>
        <v>52608</v>
      </c>
    </row>
    <row r="4367" spans="1:6" x14ac:dyDescent="0.3">
      <c r="A4367" s="171">
        <v>43173</v>
      </c>
      <c r="B4367" s="5" t="s">
        <v>84</v>
      </c>
      <c r="C4367" s="5" t="s">
        <v>3382</v>
      </c>
      <c r="D4367" s="43">
        <v>2000</v>
      </c>
      <c r="E4367" s="43"/>
      <c r="F4367" s="48">
        <f t="shared" si="71"/>
        <v>50608</v>
      </c>
    </row>
    <row r="4368" spans="1:6" x14ac:dyDescent="0.3">
      <c r="A4368" s="171">
        <v>43173</v>
      </c>
      <c r="B4368" s="5" t="s">
        <v>247</v>
      </c>
      <c r="C4368" s="5" t="s">
        <v>3383</v>
      </c>
      <c r="D4368" s="43">
        <v>100</v>
      </c>
      <c r="E4368" s="43"/>
      <c r="F4368" s="48">
        <f t="shared" si="71"/>
        <v>50508</v>
      </c>
    </row>
    <row r="4369" spans="1:6" x14ac:dyDescent="0.3">
      <c r="A4369" s="171">
        <v>43173</v>
      </c>
      <c r="B4369" s="5" t="s">
        <v>25</v>
      </c>
      <c r="C4369" s="5" t="s">
        <v>3387</v>
      </c>
      <c r="D4369" s="43">
        <v>8500</v>
      </c>
      <c r="E4369" s="43"/>
      <c r="F4369" s="48">
        <f t="shared" si="71"/>
        <v>42008</v>
      </c>
    </row>
    <row r="4370" spans="1:6" x14ac:dyDescent="0.3">
      <c r="A4370" s="171">
        <v>43173</v>
      </c>
      <c r="B4370" s="5" t="s">
        <v>2155</v>
      </c>
      <c r="C4370" s="5" t="s">
        <v>2013</v>
      </c>
      <c r="D4370" s="43">
        <v>50</v>
      </c>
      <c r="E4370" s="43"/>
      <c r="F4370" s="48">
        <f t="shared" si="71"/>
        <v>41958</v>
      </c>
    </row>
    <row r="4371" spans="1:6" x14ac:dyDescent="0.3">
      <c r="A4371" s="171">
        <v>43173</v>
      </c>
      <c r="B4371" s="5" t="s">
        <v>3384</v>
      </c>
      <c r="C4371" s="5" t="s">
        <v>3385</v>
      </c>
      <c r="D4371" s="43">
        <v>2000</v>
      </c>
      <c r="E4371" s="43"/>
      <c r="F4371" s="48">
        <f t="shared" si="71"/>
        <v>39958</v>
      </c>
    </row>
    <row r="4372" spans="1:6" x14ac:dyDescent="0.3">
      <c r="A4372" s="171">
        <v>43174</v>
      </c>
      <c r="B4372" s="5" t="s">
        <v>93</v>
      </c>
      <c r="C4372" s="5" t="s">
        <v>3386</v>
      </c>
      <c r="D4372" s="43">
        <v>2000</v>
      </c>
      <c r="E4372" s="43"/>
      <c r="F4372" s="48">
        <f t="shared" si="71"/>
        <v>37958</v>
      </c>
    </row>
    <row r="4373" spans="1:6" x14ac:dyDescent="0.3">
      <c r="A4373" s="171">
        <v>43174</v>
      </c>
      <c r="B4373" s="5" t="s">
        <v>58</v>
      </c>
      <c r="C4373" s="5" t="s">
        <v>3388</v>
      </c>
      <c r="D4373" s="43">
        <v>5570</v>
      </c>
      <c r="E4373" s="43"/>
      <c r="F4373" s="48">
        <f t="shared" si="71"/>
        <v>32388</v>
      </c>
    </row>
    <row r="4374" spans="1:6" x14ac:dyDescent="0.3">
      <c r="A4374" s="171">
        <v>43174</v>
      </c>
      <c r="B4374" s="5" t="s">
        <v>2824</v>
      </c>
      <c r="C4374" s="5" t="s">
        <v>3389</v>
      </c>
      <c r="D4374" s="43">
        <v>2500</v>
      </c>
      <c r="E4374" s="43"/>
      <c r="F4374" s="48">
        <f t="shared" si="71"/>
        <v>29888</v>
      </c>
    </row>
    <row r="4375" spans="1:6" x14ac:dyDescent="0.3">
      <c r="A4375" s="171">
        <v>43174</v>
      </c>
      <c r="B4375" s="5" t="s">
        <v>541</v>
      </c>
      <c r="C4375" s="5" t="s">
        <v>3117</v>
      </c>
      <c r="D4375" s="43">
        <v>120</v>
      </c>
      <c r="E4375" s="43"/>
      <c r="F4375" s="48">
        <f t="shared" si="71"/>
        <v>29768</v>
      </c>
    </row>
    <row r="4376" spans="1:6" x14ac:dyDescent="0.3">
      <c r="A4376" s="171">
        <v>43174</v>
      </c>
      <c r="B4376" s="5" t="s">
        <v>25</v>
      </c>
      <c r="C4376" s="5" t="s">
        <v>3277</v>
      </c>
      <c r="D4376" s="43">
        <v>260</v>
      </c>
      <c r="E4376" s="43"/>
      <c r="F4376" s="48">
        <f t="shared" si="71"/>
        <v>29508</v>
      </c>
    </row>
    <row r="4377" spans="1:6" x14ac:dyDescent="0.3">
      <c r="A4377" s="171">
        <v>43174</v>
      </c>
      <c r="B4377" s="5" t="s">
        <v>25</v>
      </c>
      <c r="C4377" s="5" t="s">
        <v>3399</v>
      </c>
      <c r="D4377" s="43">
        <v>330</v>
      </c>
      <c r="E4377" s="43"/>
      <c r="F4377" s="48">
        <f t="shared" si="71"/>
        <v>29178</v>
      </c>
    </row>
    <row r="4378" spans="1:6" x14ac:dyDescent="0.3">
      <c r="A4378" s="171">
        <v>43174</v>
      </c>
      <c r="B4378" s="5" t="s">
        <v>0</v>
      </c>
      <c r="C4378" s="5" t="s">
        <v>2013</v>
      </c>
      <c r="D4378" s="43">
        <v>100</v>
      </c>
      <c r="E4378" s="43"/>
      <c r="F4378" s="48">
        <f t="shared" si="71"/>
        <v>29078</v>
      </c>
    </row>
    <row r="4379" spans="1:6" x14ac:dyDescent="0.3">
      <c r="A4379" s="177">
        <v>43175</v>
      </c>
      <c r="B4379" s="178" t="s">
        <v>58</v>
      </c>
      <c r="C4379" s="178" t="s">
        <v>3390</v>
      </c>
      <c r="D4379" s="179">
        <v>1000</v>
      </c>
      <c r="E4379" s="179"/>
      <c r="F4379" s="48">
        <f t="shared" si="71"/>
        <v>28078</v>
      </c>
    </row>
    <row r="4380" spans="1:6" x14ac:dyDescent="0.3">
      <c r="A4380" s="171">
        <v>43175</v>
      </c>
      <c r="B4380" s="5" t="s">
        <v>1193</v>
      </c>
      <c r="C4380" s="5" t="s">
        <v>3391</v>
      </c>
      <c r="D4380" s="43">
        <v>3000</v>
      </c>
      <c r="E4380" s="43"/>
      <c r="F4380" s="48">
        <f t="shared" si="71"/>
        <v>25078</v>
      </c>
    </row>
    <row r="4381" spans="1:6" x14ac:dyDescent="0.3">
      <c r="A4381" s="171">
        <v>43175</v>
      </c>
      <c r="B4381" s="756" t="s">
        <v>3379</v>
      </c>
      <c r="C4381" s="756"/>
      <c r="D4381" s="71"/>
      <c r="E4381" s="72">
        <v>2800</v>
      </c>
      <c r="F4381" s="48">
        <f t="shared" si="71"/>
        <v>27878</v>
      </c>
    </row>
    <row r="4382" spans="1:6" x14ac:dyDescent="0.3">
      <c r="A4382" s="171">
        <v>43175</v>
      </c>
      <c r="B4382" s="5" t="s">
        <v>3392</v>
      </c>
      <c r="C4382" s="5" t="s">
        <v>3393</v>
      </c>
      <c r="D4382" s="43">
        <v>12000</v>
      </c>
      <c r="E4382" s="43"/>
      <c r="F4382" s="48">
        <f t="shared" si="71"/>
        <v>15878</v>
      </c>
    </row>
    <row r="4383" spans="1:6" x14ac:dyDescent="0.3">
      <c r="A4383" s="171">
        <v>43175</v>
      </c>
      <c r="B4383" s="5" t="s">
        <v>25</v>
      </c>
      <c r="C4383" s="5" t="s">
        <v>3394</v>
      </c>
      <c r="D4383" s="43">
        <v>50</v>
      </c>
      <c r="E4383" s="43"/>
      <c r="F4383" s="48">
        <f t="shared" si="71"/>
        <v>15828</v>
      </c>
    </row>
    <row r="4384" spans="1:6" x14ac:dyDescent="0.3">
      <c r="A4384" s="171">
        <v>43175</v>
      </c>
      <c r="B4384" s="5" t="s">
        <v>25</v>
      </c>
      <c r="C4384" s="5" t="s">
        <v>3400</v>
      </c>
      <c r="D4384" s="43">
        <v>280</v>
      </c>
      <c r="E4384" s="43"/>
      <c r="F4384" s="48">
        <f t="shared" si="71"/>
        <v>15548</v>
      </c>
    </row>
    <row r="4385" spans="1:6" x14ac:dyDescent="0.3">
      <c r="A4385" s="171">
        <v>43175</v>
      </c>
      <c r="B4385" s="5" t="s">
        <v>541</v>
      </c>
      <c r="C4385" s="5" t="s">
        <v>3117</v>
      </c>
      <c r="D4385" s="43">
        <v>100</v>
      </c>
      <c r="E4385" s="43"/>
      <c r="F4385" s="48">
        <f t="shared" si="71"/>
        <v>15448</v>
      </c>
    </row>
    <row r="4386" spans="1:6" x14ac:dyDescent="0.3">
      <c r="A4386" s="171">
        <v>43175</v>
      </c>
      <c r="B4386" s="5" t="s">
        <v>25</v>
      </c>
      <c r="C4386" s="5" t="s">
        <v>3395</v>
      </c>
      <c r="D4386" s="43">
        <v>210</v>
      </c>
      <c r="E4386" s="43"/>
      <c r="F4386" s="48">
        <f t="shared" si="71"/>
        <v>15238</v>
      </c>
    </row>
    <row r="4387" spans="1:6" x14ac:dyDescent="0.3">
      <c r="A4387" s="171">
        <v>43175</v>
      </c>
      <c r="B4387" s="5" t="s">
        <v>25</v>
      </c>
      <c r="C4387" s="5" t="s">
        <v>2659</v>
      </c>
      <c r="D4387" s="43">
        <v>360</v>
      </c>
      <c r="E4387" s="43"/>
      <c r="F4387" s="48">
        <f t="shared" si="71"/>
        <v>14878</v>
      </c>
    </row>
    <row r="4388" spans="1:6" x14ac:dyDescent="0.3">
      <c r="A4388" s="171">
        <v>43175</v>
      </c>
      <c r="B4388" s="5" t="s">
        <v>14</v>
      </c>
      <c r="C4388" s="5" t="s">
        <v>3396</v>
      </c>
      <c r="D4388" s="43">
        <v>160</v>
      </c>
      <c r="E4388" s="43"/>
      <c r="F4388" s="48">
        <f t="shared" si="71"/>
        <v>14718</v>
      </c>
    </row>
    <row r="4389" spans="1:6" x14ac:dyDescent="0.3">
      <c r="A4389" s="171">
        <v>43175</v>
      </c>
      <c r="B4389" s="5" t="s">
        <v>25</v>
      </c>
      <c r="C4389" s="5" t="s">
        <v>3397</v>
      </c>
      <c r="D4389" s="43">
        <v>45</v>
      </c>
      <c r="E4389" s="43"/>
      <c r="F4389" s="48">
        <f t="shared" si="71"/>
        <v>14673</v>
      </c>
    </row>
    <row r="4390" spans="1:6" x14ac:dyDescent="0.3">
      <c r="A4390" s="171">
        <v>43175</v>
      </c>
      <c r="B4390" s="756" t="s">
        <v>3404</v>
      </c>
      <c r="C4390" s="756"/>
      <c r="D4390" s="71"/>
      <c r="E4390" s="72">
        <v>400</v>
      </c>
      <c r="F4390" s="48">
        <f t="shared" si="71"/>
        <v>15073</v>
      </c>
    </row>
    <row r="4391" spans="1:6" x14ac:dyDescent="0.3">
      <c r="A4391" s="171">
        <v>43175</v>
      </c>
      <c r="B4391" s="5" t="s">
        <v>11</v>
      </c>
      <c r="C4391" s="5" t="s">
        <v>3398</v>
      </c>
      <c r="D4391" s="43">
        <v>2000</v>
      </c>
      <c r="E4391" s="43"/>
      <c r="F4391" s="48">
        <f t="shared" si="71"/>
        <v>13073</v>
      </c>
    </row>
    <row r="4392" spans="1:6" x14ac:dyDescent="0.3">
      <c r="A4392" s="171">
        <v>43175</v>
      </c>
      <c r="B4392" s="5" t="s">
        <v>84</v>
      </c>
      <c r="C4392" s="5" t="s">
        <v>3401</v>
      </c>
      <c r="D4392" s="43">
        <v>1000</v>
      </c>
      <c r="E4392" s="43"/>
      <c r="F4392" s="48">
        <f t="shared" si="71"/>
        <v>12073</v>
      </c>
    </row>
    <row r="4393" spans="1:6" x14ac:dyDescent="0.3">
      <c r="A4393" s="171">
        <v>43175</v>
      </c>
      <c r="B4393" s="5" t="s">
        <v>84</v>
      </c>
      <c r="C4393" s="5" t="s">
        <v>3402</v>
      </c>
      <c r="D4393" s="43">
        <v>5000</v>
      </c>
      <c r="E4393" s="43"/>
      <c r="F4393" s="48">
        <f t="shared" si="71"/>
        <v>7073</v>
      </c>
    </row>
    <row r="4394" spans="1:6" x14ac:dyDescent="0.3">
      <c r="A4394" s="171">
        <v>43175</v>
      </c>
      <c r="B4394" s="5" t="s">
        <v>84</v>
      </c>
      <c r="C4394" s="5" t="s">
        <v>3403</v>
      </c>
      <c r="D4394" s="43">
        <v>1000</v>
      </c>
      <c r="E4394" s="43"/>
      <c r="F4394" s="48">
        <f t="shared" si="71"/>
        <v>6073</v>
      </c>
    </row>
    <row r="4395" spans="1:6" x14ac:dyDescent="0.3">
      <c r="A4395" s="171">
        <v>43175</v>
      </c>
      <c r="B4395" s="5" t="s">
        <v>541</v>
      </c>
      <c r="C4395" s="5" t="s">
        <v>3405</v>
      </c>
      <c r="D4395" s="43">
        <v>6070</v>
      </c>
      <c r="E4395" s="43"/>
      <c r="F4395" s="48">
        <f t="shared" si="71"/>
        <v>3</v>
      </c>
    </row>
    <row r="4396" spans="1:6" x14ac:dyDescent="0.3">
      <c r="A4396" s="171">
        <v>43190</v>
      </c>
      <c r="B4396" s="756" t="s">
        <v>2162</v>
      </c>
      <c r="C4396" s="756"/>
      <c r="D4396" s="71"/>
      <c r="E4396" s="72">
        <v>100000</v>
      </c>
      <c r="F4396" s="48">
        <v>100000</v>
      </c>
    </row>
    <row r="4397" spans="1:6" x14ac:dyDescent="0.3">
      <c r="A4397" s="171">
        <v>43190</v>
      </c>
      <c r="B4397" s="5" t="s">
        <v>2594</v>
      </c>
      <c r="C4397" s="5" t="s">
        <v>3126</v>
      </c>
      <c r="D4397" s="43">
        <v>37000</v>
      </c>
      <c r="E4397" s="43"/>
      <c r="F4397" s="48">
        <f t="shared" si="71"/>
        <v>63000</v>
      </c>
    </row>
    <row r="4398" spans="1:6" x14ac:dyDescent="0.3">
      <c r="A4398" s="171">
        <v>43190</v>
      </c>
      <c r="B4398" s="5" t="s">
        <v>1343</v>
      </c>
      <c r="C4398" s="5" t="s">
        <v>3406</v>
      </c>
      <c r="D4398" s="43">
        <v>3000</v>
      </c>
      <c r="E4398" s="43"/>
      <c r="F4398" s="48">
        <f t="shared" si="71"/>
        <v>60000</v>
      </c>
    </row>
    <row r="4399" spans="1:6" x14ac:dyDescent="0.3">
      <c r="A4399" s="171">
        <v>43190</v>
      </c>
      <c r="B4399" s="5" t="s">
        <v>2330</v>
      </c>
      <c r="C4399" s="5" t="s">
        <v>640</v>
      </c>
      <c r="D4399" s="43">
        <v>1500</v>
      </c>
      <c r="E4399" s="43"/>
      <c r="F4399" s="48">
        <f t="shared" si="71"/>
        <v>58500</v>
      </c>
    </row>
    <row r="4400" spans="1:6" x14ac:dyDescent="0.3">
      <c r="A4400" s="171">
        <v>43190</v>
      </c>
      <c r="B4400" s="5" t="s">
        <v>25</v>
      </c>
      <c r="C4400" s="5" t="s">
        <v>3428</v>
      </c>
      <c r="D4400" s="43">
        <v>200</v>
      </c>
      <c r="E4400" s="43"/>
      <c r="F4400" s="48">
        <f t="shared" si="71"/>
        <v>58300</v>
      </c>
    </row>
    <row r="4401" spans="1:6" x14ac:dyDescent="0.3">
      <c r="A4401" s="171">
        <v>43190</v>
      </c>
      <c r="B4401" s="5" t="s">
        <v>541</v>
      </c>
      <c r="C4401" s="5" t="s">
        <v>3117</v>
      </c>
      <c r="D4401" s="43">
        <v>90</v>
      </c>
      <c r="E4401" s="43"/>
      <c r="F4401" s="48">
        <f t="shared" si="71"/>
        <v>58210</v>
      </c>
    </row>
    <row r="4402" spans="1:6" x14ac:dyDescent="0.3">
      <c r="A4402" s="171">
        <v>43190</v>
      </c>
      <c r="B4402" s="5" t="s">
        <v>25</v>
      </c>
      <c r="C4402" s="5" t="s">
        <v>3090</v>
      </c>
      <c r="D4402" s="43">
        <v>30</v>
      </c>
      <c r="E4402" s="43"/>
      <c r="F4402" s="48">
        <f t="shared" si="71"/>
        <v>58180</v>
      </c>
    </row>
    <row r="4403" spans="1:6" x14ac:dyDescent="0.3">
      <c r="A4403" s="171">
        <v>43190</v>
      </c>
      <c r="B4403" s="5" t="s">
        <v>25</v>
      </c>
      <c r="C4403" s="5" t="s">
        <v>1829</v>
      </c>
      <c r="D4403" s="43">
        <v>60</v>
      </c>
      <c r="E4403" s="43"/>
      <c r="F4403" s="48">
        <f t="shared" si="71"/>
        <v>58120</v>
      </c>
    </row>
    <row r="4404" spans="1:6" x14ac:dyDescent="0.3">
      <c r="A4404" s="171">
        <v>43190</v>
      </c>
      <c r="B4404" s="5" t="s">
        <v>25</v>
      </c>
      <c r="C4404" s="5" t="s">
        <v>3429</v>
      </c>
      <c r="D4404" s="43">
        <v>100</v>
      </c>
      <c r="E4404" s="43"/>
      <c r="F4404" s="48">
        <f t="shared" si="71"/>
        <v>58020</v>
      </c>
    </row>
    <row r="4405" spans="1:6" x14ac:dyDescent="0.3">
      <c r="A4405" s="171">
        <v>43190</v>
      </c>
      <c r="B4405" s="5" t="s">
        <v>1616</v>
      </c>
      <c r="C4405" s="5" t="s">
        <v>640</v>
      </c>
      <c r="D4405" s="43">
        <v>1500</v>
      </c>
      <c r="E4405" s="43"/>
      <c r="F4405" s="48">
        <f>F4399-D4405+E4405</f>
        <v>57000</v>
      </c>
    </row>
    <row r="4406" spans="1:6" x14ac:dyDescent="0.3">
      <c r="A4406" s="171">
        <v>43192</v>
      </c>
      <c r="B4406" s="5" t="s">
        <v>2096</v>
      </c>
      <c r="C4406" s="5" t="s">
        <v>3407</v>
      </c>
      <c r="D4406" s="43">
        <v>20000</v>
      </c>
      <c r="E4406" s="43"/>
      <c r="F4406" s="48">
        <f t="shared" si="71"/>
        <v>37000</v>
      </c>
    </row>
    <row r="4407" spans="1:6" x14ac:dyDescent="0.3">
      <c r="A4407" s="171">
        <v>43192</v>
      </c>
      <c r="B4407" s="5" t="s">
        <v>0</v>
      </c>
      <c r="C4407" s="5" t="s">
        <v>1049</v>
      </c>
      <c r="D4407" s="43">
        <v>1000</v>
      </c>
      <c r="E4407" s="43"/>
      <c r="F4407" s="48">
        <f t="shared" si="71"/>
        <v>36000</v>
      </c>
    </row>
    <row r="4408" spans="1:6" x14ac:dyDescent="0.3">
      <c r="A4408" s="171">
        <v>43192</v>
      </c>
      <c r="B4408" s="5" t="s">
        <v>541</v>
      </c>
      <c r="C4408" s="5" t="s">
        <v>3117</v>
      </c>
      <c r="D4408" s="43">
        <v>90</v>
      </c>
      <c r="E4408" s="43"/>
      <c r="F4408" s="48">
        <f t="shared" si="71"/>
        <v>35910</v>
      </c>
    </row>
    <row r="4409" spans="1:6" x14ac:dyDescent="0.3">
      <c r="A4409" s="171">
        <v>43192</v>
      </c>
      <c r="B4409" s="5" t="s">
        <v>25</v>
      </c>
      <c r="C4409" s="5" t="s">
        <v>3090</v>
      </c>
      <c r="D4409" s="43">
        <v>30</v>
      </c>
      <c r="E4409" s="43"/>
      <c r="F4409" s="48">
        <f t="shared" si="71"/>
        <v>35880</v>
      </c>
    </row>
    <row r="4410" spans="1:6" x14ac:dyDescent="0.3">
      <c r="A4410" s="171">
        <v>43192</v>
      </c>
      <c r="B4410" s="5" t="s">
        <v>3408</v>
      </c>
      <c r="C4410" s="5" t="s">
        <v>3409</v>
      </c>
      <c r="D4410" s="43">
        <v>310</v>
      </c>
      <c r="E4410" s="43"/>
      <c r="F4410" s="48">
        <f>F4407-D4410+E4410</f>
        <v>35690</v>
      </c>
    </row>
    <row r="4411" spans="1:6" x14ac:dyDescent="0.3">
      <c r="A4411" s="171">
        <v>43193</v>
      </c>
      <c r="B4411" s="5" t="s">
        <v>1616</v>
      </c>
      <c r="C4411" s="5" t="s">
        <v>3410</v>
      </c>
      <c r="D4411" s="43">
        <v>520</v>
      </c>
      <c r="E4411" s="43"/>
      <c r="F4411" s="48">
        <f t="shared" si="71"/>
        <v>35170</v>
      </c>
    </row>
    <row r="4412" spans="1:6" x14ac:dyDescent="0.3">
      <c r="A4412" s="171">
        <v>43193</v>
      </c>
      <c r="B4412" s="5" t="s">
        <v>16</v>
      </c>
      <c r="C4412" s="5" t="s">
        <v>3411</v>
      </c>
      <c r="D4412" s="43">
        <v>25000</v>
      </c>
      <c r="E4412" s="43"/>
      <c r="F4412" s="48">
        <f t="shared" si="71"/>
        <v>10170</v>
      </c>
    </row>
    <row r="4413" spans="1:6" x14ac:dyDescent="0.3">
      <c r="A4413" s="171">
        <v>43193</v>
      </c>
      <c r="B4413" s="5" t="s">
        <v>58</v>
      </c>
      <c r="C4413" s="5" t="s">
        <v>3412</v>
      </c>
      <c r="D4413" s="43">
        <v>140</v>
      </c>
      <c r="E4413" s="43"/>
      <c r="F4413" s="48">
        <f t="shared" si="71"/>
        <v>10030</v>
      </c>
    </row>
    <row r="4414" spans="1:6" x14ac:dyDescent="0.3">
      <c r="A4414" s="171">
        <v>43193</v>
      </c>
      <c r="B4414" s="756" t="s">
        <v>3421</v>
      </c>
      <c r="C4414" s="756"/>
      <c r="D4414" s="71"/>
      <c r="E4414" s="72">
        <v>100000</v>
      </c>
      <c r="F4414" s="48">
        <f t="shared" si="71"/>
        <v>110030</v>
      </c>
    </row>
    <row r="4415" spans="1:6" x14ac:dyDescent="0.3">
      <c r="A4415" s="171">
        <v>43193</v>
      </c>
      <c r="B4415" s="5" t="s">
        <v>58</v>
      </c>
      <c r="C4415" s="5" t="s">
        <v>3419</v>
      </c>
      <c r="D4415" s="43">
        <v>27620</v>
      </c>
      <c r="E4415" s="43"/>
      <c r="F4415" s="48">
        <f t="shared" si="71"/>
        <v>82410</v>
      </c>
    </row>
    <row r="4416" spans="1:6" x14ac:dyDescent="0.3">
      <c r="A4416" s="171">
        <v>43193</v>
      </c>
      <c r="B4416" s="5" t="s">
        <v>91</v>
      </c>
      <c r="C4416" s="5" t="s">
        <v>3413</v>
      </c>
      <c r="D4416" s="43">
        <v>450</v>
      </c>
      <c r="E4416" s="43"/>
      <c r="F4416" s="48">
        <f t="shared" si="71"/>
        <v>81960</v>
      </c>
    </row>
    <row r="4417" spans="1:6" x14ac:dyDescent="0.3">
      <c r="A4417" s="171">
        <v>43193</v>
      </c>
      <c r="B4417" s="5" t="s">
        <v>47</v>
      </c>
      <c r="C4417" s="5" t="s">
        <v>3414</v>
      </c>
      <c r="D4417" s="43">
        <v>1500</v>
      </c>
      <c r="E4417" s="43"/>
      <c r="F4417" s="48">
        <f t="shared" si="71"/>
        <v>80460</v>
      </c>
    </row>
    <row r="4418" spans="1:6" x14ac:dyDescent="0.3">
      <c r="A4418" s="171">
        <v>43193</v>
      </c>
      <c r="B4418" s="5" t="s">
        <v>541</v>
      </c>
      <c r="C4418" s="5" t="s">
        <v>3430</v>
      </c>
      <c r="D4418" s="43">
        <v>150</v>
      </c>
      <c r="E4418" s="43"/>
      <c r="F4418" s="48">
        <f t="shared" si="71"/>
        <v>80310</v>
      </c>
    </row>
    <row r="4419" spans="1:6" x14ac:dyDescent="0.3">
      <c r="A4419" s="171">
        <v>43193</v>
      </c>
      <c r="B4419" s="5" t="s">
        <v>25</v>
      </c>
      <c r="C4419" s="5" t="s">
        <v>2231</v>
      </c>
      <c r="D4419" s="43">
        <v>160</v>
      </c>
      <c r="E4419" s="43"/>
      <c r="F4419" s="48">
        <f t="shared" si="71"/>
        <v>80150</v>
      </c>
    </row>
    <row r="4420" spans="1:6" x14ac:dyDescent="0.3">
      <c r="A4420" s="171">
        <v>43193</v>
      </c>
      <c r="B4420" s="5" t="s">
        <v>541</v>
      </c>
      <c r="C4420" s="5" t="s">
        <v>3117</v>
      </c>
      <c r="D4420" s="43">
        <v>100</v>
      </c>
      <c r="E4420" s="43"/>
      <c r="F4420" s="48">
        <f t="shared" si="71"/>
        <v>80050</v>
      </c>
    </row>
    <row r="4421" spans="1:6" x14ac:dyDescent="0.3">
      <c r="A4421" s="171">
        <v>43193</v>
      </c>
      <c r="B4421" s="5" t="s">
        <v>247</v>
      </c>
      <c r="C4421" s="5" t="s">
        <v>3415</v>
      </c>
      <c r="D4421" s="43">
        <v>750</v>
      </c>
      <c r="E4421" s="43"/>
      <c r="F4421" s="48">
        <f t="shared" si="71"/>
        <v>79300</v>
      </c>
    </row>
    <row r="4422" spans="1:6" x14ac:dyDescent="0.3">
      <c r="A4422" s="171">
        <v>43193</v>
      </c>
      <c r="B4422" s="5" t="s">
        <v>58</v>
      </c>
      <c r="C4422" s="5" t="s">
        <v>3417</v>
      </c>
      <c r="D4422" s="43">
        <v>800</v>
      </c>
      <c r="E4422" s="43"/>
      <c r="F4422" s="48">
        <f t="shared" si="71"/>
        <v>78500</v>
      </c>
    </row>
    <row r="4423" spans="1:6" x14ac:dyDescent="0.3">
      <c r="A4423" s="171">
        <v>43193</v>
      </c>
      <c r="B4423" s="5" t="s">
        <v>58</v>
      </c>
      <c r="C4423" s="5" t="s">
        <v>3418</v>
      </c>
      <c r="D4423" s="43">
        <v>300</v>
      </c>
      <c r="E4423" s="43"/>
      <c r="F4423" s="48">
        <f t="shared" si="71"/>
        <v>78200</v>
      </c>
    </row>
    <row r="4424" spans="1:6" x14ac:dyDescent="0.3">
      <c r="A4424" s="171">
        <v>43193</v>
      </c>
      <c r="B4424" s="5" t="s">
        <v>58</v>
      </c>
      <c r="C4424" s="5" t="s">
        <v>3420</v>
      </c>
      <c r="D4424" s="43">
        <v>300</v>
      </c>
      <c r="E4424" s="43"/>
      <c r="F4424" s="48">
        <f t="shared" si="71"/>
        <v>77900</v>
      </c>
    </row>
    <row r="4425" spans="1:6" x14ac:dyDescent="0.3">
      <c r="A4425" s="171">
        <v>43193</v>
      </c>
      <c r="B4425" s="5" t="s">
        <v>3353</v>
      </c>
      <c r="C4425" s="5" t="s">
        <v>3422</v>
      </c>
      <c r="D4425" s="43">
        <v>100</v>
      </c>
      <c r="E4425" s="43"/>
      <c r="F4425" s="48">
        <f t="shared" si="71"/>
        <v>77800</v>
      </c>
    </row>
    <row r="4426" spans="1:6" x14ac:dyDescent="0.3">
      <c r="A4426" s="171">
        <v>43193</v>
      </c>
      <c r="B4426" s="5" t="s">
        <v>541</v>
      </c>
      <c r="C4426" s="5" t="s">
        <v>3117</v>
      </c>
      <c r="D4426" s="43">
        <v>100</v>
      </c>
      <c r="E4426" s="43"/>
      <c r="F4426" s="48">
        <f t="shared" si="71"/>
        <v>77700</v>
      </c>
    </row>
    <row r="4427" spans="1:6" x14ac:dyDescent="0.3">
      <c r="A4427" s="171">
        <v>43194</v>
      </c>
      <c r="B4427" s="5" t="s">
        <v>3443</v>
      </c>
      <c r="C4427" s="5" t="s">
        <v>3423</v>
      </c>
      <c r="D4427" s="43">
        <v>3000</v>
      </c>
      <c r="E4427" s="43"/>
      <c r="F4427" s="48">
        <f t="shared" ref="F4427:F4490" si="72">F4426-D4427+E4427</f>
        <v>74700</v>
      </c>
    </row>
    <row r="4428" spans="1:6" x14ac:dyDescent="0.3">
      <c r="A4428" s="171">
        <v>43194</v>
      </c>
      <c r="B4428" s="5" t="s">
        <v>2482</v>
      </c>
      <c r="C4428" s="5" t="s">
        <v>3424</v>
      </c>
      <c r="D4428" s="43">
        <v>1700</v>
      </c>
      <c r="E4428" s="43"/>
      <c r="F4428" s="48">
        <f t="shared" si="72"/>
        <v>73000</v>
      </c>
    </row>
    <row r="4429" spans="1:6" x14ac:dyDescent="0.3">
      <c r="A4429" s="171">
        <v>43194</v>
      </c>
      <c r="B4429" s="5" t="s">
        <v>3425</v>
      </c>
      <c r="C4429" s="5" t="s">
        <v>3426</v>
      </c>
      <c r="D4429" s="43">
        <f>11500+115</f>
        <v>11615</v>
      </c>
      <c r="E4429" s="43"/>
      <c r="F4429" s="48">
        <f t="shared" si="72"/>
        <v>61385</v>
      </c>
    </row>
    <row r="4430" spans="1:6" x14ac:dyDescent="0.3">
      <c r="A4430" s="171">
        <v>43194</v>
      </c>
      <c r="B4430" s="5" t="s">
        <v>1343</v>
      </c>
      <c r="C4430" s="5" t="s">
        <v>3427</v>
      </c>
      <c r="D4430" s="43">
        <v>20000</v>
      </c>
      <c r="E4430" s="43"/>
      <c r="F4430" s="48">
        <f t="shared" si="72"/>
        <v>41385</v>
      </c>
    </row>
    <row r="4431" spans="1:6" x14ac:dyDescent="0.3">
      <c r="A4431" s="171">
        <v>43194</v>
      </c>
      <c r="B4431" s="5" t="s">
        <v>16</v>
      </c>
      <c r="C4431" s="5" t="s">
        <v>294</v>
      </c>
      <c r="D4431" s="43">
        <v>8000</v>
      </c>
      <c r="E4431" s="43"/>
      <c r="F4431" s="48">
        <f t="shared" si="72"/>
        <v>33385</v>
      </c>
    </row>
    <row r="4432" spans="1:6" x14ac:dyDescent="0.3">
      <c r="A4432" s="171">
        <v>43194</v>
      </c>
      <c r="B4432" s="5" t="s">
        <v>58</v>
      </c>
      <c r="C4432" s="5" t="s">
        <v>3431</v>
      </c>
      <c r="D4432" s="43">
        <v>200</v>
      </c>
      <c r="E4432" s="43"/>
      <c r="F4432" s="48">
        <f t="shared" si="72"/>
        <v>33185</v>
      </c>
    </row>
    <row r="4433" spans="1:6" x14ac:dyDescent="0.3">
      <c r="A4433" s="171">
        <v>43196</v>
      </c>
      <c r="B4433" s="5" t="s">
        <v>1193</v>
      </c>
      <c r="C4433" s="5" t="s">
        <v>3432</v>
      </c>
      <c r="D4433" s="43">
        <v>15500</v>
      </c>
      <c r="E4433" s="43"/>
      <c r="F4433" s="48">
        <f t="shared" si="72"/>
        <v>17685</v>
      </c>
    </row>
    <row r="4434" spans="1:6" x14ac:dyDescent="0.3">
      <c r="A4434" s="171">
        <v>43197</v>
      </c>
      <c r="B4434" s="5" t="s">
        <v>1837</v>
      </c>
      <c r="C4434" s="5" t="s">
        <v>294</v>
      </c>
      <c r="D4434" s="43">
        <v>5000</v>
      </c>
      <c r="E4434" s="43"/>
      <c r="F4434" s="48">
        <f t="shared" si="72"/>
        <v>12685</v>
      </c>
    </row>
    <row r="4435" spans="1:6" x14ac:dyDescent="0.3">
      <c r="A4435" s="171">
        <v>43197</v>
      </c>
      <c r="B4435" s="5" t="s">
        <v>2594</v>
      </c>
      <c r="C4435" s="5" t="s">
        <v>3433</v>
      </c>
      <c r="D4435" s="43">
        <v>4000</v>
      </c>
      <c r="E4435" s="43"/>
      <c r="F4435" s="48">
        <f t="shared" si="72"/>
        <v>8685</v>
      </c>
    </row>
    <row r="4436" spans="1:6" x14ac:dyDescent="0.3">
      <c r="A4436" s="171">
        <v>43197</v>
      </c>
      <c r="B4436" s="5" t="s">
        <v>58</v>
      </c>
      <c r="C4436" s="5" t="s">
        <v>3434</v>
      </c>
      <c r="D4436" s="43">
        <v>100</v>
      </c>
      <c r="E4436" s="43"/>
      <c r="F4436" s="48">
        <f t="shared" si="72"/>
        <v>8585</v>
      </c>
    </row>
    <row r="4437" spans="1:6" x14ac:dyDescent="0.3">
      <c r="A4437" s="171">
        <v>43197</v>
      </c>
      <c r="B4437" s="5" t="s">
        <v>3435</v>
      </c>
      <c r="C4437" s="5" t="s">
        <v>3436</v>
      </c>
      <c r="D4437" s="43">
        <v>2000</v>
      </c>
      <c r="E4437" s="43"/>
      <c r="F4437" s="48">
        <f t="shared" si="72"/>
        <v>6585</v>
      </c>
    </row>
    <row r="4438" spans="1:6" x14ac:dyDescent="0.3">
      <c r="A4438" s="171">
        <v>43197</v>
      </c>
      <c r="B4438" s="5" t="s">
        <v>3220</v>
      </c>
      <c r="C4438" s="5" t="s">
        <v>3437</v>
      </c>
      <c r="D4438" s="43">
        <v>1000</v>
      </c>
      <c r="E4438" s="43"/>
      <c r="F4438" s="48">
        <f t="shared" si="72"/>
        <v>5585</v>
      </c>
    </row>
    <row r="4439" spans="1:6" x14ac:dyDescent="0.3">
      <c r="A4439" s="171">
        <v>43197</v>
      </c>
      <c r="B4439" s="5" t="s">
        <v>25</v>
      </c>
      <c r="C4439" s="5" t="s">
        <v>81</v>
      </c>
      <c r="D4439" s="43">
        <v>165</v>
      </c>
      <c r="E4439" s="43"/>
      <c r="F4439" s="48">
        <f t="shared" si="72"/>
        <v>5420</v>
      </c>
    </row>
    <row r="4440" spans="1:6" x14ac:dyDescent="0.3">
      <c r="A4440" s="171">
        <v>43197</v>
      </c>
      <c r="B4440" s="5" t="s">
        <v>25</v>
      </c>
      <c r="C4440" s="5" t="s">
        <v>3438</v>
      </c>
      <c r="D4440" s="43">
        <f>20+100+15+40+60</f>
        <v>235</v>
      </c>
      <c r="E4440" s="43"/>
      <c r="F4440" s="48">
        <f t="shared" si="72"/>
        <v>5185</v>
      </c>
    </row>
    <row r="4441" spans="1:6" x14ac:dyDescent="0.3">
      <c r="A4441" s="171">
        <v>43197</v>
      </c>
      <c r="B4441" s="5" t="s">
        <v>2674</v>
      </c>
      <c r="C4441" s="5" t="s">
        <v>3439</v>
      </c>
      <c r="D4441" s="43">
        <v>280</v>
      </c>
      <c r="E4441" s="43"/>
      <c r="F4441" s="48">
        <f t="shared" si="72"/>
        <v>4905</v>
      </c>
    </row>
    <row r="4442" spans="1:6" x14ac:dyDescent="0.3">
      <c r="A4442" s="171">
        <v>43197</v>
      </c>
      <c r="B4442" s="5" t="s">
        <v>541</v>
      </c>
      <c r="C4442" s="5" t="s">
        <v>3230</v>
      </c>
      <c r="D4442" s="43">
        <v>220</v>
      </c>
      <c r="E4442" s="43"/>
      <c r="F4442" s="48">
        <f t="shared" si="72"/>
        <v>4685</v>
      </c>
    </row>
    <row r="4443" spans="1:6" x14ac:dyDescent="0.3">
      <c r="A4443" s="171">
        <v>43197</v>
      </c>
      <c r="B4443" s="5" t="s">
        <v>25</v>
      </c>
      <c r="C4443" s="5" t="s">
        <v>2659</v>
      </c>
      <c r="D4443" s="43">
        <v>360</v>
      </c>
      <c r="E4443" s="43"/>
      <c r="F4443" s="48">
        <f t="shared" si="72"/>
        <v>4325</v>
      </c>
    </row>
    <row r="4444" spans="1:6" x14ac:dyDescent="0.3">
      <c r="A4444" s="171">
        <v>43197</v>
      </c>
      <c r="B4444" s="5" t="s">
        <v>25</v>
      </c>
      <c r="C4444" s="5" t="s">
        <v>3440</v>
      </c>
      <c r="D4444" s="43">
        <v>60</v>
      </c>
      <c r="E4444" s="43"/>
      <c r="F4444" s="48">
        <f t="shared" si="72"/>
        <v>4265</v>
      </c>
    </row>
    <row r="4445" spans="1:6" x14ac:dyDescent="0.3">
      <c r="A4445" s="171">
        <v>43197</v>
      </c>
      <c r="B4445" s="5" t="s">
        <v>60</v>
      </c>
      <c r="C4445" s="5" t="s">
        <v>3441</v>
      </c>
      <c r="D4445" s="43">
        <v>1000</v>
      </c>
      <c r="E4445" s="43"/>
      <c r="F4445" s="48">
        <f t="shared" si="72"/>
        <v>3265</v>
      </c>
    </row>
    <row r="4446" spans="1:6" x14ac:dyDescent="0.3">
      <c r="A4446" s="171">
        <v>43197</v>
      </c>
      <c r="B4446" s="5" t="s">
        <v>25</v>
      </c>
      <c r="C4446" s="5" t="s">
        <v>3442</v>
      </c>
      <c r="D4446" s="43">
        <v>450</v>
      </c>
      <c r="E4446" s="43"/>
      <c r="F4446" s="48">
        <f t="shared" si="72"/>
        <v>2815</v>
      </c>
    </row>
    <row r="4447" spans="1:6" x14ac:dyDescent="0.3">
      <c r="A4447" s="171">
        <v>43197</v>
      </c>
      <c r="B4447" s="756" t="s">
        <v>3444</v>
      </c>
      <c r="C4447" s="756"/>
      <c r="D4447" s="71"/>
      <c r="E4447" s="72">
        <v>50000</v>
      </c>
      <c r="F4447" s="48">
        <f t="shared" si="72"/>
        <v>52815</v>
      </c>
    </row>
    <row r="4448" spans="1:6" x14ac:dyDescent="0.3">
      <c r="A4448" s="171">
        <v>43199</v>
      </c>
      <c r="B4448" s="5" t="s">
        <v>2594</v>
      </c>
      <c r="C4448" s="5" t="s">
        <v>2544</v>
      </c>
      <c r="D4448" s="43">
        <v>15000</v>
      </c>
      <c r="E4448" s="43"/>
      <c r="F4448" s="48">
        <f t="shared" si="72"/>
        <v>37815</v>
      </c>
    </row>
    <row r="4449" spans="1:6" x14ac:dyDescent="0.3">
      <c r="A4449" s="171">
        <v>43199</v>
      </c>
      <c r="B4449" s="5" t="s">
        <v>47</v>
      </c>
      <c r="C4449" s="5" t="s">
        <v>3476</v>
      </c>
      <c r="D4449" s="43">
        <v>4000</v>
      </c>
      <c r="E4449" s="43"/>
      <c r="F4449" s="48">
        <f t="shared" si="72"/>
        <v>33815</v>
      </c>
    </row>
    <row r="4450" spans="1:6" x14ac:dyDescent="0.3">
      <c r="A4450" s="171">
        <v>43199</v>
      </c>
      <c r="B4450" s="5" t="s">
        <v>1343</v>
      </c>
      <c r="C4450" s="5" t="s">
        <v>3427</v>
      </c>
      <c r="D4450" s="43">
        <v>10000</v>
      </c>
      <c r="E4450" s="43"/>
      <c r="F4450" s="48">
        <f t="shared" si="72"/>
        <v>23815</v>
      </c>
    </row>
    <row r="4451" spans="1:6" x14ac:dyDescent="0.3">
      <c r="A4451" s="171">
        <v>43199</v>
      </c>
      <c r="B4451" s="5" t="s">
        <v>541</v>
      </c>
      <c r="C4451" s="5" t="s">
        <v>3445</v>
      </c>
      <c r="D4451" s="43">
        <v>1000</v>
      </c>
      <c r="E4451" s="43"/>
      <c r="F4451" s="48">
        <f t="shared" si="72"/>
        <v>22815</v>
      </c>
    </row>
    <row r="4452" spans="1:6" x14ac:dyDescent="0.3">
      <c r="A4452" s="171">
        <v>43199</v>
      </c>
      <c r="B4452" s="5" t="s">
        <v>14</v>
      </c>
      <c r="C4452" s="5" t="s">
        <v>294</v>
      </c>
      <c r="D4452" s="43">
        <v>5000</v>
      </c>
      <c r="E4452" s="43"/>
      <c r="F4452" s="48">
        <f t="shared" si="72"/>
        <v>17815</v>
      </c>
    </row>
    <row r="4453" spans="1:6" x14ac:dyDescent="0.3">
      <c r="A4453" s="171">
        <v>43197</v>
      </c>
      <c r="B4453" s="756" t="s">
        <v>3444</v>
      </c>
      <c r="C4453" s="756"/>
      <c r="D4453" s="71"/>
      <c r="E4453" s="72">
        <v>77708</v>
      </c>
      <c r="F4453" s="48">
        <f t="shared" si="72"/>
        <v>95523</v>
      </c>
    </row>
    <row r="4454" spans="1:6" x14ac:dyDescent="0.3">
      <c r="A4454" s="171">
        <v>43199</v>
      </c>
      <c r="B4454" s="5" t="s">
        <v>3446</v>
      </c>
      <c r="C4454" s="5" t="s">
        <v>3447</v>
      </c>
      <c r="D4454" s="43">
        <v>6000</v>
      </c>
      <c r="E4454" s="43"/>
      <c r="F4454" s="48">
        <f t="shared" si="72"/>
        <v>89523</v>
      </c>
    </row>
    <row r="4455" spans="1:6" x14ac:dyDescent="0.3">
      <c r="A4455" s="171">
        <v>43200</v>
      </c>
      <c r="B4455" s="5" t="s">
        <v>93</v>
      </c>
      <c r="C4455" s="5" t="s">
        <v>3448</v>
      </c>
      <c r="D4455" s="43">
        <v>1000</v>
      </c>
      <c r="E4455" s="43"/>
      <c r="F4455" s="48">
        <f t="shared" si="72"/>
        <v>88523</v>
      </c>
    </row>
    <row r="4456" spans="1:6" x14ac:dyDescent="0.3">
      <c r="A4456" s="171">
        <v>43200</v>
      </c>
      <c r="B4456" s="756" t="s">
        <v>3369</v>
      </c>
      <c r="C4456" s="756"/>
      <c r="D4456" s="71"/>
      <c r="E4456" s="72">
        <v>3000</v>
      </c>
      <c r="F4456" s="48">
        <f t="shared" si="72"/>
        <v>91523</v>
      </c>
    </row>
    <row r="4457" spans="1:6" x14ac:dyDescent="0.3">
      <c r="A4457" s="171">
        <v>43200</v>
      </c>
      <c r="B4457" s="5" t="s">
        <v>0</v>
      </c>
      <c r="C4457" s="5" t="s">
        <v>3449</v>
      </c>
      <c r="D4457" s="43">
        <v>1000</v>
      </c>
      <c r="E4457" s="43"/>
      <c r="F4457" s="48">
        <f t="shared" si="72"/>
        <v>90523</v>
      </c>
    </row>
    <row r="4458" spans="1:6" x14ac:dyDescent="0.3">
      <c r="A4458" s="171">
        <v>43200</v>
      </c>
      <c r="B4458" s="5" t="s">
        <v>16</v>
      </c>
      <c r="C4458" s="5" t="s">
        <v>2888</v>
      </c>
      <c r="D4458" s="43">
        <v>3080</v>
      </c>
      <c r="E4458" s="43"/>
      <c r="F4458" s="48">
        <f t="shared" si="72"/>
        <v>87443</v>
      </c>
    </row>
    <row r="4459" spans="1:6" x14ac:dyDescent="0.3">
      <c r="A4459" s="171">
        <v>43200</v>
      </c>
      <c r="B4459" s="5" t="s">
        <v>58</v>
      </c>
      <c r="C4459" s="5" t="s">
        <v>3451</v>
      </c>
      <c r="D4459" s="43">
        <v>4800</v>
      </c>
      <c r="E4459" s="43"/>
      <c r="F4459" s="48">
        <f t="shared" si="72"/>
        <v>82643</v>
      </c>
    </row>
    <row r="4460" spans="1:6" x14ac:dyDescent="0.3">
      <c r="A4460" s="171">
        <v>43200</v>
      </c>
      <c r="B4460" s="756" t="s">
        <v>3450</v>
      </c>
      <c r="C4460" s="756"/>
      <c r="D4460" s="71"/>
      <c r="E4460" s="72">
        <v>3000</v>
      </c>
      <c r="F4460" s="48">
        <f t="shared" si="72"/>
        <v>85643</v>
      </c>
    </row>
    <row r="4461" spans="1:6" x14ac:dyDescent="0.3">
      <c r="A4461" s="171">
        <v>43200</v>
      </c>
      <c r="B4461" s="5" t="s">
        <v>2346</v>
      </c>
      <c r="C4461" s="5" t="s">
        <v>3329</v>
      </c>
      <c r="D4461" s="43">
        <v>2000</v>
      </c>
      <c r="E4461" s="43"/>
      <c r="F4461" s="48">
        <f t="shared" si="72"/>
        <v>83643</v>
      </c>
    </row>
    <row r="4462" spans="1:6" x14ac:dyDescent="0.3">
      <c r="A4462" s="171">
        <v>43201</v>
      </c>
      <c r="B4462" s="5" t="s">
        <v>2346</v>
      </c>
      <c r="C4462" s="5" t="s">
        <v>3452</v>
      </c>
      <c r="D4462" s="43">
        <v>500</v>
      </c>
      <c r="E4462" s="43"/>
      <c r="F4462" s="48">
        <f t="shared" si="72"/>
        <v>83143</v>
      </c>
    </row>
    <row r="4463" spans="1:6" x14ac:dyDescent="0.3">
      <c r="A4463" s="171">
        <v>43201</v>
      </c>
      <c r="B4463" s="5" t="s">
        <v>2096</v>
      </c>
      <c r="C4463" s="5" t="s">
        <v>3453</v>
      </c>
      <c r="D4463" s="43">
        <v>14170</v>
      </c>
      <c r="E4463" s="43"/>
      <c r="F4463" s="48">
        <f t="shared" si="72"/>
        <v>68973</v>
      </c>
    </row>
    <row r="4464" spans="1:6" x14ac:dyDescent="0.3">
      <c r="A4464" s="171">
        <v>43201</v>
      </c>
      <c r="B4464" s="5" t="s">
        <v>16</v>
      </c>
      <c r="C4464" s="5" t="s">
        <v>3454</v>
      </c>
      <c r="D4464" s="43">
        <v>30000</v>
      </c>
      <c r="E4464" s="43"/>
      <c r="F4464" s="48">
        <f t="shared" si="72"/>
        <v>38973</v>
      </c>
    </row>
    <row r="4465" spans="1:6" x14ac:dyDescent="0.3">
      <c r="A4465" s="171">
        <v>43201</v>
      </c>
      <c r="B4465" s="5" t="s">
        <v>60</v>
      </c>
      <c r="C4465" s="5" t="s">
        <v>3455</v>
      </c>
      <c r="D4465" s="43">
        <v>3425</v>
      </c>
      <c r="E4465" s="43"/>
      <c r="F4465" s="48">
        <f t="shared" si="72"/>
        <v>35548</v>
      </c>
    </row>
    <row r="4466" spans="1:6" x14ac:dyDescent="0.3">
      <c r="A4466" s="171">
        <v>43201</v>
      </c>
      <c r="B4466" s="5" t="s">
        <v>25</v>
      </c>
      <c r="C4466" s="5" t="s">
        <v>3456</v>
      </c>
      <c r="D4466" s="43">
        <v>300</v>
      </c>
      <c r="E4466" s="43"/>
      <c r="F4466" s="48">
        <f t="shared" si="72"/>
        <v>35248</v>
      </c>
    </row>
    <row r="4467" spans="1:6" x14ac:dyDescent="0.3">
      <c r="A4467" s="171">
        <v>43201</v>
      </c>
      <c r="B4467" s="5" t="s">
        <v>25</v>
      </c>
      <c r="C4467" s="5" t="s">
        <v>3457</v>
      </c>
      <c r="D4467" s="43">
        <v>1600</v>
      </c>
      <c r="E4467" s="43"/>
      <c r="F4467" s="48">
        <f t="shared" si="72"/>
        <v>33648</v>
      </c>
    </row>
    <row r="4468" spans="1:6" x14ac:dyDescent="0.3">
      <c r="A4468" s="171">
        <v>43201</v>
      </c>
      <c r="B4468" s="5" t="s">
        <v>25</v>
      </c>
      <c r="C4468" s="5" t="s">
        <v>3458</v>
      </c>
      <c r="D4468" s="43">
        <f>700+500</f>
        <v>1200</v>
      </c>
      <c r="E4468" s="43"/>
      <c r="F4468" s="48">
        <f t="shared" si="72"/>
        <v>32448</v>
      </c>
    </row>
    <row r="4469" spans="1:6" x14ac:dyDescent="0.3">
      <c r="A4469" s="171">
        <v>43201</v>
      </c>
      <c r="B4469" s="5" t="s">
        <v>3459</v>
      </c>
      <c r="C4469" s="5" t="s">
        <v>3460</v>
      </c>
      <c r="D4469" s="43">
        <v>3800</v>
      </c>
      <c r="E4469" s="43"/>
      <c r="F4469" s="48">
        <f t="shared" si="72"/>
        <v>28648</v>
      </c>
    </row>
    <row r="4470" spans="1:6" x14ac:dyDescent="0.3">
      <c r="A4470" s="171">
        <v>43202</v>
      </c>
      <c r="B4470" s="5" t="s">
        <v>2594</v>
      </c>
      <c r="C4470" s="5" t="s">
        <v>3461</v>
      </c>
      <c r="D4470" s="43">
        <v>14500</v>
      </c>
      <c r="E4470" s="43"/>
      <c r="F4470" s="48">
        <f t="shared" si="72"/>
        <v>14148</v>
      </c>
    </row>
    <row r="4471" spans="1:6" ht="37.5" x14ac:dyDescent="0.3">
      <c r="A4471" s="171">
        <v>43202</v>
      </c>
      <c r="B4471" s="5" t="s">
        <v>25</v>
      </c>
      <c r="C4471" s="92" t="s">
        <v>3462</v>
      </c>
      <c r="D4471" s="43">
        <f>2850-820-600</f>
        <v>1430</v>
      </c>
      <c r="E4471" s="43"/>
      <c r="F4471" s="48">
        <f t="shared" si="72"/>
        <v>12718</v>
      </c>
    </row>
    <row r="4472" spans="1:6" x14ac:dyDescent="0.3">
      <c r="A4472" s="171">
        <v>43202</v>
      </c>
      <c r="B4472" s="5" t="s">
        <v>2674</v>
      </c>
      <c r="C4472" s="5" t="s">
        <v>3463</v>
      </c>
      <c r="D4472" s="43">
        <v>820</v>
      </c>
      <c r="E4472" s="43"/>
      <c r="F4472" s="48">
        <f t="shared" si="72"/>
        <v>11898</v>
      </c>
    </row>
    <row r="4473" spans="1:6" x14ac:dyDescent="0.3">
      <c r="A4473" s="171">
        <v>43202</v>
      </c>
      <c r="B4473" s="5" t="s">
        <v>25</v>
      </c>
      <c r="C4473" s="5" t="s">
        <v>3464</v>
      </c>
      <c r="D4473" s="43">
        <v>600</v>
      </c>
      <c r="E4473" s="43"/>
      <c r="F4473" s="48">
        <f t="shared" si="72"/>
        <v>11298</v>
      </c>
    </row>
    <row r="4474" spans="1:6" x14ac:dyDescent="0.3">
      <c r="A4474" s="171">
        <v>43202</v>
      </c>
      <c r="B4474" s="756" t="s">
        <v>3465</v>
      </c>
      <c r="C4474" s="756"/>
      <c r="D4474" s="71"/>
      <c r="E4474" s="72">
        <v>30000</v>
      </c>
      <c r="F4474" s="48">
        <f t="shared" si="72"/>
        <v>41298</v>
      </c>
    </row>
    <row r="4475" spans="1:6" x14ac:dyDescent="0.3">
      <c r="A4475" s="171">
        <v>43202</v>
      </c>
      <c r="B4475" s="5" t="s">
        <v>25</v>
      </c>
      <c r="C4475" s="5" t="s">
        <v>3466</v>
      </c>
      <c r="D4475" s="43">
        <v>15000</v>
      </c>
      <c r="E4475" s="43"/>
      <c r="F4475" s="48">
        <f t="shared" si="72"/>
        <v>26298</v>
      </c>
    </row>
    <row r="4476" spans="1:6" x14ac:dyDescent="0.3">
      <c r="A4476" s="171">
        <v>43202</v>
      </c>
      <c r="B4476" s="5" t="s">
        <v>58</v>
      </c>
      <c r="C4476" s="5" t="s">
        <v>3467</v>
      </c>
      <c r="D4476" s="43">
        <v>50</v>
      </c>
      <c r="E4476" s="43"/>
      <c r="F4476" s="48">
        <f t="shared" si="72"/>
        <v>26248</v>
      </c>
    </row>
    <row r="4477" spans="1:6" x14ac:dyDescent="0.3">
      <c r="A4477" s="171">
        <v>43202</v>
      </c>
      <c r="B4477" s="5" t="s">
        <v>58</v>
      </c>
      <c r="C4477" s="5" t="s">
        <v>3468</v>
      </c>
      <c r="D4477" s="43">
        <v>50</v>
      </c>
      <c r="E4477" s="43"/>
      <c r="F4477" s="48">
        <f t="shared" si="72"/>
        <v>26198</v>
      </c>
    </row>
    <row r="4478" spans="1:6" x14ac:dyDescent="0.3">
      <c r="A4478" s="171">
        <v>43202</v>
      </c>
      <c r="B4478" s="5" t="s">
        <v>2594</v>
      </c>
      <c r="C4478" s="5" t="s">
        <v>3469</v>
      </c>
      <c r="D4478" s="43">
        <v>5000</v>
      </c>
      <c r="E4478" s="43"/>
      <c r="F4478" s="48">
        <f t="shared" si="72"/>
        <v>21198</v>
      </c>
    </row>
    <row r="4479" spans="1:6" x14ac:dyDescent="0.3">
      <c r="A4479" s="171">
        <v>43203</v>
      </c>
      <c r="B4479" s="5" t="s">
        <v>84</v>
      </c>
      <c r="C4479" s="5" t="s">
        <v>3470</v>
      </c>
      <c r="D4479" s="43">
        <v>5000</v>
      </c>
      <c r="E4479" s="43"/>
      <c r="F4479" s="48">
        <f t="shared" si="72"/>
        <v>16198</v>
      </c>
    </row>
    <row r="4480" spans="1:6" x14ac:dyDescent="0.3">
      <c r="A4480" s="171">
        <v>43203</v>
      </c>
      <c r="B4480" s="5" t="s">
        <v>16</v>
      </c>
      <c r="C4480" s="5" t="s">
        <v>3471</v>
      </c>
      <c r="D4480" s="43">
        <v>12000</v>
      </c>
      <c r="E4480" s="43"/>
      <c r="F4480" s="48">
        <f t="shared" si="72"/>
        <v>4198</v>
      </c>
    </row>
    <row r="4481" spans="1:6" x14ac:dyDescent="0.3">
      <c r="A4481" s="171">
        <v>43203</v>
      </c>
      <c r="B4481" s="5" t="s">
        <v>25</v>
      </c>
      <c r="C4481" s="5" t="s">
        <v>3472</v>
      </c>
      <c r="D4481" s="43">
        <v>3000</v>
      </c>
      <c r="E4481" s="43"/>
      <c r="F4481" s="48">
        <f t="shared" si="72"/>
        <v>1198</v>
      </c>
    </row>
    <row r="4482" spans="1:6" ht="37.5" x14ac:dyDescent="0.3">
      <c r="A4482" s="171">
        <v>43203</v>
      </c>
      <c r="B4482" s="5" t="s">
        <v>25</v>
      </c>
      <c r="C4482" s="92" t="s">
        <v>3473</v>
      </c>
      <c r="D4482" s="43">
        <f>60+40+10</f>
        <v>110</v>
      </c>
      <c r="E4482" s="43"/>
      <c r="F4482" s="48">
        <f t="shared" si="72"/>
        <v>1088</v>
      </c>
    </row>
    <row r="4483" spans="1:6" x14ac:dyDescent="0.3">
      <c r="A4483" s="171">
        <v>43203</v>
      </c>
      <c r="B4483" s="5" t="s">
        <v>25</v>
      </c>
      <c r="C4483" s="5" t="s">
        <v>3474</v>
      </c>
      <c r="D4483" s="43">
        <v>120</v>
      </c>
      <c r="E4483" s="43"/>
      <c r="F4483" s="48">
        <f t="shared" si="72"/>
        <v>968</v>
      </c>
    </row>
    <row r="4484" spans="1:6" x14ac:dyDescent="0.3">
      <c r="A4484" s="171">
        <v>43203</v>
      </c>
      <c r="B4484" s="5" t="s">
        <v>25</v>
      </c>
      <c r="C4484" s="5" t="s">
        <v>3475</v>
      </c>
      <c r="D4484" s="43">
        <v>130</v>
      </c>
      <c r="E4484" s="43"/>
      <c r="F4484" s="48">
        <f t="shared" si="72"/>
        <v>838</v>
      </c>
    </row>
    <row r="4485" spans="1:6" x14ac:dyDescent="0.3">
      <c r="A4485" s="171">
        <v>43203</v>
      </c>
      <c r="B4485" s="5" t="s">
        <v>25</v>
      </c>
      <c r="C4485" s="5" t="s">
        <v>1704</v>
      </c>
      <c r="D4485" s="43">
        <v>400</v>
      </c>
      <c r="E4485" s="43"/>
      <c r="F4485" s="48">
        <f t="shared" si="72"/>
        <v>438</v>
      </c>
    </row>
    <row r="4486" spans="1:6" x14ac:dyDescent="0.3">
      <c r="A4486" s="171">
        <v>43203</v>
      </c>
      <c r="B4486" s="756" t="s">
        <v>3444</v>
      </c>
      <c r="C4486" s="756"/>
      <c r="D4486" s="71"/>
      <c r="E4486" s="72">
        <v>50000</v>
      </c>
      <c r="F4486" s="48">
        <f t="shared" si="72"/>
        <v>50438</v>
      </c>
    </row>
    <row r="4487" spans="1:6" x14ac:dyDescent="0.3">
      <c r="A4487" s="171">
        <v>43204</v>
      </c>
      <c r="B4487" s="756" t="s">
        <v>3369</v>
      </c>
      <c r="C4487" s="756"/>
      <c r="D4487" s="71"/>
      <c r="E4487" s="72">
        <v>1800</v>
      </c>
      <c r="F4487" s="48">
        <f t="shared" si="72"/>
        <v>52238</v>
      </c>
    </row>
    <row r="4488" spans="1:6" x14ac:dyDescent="0.3">
      <c r="A4488" s="171">
        <v>43204</v>
      </c>
      <c r="B4488" s="5" t="s">
        <v>1316</v>
      </c>
      <c r="C4488" s="5" t="s">
        <v>3480</v>
      </c>
      <c r="D4488" s="43">
        <v>5000</v>
      </c>
      <c r="E4488" s="43"/>
      <c r="F4488" s="48">
        <f t="shared" si="72"/>
        <v>47238</v>
      </c>
    </row>
    <row r="4489" spans="1:6" x14ac:dyDescent="0.3">
      <c r="A4489" s="171">
        <v>43204</v>
      </c>
      <c r="B4489" s="5" t="s">
        <v>2594</v>
      </c>
      <c r="C4489" s="5" t="s">
        <v>3477</v>
      </c>
      <c r="D4489" s="43">
        <v>100</v>
      </c>
      <c r="E4489" s="43"/>
      <c r="F4489" s="48">
        <f t="shared" si="72"/>
        <v>47138</v>
      </c>
    </row>
    <row r="4490" spans="1:6" x14ac:dyDescent="0.3">
      <c r="A4490" s="171">
        <v>43204</v>
      </c>
      <c r="B4490" s="5" t="s">
        <v>56</v>
      </c>
      <c r="C4490" s="5" t="s">
        <v>3478</v>
      </c>
      <c r="D4490" s="43">
        <v>1000</v>
      </c>
      <c r="E4490" s="43"/>
      <c r="F4490" s="48">
        <f t="shared" si="72"/>
        <v>46138</v>
      </c>
    </row>
    <row r="4491" spans="1:6" x14ac:dyDescent="0.3">
      <c r="A4491" s="171">
        <v>43204</v>
      </c>
      <c r="B4491" s="5" t="s">
        <v>56</v>
      </c>
      <c r="C4491" s="5" t="s">
        <v>3479</v>
      </c>
      <c r="D4491" s="43">
        <v>300</v>
      </c>
      <c r="E4491" s="43"/>
      <c r="F4491" s="48">
        <f t="shared" ref="F4491:F4554" si="73">F4490-D4491+E4491</f>
        <v>45838</v>
      </c>
    </row>
    <row r="4492" spans="1:6" x14ac:dyDescent="0.3">
      <c r="A4492" s="171"/>
      <c r="B4492" s="756" t="s">
        <v>2162</v>
      </c>
      <c r="C4492" s="756"/>
      <c r="D4492" s="71"/>
      <c r="E4492" s="72">
        <v>25000</v>
      </c>
      <c r="F4492" s="48">
        <f t="shared" si="73"/>
        <v>70838</v>
      </c>
    </row>
    <row r="4493" spans="1:6" x14ac:dyDescent="0.3">
      <c r="A4493" s="171">
        <v>43207</v>
      </c>
      <c r="B4493" s="5" t="s">
        <v>60</v>
      </c>
      <c r="C4493" s="92" t="s">
        <v>3494</v>
      </c>
      <c r="D4493" s="43">
        <v>5000</v>
      </c>
      <c r="E4493" s="43"/>
      <c r="F4493" s="48">
        <f t="shared" si="73"/>
        <v>65838</v>
      </c>
    </row>
    <row r="4494" spans="1:6" ht="56.25" x14ac:dyDescent="0.3">
      <c r="A4494" s="171">
        <v>43207</v>
      </c>
      <c r="B4494" s="5" t="s">
        <v>58</v>
      </c>
      <c r="C4494" s="92" t="s">
        <v>3481</v>
      </c>
      <c r="D4494" s="43">
        <v>37490</v>
      </c>
      <c r="E4494" s="43"/>
      <c r="F4494" s="48">
        <f t="shared" si="73"/>
        <v>28348</v>
      </c>
    </row>
    <row r="4495" spans="1:6" ht="56.25" x14ac:dyDescent="0.3">
      <c r="A4495" s="171">
        <v>43207</v>
      </c>
      <c r="B4495" s="5" t="s">
        <v>58</v>
      </c>
      <c r="C4495" s="92" t="s">
        <v>3482</v>
      </c>
      <c r="D4495" s="43">
        <v>17900</v>
      </c>
      <c r="E4495" s="43"/>
      <c r="F4495" s="48">
        <f t="shared" si="73"/>
        <v>10448</v>
      </c>
    </row>
    <row r="4496" spans="1:6" x14ac:dyDescent="0.3">
      <c r="A4496" s="171">
        <v>43207</v>
      </c>
      <c r="B4496" s="5" t="s">
        <v>1837</v>
      </c>
      <c r="C4496" s="92" t="s">
        <v>3483</v>
      </c>
      <c r="D4496" s="43">
        <v>5000</v>
      </c>
      <c r="E4496" s="43"/>
      <c r="F4496" s="48">
        <f t="shared" si="73"/>
        <v>5448</v>
      </c>
    </row>
    <row r="4497" spans="1:6" ht="37.5" x14ac:dyDescent="0.3">
      <c r="A4497" s="171">
        <v>43207</v>
      </c>
      <c r="B4497" s="5" t="s">
        <v>1837</v>
      </c>
      <c r="C4497" s="92" t="s">
        <v>3484</v>
      </c>
      <c r="D4497" s="43">
        <v>1000</v>
      </c>
      <c r="E4497" s="43"/>
      <c r="F4497" s="48">
        <f t="shared" si="73"/>
        <v>4448</v>
      </c>
    </row>
    <row r="4498" spans="1:6" x14ac:dyDescent="0.3">
      <c r="A4498" s="171">
        <v>43207</v>
      </c>
      <c r="B4498" s="5" t="s">
        <v>58</v>
      </c>
      <c r="C4498" s="92" t="s">
        <v>3485</v>
      </c>
      <c r="D4498" s="43">
        <v>2604</v>
      </c>
      <c r="E4498" s="43"/>
      <c r="F4498" s="48">
        <f t="shared" si="73"/>
        <v>1844</v>
      </c>
    </row>
    <row r="4499" spans="1:6" x14ac:dyDescent="0.3">
      <c r="A4499" s="171">
        <v>43208</v>
      </c>
      <c r="B4499" s="756" t="s">
        <v>3444</v>
      </c>
      <c r="C4499" s="756"/>
      <c r="D4499" s="71"/>
      <c r="E4499" s="72">
        <v>49000</v>
      </c>
      <c r="F4499" s="48">
        <f t="shared" si="73"/>
        <v>50844</v>
      </c>
    </row>
    <row r="4500" spans="1:6" x14ac:dyDescent="0.3">
      <c r="A4500" s="171">
        <v>43208</v>
      </c>
      <c r="B4500" s="5" t="s">
        <v>2674</v>
      </c>
      <c r="C4500" s="92" t="s">
        <v>3486</v>
      </c>
      <c r="D4500" s="43">
        <v>350</v>
      </c>
      <c r="E4500" s="43"/>
      <c r="F4500" s="48">
        <f t="shared" si="73"/>
        <v>50494</v>
      </c>
    </row>
    <row r="4501" spans="1:6" x14ac:dyDescent="0.3">
      <c r="A4501" s="171">
        <v>43208</v>
      </c>
      <c r="B4501" s="5" t="s">
        <v>3487</v>
      </c>
      <c r="C4501" s="92" t="s">
        <v>3488</v>
      </c>
      <c r="D4501" s="43">
        <v>7000</v>
      </c>
      <c r="E4501" s="43"/>
      <c r="F4501" s="48">
        <f t="shared" si="73"/>
        <v>43494</v>
      </c>
    </row>
    <row r="4502" spans="1:6" x14ac:dyDescent="0.3">
      <c r="A4502" s="171">
        <v>43208</v>
      </c>
      <c r="B4502" s="5" t="s">
        <v>84</v>
      </c>
      <c r="C4502" s="92" t="s">
        <v>47</v>
      </c>
      <c r="D4502" s="43">
        <v>6000</v>
      </c>
      <c r="E4502" s="43"/>
      <c r="F4502" s="48">
        <f t="shared" si="73"/>
        <v>37494</v>
      </c>
    </row>
    <row r="4503" spans="1:6" x14ac:dyDescent="0.3">
      <c r="A4503" s="171">
        <v>43208</v>
      </c>
      <c r="B4503" s="5" t="s">
        <v>84</v>
      </c>
      <c r="C4503" s="92" t="s">
        <v>3489</v>
      </c>
      <c r="D4503" s="43">
        <v>2000</v>
      </c>
      <c r="E4503" s="43"/>
      <c r="F4503" s="48">
        <f t="shared" si="73"/>
        <v>35494</v>
      </c>
    </row>
    <row r="4504" spans="1:6" ht="56.25" x14ac:dyDescent="0.3">
      <c r="A4504" s="171">
        <v>43208</v>
      </c>
      <c r="B4504" s="5" t="s">
        <v>58</v>
      </c>
      <c r="C4504" s="92" t="s">
        <v>3490</v>
      </c>
      <c r="D4504" s="43">
        <v>100</v>
      </c>
      <c r="E4504" s="43"/>
      <c r="F4504" s="48">
        <f t="shared" si="73"/>
        <v>35394</v>
      </c>
    </row>
    <row r="4505" spans="1:6" x14ac:dyDescent="0.3">
      <c r="A4505" s="171">
        <v>43208</v>
      </c>
      <c r="B4505" s="5" t="s">
        <v>1837</v>
      </c>
      <c r="C4505" s="92" t="s">
        <v>2072</v>
      </c>
      <c r="D4505" s="43">
        <v>10000</v>
      </c>
      <c r="E4505" s="43"/>
      <c r="F4505" s="48">
        <f t="shared" si="73"/>
        <v>25394</v>
      </c>
    </row>
    <row r="4506" spans="1:6" x14ac:dyDescent="0.3">
      <c r="A4506" s="171">
        <v>43208</v>
      </c>
      <c r="B4506" s="5" t="s">
        <v>58</v>
      </c>
      <c r="C4506" s="92" t="s">
        <v>3495</v>
      </c>
      <c r="D4506" s="43">
        <v>10000</v>
      </c>
      <c r="E4506" s="43"/>
      <c r="F4506" s="48">
        <f t="shared" si="73"/>
        <v>15394</v>
      </c>
    </row>
    <row r="4507" spans="1:6" x14ac:dyDescent="0.3">
      <c r="A4507" s="171">
        <v>43208</v>
      </c>
      <c r="B4507" s="5" t="s">
        <v>1343</v>
      </c>
      <c r="C4507" s="92" t="s">
        <v>3496</v>
      </c>
      <c r="D4507" s="43">
        <v>5000</v>
      </c>
      <c r="E4507" s="43"/>
      <c r="F4507" s="48">
        <f t="shared" si="73"/>
        <v>10394</v>
      </c>
    </row>
    <row r="4508" spans="1:6" x14ac:dyDescent="0.3">
      <c r="A4508" s="171">
        <v>43208</v>
      </c>
      <c r="B4508" s="5" t="s">
        <v>58</v>
      </c>
      <c r="C4508" s="61" t="s">
        <v>3491</v>
      </c>
      <c r="D4508" s="62">
        <v>6000</v>
      </c>
      <c r="E4508" s="43"/>
      <c r="F4508" s="48">
        <f t="shared" si="73"/>
        <v>4394</v>
      </c>
    </row>
    <row r="4509" spans="1:6" x14ac:dyDescent="0.3">
      <c r="A4509" s="171">
        <v>43208</v>
      </c>
      <c r="B4509" s="5" t="s">
        <v>2674</v>
      </c>
      <c r="C4509" s="5" t="s">
        <v>3492</v>
      </c>
      <c r="D4509" s="43">
        <v>200</v>
      </c>
      <c r="E4509" s="43"/>
      <c r="F4509" s="48">
        <f t="shared" si="73"/>
        <v>4194</v>
      </c>
    </row>
    <row r="4510" spans="1:6" x14ac:dyDescent="0.3">
      <c r="A4510" s="171">
        <v>43208</v>
      </c>
      <c r="B4510" s="5" t="s">
        <v>60</v>
      </c>
      <c r="C4510" s="5" t="s">
        <v>3493</v>
      </c>
      <c r="D4510" s="43">
        <v>2000</v>
      </c>
      <c r="E4510" s="43"/>
      <c r="F4510" s="48">
        <f t="shared" si="73"/>
        <v>2194</v>
      </c>
    </row>
    <row r="4511" spans="1:6" ht="56.25" x14ac:dyDescent="0.3">
      <c r="A4511" s="171">
        <v>43208</v>
      </c>
      <c r="B4511" s="5" t="s">
        <v>3205</v>
      </c>
      <c r="C4511" s="92" t="s">
        <v>3501</v>
      </c>
      <c r="D4511" s="43">
        <f>100+100+150+230+180+130+100+150+100+360+70+40</f>
        <v>1710</v>
      </c>
      <c r="E4511" s="43"/>
      <c r="F4511" s="48">
        <f t="shared" si="73"/>
        <v>484</v>
      </c>
    </row>
    <row r="4512" spans="1:6" x14ac:dyDescent="0.3">
      <c r="A4512" s="171">
        <v>43209</v>
      </c>
      <c r="B4512" s="756" t="s">
        <v>3444</v>
      </c>
      <c r="C4512" s="756"/>
      <c r="D4512" s="71"/>
      <c r="E4512" s="72">
        <v>50000</v>
      </c>
      <c r="F4512" s="48">
        <f t="shared" si="73"/>
        <v>50484</v>
      </c>
    </row>
    <row r="4513" spans="1:6" x14ac:dyDescent="0.3">
      <c r="A4513" s="171">
        <v>43209</v>
      </c>
      <c r="B4513" s="5" t="s">
        <v>247</v>
      </c>
      <c r="C4513" s="5" t="s">
        <v>3497</v>
      </c>
      <c r="D4513" s="43">
        <v>1820</v>
      </c>
      <c r="E4513" s="43"/>
      <c r="F4513" s="48">
        <f t="shared" si="73"/>
        <v>48664</v>
      </c>
    </row>
    <row r="4514" spans="1:6" x14ac:dyDescent="0.3">
      <c r="A4514" s="171">
        <v>43209</v>
      </c>
      <c r="B4514" s="5" t="s">
        <v>247</v>
      </c>
      <c r="C4514" s="5" t="s">
        <v>3498</v>
      </c>
      <c r="D4514" s="43">
        <v>1800</v>
      </c>
      <c r="E4514" s="43"/>
      <c r="F4514" s="48">
        <f t="shared" si="73"/>
        <v>46864</v>
      </c>
    </row>
    <row r="4515" spans="1:6" x14ac:dyDescent="0.3">
      <c r="A4515" s="171">
        <v>43209</v>
      </c>
      <c r="B4515" s="5" t="s">
        <v>247</v>
      </c>
      <c r="C4515" s="5" t="s">
        <v>2013</v>
      </c>
      <c r="D4515" s="43">
        <v>50</v>
      </c>
      <c r="E4515" s="43"/>
      <c r="F4515" s="48">
        <f t="shared" si="73"/>
        <v>46814</v>
      </c>
    </row>
    <row r="4516" spans="1:6" x14ac:dyDescent="0.3">
      <c r="A4516" s="171">
        <v>43209</v>
      </c>
      <c r="B4516" s="5" t="s">
        <v>2330</v>
      </c>
      <c r="C4516" s="5" t="s">
        <v>2331</v>
      </c>
      <c r="D4516" s="43">
        <v>2000</v>
      </c>
      <c r="E4516" s="43"/>
      <c r="F4516" s="48">
        <f t="shared" si="73"/>
        <v>44814</v>
      </c>
    </row>
    <row r="4517" spans="1:6" x14ac:dyDescent="0.3">
      <c r="A4517" s="171">
        <v>43209</v>
      </c>
      <c r="B4517" s="5" t="s">
        <v>25</v>
      </c>
      <c r="C4517" s="5" t="s">
        <v>3499</v>
      </c>
      <c r="D4517" s="43">
        <v>28000</v>
      </c>
      <c r="E4517" s="43"/>
      <c r="F4517" s="48">
        <f t="shared" si="73"/>
        <v>16814</v>
      </c>
    </row>
    <row r="4518" spans="1:6" x14ac:dyDescent="0.3">
      <c r="A4518" s="171">
        <v>43209</v>
      </c>
      <c r="B4518" s="5" t="s">
        <v>58</v>
      </c>
      <c r="C4518" s="5" t="s">
        <v>3348</v>
      </c>
      <c r="D4518" s="43">
        <v>16000</v>
      </c>
      <c r="E4518" s="43"/>
      <c r="F4518" s="48">
        <f t="shared" si="73"/>
        <v>814</v>
      </c>
    </row>
    <row r="4519" spans="1:6" x14ac:dyDescent="0.3">
      <c r="A4519" s="171">
        <v>43209</v>
      </c>
      <c r="B4519" s="756" t="s">
        <v>3500</v>
      </c>
      <c r="C4519" s="756"/>
      <c r="D4519" s="71"/>
      <c r="E4519" s="72">
        <v>30000</v>
      </c>
      <c r="F4519" s="48">
        <f t="shared" si="73"/>
        <v>30814</v>
      </c>
    </row>
    <row r="4520" spans="1:6" x14ac:dyDescent="0.3">
      <c r="A4520" s="171">
        <v>43210</v>
      </c>
      <c r="B4520" s="5" t="s">
        <v>58</v>
      </c>
      <c r="C4520" s="5" t="s">
        <v>3348</v>
      </c>
      <c r="D4520" s="43">
        <v>30000</v>
      </c>
      <c r="E4520" s="43"/>
      <c r="F4520" s="48">
        <f t="shared" si="73"/>
        <v>814</v>
      </c>
    </row>
    <row r="4521" spans="1:6" x14ac:dyDescent="0.3">
      <c r="A4521" s="171">
        <v>43210</v>
      </c>
      <c r="B4521" s="756" t="s">
        <v>3502</v>
      </c>
      <c r="C4521" s="756"/>
      <c r="D4521" s="71"/>
      <c r="E4521" s="72">
        <v>50000</v>
      </c>
      <c r="F4521" s="48">
        <f t="shared" si="73"/>
        <v>50814</v>
      </c>
    </row>
    <row r="4522" spans="1:6" x14ac:dyDescent="0.3">
      <c r="A4522" s="171">
        <v>43210</v>
      </c>
      <c r="B4522" s="5" t="s">
        <v>58</v>
      </c>
      <c r="C4522" s="5" t="s">
        <v>3503</v>
      </c>
      <c r="D4522" s="43">
        <v>23100</v>
      </c>
      <c r="E4522" s="43"/>
      <c r="F4522" s="48">
        <f t="shared" si="73"/>
        <v>27714</v>
      </c>
    </row>
    <row r="4523" spans="1:6" ht="56.25" x14ac:dyDescent="0.3">
      <c r="A4523" s="171">
        <v>43211</v>
      </c>
      <c r="B4523" s="5" t="s">
        <v>58</v>
      </c>
      <c r="C4523" s="92" t="s">
        <v>3532</v>
      </c>
      <c r="D4523" s="43">
        <v>7615</v>
      </c>
      <c r="E4523" s="43"/>
      <c r="F4523" s="48">
        <f t="shared" si="73"/>
        <v>20099</v>
      </c>
    </row>
    <row r="4524" spans="1:6" x14ac:dyDescent="0.3">
      <c r="A4524" s="171">
        <v>43211</v>
      </c>
      <c r="B4524" s="5" t="s">
        <v>1837</v>
      </c>
      <c r="C4524" s="5" t="s">
        <v>3530</v>
      </c>
      <c r="D4524" s="43">
        <v>5000</v>
      </c>
      <c r="E4524" s="43"/>
      <c r="F4524" s="48">
        <f t="shared" si="73"/>
        <v>15099</v>
      </c>
    </row>
    <row r="4525" spans="1:6" x14ac:dyDescent="0.3">
      <c r="A4525" s="171">
        <v>43213</v>
      </c>
      <c r="B4525" s="756" t="s">
        <v>3206</v>
      </c>
      <c r="C4525" s="756"/>
      <c r="D4525" s="71"/>
      <c r="E4525" s="72">
        <v>50000</v>
      </c>
      <c r="F4525" s="48">
        <f t="shared" si="73"/>
        <v>65099</v>
      </c>
    </row>
    <row r="4526" spans="1:6" x14ac:dyDescent="0.3">
      <c r="A4526" s="171">
        <v>43213</v>
      </c>
      <c r="B4526" s="5" t="s">
        <v>1410</v>
      </c>
      <c r="C4526" s="5" t="s">
        <v>3194</v>
      </c>
      <c r="D4526" s="43">
        <v>2000</v>
      </c>
      <c r="E4526" s="43"/>
      <c r="F4526" s="48">
        <f t="shared" si="73"/>
        <v>63099</v>
      </c>
    </row>
    <row r="4527" spans="1:6" ht="56.25" x14ac:dyDescent="0.3">
      <c r="A4527" s="171">
        <v>43213</v>
      </c>
      <c r="B4527" s="5" t="s">
        <v>58</v>
      </c>
      <c r="C4527" s="92" t="s">
        <v>3515</v>
      </c>
      <c r="D4527" s="43">
        <v>51706</v>
      </c>
      <c r="E4527" s="43"/>
      <c r="F4527" s="48">
        <f t="shared" si="73"/>
        <v>11393</v>
      </c>
    </row>
    <row r="4528" spans="1:6" x14ac:dyDescent="0.3">
      <c r="A4528" s="171">
        <v>43213</v>
      </c>
      <c r="B4528" s="756" t="s">
        <v>3516</v>
      </c>
      <c r="C4528" s="756"/>
      <c r="D4528" s="71"/>
      <c r="E4528" s="72">
        <v>30000</v>
      </c>
      <c r="F4528" s="48">
        <f t="shared" si="73"/>
        <v>41393</v>
      </c>
    </row>
    <row r="4529" spans="1:8" x14ac:dyDescent="0.3">
      <c r="A4529" s="171">
        <v>43213</v>
      </c>
      <c r="B4529" s="5" t="s">
        <v>25</v>
      </c>
      <c r="C4529" s="5" t="s">
        <v>3517</v>
      </c>
      <c r="D4529" s="43">
        <v>1200</v>
      </c>
      <c r="E4529" s="43"/>
      <c r="F4529" s="48">
        <f t="shared" si="73"/>
        <v>40193</v>
      </c>
    </row>
    <row r="4530" spans="1:8" x14ac:dyDescent="0.3">
      <c r="A4530" s="171">
        <v>43213</v>
      </c>
      <c r="B4530" s="756" t="s">
        <v>3523</v>
      </c>
      <c r="C4530" s="756"/>
      <c r="D4530" s="71"/>
      <c r="E4530" s="72">
        <v>2000</v>
      </c>
      <c r="F4530" s="48">
        <f t="shared" si="73"/>
        <v>42193</v>
      </c>
    </row>
    <row r="4531" spans="1:8" x14ac:dyDescent="0.3">
      <c r="A4531" s="171">
        <v>43213</v>
      </c>
      <c r="B4531" s="756" t="s">
        <v>3524</v>
      </c>
      <c r="C4531" s="756"/>
      <c r="D4531" s="71"/>
      <c r="E4531" s="72">
        <v>3000</v>
      </c>
      <c r="F4531" s="48">
        <f t="shared" si="73"/>
        <v>45193</v>
      </c>
    </row>
    <row r="4532" spans="1:8" x14ac:dyDescent="0.3">
      <c r="A4532" s="171">
        <v>43213</v>
      </c>
      <c r="B4532" s="5" t="s">
        <v>58</v>
      </c>
      <c r="C4532" s="5" t="s">
        <v>3518</v>
      </c>
      <c r="D4532" s="43">
        <f>35090-1200</f>
        <v>33890</v>
      </c>
      <c r="E4532" s="43"/>
      <c r="F4532" s="48">
        <f t="shared" si="73"/>
        <v>11303</v>
      </c>
    </row>
    <row r="4533" spans="1:8" x14ac:dyDescent="0.3">
      <c r="A4533" s="171">
        <v>43214</v>
      </c>
      <c r="B4533" s="756" t="s">
        <v>3444</v>
      </c>
      <c r="C4533" s="756"/>
      <c r="D4533" s="71"/>
      <c r="E4533" s="72">
        <v>50000</v>
      </c>
      <c r="F4533" s="48">
        <f t="shared" si="73"/>
        <v>61303</v>
      </c>
    </row>
    <row r="4534" spans="1:8" x14ac:dyDescent="0.3">
      <c r="A4534" s="171">
        <v>43214</v>
      </c>
      <c r="B4534" s="5" t="s">
        <v>25</v>
      </c>
      <c r="C4534" s="5" t="s">
        <v>3519</v>
      </c>
      <c r="D4534" s="43">
        <v>12390</v>
      </c>
      <c r="E4534" s="43"/>
      <c r="F4534" s="48">
        <f t="shared" si="73"/>
        <v>48913</v>
      </c>
    </row>
    <row r="4535" spans="1:8" x14ac:dyDescent="0.3">
      <c r="A4535" s="171">
        <v>43214</v>
      </c>
      <c r="B4535" s="5" t="s">
        <v>1410</v>
      </c>
      <c r="C4535" s="5" t="s">
        <v>3504</v>
      </c>
      <c r="D4535" s="43">
        <v>2500</v>
      </c>
      <c r="E4535" s="43"/>
      <c r="F4535" s="48">
        <f t="shared" si="73"/>
        <v>46413</v>
      </c>
    </row>
    <row r="4536" spans="1:8" x14ac:dyDescent="0.3">
      <c r="A4536" s="171">
        <v>43214</v>
      </c>
      <c r="B4536" s="5" t="s">
        <v>14</v>
      </c>
      <c r="C4536" s="5" t="s">
        <v>3505</v>
      </c>
      <c r="D4536" s="43">
        <v>1000</v>
      </c>
      <c r="E4536" s="43"/>
      <c r="F4536" s="48">
        <f t="shared" si="73"/>
        <v>45413</v>
      </c>
    </row>
    <row r="4537" spans="1:8" x14ac:dyDescent="0.3">
      <c r="A4537" s="171">
        <v>43214</v>
      </c>
      <c r="B4537" s="5" t="s">
        <v>3506</v>
      </c>
      <c r="C4537" s="5" t="s">
        <v>3507</v>
      </c>
      <c r="D4537" s="43">
        <v>600</v>
      </c>
      <c r="E4537" s="43"/>
      <c r="F4537" s="48">
        <f t="shared" si="73"/>
        <v>44813</v>
      </c>
    </row>
    <row r="4538" spans="1:8" x14ac:dyDescent="0.3">
      <c r="A4538" s="171">
        <v>43214</v>
      </c>
      <c r="B4538" s="5" t="s">
        <v>14</v>
      </c>
      <c r="C4538" s="5" t="s">
        <v>3508</v>
      </c>
      <c r="D4538" s="43">
        <v>8000</v>
      </c>
      <c r="E4538" s="43"/>
      <c r="F4538" s="48">
        <f t="shared" si="73"/>
        <v>36813</v>
      </c>
    </row>
    <row r="4539" spans="1:8" x14ac:dyDescent="0.3">
      <c r="A4539" s="171">
        <v>43214</v>
      </c>
      <c r="B4539" s="5" t="s">
        <v>84</v>
      </c>
      <c r="C4539" s="5" t="s">
        <v>3509</v>
      </c>
      <c r="D4539" s="43">
        <v>1000</v>
      </c>
      <c r="E4539" s="43"/>
      <c r="F4539" s="48">
        <f t="shared" si="73"/>
        <v>35813</v>
      </c>
    </row>
    <row r="4540" spans="1:8" x14ac:dyDescent="0.3">
      <c r="A4540" s="171">
        <v>43214</v>
      </c>
      <c r="B4540" s="5" t="s">
        <v>14</v>
      </c>
      <c r="C4540" s="5" t="s">
        <v>640</v>
      </c>
      <c r="D4540" s="43">
        <v>1000</v>
      </c>
      <c r="E4540" s="43"/>
      <c r="F4540" s="48">
        <f t="shared" si="73"/>
        <v>34813</v>
      </c>
    </row>
    <row r="4541" spans="1:8" x14ac:dyDescent="0.3">
      <c r="A4541" s="171">
        <v>43214</v>
      </c>
      <c r="B4541" s="5" t="s">
        <v>3510</v>
      </c>
      <c r="C4541" s="5" t="s">
        <v>3511</v>
      </c>
      <c r="D4541" s="43">
        <v>1500</v>
      </c>
      <c r="E4541" s="43"/>
      <c r="F4541" s="48">
        <f t="shared" si="73"/>
        <v>33313</v>
      </c>
    </row>
    <row r="4542" spans="1:8" x14ac:dyDescent="0.3">
      <c r="A4542" s="171">
        <v>43214</v>
      </c>
      <c r="B4542" s="5" t="s">
        <v>84</v>
      </c>
      <c r="C4542" s="5" t="s">
        <v>3512</v>
      </c>
      <c r="D4542" s="43">
        <v>1000</v>
      </c>
      <c r="E4542" s="43"/>
      <c r="F4542" s="48">
        <f t="shared" si="73"/>
        <v>32313</v>
      </c>
    </row>
    <row r="4543" spans="1:8" x14ac:dyDescent="0.3">
      <c r="A4543" s="171">
        <v>43213</v>
      </c>
      <c r="B4543" s="5" t="s">
        <v>11</v>
      </c>
      <c r="C4543" s="5" t="s">
        <v>3398</v>
      </c>
      <c r="D4543" s="43">
        <v>2000</v>
      </c>
      <c r="E4543" s="43"/>
      <c r="F4543" s="48">
        <f t="shared" si="73"/>
        <v>30313</v>
      </c>
      <c r="H4543" s="43"/>
    </row>
    <row r="4544" spans="1:8" x14ac:dyDescent="0.3">
      <c r="A4544" s="171">
        <v>43213</v>
      </c>
      <c r="B4544" s="5" t="s">
        <v>11</v>
      </c>
      <c r="C4544" s="5" t="s">
        <v>3513</v>
      </c>
      <c r="D4544" s="43">
        <v>950</v>
      </c>
      <c r="E4544" s="43"/>
      <c r="F4544" s="48">
        <f t="shared" si="73"/>
        <v>29363</v>
      </c>
    </row>
    <row r="4545" spans="1:9" x14ac:dyDescent="0.3">
      <c r="A4545" s="171">
        <v>43213</v>
      </c>
      <c r="B4545" s="5" t="s">
        <v>60</v>
      </c>
      <c r="C4545" s="5" t="s">
        <v>3514</v>
      </c>
      <c r="D4545" s="43">
        <v>4500</v>
      </c>
      <c r="E4545" s="43"/>
      <c r="F4545" s="48">
        <f t="shared" si="73"/>
        <v>24863</v>
      </c>
      <c r="I4545" s="43"/>
    </row>
    <row r="4546" spans="1:9" x14ac:dyDescent="0.3">
      <c r="A4546" s="171">
        <v>43213</v>
      </c>
      <c r="B4546" s="5" t="s">
        <v>14</v>
      </c>
      <c r="C4546" s="5" t="s">
        <v>489</v>
      </c>
      <c r="D4546" s="43">
        <v>2000</v>
      </c>
      <c r="E4546" s="43"/>
      <c r="F4546" s="48">
        <f t="shared" si="73"/>
        <v>22863</v>
      </c>
    </row>
    <row r="4547" spans="1:9" x14ac:dyDescent="0.3">
      <c r="A4547" s="171">
        <v>43213</v>
      </c>
      <c r="B4547" s="5" t="s">
        <v>3520</v>
      </c>
      <c r="C4547" s="5" t="s">
        <v>3521</v>
      </c>
      <c r="D4547" s="168">
        <v>6000</v>
      </c>
      <c r="E4547" s="43"/>
      <c r="F4547" s="48">
        <f t="shared" si="73"/>
        <v>16863</v>
      </c>
    </row>
    <row r="4548" spans="1:9" x14ac:dyDescent="0.3">
      <c r="A4548" s="171">
        <v>43216</v>
      </c>
      <c r="B4548" s="756" t="s">
        <v>3533</v>
      </c>
      <c r="C4548" s="756"/>
      <c r="D4548" s="71"/>
      <c r="E4548" s="72">
        <v>100000</v>
      </c>
      <c r="F4548" s="48">
        <f t="shared" si="73"/>
        <v>116863</v>
      </c>
    </row>
    <row r="4549" spans="1:9" ht="56.25" x14ac:dyDescent="0.3">
      <c r="A4549" s="171">
        <v>43216</v>
      </c>
      <c r="B4549" s="5" t="s">
        <v>58</v>
      </c>
      <c r="C4549" s="92" t="s">
        <v>3522</v>
      </c>
      <c r="D4549" s="43">
        <v>26000</v>
      </c>
      <c r="E4549" s="43"/>
      <c r="F4549" s="48">
        <f t="shared" si="73"/>
        <v>90863</v>
      </c>
    </row>
    <row r="4550" spans="1:9" x14ac:dyDescent="0.3">
      <c r="A4550" s="171">
        <v>43216</v>
      </c>
      <c r="B4550" s="5" t="s">
        <v>1837</v>
      </c>
      <c r="C4550" s="5" t="s">
        <v>3525</v>
      </c>
      <c r="D4550" s="43">
        <v>1200</v>
      </c>
      <c r="E4550" s="43"/>
      <c r="F4550" s="48">
        <f t="shared" si="73"/>
        <v>89663</v>
      </c>
    </row>
    <row r="4551" spans="1:9" x14ac:dyDescent="0.3">
      <c r="A4551" s="171">
        <v>43216</v>
      </c>
      <c r="B4551" s="5" t="s">
        <v>60</v>
      </c>
      <c r="C4551" s="5" t="s">
        <v>3526</v>
      </c>
      <c r="D4551" s="43">
        <v>1000</v>
      </c>
      <c r="E4551" s="43"/>
      <c r="F4551" s="48">
        <f t="shared" si="73"/>
        <v>88663</v>
      </c>
    </row>
    <row r="4552" spans="1:9" x14ac:dyDescent="0.3">
      <c r="A4552" s="171">
        <v>43216</v>
      </c>
      <c r="B4552" s="5" t="s">
        <v>25</v>
      </c>
      <c r="C4552" s="5" t="s">
        <v>3527</v>
      </c>
      <c r="D4552" s="43">
        <v>100</v>
      </c>
      <c r="E4552" s="43"/>
      <c r="F4552" s="48">
        <f t="shared" si="73"/>
        <v>88563</v>
      </c>
    </row>
    <row r="4553" spans="1:9" ht="56.25" x14ac:dyDescent="0.3">
      <c r="A4553" s="171">
        <v>43216</v>
      </c>
      <c r="B4553" s="5" t="s">
        <v>25</v>
      </c>
      <c r="C4553" s="92" t="s">
        <v>3536</v>
      </c>
      <c r="D4553" s="43">
        <f>1900-100-120</f>
        <v>1680</v>
      </c>
      <c r="E4553" s="43"/>
      <c r="F4553" s="48">
        <f t="shared" si="73"/>
        <v>86883</v>
      </c>
    </row>
    <row r="4554" spans="1:9" x14ac:dyDescent="0.3">
      <c r="A4554" s="171">
        <v>43216</v>
      </c>
      <c r="B4554" s="5" t="s">
        <v>25</v>
      </c>
      <c r="C4554" s="5" t="s">
        <v>3528</v>
      </c>
      <c r="D4554" s="43">
        <v>120</v>
      </c>
      <c r="E4554" s="43"/>
      <c r="F4554" s="48">
        <f t="shared" si="73"/>
        <v>86763</v>
      </c>
    </row>
    <row r="4555" spans="1:9" x14ac:dyDescent="0.3">
      <c r="A4555" s="171">
        <v>43216</v>
      </c>
      <c r="B4555" s="5" t="s">
        <v>2674</v>
      </c>
      <c r="C4555" s="5" t="s">
        <v>3529</v>
      </c>
      <c r="D4555" s="43">
        <v>300</v>
      </c>
      <c r="E4555" s="43"/>
      <c r="F4555" s="48">
        <f t="shared" ref="F4555:F4618" si="74">F4554-D4555+E4555</f>
        <v>86463</v>
      </c>
    </row>
    <row r="4556" spans="1:9" ht="37.5" x14ac:dyDescent="0.3">
      <c r="A4556" s="171">
        <v>43216</v>
      </c>
      <c r="B4556" s="5" t="s">
        <v>25</v>
      </c>
      <c r="C4556" s="92" t="s">
        <v>3531</v>
      </c>
      <c r="D4556" s="43">
        <v>1000</v>
      </c>
      <c r="E4556" s="43"/>
      <c r="F4556" s="48">
        <f t="shared" si="74"/>
        <v>85463</v>
      </c>
    </row>
    <row r="4557" spans="1:9" x14ac:dyDescent="0.3">
      <c r="A4557" s="171">
        <v>43216</v>
      </c>
      <c r="B4557" s="5" t="s">
        <v>58</v>
      </c>
      <c r="C4557" s="5" t="s">
        <v>3537</v>
      </c>
      <c r="D4557" s="43">
        <v>13790</v>
      </c>
      <c r="E4557" s="43"/>
      <c r="F4557" s="48">
        <f t="shared" si="74"/>
        <v>71673</v>
      </c>
    </row>
    <row r="4558" spans="1:9" x14ac:dyDescent="0.3">
      <c r="A4558" s="171">
        <v>43216</v>
      </c>
      <c r="B4558" s="5" t="s">
        <v>1343</v>
      </c>
      <c r="C4558" s="5" t="s">
        <v>3194</v>
      </c>
      <c r="D4558" s="43">
        <v>20000</v>
      </c>
      <c r="E4558" s="43"/>
      <c r="F4558" s="48">
        <f t="shared" si="74"/>
        <v>51673</v>
      </c>
    </row>
    <row r="4559" spans="1:9" x14ac:dyDescent="0.3">
      <c r="A4559" s="171">
        <v>43216</v>
      </c>
      <c r="B4559" s="5" t="s">
        <v>14</v>
      </c>
      <c r="C4559" s="5" t="s">
        <v>3534</v>
      </c>
      <c r="D4559" s="43">
        <v>3000</v>
      </c>
      <c r="E4559" s="43"/>
      <c r="F4559" s="48">
        <f t="shared" si="74"/>
        <v>48673</v>
      </c>
    </row>
    <row r="4560" spans="1:9" x14ac:dyDescent="0.3">
      <c r="A4560" s="171">
        <v>43216</v>
      </c>
      <c r="B4560" s="5" t="s">
        <v>25</v>
      </c>
      <c r="C4560" s="5" t="s">
        <v>3535</v>
      </c>
      <c r="D4560" s="43">
        <v>500</v>
      </c>
      <c r="E4560" s="43"/>
      <c r="F4560" s="48">
        <f t="shared" si="74"/>
        <v>48173</v>
      </c>
    </row>
    <row r="4561" spans="1:6" x14ac:dyDescent="0.3">
      <c r="A4561" s="171">
        <v>43216</v>
      </c>
      <c r="B4561" s="5" t="s">
        <v>3138</v>
      </c>
      <c r="C4561" s="5" t="s">
        <v>3538</v>
      </c>
      <c r="D4561" s="43">
        <v>25783</v>
      </c>
      <c r="E4561" s="43"/>
      <c r="F4561" s="48">
        <f t="shared" si="74"/>
        <v>22390</v>
      </c>
    </row>
    <row r="4562" spans="1:6" x14ac:dyDescent="0.3">
      <c r="A4562" s="171">
        <v>43217</v>
      </c>
      <c r="B4562" s="5" t="s">
        <v>0</v>
      </c>
      <c r="C4562" s="5" t="s">
        <v>2013</v>
      </c>
      <c r="D4562" s="43">
        <v>100</v>
      </c>
      <c r="E4562" s="43"/>
      <c r="F4562" s="48">
        <f t="shared" si="74"/>
        <v>22290</v>
      </c>
    </row>
    <row r="4563" spans="1:6" x14ac:dyDescent="0.3">
      <c r="A4563" s="171">
        <v>43217</v>
      </c>
      <c r="B4563" s="5" t="s">
        <v>541</v>
      </c>
      <c r="C4563" s="5" t="s">
        <v>3539</v>
      </c>
      <c r="D4563" s="43">
        <v>500</v>
      </c>
      <c r="E4563" s="43"/>
      <c r="F4563" s="48">
        <f t="shared" si="74"/>
        <v>21790</v>
      </c>
    </row>
    <row r="4564" spans="1:6" x14ac:dyDescent="0.3">
      <c r="A4564" s="171">
        <v>43217</v>
      </c>
      <c r="B4564" s="5" t="s">
        <v>56</v>
      </c>
      <c r="C4564" s="5" t="s">
        <v>3540</v>
      </c>
      <c r="D4564" s="43">
        <v>100</v>
      </c>
      <c r="E4564" s="43"/>
      <c r="F4564" s="48">
        <f t="shared" si="74"/>
        <v>21690</v>
      </c>
    </row>
    <row r="4565" spans="1:6" x14ac:dyDescent="0.3">
      <c r="A4565" s="171">
        <v>43217</v>
      </c>
      <c r="B4565" s="5" t="s">
        <v>56</v>
      </c>
      <c r="C4565" s="5" t="s">
        <v>3541</v>
      </c>
      <c r="D4565" s="43">
        <v>200</v>
      </c>
      <c r="E4565" s="43"/>
      <c r="F4565" s="48">
        <f t="shared" si="74"/>
        <v>21490</v>
      </c>
    </row>
    <row r="4566" spans="1:6" ht="37.5" x14ac:dyDescent="0.3">
      <c r="A4566" s="171">
        <v>43217</v>
      </c>
      <c r="B4566" s="5" t="s">
        <v>58</v>
      </c>
      <c r="C4566" s="92" t="s">
        <v>3553</v>
      </c>
      <c r="D4566" s="43">
        <v>200</v>
      </c>
      <c r="E4566" s="43"/>
      <c r="F4566" s="48">
        <f t="shared" si="74"/>
        <v>21290</v>
      </c>
    </row>
    <row r="4567" spans="1:6" x14ac:dyDescent="0.3">
      <c r="A4567" s="171">
        <v>43217</v>
      </c>
      <c r="B4567" s="5" t="s">
        <v>3220</v>
      </c>
      <c r="C4567" s="5" t="s">
        <v>817</v>
      </c>
      <c r="D4567" s="43">
        <v>12000</v>
      </c>
      <c r="E4567" s="43"/>
      <c r="F4567" s="48">
        <f t="shared" si="74"/>
        <v>9290</v>
      </c>
    </row>
    <row r="4568" spans="1:6" x14ac:dyDescent="0.3">
      <c r="A4568" s="171">
        <v>43218</v>
      </c>
      <c r="B4568" s="5" t="s">
        <v>60</v>
      </c>
      <c r="C4568" s="5" t="s">
        <v>3542</v>
      </c>
      <c r="D4568" s="43">
        <v>3000</v>
      </c>
      <c r="E4568" s="43"/>
      <c r="F4568" s="48">
        <f t="shared" si="74"/>
        <v>6290</v>
      </c>
    </row>
    <row r="4569" spans="1:6" x14ac:dyDescent="0.3">
      <c r="A4569" s="171">
        <v>43218</v>
      </c>
      <c r="B4569" s="5" t="s">
        <v>1343</v>
      </c>
      <c r="C4569" s="5" t="s">
        <v>3543</v>
      </c>
      <c r="D4569" s="43">
        <v>2000</v>
      </c>
      <c r="E4569" s="43"/>
      <c r="F4569" s="48">
        <f t="shared" si="74"/>
        <v>4290</v>
      </c>
    </row>
    <row r="4570" spans="1:6" x14ac:dyDescent="0.3">
      <c r="A4570" s="171">
        <v>43218</v>
      </c>
      <c r="B4570" s="756" t="s">
        <v>3533</v>
      </c>
      <c r="C4570" s="756"/>
      <c r="D4570" s="71"/>
      <c r="E4570" s="72">
        <v>100000</v>
      </c>
      <c r="F4570" s="48">
        <f t="shared" si="74"/>
        <v>104290</v>
      </c>
    </row>
    <row r="4571" spans="1:6" x14ac:dyDescent="0.3">
      <c r="A4571" s="171">
        <v>43218</v>
      </c>
      <c r="B4571" s="5" t="s">
        <v>3544</v>
      </c>
      <c r="C4571" s="5" t="s">
        <v>3545</v>
      </c>
      <c r="D4571" s="43">
        <v>7000</v>
      </c>
      <c r="E4571" s="43"/>
      <c r="F4571" s="48">
        <f t="shared" si="74"/>
        <v>97290</v>
      </c>
    </row>
    <row r="4572" spans="1:6" x14ac:dyDescent="0.3">
      <c r="A4572" s="171">
        <v>43218</v>
      </c>
      <c r="B4572" s="5" t="s">
        <v>1837</v>
      </c>
      <c r="C4572" s="5" t="s">
        <v>294</v>
      </c>
      <c r="D4572" s="43">
        <v>7000</v>
      </c>
      <c r="E4572" s="43"/>
      <c r="F4572" s="48">
        <f t="shared" si="74"/>
        <v>90290</v>
      </c>
    </row>
    <row r="4573" spans="1:6" x14ac:dyDescent="0.3">
      <c r="A4573" s="171">
        <v>43218</v>
      </c>
      <c r="B4573" s="5" t="s">
        <v>3546</v>
      </c>
      <c r="C4573" s="5" t="s">
        <v>3548</v>
      </c>
      <c r="D4573" s="43">
        <v>16000</v>
      </c>
      <c r="E4573" s="43"/>
      <c r="F4573" s="48">
        <f t="shared" si="74"/>
        <v>74290</v>
      </c>
    </row>
    <row r="4574" spans="1:6" x14ac:dyDescent="0.3">
      <c r="A4574" s="171">
        <v>43220</v>
      </c>
      <c r="B4574" s="5" t="s">
        <v>84</v>
      </c>
      <c r="C4574" s="5" t="s">
        <v>3547</v>
      </c>
      <c r="D4574" s="43">
        <v>8000</v>
      </c>
      <c r="E4574" s="43"/>
      <c r="F4574" s="48">
        <f t="shared" si="74"/>
        <v>66290</v>
      </c>
    </row>
    <row r="4575" spans="1:6" x14ac:dyDescent="0.3">
      <c r="A4575" s="171">
        <v>43220</v>
      </c>
      <c r="B4575" s="5" t="s">
        <v>16</v>
      </c>
      <c r="C4575" s="5" t="s">
        <v>3505</v>
      </c>
      <c r="D4575" s="43">
        <v>10000</v>
      </c>
      <c r="E4575" s="43"/>
      <c r="F4575" s="48">
        <f t="shared" si="74"/>
        <v>56290</v>
      </c>
    </row>
    <row r="4576" spans="1:6" x14ac:dyDescent="0.3">
      <c r="A4576" s="171">
        <v>43220</v>
      </c>
      <c r="B4576" s="5" t="s">
        <v>14</v>
      </c>
      <c r="C4576" s="5" t="s">
        <v>3505</v>
      </c>
      <c r="D4576" s="43">
        <v>5100</v>
      </c>
      <c r="E4576" s="43"/>
      <c r="F4576" s="48">
        <f t="shared" si="74"/>
        <v>51190</v>
      </c>
    </row>
    <row r="4577" spans="1:6" x14ac:dyDescent="0.3">
      <c r="A4577" s="171">
        <v>43220</v>
      </c>
      <c r="B4577" s="5" t="s">
        <v>2330</v>
      </c>
      <c r="C4577" s="5" t="s">
        <v>2315</v>
      </c>
      <c r="D4577" s="43">
        <v>3540</v>
      </c>
      <c r="E4577" s="43"/>
      <c r="F4577" s="48">
        <f t="shared" si="74"/>
        <v>47650</v>
      </c>
    </row>
    <row r="4578" spans="1:6" x14ac:dyDescent="0.3">
      <c r="A4578" s="171">
        <v>43220</v>
      </c>
      <c r="B4578" s="5" t="s">
        <v>58</v>
      </c>
      <c r="C4578" s="5" t="s">
        <v>3556</v>
      </c>
      <c r="D4578" s="43">
        <v>100</v>
      </c>
      <c r="E4578" s="43"/>
      <c r="F4578" s="48">
        <f t="shared" si="74"/>
        <v>47550</v>
      </c>
    </row>
    <row r="4579" spans="1:6" x14ac:dyDescent="0.3">
      <c r="A4579" s="171">
        <v>43220</v>
      </c>
      <c r="B4579" s="5" t="s">
        <v>2594</v>
      </c>
      <c r="C4579" s="5" t="s">
        <v>3549</v>
      </c>
      <c r="D4579" s="43">
        <v>500</v>
      </c>
      <c r="E4579" s="43"/>
      <c r="F4579" s="48">
        <f t="shared" si="74"/>
        <v>47050</v>
      </c>
    </row>
    <row r="4580" spans="1:6" x14ac:dyDescent="0.3">
      <c r="A4580" s="171">
        <v>43220</v>
      </c>
      <c r="B4580" s="5" t="s">
        <v>84</v>
      </c>
      <c r="C4580" s="5" t="s">
        <v>3550</v>
      </c>
      <c r="D4580" s="43">
        <v>3000</v>
      </c>
      <c r="E4580" s="43"/>
      <c r="F4580" s="48">
        <f t="shared" si="74"/>
        <v>44050</v>
      </c>
    </row>
    <row r="4581" spans="1:6" x14ac:dyDescent="0.3">
      <c r="A4581" s="171">
        <v>43220</v>
      </c>
      <c r="B4581" s="5" t="s">
        <v>1193</v>
      </c>
      <c r="C4581" s="5" t="s">
        <v>3551</v>
      </c>
      <c r="D4581" s="43">
        <v>15000</v>
      </c>
      <c r="E4581" s="43"/>
      <c r="F4581" s="48">
        <f t="shared" si="74"/>
        <v>29050</v>
      </c>
    </row>
    <row r="4582" spans="1:6" x14ac:dyDescent="0.3">
      <c r="A4582" s="171">
        <v>43220</v>
      </c>
      <c r="B4582" s="5" t="s">
        <v>1193</v>
      </c>
      <c r="C4582" s="5" t="s">
        <v>3552</v>
      </c>
      <c r="D4582" s="43">
        <v>1000</v>
      </c>
      <c r="E4582" s="43"/>
      <c r="F4582" s="48">
        <f t="shared" si="74"/>
        <v>28050</v>
      </c>
    </row>
    <row r="4583" spans="1:6" ht="75" x14ac:dyDescent="0.3">
      <c r="A4583" s="171">
        <v>43220</v>
      </c>
      <c r="B4583" s="5" t="s">
        <v>58</v>
      </c>
      <c r="C4583" s="92" t="s">
        <v>3575</v>
      </c>
      <c r="D4583" s="43">
        <v>18000</v>
      </c>
      <c r="E4583" s="43"/>
      <c r="F4583" s="48">
        <f t="shared" si="74"/>
        <v>10050</v>
      </c>
    </row>
    <row r="4584" spans="1:6" ht="37.5" x14ac:dyDescent="0.3">
      <c r="A4584" s="171">
        <v>43220</v>
      </c>
      <c r="B4584" s="5" t="s">
        <v>3554</v>
      </c>
      <c r="C4584" s="92" t="s">
        <v>3555</v>
      </c>
      <c r="D4584" s="43">
        <v>2500</v>
      </c>
      <c r="E4584" s="43"/>
      <c r="F4584" s="48">
        <f t="shared" si="74"/>
        <v>7550</v>
      </c>
    </row>
    <row r="4585" spans="1:6" x14ac:dyDescent="0.3">
      <c r="A4585" s="171">
        <v>43220</v>
      </c>
      <c r="B4585" s="5" t="s">
        <v>107</v>
      </c>
      <c r="C4585" s="5" t="s">
        <v>3557</v>
      </c>
      <c r="D4585" s="43">
        <v>1000</v>
      </c>
      <c r="E4585" s="43"/>
      <c r="F4585" s="48">
        <f t="shared" si="74"/>
        <v>6550</v>
      </c>
    </row>
    <row r="4586" spans="1:6" x14ac:dyDescent="0.3">
      <c r="A4586" s="171">
        <v>43220</v>
      </c>
      <c r="B4586" s="5" t="s">
        <v>14</v>
      </c>
      <c r="C4586" s="5" t="s">
        <v>3558</v>
      </c>
      <c r="D4586" s="43">
        <v>200</v>
      </c>
      <c r="E4586" s="43"/>
      <c r="F4586" s="48">
        <f t="shared" si="74"/>
        <v>6350</v>
      </c>
    </row>
    <row r="4587" spans="1:6" x14ac:dyDescent="0.3">
      <c r="A4587" s="171">
        <v>43220</v>
      </c>
      <c r="B4587" s="5" t="s">
        <v>3559</v>
      </c>
      <c r="C4587" s="5" t="s">
        <v>3442</v>
      </c>
      <c r="D4587" s="43">
        <v>450</v>
      </c>
      <c r="E4587" s="43"/>
      <c r="F4587" s="48">
        <f t="shared" si="74"/>
        <v>5900</v>
      </c>
    </row>
    <row r="4588" spans="1:6" x14ac:dyDescent="0.3">
      <c r="A4588" s="171">
        <v>43220</v>
      </c>
      <c r="B4588" s="5" t="s">
        <v>25</v>
      </c>
      <c r="C4588" s="5" t="s">
        <v>3560</v>
      </c>
      <c r="D4588" s="43">
        <v>600</v>
      </c>
      <c r="E4588" s="43"/>
      <c r="F4588" s="48">
        <f t="shared" si="74"/>
        <v>5300</v>
      </c>
    </row>
    <row r="4589" spans="1:6" x14ac:dyDescent="0.3">
      <c r="A4589" s="171">
        <v>43220</v>
      </c>
      <c r="B4589" s="5" t="s">
        <v>2330</v>
      </c>
      <c r="C4589" s="5" t="s">
        <v>62</v>
      </c>
      <c r="D4589" s="43">
        <v>170</v>
      </c>
      <c r="E4589" s="43"/>
      <c r="F4589" s="48">
        <f t="shared" si="74"/>
        <v>5130</v>
      </c>
    </row>
    <row r="4590" spans="1:6" x14ac:dyDescent="0.3">
      <c r="A4590" s="171">
        <v>43220</v>
      </c>
      <c r="B4590" s="5" t="s">
        <v>25</v>
      </c>
      <c r="C4590" s="5" t="s">
        <v>3561</v>
      </c>
      <c r="D4590" s="43">
        <v>460</v>
      </c>
      <c r="E4590" s="43"/>
      <c r="F4590" s="48">
        <f t="shared" si="74"/>
        <v>4670</v>
      </c>
    </row>
    <row r="4591" spans="1:6" x14ac:dyDescent="0.3">
      <c r="A4591" s="171">
        <v>43220</v>
      </c>
      <c r="B4591" s="5" t="s">
        <v>3554</v>
      </c>
      <c r="C4591" s="5" t="s">
        <v>3562</v>
      </c>
      <c r="D4591" s="43">
        <v>45</v>
      </c>
      <c r="E4591" s="43"/>
      <c r="F4591" s="48">
        <f t="shared" si="74"/>
        <v>4625</v>
      </c>
    </row>
    <row r="4592" spans="1:6" x14ac:dyDescent="0.3">
      <c r="A4592" s="171">
        <v>43220</v>
      </c>
      <c r="B4592" s="5" t="s">
        <v>3563</v>
      </c>
      <c r="C4592" s="5" t="s">
        <v>3564</v>
      </c>
      <c r="D4592" s="43">
        <v>50</v>
      </c>
      <c r="E4592" s="43"/>
      <c r="F4592" s="48">
        <f t="shared" si="74"/>
        <v>4575</v>
      </c>
    </row>
    <row r="4593" spans="1:6" x14ac:dyDescent="0.3">
      <c r="A4593" s="171">
        <v>43222</v>
      </c>
      <c r="B4593" s="5" t="s">
        <v>25</v>
      </c>
      <c r="C4593" s="5" t="s">
        <v>3565</v>
      </c>
      <c r="D4593" s="43">
        <v>730</v>
      </c>
      <c r="E4593" s="43"/>
      <c r="F4593" s="48">
        <f t="shared" si="74"/>
        <v>3845</v>
      </c>
    </row>
    <row r="4594" spans="1:6" x14ac:dyDescent="0.3">
      <c r="A4594" s="171">
        <v>43222</v>
      </c>
      <c r="B4594" s="5" t="s">
        <v>25</v>
      </c>
      <c r="C4594" s="5" t="s">
        <v>3342</v>
      </c>
      <c r="D4594" s="43">
        <v>130</v>
      </c>
      <c r="E4594" s="43"/>
      <c r="F4594" s="48">
        <f t="shared" si="74"/>
        <v>3715</v>
      </c>
    </row>
    <row r="4595" spans="1:6" x14ac:dyDescent="0.3">
      <c r="A4595" s="171">
        <v>43222</v>
      </c>
      <c r="B4595" s="5" t="s">
        <v>3559</v>
      </c>
      <c r="C4595" s="5" t="s">
        <v>3566</v>
      </c>
      <c r="D4595" s="43">
        <v>470</v>
      </c>
      <c r="E4595" s="43"/>
      <c r="F4595" s="48">
        <f t="shared" si="74"/>
        <v>3245</v>
      </c>
    </row>
    <row r="4596" spans="1:6" x14ac:dyDescent="0.3">
      <c r="A4596" s="171">
        <v>43222</v>
      </c>
      <c r="B4596" s="5" t="s">
        <v>3567</v>
      </c>
      <c r="C4596" s="5" t="s">
        <v>3568</v>
      </c>
      <c r="D4596" s="43">
        <v>520</v>
      </c>
      <c r="E4596" s="43"/>
      <c r="F4596" s="48">
        <f t="shared" si="74"/>
        <v>2725</v>
      </c>
    </row>
    <row r="4597" spans="1:6" x14ac:dyDescent="0.3">
      <c r="A4597" s="171">
        <v>43222</v>
      </c>
      <c r="B4597" s="761" t="s">
        <v>3569</v>
      </c>
      <c r="C4597" s="762"/>
      <c r="D4597" s="71"/>
      <c r="E4597" s="72">
        <v>100000</v>
      </c>
      <c r="F4597" s="48">
        <f t="shared" si="74"/>
        <v>102725</v>
      </c>
    </row>
    <row r="4598" spans="1:6" x14ac:dyDescent="0.3">
      <c r="A4598" s="171">
        <v>43222</v>
      </c>
      <c r="B4598" s="5" t="s">
        <v>16</v>
      </c>
      <c r="C4598" s="5" t="s">
        <v>294</v>
      </c>
      <c r="D4598" s="43">
        <v>15000</v>
      </c>
      <c r="E4598" s="43"/>
      <c r="F4598" s="48">
        <f t="shared" si="74"/>
        <v>87725</v>
      </c>
    </row>
    <row r="4599" spans="1:6" x14ac:dyDescent="0.3">
      <c r="A4599" s="171">
        <v>43222</v>
      </c>
      <c r="B4599" s="5" t="s">
        <v>3570</v>
      </c>
      <c r="C4599" s="5" t="s">
        <v>3571</v>
      </c>
      <c r="D4599" s="43">
        <v>10000</v>
      </c>
      <c r="E4599" s="43"/>
      <c r="F4599" s="48">
        <f t="shared" si="74"/>
        <v>77725</v>
      </c>
    </row>
    <row r="4600" spans="1:6" x14ac:dyDescent="0.3">
      <c r="A4600" s="171">
        <v>43222</v>
      </c>
      <c r="B4600" s="5" t="s">
        <v>1616</v>
      </c>
      <c r="C4600" s="5" t="s">
        <v>3410</v>
      </c>
      <c r="D4600" s="43">
        <v>520</v>
      </c>
      <c r="E4600" s="43"/>
      <c r="F4600" s="48">
        <f t="shared" si="74"/>
        <v>77205</v>
      </c>
    </row>
    <row r="4601" spans="1:6" x14ac:dyDescent="0.3">
      <c r="A4601" s="171">
        <v>43222</v>
      </c>
      <c r="B4601" s="5" t="s">
        <v>35</v>
      </c>
      <c r="C4601" s="5" t="s">
        <v>3572</v>
      </c>
      <c r="D4601" s="43">
        <v>2000</v>
      </c>
      <c r="E4601" s="43"/>
      <c r="F4601" s="48">
        <f t="shared" si="74"/>
        <v>75205</v>
      </c>
    </row>
    <row r="4602" spans="1:6" x14ac:dyDescent="0.3">
      <c r="A4602" s="171">
        <v>43222</v>
      </c>
      <c r="B4602" s="5" t="s">
        <v>58</v>
      </c>
      <c r="C4602" s="5" t="s">
        <v>3573</v>
      </c>
      <c r="D4602" s="43">
        <v>15360</v>
      </c>
      <c r="E4602" s="43"/>
      <c r="F4602" s="48">
        <f t="shared" si="74"/>
        <v>59845</v>
      </c>
    </row>
    <row r="4603" spans="1:6" x14ac:dyDescent="0.3">
      <c r="A4603" s="171">
        <v>43222</v>
      </c>
      <c r="B4603" s="5" t="s">
        <v>58</v>
      </c>
      <c r="C4603" s="5" t="s">
        <v>3574</v>
      </c>
      <c r="D4603" s="43">
        <v>5140</v>
      </c>
      <c r="E4603" s="43"/>
      <c r="F4603" s="48">
        <f t="shared" si="74"/>
        <v>54705</v>
      </c>
    </row>
    <row r="4604" spans="1:6" x14ac:dyDescent="0.3">
      <c r="A4604" s="171">
        <v>43222</v>
      </c>
      <c r="B4604" s="5" t="s">
        <v>2594</v>
      </c>
      <c r="C4604" s="5" t="s">
        <v>3576</v>
      </c>
      <c r="D4604" s="43">
        <v>280</v>
      </c>
      <c r="E4604" s="43"/>
      <c r="F4604" s="48">
        <f t="shared" si="74"/>
        <v>54425</v>
      </c>
    </row>
    <row r="4605" spans="1:6" x14ac:dyDescent="0.3">
      <c r="A4605" s="171">
        <v>43222</v>
      </c>
      <c r="B4605" s="5" t="s">
        <v>2594</v>
      </c>
      <c r="C4605" s="5" t="s">
        <v>3577</v>
      </c>
      <c r="D4605" s="43">
        <v>432</v>
      </c>
      <c r="E4605" s="43"/>
      <c r="F4605" s="48">
        <f t="shared" si="74"/>
        <v>53993</v>
      </c>
    </row>
    <row r="4606" spans="1:6" x14ac:dyDescent="0.3">
      <c r="A4606" s="171">
        <v>43222</v>
      </c>
      <c r="B4606" s="5" t="s">
        <v>2594</v>
      </c>
      <c r="C4606" s="61" t="s">
        <v>3578</v>
      </c>
      <c r="D4606" s="62">
        <f>1000-D4605-D4604</f>
        <v>288</v>
      </c>
      <c r="E4606" s="43"/>
      <c r="F4606" s="48">
        <f t="shared" si="74"/>
        <v>53705</v>
      </c>
    </row>
    <row r="4607" spans="1:6" x14ac:dyDescent="0.3">
      <c r="A4607" s="171">
        <v>43223</v>
      </c>
      <c r="B4607" s="5" t="s">
        <v>2086</v>
      </c>
      <c r="C4607" s="5" t="s">
        <v>3579</v>
      </c>
      <c r="D4607" s="43">
        <v>500</v>
      </c>
      <c r="E4607" s="43"/>
      <c r="F4607" s="48">
        <f t="shared" si="74"/>
        <v>53205</v>
      </c>
    </row>
    <row r="4608" spans="1:6" x14ac:dyDescent="0.3">
      <c r="A4608" s="171">
        <v>43223</v>
      </c>
      <c r="B4608" s="5" t="s">
        <v>28</v>
      </c>
      <c r="C4608" s="5" t="s">
        <v>3580</v>
      </c>
      <c r="D4608" s="43">
        <v>5000</v>
      </c>
      <c r="E4608" s="43"/>
      <c r="F4608" s="48">
        <f t="shared" si="74"/>
        <v>48205</v>
      </c>
    </row>
    <row r="4609" spans="1:6" ht="37.5" x14ac:dyDescent="0.3">
      <c r="A4609" s="171">
        <v>43223</v>
      </c>
      <c r="B4609" s="44" t="s">
        <v>28</v>
      </c>
      <c r="C4609" s="124" t="s">
        <v>3581</v>
      </c>
      <c r="D4609" s="28">
        <v>5000</v>
      </c>
      <c r="E4609" s="28"/>
      <c r="F4609" s="48">
        <f t="shared" si="74"/>
        <v>43205</v>
      </c>
    </row>
    <row r="4610" spans="1:6" x14ac:dyDescent="0.3">
      <c r="A4610" s="171">
        <v>43223</v>
      </c>
      <c r="B4610" s="5" t="s">
        <v>3520</v>
      </c>
      <c r="C4610" s="5" t="s">
        <v>294</v>
      </c>
      <c r="D4610" s="43">
        <v>20000</v>
      </c>
      <c r="E4610" s="43"/>
      <c r="F4610" s="48">
        <f t="shared" si="74"/>
        <v>23205</v>
      </c>
    </row>
    <row r="4611" spans="1:6" x14ac:dyDescent="0.3">
      <c r="A4611" s="171">
        <v>43223</v>
      </c>
      <c r="B4611" s="5" t="s">
        <v>16</v>
      </c>
      <c r="C4611" s="5" t="s">
        <v>3505</v>
      </c>
      <c r="D4611" s="43">
        <v>5000</v>
      </c>
      <c r="E4611" s="43"/>
      <c r="F4611" s="48">
        <f t="shared" si="74"/>
        <v>18205</v>
      </c>
    </row>
    <row r="4612" spans="1:6" x14ac:dyDescent="0.3">
      <c r="A4612" s="171">
        <v>43223</v>
      </c>
      <c r="B4612" s="5" t="s">
        <v>0</v>
      </c>
      <c r="C4612" s="5" t="s">
        <v>2315</v>
      </c>
      <c r="D4612" s="43">
        <v>3000</v>
      </c>
      <c r="E4612" s="43"/>
      <c r="F4612" s="48">
        <f t="shared" si="74"/>
        <v>15205</v>
      </c>
    </row>
    <row r="4613" spans="1:6" x14ac:dyDescent="0.3">
      <c r="A4613" s="171">
        <v>43223</v>
      </c>
      <c r="B4613" s="5" t="s">
        <v>84</v>
      </c>
      <c r="C4613" s="5" t="s">
        <v>3582</v>
      </c>
      <c r="D4613" s="43">
        <v>12000</v>
      </c>
      <c r="E4613" s="43"/>
      <c r="F4613" s="48">
        <f t="shared" si="74"/>
        <v>3205</v>
      </c>
    </row>
    <row r="4614" spans="1:6" x14ac:dyDescent="0.3">
      <c r="A4614" s="171">
        <v>43223</v>
      </c>
      <c r="B4614" s="5" t="s">
        <v>14</v>
      </c>
      <c r="C4614" s="5" t="s">
        <v>294</v>
      </c>
      <c r="D4614" s="43">
        <v>1000</v>
      </c>
      <c r="E4614" s="43"/>
      <c r="F4614" s="48">
        <f t="shared" si="74"/>
        <v>2205</v>
      </c>
    </row>
    <row r="4615" spans="1:6" x14ac:dyDescent="0.3">
      <c r="A4615" s="171">
        <v>43224</v>
      </c>
      <c r="B4615" s="5" t="s">
        <v>541</v>
      </c>
      <c r="C4615" s="5" t="s">
        <v>3583</v>
      </c>
      <c r="D4615" s="43">
        <f>140+180</f>
        <v>320</v>
      </c>
      <c r="E4615" s="43"/>
      <c r="F4615" s="48">
        <f t="shared" si="74"/>
        <v>1885</v>
      </c>
    </row>
    <row r="4616" spans="1:6" x14ac:dyDescent="0.3">
      <c r="A4616" s="171">
        <v>43224</v>
      </c>
      <c r="B4616" s="5" t="s">
        <v>25</v>
      </c>
      <c r="C4616" s="5" t="s">
        <v>3584</v>
      </c>
      <c r="D4616" s="43">
        <v>210</v>
      </c>
      <c r="E4616" s="43"/>
      <c r="F4616" s="48">
        <f t="shared" si="74"/>
        <v>1675</v>
      </c>
    </row>
    <row r="4617" spans="1:6" x14ac:dyDescent="0.3">
      <c r="A4617" s="171">
        <v>43224</v>
      </c>
      <c r="B4617" s="5" t="s">
        <v>1633</v>
      </c>
      <c r="C4617" s="5" t="s">
        <v>3587</v>
      </c>
      <c r="D4617" s="43">
        <f>50+40+140+90</f>
        <v>320</v>
      </c>
      <c r="E4617" s="43"/>
      <c r="F4617" s="48">
        <f t="shared" si="74"/>
        <v>1355</v>
      </c>
    </row>
    <row r="4618" spans="1:6" x14ac:dyDescent="0.3">
      <c r="A4618" s="171">
        <v>43224</v>
      </c>
      <c r="B4618" s="5" t="s">
        <v>3585</v>
      </c>
      <c r="C4618" s="5" t="s">
        <v>3586</v>
      </c>
      <c r="D4618" s="43">
        <f>210+35+102-110</f>
        <v>237</v>
      </c>
      <c r="E4618" s="43"/>
      <c r="F4618" s="48">
        <f t="shared" si="74"/>
        <v>1118</v>
      </c>
    </row>
    <row r="4619" spans="1:6" x14ac:dyDescent="0.3">
      <c r="A4619" s="171">
        <v>43224</v>
      </c>
      <c r="B4619" s="756" t="s">
        <v>3588</v>
      </c>
      <c r="C4619" s="756"/>
      <c r="D4619" s="71"/>
      <c r="E4619" s="72">
        <v>13700</v>
      </c>
      <c r="F4619" s="48">
        <f t="shared" ref="F4619:F4682" si="75">F4618-D4619+E4619</f>
        <v>14818</v>
      </c>
    </row>
    <row r="4620" spans="1:6" x14ac:dyDescent="0.3">
      <c r="A4620" s="171">
        <v>43224</v>
      </c>
      <c r="B4620" s="5" t="s">
        <v>14</v>
      </c>
      <c r="C4620" s="5" t="s">
        <v>294</v>
      </c>
      <c r="D4620" s="43">
        <v>10000</v>
      </c>
      <c r="E4620" s="43"/>
      <c r="F4620" s="48">
        <f t="shared" si="75"/>
        <v>4818</v>
      </c>
    </row>
    <row r="4621" spans="1:6" x14ac:dyDescent="0.3">
      <c r="A4621" s="171">
        <v>43224</v>
      </c>
      <c r="B4621" s="5" t="s">
        <v>2330</v>
      </c>
      <c r="C4621" s="5" t="s">
        <v>3589</v>
      </c>
      <c r="D4621" s="43">
        <v>4700</v>
      </c>
      <c r="E4621" s="43"/>
      <c r="F4621" s="48">
        <f t="shared" si="75"/>
        <v>118</v>
      </c>
    </row>
    <row r="4622" spans="1:6" x14ac:dyDescent="0.3">
      <c r="A4622" s="171">
        <v>43224</v>
      </c>
      <c r="B4622" s="756" t="s">
        <v>3590</v>
      </c>
      <c r="C4622" s="756"/>
      <c r="D4622" s="71"/>
      <c r="E4622" s="72">
        <v>50000</v>
      </c>
      <c r="F4622" s="48">
        <f t="shared" si="75"/>
        <v>50118</v>
      </c>
    </row>
    <row r="4623" spans="1:6" x14ac:dyDescent="0.3">
      <c r="A4623" s="171">
        <v>43224</v>
      </c>
      <c r="B4623" s="5" t="s">
        <v>1193</v>
      </c>
      <c r="C4623" s="5" t="s">
        <v>3591</v>
      </c>
      <c r="D4623" s="43">
        <v>6000</v>
      </c>
      <c r="E4623" s="43"/>
      <c r="F4623" s="48">
        <f t="shared" si="75"/>
        <v>44118</v>
      </c>
    </row>
    <row r="4624" spans="1:6" x14ac:dyDescent="0.3">
      <c r="A4624" s="171">
        <v>43224</v>
      </c>
      <c r="B4624" s="5" t="s">
        <v>1193</v>
      </c>
      <c r="C4624" s="5" t="s">
        <v>3592</v>
      </c>
      <c r="D4624" s="43">
        <v>600</v>
      </c>
      <c r="E4624" s="43"/>
      <c r="F4624" s="48">
        <f t="shared" si="75"/>
        <v>43518</v>
      </c>
    </row>
    <row r="4625" spans="1:6" x14ac:dyDescent="0.3">
      <c r="A4625" s="171">
        <v>43224</v>
      </c>
      <c r="B4625" s="5" t="s">
        <v>1193</v>
      </c>
      <c r="C4625" s="5" t="s">
        <v>3593</v>
      </c>
      <c r="D4625" s="43">
        <v>4000</v>
      </c>
      <c r="E4625" s="43"/>
      <c r="F4625" s="48">
        <f t="shared" si="75"/>
        <v>39518</v>
      </c>
    </row>
    <row r="4626" spans="1:6" x14ac:dyDescent="0.3">
      <c r="A4626" s="171">
        <v>43224</v>
      </c>
      <c r="B4626" s="5" t="s">
        <v>247</v>
      </c>
      <c r="C4626" s="5" t="s">
        <v>3154</v>
      </c>
      <c r="D4626" s="43">
        <v>140</v>
      </c>
      <c r="E4626" s="43"/>
      <c r="F4626" s="48">
        <f t="shared" si="75"/>
        <v>39378</v>
      </c>
    </row>
    <row r="4627" spans="1:6" x14ac:dyDescent="0.3">
      <c r="A4627" s="171">
        <v>43224</v>
      </c>
      <c r="B4627" s="5" t="s">
        <v>60</v>
      </c>
      <c r="C4627" s="5" t="s">
        <v>3594</v>
      </c>
      <c r="D4627" s="43">
        <v>1000</v>
      </c>
      <c r="E4627" s="43"/>
      <c r="F4627" s="48">
        <f t="shared" si="75"/>
        <v>38378</v>
      </c>
    </row>
    <row r="4628" spans="1:6" x14ac:dyDescent="0.3">
      <c r="A4628" s="171">
        <v>43225</v>
      </c>
      <c r="B4628" s="5" t="s">
        <v>3595</v>
      </c>
      <c r="C4628" s="5" t="s">
        <v>3596</v>
      </c>
      <c r="D4628" s="43">
        <v>16890</v>
      </c>
      <c r="E4628" s="43"/>
      <c r="F4628" s="48">
        <f t="shared" si="75"/>
        <v>21488</v>
      </c>
    </row>
    <row r="4629" spans="1:6" x14ac:dyDescent="0.3">
      <c r="A4629" s="171">
        <v>43225</v>
      </c>
      <c r="B4629" s="5" t="s">
        <v>3595</v>
      </c>
      <c r="C4629" s="5" t="s">
        <v>3597</v>
      </c>
      <c r="D4629" s="43">
        <f>37000-D4628</f>
        <v>20110</v>
      </c>
      <c r="E4629" s="43"/>
      <c r="F4629" s="48">
        <f t="shared" si="75"/>
        <v>1378</v>
      </c>
    </row>
    <row r="4630" spans="1:6" x14ac:dyDescent="0.3">
      <c r="A4630" s="171">
        <v>43225</v>
      </c>
      <c r="B4630" s="756" t="s">
        <v>3598</v>
      </c>
      <c r="C4630" s="756"/>
      <c r="D4630" s="71"/>
      <c r="E4630" s="72">
        <v>10000</v>
      </c>
      <c r="F4630" s="48">
        <f t="shared" si="75"/>
        <v>11378</v>
      </c>
    </row>
    <row r="4631" spans="1:6" x14ac:dyDescent="0.3">
      <c r="A4631" s="171">
        <v>43225</v>
      </c>
      <c r="B4631" s="5" t="s">
        <v>16</v>
      </c>
      <c r="C4631" s="5" t="s">
        <v>3599</v>
      </c>
      <c r="D4631" s="43">
        <v>5000</v>
      </c>
      <c r="E4631" s="43"/>
      <c r="F4631" s="48">
        <f t="shared" si="75"/>
        <v>6378</v>
      </c>
    </row>
    <row r="4632" spans="1:6" x14ac:dyDescent="0.3">
      <c r="A4632" s="171">
        <v>43225</v>
      </c>
      <c r="B4632" s="5" t="s">
        <v>2096</v>
      </c>
      <c r="C4632" s="5" t="s">
        <v>3599</v>
      </c>
      <c r="D4632" s="43">
        <v>5000</v>
      </c>
      <c r="E4632" s="43"/>
      <c r="F4632" s="48">
        <f t="shared" si="75"/>
        <v>1378</v>
      </c>
    </row>
    <row r="4633" spans="1:6" x14ac:dyDescent="0.3">
      <c r="A4633" s="171">
        <v>43225</v>
      </c>
      <c r="B4633" s="5" t="s">
        <v>247</v>
      </c>
      <c r="C4633" s="5" t="s">
        <v>3463</v>
      </c>
      <c r="D4633" s="43">
        <v>200</v>
      </c>
      <c r="E4633" s="43"/>
      <c r="F4633" s="48">
        <f t="shared" si="75"/>
        <v>1178</v>
      </c>
    </row>
    <row r="4634" spans="1:6" x14ac:dyDescent="0.3">
      <c r="A4634" s="171">
        <v>43225</v>
      </c>
      <c r="B4634" s="5" t="s">
        <v>84</v>
      </c>
      <c r="C4634" s="5" t="s">
        <v>3658</v>
      </c>
      <c r="D4634" s="43">
        <v>500</v>
      </c>
      <c r="E4634" s="43"/>
      <c r="F4634" s="48">
        <f t="shared" si="75"/>
        <v>678</v>
      </c>
    </row>
    <row r="4635" spans="1:6" x14ac:dyDescent="0.3">
      <c r="A4635" s="171">
        <v>43227</v>
      </c>
      <c r="B4635" s="756" t="s">
        <v>3444</v>
      </c>
      <c r="C4635" s="756"/>
      <c r="D4635" s="71"/>
      <c r="E4635" s="72">
        <v>50000</v>
      </c>
      <c r="F4635" s="48">
        <f t="shared" si="75"/>
        <v>50678</v>
      </c>
    </row>
    <row r="4636" spans="1:6" x14ac:dyDescent="0.3">
      <c r="A4636" s="171">
        <v>43227</v>
      </c>
      <c r="B4636" s="756" t="s">
        <v>3444</v>
      </c>
      <c r="C4636" s="756"/>
      <c r="D4636" s="71"/>
      <c r="E4636" s="72">
        <v>10000</v>
      </c>
      <c r="F4636" s="48">
        <f t="shared" si="75"/>
        <v>60678</v>
      </c>
    </row>
    <row r="4637" spans="1:6" x14ac:dyDescent="0.3">
      <c r="A4637" s="171">
        <v>43228</v>
      </c>
      <c r="B4637" s="5" t="s">
        <v>14</v>
      </c>
      <c r="C4637" s="5" t="s">
        <v>3505</v>
      </c>
      <c r="D4637" s="43">
        <v>2000</v>
      </c>
      <c r="E4637" s="43"/>
      <c r="F4637" s="48">
        <f t="shared" si="75"/>
        <v>58678</v>
      </c>
    </row>
    <row r="4638" spans="1:6" x14ac:dyDescent="0.3">
      <c r="A4638" s="171">
        <v>43228</v>
      </c>
      <c r="B4638" s="5" t="s">
        <v>0</v>
      </c>
      <c r="C4638" s="5" t="s">
        <v>3505</v>
      </c>
      <c r="D4638" s="43">
        <v>1000</v>
      </c>
      <c r="E4638" s="43"/>
      <c r="F4638" s="48">
        <f t="shared" si="75"/>
        <v>57678</v>
      </c>
    </row>
    <row r="4639" spans="1:6" x14ac:dyDescent="0.3">
      <c r="A4639" s="171">
        <v>43228</v>
      </c>
      <c r="B4639" s="5" t="s">
        <v>28</v>
      </c>
      <c r="C4639" s="5" t="s">
        <v>3649</v>
      </c>
      <c r="D4639" s="43">
        <v>3000</v>
      </c>
      <c r="E4639" s="43"/>
      <c r="F4639" s="48">
        <f t="shared" si="75"/>
        <v>54678</v>
      </c>
    </row>
    <row r="4640" spans="1:6" x14ac:dyDescent="0.3">
      <c r="A4640" s="171">
        <v>43228</v>
      </c>
      <c r="B4640" s="5" t="s">
        <v>54</v>
      </c>
      <c r="C4640" s="5" t="s">
        <v>3600</v>
      </c>
      <c r="D4640" s="43">
        <v>5000</v>
      </c>
      <c r="E4640" s="43"/>
      <c r="F4640" s="48">
        <f t="shared" si="75"/>
        <v>49678</v>
      </c>
    </row>
    <row r="4641" spans="1:6" x14ac:dyDescent="0.3">
      <c r="A4641" s="171">
        <v>43228</v>
      </c>
      <c r="B4641" s="5" t="s">
        <v>58</v>
      </c>
      <c r="C4641" s="5" t="s">
        <v>3650</v>
      </c>
      <c r="D4641" s="43">
        <v>11350</v>
      </c>
      <c r="E4641" s="43"/>
      <c r="F4641" s="48">
        <f t="shared" si="75"/>
        <v>38328</v>
      </c>
    </row>
    <row r="4642" spans="1:6" x14ac:dyDescent="0.3">
      <c r="A4642" s="171">
        <v>43228</v>
      </c>
      <c r="B4642" s="5" t="s">
        <v>25</v>
      </c>
      <c r="C4642" s="5" t="s">
        <v>3602</v>
      </c>
      <c r="D4642" s="43">
        <f>20+30+50+20</f>
        <v>120</v>
      </c>
      <c r="E4642" s="43"/>
      <c r="F4642" s="48">
        <f t="shared" si="75"/>
        <v>38208</v>
      </c>
    </row>
    <row r="4643" spans="1:6" x14ac:dyDescent="0.3">
      <c r="A4643" s="171">
        <v>43228</v>
      </c>
      <c r="B4643" s="5" t="s">
        <v>25</v>
      </c>
      <c r="C4643" s="5" t="s">
        <v>3601</v>
      </c>
      <c r="D4643" s="43">
        <v>120</v>
      </c>
      <c r="E4643" s="43"/>
      <c r="F4643" s="48">
        <f t="shared" si="75"/>
        <v>38088</v>
      </c>
    </row>
    <row r="4644" spans="1:6" x14ac:dyDescent="0.3">
      <c r="A4644" s="171">
        <v>43228</v>
      </c>
      <c r="B4644" s="5" t="s">
        <v>541</v>
      </c>
      <c r="C4644" s="5" t="s">
        <v>2875</v>
      </c>
      <c r="D4644" s="43">
        <v>150</v>
      </c>
      <c r="E4644" s="43"/>
      <c r="F4644" s="48">
        <f t="shared" si="75"/>
        <v>37938</v>
      </c>
    </row>
    <row r="4645" spans="1:6" x14ac:dyDescent="0.3">
      <c r="A4645" s="171">
        <v>43228</v>
      </c>
      <c r="B4645" s="5" t="s">
        <v>2330</v>
      </c>
      <c r="C4645" s="5" t="s">
        <v>62</v>
      </c>
      <c r="D4645" s="43">
        <v>70</v>
      </c>
      <c r="E4645" s="43"/>
      <c r="F4645" s="48">
        <f t="shared" si="75"/>
        <v>37868</v>
      </c>
    </row>
    <row r="4646" spans="1:6" ht="56.25" x14ac:dyDescent="0.3">
      <c r="A4646" s="171">
        <v>43228</v>
      </c>
      <c r="B4646" s="5" t="s">
        <v>58</v>
      </c>
      <c r="C4646" s="92" t="s">
        <v>3610</v>
      </c>
      <c r="D4646" s="43">
        <v>8500</v>
      </c>
      <c r="E4646" s="43"/>
      <c r="F4646" s="48">
        <f t="shared" si="75"/>
        <v>29368</v>
      </c>
    </row>
    <row r="4647" spans="1:6" x14ac:dyDescent="0.3">
      <c r="A4647" s="171">
        <v>43228</v>
      </c>
      <c r="B4647" s="5" t="s">
        <v>2330</v>
      </c>
      <c r="C4647" s="5" t="s">
        <v>3603</v>
      </c>
      <c r="D4647" s="43">
        <v>500</v>
      </c>
      <c r="E4647" s="43"/>
      <c r="F4647" s="48">
        <f t="shared" si="75"/>
        <v>28868</v>
      </c>
    </row>
    <row r="4648" spans="1:6" x14ac:dyDescent="0.3">
      <c r="A4648" s="171">
        <v>43228</v>
      </c>
      <c r="B4648" s="5" t="s">
        <v>93</v>
      </c>
      <c r="C4648" s="5" t="s">
        <v>3448</v>
      </c>
      <c r="D4648" s="43">
        <v>5000</v>
      </c>
      <c r="E4648" s="43"/>
      <c r="F4648" s="48">
        <f t="shared" si="75"/>
        <v>23868</v>
      </c>
    </row>
    <row r="4649" spans="1:6" x14ac:dyDescent="0.3">
      <c r="A4649" s="171">
        <v>43228</v>
      </c>
      <c r="B4649" s="5" t="s">
        <v>60</v>
      </c>
      <c r="C4649" s="5" t="s">
        <v>3604</v>
      </c>
      <c r="D4649" s="43">
        <v>5000</v>
      </c>
      <c r="E4649" s="43"/>
      <c r="F4649" s="48">
        <f t="shared" si="75"/>
        <v>18868</v>
      </c>
    </row>
    <row r="4650" spans="1:6" x14ac:dyDescent="0.3">
      <c r="A4650" s="171">
        <v>43228</v>
      </c>
      <c r="B4650" s="180" t="s">
        <v>25</v>
      </c>
      <c r="C4650" s="180" t="s">
        <v>3651</v>
      </c>
      <c r="D4650" s="181">
        <v>4122</v>
      </c>
      <c r="E4650" s="43"/>
      <c r="F4650" s="48">
        <f t="shared" si="75"/>
        <v>14746</v>
      </c>
    </row>
    <row r="4651" spans="1:6" x14ac:dyDescent="0.3">
      <c r="A4651" s="171">
        <v>43228</v>
      </c>
      <c r="B4651" s="5" t="s">
        <v>3605</v>
      </c>
      <c r="C4651" s="5" t="s">
        <v>3606</v>
      </c>
      <c r="D4651" s="43">
        <v>1500</v>
      </c>
      <c r="E4651" s="43"/>
      <c r="F4651" s="48">
        <f t="shared" si="75"/>
        <v>13246</v>
      </c>
    </row>
    <row r="4652" spans="1:6" x14ac:dyDescent="0.3">
      <c r="A4652" s="171">
        <v>43228</v>
      </c>
      <c r="B4652" s="5" t="s">
        <v>3605</v>
      </c>
      <c r="C4652" s="5" t="s">
        <v>3607</v>
      </c>
      <c r="D4652" s="43">
        <v>100</v>
      </c>
      <c r="E4652" s="43"/>
      <c r="F4652" s="48">
        <f t="shared" si="75"/>
        <v>13146</v>
      </c>
    </row>
    <row r="4653" spans="1:6" x14ac:dyDescent="0.3">
      <c r="A4653" s="171">
        <v>43228</v>
      </c>
      <c r="B4653" s="5" t="s">
        <v>1616</v>
      </c>
      <c r="C4653" s="5" t="s">
        <v>2672</v>
      </c>
      <c r="D4653" s="43">
        <v>1500</v>
      </c>
      <c r="E4653" s="43"/>
      <c r="F4653" s="48">
        <f t="shared" si="75"/>
        <v>11646</v>
      </c>
    </row>
    <row r="4654" spans="1:6" x14ac:dyDescent="0.3">
      <c r="A4654" s="171">
        <v>43228</v>
      </c>
      <c r="B4654" s="5" t="s">
        <v>3608</v>
      </c>
      <c r="C4654" s="5" t="s">
        <v>3609</v>
      </c>
      <c r="D4654" s="43">
        <v>1700</v>
      </c>
      <c r="E4654" s="43"/>
      <c r="F4654" s="48">
        <f t="shared" si="75"/>
        <v>9946</v>
      </c>
    </row>
    <row r="4655" spans="1:6" x14ac:dyDescent="0.3">
      <c r="A4655" s="171">
        <v>43229</v>
      </c>
      <c r="B4655" s="756" t="s">
        <v>3614</v>
      </c>
      <c r="C4655" s="756"/>
      <c r="D4655" s="71"/>
      <c r="E4655" s="72">
        <v>12820</v>
      </c>
      <c r="F4655" s="48">
        <f t="shared" si="75"/>
        <v>22766</v>
      </c>
    </row>
    <row r="4656" spans="1:6" x14ac:dyDescent="0.3">
      <c r="A4656" s="171">
        <v>43228</v>
      </c>
      <c r="B4656" s="5" t="s">
        <v>1837</v>
      </c>
      <c r="C4656" s="5" t="s">
        <v>3505</v>
      </c>
      <c r="D4656" s="43">
        <v>2000</v>
      </c>
      <c r="E4656" s="43"/>
      <c r="F4656" s="48">
        <f t="shared" si="75"/>
        <v>20766</v>
      </c>
    </row>
    <row r="4657" spans="1:6" x14ac:dyDescent="0.3">
      <c r="A4657" s="171">
        <v>43229</v>
      </c>
      <c r="B4657" s="5" t="s">
        <v>3220</v>
      </c>
      <c r="C4657" s="5" t="s">
        <v>3611</v>
      </c>
      <c r="D4657" s="43">
        <v>12000</v>
      </c>
      <c r="E4657" s="43"/>
      <c r="F4657" s="48">
        <f t="shared" si="75"/>
        <v>8766</v>
      </c>
    </row>
    <row r="4658" spans="1:6" x14ac:dyDescent="0.3">
      <c r="A4658" s="171">
        <v>43231</v>
      </c>
      <c r="B4658" s="5" t="s">
        <v>14</v>
      </c>
      <c r="C4658" s="5" t="s">
        <v>640</v>
      </c>
      <c r="D4658" s="43">
        <v>1000</v>
      </c>
      <c r="E4658" s="43"/>
      <c r="F4658" s="48">
        <f t="shared" si="75"/>
        <v>7766</v>
      </c>
    </row>
    <row r="4659" spans="1:6" x14ac:dyDescent="0.3">
      <c r="A4659" s="171">
        <v>43231</v>
      </c>
      <c r="B4659" s="5" t="s">
        <v>14</v>
      </c>
      <c r="C4659" s="5" t="s">
        <v>3612</v>
      </c>
      <c r="D4659" s="43">
        <f>1000+1000+3000</f>
        <v>5000</v>
      </c>
      <c r="E4659" s="43"/>
      <c r="F4659" s="48">
        <f t="shared" si="75"/>
        <v>2766</v>
      </c>
    </row>
    <row r="4660" spans="1:6" x14ac:dyDescent="0.3">
      <c r="A4660" s="171">
        <v>43231</v>
      </c>
      <c r="B4660" s="5" t="s">
        <v>25</v>
      </c>
      <c r="C4660" s="5" t="s">
        <v>3613</v>
      </c>
      <c r="D4660" s="43">
        <f>60+70+30+30+20+20+110+380+20+20+20</f>
        <v>780</v>
      </c>
      <c r="E4660" s="43"/>
      <c r="F4660" s="48">
        <f t="shared" si="75"/>
        <v>1986</v>
      </c>
    </row>
    <row r="4661" spans="1:6" x14ac:dyDescent="0.3">
      <c r="A4661" s="171">
        <v>43231</v>
      </c>
      <c r="B4661" s="5" t="s">
        <v>541</v>
      </c>
      <c r="C4661" s="5" t="s">
        <v>3430</v>
      </c>
      <c r="D4661" s="43">
        <v>150</v>
      </c>
      <c r="E4661" s="43"/>
      <c r="F4661" s="48">
        <f t="shared" si="75"/>
        <v>1836</v>
      </c>
    </row>
    <row r="4662" spans="1:6" x14ac:dyDescent="0.3">
      <c r="A4662" s="171">
        <v>43231</v>
      </c>
      <c r="B4662" s="5" t="s">
        <v>2594</v>
      </c>
      <c r="C4662" s="5" t="s">
        <v>3615</v>
      </c>
      <c r="D4662" s="43">
        <v>1000</v>
      </c>
      <c r="E4662" s="43"/>
      <c r="F4662" s="48">
        <f t="shared" si="75"/>
        <v>836</v>
      </c>
    </row>
    <row r="4663" spans="1:6" x14ac:dyDescent="0.3">
      <c r="A4663" s="171">
        <v>43231</v>
      </c>
      <c r="B4663" s="5" t="s">
        <v>3384</v>
      </c>
      <c r="C4663" s="5" t="s">
        <v>3616</v>
      </c>
      <c r="D4663" s="43">
        <v>50</v>
      </c>
      <c r="E4663" s="43"/>
      <c r="F4663" s="48">
        <f t="shared" si="75"/>
        <v>786</v>
      </c>
    </row>
    <row r="4664" spans="1:6" x14ac:dyDescent="0.3">
      <c r="A4664" s="171">
        <v>43231</v>
      </c>
      <c r="B4664" s="756" t="s">
        <v>3444</v>
      </c>
      <c r="C4664" s="756"/>
      <c r="D4664" s="71"/>
      <c r="E4664" s="72">
        <v>50000</v>
      </c>
      <c r="F4664" s="48">
        <f t="shared" si="75"/>
        <v>50786</v>
      </c>
    </row>
    <row r="4665" spans="1:6" x14ac:dyDescent="0.3">
      <c r="A4665" s="171">
        <v>43231</v>
      </c>
      <c r="B4665" s="5" t="s">
        <v>1193</v>
      </c>
      <c r="C4665" s="5" t="s">
        <v>3631</v>
      </c>
      <c r="D4665" s="43">
        <v>2000</v>
      </c>
      <c r="E4665" s="43"/>
      <c r="F4665" s="48">
        <f t="shared" si="75"/>
        <v>48786</v>
      </c>
    </row>
    <row r="4666" spans="1:6" x14ac:dyDescent="0.3">
      <c r="A4666" s="171">
        <v>43231</v>
      </c>
      <c r="B4666" s="5" t="s">
        <v>1193</v>
      </c>
      <c r="C4666" s="123" t="s">
        <v>3625</v>
      </c>
      <c r="D4666" s="43">
        <v>3500</v>
      </c>
      <c r="E4666" s="43"/>
      <c r="F4666" s="48">
        <f t="shared" si="75"/>
        <v>45286</v>
      </c>
    </row>
    <row r="4667" spans="1:6" x14ac:dyDescent="0.3">
      <c r="A4667" s="171">
        <v>43231</v>
      </c>
      <c r="B4667" s="5" t="s">
        <v>3624</v>
      </c>
      <c r="C4667" s="5" t="s">
        <v>3623</v>
      </c>
      <c r="D4667" s="43">
        <v>100</v>
      </c>
      <c r="E4667" s="43"/>
      <c r="F4667" s="48">
        <f t="shared" si="75"/>
        <v>45186</v>
      </c>
    </row>
    <row r="4668" spans="1:6" x14ac:dyDescent="0.3">
      <c r="A4668" s="171">
        <v>43231</v>
      </c>
      <c r="B4668" s="5" t="s">
        <v>84</v>
      </c>
      <c r="C4668" s="5" t="s">
        <v>3617</v>
      </c>
      <c r="D4668" s="43">
        <v>7000</v>
      </c>
      <c r="E4668" s="43"/>
      <c r="F4668" s="48">
        <f t="shared" si="75"/>
        <v>38186</v>
      </c>
    </row>
    <row r="4669" spans="1:6" x14ac:dyDescent="0.3">
      <c r="A4669" s="171">
        <v>43231</v>
      </c>
      <c r="B4669" s="5" t="s">
        <v>3618</v>
      </c>
      <c r="C4669" s="5" t="s">
        <v>3619</v>
      </c>
      <c r="D4669" s="43">
        <v>10000</v>
      </c>
      <c r="E4669" s="43"/>
      <c r="F4669" s="48">
        <f t="shared" si="75"/>
        <v>28186</v>
      </c>
    </row>
    <row r="4670" spans="1:6" x14ac:dyDescent="0.3">
      <c r="A4670" s="171">
        <v>43231</v>
      </c>
      <c r="B4670" s="5" t="s">
        <v>1512</v>
      </c>
      <c r="C4670" s="5" t="s">
        <v>3620</v>
      </c>
      <c r="D4670" s="43">
        <v>18333</v>
      </c>
      <c r="E4670" s="43"/>
      <c r="F4670" s="48">
        <f t="shared" si="75"/>
        <v>9853</v>
      </c>
    </row>
    <row r="4671" spans="1:6" x14ac:dyDescent="0.3">
      <c r="A4671" s="171">
        <v>43231</v>
      </c>
      <c r="B4671" s="5" t="s">
        <v>58</v>
      </c>
      <c r="C4671" s="5" t="s">
        <v>3316</v>
      </c>
      <c r="D4671" s="43">
        <v>2370</v>
      </c>
      <c r="E4671" s="43"/>
      <c r="F4671" s="48">
        <f t="shared" si="75"/>
        <v>7483</v>
      </c>
    </row>
    <row r="4672" spans="1:6" x14ac:dyDescent="0.3">
      <c r="A4672" s="171">
        <v>43231</v>
      </c>
      <c r="B4672" s="5" t="s">
        <v>58</v>
      </c>
      <c r="C4672" s="5" t="s">
        <v>3626</v>
      </c>
      <c r="D4672" s="43">
        <v>3980</v>
      </c>
      <c r="E4672" s="43"/>
      <c r="F4672" s="48">
        <f t="shared" si="75"/>
        <v>3503</v>
      </c>
    </row>
    <row r="4673" spans="1:6" x14ac:dyDescent="0.3">
      <c r="A4673" s="171">
        <v>43231</v>
      </c>
      <c r="B4673" s="5" t="s">
        <v>58</v>
      </c>
      <c r="C4673" s="5" t="s">
        <v>3621</v>
      </c>
      <c r="D4673" s="43">
        <v>4600</v>
      </c>
      <c r="E4673" s="43"/>
      <c r="F4673" s="48">
        <f t="shared" si="75"/>
        <v>-1097</v>
      </c>
    </row>
    <row r="4674" spans="1:6" x14ac:dyDescent="0.3">
      <c r="A4674" s="171">
        <v>43231</v>
      </c>
      <c r="B4674" s="756" t="s">
        <v>3628</v>
      </c>
      <c r="C4674" s="756"/>
      <c r="D4674" s="71"/>
      <c r="E4674" s="72">
        <v>50000</v>
      </c>
      <c r="F4674" s="48">
        <f>F4673-D4674+E4674</f>
        <v>48903</v>
      </c>
    </row>
    <row r="4675" spans="1:6" x14ac:dyDescent="0.3">
      <c r="A4675" s="171">
        <v>43232</v>
      </c>
      <c r="B4675" s="5" t="s">
        <v>56</v>
      </c>
      <c r="C4675" s="5" t="s">
        <v>3622</v>
      </c>
      <c r="D4675" s="43">
        <v>3000</v>
      </c>
      <c r="E4675" s="43"/>
      <c r="F4675" s="48">
        <f>F4674-D4675+E4675</f>
        <v>45903</v>
      </c>
    </row>
    <row r="4676" spans="1:6" x14ac:dyDescent="0.3">
      <c r="A4676" s="171">
        <v>43232</v>
      </c>
      <c r="B4676" s="5" t="s">
        <v>25</v>
      </c>
      <c r="C4676" s="5" t="s">
        <v>3627</v>
      </c>
      <c r="D4676" s="43">
        <v>1600</v>
      </c>
      <c r="E4676" s="43"/>
      <c r="F4676" s="48">
        <f t="shared" si="75"/>
        <v>44303</v>
      </c>
    </row>
    <row r="4677" spans="1:6" x14ac:dyDescent="0.3">
      <c r="A4677" s="171">
        <v>43232</v>
      </c>
      <c r="B4677" s="5" t="s">
        <v>3629</v>
      </c>
      <c r="C4677" s="5" t="s">
        <v>3630</v>
      </c>
      <c r="D4677" s="43">
        <v>6000</v>
      </c>
      <c r="E4677" s="43"/>
      <c r="F4677" s="48">
        <f t="shared" si="75"/>
        <v>38303</v>
      </c>
    </row>
    <row r="4678" spans="1:6" ht="56.25" x14ac:dyDescent="0.3">
      <c r="A4678" s="171">
        <v>43232</v>
      </c>
      <c r="B4678" s="5" t="s">
        <v>58</v>
      </c>
      <c r="C4678" s="92" t="s">
        <v>3639</v>
      </c>
      <c r="D4678" s="43">
        <v>21860</v>
      </c>
      <c r="E4678" s="43"/>
      <c r="F4678" s="48">
        <f t="shared" si="75"/>
        <v>16443</v>
      </c>
    </row>
    <row r="4679" spans="1:6" x14ac:dyDescent="0.3">
      <c r="A4679" s="171">
        <v>43232</v>
      </c>
      <c r="B4679" s="5" t="s">
        <v>3408</v>
      </c>
      <c r="C4679" s="5" t="s">
        <v>3422</v>
      </c>
      <c r="D4679" s="43">
        <v>600</v>
      </c>
      <c r="E4679" s="43"/>
      <c r="F4679" s="48">
        <f t="shared" si="75"/>
        <v>15843</v>
      </c>
    </row>
    <row r="4680" spans="1:6" x14ac:dyDescent="0.3">
      <c r="A4680" s="171">
        <v>43232</v>
      </c>
      <c r="B4680" s="5" t="s">
        <v>25</v>
      </c>
      <c r="C4680" s="5" t="s">
        <v>3632</v>
      </c>
      <c r="D4680" s="43">
        <v>370</v>
      </c>
      <c r="E4680" s="43"/>
      <c r="F4680" s="48">
        <f t="shared" si="75"/>
        <v>15473</v>
      </c>
    </row>
    <row r="4681" spans="1:6" x14ac:dyDescent="0.3">
      <c r="A4681" s="171">
        <v>43232</v>
      </c>
      <c r="B4681" s="5" t="s">
        <v>25</v>
      </c>
      <c r="C4681" s="5" t="s">
        <v>3633</v>
      </c>
      <c r="D4681" s="43">
        <v>200</v>
      </c>
      <c r="E4681" s="43"/>
      <c r="F4681" s="48">
        <f t="shared" si="75"/>
        <v>15273</v>
      </c>
    </row>
    <row r="4682" spans="1:6" x14ac:dyDescent="0.3">
      <c r="A4682" s="171">
        <v>43232</v>
      </c>
      <c r="B4682" s="5" t="s">
        <v>25</v>
      </c>
      <c r="C4682" s="5" t="s">
        <v>3634</v>
      </c>
      <c r="D4682" s="43">
        <v>50</v>
      </c>
      <c r="E4682" s="43"/>
      <c r="F4682" s="48">
        <f t="shared" si="75"/>
        <v>15223</v>
      </c>
    </row>
    <row r="4683" spans="1:6" x14ac:dyDescent="0.3">
      <c r="A4683" s="171">
        <v>43232</v>
      </c>
      <c r="B4683" s="5" t="s">
        <v>25</v>
      </c>
      <c r="C4683" s="5" t="s">
        <v>3635</v>
      </c>
      <c r="D4683" s="43">
        <v>180</v>
      </c>
      <c r="E4683" s="43"/>
      <c r="F4683" s="48">
        <f t="shared" ref="F4683:F4746" si="76">F4682-D4683+E4683</f>
        <v>15043</v>
      </c>
    </row>
    <row r="4684" spans="1:6" x14ac:dyDescent="0.3">
      <c r="A4684" s="171">
        <v>43232</v>
      </c>
      <c r="B4684" s="5" t="s">
        <v>25</v>
      </c>
      <c r="C4684" s="5" t="s">
        <v>3636</v>
      </c>
      <c r="D4684" s="43">
        <v>180</v>
      </c>
      <c r="E4684" s="43"/>
      <c r="F4684" s="48">
        <f t="shared" si="76"/>
        <v>14863</v>
      </c>
    </row>
    <row r="4685" spans="1:6" x14ac:dyDescent="0.3">
      <c r="A4685" s="171">
        <v>43232</v>
      </c>
      <c r="B4685" s="5" t="s">
        <v>25</v>
      </c>
      <c r="C4685" s="5" t="s">
        <v>3637</v>
      </c>
      <c r="D4685" s="43">
        <v>20</v>
      </c>
      <c r="E4685" s="43"/>
      <c r="F4685" s="48">
        <f t="shared" si="76"/>
        <v>14843</v>
      </c>
    </row>
    <row r="4686" spans="1:6" x14ac:dyDescent="0.3">
      <c r="A4686" s="171">
        <v>43232</v>
      </c>
      <c r="B4686" s="5" t="s">
        <v>3392</v>
      </c>
      <c r="C4686" s="5" t="s">
        <v>438</v>
      </c>
      <c r="D4686" s="43">
        <v>2000</v>
      </c>
      <c r="E4686" s="43"/>
      <c r="F4686" s="48">
        <f t="shared" si="76"/>
        <v>12843</v>
      </c>
    </row>
    <row r="4687" spans="1:6" x14ac:dyDescent="0.3">
      <c r="A4687" s="171">
        <v>43234</v>
      </c>
      <c r="B4687" s="5" t="s">
        <v>60</v>
      </c>
      <c r="C4687" s="5" t="s">
        <v>3638</v>
      </c>
      <c r="D4687" s="43">
        <v>300</v>
      </c>
      <c r="E4687" s="43"/>
      <c r="F4687" s="48">
        <f t="shared" si="76"/>
        <v>12543</v>
      </c>
    </row>
    <row r="4688" spans="1:6" ht="37.5" x14ac:dyDescent="0.3">
      <c r="A4688" s="171">
        <v>43234</v>
      </c>
      <c r="B4688" s="5" t="s">
        <v>58</v>
      </c>
      <c r="C4688" s="92" t="s">
        <v>3640</v>
      </c>
      <c r="D4688" s="43">
        <v>380</v>
      </c>
      <c r="E4688" s="43"/>
      <c r="F4688" s="48">
        <f t="shared" si="76"/>
        <v>12163</v>
      </c>
    </row>
    <row r="4689" spans="1:6" x14ac:dyDescent="0.3">
      <c r="A4689" s="171">
        <v>43234</v>
      </c>
      <c r="B4689" s="5" t="s">
        <v>3605</v>
      </c>
      <c r="C4689" s="5" t="s">
        <v>3652</v>
      </c>
      <c r="D4689" s="43">
        <v>3000</v>
      </c>
      <c r="E4689" s="43"/>
      <c r="F4689" s="48">
        <f t="shared" si="76"/>
        <v>9163</v>
      </c>
    </row>
    <row r="4690" spans="1:6" x14ac:dyDescent="0.3">
      <c r="A4690" s="171">
        <v>43234</v>
      </c>
      <c r="B4690" s="5" t="s">
        <v>14</v>
      </c>
      <c r="C4690" s="5" t="s">
        <v>3641</v>
      </c>
      <c r="D4690" s="43">
        <v>5000</v>
      </c>
      <c r="E4690" s="43"/>
      <c r="F4690" s="48">
        <f t="shared" si="76"/>
        <v>4163</v>
      </c>
    </row>
    <row r="4691" spans="1:6" x14ac:dyDescent="0.3">
      <c r="A4691" s="171">
        <v>43234</v>
      </c>
      <c r="B4691" s="756" t="s">
        <v>3642</v>
      </c>
      <c r="C4691" s="756"/>
      <c r="D4691" s="71"/>
      <c r="E4691" s="72">
        <v>90552</v>
      </c>
      <c r="F4691" s="48">
        <f t="shared" si="76"/>
        <v>94715</v>
      </c>
    </row>
    <row r="4692" spans="1:6" x14ac:dyDescent="0.3">
      <c r="A4692" s="171">
        <v>43234</v>
      </c>
      <c r="B4692" s="5" t="s">
        <v>58</v>
      </c>
      <c r="C4692" s="5" t="s">
        <v>3646</v>
      </c>
      <c r="D4692" s="43">
        <v>16870</v>
      </c>
      <c r="E4692" s="43"/>
      <c r="F4692" s="48">
        <f t="shared" si="76"/>
        <v>77845</v>
      </c>
    </row>
    <row r="4693" spans="1:6" x14ac:dyDescent="0.3">
      <c r="A4693" s="171">
        <v>43234</v>
      </c>
      <c r="B4693" s="5" t="s">
        <v>1837</v>
      </c>
      <c r="C4693" s="5" t="s">
        <v>3643</v>
      </c>
      <c r="D4693" s="43">
        <v>3000</v>
      </c>
      <c r="E4693" s="43"/>
      <c r="F4693" s="48">
        <f t="shared" si="76"/>
        <v>74845</v>
      </c>
    </row>
    <row r="4694" spans="1:6" x14ac:dyDescent="0.3">
      <c r="A4694" s="171">
        <v>43234</v>
      </c>
      <c r="B4694" s="5" t="s">
        <v>58</v>
      </c>
      <c r="C4694" s="5" t="s">
        <v>3644</v>
      </c>
      <c r="D4694" s="43">
        <v>4122</v>
      </c>
      <c r="E4694" s="43"/>
      <c r="F4694" s="48">
        <f t="shared" si="76"/>
        <v>70723</v>
      </c>
    </row>
    <row r="4695" spans="1:6" x14ac:dyDescent="0.3">
      <c r="A4695" s="171">
        <v>43234</v>
      </c>
      <c r="B4695" s="5" t="s">
        <v>58</v>
      </c>
      <c r="C4695" s="5" t="s">
        <v>3653</v>
      </c>
      <c r="D4695" s="43">
        <f>5000-4122</f>
        <v>878</v>
      </c>
      <c r="E4695" s="43"/>
      <c r="F4695" s="48">
        <f t="shared" si="76"/>
        <v>69845</v>
      </c>
    </row>
    <row r="4696" spans="1:6" x14ac:dyDescent="0.3">
      <c r="A4696" s="171">
        <v>43234</v>
      </c>
      <c r="B4696" s="5" t="s">
        <v>60</v>
      </c>
      <c r="C4696" s="5" t="s">
        <v>3645</v>
      </c>
      <c r="D4696" s="43">
        <f>1000+5000</f>
        <v>6000</v>
      </c>
      <c r="E4696" s="43"/>
      <c r="F4696" s="48">
        <f t="shared" si="76"/>
        <v>63845</v>
      </c>
    </row>
    <row r="4697" spans="1:6" ht="56.25" x14ac:dyDescent="0.3">
      <c r="A4697" s="171">
        <v>43235</v>
      </c>
      <c r="B4697" s="5" t="s">
        <v>58</v>
      </c>
      <c r="C4697" s="92" t="s">
        <v>3654</v>
      </c>
      <c r="D4697" s="43">
        <f>2490+1800+12600+250+20</f>
        <v>17160</v>
      </c>
      <c r="E4697" s="43"/>
      <c r="F4697" s="48">
        <f t="shared" si="76"/>
        <v>46685</v>
      </c>
    </row>
    <row r="4698" spans="1:6" x14ac:dyDescent="0.3">
      <c r="A4698" s="171">
        <v>43236</v>
      </c>
      <c r="B4698" s="5" t="s">
        <v>541</v>
      </c>
      <c r="C4698" s="5" t="s">
        <v>2910</v>
      </c>
      <c r="D4698" s="43">
        <v>1000</v>
      </c>
      <c r="E4698" s="43"/>
      <c r="F4698" s="48">
        <f t="shared" si="76"/>
        <v>45685</v>
      </c>
    </row>
    <row r="4699" spans="1:6" x14ac:dyDescent="0.3">
      <c r="A4699" s="171">
        <v>43236</v>
      </c>
      <c r="B4699" s="5" t="s">
        <v>14</v>
      </c>
      <c r="C4699" s="5" t="s">
        <v>3647</v>
      </c>
      <c r="D4699" s="43">
        <v>5000</v>
      </c>
      <c r="E4699" s="43"/>
      <c r="F4699" s="48">
        <f t="shared" si="76"/>
        <v>40685</v>
      </c>
    </row>
    <row r="4700" spans="1:6" x14ac:dyDescent="0.3">
      <c r="A4700" s="171">
        <v>43237</v>
      </c>
      <c r="B4700" s="5" t="s">
        <v>28</v>
      </c>
      <c r="C4700" s="5" t="s">
        <v>3648</v>
      </c>
      <c r="D4700" s="43">
        <v>1000</v>
      </c>
      <c r="E4700" s="43"/>
      <c r="F4700" s="48">
        <f t="shared" si="76"/>
        <v>39685</v>
      </c>
    </row>
    <row r="4701" spans="1:6" ht="37.5" x14ac:dyDescent="0.3">
      <c r="A4701" s="171">
        <v>43237</v>
      </c>
      <c r="B4701" s="5" t="s">
        <v>58</v>
      </c>
      <c r="C4701" s="92" t="s">
        <v>3660</v>
      </c>
      <c r="D4701" s="43">
        <v>11110</v>
      </c>
      <c r="E4701" s="43"/>
      <c r="F4701" s="48">
        <f t="shared" si="76"/>
        <v>28575</v>
      </c>
    </row>
    <row r="4702" spans="1:6" x14ac:dyDescent="0.3">
      <c r="A4702" s="171">
        <v>43237</v>
      </c>
      <c r="B4702" s="5" t="s">
        <v>25</v>
      </c>
      <c r="C4702" s="5" t="s">
        <v>3657</v>
      </c>
      <c r="D4702" s="43">
        <v>70</v>
      </c>
      <c r="E4702" s="43"/>
      <c r="F4702" s="48">
        <f t="shared" si="76"/>
        <v>28505</v>
      </c>
    </row>
    <row r="4703" spans="1:6" x14ac:dyDescent="0.3">
      <c r="A4703" s="171">
        <v>43237</v>
      </c>
      <c r="B4703" s="5" t="s">
        <v>3655</v>
      </c>
      <c r="C4703" s="5" t="s">
        <v>3217</v>
      </c>
      <c r="D4703" s="43">
        <v>100</v>
      </c>
      <c r="E4703" s="43"/>
      <c r="F4703" s="48">
        <f t="shared" si="76"/>
        <v>28405</v>
      </c>
    </row>
    <row r="4704" spans="1:6" x14ac:dyDescent="0.3">
      <c r="A4704" s="171">
        <v>43237</v>
      </c>
      <c r="B4704" s="5" t="s">
        <v>2674</v>
      </c>
      <c r="C4704" s="5" t="s">
        <v>3656</v>
      </c>
      <c r="D4704" s="43">
        <v>600</v>
      </c>
      <c r="E4704" s="43"/>
      <c r="F4704" s="48">
        <f t="shared" si="76"/>
        <v>27805</v>
      </c>
    </row>
    <row r="4705" spans="1:6" x14ac:dyDescent="0.3">
      <c r="A4705" s="171">
        <v>43237</v>
      </c>
      <c r="B4705" s="5" t="s">
        <v>541</v>
      </c>
      <c r="C4705" s="5" t="s">
        <v>2875</v>
      </c>
      <c r="D4705" s="43">
        <v>150</v>
      </c>
      <c r="E4705" s="43"/>
      <c r="F4705" s="48">
        <f t="shared" si="76"/>
        <v>27655</v>
      </c>
    </row>
    <row r="4706" spans="1:6" x14ac:dyDescent="0.3">
      <c r="A4706" s="171">
        <v>43237</v>
      </c>
      <c r="B4706" s="5" t="s">
        <v>541</v>
      </c>
      <c r="C4706" s="5" t="s">
        <v>3117</v>
      </c>
      <c r="D4706" s="43">
        <v>160</v>
      </c>
      <c r="E4706" s="43"/>
      <c r="F4706" s="48">
        <f t="shared" si="76"/>
        <v>27495</v>
      </c>
    </row>
    <row r="4707" spans="1:6" x14ac:dyDescent="0.3">
      <c r="A4707" s="171">
        <v>43238</v>
      </c>
      <c r="B4707" s="5" t="s">
        <v>84</v>
      </c>
      <c r="C4707" s="5" t="s">
        <v>3659</v>
      </c>
      <c r="D4707" s="43">
        <v>5000</v>
      </c>
      <c r="E4707" s="43"/>
      <c r="F4707" s="48">
        <f t="shared" si="76"/>
        <v>22495</v>
      </c>
    </row>
    <row r="4708" spans="1:6" x14ac:dyDescent="0.3">
      <c r="A4708" s="171">
        <v>43238</v>
      </c>
      <c r="B4708" s="5" t="s">
        <v>57</v>
      </c>
      <c r="C4708" s="5" t="s">
        <v>3763</v>
      </c>
      <c r="D4708" s="43">
        <v>5000</v>
      </c>
      <c r="E4708" s="43"/>
      <c r="F4708" s="48">
        <f t="shared" si="76"/>
        <v>17495</v>
      </c>
    </row>
    <row r="4709" spans="1:6" x14ac:dyDescent="0.3">
      <c r="A4709" s="171">
        <v>43238</v>
      </c>
      <c r="B4709" s="5" t="s">
        <v>16</v>
      </c>
      <c r="C4709" s="5" t="s">
        <v>3661</v>
      </c>
      <c r="D4709" s="43">
        <v>1500</v>
      </c>
      <c r="E4709" s="43"/>
      <c r="F4709" s="48">
        <f t="shared" si="76"/>
        <v>15995</v>
      </c>
    </row>
    <row r="4710" spans="1:6" ht="56.25" x14ac:dyDescent="0.3">
      <c r="A4710" s="171">
        <v>43238</v>
      </c>
      <c r="B4710" s="5" t="s">
        <v>58</v>
      </c>
      <c r="C4710" s="92" t="s">
        <v>3662</v>
      </c>
      <c r="D4710" s="43">
        <v>8000</v>
      </c>
      <c r="E4710" s="43"/>
      <c r="F4710" s="48">
        <f t="shared" si="76"/>
        <v>7995</v>
      </c>
    </row>
    <row r="4711" spans="1:6" x14ac:dyDescent="0.3">
      <c r="A4711" s="171">
        <v>43238</v>
      </c>
      <c r="B4711" s="5" t="s">
        <v>14</v>
      </c>
      <c r="C4711" s="5" t="s">
        <v>3505</v>
      </c>
      <c r="D4711" s="43">
        <v>7000</v>
      </c>
      <c r="E4711" s="43"/>
      <c r="F4711" s="48">
        <f t="shared" si="76"/>
        <v>995</v>
      </c>
    </row>
    <row r="4712" spans="1:6" x14ac:dyDescent="0.3">
      <c r="A4712" s="171">
        <v>43242</v>
      </c>
      <c r="B4712" s="756" t="s">
        <v>3444</v>
      </c>
      <c r="C4712" s="756"/>
      <c r="D4712" s="71"/>
      <c r="E4712" s="72">
        <v>50000</v>
      </c>
      <c r="F4712" s="48">
        <f t="shared" si="76"/>
        <v>50995</v>
      </c>
    </row>
    <row r="4713" spans="1:6" x14ac:dyDescent="0.3">
      <c r="A4713" s="171">
        <v>43242</v>
      </c>
      <c r="B4713" s="5" t="s">
        <v>58</v>
      </c>
      <c r="C4713" s="5" t="s">
        <v>3664</v>
      </c>
      <c r="D4713" s="43">
        <v>21785</v>
      </c>
      <c r="E4713" s="43"/>
      <c r="F4713" s="48">
        <f t="shared" si="76"/>
        <v>29210</v>
      </c>
    </row>
    <row r="4714" spans="1:6" x14ac:dyDescent="0.3">
      <c r="A4714" s="171">
        <v>43242</v>
      </c>
      <c r="B4714" s="5" t="s">
        <v>0</v>
      </c>
      <c r="C4714" s="5" t="s">
        <v>3663</v>
      </c>
      <c r="D4714" s="43">
        <v>1000</v>
      </c>
      <c r="E4714" s="43"/>
      <c r="F4714" s="48">
        <f t="shared" si="76"/>
        <v>28210</v>
      </c>
    </row>
    <row r="4715" spans="1:6" x14ac:dyDescent="0.3">
      <c r="A4715" s="171">
        <v>43242</v>
      </c>
      <c r="B4715" s="5" t="s">
        <v>3220</v>
      </c>
      <c r="C4715" s="5" t="s">
        <v>3665</v>
      </c>
      <c r="D4715" s="43">
        <v>11000</v>
      </c>
      <c r="E4715" s="43"/>
      <c r="F4715" s="48">
        <f t="shared" si="76"/>
        <v>17210</v>
      </c>
    </row>
    <row r="4716" spans="1:6" x14ac:dyDescent="0.3">
      <c r="A4716" s="171">
        <v>43242</v>
      </c>
      <c r="B4716" s="5" t="s">
        <v>1193</v>
      </c>
      <c r="C4716" s="5" t="s">
        <v>3666</v>
      </c>
      <c r="D4716" s="43">
        <v>2000</v>
      </c>
      <c r="E4716" s="43"/>
      <c r="F4716" s="48">
        <f t="shared" si="76"/>
        <v>15210</v>
      </c>
    </row>
    <row r="4717" spans="1:6" ht="56.25" x14ac:dyDescent="0.3">
      <c r="A4717" s="171">
        <v>43242</v>
      </c>
      <c r="B4717" s="5" t="s">
        <v>25</v>
      </c>
      <c r="C4717" s="92" t="s">
        <v>3670</v>
      </c>
      <c r="D4717" s="43">
        <v>1000</v>
      </c>
      <c r="E4717" s="43"/>
      <c r="F4717" s="48">
        <f t="shared" si="76"/>
        <v>14210</v>
      </c>
    </row>
    <row r="4718" spans="1:6" x14ac:dyDescent="0.3">
      <c r="A4718" s="171">
        <v>43242</v>
      </c>
      <c r="B4718" s="5" t="s">
        <v>58</v>
      </c>
      <c r="C4718" s="5" t="s">
        <v>3667</v>
      </c>
      <c r="D4718" s="43">
        <v>2000</v>
      </c>
      <c r="E4718" s="43"/>
      <c r="F4718" s="48">
        <f t="shared" si="76"/>
        <v>12210</v>
      </c>
    </row>
    <row r="4719" spans="1:6" x14ac:dyDescent="0.3">
      <c r="A4719" s="171">
        <v>43242</v>
      </c>
      <c r="B4719" s="5" t="s">
        <v>2330</v>
      </c>
      <c r="C4719" s="5" t="s">
        <v>3668</v>
      </c>
      <c r="D4719" s="43">
        <v>2630</v>
      </c>
      <c r="E4719" s="43"/>
      <c r="F4719" s="48">
        <f t="shared" si="76"/>
        <v>9580</v>
      </c>
    </row>
    <row r="4720" spans="1:6" x14ac:dyDescent="0.3">
      <c r="A4720" s="171">
        <v>43242</v>
      </c>
      <c r="B4720" s="5" t="s">
        <v>1193</v>
      </c>
      <c r="C4720" s="5" t="s">
        <v>3669</v>
      </c>
      <c r="D4720" s="43">
        <v>8000</v>
      </c>
      <c r="E4720" s="43"/>
      <c r="F4720" s="48">
        <f t="shared" si="76"/>
        <v>1580</v>
      </c>
    </row>
    <row r="4721" spans="1:6" x14ac:dyDescent="0.3">
      <c r="A4721" s="171">
        <v>43242</v>
      </c>
      <c r="B4721" s="5" t="s">
        <v>247</v>
      </c>
      <c r="C4721" s="5" t="s">
        <v>3671</v>
      </c>
      <c r="D4721" s="43">
        <v>50</v>
      </c>
      <c r="E4721" s="43"/>
      <c r="F4721" s="48">
        <f t="shared" si="76"/>
        <v>1530</v>
      </c>
    </row>
    <row r="4722" spans="1:6" x14ac:dyDescent="0.3">
      <c r="A4722" s="171">
        <v>43244</v>
      </c>
      <c r="B4722" s="5" t="s">
        <v>247</v>
      </c>
      <c r="C4722" s="5" t="s">
        <v>3672</v>
      </c>
      <c r="D4722" s="43">
        <v>120</v>
      </c>
      <c r="E4722" s="43"/>
      <c r="F4722" s="48">
        <f t="shared" si="76"/>
        <v>1410</v>
      </c>
    </row>
    <row r="4723" spans="1:6" x14ac:dyDescent="0.3">
      <c r="A4723" s="171">
        <v>43244</v>
      </c>
      <c r="B4723" s="756" t="s">
        <v>3673</v>
      </c>
      <c r="C4723" s="756"/>
      <c r="D4723" s="71"/>
      <c r="E4723" s="72">
        <v>75000</v>
      </c>
      <c r="F4723" s="48">
        <f t="shared" si="76"/>
        <v>76410</v>
      </c>
    </row>
    <row r="4724" spans="1:6" ht="37.5" x14ac:dyDescent="0.3">
      <c r="A4724" s="171">
        <v>43244</v>
      </c>
      <c r="B4724" s="5" t="s">
        <v>58</v>
      </c>
      <c r="C4724" s="92" t="s">
        <v>3674</v>
      </c>
      <c r="D4724" s="43">
        <v>32560</v>
      </c>
      <c r="E4724" s="43"/>
      <c r="F4724" s="48">
        <f t="shared" si="76"/>
        <v>43850</v>
      </c>
    </row>
    <row r="4725" spans="1:6" x14ac:dyDescent="0.3">
      <c r="A4725" s="171">
        <v>43244</v>
      </c>
      <c r="B4725" s="5" t="s">
        <v>84</v>
      </c>
      <c r="C4725" s="5" t="s">
        <v>3690</v>
      </c>
      <c r="D4725" s="43">
        <v>1000</v>
      </c>
      <c r="E4725" s="43"/>
      <c r="F4725" s="48">
        <f t="shared" si="76"/>
        <v>42850</v>
      </c>
    </row>
    <row r="4726" spans="1:6" x14ac:dyDescent="0.3">
      <c r="A4726" s="171">
        <v>43244</v>
      </c>
      <c r="B4726" s="5" t="s">
        <v>14</v>
      </c>
      <c r="C4726" s="5" t="s">
        <v>1049</v>
      </c>
      <c r="D4726" s="43">
        <v>1000</v>
      </c>
      <c r="E4726" s="43"/>
      <c r="F4726" s="48">
        <f t="shared" si="76"/>
        <v>41850</v>
      </c>
    </row>
    <row r="4727" spans="1:6" x14ac:dyDescent="0.3">
      <c r="A4727" s="171">
        <v>43244</v>
      </c>
      <c r="B4727" s="5" t="s">
        <v>84</v>
      </c>
      <c r="C4727" s="5" t="s">
        <v>3675</v>
      </c>
      <c r="D4727" s="43">
        <v>1000</v>
      </c>
      <c r="E4727" s="43"/>
      <c r="F4727" s="48">
        <f t="shared" si="76"/>
        <v>40850</v>
      </c>
    </row>
    <row r="4728" spans="1:6" x14ac:dyDescent="0.3">
      <c r="A4728" s="171">
        <v>43244</v>
      </c>
      <c r="B4728" s="5" t="s">
        <v>2330</v>
      </c>
      <c r="C4728" s="5" t="s">
        <v>3676</v>
      </c>
      <c r="D4728" s="43">
        <v>2635</v>
      </c>
      <c r="E4728" s="43"/>
      <c r="F4728" s="48">
        <f t="shared" si="76"/>
        <v>38215</v>
      </c>
    </row>
    <row r="4729" spans="1:6" ht="37.5" x14ac:dyDescent="0.3">
      <c r="A4729" s="171">
        <v>43244</v>
      </c>
      <c r="B4729" s="5" t="s">
        <v>1343</v>
      </c>
      <c r="C4729" s="92" t="s">
        <v>3677</v>
      </c>
      <c r="D4729" s="43">
        <v>3000</v>
      </c>
      <c r="E4729" s="43"/>
      <c r="F4729" s="48">
        <f t="shared" si="76"/>
        <v>35215</v>
      </c>
    </row>
    <row r="4730" spans="1:6" x14ac:dyDescent="0.3">
      <c r="A4730" s="171">
        <v>43244</v>
      </c>
      <c r="B4730" s="5" t="s">
        <v>28</v>
      </c>
      <c r="C4730" s="5" t="s">
        <v>3678</v>
      </c>
      <c r="D4730" s="43">
        <v>18000</v>
      </c>
      <c r="E4730" s="43"/>
      <c r="F4730" s="48">
        <f t="shared" si="76"/>
        <v>17215</v>
      </c>
    </row>
    <row r="4731" spans="1:6" x14ac:dyDescent="0.3">
      <c r="A4731" s="171">
        <v>43244</v>
      </c>
      <c r="B4731" s="5" t="s">
        <v>84</v>
      </c>
      <c r="C4731" s="5" t="s">
        <v>3679</v>
      </c>
      <c r="D4731" s="43">
        <v>2000</v>
      </c>
      <c r="E4731" s="43"/>
      <c r="F4731" s="48">
        <f t="shared" si="76"/>
        <v>15215</v>
      </c>
    </row>
    <row r="4732" spans="1:6" x14ac:dyDescent="0.3">
      <c r="A4732" s="171">
        <v>43244</v>
      </c>
      <c r="B4732" s="5" t="s">
        <v>58</v>
      </c>
      <c r="C4732" s="5" t="s">
        <v>3680</v>
      </c>
      <c r="D4732" s="43">
        <v>50</v>
      </c>
      <c r="E4732" s="43"/>
      <c r="F4732" s="48">
        <f t="shared" si="76"/>
        <v>15165</v>
      </c>
    </row>
    <row r="4733" spans="1:6" x14ac:dyDescent="0.3">
      <c r="A4733" s="171">
        <v>43245</v>
      </c>
      <c r="B4733" s="5" t="s">
        <v>14</v>
      </c>
      <c r="C4733" s="5" t="s">
        <v>3681</v>
      </c>
      <c r="D4733" s="43">
        <v>10000</v>
      </c>
      <c r="E4733" s="43"/>
      <c r="F4733" s="48">
        <f t="shared" si="76"/>
        <v>5165</v>
      </c>
    </row>
    <row r="4734" spans="1:6" x14ac:dyDescent="0.3">
      <c r="A4734" s="171">
        <v>43245</v>
      </c>
      <c r="B4734" s="5" t="s">
        <v>58</v>
      </c>
      <c r="C4734" s="5" t="s">
        <v>3682</v>
      </c>
      <c r="D4734" s="43">
        <v>2000</v>
      </c>
      <c r="E4734" s="43"/>
      <c r="F4734" s="48">
        <f t="shared" si="76"/>
        <v>3165</v>
      </c>
    </row>
    <row r="4735" spans="1:6" x14ac:dyDescent="0.3">
      <c r="A4735" s="171">
        <v>43246</v>
      </c>
      <c r="B4735" s="5" t="s">
        <v>0</v>
      </c>
      <c r="C4735" s="5" t="s">
        <v>3505</v>
      </c>
      <c r="D4735" s="43">
        <v>1000</v>
      </c>
      <c r="E4735" s="43"/>
      <c r="F4735" s="48">
        <f t="shared" si="76"/>
        <v>2165</v>
      </c>
    </row>
    <row r="4736" spans="1:6" x14ac:dyDescent="0.3">
      <c r="A4736" s="171">
        <v>43246</v>
      </c>
      <c r="B4736" s="5" t="s">
        <v>58</v>
      </c>
      <c r="C4736" s="5" t="s">
        <v>3683</v>
      </c>
      <c r="D4736" s="43">
        <v>100</v>
      </c>
      <c r="E4736" s="43"/>
      <c r="F4736" s="48">
        <f t="shared" si="76"/>
        <v>2065</v>
      </c>
    </row>
    <row r="4737" spans="1:10" x14ac:dyDescent="0.3">
      <c r="A4737" s="171">
        <v>43246</v>
      </c>
      <c r="B4737" s="5" t="s">
        <v>58</v>
      </c>
      <c r="C4737" s="5" t="s">
        <v>3689</v>
      </c>
      <c r="D4737" s="43">
        <v>50</v>
      </c>
      <c r="E4737" s="43"/>
      <c r="F4737" s="48">
        <f t="shared" si="76"/>
        <v>2015</v>
      </c>
    </row>
    <row r="4738" spans="1:10" x14ac:dyDescent="0.3">
      <c r="A4738" s="171">
        <v>43246</v>
      </c>
      <c r="B4738" s="756" t="s">
        <v>3685</v>
      </c>
      <c r="C4738" s="756"/>
      <c r="D4738" s="71"/>
      <c r="E4738" s="72">
        <v>15000</v>
      </c>
      <c r="F4738" s="48">
        <f t="shared" si="76"/>
        <v>17015</v>
      </c>
    </row>
    <row r="4739" spans="1:10" ht="37.5" x14ac:dyDescent="0.3">
      <c r="A4739" s="171">
        <v>43246</v>
      </c>
      <c r="B4739" s="5" t="s">
        <v>58</v>
      </c>
      <c r="C4739" s="92" t="s">
        <v>3684</v>
      </c>
      <c r="D4739" s="43">
        <v>14030</v>
      </c>
      <c r="E4739" s="43"/>
      <c r="F4739" s="48">
        <f t="shared" si="76"/>
        <v>2985</v>
      </c>
    </row>
    <row r="4740" spans="1:10" x14ac:dyDescent="0.3">
      <c r="A4740" s="171">
        <v>43246</v>
      </c>
      <c r="B4740" s="5" t="s">
        <v>14</v>
      </c>
      <c r="C4740" s="92" t="s">
        <v>640</v>
      </c>
      <c r="D4740" s="43">
        <v>500</v>
      </c>
      <c r="E4740" s="43"/>
      <c r="F4740" s="48">
        <f t="shared" si="76"/>
        <v>2485</v>
      </c>
    </row>
    <row r="4741" spans="1:10" x14ac:dyDescent="0.3">
      <c r="A4741" s="171">
        <v>43246</v>
      </c>
      <c r="B4741" s="5" t="s">
        <v>541</v>
      </c>
      <c r="C4741" s="92" t="s">
        <v>640</v>
      </c>
      <c r="D4741" s="43">
        <v>600</v>
      </c>
      <c r="E4741" s="43"/>
      <c r="F4741" s="48">
        <f t="shared" si="76"/>
        <v>1885</v>
      </c>
    </row>
    <row r="4742" spans="1:10" ht="37.5" x14ac:dyDescent="0.3">
      <c r="A4742" s="171">
        <v>43246</v>
      </c>
      <c r="B4742" s="5" t="s">
        <v>25</v>
      </c>
      <c r="C4742" s="92" t="s">
        <v>3686</v>
      </c>
      <c r="D4742" s="43">
        <v>313</v>
      </c>
      <c r="E4742" s="43"/>
      <c r="F4742" s="48">
        <f t="shared" si="76"/>
        <v>1572</v>
      </c>
    </row>
    <row r="4743" spans="1:10" x14ac:dyDescent="0.3">
      <c r="A4743" s="171">
        <v>43246</v>
      </c>
      <c r="B4743" s="5" t="s">
        <v>3687</v>
      </c>
      <c r="C4743" s="92" t="s">
        <v>3688</v>
      </c>
      <c r="D4743" s="43">
        <v>450</v>
      </c>
      <c r="E4743" s="43"/>
      <c r="F4743" s="48">
        <f t="shared" si="76"/>
        <v>1122</v>
      </c>
    </row>
    <row r="4744" spans="1:10" ht="37.5" x14ac:dyDescent="0.3">
      <c r="A4744" s="171">
        <v>43246</v>
      </c>
      <c r="B4744" s="5" t="s">
        <v>2086</v>
      </c>
      <c r="C4744" s="92" t="s">
        <v>3691</v>
      </c>
      <c r="D4744" s="43">
        <v>100</v>
      </c>
      <c r="E4744" s="43"/>
      <c r="F4744" s="48">
        <f t="shared" si="76"/>
        <v>1022</v>
      </c>
    </row>
    <row r="4745" spans="1:10" x14ac:dyDescent="0.3">
      <c r="A4745" s="171">
        <v>43250</v>
      </c>
      <c r="B4745" s="756" t="s">
        <v>3444</v>
      </c>
      <c r="C4745" s="756"/>
      <c r="D4745" s="71"/>
      <c r="E4745" s="72">
        <v>50000</v>
      </c>
      <c r="F4745" s="48">
        <f t="shared" si="76"/>
        <v>51022</v>
      </c>
    </row>
    <row r="4746" spans="1:10" x14ac:dyDescent="0.3">
      <c r="A4746" s="45">
        <v>43250</v>
      </c>
      <c r="B4746" s="115" t="s">
        <v>58</v>
      </c>
      <c r="C4746" s="115" t="s">
        <v>3761</v>
      </c>
      <c r="D4746" s="112">
        <v>4000</v>
      </c>
      <c r="E4746" s="58"/>
      <c r="F4746" s="48">
        <f t="shared" si="76"/>
        <v>47022</v>
      </c>
      <c r="G4746" s="102"/>
      <c r="H4746" s="102"/>
      <c r="I4746" s="102"/>
      <c r="J4746" s="102"/>
    </row>
    <row r="4747" spans="1:10" x14ac:dyDescent="0.3">
      <c r="A4747" s="45">
        <v>43250</v>
      </c>
      <c r="B4747" s="115" t="s">
        <v>3692</v>
      </c>
      <c r="C4747" s="115" t="s">
        <v>3744</v>
      </c>
      <c r="D4747" s="112">
        <v>5000</v>
      </c>
      <c r="E4747" s="58"/>
      <c r="F4747" s="48">
        <f t="shared" ref="F4747:F4810" si="77">F4746-D4747+E4747</f>
        <v>42022</v>
      </c>
      <c r="G4747" s="102"/>
      <c r="H4747" s="102"/>
      <c r="I4747" s="102"/>
      <c r="J4747" s="102"/>
    </row>
    <row r="4748" spans="1:10" x14ac:dyDescent="0.3">
      <c r="A4748" s="45">
        <v>43250</v>
      </c>
      <c r="B4748" s="115" t="s">
        <v>2570</v>
      </c>
      <c r="C4748" s="115" t="s">
        <v>3693</v>
      </c>
      <c r="D4748" s="112">
        <v>290</v>
      </c>
      <c r="E4748" s="58"/>
      <c r="F4748" s="48">
        <f t="shared" si="77"/>
        <v>41732</v>
      </c>
      <c r="G4748" s="102"/>
      <c r="H4748" s="102"/>
      <c r="I4748" s="102"/>
      <c r="J4748" s="102"/>
    </row>
    <row r="4749" spans="1:10" x14ac:dyDescent="0.3">
      <c r="A4749" s="45">
        <v>43250</v>
      </c>
      <c r="B4749" s="115" t="s">
        <v>2570</v>
      </c>
      <c r="C4749" s="115" t="s">
        <v>3694</v>
      </c>
      <c r="D4749" s="112">
        <v>190</v>
      </c>
      <c r="E4749" s="58"/>
      <c r="F4749" s="48">
        <f t="shared" si="77"/>
        <v>41542</v>
      </c>
      <c r="G4749" s="102"/>
      <c r="H4749" s="102"/>
      <c r="I4749" s="102"/>
      <c r="J4749" s="102"/>
    </row>
    <row r="4750" spans="1:10" ht="56.25" x14ac:dyDescent="0.3">
      <c r="A4750" s="45">
        <v>43250</v>
      </c>
      <c r="B4750" s="115" t="s">
        <v>105</v>
      </c>
      <c r="C4750" s="131" t="s">
        <v>3695</v>
      </c>
      <c r="D4750" s="112">
        <f>970+110+150</f>
        <v>1230</v>
      </c>
      <c r="E4750" s="58"/>
      <c r="F4750" s="48">
        <f t="shared" si="77"/>
        <v>40312</v>
      </c>
      <c r="G4750" s="102"/>
      <c r="H4750" s="102"/>
      <c r="I4750" s="102"/>
      <c r="J4750" s="102"/>
    </row>
    <row r="4751" spans="1:10" x14ac:dyDescent="0.3">
      <c r="A4751" s="45">
        <v>43250</v>
      </c>
      <c r="B4751" s="115" t="s">
        <v>84</v>
      </c>
      <c r="C4751" s="115" t="s">
        <v>3696</v>
      </c>
      <c r="D4751" s="112">
        <v>5000</v>
      </c>
      <c r="E4751" s="58"/>
      <c r="F4751" s="48">
        <f t="shared" si="77"/>
        <v>35312</v>
      </c>
      <c r="G4751" s="102"/>
      <c r="H4751" s="102"/>
      <c r="I4751" s="102"/>
      <c r="J4751" s="102"/>
    </row>
    <row r="4752" spans="1:10" x14ac:dyDescent="0.3">
      <c r="A4752" s="45">
        <v>43251</v>
      </c>
      <c r="B4752" s="115" t="s">
        <v>58</v>
      </c>
      <c r="C4752" s="115" t="s">
        <v>3762</v>
      </c>
      <c r="D4752" s="112">
        <v>22000</v>
      </c>
      <c r="E4752" s="58"/>
      <c r="F4752" s="48">
        <f t="shared" si="77"/>
        <v>13312</v>
      </c>
      <c r="G4752" s="102"/>
      <c r="H4752" s="102"/>
      <c r="I4752" s="102"/>
      <c r="J4752" s="102"/>
    </row>
    <row r="4753" spans="1:10" x14ac:dyDescent="0.3">
      <c r="A4753" s="45">
        <v>43251</v>
      </c>
      <c r="B4753" s="115" t="s">
        <v>84</v>
      </c>
      <c r="C4753" s="115" t="s">
        <v>3697</v>
      </c>
      <c r="D4753" s="112">
        <v>200</v>
      </c>
      <c r="E4753" s="58"/>
      <c r="F4753" s="48">
        <f t="shared" si="77"/>
        <v>13112</v>
      </c>
      <c r="G4753" s="102"/>
      <c r="H4753" s="102"/>
      <c r="I4753" s="102"/>
      <c r="J4753" s="102"/>
    </row>
    <row r="4754" spans="1:10" x14ac:dyDescent="0.3">
      <c r="A4754" s="45">
        <v>43251</v>
      </c>
      <c r="B4754" s="115" t="s">
        <v>1343</v>
      </c>
      <c r="C4754" s="115" t="s">
        <v>3749</v>
      </c>
      <c r="D4754" s="112">
        <v>10000</v>
      </c>
      <c r="E4754" s="58"/>
      <c r="F4754" s="48">
        <f t="shared" si="77"/>
        <v>3112</v>
      </c>
      <c r="G4754" s="102"/>
      <c r="H4754" s="102"/>
      <c r="I4754" s="102"/>
      <c r="J4754" s="102"/>
    </row>
    <row r="4755" spans="1:10" x14ac:dyDescent="0.3">
      <c r="A4755" s="45">
        <v>43251</v>
      </c>
      <c r="B4755" s="115" t="s">
        <v>14</v>
      </c>
      <c r="C4755" s="115" t="s">
        <v>3505</v>
      </c>
      <c r="D4755" s="112">
        <v>2000</v>
      </c>
      <c r="E4755" s="58"/>
      <c r="F4755" s="48">
        <f t="shared" si="77"/>
        <v>1112</v>
      </c>
      <c r="G4755" s="102"/>
      <c r="H4755" s="102"/>
      <c r="I4755" s="102"/>
      <c r="J4755" s="102"/>
    </row>
    <row r="4756" spans="1:10" x14ac:dyDescent="0.3">
      <c r="A4756" s="45">
        <v>43252</v>
      </c>
      <c r="B4756" s="756" t="s">
        <v>3698</v>
      </c>
      <c r="C4756" s="756"/>
      <c r="D4756" s="71"/>
      <c r="E4756" s="72">
        <v>89000</v>
      </c>
      <c r="F4756" s="48">
        <f t="shared" si="77"/>
        <v>90112</v>
      </c>
    </row>
    <row r="4757" spans="1:10" x14ac:dyDescent="0.3">
      <c r="A4757" s="45">
        <v>43252</v>
      </c>
      <c r="B4757" s="5" t="s">
        <v>3699</v>
      </c>
      <c r="C4757" s="5" t="s">
        <v>3700</v>
      </c>
      <c r="D4757" s="43">
        <v>16800</v>
      </c>
      <c r="E4757" s="43"/>
      <c r="F4757" s="48">
        <f t="shared" si="77"/>
        <v>73312</v>
      </c>
    </row>
    <row r="4758" spans="1:10" x14ac:dyDescent="0.3">
      <c r="A4758" s="45">
        <v>43252</v>
      </c>
      <c r="B4758" s="5" t="s">
        <v>48</v>
      </c>
      <c r="C4758" s="5" t="s">
        <v>3745</v>
      </c>
      <c r="D4758" s="43">
        <v>3460</v>
      </c>
      <c r="E4758" s="43"/>
      <c r="F4758" s="48">
        <f t="shared" si="77"/>
        <v>69852</v>
      </c>
    </row>
    <row r="4759" spans="1:10" x14ac:dyDescent="0.3">
      <c r="A4759" s="45">
        <v>43252</v>
      </c>
      <c r="B4759" s="5" t="s">
        <v>1343</v>
      </c>
      <c r="C4759" s="5" t="s">
        <v>3746</v>
      </c>
      <c r="D4759" s="43">
        <v>10000</v>
      </c>
      <c r="E4759" s="43"/>
      <c r="F4759" s="48">
        <f t="shared" si="77"/>
        <v>59852</v>
      </c>
    </row>
    <row r="4760" spans="1:10" x14ac:dyDescent="0.3">
      <c r="A4760" s="45">
        <v>43252</v>
      </c>
      <c r="B4760" s="5" t="s">
        <v>56</v>
      </c>
      <c r="C4760" s="5" t="s">
        <v>3747</v>
      </c>
      <c r="D4760" s="43">
        <v>5000</v>
      </c>
      <c r="E4760" s="43"/>
      <c r="F4760" s="48">
        <f t="shared" si="77"/>
        <v>54852</v>
      </c>
    </row>
    <row r="4761" spans="1:10" x14ac:dyDescent="0.3">
      <c r="A4761" s="45">
        <v>43252</v>
      </c>
      <c r="B4761" s="5" t="s">
        <v>2330</v>
      </c>
      <c r="C4761" s="5" t="s">
        <v>2013</v>
      </c>
      <c r="D4761" s="43">
        <v>3000</v>
      </c>
      <c r="E4761" s="43"/>
      <c r="F4761" s="48">
        <f t="shared" si="77"/>
        <v>51852</v>
      </c>
    </row>
    <row r="4762" spans="1:10" x14ac:dyDescent="0.3">
      <c r="A4762" s="45">
        <v>43252</v>
      </c>
      <c r="B4762" s="5" t="s">
        <v>2594</v>
      </c>
      <c r="C4762" s="5" t="s">
        <v>3701</v>
      </c>
      <c r="D4762" s="43">
        <v>30000</v>
      </c>
      <c r="E4762" s="43"/>
      <c r="F4762" s="48">
        <f t="shared" si="77"/>
        <v>21852</v>
      </c>
    </row>
    <row r="4763" spans="1:10" x14ac:dyDescent="0.3">
      <c r="A4763" s="45">
        <v>43252</v>
      </c>
      <c r="B4763" s="5" t="s">
        <v>58</v>
      </c>
      <c r="C4763" s="5" t="s">
        <v>3748</v>
      </c>
      <c r="D4763" s="43">
        <v>300</v>
      </c>
      <c r="E4763" s="43"/>
      <c r="F4763" s="48">
        <f t="shared" si="77"/>
        <v>21552</v>
      </c>
    </row>
    <row r="4764" spans="1:10" x14ac:dyDescent="0.3">
      <c r="A4764" s="45">
        <v>43253</v>
      </c>
      <c r="B4764" s="5" t="s">
        <v>58</v>
      </c>
      <c r="C4764" s="5" t="s">
        <v>3557</v>
      </c>
      <c r="D4764" s="43">
        <v>10750</v>
      </c>
      <c r="E4764" s="43"/>
      <c r="F4764" s="48">
        <f t="shared" si="77"/>
        <v>10802</v>
      </c>
    </row>
    <row r="4765" spans="1:10" x14ac:dyDescent="0.3">
      <c r="A4765" s="45">
        <v>43253</v>
      </c>
      <c r="B4765" s="5" t="s">
        <v>3220</v>
      </c>
      <c r="C4765" s="5" t="s">
        <v>3702</v>
      </c>
      <c r="D4765" s="43">
        <v>3000</v>
      </c>
      <c r="E4765" s="43"/>
      <c r="F4765" s="48">
        <f t="shared" si="77"/>
        <v>7802</v>
      </c>
    </row>
    <row r="4766" spans="1:10" x14ac:dyDescent="0.3">
      <c r="A4766" s="45">
        <v>43253</v>
      </c>
      <c r="B4766" s="5" t="s">
        <v>1616</v>
      </c>
      <c r="C4766" s="5" t="s">
        <v>3410</v>
      </c>
      <c r="D4766" s="43">
        <v>520</v>
      </c>
      <c r="E4766" s="43"/>
      <c r="F4766" s="48">
        <f t="shared" si="77"/>
        <v>7282</v>
      </c>
    </row>
    <row r="4767" spans="1:10" x14ac:dyDescent="0.3">
      <c r="A4767" s="45">
        <v>43253</v>
      </c>
      <c r="B4767" s="5" t="s">
        <v>1616</v>
      </c>
      <c r="C4767" s="5" t="s">
        <v>3703</v>
      </c>
      <c r="D4767" s="43">
        <v>1500</v>
      </c>
      <c r="E4767" s="43"/>
      <c r="F4767" s="48">
        <f t="shared" si="77"/>
        <v>5782</v>
      </c>
    </row>
    <row r="4768" spans="1:10" x14ac:dyDescent="0.3">
      <c r="A4768" s="45">
        <v>43253</v>
      </c>
      <c r="B4768" s="5" t="s">
        <v>14</v>
      </c>
      <c r="C4768" s="5" t="s">
        <v>294</v>
      </c>
      <c r="D4768" s="43">
        <v>5500</v>
      </c>
      <c r="E4768" s="43"/>
      <c r="F4768" s="48">
        <f t="shared" si="77"/>
        <v>282</v>
      </c>
    </row>
    <row r="4769" spans="1:6" x14ac:dyDescent="0.3">
      <c r="A4769" s="45">
        <v>43253</v>
      </c>
      <c r="B4769" s="5" t="s">
        <v>3704</v>
      </c>
      <c r="C4769" s="5" t="s">
        <v>3706</v>
      </c>
      <c r="D4769" s="43">
        <v>150</v>
      </c>
      <c r="E4769" s="43"/>
      <c r="F4769" s="48">
        <f t="shared" si="77"/>
        <v>132</v>
      </c>
    </row>
    <row r="4770" spans="1:6" x14ac:dyDescent="0.3">
      <c r="A4770" s="45">
        <v>43252</v>
      </c>
      <c r="B4770" s="756" t="s">
        <v>3710</v>
      </c>
      <c r="C4770" s="756"/>
      <c r="D4770" s="71"/>
      <c r="E4770" s="72">
        <v>50000</v>
      </c>
      <c r="F4770" s="48">
        <f>F4769-D4770+E4770</f>
        <v>50132</v>
      </c>
    </row>
    <row r="4771" spans="1:6" x14ac:dyDescent="0.3">
      <c r="A4771" s="45">
        <v>43255</v>
      </c>
      <c r="B4771" s="5" t="s">
        <v>25</v>
      </c>
      <c r="C4771" s="5" t="s">
        <v>3705</v>
      </c>
      <c r="D4771" s="43">
        <v>430</v>
      </c>
      <c r="E4771" s="43"/>
      <c r="F4771" s="48">
        <f>F4770-D4771+E4771</f>
        <v>49702</v>
      </c>
    </row>
    <row r="4772" spans="1:6" x14ac:dyDescent="0.3">
      <c r="A4772" s="45">
        <v>43255</v>
      </c>
      <c r="B4772" s="5" t="s">
        <v>2674</v>
      </c>
      <c r="C4772" s="5" t="s">
        <v>3217</v>
      </c>
      <c r="D4772" s="43">
        <v>100</v>
      </c>
      <c r="E4772" s="43"/>
      <c r="F4772" s="48">
        <f t="shared" si="77"/>
        <v>49602</v>
      </c>
    </row>
    <row r="4773" spans="1:6" x14ac:dyDescent="0.3">
      <c r="A4773" s="45">
        <v>43255</v>
      </c>
      <c r="B4773" s="5" t="s">
        <v>58</v>
      </c>
      <c r="C4773" s="5" t="s">
        <v>3708</v>
      </c>
      <c r="D4773" s="43">
        <v>120</v>
      </c>
      <c r="E4773" s="43"/>
      <c r="F4773" s="48">
        <f t="shared" si="77"/>
        <v>49482</v>
      </c>
    </row>
    <row r="4774" spans="1:6" x14ac:dyDescent="0.3">
      <c r="A4774" s="45">
        <v>43255</v>
      </c>
      <c r="B4774" s="5" t="s">
        <v>58</v>
      </c>
      <c r="C4774" s="5" t="s">
        <v>3707</v>
      </c>
      <c r="D4774" s="43">
        <v>120</v>
      </c>
      <c r="E4774" s="43"/>
      <c r="F4774" s="48">
        <f t="shared" si="77"/>
        <v>49362</v>
      </c>
    </row>
    <row r="4775" spans="1:6" ht="37.5" x14ac:dyDescent="0.3">
      <c r="A4775" s="45">
        <v>43255</v>
      </c>
      <c r="B4775" s="5" t="s">
        <v>3605</v>
      </c>
      <c r="C4775" s="92" t="s">
        <v>3709</v>
      </c>
      <c r="D4775" s="43">
        <v>220</v>
      </c>
      <c r="E4775" s="43"/>
      <c r="F4775" s="48">
        <f t="shared" si="77"/>
        <v>49142</v>
      </c>
    </row>
    <row r="4776" spans="1:6" x14ac:dyDescent="0.3">
      <c r="A4776" s="45">
        <v>43257</v>
      </c>
      <c r="B4776" s="5" t="s">
        <v>16</v>
      </c>
      <c r="C4776" s="5" t="s">
        <v>3750</v>
      </c>
      <c r="D4776" s="43">
        <v>10000</v>
      </c>
      <c r="E4776" s="43"/>
      <c r="F4776" s="48">
        <f t="shared" si="77"/>
        <v>39142</v>
      </c>
    </row>
    <row r="4777" spans="1:6" x14ac:dyDescent="0.3">
      <c r="A4777" s="45">
        <v>43257</v>
      </c>
      <c r="B4777" s="5" t="s">
        <v>2330</v>
      </c>
      <c r="C4777" s="5" t="s">
        <v>3711</v>
      </c>
      <c r="D4777" s="43">
        <v>10650</v>
      </c>
      <c r="E4777" s="43"/>
      <c r="F4777" s="48">
        <f t="shared" si="77"/>
        <v>28492</v>
      </c>
    </row>
    <row r="4778" spans="1:6" x14ac:dyDescent="0.3">
      <c r="A4778" s="45">
        <v>43257</v>
      </c>
      <c r="B4778" s="5" t="s">
        <v>2330</v>
      </c>
      <c r="C4778" s="5" t="s">
        <v>3712</v>
      </c>
      <c r="D4778" s="43">
        <v>2700</v>
      </c>
      <c r="E4778" s="43"/>
      <c r="F4778" s="48">
        <f t="shared" si="77"/>
        <v>25792</v>
      </c>
    </row>
    <row r="4779" spans="1:6" x14ac:dyDescent="0.3">
      <c r="A4779" s="45">
        <v>43258</v>
      </c>
      <c r="B4779" s="5" t="s">
        <v>93</v>
      </c>
      <c r="C4779" s="5" t="s">
        <v>3713</v>
      </c>
      <c r="D4779" s="43">
        <v>1000</v>
      </c>
      <c r="E4779" s="43"/>
      <c r="F4779" s="48">
        <f t="shared" si="77"/>
        <v>24792</v>
      </c>
    </row>
    <row r="4780" spans="1:6" x14ac:dyDescent="0.3">
      <c r="A4780" s="45">
        <v>43258</v>
      </c>
      <c r="B4780" s="5" t="s">
        <v>3220</v>
      </c>
      <c r="C4780" s="5" t="s">
        <v>3714</v>
      </c>
      <c r="D4780" s="43">
        <v>15000</v>
      </c>
      <c r="E4780" s="43"/>
      <c r="F4780" s="48">
        <f t="shared" si="77"/>
        <v>9792</v>
      </c>
    </row>
    <row r="4781" spans="1:6" x14ac:dyDescent="0.3">
      <c r="A4781" s="45">
        <v>43258</v>
      </c>
      <c r="B4781" s="5" t="s">
        <v>1837</v>
      </c>
      <c r="C4781" s="5" t="s">
        <v>3715</v>
      </c>
      <c r="D4781" s="43">
        <v>5000</v>
      </c>
      <c r="E4781" s="43"/>
      <c r="F4781" s="48">
        <f t="shared" si="77"/>
        <v>4792</v>
      </c>
    </row>
    <row r="4782" spans="1:6" x14ac:dyDescent="0.3">
      <c r="A4782" s="45">
        <v>43258</v>
      </c>
      <c r="B4782" s="5" t="s">
        <v>1458</v>
      </c>
      <c r="C4782" s="5" t="s">
        <v>3716</v>
      </c>
      <c r="D4782" s="43">
        <v>1700</v>
      </c>
      <c r="E4782" s="43"/>
      <c r="F4782" s="48">
        <f t="shared" si="77"/>
        <v>3092</v>
      </c>
    </row>
    <row r="4783" spans="1:6" x14ac:dyDescent="0.3">
      <c r="A4783" s="45">
        <v>43258</v>
      </c>
      <c r="B4783" s="756" t="s">
        <v>3717</v>
      </c>
      <c r="C4783" s="756"/>
      <c r="D4783" s="71"/>
      <c r="E4783" s="72">
        <v>50000</v>
      </c>
      <c r="F4783" s="48">
        <f t="shared" si="77"/>
        <v>53092</v>
      </c>
    </row>
    <row r="4784" spans="1:6" x14ac:dyDescent="0.3">
      <c r="A4784" s="45">
        <v>43258</v>
      </c>
      <c r="B4784" s="5" t="s">
        <v>6221</v>
      </c>
      <c r="C4784" s="5" t="s">
        <v>3718</v>
      </c>
      <c r="D4784" s="43">
        <v>4400</v>
      </c>
      <c r="E4784" s="43"/>
      <c r="F4784" s="48">
        <f t="shared" si="77"/>
        <v>48692</v>
      </c>
    </row>
    <row r="4785" spans="1:6" x14ac:dyDescent="0.3">
      <c r="A4785" s="45">
        <v>43258</v>
      </c>
      <c r="B4785" s="5" t="s">
        <v>1316</v>
      </c>
      <c r="C4785" s="5" t="s">
        <v>3719</v>
      </c>
      <c r="D4785" s="43">
        <v>16000</v>
      </c>
      <c r="E4785" s="43"/>
      <c r="F4785" s="48">
        <f t="shared" si="77"/>
        <v>32692</v>
      </c>
    </row>
    <row r="4786" spans="1:6" ht="37.5" x14ac:dyDescent="0.3">
      <c r="A4786" s="45">
        <v>43259</v>
      </c>
      <c r="B4786" s="5" t="s">
        <v>28</v>
      </c>
      <c r="C4786" s="92" t="s">
        <v>3751</v>
      </c>
      <c r="D4786" s="43">
        <v>3000</v>
      </c>
      <c r="E4786" s="43"/>
      <c r="F4786" s="48">
        <f t="shared" si="77"/>
        <v>29692</v>
      </c>
    </row>
    <row r="4787" spans="1:6" x14ac:dyDescent="0.3">
      <c r="A4787" s="45">
        <v>43259</v>
      </c>
      <c r="B4787" s="5" t="s">
        <v>3655</v>
      </c>
      <c r="C4787" s="5" t="s">
        <v>3720</v>
      </c>
      <c r="D4787" s="43">
        <v>420</v>
      </c>
      <c r="E4787" s="43"/>
      <c r="F4787" s="48">
        <f t="shared" si="77"/>
        <v>29272</v>
      </c>
    </row>
    <row r="4788" spans="1:6" x14ac:dyDescent="0.3">
      <c r="A4788" s="45">
        <v>43259</v>
      </c>
      <c r="B4788" s="5" t="s">
        <v>2674</v>
      </c>
      <c r="C4788" s="5" t="s">
        <v>3720</v>
      </c>
      <c r="D4788" s="43">
        <v>50</v>
      </c>
      <c r="E4788" s="43"/>
      <c r="F4788" s="48">
        <f t="shared" si="77"/>
        <v>29222</v>
      </c>
    </row>
    <row r="4789" spans="1:6" x14ac:dyDescent="0.3">
      <c r="A4789" s="45">
        <v>43259</v>
      </c>
      <c r="B4789" s="756" t="s">
        <v>3614</v>
      </c>
      <c r="C4789" s="756"/>
      <c r="D4789" s="71"/>
      <c r="E4789" s="72">
        <v>849</v>
      </c>
      <c r="F4789" s="48">
        <f t="shared" si="77"/>
        <v>30071</v>
      </c>
    </row>
    <row r="4790" spans="1:6" x14ac:dyDescent="0.3">
      <c r="A4790" s="45">
        <v>43259</v>
      </c>
      <c r="B4790" s="5" t="s">
        <v>2674</v>
      </c>
      <c r="C4790" s="5" t="s">
        <v>3727</v>
      </c>
      <c r="D4790" s="43">
        <v>780</v>
      </c>
      <c r="E4790" s="43"/>
      <c r="F4790" s="48">
        <f t="shared" si="77"/>
        <v>29291</v>
      </c>
    </row>
    <row r="4791" spans="1:6" x14ac:dyDescent="0.3">
      <c r="A4791" s="45">
        <v>43259</v>
      </c>
      <c r="B4791" s="5" t="s">
        <v>25</v>
      </c>
      <c r="C4791" s="5" t="s">
        <v>3721</v>
      </c>
      <c r="D4791" s="43">
        <v>200</v>
      </c>
      <c r="E4791" s="43"/>
      <c r="F4791" s="48">
        <f t="shared" si="77"/>
        <v>29091</v>
      </c>
    </row>
    <row r="4792" spans="1:6" x14ac:dyDescent="0.3">
      <c r="A4792" s="45">
        <v>43259</v>
      </c>
      <c r="B4792" s="5" t="s">
        <v>3723</v>
      </c>
      <c r="C4792" s="5" t="s">
        <v>3722</v>
      </c>
      <c r="D4792" s="43">
        <v>5380</v>
      </c>
      <c r="E4792" s="43"/>
      <c r="F4792" s="48">
        <f t="shared" si="77"/>
        <v>23711</v>
      </c>
    </row>
    <row r="4793" spans="1:6" x14ac:dyDescent="0.3">
      <c r="A4793" s="45">
        <v>43259</v>
      </c>
      <c r="B4793" s="5" t="s">
        <v>3724</v>
      </c>
      <c r="C4793" s="5" t="s">
        <v>3725</v>
      </c>
      <c r="D4793" s="43">
        <v>4180</v>
      </c>
      <c r="E4793" s="43"/>
      <c r="F4793" s="48">
        <f t="shared" si="77"/>
        <v>19531</v>
      </c>
    </row>
    <row r="4794" spans="1:6" x14ac:dyDescent="0.3">
      <c r="A4794" s="45">
        <v>43259</v>
      </c>
      <c r="B4794" s="5" t="s">
        <v>2330</v>
      </c>
      <c r="C4794" s="5" t="s">
        <v>3726</v>
      </c>
      <c r="D4794" s="43">
        <v>3340</v>
      </c>
      <c r="E4794" s="43"/>
      <c r="F4794" s="48">
        <f t="shared" si="77"/>
        <v>16191</v>
      </c>
    </row>
    <row r="4795" spans="1:6" x14ac:dyDescent="0.3">
      <c r="A4795" s="45">
        <v>43259</v>
      </c>
      <c r="B4795" s="5" t="s">
        <v>2096</v>
      </c>
      <c r="C4795" s="5" t="s">
        <v>3752</v>
      </c>
      <c r="D4795" s="43">
        <v>15000</v>
      </c>
      <c r="E4795" s="43"/>
      <c r="F4795" s="48">
        <f t="shared" si="77"/>
        <v>1191</v>
      </c>
    </row>
    <row r="4796" spans="1:6" x14ac:dyDescent="0.3">
      <c r="A4796" s="45">
        <v>43259</v>
      </c>
      <c r="B4796" s="5" t="s">
        <v>14</v>
      </c>
      <c r="C4796" s="5" t="s">
        <v>3728</v>
      </c>
      <c r="D4796" s="43">
        <v>130</v>
      </c>
      <c r="E4796" s="43"/>
      <c r="F4796" s="48">
        <f t="shared" si="77"/>
        <v>1061</v>
      </c>
    </row>
    <row r="4797" spans="1:6" x14ac:dyDescent="0.3">
      <c r="A4797" s="45">
        <v>43259</v>
      </c>
      <c r="B4797" s="5" t="s">
        <v>58</v>
      </c>
      <c r="C4797" s="5" t="s">
        <v>3733</v>
      </c>
      <c r="D4797" s="43">
        <v>150</v>
      </c>
      <c r="E4797" s="43"/>
      <c r="F4797" s="48">
        <f t="shared" si="77"/>
        <v>911</v>
      </c>
    </row>
    <row r="4798" spans="1:6" x14ac:dyDescent="0.3">
      <c r="A4798" s="45">
        <v>43260</v>
      </c>
      <c r="B4798" s="5" t="s">
        <v>2948</v>
      </c>
      <c r="C4798" s="5" t="s">
        <v>2949</v>
      </c>
      <c r="D4798" s="43">
        <v>363</v>
      </c>
      <c r="E4798" s="43"/>
      <c r="F4798" s="48">
        <f t="shared" si="77"/>
        <v>548</v>
      </c>
    </row>
    <row r="4799" spans="1:6" x14ac:dyDescent="0.3">
      <c r="A4799" s="45">
        <v>43258</v>
      </c>
      <c r="B4799" s="756" t="s">
        <v>3717</v>
      </c>
      <c r="C4799" s="756"/>
      <c r="D4799" s="71"/>
      <c r="E4799" s="72">
        <v>50000</v>
      </c>
      <c r="F4799" s="48">
        <f t="shared" si="77"/>
        <v>50548</v>
      </c>
    </row>
    <row r="4800" spans="1:6" x14ac:dyDescent="0.3">
      <c r="A4800" s="45">
        <v>43260</v>
      </c>
      <c r="B4800" s="5" t="s">
        <v>3734</v>
      </c>
      <c r="C4800" s="5" t="s">
        <v>3735</v>
      </c>
      <c r="D4800" s="43">
        <v>1100</v>
      </c>
      <c r="E4800" s="43"/>
      <c r="F4800" s="48">
        <f t="shared" si="77"/>
        <v>49448</v>
      </c>
    </row>
    <row r="4801" spans="1:6" x14ac:dyDescent="0.3">
      <c r="A4801" s="45">
        <v>43260</v>
      </c>
      <c r="B4801" s="5" t="s">
        <v>1787</v>
      </c>
      <c r="C4801" s="5" t="s">
        <v>3736</v>
      </c>
      <c r="D4801" s="43">
        <v>1200</v>
      </c>
      <c r="E4801" s="43"/>
      <c r="F4801" s="48">
        <f t="shared" si="77"/>
        <v>48248</v>
      </c>
    </row>
    <row r="4802" spans="1:6" x14ac:dyDescent="0.3">
      <c r="A4802" s="45">
        <v>43260</v>
      </c>
      <c r="B4802" s="5" t="s">
        <v>14</v>
      </c>
      <c r="C4802" s="5" t="s">
        <v>3729</v>
      </c>
      <c r="D4802" s="43">
        <v>1000</v>
      </c>
      <c r="E4802" s="43"/>
      <c r="F4802" s="48">
        <f t="shared" si="77"/>
        <v>47248</v>
      </c>
    </row>
    <row r="4803" spans="1:6" ht="37.5" x14ac:dyDescent="0.3">
      <c r="A4803" s="45">
        <v>43263</v>
      </c>
      <c r="B4803" s="5" t="s">
        <v>1512</v>
      </c>
      <c r="C4803" s="92" t="s">
        <v>3753</v>
      </c>
      <c r="D4803" s="43">
        <v>17435</v>
      </c>
      <c r="E4803" s="43"/>
      <c r="F4803" s="48">
        <f t="shared" si="77"/>
        <v>29813</v>
      </c>
    </row>
    <row r="4804" spans="1:6" x14ac:dyDescent="0.3">
      <c r="A4804" s="45">
        <v>43263</v>
      </c>
      <c r="B4804" s="5" t="s">
        <v>0</v>
      </c>
      <c r="C4804" s="5" t="s">
        <v>3754</v>
      </c>
      <c r="D4804" s="43">
        <v>500</v>
      </c>
      <c r="E4804" s="43"/>
      <c r="F4804" s="48">
        <f t="shared" si="77"/>
        <v>29313</v>
      </c>
    </row>
    <row r="4805" spans="1:6" x14ac:dyDescent="0.3">
      <c r="A4805" s="45">
        <v>43263</v>
      </c>
      <c r="B4805" s="5" t="s">
        <v>27</v>
      </c>
      <c r="C4805" s="5" t="s">
        <v>3755</v>
      </c>
      <c r="D4805" s="43">
        <v>500</v>
      </c>
      <c r="E4805" s="43"/>
      <c r="F4805" s="48">
        <f t="shared" si="77"/>
        <v>28813</v>
      </c>
    </row>
    <row r="4806" spans="1:6" x14ac:dyDescent="0.3">
      <c r="A4806" s="45">
        <v>43263</v>
      </c>
      <c r="B4806" s="5" t="s">
        <v>3408</v>
      </c>
      <c r="C4806" s="5" t="s">
        <v>3730</v>
      </c>
      <c r="D4806" s="43">
        <v>2000</v>
      </c>
      <c r="E4806" s="43"/>
      <c r="F4806" s="48">
        <f t="shared" si="77"/>
        <v>26813</v>
      </c>
    </row>
    <row r="4807" spans="1:6" x14ac:dyDescent="0.3">
      <c r="A4807" s="45">
        <v>43263</v>
      </c>
      <c r="B4807" s="5" t="s">
        <v>58</v>
      </c>
      <c r="C4807" s="5" t="s">
        <v>3731</v>
      </c>
      <c r="D4807" s="43">
        <v>11760</v>
      </c>
      <c r="E4807" s="43"/>
      <c r="F4807" s="48">
        <f t="shared" si="77"/>
        <v>15053</v>
      </c>
    </row>
    <row r="4808" spans="1:6" x14ac:dyDescent="0.3">
      <c r="A4808" s="45">
        <v>43263</v>
      </c>
      <c r="B4808" s="5" t="s">
        <v>58</v>
      </c>
      <c r="C4808" s="5" t="s">
        <v>3756</v>
      </c>
      <c r="D4808" s="43">
        <v>500</v>
      </c>
      <c r="E4808" s="43"/>
      <c r="F4808" s="48">
        <f t="shared" si="77"/>
        <v>14553</v>
      </c>
    </row>
    <row r="4809" spans="1:6" x14ac:dyDescent="0.3">
      <c r="A4809" s="45">
        <v>43263</v>
      </c>
      <c r="B4809" s="5" t="s">
        <v>3732</v>
      </c>
      <c r="C4809" s="5" t="s">
        <v>3757</v>
      </c>
      <c r="D4809" s="43">
        <v>8000</v>
      </c>
      <c r="E4809" s="43"/>
      <c r="F4809" s="48">
        <f t="shared" si="77"/>
        <v>6553</v>
      </c>
    </row>
    <row r="4810" spans="1:6" x14ac:dyDescent="0.3">
      <c r="A4810" s="45">
        <v>43263</v>
      </c>
      <c r="B4810" s="5" t="s">
        <v>27</v>
      </c>
      <c r="C4810" s="5" t="s">
        <v>3505</v>
      </c>
      <c r="D4810" s="43">
        <v>5000</v>
      </c>
      <c r="E4810" s="43"/>
      <c r="F4810" s="48">
        <f t="shared" si="77"/>
        <v>1553</v>
      </c>
    </row>
    <row r="4811" spans="1:6" x14ac:dyDescent="0.3">
      <c r="A4811" s="45">
        <v>43263</v>
      </c>
      <c r="B4811" s="5" t="s">
        <v>1787</v>
      </c>
      <c r="C4811" s="5" t="s">
        <v>3737</v>
      </c>
      <c r="D4811" s="43">
        <v>1200</v>
      </c>
      <c r="E4811" s="43"/>
      <c r="F4811" s="48">
        <f t="shared" ref="F4811:F4874" si="78">F4810-D4811+E4811</f>
        <v>353</v>
      </c>
    </row>
    <row r="4812" spans="1:6" x14ac:dyDescent="0.3">
      <c r="A4812" s="45">
        <v>43264</v>
      </c>
      <c r="B4812" s="756" t="s">
        <v>3740</v>
      </c>
      <c r="C4812" s="756"/>
      <c r="D4812" s="71"/>
      <c r="E4812" s="72">
        <v>12500</v>
      </c>
      <c r="F4812" s="48">
        <f t="shared" si="78"/>
        <v>12853</v>
      </c>
    </row>
    <row r="4813" spans="1:6" x14ac:dyDescent="0.3">
      <c r="A4813" s="45">
        <v>43264</v>
      </c>
      <c r="B4813" s="756" t="s">
        <v>3741</v>
      </c>
      <c r="C4813" s="756"/>
      <c r="D4813" s="71"/>
      <c r="E4813" s="72">
        <v>3000</v>
      </c>
      <c r="F4813" s="48">
        <f t="shared" si="78"/>
        <v>15853</v>
      </c>
    </row>
    <row r="4814" spans="1:6" x14ac:dyDescent="0.3">
      <c r="A4814" s="45">
        <v>43264</v>
      </c>
      <c r="B4814" s="756" t="s">
        <v>3742</v>
      </c>
      <c r="C4814" s="756"/>
      <c r="D4814" s="71"/>
      <c r="E4814" s="72">
        <v>10000</v>
      </c>
      <c r="F4814" s="48">
        <f t="shared" si="78"/>
        <v>25853</v>
      </c>
    </row>
    <row r="4815" spans="1:6" x14ac:dyDescent="0.3">
      <c r="A4815" s="45">
        <v>43264</v>
      </c>
      <c r="B4815" s="756" t="s">
        <v>3743</v>
      </c>
      <c r="C4815" s="756"/>
      <c r="D4815" s="71"/>
      <c r="E4815" s="72">
        <v>17500</v>
      </c>
      <c r="F4815" s="48">
        <f t="shared" si="78"/>
        <v>43353</v>
      </c>
    </row>
    <row r="4816" spans="1:6" x14ac:dyDescent="0.3">
      <c r="A4816" s="45">
        <v>43264</v>
      </c>
      <c r="B4816" s="5" t="s">
        <v>3220</v>
      </c>
      <c r="C4816" s="5" t="s">
        <v>3758</v>
      </c>
      <c r="D4816" s="43">
        <v>24000</v>
      </c>
      <c r="E4816" s="43"/>
      <c r="F4816" s="48">
        <f t="shared" si="78"/>
        <v>19353</v>
      </c>
    </row>
    <row r="4817" spans="1:6" x14ac:dyDescent="0.3">
      <c r="A4817" s="45">
        <v>43264</v>
      </c>
      <c r="B4817" s="5" t="s">
        <v>2594</v>
      </c>
      <c r="C4817" s="5" t="s">
        <v>3738</v>
      </c>
      <c r="D4817" s="43">
        <v>500</v>
      </c>
      <c r="E4817" s="43"/>
      <c r="F4817" s="48">
        <f t="shared" si="78"/>
        <v>18853</v>
      </c>
    </row>
    <row r="4818" spans="1:6" x14ac:dyDescent="0.3">
      <c r="A4818" s="45">
        <v>43264</v>
      </c>
      <c r="B4818" s="5" t="s">
        <v>541</v>
      </c>
      <c r="C4818" s="5" t="s">
        <v>3739</v>
      </c>
      <c r="D4818" s="43">
        <v>5000</v>
      </c>
      <c r="E4818" s="43"/>
      <c r="F4818" s="48">
        <f t="shared" si="78"/>
        <v>13853</v>
      </c>
    </row>
    <row r="4819" spans="1:6" x14ac:dyDescent="0.3">
      <c r="A4819" s="45">
        <v>43265</v>
      </c>
      <c r="B4819" s="5" t="s">
        <v>84</v>
      </c>
      <c r="C4819" s="5" t="s">
        <v>3759</v>
      </c>
      <c r="D4819" s="43">
        <v>1000</v>
      </c>
      <c r="E4819" s="43"/>
      <c r="F4819" s="48">
        <f t="shared" si="78"/>
        <v>12853</v>
      </c>
    </row>
    <row r="4820" spans="1:6" x14ac:dyDescent="0.3">
      <c r="A4820" s="45">
        <v>43265</v>
      </c>
      <c r="B4820" s="5" t="s">
        <v>3220</v>
      </c>
      <c r="C4820" s="5" t="s">
        <v>3329</v>
      </c>
      <c r="D4820" s="43">
        <v>10000</v>
      </c>
      <c r="E4820" s="43"/>
      <c r="F4820" s="48">
        <f t="shared" si="78"/>
        <v>2853</v>
      </c>
    </row>
    <row r="4821" spans="1:6" x14ac:dyDescent="0.3">
      <c r="A4821" s="45">
        <v>43265</v>
      </c>
      <c r="B4821" s="5" t="s">
        <v>84</v>
      </c>
      <c r="C4821" s="5" t="s">
        <v>3760</v>
      </c>
      <c r="D4821" s="43">
        <v>2500</v>
      </c>
      <c r="E4821" s="43"/>
      <c r="F4821" s="48">
        <f t="shared" si="78"/>
        <v>353</v>
      </c>
    </row>
    <row r="4822" spans="1:6" x14ac:dyDescent="0.3">
      <c r="A4822" s="45">
        <v>43272</v>
      </c>
      <c r="B4822" s="756" t="s">
        <v>3717</v>
      </c>
      <c r="C4822" s="756"/>
      <c r="D4822" s="71"/>
      <c r="E4822" s="72">
        <v>100000</v>
      </c>
      <c r="F4822" s="48">
        <f t="shared" si="78"/>
        <v>100353</v>
      </c>
    </row>
    <row r="4823" spans="1:6" x14ac:dyDescent="0.3">
      <c r="A4823" s="45">
        <v>43272</v>
      </c>
      <c r="B4823" s="5" t="s">
        <v>58</v>
      </c>
      <c r="C4823" s="5" t="s">
        <v>3772</v>
      </c>
      <c r="D4823" s="43">
        <v>150</v>
      </c>
      <c r="E4823" s="43"/>
      <c r="F4823" s="48">
        <f t="shared" si="78"/>
        <v>100203</v>
      </c>
    </row>
    <row r="4824" spans="1:6" x14ac:dyDescent="0.3">
      <c r="A4824" s="45">
        <v>43272</v>
      </c>
      <c r="B4824" s="5" t="s">
        <v>58</v>
      </c>
      <c r="C4824" s="5" t="s">
        <v>3764</v>
      </c>
      <c r="D4824" s="43">
        <v>57000</v>
      </c>
      <c r="E4824" s="43"/>
      <c r="F4824" s="48">
        <f t="shared" si="78"/>
        <v>43203</v>
      </c>
    </row>
    <row r="4825" spans="1:6" x14ac:dyDescent="0.3">
      <c r="A4825" s="45">
        <v>43272</v>
      </c>
      <c r="B4825" s="5" t="s">
        <v>3765</v>
      </c>
      <c r="C4825" s="5" t="s">
        <v>3774</v>
      </c>
      <c r="D4825" s="43">
        <v>1500</v>
      </c>
      <c r="E4825" s="43"/>
      <c r="F4825" s="48">
        <f t="shared" si="78"/>
        <v>41703</v>
      </c>
    </row>
    <row r="4826" spans="1:6" x14ac:dyDescent="0.3">
      <c r="A4826" s="45">
        <v>43272</v>
      </c>
      <c r="B4826" s="5" t="s">
        <v>3766</v>
      </c>
      <c r="C4826" s="5" t="s">
        <v>3767</v>
      </c>
      <c r="D4826" s="43">
        <v>12960</v>
      </c>
      <c r="E4826" s="43"/>
      <c r="F4826" s="48">
        <f t="shared" si="78"/>
        <v>28743</v>
      </c>
    </row>
    <row r="4827" spans="1:6" x14ac:dyDescent="0.3">
      <c r="A4827" s="45">
        <v>43272</v>
      </c>
      <c r="B4827" s="5" t="s">
        <v>58</v>
      </c>
      <c r="C4827" s="5" t="s">
        <v>3773</v>
      </c>
      <c r="D4827" s="43">
        <v>6750</v>
      </c>
      <c r="E4827" s="43"/>
      <c r="F4827" s="48">
        <f t="shared" si="78"/>
        <v>21993</v>
      </c>
    </row>
    <row r="4828" spans="1:6" x14ac:dyDescent="0.3">
      <c r="A4828" s="45">
        <v>43272</v>
      </c>
      <c r="B4828" s="5" t="s">
        <v>41</v>
      </c>
      <c r="C4828" s="5" t="s">
        <v>3775</v>
      </c>
      <c r="D4828" s="43">
        <v>500</v>
      </c>
      <c r="E4828" s="43"/>
      <c r="F4828" s="48">
        <f t="shared" si="78"/>
        <v>21493</v>
      </c>
    </row>
    <row r="4829" spans="1:6" x14ac:dyDescent="0.3">
      <c r="A4829" s="45">
        <v>43272</v>
      </c>
      <c r="B4829" s="5" t="s">
        <v>25</v>
      </c>
      <c r="C4829" s="5" t="s">
        <v>3768</v>
      </c>
      <c r="D4829" s="43">
        <f>30+10+102+50+30+70</f>
        <v>292</v>
      </c>
      <c r="E4829" s="43"/>
      <c r="F4829" s="48">
        <f t="shared" si="78"/>
        <v>21201</v>
      </c>
    </row>
    <row r="4830" spans="1:6" x14ac:dyDescent="0.3">
      <c r="A4830" s="45">
        <v>43272</v>
      </c>
      <c r="B4830" s="5" t="s">
        <v>27</v>
      </c>
      <c r="C4830" s="5" t="s">
        <v>3776</v>
      </c>
      <c r="D4830" s="43">
        <f>180+50</f>
        <v>230</v>
      </c>
      <c r="E4830" s="43"/>
      <c r="F4830" s="48">
        <f t="shared" si="78"/>
        <v>20971</v>
      </c>
    </row>
    <row r="4831" spans="1:6" x14ac:dyDescent="0.3">
      <c r="A4831" s="45">
        <v>43272</v>
      </c>
      <c r="B4831" s="5" t="s">
        <v>25</v>
      </c>
      <c r="C4831" s="5" t="s">
        <v>3769</v>
      </c>
      <c r="D4831" s="43">
        <v>130</v>
      </c>
      <c r="E4831" s="43"/>
      <c r="F4831" s="48">
        <f t="shared" si="78"/>
        <v>20841</v>
      </c>
    </row>
    <row r="4832" spans="1:6" x14ac:dyDescent="0.3">
      <c r="A4832" s="45">
        <v>43272</v>
      </c>
      <c r="B4832" s="5" t="s">
        <v>14</v>
      </c>
      <c r="C4832" s="5" t="s">
        <v>3770</v>
      </c>
      <c r="D4832" s="43">
        <f>40+70</f>
        <v>110</v>
      </c>
      <c r="E4832" s="43"/>
      <c r="F4832" s="48">
        <f t="shared" si="78"/>
        <v>20731</v>
      </c>
    </row>
    <row r="4833" spans="1:6" x14ac:dyDescent="0.3">
      <c r="A4833" s="45">
        <v>43272</v>
      </c>
      <c r="B4833" s="5" t="s">
        <v>25</v>
      </c>
      <c r="C4833" s="5" t="s">
        <v>3771</v>
      </c>
      <c r="D4833" s="43">
        <v>950</v>
      </c>
      <c r="E4833" s="43"/>
      <c r="F4833" s="48">
        <f t="shared" si="78"/>
        <v>19781</v>
      </c>
    </row>
    <row r="4834" spans="1:6" x14ac:dyDescent="0.3">
      <c r="A4834" s="45">
        <v>43272</v>
      </c>
      <c r="B4834" s="5" t="s">
        <v>16</v>
      </c>
      <c r="C4834" s="5" t="s">
        <v>3505</v>
      </c>
      <c r="D4834" s="43">
        <v>4500</v>
      </c>
      <c r="E4834" s="43"/>
      <c r="F4834" s="48">
        <f t="shared" si="78"/>
        <v>15281</v>
      </c>
    </row>
    <row r="4835" spans="1:6" x14ac:dyDescent="0.3">
      <c r="A4835" s="45">
        <v>43272</v>
      </c>
      <c r="B4835" s="5" t="s">
        <v>58</v>
      </c>
      <c r="C4835" s="5" t="s">
        <v>3280</v>
      </c>
      <c r="D4835" s="43">
        <v>50</v>
      </c>
      <c r="E4835" s="43"/>
      <c r="F4835" s="48">
        <f t="shared" si="78"/>
        <v>15231</v>
      </c>
    </row>
    <row r="4836" spans="1:6" x14ac:dyDescent="0.3">
      <c r="A4836" s="45">
        <v>43272</v>
      </c>
      <c r="B4836" s="5" t="s">
        <v>57</v>
      </c>
      <c r="C4836" s="5" t="s">
        <v>3777</v>
      </c>
      <c r="D4836" s="43">
        <v>5000</v>
      </c>
      <c r="E4836" s="43"/>
      <c r="F4836" s="48">
        <f t="shared" si="78"/>
        <v>10231</v>
      </c>
    </row>
    <row r="4837" spans="1:6" ht="37.5" x14ac:dyDescent="0.3">
      <c r="A4837" s="45">
        <v>43272</v>
      </c>
      <c r="B4837" s="5" t="s">
        <v>58</v>
      </c>
      <c r="C4837" s="92" t="s">
        <v>3778</v>
      </c>
      <c r="D4837" s="43">
        <v>6700</v>
      </c>
      <c r="E4837" s="43"/>
      <c r="F4837" s="48">
        <f t="shared" si="78"/>
        <v>3531</v>
      </c>
    </row>
    <row r="4838" spans="1:6" x14ac:dyDescent="0.3">
      <c r="A4838" s="45">
        <v>43272</v>
      </c>
      <c r="B4838" s="5" t="s">
        <v>2330</v>
      </c>
      <c r="C4838" s="5" t="s">
        <v>2957</v>
      </c>
      <c r="D4838" s="43">
        <v>1035</v>
      </c>
      <c r="E4838" s="43"/>
      <c r="F4838" s="48">
        <f t="shared" si="78"/>
        <v>2496</v>
      </c>
    </row>
    <row r="4839" spans="1:6" x14ac:dyDescent="0.3">
      <c r="A4839" s="45">
        <v>43272</v>
      </c>
      <c r="B4839" s="5" t="s">
        <v>57</v>
      </c>
      <c r="C4839" s="5" t="s">
        <v>294</v>
      </c>
      <c r="D4839" s="43">
        <v>2000</v>
      </c>
      <c r="E4839" s="43"/>
      <c r="F4839" s="48">
        <f t="shared" si="78"/>
        <v>496</v>
      </c>
    </row>
    <row r="4840" spans="1:6" x14ac:dyDescent="0.3">
      <c r="A4840" s="45">
        <v>43272</v>
      </c>
      <c r="B4840" s="5" t="s">
        <v>25</v>
      </c>
      <c r="C4840" s="5" t="s">
        <v>3779</v>
      </c>
      <c r="D4840" s="43">
        <f>60+30+30+30+110</f>
        <v>260</v>
      </c>
      <c r="E4840" s="43"/>
      <c r="F4840" s="48">
        <f t="shared" si="78"/>
        <v>236</v>
      </c>
    </row>
    <row r="4841" spans="1:6" x14ac:dyDescent="0.3">
      <c r="A4841" s="45">
        <v>43272</v>
      </c>
      <c r="B4841" s="5" t="s">
        <v>25</v>
      </c>
      <c r="C4841" s="5" t="s">
        <v>939</v>
      </c>
      <c r="D4841" s="43">
        <v>100</v>
      </c>
      <c r="E4841" s="43"/>
      <c r="F4841" s="48">
        <f t="shared" si="78"/>
        <v>136</v>
      </c>
    </row>
    <row r="4842" spans="1:6" x14ac:dyDescent="0.3">
      <c r="A4842" s="45">
        <v>43272</v>
      </c>
      <c r="B4842" s="5" t="s">
        <v>27</v>
      </c>
      <c r="C4842" s="5" t="s">
        <v>3780</v>
      </c>
      <c r="D4842" s="43">
        <v>120</v>
      </c>
      <c r="E4842" s="43"/>
      <c r="F4842" s="48">
        <f t="shared" si="78"/>
        <v>16</v>
      </c>
    </row>
    <row r="4843" spans="1:6" x14ac:dyDescent="0.3">
      <c r="A4843" s="45">
        <v>43273</v>
      </c>
      <c r="B4843" s="756" t="s">
        <v>3590</v>
      </c>
      <c r="C4843" s="756"/>
      <c r="D4843" s="71"/>
      <c r="E4843" s="72">
        <v>50000</v>
      </c>
      <c r="F4843" s="48">
        <f t="shared" si="78"/>
        <v>50016</v>
      </c>
    </row>
    <row r="4844" spans="1:6" x14ac:dyDescent="0.3">
      <c r="A4844" s="45">
        <v>43273</v>
      </c>
      <c r="B4844" s="5" t="s">
        <v>3734</v>
      </c>
      <c r="C4844" s="5" t="s">
        <v>3781</v>
      </c>
      <c r="D4844" s="43">
        <v>1000</v>
      </c>
      <c r="E4844" s="43"/>
      <c r="F4844" s="48">
        <f t="shared" si="78"/>
        <v>49016</v>
      </c>
    </row>
    <row r="4845" spans="1:6" x14ac:dyDescent="0.3">
      <c r="A4845" s="45">
        <v>43273</v>
      </c>
      <c r="B4845" s="5" t="s">
        <v>58</v>
      </c>
      <c r="C4845" s="5" t="s">
        <v>3782</v>
      </c>
      <c r="D4845" s="43">
        <v>19000</v>
      </c>
      <c r="E4845" s="43"/>
      <c r="F4845" s="48">
        <f t="shared" si="78"/>
        <v>30016</v>
      </c>
    </row>
    <row r="4846" spans="1:6" x14ac:dyDescent="0.3">
      <c r="A4846" s="45">
        <v>43273</v>
      </c>
      <c r="B4846" s="5" t="s">
        <v>58</v>
      </c>
      <c r="C4846" s="5" t="s">
        <v>3783</v>
      </c>
      <c r="D4846" s="43">
        <v>2500</v>
      </c>
      <c r="E4846" s="43"/>
      <c r="F4846" s="48">
        <f t="shared" si="78"/>
        <v>27516</v>
      </c>
    </row>
    <row r="4847" spans="1:6" x14ac:dyDescent="0.3">
      <c r="A4847" s="45">
        <v>43274</v>
      </c>
      <c r="B4847" s="5" t="s">
        <v>16</v>
      </c>
      <c r="C4847" s="5" t="s">
        <v>294</v>
      </c>
      <c r="D4847" s="43">
        <v>2000</v>
      </c>
      <c r="E4847" s="43"/>
      <c r="F4847" s="48">
        <f t="shared" si="78"/>
        <v>25516</v>
      </c>
    </row>
    <row r="4848" spans="1:6" x14ac:dyDescent="0.3">
      <c r="A4848" s="45">
        <v>43274</v>
      </c>
      <c r="B4848" s="5" t="s">
        <v>1343</v>
      </c>
      <c r="C4848" s="5" t="s">
        <v>3784</v>
      </c>
      <c r="D4848" s="43">
        <v>1500</v>
      </c>
      <c r="E4848" s="43"/>
      <c r="F4848" s="48">
        <f t="shared" si="78"/>
        <v>24016</v>
      </c>
    </row>
    <row r="4849" spans="1:6" x14ac:dyDescent="0.3">
      <c r="A4849" s="45">
        <v>43274</v>
      </c>
      <c r="B4849" s="5" t="s">
        <v>2594</v>
      </c>
      <c r="C4849" s="5" t="s">
        <v>3785</v>
      </c>
      <c r="D4849" s="43">
        <v>600</v>
      </c>
      <c r="E4849" s="43"/>
      <c r="F4849" s="48">
        <f t="shared" si="78"/>
        <v>23416</v>
      </c>
    </row>
    <row r="4850" spans="1:6" x14ac:dyDescent="0.3">
      <c r="A4850" s="45">
        <v>43274</v>
      </c>
      <c r="B4850" s="5" t="s">
        <v>3559</v>
      </c>
      <c r="C4850" s="5" t="s">
        <v>3535</v>
      </c>
      <c r="D4850" s="43">
        <v>500</v>
      </c>
      <c r="E4850" s="43"/>
      <c r="F4850" s="48">
        <f t="shared" si="78"/>
        <v>22916</v>
      </c>
    </row>
    <row r="4851" spans="1:6" x14ac:dyDescent="0.3">
      <c r="A4851" s="45">
        <v>43274</v>
      </c>
      <c r="B4851" s="5" t="s">
        <v>58</v>
      </c>
      <c r="C4851" s="5" t="s">
        <v>3786</v>
      </c>
      <c r="D4851" s="43">
        <v>19463</v>
      </c>
      <c r="E4851" s="43"/>
      <c r="F4851" s="48">
        <f t="shared" si="78"/>
        <v>3453</v>
      </c>
    </row>
    <row r="4852" spans="1:6" x14ac:dyDescent="0.3">
      <c r="A4852" s="45">
        <v>43276</v>
      </c>
      <c r="B4852" s="5" t="s">
        <v>16</v>
      </c>
      <c r="C4852" s="5" t="s">
        <v>1049</v>
      </c>
      <c r="D4852" s="43">
        <v>500</v>
      </c>
      <c r="E4852" s="43"/>
      <c r="F4852" s="48">
        <f t="shared" si="78"/>
        <v>2953</v>
      </c>
    </row>
    <row r="4853" spans="1:6" x14ac:dyDescent="0.3">
      <c r="A4853" s="45">
        <v>43276</v>
      </c>
      <c r="B4853" s="5" t="s">
        <v>27</v>
      </c>
      <c r="C4853" s="5" t="s">
        <v>1049</v>
      </c>
      <c r="D4853" s="43">
        <v>1500</v>
      </c>
      <c r="E4853" s="43"/>
      <c r="F4853" s="48">
        <f t="shared" si="78"/>
        <v>1453</v>
      </c>
    </row>
    <row r="4854" spans="1:6" x14ac:dyDescent="0.3">
      <c r="A4854" s="45">
        <v>43276</v>
      </c>
      <c r="B4854" s="5" t="s">
        <v>25</v>
      </c>
      <c r="C4854" s="5" t="s">
        <v>3787</v>
      </c>
      <c r="D4854" s="43">
        <v>340</v>
      </c>
      <c r="E4854" s="43"/>
      <c r="F4854" s="48">
        <f t="shared" si="78"/>
        <v>1113</v>
      </c>
    </row>
    <row r="4855" spans="1:6" x14ac:dyDescent="0.3">
      <c r="A4855" s="45">
        <v>43276</v>
      </c>
      <c r="B4855" s="5" t="s">
        <v>3788</v>
      </c>
      <c r="C4855" s="5" t="s">
        <v>3789</v>
      </c>
      <c r="D4855" s="43">
        <v>50</v>
      </c>
      <c r="E4855" s="43"/>
      <c r="F4855" s="48">
        <f t="shared" si="78"/>
        <v>1063</v>
      </c>
    </row>
    <row r="4856" spans="1:6" x14ac:dyDescent="0.3">
      <c r="A4856" s="45">
        <v>43276</v>
      </c>
      <c r="B4856" s="5" t="s">
        <v>25</v>
      </c>
      <c r="C4856" s="5" t="s">
        <v>3790</v>
      </c>
      <c r="D4856" s="43">
        <f>670+140</f>
        <v>810</v>
      </c>
      <c r="E4856" s="43"/>
      <c r="F4856" s="48">
        <f t="shared" si="78"/>
        <v>253</v>
      </c>
    </row>
    <row r="4857" spans="1:6" x14ac:dyDescent="0.3">
      <c r="A4857" s="45">
        <v>43276</v>
      </c>
      <c r="B4857" s="5" t="s">
        <v>27</v>
      </c>
      <c r="C4857" s="5" t="s">
        <v>3791</v>
      </c>
      <c r="D4857" s="43">
        <f>80+30+30+70</f>
        <v>210</v>
      </c>
      <c r="E4857" s="43"/>
      <c r="F4857" s="48">
        <f t="shared" si="78"/>
        <v>43</v>
      </c>
    </row>
    <row r="4858" spans="1:6" x14ac:dyDescent="0.3">
      <c r="A4858" s="45">
        <v>43276</v>
      </c>
      <c r="B4858" s="5" t="s">
        <v>541</v>
      </c>
      <c r="C4858" s="5" t="s">
        <v>3792</v>
      </c>
      <c r="D4858" s="43">
        <v>70</v>
      </c>
      <c r="E4858" s="43"/>
      <c r="F4858" s="48">
        <f t="shared" si="78"/>
        <v>-27</v>
      </c>
    </row>
    <row r="4859" spans="1:6" x14ac:dyDescent="0.3">
      <c r="A4859" s="45">
        <v>43277</v>
      </c>
      <c r="B4859" s="756" t="s">
        <v>3717</v>
      </c>
      <c r="C4859" s="756"/>
      <c r="D4859" s="71"/>
      <c r="E4859" s="72">
        <v>100000</v>
      </c>
      <c r="F4859" s="48">
        <f t="shared" si="78"/>
        <v>99973</v>
      </c>
    </row>
    <row r="4860" spans="1:6" x14ac:dyDescent="0.3">
      <c r="A4860" s="45">
        <v>43277</v>
      </c>
      <c r="B4860" s="5" t="s">
        <v>2330</v>
      </c>
      <c r="C4860" s="5" t="s">
        <v>3796</v>
      </c>
      <c r="D4860" s="43">
        <v>9400</v>
      </c>
      <c r="E4860" s="43"/>
      <c r="F4860" s="48">
        <f t="shared" si="78"/>
        <v>90573</v>
      </c>
    </row>
    <row r="4861" spans="1:6" x14ac:dyDescent="0.3">
      <c r="A4861" s="45">
        <v>43277</v>
      </c>
      <c r="B4861" s="5" t="s">
        <v>58</v>
      </c>
      <c r="C4861" s="5" t="s">
        <v>3810</v>
      </c>
      <c r="D4861" s="43">
        <v>43640</v>
      </c>
      <c r="E4861" s="43"/>
      <c r="F4861" s="48">
        <f t="shared" si="78"/>
        <v>46933</v>
      </c>
    </row>
    <row r="4862" spans="1:6" x14ac:dyDescent="0.3">
      <c r="A4862" s="45">
        <v>43277</v>
      </c>
      <c r="B4862" s="5" t="s">
        <v>14</v>
      </c>
      <c r="C4862" s="5" t="s">
        <v>3798</v>
      </c>
      <c r="D4862" s="43">
        <v>5000</v>
      </c>
      <c r="E4862" s="43"/>
      <c r="F4862" s="48">
        <f t="shared" si="78"/>
        <v>41933</v>
      </c>
    </row>
    <row r="4863" spans="1:6" x14ac:dyDescent="0.3">
      <c r="A4863" s="45">
        <v>43277</v>
      </c>
      <c r="B4863" s="5" t="s">
        <v>3408</v>
      </c>
      <c r="C4863" s="5" t="s">
        <v>3801</v>
      </c>
      <c r="D4863" s="43">
        <v>2500</v>
      </c>
      <c r="E4863" s="43"/>
      <c r="F4863" s="48">
        <f t="shared" si="78"/>
        <v>39433</v>
      </c>
    </row>
    <row r="4864" spans="1:6" x14ac:dyDescent="0.3">
      <c r="A4864" s="45">
        <v>43277</v>
      </c>
      <c r="B4864" s="5" t="s">
        <v>58</v>
      </c>
      <c r="C4864" s="5" t="s">
        <v>3793</v>
      </c>
      <c r="D4864" s="43">
        <v>50</v>
      </c>
      <c r="E4864" s="43"/>
      <c r="F4864" s="48">
        <f t="shared" si="78"/>
        <v>39383</v>
      </c>
    </row>
    <row r="4865" spans="1:6" x14ac:dyDescent="0.3">
      <c r="A4865" s="45">
        <v>43277</v>
      </c>
      <c r="B4865" s="5" t="s">
        <v>58</v>
      </c>
      <c r="C4865" s="5" t="s">
        <v>3794</v>
      </c>
      <c r="D4865" s="43">
        <v>70</v>
      </c>
      <c r="E4865" s="43"/>
      <c r="F4865" s="48">
        <f t="shared" si="78"/>
        <v>39313</v>
      </c>
    </row>
    <row r="4866" spans="1:6" x14ac:dyDescent="0.3">
      <c r="A4866" s="45">
        <v>43277</v>
      </c>
      <c r="B4866" s="5" t="s">
        <v>58</v>
      </c>
      <c r="C4866" s="5" t="s">
        <v>3795</v>
      </c>
      <c r="D4866" s="43">
        <v>120</v>
      </c>
      <c r="E4866" s="43"/>
      <c r="F4866" s="48">
        <f t="shared" si="78"/>
        <v>39193</v>
      </c>
    </row>
    <row r="4867" spans="1:6" x14ac:dyDescent="0.3">
      <c r="A4867" s="45">
        <v>43277</v>
      </c>
      <c r="B4867" s="5" t="s">
        <v>3825</v>
      </c>
      <c r="C4867" s="5" t="s">
        <v>3797</v>
      </c>
      <c r="D4867" s="43">
        <v>1930</v>
      </c>
      <c r="E4867" s="43"/>
      <c r="F4867" s="48">
        <f t="shared" si="78"/>
        <v>37263</v>
      </c>
    </row>
    <row r="4868" spans="1:6" x14ac:dyDescent="0.3">
      <c r="A4868" s="45">
        <v>43277</v>
      </c>
      <c r="B4868" s="756" t="s">
        <v>3803</v>
      </c>
      <c r="C4868" s="756"/>
      <c r="D4868" s="71"/>
      <c r="E4868" s="72">
        <v>10000</v>
      </c>
      <c r="F4868" s="48">
        <f t="shared" si="78"/>
        <v>47263</v>
      </c>
    </row>
    <row r="4869" spans="1:6" x14ac:dyDescent="0.3">
      <c r="A4869" s="45">
        <v>43277</v>
      </c>
      <c r="B4869" s="5" t="s">
        <v>27</v>
      </c>
      <c r="C4869" s="5" t="s">
        <v>294</v>
      </c>
      <c r="D4869" s="43">
        <v>2000</v>
      </c>
      <c r="E4869" s="43"/>
      <c r="F4869" s="48">
        <f t="shared" si="78"/>
        <v>45263</v>
      </c>
    </row>
    <row r="4870" spans="1:6" x14ac:dyDescent="0.3">
      <c r="A4870" s="45">
        <v>43277</v>
      </c>
      <c r="B4870" s="5" t="s">
        <v>3624</v>
      </c>
      <c r="C4870" s="5" t="s">
        <v>3799</v>
      </c>
      <c r="D4870" s="43">
        <f>185+534+170</f>
        <v>889</v>
      </c>
      <c r="E4870" s="43"/>
      <c r="F4870" s="48">
        <f t="shared" si="78"/>
        <v>44374</v>
      </c>
    </row>
    <row r="4871" spans="1:6" x14ac:dyDescent="0.3">
      <c r="A4871" s="45">
        <v>43277</v>
      </c>
      <c r="B4871" s="5" t="s">
        <v>3624</v>
      </c>
      <c r="C4871" s="5" t="s">
        <v>3800</v>
      </c>
      <c r="D4871" s="43">
        <v>70</v>
      </c>
      <c r="E4871" s="43"/>
      <c r="F4871" s="48">
        <f t="shared" si="78"/>
        <v>44304</v>
      </c>
    </row>
    <row r="4872" spans="1:6" x14ac:dyDescent="0.3">
      <c r="A4872" s="45">
        <v>43278</v>
      </c>
      <c r="B4872" s="5" t="s">
        <v>84</v>
      </c>
      <c r="C4872" s="5" t="s">
        <v>3802</v>
      </c>
      <c r="D4872" s="43">
        <v>500</v>
      </c>
      <c r="E4872" s="43"/>
      <c r="F4872" s="48">
        <f t="shared" si="78"/>
        <v>43804</v>
      </c>
    </row>
    <row r="4873" spans="1:6" x14ac:dyDescent="0.3">
      <c r="A4873" s="45">
        <v>43277</v>
      </c>
      <c r="B4873" s="5" t="s">
        <v>14</v>
      </c>
      <c r="C4873" s="5" t="s">
        <v>2383</v>
      </c>
      <c r="D4873" s="43">
        <v>1000</v>
      </c>
      <c r="E4873" s="43"/>
      <c r="F4873" s="48">
        <f t="shared" si="78"/>
        <v>42804</v>
      </c>
    </row>
    <row r="4874" spans="1:6" x14ac:dyDescent="0.3">
      <c r="A4874" s="45">
        <v>43277</v>
      </c>
      <c r="B4874" s="5" t="s">
        <v>60</v>
      </c>
      <c r="C4874" s="5" t="s">
        <v>3826</v>
      </c>
      <c r="D4874" s="43">
        <v>3000</v>
      </c>
      <c r="E4874" s="43"/>
      <c r="F4874" s="48">
        <f t="shared" si="78"/>
        <v>39804</v>
      </c>
    </row>
    <row r="4875" spans="1:6" x14ac:dyDescent="0.3">
      <c r="A4875" s="45">
        <v>43278</v>
      </c>
      <c r="B4875" s="5" t="s">
        <v>58</v>
      </c>
      <c r="C4875" s="5" t="s">
        <v>2113</v>
      </c>
      <c r="D4875" s="43">
        <v>100</v>
      </c>
      <c r="E4875" s="43"/>
      <c r="F4875" s="48">
        <f t="shared" ref="F4875:F4938" si="79">F4874-D4875+E4875</f>
        <v>39704</v>
      </c>
    </row>
    <row r="4876" spans="1:6" x14ac:dyDescent="0.3">
      <c r="A4876" s="45">
        <v>43278</v>
      </c>
      <c r="B4876" s="756" t="s">
        <v>3717</v>
      </c>
      <c r="C4876" s="756"/>
      <c r="D4876" s="71"/>
      <c r="E4876" s="72">
        <v>50000</v>
      </c>
      <c r="F4876" s="48">
        <f t="shared" si="79"/>
        <v>89704</v>
      </c>
    </row>
    <row r="4877" spans="1:6" x14ac:dyDescent="0.3">
      <c r="A4877" s="45">
        <v>43278</v>
      </c>
      <c r="B4877" s="5" t="s">
        <v>3138</v>
      </c>
      <c r="C4877" s="5" t="s">
        <v>3804</v>
      </c>
      <c r="D4877" s="43">
        <v>25503</v>
      </c>
      <c r="E4877" s="43"/>
      <c r="F4877" s="48">
        <f t="shared" si="79"/>
        <v>64201</v>
      </c>
    </row>
    <row r="4878" spans="1:6" x14ac:dyDescent="0.3">
      <c r="A4878" s="45">
        <v>43278</v>
      </c>
      <c r="B4878" s="5" t="s">
        <v>3138</v>
      </c>
      <c r="C4878" s="5" t="s">
        <v>3804</v>
      </c>
      <c r="D4878" s="43">
        <v>10326</v>
      </c>
      <c r="E4878" s="43"/>
      <c r="F4878" s="48">
        <f t="shared" si="79"/>
        <v>53875</v>
      </c>
    </row>
    <row r="4879" spans="1:6" x14ac:dyDescent="0.3">
      <c r="A4879" s="45">
        <v>43278</v>
      </c>
      <c r="B4879" s="5" t="s">
        <v>3138</v>
      </c>
      <c r="C4879" s="5" t="s">
        <v>3805</v>
      </c>
      <c r="D4879" s="43">
        <v>1320</v>
      </c>
      <c r="E4879" s="43"/>
      <c r="F4879" s="48">
        <f t="shared" si="79"/>
        <v>52555</v>
      </c>
    </row>
    <row r="4880" spans="1:6" x14ac:dyDescent="0.3">
      <c r="A4880" s="45">
        <v>43278</v>
      </c>
      <c r="B4880" s="5" t="s">
        <v>3138</v>
      </c>
      <c r="C4880" s="5" t="s">
        <v>3805</v>
      </c>
      <c r="D4880" s="43">
        <v>2920</v>
      </c>
      <c r="E4880" s="43"/>
      <c r="F4880" s="48">
        <f t="shared" si="79"/>
        <v>49635</v>
      </c>
    </row>
    <row r="4881" spans="1:6" x14ac:dyDescent="0.3">
      <c r="A4881" s="45">
        <v>43278</v>
      </c>
      <c r="B4881" s="5" t="s">
        <v>3138</v>
      </c>
      <c r="C4881" s="5" t="s">
        <v>3806</v>
      </c>
      <c r="D4881" s="43">
        <v>589</v>
      </c>
      <c r="E4881" s="43"/>
      <c r="F4881" s="48">
        <f t="shared" si="79"/>
        <v>49046</v>
      </c>
    </row>
    <row r="4882" spans="1:6" x14ac:dyDescent="0.3">
      <c r="A4882" s="45">
        <v>43278</v>
      </c>
      <c r="B4882" s="5" t="s">
        <v>3138</v>
      </c>
      <c r="C4882" s="5" t="s">
        <v>3807</v>
      </c>
      <c r="D4882" s="43">
        <v>13457</v>
      </c>
      <c r="E4882" s="43"/>
      <c r="F4882" s="48">
        <f t="shared" si="79"/>
        <v>35589</v>
      </c>
    </row>
    <row r="4883" spans="1:6" x14ac:dyDescent="0.3">
      <c r="A4883" s="45">
        <v>43278</v>
      </c>
      <c r="B4883" s="5" t="s">
        <v>3138</v>
      </c>
      <c r="C4883" s="5" t="s">
        <v>3827</v>
      </c>
      <c r="D4883" s="43">
        <v>2580</v>
      </c>
      <c r="E4883" s="43"/>
      <c r="F4883" s="48">
        <f t="shared" si="79"/>
        <v>33009</v>
      </c>
    </row>
    <row r="4884" spans="1:6" ht="37.5" x14ac:dyDescent="0.3">
      <c r="A4884" s="45">
        <v>43278</v>
      </c>
      <c r="B4884" s="5" t="s">
        <v>2594</v>
      </c>
      <c r="C4884" s="92" t="s">
        <v>3808</v>
      </c>
      <c r="D4884" s="43">
        <v>100</v>
      </c>
      <c r="E4884" s="43"/>
      <c r="F4884" s="48">
        <f t="shared" si="79"/>
        <v>32909</v>
      </c>
    </row>
    <row r="4885" spans="1:6" x14ac:dyDescent="0.3">
      <c r="A4885" s="45">
        <v>43278</v>
      </c>
      <c r="B4885" s="5" t="s">
        <v>2594</v>
      </c>
      <c r="C4885" s="92" t="s">
        <v>3809</v>
      </c>
      <c r="D4885" s="43">
        <v>50</v>
      </c>
      <c r="E4885" s="43"/>
      <c r="F4885" s="48">
        <f t="shared" si="79"/>
        <v>32859</v>
      </c>
    </row>
    <row r="4886" spans="1:6" x14ac:dyDescent="0.3">
      <c r="A4886" s="45">
        <v>43278</v>
      </c>
      <c r="B4886" s="5" t="s">
        <v>58</v>
      </c>
      <c r="C4886" s="5" t="s">
        <v>3811</v>
      </c>
      <c r="D4886" s="43">
        <v>200</v>
      </c>
      <c r="E4886" s="43"/>
      <c r="F4886" s="48">
        <f t="shared" si="79"/>
        <v>32659</v>
      </c>
    </row>
    <row r="4887" spans="1:6" x14ac:dyDescent="0.3">
      <c r="A4887" s="45">
        <v>43278</v>
      </c>
      <c r="B4887" s="5" t="s">
        <v>3408</v>
      </c>
      <c r="C4887" s="5" t="s">
        <v>3812</v>
      </c>
      <c r="D4887" s="43">
        <v>180</v>
      </c>
      <c r="E4887" s="43"/>
      <c r="F4887" s="48">
        <f t="shared" si="79"/>
        <v>32479</v>
      </c>
    </row>
    <row r="4888" spans="1:6" x14ac:dyDescent="0.3">
      <c r="A4888" s="45">
        <v>43278</v>
      </c>
      <c r="B4888" s="5" t="s">
        <v>58</v>
      </c>
      <c r="C4888" s="5" t="s">
        <v>3821</v>
      </c>
      <c r="D4888" s="43">
        <f>11520-130-130-20</f>
        <v>11240</v>
      </c>
      <c r="E4888" s="43"/>
      <c r="F4888" s="48">
        <f t="shared" si="79"/>
        <v>21239</v>
      </c>
    </row>
    <row r="4889" spans="1:6" x14ac:dyDescent="0.3">
      <c r="A4889" s="45">
        <v>43278</v>
      </c>
      <c r="B4889" s="5" t="s">
        <v>58</v>
      </c>
      <c r="C4889" s="5" t="s">
        <v>3828</v>
      </c>
      <c r="D4889" s="43">
        <f>11520-D4888</f>
        <v>280</v>
      </c>
      <c r="E4889" s="43"/>
      <c r="F4889" s="48">
        <f t="shared" si="79"/>
        <v>20959</v>
      </c>
    </row>
    <row r="4890" spans="1:6" x14ac:dyDescent="0.3">
      <c r="A4890" s="45">
        <v>43278</v>
      </c>
      <c r="B4890" s="5" t="s">
        <v>84</v>
      </c>
      <c r="C4890" s="5" t="s">
        <v>3813</v>
      </c>
      <c r="D4890" s="43">
        <v>2000</v>
      </c>
      <c r="E4890" s="43"/>
      <c r="F4890" s="48">
        <f t="shared" si="79"/>
        <v>18959</v>
      </c>
    </row>
    <row r="4891" spans="1:6" x14ac:dyDescent="0.3">
      <c r="A4891" s="45">
        <v>43278</v>
      </c>
      <c r="B4891" s="5" t="s">
        <v>16</v>
      </c>
      <c r="C4891" s="5" t="s">
        <v>3612</v>
      </c>
      <c r="D4891" s="43">
        <v>10250</v>
      </c>
      <c r="E4891" s="43"/>
      <c r="F4891" s="48">
        <f t="shared" si="79"/>
        <v>8709</v>
      </c>
    </row>
    <row r="4892" spans="1:6" x14ac:dyDescent="0.3">
      <c r="A4892" s="45">
        <v>43278</v>
      </c>
      <c r="B4892" s="5" t="s">
        <v>3814</v>
      </c>
      <c r="C4892" s="5" t="s">
        <v>3775</v>
      </c>
      <c r="D4892" s="43">
        <v>340</v>
      </c>
      <c r="E4892" s="43"/>
      <c r="F4892" s="48">
        <f t="shared" si="79"/>
        <v>8369</v>
      </c>
    </row>
    <row r="4893" spans="1:6" x14ac:dyDescent="0.3">
      <c r="A4893" s="45">
        <v>43278</v>
      </c>
      <c r="B4893" s="5" t="s">
        <v>3814</v>
      </c>
      <c r="C4893" s="5" t="s">
        <v>3815</v>
      </c>
      <c r="D4893" s="43">
        <v>100</v>
      </c>
      <c r="E4893" s="43"/>
      <c r="F4893" s="48">
        <f t="shared" si="79"/>
        <v>8269</v>
      </c>
    </row>
    <row r="4894" spans="1:6" x14ac:dyDescent="0.3">
      <c r="A4894" s="45">
        <v>43278</v>
      </c>
      <c r="B4894" s="5" t="s">
        <v>28</v>
      </c>
      <c r="C4894" s="5" t="s">
        <v>3816</v>
      </c>
      <c r="D4894" s="43">
        <v>1000</v>
      </c>
      <c r="E4894" s="43"/>
      <c r="F4894" s="48">
        <f t="shared" si="79"/>
        <v>7269</v>
      </c>
    </row>
    <row r="4895" spans="1:6" x14ac:dyDescent="0.3">
      <c r="A4895" s="45">
        <v>43278</v>
      </c>
      <c r="B4895" s="5" t="s">
        <v>3408</v>
      </c>
      <c r="C4895" s="5" t="s">
        <v>3824</v>
      </c>
      <c r="D4895" s="43">
        <v>50</v>
      </c>
      <c r="E4895" s="43"/>
      <c r="F4895" s="48">
        <f t="shared" si="79"/>
        <v>7219</v>
      </c>
    </row>
    <row r="4896" spans="1:6" x14ac:dyDescent="0.3">
      <c r="A4896" s="45">
        <v>43278</v>
      </c>
      <c r="B4896" s="5" t="s">
        <v>3817</v>
      </c>
      <c r="C4896" s="5" t="s">
        <v>3823</v>
      </c>
      <c r="D4896" s="43">
        <v>1500</v>
      </c>
      <c r="E4896" s="43"/>
      <c r="F4896" s="48">
        <f t="shared" si="79"/>
        <v>5719</v>
      </c>
    </row>
    <row r="4897" spans="1:6" x14ac:dyDescent="0.3">
      <c r="A4897" s="45">
        <v>43278</v>
      </c>
      <c r="B4897" s="5" t="s">
        <v>1837</v>
      </c>
      <c r="C4897" s="5" t="s">
        <v>3505</v>
      </c>
      <c r="D4897" s="43">
        <v>2000</v>
      </c>
      <c r="E4897" s="43"/>
      <c r="F4897" s="48">
        <f t="shared" si="79"/>
        <v>3719</v>
      </c>
    </row>
    <row r="4898" spans="1:6" x14ac:dyDescent="0.3">
      <c r="A4898" s="45">
        <v>43278</v>
      </c>
      <c r="B4898" s="5" t="s">
        <v>27</v>
      </c>
      <c r="C4898" s="5" t="s">
        <v>3818</v>
      </c>
      <c r="D4898" s="43">
        <v>150</v>
      </c>
      <c r="E4898" s="43"/>
      <c r="F4898" s="48">
        <f t="shared" si="79"/>
        <v>3569</v>
      </c>
    </row>
    <row r="4899" spans="1:6" x14ac:dyDescent="0.3">
      <c r="A4899" s="45">
        <v>43279</v>
      </c>
      <c r="B4899" s="5" t="s">
        <v>27</v>
      </c>
      <c r="C4899" s="5" t="s">
        <v>3505</v>
      </c>
      <c r="D4899" s="43">
        <v>800</v>
      </c>
      <c r="E4899" s="43"/>
      <c r="F4899" s="48">
        <f t="shared" si="79"/>
        <v>2769</v>
      </c>
    </row>
    <row r="4900" spans="1:6" x14ac:dyDescent="0.3">
      <c r="A4900" s="45">
        <v>43279</v>
      </c>
      <c r="B4900" s="5" t="s">
        <v>25</v>
      </c>
      <c r="C4900" s="5" t="s">
        <v>3819</v>
      </c>
      <c r="D4900" s="43">
        <f>400+600+30+80+220+150+35+48+210</f>
        <v>1773</v>
      </c>
      <c r="E4900" s="43"/>
      <c r="F4900" s="48">
        <f t="shared" si="79"/>
        <v>996</v>
      </c>
    </row>
    <row r="4901" spans="1:6" x14ac:dyDescent="0.3">
      <c r="A4901" s="45">
        <v>43279</v>
      </c>
      <c r="B4901" s="5" t="s">
        <v>27</v>
      </c>
      <c r="C4901" s="5" t="s">
        <v>3820</v>
      </c>
      <c r="D4901" s="43">
        <v>80</v>
      </c>
      <c r="E4901" s="43"/>
      <c r="F4901" s="48">
        <f t="shared" si="79"/>
        <v>916</v>
      </c>
    </row>
    <row r="4902" spans="1:6" x14ac:dyDescent="0.3">
      <c r="A4902" s="45">
        <v>43279</v>
      </c>
      <c r="B4902" s="5" t="s">
        <v>3655</v>
      </c>
      <c r="C4902" s="5" t="s">
        <v>3217</v>
      </c>
      <c r="D4902" s="43">
        <v>150</v>
      </c>
      <c r="E4902" s="43"/>
      <c r="F4902" s="48">
        <f t="shared" si="79"/>
        <v>766</v>
      </c>
    </row>
    <row r="4903" spans="1:6" x14ac:dyDescent="0.3">
      <c r="A4903" s="45">
        <v>43279</v>
      </c>
      <c r="B4903" s="5" t="s">
        <v>58</v>
      </c>
      <c r="C4903" s="5" t="s">
        <v>3811</v>
      </c>
      <c r="D4903" s="43">
        <v>480</v>
      </c>
      <c r="E4903" s="43"/>
      <c r="F4903" s="48">
        <f t="shared" si="79"/>
        <v>286</v>
      </c>
    </row>
    <row r="4904" spans="1:6" x14ac:dyDescent="0.3">
      <c r="A4904" s="45">
        <v>43280</v>
      </c>
      <c r="B4904" s="5" t="s">
        <v>1458</v>
      </c>
      <c r="C4904" s="5" t="s">
        <v>3822</v>
      </c>
      <c r="D4904" s="43">
        <v>80</v>
      </c>
      <c r="E4904" s="43"/>
      <c r="F4904" s="48">
        <f t="shared" si="79"/>
        <v>206</v>
      </c>
    </row>
    <row r="4905" spans="1:6" x14ac:dyDescent="0.3">
      <c r="A4905" s="45">
        <v>43280</v>
      </c>
      <c r="B4905" s="756" t="s">
        <v>3717</v>
      </c>
      <c r="C4905" s="756"/>
      <c r="D4905" s="71"/>
      <c r="E4905" s="72">
        <v>50000</v>
      </c>
      <c r="F4905" s="48">
        <f t="shared" si="79"/>
        <v>50206</v>
      </c>
    </row>
    <row r="4906" spans="1:6" x14ac:dyDescent="0.3">
      <c r="A4906" s="45">
        <v>43280</v>
      </c>
      <c r="B4906" s="5" t="s">
        <v>3817</v>
      </c>
      <c r="C4906" s="5" t="s">
        <v>3829</v>
      </c>
      <c r="D4906" s="43">
        <v>1800</v>
      </c>
      <c r="E4906" s="43"/>
      <c r="F4906" s="48">
        <f t="shared" si="79"/>
        <v>48406</v>
      </c>
    </row>
    <row r="4907" spans="1:6" x14ac:dyDescent="0.3">
      <c r="A4907" s="45">
        <v>43280</v>
      </c>
      <c r="B4907" s="5" t="s">
        <v>2096</v>
      </c>
      <c r="C4907" s="5" t="s">
        <v>3838</v>
      </c>
      <c r="D4907" s="43">
        <v>45000</v>
      </c>
      <c r="E4907" s="43"/>
      <c r="F4907" s="48">
        <f t="shared" si="79"/>
        <v>3406</v>
      </c>
    </row>
    <row r="4908" spans="1:6" x14ac:dyDescent="0.3">
      <c r="A4908" s="45">
        <v>43280</v>
      </c>
      <c r="B4908" s="5" t="s">
        <v>58</v>
      </c>
      <c r="C4908" s="5" t="s">
        <v>3835</v>
      </c>
      <c r="D4908" s="43">
        <v>1450</v>
      </c>
      <c r="E4908" s="43"/>
      <c r="F4908" s="48">
        <f t="shared" si="79"/>
        <v>1956</v>
      </c>
    </row>
    <row r="4909" spans="1:6" x14ac:dyDescent="0.3">
      <c r="A4909" s="45">
        <v>43280</v>
      </c>
      <c r="B4909" s="5" t="s">
        <v>58</v>
      </c>
      <c r="C4909" s="5" t="s">
        <v>3836</v>
      </c>
      <c r="D4909" s="43">
        <v>120</v>
      </c>
      <c r="E4909" s="43"/>
      <c r="F4909" s="48">
        <f t="shared" si="79"/>
        <v>1836</v>
      </c>
    </row>
    <row r="4910" spans="1:6" x14ac:dyDescent="0.3">
      <c r="A4910" s="45">
        <v>43280</v>
      </c>
      <c r="B4910" s="5" t="s">
        <v>58</v>
      </c>
      <c r="C4910" s="5" t="s">
        <v>3837</v>
      </c>
      <c r="D4910" s="43">
        <v>80</v>
      </c>
      <c r="E4910" s="43"/>
      <c r="F4910" s="48">
        <f t="shared" si="79"/>
        <v>1756</v>
      </c>
    </row>
    <row r="4911" spans="1:6" x14ac:dyDescent="0.3">
      <c r="A4911" s="45">
        <v>43280</v>
      </c>
      <c r="B4911" s="5" t="s">
        <v>2594</v>
      </c>
      <c r="C4911" s="5" t="s">
        <v>3830</v>
      </c>
      <c r="D4911" s="43">
        <v>100</v>
      </c>
      <c r="E4911" s="43"/>
      <c r="F4911" s="48">
        <f t="shared" si="79"/>
        <v>1656</v>
      </c>
    </row>
    <row r="4912" spans="1:6" x14ac:dyDescent="0.3">
      <c r="A4912" s="45">
        <v>43281</v>
      </c>
      <c r="B4912" s="5" t="s">
        <v>14</v>
      </c>
      <c r="C4912" s="5" t="s">
        <v>294</v>
      </c>
      <c r="D4912" s="43">
        <v>500</v>
      </c>
      <c r="E4912" s="43"/>
      <c r="F4912" s="48">
        <f t="shared" si="79"/>
        <v>1156</v>
      </c>
    </row>
    <row r="4913" spans="1:6" x14ac:dyDescent="0.3">
      <c r="A4913" s="45">
        <v>43281</v>
      </c>
      <c r="B4913" s="5" t="s">
        <v>1458</v>
      </c>
      <c r="C4913" s="5" t="s">
        <v>3831</v>
      </c>
      <c r="D4913" s="43">
        <v>300</v>
      </c>
      <c r="E4913" s="43"/>
      <c r="F4913" s="48">
        <f t="shared" si="79"/>
        <v>856</v>
      </c>
    </row>
    <row r="4914" spans="1:6" x14ac:dyDescent="0.3">
      <c r="A4914" s="45">
        <v>43281</v>
      </c>
      <c r="B4914" s="5" t="s">
        <v>25</v>
      </c>
      <c r="C4914" s="5" t="s">
        <v>3832</v>
      </c>
      <c r="D4914" s="43">
        <v>240</v>
      </c>
      <c r="E4914" s="43"/>
      <c r="F4914" s="48">
        <f t="shared" si="79"/>
        <v>616</v>
      </c>
    </row>
    <row r="4915" spans="1:6" x14ac:dyDescent="0.3">
      <c r="A4915" s="45">
        <v>43281</v>
      </c>
      <c r="B4915" s="5" t="s">
        <v>3814</v>
      </c>
      <c r="C4915" s="5" t="s">
        <v>2013</v>
      </c>
      <c r="D4915" s="43">
        <v>70</v>
      </c>
      <c r="E4915" s="43"/>
      <c r="F4915" s="48">
        <f t="shared" si="79"/>
        <v>546</v>
      </c>
    </row>
    <row r="4916" spans="1:6" x14ac:dyDescent="0.3">
      <c r="A4916" s="45">
        <v>43281</v>
      </c>
      <c r="B4916" s="5" t="s">
        <v>27</v>
      </c>
      <c r="C4916" s="5" t="s">
        <v>3833</v>
      </c>
      <c r="D4916" s="43">
        <v>20</v>
      </c>
      <c r="E4916" s="43"/>
      <c r="F4916" s="48">
        <f t="shared" si="79"/>
        <v>526</v>
      </c>
    </row>
    <row r="4917" spans="1:6" x14ac:dyDescent="0.3">
      <c r="A4917" s="45">
        <v>43281</v>
      </c>
      <c r="B4917" s="5" t="s">
        <v>3814</v>
      </c>
      <c r="C4917" s="5" t="s">
        <v>3834</v>
      </c>
      <c r="D4917" s="43">
        <v>130</v>
      </c>
      <c r="E4917" s="43"/>
      <c r="F4917" s="48">
        <f t="shared" si="79"/>
        <v>396</v>
      </c>
    </row>
    <row r="4918" spans="1:6" x14ac:dyDescent="0.3">
      <c r="A4918" s="45">
        <v>43281</v>
      </c>
      <c r="B4918" s="5" t="s">
        <v>58</v>
      </c>
      <c r="C4918" s="5" t="s">
        <v>3280</v>
      </c>
      <c r="D4918" s="43">
        <v>350</v>
      </c>
      <c r="E4918" s="43"/>
      <c r="F4918" s="48">
        <f t="shared" si="79"/>
        <v>46</v>
      </c>
    </row>
    <row r="4919" spans="1:6" x14ac:dyDescent="0.3">
      <c r="A4919" s="45">
        <v>43281</v>
      </c>
      <c r="B4919" s="756" t="s">
        <v>2910</v>
      </c>
      <c r="C4919" s="756"/>
      <c r="D4919" s="71"/>
      <c r="E4919" s="72">
        <v>4000</v>
      </c>
      <c r="F4919" s="48">
        <f t="shared" si="79"/>
        <v>4046</v>
      </c>
    </row>
    <row r="4920" spans="1:6" x14ac:dyDescent="0.3">
      <c r="A4920" s="45">
        <v>43281</v>
      </c>
      <c r="B4920" s="5" t="s">
        <v>3408</v>
      </c>
      <c r="C4920" s="5" t="s">
        <v>3839</v>
      </c>
      <c r="D4920" s="43">
        <v>40</v>
      </c>
      <c r="E4920" s="43"/>
      <c r="F4920" s="48">
        <f t="shared" si="79"/>
        <v>4006</v>
      </c>
    </row>
    <row r="4921" spans="1:6" x14ac:dyDescent="0.3">
      <c r="A4921" s="45">
        <v>43281</v>
      </c>
      <c r="B4921" s="5" t="s">
        <v>3408</v>
      </c>
      <c r="C4921" s="5" t="s">
        <v>3840</v>
      </c>
      <c r="D4921" s="43">
        <v>300</v>
      </c>
      <c r="E4921" s="43"/>
      <c r="F4921" s="48">
        <f t="shared" si="79"/>
        <v>3706</v>
      </c>
    </row>
    <row r="4922" spans="1:6" x14ac:dyDescent="0.3">
      <c r="A4922" s="45">
        <v>43281</v>
      </c>
      <c r="B4922" s="5" t="s">
        <v>3408</v>
      </c>
      <c r="C4922" s="5" t="s">
        <v>3841</v>
      </c>
      <c r="D4922" s="43">
        <v>710</v>
      </c>
      <c r="E4922" s="43"/>
      <c r="F4922" s="48">
        <f t="shared" si="79"/>
        <v>2996</v>
      </c>
    </row>
    <row r="4923" spans="1:6" x14ac:dyDescent="0.3">
      <c r="A4923" s="45">
        <v>43281</v>
      </c>
      <c r="B4923" s="5" t="s">
        <v>3734</v>
      </c>
      <c r="C4923" s="5" t="s">
        <v>3842</v>
      </c>
      <c r="D4923" s="43">
        <v>1000</v>
      </c>
      <c r="E4923" s="43"/>
      <c r="F4923" s="48">
        <f t="shared" si="79"/>
        <v>1996</v>
      </c>
    </row>
    <row r="4924" spans="1:6" x14ac:dyDescent="0.3">
      <c r="A4924" s="45">
        <v>43281</v>
      </c>
      <c r="B4924" s="756" t="s">
        <v>1981</v>
      </c>
      <c r="C4924" s="756"/>
      <c r="D4924" s="71"/>
      <c r="E4924" s="72">
        <v>1500</v>
      </c>
      <c r="F4924" s="48">
        <f t="shared" si="79"/>
        <v>3496</v>
      </c>
    </row>
    <row r="4925" spans="1:6" x14ac:dyDescent="0.3">
      <c r="A4925" s="45">
        <v>43281</v>
      </c>
      <c r="B4925" s="5" t="s">
        <v>1616</v>
      </c>
      <c r="C4925" s="5" t="s">
        <v>3410</v>
      </c>
      <c r="D4925" s="43">
        <v>520</v>
      </c>
      <c r="E4925" s="43"/>
      <c r="F4925" s="48">
        <f t="shared" si="79"/>
        <v>2976</v>
      </c>
    </row>
    <row r="4926" spans="1:6" x14ac:dyDescent="0.3">
      <c r="A4926" s="45">
        <v>43281</v>
      </c>
      <c r="B4926" s="5" t="s">
        <v>1616</v>
      </c>
      <c r="C4926" s="5" t="s">
        <v>3703</v>
      </c>
      <c r="D4926" s="43">
        <v>1000</v>
      </c>
      <c r="E4926" s="43"/>
      <c r="F4926" s="48">
        <f t="shared" si="79"/>
        <v>1976</v>
      </c>
    </row>
    <row r="4927" spans="1:6" x14ac:dyDescent="0.3">
      <c r="A4927" s="45">
        <v>43281</v>
      </c>
      <c r="B4927" s="5" t="s">
        <v>27</v>
      </c>
      <c r="C4927" s="5" t="s">
        <v>3874</v>
      </c>
      <c r="D4927" s="43">
        <v>230</v>
      </c>
      <c r="E4927" s="43"/>
      <c r="F4927" s="48">
        <f t="shared" si="79"/>
        <v>1746</v>
      </c>
    </row>
    <row r="4928" spans="1:6" x14ac:dyDescent="0.3">
      <c r="A4928" s="45">
        <v>43281</v>
      </c>
      <c r="B4928" s="5" t="s">
        <v>84</v>
      </c>
      <c r="C4928" s="5" t="s">
        <v>3843</v>
      </c>
      <c r="D4928" s="43">
        <v>1000</v>
      </c>
      <c r="E4928" s="43"/>
      <c r="F4928" s="48">
        <f t="shared" si="79"/>
        <v>746</v>
      </c>
    </row>
    <row r="4929" spans="1:6" x14ac:dyDescent="0.3">
      <c r="A4929" s="45">
        <v>43281</v>
      </c>
      <c r="B4929" s="5" t="s">
        <v>3844</v>
      </c>
      <c r="C4929" s="5" t="s">
        <v>3845</v>
      </c>
      <c r="D4929" s="43">
        <v>100</v>
      </c>
      <c r="E4929" s="43"/>
      <c r="F4929" s="48">
        <f t="shared" si="79"/>
        <v>646</v>
      </c>
    </row>
    <row r="4930" spans="1:6" x14ac:dyDescent="0.3">
      <c r="A4930" s="45">
        <v>43281</v>
      </c>
      <c r="B4930" s="756" t="s">
        <v>3717</v>
      </c>
      <c r="C4930" s="756"/>
      <c r="D4930" s="71"/>
      <c r="E4930" s="72">
        <v>30000</v>
      </c>
      <c r="F4930" s="48">
        <f t="shared" si="79"/>
        <v>30646</v>
      </c>
    </row>
    <row r="4931" spans="1:6" x14ac:dyDescent="0.3">
      <c r="A4931" s="45">
        <v>43284</v>
      </c>
      <c r="B4931" s="5" t="s">
        <v>58</v>
      </c>
      <c r="C4931" s="5" t="s">
        <v>3846</v>
      </c>
      <c r="D4931" s="43">
        <v>7800</v>
      </c>
      <c r="E4931" s="43"/>
      <c r="F4931" s="48">
        <f t="shared" si="79"/>
        <v>22846</v>
      </c>
    </row>
    <row r="4932" spans="1:6" x14ac:dyDescent="0.3">
      <c r="A4932" s="45">
        <v>43284</v>
      </c>
      <c r="B4932" s="5" t="s">
        <v>58</v>
      </c>
      <c r="C4932" s="5" t="s">
        <v>3847</v>
      </c>
      <c r="D4932" s="43">
        <v>300</v>
      </c>
      <c r="E4932" s="43"/>
      <c r="F4932" s="48">
        <f t="shared" si="79"/>
        <v>22546</v>
      </c>
    </row>
    <row r="4933" spans="1:6" x14ac:dyDescent="0.3">
      <c r="A4933" s="45">
        <v>43284</v>
      </c>
      <c r="B4933" s="5" t="s">
        <v>58</v>
      </c>
      <c r="C4933" s="5" t="s">
        <v>1252</v>
      </c>
      <c r="D4933" s="43">
        <v>500</v>
      </c>
      <c r="E4933" s="43"/>
      <c r="F4933" s="48">
        <f t="shared" si="79"/>
        <v>22046</v>
      </c>
    </row>
    <row r="4934" spans="1:6" ht="56.25" x14ac:dyDescent="0.3">
      <c r="A4934" s="45">
        <v>43284</v>
      </c>
      <c r="B4934" s="5" t="s">
        <v>58</v>
      </c>
      <c r="C4934" s="92" t="s">
        <v>3848</v>
      </c>
      <c r="D4934" s="43">
        <v>250</v>
      </c>
      <c r="E4934" s="43"/>
      <c r="F4934" s="48">
        <f t="shared" si="79"/>
        <v>21796</v>
      </c>
    </row>
    <row r="4935" spans="1:6" x14ac:dyDescent="0.3">
      <c r="A4935" s="45">
        <v>43284</v>
      </c>
      <c r="B4935" s="5" t="s">
        <v>58</v>
      </c>
      <c r="C4935" s="5" t="s">
        <v>3849</v>
      </c>
      <c r="D4935" s="43">
        <v>50</v>
      </c>
      <c r="E4935" s="43"/>
      <c r="F4935" s="48">
        <f t="shared" si="79"/>
        <v>21746</v>
      </c>
    </row>
    <row r="4936" spans="1:6" ht="37.5" x14ac:dyDescent="0.3">
      <c r="A4936" s="45">
        <v>43284</v>
      </c>
      <c r="B4936" s="5" t="s">
        <v>2594</v>
      </c>
      <c r="C4936" s="92" t="s">
        <v>3850</v>
      </c>
      <c r="D4936" s="43">
        <v>100</v>
      </c>
      <c r="E4936" s="43"/>
      <c r="F4936" s="48">
        <f t="shared" si="79"/>
        <v>21646</v>
      </c>
    </row>
    <row r="4937" spans="1:6" x14ac:dyDescent="0.3">
      <c r="A4937" s="45">
        <v>43284</v>
      </c>
      <c r="B4937" s="5" t="s">
        <v>2594</v>
      </c>
      <c r="C4937" s="5" t="s">
        <v>3851</v>
      </c>
      <c r="D4937" s="43">
        <v>150</v>
      </c>
      <c r="E4937" s="43"/>
      <c r="F4937" s="48">
        <f t="shared" si="79"/>
        <v>21496</v>
      </c>
    </row>
    <row r="4938" spans="1:6" x14ac:dyDescent="0.3">
      <c r="A4938" s="45">
        <v>43284</v>
      </c>
      <c r="B4938" s="5" t="s">
        <v>2594</v>
      </c>
      <c r="C4938" s="5" t="s">
        <v>3852</v>
      </c>
      <c r="D4938" s="43">
        <v>300</v>
      </c>
      <c r="E4938" s="43"/>
      <c r="F4938" s="48">
        <f t="shared" si="79"/>
        <v>21196</v>
      </c>
    </row>
    <row r="4939" spans="1:6" x14ac:dyDescent="0.3">
      <c r="A4939" s="45">
        <v>43284</v>
      </c>
      <c r="B4939" s="5" t="s">
        <v>2594</v>
      </c>
      <c r="C4939" s="5" t="s">
        <v>3853</v>
      </c>
      <c r="D4939" s="43">
        <v>300</v>
      </c>
      <c r="E4939" s="43"/>
      <c r="F4939" s="48">
        <f t="shared" ref="F4939:F5002" si="80">F4938-D4939+E4939</f>
        <v>20896</v>
      </c>
    </row>
    <row r="4940" spans="1:6" x14ac:dyDescent="0.3">
      <c r="A4940" s="45">
        <v>43284</v>
      </c>
      <c r="B4940" s="5" t="s">
        <v>25</v>
      </c>
      <c r="C4940" s="5" t="s">
        <v>3854</v>
      </c>
      <c r="D4940" s="43">
        <v>100</v>
      </c>
      <c r="E4940" s="43"/>
      <c r="F4940" s="48">
        <f t="shared" si="80"/>
        <v>20796</v>
      </c>
    </row>
    <row r="4941" spans="1:6" x14ac:dyDescent="0.3">
      <c r="A4941" s="45">
        <v>43284</v>
      </c>
      <c r="B4941" s="5" t="s">
        <v>2570</v>
      </c>
      <c r="C4941" s="5" t="s">
        <v>3568</v>
      </c>
      <c r="D4941" s="43">
        <v>300</v>
      </c>
      <c r="E4941" s="43"/>
      <c r="F4941" s="48">
        <f t="shared" si="80"/>
        <v>20496</v>
      </c>
    </row>
    <row r="4942" spans="1:6" x14ac:dyDescent="0.3">
      <c r="A4942" s="45">
        <v>43284</v>
      </c>
      <c r="B4942" s="5" t="s">
        <v>27</v>
      </c>
      <c r="C4942" s="5" t="s">
        <v>3855</v>
      </c>
      <c r="D4942" s="43">
        <v>2500</v>
      </c>
      <c r="E4942" s="43"/>
      <c r="F4942" s="48">
        <f t="shared" si="80"/>
        <v>17996</v>
      </c>
    </row>
    <row r="4943" spans="1:6" x14ac:dyDescent="0.3">
      <c r="A4943" s="45">
        <v>43284</v>
      </c>
      <c r="B4943" s="5" t="s">
        <v>0</v>
      </c>
      <c r="C4943" s="5" t="s">
        <v>3856</v>
      </c>
      <c r="D4943" s="43">
        <v>2000</v>
      </c>
      <c r="E4943" s="43"/>
      <c r="F4943" s="48">
        <f t="shared" si="80"/>
        <v>15996</v>
      </c>
    </row>
    <row r="4944" spans="1:6" x14ac:dyDescent="0.3">
      <c r="A4944" s="45">
        <v>43284</v>
      </c>
      <c r="B4944" s="5" t="s">
        <v>1458</v>
      </c>
      <c r="C4944" s="5" t="s">
        <v>3857</v>
      </c>
      <c r="D4944" s="43">
        <v>1000</v>
      </c>
      <c r="E4944" s="43"/>
      <c r="F4944" s="48">
        <f t="shared" si="80"/>
        <v>14996</v>
      </c>
    </row>
    <row r="4945" spans="1:6" x14ac:dyDescent="0.3">
      <c r="A4945" s="45">
        <v>43284</v>
      </c>
      <c r="B4945" s="5" t="s">
        <v>1458</v>
      </c>
      <c r="C4945" s="5" t="s">
        <v>3896</v>
      </c>
      <c r="D4945" s="43">
        <v>1700</v>
      </c>
      <c r="E4945" s="43"/>
      <c r="F4945" s="48">
        <f t="shared" si="80"/>
        <v>13296</v>
      </c>
    </row>
    <row r="4946" spans="1:6" x14ac:dyDescent="0.3">
      <c r="A4946" s="45">
        <v>43285</v>
      </c>
      <c r="B4946" s="5" t="s">
        <v>14</v>
      </c>
      <c r="C4946" s="5" t="s">
        <v>294</v>
      </c>
      <c r="D4946" s="43">
        <v>3000</v>
      </c>
      <c r="E4946" s="43"/>
      <c r="F4946" s="48">
        <f t="shared" si="80"/>
        <v>10296</v>
      </c>
    </row>
    <row r="4947" spans="1:6" x14ac:dyDescent="0.3">
      <c r="A4947" s="45">
        <v>43285</v>
      </c>
      <c r="B4947" s="5" t="s">
        <v>3814</v>
      </c>
      <c r="C4947" s="5" t="s">
        <v>3858</v>
      </c>
      <c r="D4947" s="43">
        <v>500</v>
      </c>
      <c r="E4947" s="43"/>
      <c r="F4947" s="48">
        <f t="shared" si="80"/>
        <v>9796</v>
      </c>
    </row>
    <row r="4948" spans="1:6" x14ac:dyDescent="0.3">
      <c r="A4948" s="45">
        <v>43285</v>
      </c>
      <c r="B4948" s="5" t="s">
        <v>58</v>
      </c>
      <c r="C4948" s="5" t="s">
        <v>3897</v>
      </c>
      <c r="D4948" s="43">
        <v>100</v>
      </c>
      <c r="E4948" s="43"/>
      <c r="F4948" s="48">
        <f t="shared" si="80"/>
        <v>9696</v>
      </c>
    </row>
    <row r="4949" spans="1:6" x14ac:dyDescent="0.3">
      <c r="A4949" s="45">
        <v>43285</v>
      </c>
      <c r="B4949" s="5" t="s">
        <v>58</v>
      </c>
      <c r="C4949" s="92" t="s">
        <v>3883</v>
      </c>
      <c r="D4949" s="43">
        <f>7090-150</f>
        <v>6940</v>
      </c>
      <c r="E4949" s="43"/>
      <c r="F4949" s="48">
        <f t="shared" si="80"/>
        <v>2756</v>
      </c>
    </row>
    <row r="4950" spans="1:6" x14ac:dyDescent="0.3">
      <c r="A4950" s="45">
        <v>43285</v>
      </c>
      <c r="B4950" s="5" t="s">
        <v>58</v>
      </c>
      <c r="C4950" s="5" t="s">
        <v>3882</v>
      </c>
      <c r="D4950" s="43">
        <v>150</v>
      </c>
      <c r="E4950" s="43"/>
      <c r="F4950" s="48">
        <f t="shared" si="80"/>
        <v>2606</v>
      </c>
    </row>
    <row r="4951" spans="1:6" x14ac:dyDescent="0.3">
      <c r="A4951" s="45">
        <v>43281</v>
      </c>
      <c r="B4951" s="756" t="s">
        <v>3717</v>
      </c>
      <c r="C4951" s="756"/>
      <c r="D4951" s="71"/>
      <c r="E4951" s="72">
        <v>100000</v>
      </c>
      <c r="F4951" s="48">
        <f t="shared" si="80"/>
        <v>102606</v>
      </c>
    </row>
    <row r="4952" spans="1:6" x14ac:dyDescent="0.3">
      <c r="A4952" s="45">
        <v>43285</v>
      </c>
      <c r="B4952" s="5" t="s">
        <v>3860</v>
      </c>
      <c r="C4952" s="5" t="s">
        <v>3861</v>
      </c>
      <c r="D4952" s="43">
        <v>1500</v>
      </c>
      <c r="E4952" s="43"/>
      <c r="F4952" s="48">
        <f t="shared" si="80"/>
        <v>101106</v>
      </c>
    </row>
    <row r="4953" spans="1:6" x14ac:dyDescent="0.3">
      <c r="A4953" s="45">
        <v>43285</v>
      </c>
      <c r="B4953" s="5" t="s">
        <v>58</v>
      </c>
      <c r="C4953" s="5" t="s">
        <v>3863</v>
      </c>
      <c r="D4953" s="43">
        <v>78500</v>
      </c>
      <c r="E4953" s="43"/>
      <c r="F4953" s="48">
        <f t="shared" si="80"/>
        <v>22606</v>
      </c>
    </row>
    <row r="4954" spans="1:6" x14ac:dyDescent="0.3">
      <c r="A4954" s="45">
        <v>43285</v>
      </c>
      <c r="B4954" s="5" t="s">
        <v>2570</v>
      </c>
      <c r="C4954" s="5" t="s">
        <v>3862</v>
      </c>
      <c r="D4954" s="43">
        <v>200</v>
      </c>
      <c r="E4954" s="43"/>
      <c r="F4954" s="48">
        <f t="shared" si="80"/>
        <v>22406</v>
      </c>
    </row>
    <row r="4955" spans="1:6" x14ac:dyDescent="0.3">
      <c r="A4955" s="45">
        <v>43285</v>
      </c>
      <c r="B4955" s="756" t="s">
        <v>3416</v>
      </c>
      <c r="C4955" s="756"/>
      <c r="D4955" s="71"/>
      <c r="E4955" s="72">
        <v>42534</v>
      </c>
      <c r="F4955" s="48">
        <f t="shared" si="80"/>
        <v>64940</v>
      </c>
    </row>
    <row r="4956" spans="1:6" x14ac:dyDescent="0.3">
      <c r="A4956" s="45">
        <v>43285</v>
      </c>
      <c r="B4956" s="5" t="s">
        <v>2594</v>
      </c>
      <c r="C4956" s="5" t="s">
        <v>3859</v>
      </c>
      <c r="D4956" s="43">
        <v>6000</v>
      </c>
      <c r="E4956" s="43"/>
      <c r="F4956" s="48">
        <f t="shared" si="80"/>
        <v>58940</v>
      </c>
    </row>
    <row r="4957" spans="1:6" x14ac:dyDescent="0.3">
      <c r="A4957" s="45">
        <v>43285</v>
      </c>
      <c r="B4957" s="5" t="s">
        <v>14</v>
      </c>
      <c r="C4957" s="5" t="s">
        <v>3865</v>
      </c>
      <c r="D4957" s="168">
        <v>4750</v>
      </c>
      <c r="E4957" s="43"/>
      <c r="F4957" s="48">
        <f t="shared" si="80"/>
        <v>54190</v>
      </c>
    </row>
    <row r="4958" spans="1:6" x14ac:dyDescent="0.3">
      <c r="A4958" s="45">
        <v>43286</v>
      </c>
      <c r="B4958" s="5" t="s">
        <v>14</v>
      </c>
      <c r="C4958" s="5" t="s">
        <v>3866</v>
      </c>
      <c r="D4958" s="168">
        <v>9550</v>
      </c>
      <c r="E4958" s="43"/>
      <c r="F4958" s="48">
        <f t="shared" si="80"/>
        <v>44640</v>
      </c>
    </row>
    <row r="4959" spans="1:6" x14ac:dyDescent="0.3">
      <c r="A4959" s="45">
        <v>43286</v>
      </c>
      <c r="B4959" s="5" t="s">
        <v>3825</v>
      </c>
      <c r="C4959" s="5" t="s">
        <v>3864</v>
      </c>
      <c r="D4959" s="43">
        <v>1140</v>
      </c>
      <c r="E4959" s="43"/>
      <c r="F4959" s="48">
        <f t="shared" si="80"/>
        <v>43500</v>
      </c>
    </row>
    <row r="4960" spans="1:6" x14ac:dyDescent="0.3">
      <c r="A4960" s="45">
        <v>43286</v>
      </c>
      <c r="B4960" s="5" t="s">
        <v>54</v>
      </c>
      <c r="C4960" s="5" t="s">
        <v>3867</v>
      </c>
      <c r="D4960" s="43">
        <v>2000</v>
      </c>
      <c r="E4960" s="43"/>
      <c r="F4960" s="48">
        <f t="shared" si="80"/>
        <v>41500</v>
      </c>
    </row>
    <row r="4961" spans="1:6" x14ac:dyDescent="0.3">
      <c r="A4961" s="45">
        <v>43286</v>
      </c>
      <c r="B4961" s="5" t="s">
        <v>54</v>
      </c>
      <c r="C4961" s="5" t="s">
        <v>3868</v>
      </c>
      <c r="D4961" s="43">
        <v>2000</v>
      </c>
      <c r="E4961" s="43"/>
      <c r="F4961" s="48">
        <f t="shared" si="80"/>
        <v>39500</v>
      </c>
    </row>
    <row r="4962" spans="1:6" ht="37.5" x14ac:dyDescent="0.3">
      <c r="A4962" s="45">
        <v>43286</v>
      </c>
      <c r="B4962" s="5" t="s">
        <v>3408</v>
      </c>
      <c r="C4962" s="92" t="s">
        <v>3869</v>
      </c>
      <c r="D4962" s="43">
        <v>150</v>
      </c>
      <c r="E4962" s="43"/>
      <c r="F4962" s="48">
        <f t="shared" si="80"/>
        <v>39350</v>
      </c>
    </row>
    <row r="4963" spans="1:6" x14ac:dyDescent="0.3">
      <c r="A4963" s="45">
        <v>43286</v>
      </c>
      <c r="B4963" s="5" t="s">
        <v>3425</v>
      </c>
      <c r="C4963" s="5" t="s">
        <v>3870</v>
      </c>
      <c r="D4963" s="43">
        <v>800</v>
      </c>
      <c r="E4963" s="43"/>
      <c r="F4963" s="48">
        <f t="shared" si="80"/>
        <v>38550</v>
      </c>
    </row>
    <row r="4964" spans="1:6" x14ac:dyDescent="0.3">
      <c r="A4964" s="45">
        <v>43286</v>
      </c>
      <c r="B4964" s="5" t="s">
        <v>3624</v>
      </c>
      <c r="C4964" s="5" t="s">
        <v>3871</v>
      </c>
      <c r="D4964" s="43">
        <v>450</v>
      </c>
      <c r="E4964" s="43"/>
      <c r="F4964" s="48">
        <f t="shared" si="80"/>
        <v>38100</v>
      </c>
    </row>
    <row r="4965" spans="1:6" x14ac:dyDescent="0.3">
      <c r="A4965" s="45">
        <v>43286</v>
      </c>
      <c r="B4965" s="5" t="s">
        <v>3814</v>
      </c>
      <c r="C4965" s="5" t="s">
        <v>3872</v>
      </c>
      <c r="D4965" s="43">
        <v>330</v>
      </c>
      <c r="E4965" s="43"/>
      <c r="F4965" s="48">
        <f t="shared" si="80"/>
        <v>37770</v>
      </c>
    </row>
    <row r="4966" spans="1:6" x14ac:dyDescent="0.3">
      <c r="A4966" s="45">
        <v>43286</v>
      </c>
      <c r="B4966" s="5" t="s">
        <v>3814</v>
      </c>
      <c r="C4966" s="5" t="s">
        <v>2811</v>
      </c>
      <c r="D4966" s="43">
        <v>680</v>
      </c>
      <c r="E4966" s="43"/>
      <c r="F4966" s="48">
        <f t="shared" si="80"/>
        <v>37090</v>
      </c>
    </row>
    <row r="4967" spans="1:6" ht="37.5" x14ac:dyDescent="0.3">
      <c r="A4967" s="45">
        <v>43286</v>
      </c>
      <c r="B4967" s="5" t="s">
        <v>25</v>
      </c>
      <c r="C4967" s="92" t="s">
        <v>3873</v>
      </c>
      <c r="D4967" s="43">
        <f>350+80+60+100</f>
        <v>590</v>
      </c>
      <c r="E4967" s="43"/>
      <c r="F4967" s="48">
        <f t="shared" si="80"/>
        <v>36500</v>
      </c>
    </row>
    <row r="4968" spans="1:6" x14ac:dyDescent="0.3">
      <c r="A4968" s="45">
        <v>43287</v>
      </c>
      <c r="B4968" s="5" t="s">
        <v>11</v>
      </c>
      <c r="C4968" s="5" t="s">
        <v>3875</v>
      </c>
      <c r="D4968" s="43">
        <v>1000</v>
      </c>
      <c r="E4968" s="43"/>
      <c r="F4968" s="48">
        <f t="shared" si="80"/>
        <v>35500</v>
      </c>
    </row>
    <row r="4969" spans="1:6" x14ac:dyDescent="0.3">
      <c r="A4969" s="45">
        <v>43287</v>
      </c>
      <c r="B4969" s="5" t="s">
        <v>100</v>
      </c>
      <c r="C4969" s="5" t="s">
        <v>3876</v>
      </c>
      <c r="D4969" s="43">
        <v>100</v>
      </c>
      <c r="E4969" s="43"/>
      <c r="F4969" s="48">
        <f t="shared" si="80"/>
        <v>35400</v>
      </c>
    </row>
    <row r="4970" spans="1:6" x14ac:dyDescent="0.3">
      <c r="A4970" s="45">
        <v>43287</v>
      </c>
      <c r="B4970" s="5" t="s">
        <v>3207</v>
      </c>
      <c r="C4970" s="5" t="s">
        <v>3208</v>
      </c>
      <c r="D4970" s="43">
        <v>4000</v>
      </c>
      <c r="E4970" s="43"/>
      <c r="F4970" s="48">
        <f t="shared" si="80"/>
        <v>31400</v>
      </c>
    </row>
    <row r="4971" spans="1:6" x14ac:dyDescent="0.3">
      <c r="A4971" s="45">
        <v>43287</v>
      </c>
      <c r="B4971" s="5" t="s">
        <v>58</v>
      </c>
      <c r="C4971" s="5" t="s">
        <v>3879</v>
      </c>
      <c r="D4971" s="43">
        <v>5115</v>
      </c>
      <c r="E4971" s="43"/>
      <c r="F4971" s="48">
        <f t="shared" si="80"/>
        <v>26285</v>
      </c>
    </row>
    <row r="4972" spans="1:6" x14ac:dyDescent="0.3">
      <c r="A4972" s="45">
        <v>43287</v>
      </c>
      <c r="B4972" s="5" t="s">
        <v>58</v>
      </c>
      <c r="C4972" s="5" t="s">
        <v>3880</v>
      </c>
      <c r="D4972" s="43">
        <v>250</v>
      </c>
      <c r="E4972" s="43"/>
      <c r="F4972" s="48">
        <f t="shared" si="80"/>
        <v>26035</v>
      </c>
    </row>
    <row r="4973" spans="1:6" x14ac:dyDescent="0.3">
      <c r="A4973" s="45">
        <v>43287</v>
      </c>
      <c r="B4973" s="5" t="s">
        <v>58</v>
      </c>
      <c r="C4973" s="5" t="s">
        <v>3881</v>
      </c>
      <c r="D4973" s="43">
        <v>400</v>
      </c>
      <c r="E4973" s="43"/>
      <c r="F4973" s="48">
        <f t="shared" si="80"/>
        <v>25635</v>
      </c>
    </row>
    <row r="4974" spans="1:6" x14ac:dyDescent="0.3">
      <c r="A4974" s="45">
        <v>43287</v>
      </c>
      <c r="B4974" s="5" t="s">
        <v>58</v>
      </c>
      <c r="C4974" s="5" t="s">
        <v>3882</v>
      </c>
      <c r="D4974" s="43">
        <v>150</v>
      </c>
      <c r="E4974" s="43"/>
      <c r="F4974" s="48">
        <f t="shared" si="80"/>
        <v>25485</v>
      </c>
    </row>
    <row r="4975" spans="1:6" x14ac:dyDescent="0.3">
      <c r="A4975" s="45">
        <v>43287</v>
      </c>
      <c r="B4975" s="5" t="s">
        <v>541</v>
      </c>
      <c r="C4975" s="5" t="s">
        <v>3877</v>
      </c>
      <c r="D4975" s="43">
        <v>20000</v>
      </c>
      <c r="E4975" s="43"/>
      <c r="F4975" s="48">
        <f t="shared" si="80"/>
        <v>5485</v>
      </c>
    </row>
    <row r="4976" spans="1:6" x14ac:dyDescent="0.3">
      <c r="A4976" s="45">
        <v>43288</v>
      </c>
      <c r="B4976" s="5" t="s">
        <v>3408</v>
      </c>
      <c r="C4976" s="5" t="s">
        <v>2311</v>
      </c>
      <c r="D4976" s="43">
        <v>1500</v>
      </c>
      <c r="E4976" s="43"/>
      <c r="F4976" s="48">
        <f t="shared" si="80"/>
        <v>3985</v>
      </c>
    </row>
    <row r="4977" spans="1:6" x14ac:dyDescent="0.3">
      <c r="A4977" s="45">
        <v>43290</v>
      </c>
      <c r="B4977" s="5" t="s">
        <v>3734</v>
      </c>
      <c r="C4977" s="5" t="s">
        <v>3878</v>
      </c>
      <c r="D4977" s="43">
        <v>1110</v>
      </c>
      <c r="E4977" s="43"/>
      <c r="F4977" s="48">
        <f t="shared" si="80"/>
        <v>2875</v>
      </c>
    </row>
    <row r="4978" spans="1:6" x14ac:dyDescent="0.3">
      <c r="A4978" s="45">
        <v>43290</v>
      </c>
      <c r="B4978" s="5" t="s">
        <v>16</v>
      </c>
      <c r="C4978" s="5" t="s">
        <v>3884</v>
      </c>
      <c r="D4978" s="43">
        <v>1000</v>
      </c>
      <c r="E4978" s="43"/>
      <c r="F4978" s="48">
        <f t="shared" si="80"/>
        <v>1875</v>
      </c>
    </row>
    <row r="4979" spans="1:6" x14ac:dyDescent="0.3">
      <c r="A4979" s="45">
        <v>43290</v>
      </c>
      <c r="B4979" s="756" t="s">
        <v>3717</v>
      </c>
      <c r="C4979" s="756"/>
      <c r="D4979" s="71"/>
      <c r="E4979" s="72">
        <v>50000</v>
      </c>
      <c r="F4979" s="48">
        <f t="shared" si="80"/>
        <v>51875</v>
      </c>
    </row>
    <row r="4980" spans="1:6" x14ac:dyDescent="0.3">
      <c r="A4980" s="45">
        <v>43290</v>
      </c>
      <c r="B4980" s="5" t="s">
        <v>58</v>
      </c>
      <c r="C4980" s="5" t="s">
        <v>3143</v>
      </c>
      <c r="D4980" s="43">
        <v>5000</v>
      </c>
      <c r="E4980" s="43"/>
      <c r="F4980" s="48">
        <f t="shared" si="80"/>
        <v>46875</v>
      </c>
    </row>
    <row r="4981" spans="1:6" x14ac:dyDescent="0.3">
      <c r="A4981" s="45">
        <v>43290</v>
      </c>
      <c r="B4981" s="5" t="s">
        <v>54</v>
      </c>
      <c r="C4981" s="5" t="s">
        <v>3885</v>
      </c>
      <c r="D4981" s="43">
        <v>4200</v>
      </c>
      <c r="E4981" s="43"/>
      <c r="F4981" s="48">
        <f t="shared" si="80"/>
        <v>42675</v>
      </c>
    </row>
    <row r="4982" spans="1:6" x14ac:dyDescent="0.3">
      <c r="A4982" s="45">
        <v>43290</v>
      </c>
      <c r="B4982" s="5" t="s">
        <v>54</v>
      </c>
      <c r="C4982" s="5" t="s">
        <v>3886</v>
      </c>
      <c r="D4982" s="43">
        <v>18000</v>
      </c>
      <c r="E4982" s="43"/>
      <c r="F4982" s="48">
        <f t="shared" si="80"/>
        <v>24675</v>
      </c>
    </row>
    <row r="4983" spans="1:6" x14ac:dyDescent="0.3">
      <c r="A4983" s="45">
        <v>43290</v>
      </c>
      <c r="B4983" s="5" t="s">
        <v>54</v>
      </c>
      <c r="C4983" s="5" t="s">
        <v>3887</v>
      </c>
      <c r="D4983" s="43">
        <v>12200</v>
      </c>
      <c r="E4983" s="43"/>
      <c r="F4983" s="48">
        <f t="shared" si="80"/>
        <v>12475</v>
      </c>
    </row>
    <row r="4984" spans="1:6" x14ac:dyDescent="0.3">
      <c r="A4984" s="45">
        <v>43290</v>
      </c>
      <c r="B4984" s="5" t="s">
        <v>84</v>
      </c>
      <c r="C4984" s="5" t="s">
        <v>3888</v>
      </c>
      <c r="D4984" s="43">
        <v>7500</v>
      </c>
      <c r="E4984" s="43"/>
      <c r="F4984" s="48">
        <f t="shared" si="80"/>
        <v>4975</v>
      </c>
    </row>
    <row r="4985" spans="1:6" x14ac:dyDescent="0.3">
      <c r="A4985" s="45">
        <v>43290</v>
      </c>
      <c r="B4985" s="5" t="s">
        <v>11</v>
      </c>
      <c r="C4985" s="5" t="s">
        <v>3889</v>
      </c>
      <c r="D4985" s="43">
        <v>2650</v>
      </c>
      <c r="E4985" s="43"/>
      <c r="F4985" s="48">
        <f t="shared" si="80"/>
        <v>2325</v>
      </c>
    </row>
    <row r="4986" spans="1:6" x14ac:dyDescent="0.3">
      <c r="A4986" s="45">
        <v>43290</v>
      </c>
      <c r="B4986" s="5" t="s">
        <v>2594</v>
      </c>
      <c r="C4986" s="5" t="s">
        <v>3890</v>
      </c>
      <c r="D4986" s="43">
        <v>550</v>
      </c>
      <c r="E4986" s="43"/>
      <c r="F4986" s="48">
        <f t="shared" si="80"/>
        <v>1775</v>
      </c>
    </row>
    <row r="4987" spans="1:6" x14ac:dyDescent="0.3">
      <c r="A4987" s="45">
        <v>43290</v>
      </c>
      <c r="B4987" s="5" t="s">
        <v>1787</v>
      </c>
      <c r="C4987" s="5" t="s">
        <v>3891</v>
      </c>
      <c r="D4987" s="43">
        <v>1200</v>
      </c>
      <c r="E4987" s="43"/>
      <c r="F4987" s="48">
        <f t="shared" si="80"/>
        <v>575</v>
      </c>
    </row>
    <row r="4988" spans="1:6" x14ac:dyDescent="0.3">
      <c r="A4988" s="45">
        <v>43291</v>
      </c>
      <c r="B4988" s="5" t="s">
        <v>108</v>
      </c>
      <c r="C4988" s="5" t="s">
        <v>3892</v>
      </c>
      <c r="D4988" s="43">
        <v>150</v>
      </c>
      <c r="E4988" s="43"/>
      <c r="F4988" s="48">
        <f t="shared" si="80"/>
        <v>425</v>
      </c>
    </row>
    <row r="4989" spans="1:6" x14ac:dyDescent="0.3">
      <c r="A4989" s="45">
        <v>43291</v>
      </c>
      <c r="B4989" s="5" t="s">
        <v>3814</v>
      </c>
      <c r="C4989" s="5" t="s">
        <v>3895</v>
      </c>
      <c r="D4989" s="43">
        <v>390</v>
      </c>
      <c r="E4989" s="43"/>
      <c r="F4989" s="48">
        <f t="shared" si="80"/>
        <v>35</v>
      </c>
    </row>
    <row r="4990" spans="1:6" x14ac:dyDescent="0.3">
      <c r="A4990" s="45">
        <v>43290</v>
      </c>
      <c r="B4990" s="756" t="s">
        <v>3948</v>
      </c>
      <c r="C4990" s="756"/>
      <c r="D4990" s="71"/>
      <c r="E4990" s="72">
        <v>300000</v>
      </c>
      <c r="F4990" s="48">
        <f t="shared" si="80"/>
        <v>300035</v>
      </c>
    </row>
    <row r="4991" spans="1:6" x14ac:dyDescent="0.3">
      <c r="A4991" s="45">
        <v>43291</v>
      </c>
      <c r="B4991" s="5" t="s">
        <v>3559</v>
      </c>
      <c r="C4991" s="5" t="s">
        <v>3949</v>
      </c>
      <c r="D4991" s="43">
        <v>95000</v>
      </c>
      <c r="E4991" s="43"/>
      <c r="F4991" s="48">
        <f t="shared" si="80"/>
        <v>205035</v>
      </c>
    </row>
    <row r="4992" spans="1:6" x14ac:dyDescent="0.3">
      <c r="A4992" s="45">
        <v>43291</v>
      </c>
      <c r="B4992" s="5" t="s">
        <v>3950</v>
      </c>
      <c r="C4992" s="5" t="s">
        <v>3951</v>
      </c>
      <c r="D4992" s="43">
        <v>67000</v>
      </c>
      <c r="E4992" s="43"/>
      <c r="F4992" s="48">
        <f t="shared" si="80"/>
        <v>138035</v>
      </c>
    </row>
    <row r="4993" spans="1:6" ht="37.5" x14ac:dyDescent="0.3">
      <c r="A4993" s="45">
        <v>43295</v>
      </c>
      <c r="B4993" s="5" t="s">
        <v>3766</v>
      </c>
      <c r="C4993" s="92" t="s">
        <v>3912</v>
      </c>
      <c r="D4993" s="43">
        <v>59824</v>
      </c>
      <c r="E4993" s="43"/>
      <c r="F4993" s="48">
        <f t="shared" si="80"/>
        <v>78211</v>
      </c>
    </row>
    <row r="4994" spans="1:6" ht="56.25" x14ac:dyDescent="0.3">
      <c r="A4994" s="45">
        <v>43294</v>
      </c>
      <c r="B4994" s="5" t="s">
        <v>58</v>
      </c>
      <c r="C4994" s="92" t="s">
        <v>3953</v>
      </c>
      <c r="D4994" s="43">
        <f>51230-300</f>
        <v>50930</v>
      </c>
      <c r="E4994" s="43"/>
      <c r="F4994" s="48">
        <f t="shared" si="80"/>
        <v>27281</v>
      </c>
    </row>
    <row r="4995" spans="1:6" x14ac:dyDescent="0.3">
      <c r="A4995" s="45">
        <v>43294</v>
      </c>
      <c r="B4995" s="5" t="s">
        <v>16</v>
      </c>
      <c r="C4995" s="92" t="s">
        <v>3954</v>
      </c>
      <c r="D4995" s="43">
        <v>15240</v>
      </c>
      <c r="E4995" s="43"/>
      <c r="F4995" s="48">
        <f t="shared" si="80"/>
        <v>12041</v>
      </c>
    </row>
    <row r="4996" spans="1:6" x14ac:dyDescent="0.3">
      <c r="A4996" s="45">
        <v>43294</v>
      </c>
      <c r="B4996" s="756" t="s">
        <v>3909</v>
      </c>
      <c r="C4996" s="756"/>
      <c r="D4996" s="71"/>
      <c r="E4996" s="72">
        <v>378000</v>
      </c>
      <c r="F4996" s="48">
        <f t="shared" si="80"/>
        <v>390041</v>
      </c>
    </row>
    <row r="4997" spans="1:6" x14ac:dyDescent="0.3">
      <c r="A4997" s="45">
        <v>43292</v>
      </c>
      <c r="B4997" s="5" t="s">
        <v>18</v>
      </c>
      <c r="C4997" s="92" t="s">
        <v>40</v>
      </c>
      <c r="D4997" s="43">
        <v>6000</v>
      </c>
      <c r="E4997" s="43"/>
      <c r="F4997" s="48">
        <f>F4996-D4997+E4997</f>
        <v>384041</v>
      </c>
    </row>
    <row r="4998" spans="1:6" ht="56.25" x14ac:dyDescent="0.3">
      <c r="A4998" s="45">
        <v>43292</v>
      </c>
      <c r="B4998" s="5" t="s">
        <v>58</v>
      </c>
      <c r="C4998" s="92" t="s">
        <v>3923</v>
      </c>
      <c r="D4998" s="43">
        <f>33458-150</f>
        <v>33308</v>
      </c>
      <c r="E4998" s="43"/>
      <c r="F4998" s="48">
        <f>F4997-D4998+E4998</f>
        <v>350733</v>
      </c>
    </row>
    <row r="4999" spans="1:6" x14ac:dyDescent="0.3">
      <c r="A4999" s="45">
        <v>43292</v>
      </c>
      <c r="B4999" s="5" t="s">
        <v>58</v>
      </c>
      <c r="C4999" s="92" t="s">
        <v>3924</v>
      </c>
      <c r="D4999" s="43">
        <v>150</v>
      </c>
      <c r="E4999" s="43"/>
      <c r="F4999" s="48">
        <f t="shared" si="80"/>
        <v>350583</v>
      </c>
    </row>
    <row r="5000" spans="1:6" x14ac:dyDescent="0.3">
      <c r="A5000" s="45">
        <v>43298</v>
      </c>
      <c r="B5000" s="5" t="s">
        <v>3929</v>
      </c>
      <c r="C5000" s="5" t="s">
        <v>3930</v>
      </c>
      <c r="D5000" s="43">
        <v>50000</v>
      </c>
      <c r="E5000" s="43"/>
      <c r="F5000" s="48">
        <f t="shared" si="80"/>
        <v>300583</v>
      </c>
    </row>
    <row r="5001" spans="1:6" ht="56.25" x14ac:dyDescent="0.3">
      <c r="A5001" s="45">
        <v>43294</v>
      </c>
      <c r="B5001" s="5" t="s">
        <v>58</v>
      </c>
      <c r="C5001" s="92" t="s">
        <v>3928</v>
      </c>
      <c r="D5001" s="43">
        <v>27569</v>
      </c>
      <c r="E5001" s="43"/>
      <c r="F5001" s="48">
        <f t="shared" si="80"/>
        <v>273014</v>
      </c>
    </row>
    <row r="5002" spans="1:6" x14ac:dyDescent="0.3">
      <c r="A5002" s="45">
        <v>43297</v>
      </c>
      <c r="B5002" s="5" t="s">
        <v>3913</v>
      </c>
      <c r="C5002" s="5" t="s">
        <v>3914</v>
      </c>
      <c r="D5002" s="43">
        <v>10000</v>
      </c>
      <c r="E5002" s="43"/>
      <c r="F5002" s="48">
        <f t="shared" si="80"/>
        <v>263014</v>
      </c>
    </row>
    <row r="5003" spans="1:6" x14ac:dyDescent="0.3">
      <c r="A5003" s="45">
        <v>43297</v>
      </c>
      <c r="B5003" s="5" t="s">
        <v>14</v>
      </c>
      <c r="C5003" s="5" t="s">
        <v>3940</v>
      </c>
      <c r="D5003" s="43">
        <v>18000</v>
      </c>
      <c r="E5003" s="43"/>
      <c r="F5003" s="48">
        <f t="shared" ref="F5003:F5066" si="81">F5002-D5003+E5003</f>
        <v>245014</v>
      </c>
    </row>
    <row r="5004" spans="1:6" x14ac:dyDescent="0.3">
      <c r="A5004" s="45">
        <v>43298</v>
      </c>
      <c r="B5004" s="5" t="s">
        <v>58</v>
      </c>
      <c r="C5004" s="5" t="s">
        <v>3943</v>
      </c>
      <c r="D5004" s="43">
        <v>19900</v>
      </c>
      <c r="E5004" s="43"/>
      <c r="F5004" s="48">
        <f t="shared" si="81"/>
        <v>225114</v>
      </c>
    </row>
    <row r="5005" spans="1:6" x14ac:dyDescent="0.3">
      <c r="A5005" s="45">
        <v>43299</v>
      </c>
      <c r="B5005" s="5" t="s">
        <v>14</v>
      </c>
      <c r="C5005" s="5" t="s">
        <v>3933</v>
      </c>
      <c r="D5005" s="43">
        <v>26000</v>
      </c>
      <c r="E5005" s="43"/>
      <c r="F5005" s="48">
        <f t="shared" si="81"/>
        <v>199114</v>
      </c>
    </row>
    <row r="5006" spans="1:6" x14ac:dyDescent="0.3">
      <c r="A5006" s="45">
        <v>43294</v>
      </c>
      <c r="B5006" s="5" t="s">
        <v>16</v>
      </c>
      <c r="C5006" s="92" t="s">
        <v>3954</v>
      </c>
      <c r="D5006" s="43">
        <v>36100</v>
      </c>
      <c r="E5006" s="43"/>
      <c r="F5006" s="48">
        <f t="shared" si="81"/>
        <v>163014</v>
      </c>
    </row>
    <row r="5007" spans="1:6" ht="56.25" x14ac:dyDescent="0.3">
      <c r="A5007" s="45">
        <v>43291</v>
      </c>
      <c r="B5007" s="5" t="s">
        <v>25</v>
      </c>
      <c r="C5007" s="92" t="s">
        <v>3893</v>
      </c>
      <c r="D5007" s="43">
        <f>30+60+300+100+30+250+120+80</f>
        <v>970</v>
      </c>
      <c r="E5007" s="43"/>
      <c r="F5007" s="48">
        <f t="shared" si="81"/>
        <v>162044</v>
      </c>
    </row>
    <row r="5008" spans="1:6" x14ac:dyDescent="0.3">
      <c r="A5008" s="45">
        <v>43291</v>
      </c>
      <c r="B5008" s="5" t="s">
        <v>3624</v>
      </c>
      <c r="C5008" s="5" t="s">
        <v>3894</v>
      </c>
      <c r="D5008" s="43">
        <v>300</v>
      </c>
      <c r="E5008" s="43"/>
      <c r="F5008" s="48">
        <f t="shared" si="81"/>
        <v>161744</v>
      </c>
    </row>
    <row r="5009" spans="1:6" x14ac:dyDescent="0.3">
      <c r="A5009" s="45">
        <v>43291</v>
      </c>
      <c r="B5009" s="5" t="s">
        <v>2948</v>
      </c>
      <c r="C5009" s="5" t="s">
        <v>2949</v>
      </c>
      <c r="D5009" s="43">
        <v>90</v>
      </c>
      <c r="E5009" s="43"/>
      <c r="F5009" s="48">
        <f t="shared" si="81"/>
        <v>161654</v>
      </c>
    </row>
    <row r="5010" spans="1:6" x14ac:dyDescent="0.3">
      <c r="A5010" s="45">
        <v>43291</v>
      </c>
      <c r="B5010" s="5" t="s">
        <v>25</v>
      </c>
      <c r="C5010" s="5" t="s">
        <v>3898</v>
      </c>
      <c r="D5010" s="43">
        <f>80+240+60</f>
        <v>380</v>
      </c>
      <c r="E5010" s="43"/>
      <c r="F5010" s="48">
        <f t="shared" si="81"/>
        <v>161274</v>
      </c>
    </row>
    <row r="5011" spans="1:6" x14ac:dyDescent="0.3">
      <c r="A5011" s="45">
        <v>43292</v>
      </c>
      <c r="B5011" s="5" t="s">
        <v>56</v>
      </c>
      <c r="C5011" s="5" t="s">
        <v>3987</v>
      </c>
      <c r="D5011" s="43">
        <v>500</v>
      </c>
      <c r="E5011" s="43"/>
      <c r="F5011" s="48">
        <f t="shared" si="81"/>
        <v>160774</v>
      </c>
    </row>
    <row r="5012" spans="1:6" x14ac:dyDescent="0.3">
      <c r="A5012" s="45">
        <v>43292</v>
      </c>
      <c r="B5012" s="5" t="s">
        <v>541</v>
      </c>
      <c r="C5012" s="5" t="s">
        <v>3899</v>
      </c>
      <c r="D5012" s="43">
        <v>1000</v>
      </c>
      <c r="E5012" s="43"/>
      <c r="F5012" s="48">
        <f t="shared" si="81"/>
        <v>159774</v>
      </c>
    </row>
    <row r="5013" spans="1:6" x14ac:dyDescent="0.3">
      <c r="A5013" s="45">
        <v>43292</v>
      </c>
      <c r="B5013" s="5" t="s">
        <v>322</v>
      </c>
      <c r="C5013" s="5" t="s">
        <v>3900</v>
      </c>
      <c r="D5013" s="43">
        <v>7500</v>
      </c>
      <c r="E5013" s="43"/>
      <c r="F5013" s="48">
        <f t="shared" si="81"/>
        <v>152274</v>
      </c>
    </row>
    <row r="5014" spans="1:6" x14ac:dyDescent="0.3">
      <c r="A5014" s="45">
        <v>43292</v>
      </c>
      <c r="B5014" s="5" t="s">
        <v>58</v>
      </c>
      <c r="C5014" s="5" t="s">
        <v>3901</v>
      </c>
      <c r="D5014" s="43">
        <v>3450</v>
      </c>
      <c r="E5014" s="43"/>
      <c r="F5014" s="48">
        <f t="shared" si="81"/>
        <v>148824</v>
      </c>
    </row>
    <row r="5015" spans="1:6" x14ac:dyDescent="0.3">
      <c r="A5015" s="45">
        <v>43293</v>
      </c>
      <c r="B5015" s="5" t="s">
        <v>0</v>
      </c>
      <c r="C5015" s="5" t="s">
        <v>294</v>
      </c>
      <c r="D5015" s="43">
        <v>2000</v>
      </c>
      <c r="E5015" s="43"/>
      <c r="F5015" s="48">
        <f t="shared" si="81"/>
        <v>146824</v>
      </c>
    </row>
    <row r="5016" spans="1:6" x14ac:dyDescent="0.3">
      <c r="A5016" s="45">
        <v>43293</v>
      </c>
      <c r="B5016" s="5" t="s">
        <v>93</v>
      </c>
      <c r="C5016" s="5" t="s">
        <v>3902</v>
      </c>
      <c r="D5016" s="43">
        <v>1000</v>
      </c>
      <c r="E5016" s="43"/>
      <c r="F5016" s="48">
        <f t="shared" si="81"/>
        <v>145824</v>
      </c>
    </row>
    <row r="5017" spans="1:6" x14ac:dyDescent="0.3">
      <c r="A5017" s="45">
        <v>43293</v>
      </c>
      <c r="B5017" s="5" t="s">
        <v>1512</v>
      </c>
      <c r="C5017" s="5" t="s">
        <v>3903</v>
      </c>
      <c r="D5017" s="43">
        <v>7500</v>
      </c>
      <c r="E5017" s="43"/>
      <c r="F5017" s="48">
        <f t="shared" si="81"/>
        <v>138324</v>
      </c>
    </row>
    <row r="5018" spans="1:6" x14ac:dyDescent="0.3">
      <c r="A5018" s="45">
        <v>43293</v>
      </c>
      <c r="B5018" s="5" t="s">
        <v>2096</v>
      </c>
      <c r="C5018" s="5" t="s">
        <v>294</v>
      </c>
      <c r="D5018" s="43">
        <v>8000</v>
      </c>
      <c r="E5018" s="43"/>
      <c r="F5018" s="48">
        <f t="shared" si="81"/>
        <v>130324</v>
      </c>
    </row>
    <row r="5019" spans="1:6" x14ac:dyDescent="0.3">
      <c r="A5019" s="45">
        <v>43293</v>
      </c>
      <c r="B5019" s="5" t="s">
        <v>16</v>
      </c>
      <c r="C5019" s="5" t="s">
        <v>294</v>
      </c>
      <c r="D5019" s="43">
        <v>5000</v>
      </c>
      <c r="E5019" s="43"/>
      <c r="F5019" s="48">
        <f t="shared" si="81"/>
        <v>125324</v>
      </c>
    </row>
    <row r="5020" spans="1:6" x14ac:dyDescent="0.3">
      <c r="A5020" s="45">
        <v>43293</v>
      </c>
      <c r="B5020" s="5" t="s">
        <v>14</v>
      </c>
      <c r="C5020" s="5" t="s">
        <v>3904</v>
      </c>
      <c r="D5020" s="43">
        <v>1000</v>
      </c>
      <c r="E5020" s="43"/>
      <c r="F5020" s="48">
        <f t="shared" si="81"/>
        <v>124324</v>
      </c>
    </row>
    <row r="5021" spans="1:6" x14ac:dyDescent="0.3">
      <c r="A5021" s="45">
        <v>43293</v>
      </c>
      <c r="B5021" s="5" t="s">
        <v>57</v>
      </c>
      <c r="C5021" s="5" t="s">
        <v>3905</v>
      </c>
      <c r="D5021" s="43">
        <v>9000</v>
      </c>
      <c r="E5021" s="43"/>
      <c r="F5021" s="48">
        <f t="shared" si="81"/>
        <v>115324</v>
      </c>
    </row>
    <row r="5022" spans="1:6" x14ac:dyDescent="0.3">
      <c r="A5022" s="45">
        <v>43293</v>
      </c>
      <c r="B5022" s="5" t="s">
        <v>58</v>
      </c>
      <c r="C5022" s="5" t="s">
        <v>3925</v>
      </c>
      <c r="D5022" s="43">
        <v>350</v>
      </c>
      <c r="E5022" s="43"/>
      <c r="F5022" s="48">
        <f t="shared" si="81"/>
        <v>114974</v>
      </c>
    </row>
    <row r="5023" spans="1:6" x14ac:dyDescent="0.3">
      <c r="A5023" s="45">
        <v>43293</v>
      </c>
      <c r="B5023" s="5" t="s">
        <v>58</v>
      </c>
      <c r="C5023" s="5" t="s">
        <v>3926</v>
      </c>
      <c r="D5023" s="43">
        <v>150</v>
      </c>
      <c r="E5023" s="43"/>
      <c r="F5023" s="48">
        <f t="shared" si="81"/>
        <v>114824</v>
      </c>
    </row>
    <row r="5024" spans="1:6" x14ac:dyDescent="0.3">
      <c r="A5024" s="45">
        <v>43293</v>
      </c>
      <c r="B5024" s="5" t="s">
        <v>54</v>
      </c>
      <c r="C5024" s="5" t="s">
        <v>3906</v>
      </c>
      <c r="D5024" s="43">
        <v>4000</v>
      </c>
      <c r="E5024" s="43"/>
      <c r="F5024" s="48">
        <f t="shared" si="81"/>
        <v>110824</v>
      </c>
    </row>
    <row r="5025" spans="1:6" x14ac:dyDescent="0.3">
      <c r="A5025" s="45">
        <v>43293</v>
      </c>
      <c r="B5025" s="5" t="s">
        <v>2594</v>
      </c>
      <c r="C5025" s="5" t="s">
        <v>2013</v>
      </c>
      <c r="D5025" s="43">
        <v>100</v>
      </c>
      <c r="E5025" s="43"/>
      <c r="F5025" s="48">
        <f t="shared" si="81"/>
        <v>110724</v>
      </c>
    </row>
    <row r="5026" spans="1:6" x14ac:dyDescent="0.3">
      <c r="A5026" s="45">
        <v>43293</v>
      </c>
      <c r="B5026" s="5" t="s">
        <v>3814</v>
      </c>
      <c r="C5026" s="5" t="s">
        <v>2013</v>
      </c>
      <c r="D5026" s="43">
        <v>100</v>
      </c>
      <c r="E5026" s="43"/>
      <c r="F5026" s="48">
        <f t="shared" si="81"/>
        <v>110624</v>
      </c>
    </row>
    <row r="5027" spans="1:6" ht="56.25" x14ac:dyDescent="0.3">
      <c r="A5027" s="45">
        <v>43294</v>
      </c>
      <c r="B5027" s="5" t="s">
        <v>58</v>
      </c>
      <c r="C5027" s="92" t="s">
        <v>3952</v>
      </c>
      <c r="D5027" s="43">
        <v>300</v>
      </c>
      <c r="E5027" s="43"/>
      <c r="F5027" s="48">
        <f t="shared" si="81"/>
        <v>110324</v>
      </c>
    </row>
    <row r="5028" spans="1:6" x14ac:dyDescent="0.3">
      <c r="A5028" s="45">
        <v>43293</v>
      </c>
      <c r="B5028" s="5" t="s">
        <v>18</v>
      </c>
      <c r="C5028" s="5" t="s">
        <v>3910</v>
      </c>
      <c r="D5028" s="43">
        <v>5000</v>
      </c>
      <c r="E5028" s="43"/>
      <c r="F5028" s="48">
        <f t="shared" si="81"/>
        <v>105324</v>
      </c>
    </row>
    <row r="5029" spans="1:6" x14ac:dyDescent="0.3">
      <c r="A5029" s="45">
        <v>43294</v>
      </c>
      <c r="B5029" s="5" t="s">
        <v>14</v>
      </c>
      <c r="C5029" s="5" t="s">
        <v>294</v>
      </c>
      <c r="D5029" s="43">
        <v>1000</v>
      </c>
      <c r="E5029" s="43"/>
      <c r="F5029" s="48">
        <f t="shared" si="81"/>
        <v>104324</v>
      </c>
    </row>
    <row r="5030" spans="1:6" x14ac:dyDescent="0.3">
      <c r="A5030" s="45">
        <v>43294</v>
      </c>
      <c r="B5030" s="5" t="s">
        <v>58</v>
      </c>
      <c r="C5030" s="5" t="s">
        <v>3927</v>
      </c>
      <c r="D5030" s="43">
        <v>3600</v>
      </c>
      <c r="E5030" s="43"/>
      <c r="F5030" s="48">
        <f t="shared" si="81"/>
        <v>100724</v>
      </c>
    </row>
    <row r="5031" spans="1:6" x14ac:dyDescent="0.3">
      <c r="A5031" s="45">
        <v>43294</v>
      </c>
      <c r="B5031" s="5" t="s">
        <v>16</v>
      </c>
      <c r="C5031" s="5" t="s">
        <v>2675</v>
      </c>
      <c r="D5031" s="43">
        <v>250</v>
      </c>
      <c r="E5031" s="43"/>
      <c r="F5031" s="48">
        <f t="shared" si="81"/>
        <v>100474</v>
      </c>
    </row>
    <row r="5032" spans="1:6" x14ac:dyDescent="0.3">
      <c r="A5032" s="45">
        <v>43294</v>
      </c>
      <c r="B5032" s="5" t="s">
        <v>3814</v>
      </c>
      <c r="C5032" s="5" t="s">
        <v>3907</v>
      </c>
      <c r="D5032" s="43">
        <v>50</v>
      </c>
      <c r="E5032" s="43"/>
      <c r="F5032" s="48">
        <f t="shared" si="81"/>
        <v>100424</v>
      </c>
    </row>
    <row r="5033" spans="1:6" x14ac:dyDescent="0.3">
      <c r="A5033" s="45">
        <v>43294</v>
      </c>
      <c r="B5033" s="5" t="s">
        <v>3624</v>
      </c>
      <c r="C5033" s="5" t="s">
        <v>3907</v>
      </c>
      <c r="D5033" s="43">
        <v>300</v>
      </c>
      <c r="E5033" s="43"/>
      <c r="F5033" s="48">
        <f t="shared" si="81"/>
        <v>100124</v>
      </c>
    </row>
    <row r="5034" spans="1:6" x14ac:dyDescent="0.3">
      <c r="A5034" s="45">
        <v>43294</v>
      </c>
      <c r="B5034" s="5" t="s">
        <v>25</v>
      </c>
      <c r="C5034" s="5" t="s">
        <v>3908</v>
      </c>
      <c r="D5034" s="43">
        <v>1430</v>
      </c>
      <c r="E5034" s="43"/>
      <c r="F5034" s="48">
        <f t="shared" si="81"/>
        <v>98694</v>
      </c>
    </row>
    <row r="5035" spans="1:6" x14ac:dyDescent="0.3">
      <c r="A5035" s="45">
        <v>43294</v>
      </c>
      <c r="B5035" s="5" t="s">
        <v>3724</v>
      </c>
      <c r="C5035" s="5" t="s">
        <v>3911</v>
      </c>
      <c r="D5035" s="43">
        <v>4130</v>
      </c>
      <c r="E5035" s="43"/>
      <c r="F5035" s="48">
        <f t="shared" si="81"/>
        <v>94564</v>
      </c>
    </row>
    <row r="5036" spans="1:6" x14ac:dyDescent="0.3">
      <c r="A5036" s="45">
        <v>43294</v>
      </c>
      <c r="B5036" s="5" t="s">
        <v>2330</v>
      </c>
      <c r="C5036" s="5" t="s">
        <v>2331</v>
      </c>
      <c r="D5036" s="43">
        <v>2000</v>
      </c>
      <c r="E5036" s="43"/>
      <c r="F5036" s="48">
        <f t="shared" si="81"/>
        <v>92564</v>
      </c>
    </row>
    <row r="5037" spans="1:6" x14ac:dyDescent="0.3">
      <c r="A5037" s="45">
        <v>43295</v>
      </c>
      <c r="B5037" s="5" t="s">
        <v>3825</v>
      </c>
      <c r="C5037" s="5" t="s">
        <v>2311</v>
      </c>
      <c r="D5037" s="43">
        <v>3900</v>
      </c>
      <c r="E5037" s="43"/>
      <c r="F5037" s="48">
        <f t="shared" si="81"/>
        <v>88664</v>
      </c>
    </row>
    <row r="5038" spans="1:6" x14ac:dyDescent="0.3">
      <c r="A5038" s="45">
        <v>43297</v>
      </c>
      <c r="B5038" s="5" t="s">
        <v>16</v>
      </c>
      <c r="C5038" s="5" t="s">
        <v>294</v>
      </c>
      <c r="D5038" s="43">
        <v>5000</v>
      </c>
      <c r="E5038" s="43"/>
      <c r="F5038" s="48">
        <f t="shared" si="81"/>
        <v>83664</v>
      </c>
    </row>
    <row r="5039" spans="1:6" x14ac:dyDescent="0.3">
      <c r="A5039" s="45">
        <v>43297</v>
      </c>
      <c r="B5039" s="5" t="s">
        <v>25</v>
      </c>
      <c r="C5039" s="5" t="s">
        <v>3915</v>
      </c>
      <c r="D5039" s="43">
        <v>105</v>
      </c>
      <c r="E5039" s="43"/>
      <c r="F5039" s="48">
        <f t="shared" si="81"/>
        <v>83559</v>
      </c>
    </row>
    <row r="5040" spans="1:6" x14ac:dyDescent="0.3">
      <c r="A5040" s="45">
        <v>43297</v>
      </c>
      <c r="B5040" s="5" t="s">
        <v>3624</v>
      </c>
      <c r="C5040" s="5" t="s">
        <v>3916</v>
      </c>
      <c r="D5040" s="43">
        <v>160</v>
      </c>
      <c r="E5040" s="43"/>
      <c r="F5040" s="48">
        <f t="shared" si="81"/>
        <v>83399</v>
      </c>
    </row>
    <row r="5041" spans="1:6" x14ac:dyDescent="0.3">
      <c r="A5041" s="45">
        <v>43297</v>
      </c>
      <c r="B5041" s="5" t="s">
        <v>3624</v>
      </c>
      <c r="C5041" s="5" t="s">
        <v>3917</v>
      </c>
      <c r="D5041" s="43">
        <v>80</v>
      </c>
      <c r="E5041" s="43"/>
      <c r="F5041" s="48">
        <f t="shared" si="81"/>
        <v>83319</v>
      </c>
    </row>
    <row r="5042" spans="1:6" x14ac:dyDescent="0.3">
      <c r="A5042" s="45">
        <v>43297</v>
      </c>
      <c r="B5042" s="5" t="s">
        <v>1458</v>
      </c>
      <c r="C5042" s="5" t="s">
        <v>3918</v>
      </c>
      <c r="D5042" s="43">
        <f>126+246</f>
        <v>372</v>
      </c>
      <c r="E5042" s="43"/>
      <c r="F5042" s="48">
        <f t="shared" si="81"/>
        <v>82947</v>
      </c>
    </row>
    <row r="5043" spans="1:6" x14ac:dyDescent="0.3">
      <c r="A5043" s="45">
        <v>43297</v>
      </c>
      <c r="B5043" s="5" t="s">
        <v>2348</v>
      </c>
      <c r="C5043" s="5" t="s">
        <v>3919</v>
      </c>
      <c r="D5043" s="43">
        <v>160</v>
      </c>
      <c r="E5043" s="43"/>
      <c r="F5043" s="48">
        <f t="shared" si="81"/>
        <v>82787</v>
      </c>
    </row>
    <row r="5044" spans="1:6" x14ac:dyDescent="0.3">
      <c r="A5044" s="45">
        <v>43297</v>
      </c>
      <c r="B5044" s="5" t="s">
        <v>57</v>
      </c>
      <c r="C5044" s="5" t="s">
        <v>3921</v>
      </c>
      <c r="D5044" s="43">
        <v>600</v>
      </c>
      <c r="E5044" s="43"/>
      <c r="F5044" s="48">
        <f t="shared" si="81"/>
        <v>82187</v>
      </c>
    </row>
    <row r="5045" spans="1:6" ht="37.5" x14ac:dyDescent="0.3">
      <c r="A5045" s="45">
        <v>43298</v>
      </c>
      <c r="B5045" s="5" t="s">
        <v>58</v>
      </c>
      <c r="C5045" s="92" t="s">
        <v>3922</v>
      </c>
      <c r="D5045" s="43">
        <v>200</v>
      </c>
      <c r="E5045" s="43"/>
      <c r="F5045" s="48">
        <f t="shared" si="81"/>
        <v>81987</v>
      </c>
    </row>
    <row r="5046" spans="1:6" x14ac:dyDescent="0.3">
      <c r="A5046" s="45">
        <v>43298</v>
      </c>
      <c r="B5046" s="5" t="s">
        <v>2948</v>
      </c>
      <c r="C5046" s="5" t="s">
        <v>3634</v>
      </c>
      <c r="D5046" s="43">
        <v>2000</v>
      </c>
      <c r="E5046" s="43"/>
      <c r="F5046" s="48">
        <f t="shared" si="81"/>
        <v>79987</v>
      </c>
    </row>
    <row r="5047" spans="1:6" x14ac:dyDescent="0.3">
      <c r="A5047" s="45">
        <v>43298</v>
      </c>
      <c r="B5047" s="5" t="s">
        <v>84</v>
      </c>
      <c r="C5047" s="5" t="s">
        <v>3931</v>
      </c>
      <c r="D5047" s="43">
        <v>8000</v>
      </c>
      <c r="E5047" s="43"/>
      <c r="F5047" s="48">
        <f t="shared" si="81"/>
        <v>71987</v>
      </c>
    </row>
    <row r="5048" spans="1:6" x14ac:dyDescent="0.3">
      <c r="A5048" s="45">
        <v>43298</v>
      </c>
      <c r="B5048" s="5" t="s">
        <v>2594</v>
      </c>
      <c r="C5048" s="5" t="s">
        <v>3932</v>
      </c>
      <c r="D5048" s="43">
        <v>300</v>
      </c>
      <c r="E5048" s="43"/>
      <c r="F5048" s="48">
        <f t="shared" si="81"/>
        <v>71687</v>
      </c>
    </row>
    <row r="5049" spans="1:6" ht="37.5" x14ac:dyDescent="0.3">
      <c r="A5049" s="45">
        <v>43299</v>
      </c>
      <c r="B5049" s="5" t="s">
        <v>58</v>
      </c>
      <c r="C5049" s="92" t="s">
        <v>3942</v>
      </c>
      <c r="D5049" s="43">
        <v>8550</v>
      </c>
      <c r="E5049" s="43"/>
      <c r="F5049" s="48">
        <f t="shared" si="81"/>
        <v>63137</v>
      </c>
    </row>
    <row r="5050" spans="1:6" x14ac:dyDescent="0.3">
      <c r="A5050" s="45">
        <v>43299</v>
      </c>
      <c r="B5050" s="5" t="s">
        <v>25</v>
      </c>
      <c r="C5050" s="5" t="s">
        <v>3627</v>
      </c>
      <c r="D5050" s="43">
        <v>1600</v>
      </c>
      <c r="E5050" s="43"/>
      <c r="F5050" s="48">
        <f t="shared" si="81"/>
        <v>61537</v>
      </c>
    </row>
    <row r="5051" spans="1:6" x14ac:dyDescent="0.3">
      <c r="A5051" s="45">
        <v>43299</v>
      </c>
      <c r="B5051" s="5" t="s">
        <v>27</v>
      </c>
      <c r="C5051" s="5" t="s">
        <v>3935</v>
      </c>
      <c r="D5051" s="43">
        <v>3000</v>
      </c>
      <c r="E5051" s="43"/>
      <c r="F5051" s="48">
        <f t="shared" si="81"/>
        <v>58537</v>
      </c>
    </row>
    <row r="5052" spans="1:6" x14ac:dyDescent="0.3">
      <c r="A5052" s="45">
        <v>43299</v>
      </c>
      <c r="B5052" s="5" t="s">
        <v>0</v>
      </c>
      <c r="C5052" s="5" t="s">
        <v>3936</v>
      </c>
      <c r="D5052" s="43">
        <v>2240</v>
      </c>
      <c r="E5052" s="43"/>
      <c r="F5052" s="48">
        <f t="shared" si="81"/>
        <v>56297</v>
      </c>
    </row>
    <row r="5053" spans="1:6" x14ac:dyDescent="0.3">
      <c r="A5053" s="45">
        <v>43299</v>
      </c>
      <c r="B5053" s="5" t="s">
        <v>3559</v>
      </c>
      <c r="C5053" s="5" t="s">
        <v>3442</v>
      </c>
      <c r="D5053" s="43">
        <v>500</v>
      </c>
      <c r="E5053" s="43"/>
      <c r="F5053" s="48">
        <f t="shared" si="81"/>
        <v>55797</v>
      </c>
    </row>
    <row r="5054" spans="1:6" x14ac:dyDescent="0.3">
      <c r="A5054" s="45">
        <v>43299</v>
      </c>
      <c r="B5054" s="5" t="s">
        <v>84</v>
      </c>
      <c r="C5054" s="5" t="s">
        <v>3947</v>
      </c>
      <c r="D5054" s="43">
        <v>1000</v>
      </c>
      <c r="E5054" s="43"/>
      <c r="F5054" s="48">
        <f t="shared" si="81"/>
        <v>54797</v>
      </c>
    </row>
    <row r="5055" spans="1:6" x14ac:dyDescent="0.3">
      <c r="A5055" s="45">
        <v>43299</v>
      </c>
      <c r="B5055" s="5" t="s">
        <v>84</v>
      </c>
      <c r="C5055" s="5" t="s">
        <v>3937</v>
      </c>
      <c r="D5055" s="43">
        <v>3000</v>
      </c>
      <c r="E5055" s="43"/>
      <c r="F5055" s="48">
        <f t="shared" si="81"/>
        <v>51797</v>
      </c>
    </row>
    <row r="5056" spans="1:6" x14ac:dyDescent="0.3">
      <c r="A5056" s="45">
        <v>43300</v>
      </c>
      <c r="B5056" s="5" t="s">
        <v>11</v>
      </c>
      <c r="C5056" s="5" t="s">
        <v>3938</v>
      </c>
      <c r="D5056" s="43">
        <v>1000</v>
      </c>
      <c r="E5056" s="43"/>
      <c r="F5056" s="48">
        <f t="shared" si="81"/>
        <v>50797</v>
      </c>
    </row>
    <row r="5057" spans="1:10" x14ac:dyDescent="0.3">
      <c r="A5057" s="45">
        <v>43300</v>
      </c>
      <c r="B5057" s="5" t="s">
        <v>16</v>
      </c>
      <c r="C5057" s="5" t="s">
        <v>1252</v>
      </c>
      <c r="D5057" s="43">
        <v>600</v>
      </c>
      <c r="E5057" s="43"/>
      <c r="F5057" s="48">
        <f t="shared" si="81"/>
        <v>50197</v>
      </c>
    </row>
    <row r="5058" spans="1:10" x14ac:dyDescent="0.3">
      <c r="A5058" s="45">
        <v>43300</v>
      </c>
      <c r="B5058" s="5" t="s">
        <v>3408</v>
      </c>
      <c r="C5058" s="5" t="s">
        <v>2013</v>
      </c>
      <c r="D5058" s="43">
        <v>50</v>
      </c>
      <c r="E5058" s="43"/>
      <c r="F5058" s="48">
        <f t="shared" si="81"/>
        <v>50147</v>
      </c>
    </row>
    <row r="5059" spans="1:10" x14ac:dyDescent="0.3">
      <c r="A5059" s="45">
        <v>43300</v>
      </c>
      <c r="B5059" s="5" t="s">
        <v>84</v>
      </c>
      <c r="C5059" s="5" t="s">
        <v>3939</v>
      </c>
      <c r="D5059" s="43">
        <v>2000</v>
      </c>
      <c r="E5059" s="43"/>
      <c r="F5059" s="48">
        <f t="shared" si="81"/>
        <v>48147</v>
      </c>
    </row>
    <row r="5060" spans="1:10" x14ac:dyDescent="0.3">
      <c r="A5060" s="45">
        <v>43300</v>
      </c>
      <c r="B5060" s="5" t="s">
        <v>3825</v>
      </c>
      <c r="C5060" s="5" t="s">
        <v>3864</v>
      </c>
      <c r="D5060" s="43">
        <v>2836</v>
      </c>
      <c r="E5060" s="43"/>
      <c r="F5060" s="48">
        <f t="shared" si="81"/>
        <v>45311</v>
      </c>
    </row>
    <row r="5061" spans="1:10" x14ac:dyDescent="0.3">
      <c r="A5061" s="45">
        <v>43300</v>
      </c>
      <c r="B5061" s="5" t="s">
        <v>58</v>
      </c>
      <c r="C5061" s="5" t="s">
        <v>3280</v>
      </c>
      <c r="D5061" s="43">
        <v>1000</v>
      </c>
      <c r="E5061" s="43"/>
      <c r="F5061" s="48">
        <f t="shared" si="81"/>
        <v>44311</v>
      </c>
    </row>
    <row r="5062" spans="1:10" x14ac:dyDescent="0.3">
      <c r="A5062" s="45">
        <v>43300</v>
      </c>
      <c r="B5062" s="5" t="s">
        <v>2330</v>
      </c>
      <c r="C5062" s="5" t="s">
        <v>3941</v>
      </c>
      <c r="D5062" s="43">
        <v>10700</v>
      </c>
      <c r="E5062" s="43"/>
      <c r="F5062" s="48">
        <f t="shared" si="81"/>
        <v>33611</v>
      </c>
    </row>
    <row r="5063" spans="1:10" x14ac:dyDescent="0.3">
      <c r="A5063" s="45">
        <v>43300</v>
      </c>
      <c r="B5063" s="5" t="s">
        <v>3814</v>
      </c>
      <c r="C5063" s="5" t="s">
        <v>3944</v>
      </c>
      <c r="D5063" s="43">
        <f>925+350</f>
        <v>1275</v>
      </c>
      <c r="E5063" s="43"/>
      <c r="F5063" s="48">
        <f t="shared" si="81"/>
        <v>32336</v>
      </c>
    </row>
    <row r="5064" spans="1:10" x14ac:dyDescent="0.3">
      <c r="A5064" s="45">
        <v>43300</v>
      </c>
      <c r="B5064" s="5" t="s">
        <v>1458</v>
      </c>
      <c r="C5064" s="5" t="s">
        <v>3945</v>
      </c>
      <c r="D5064" s="43">
        <v>310</v>
      </c>
      <c r="E5064" s="43"/>
      <c r="F5064" s="48">
        <f t="shared" si="81"/>
        <v>32026</v>
      </c>
    </row>
    <row r="5065" spans="1:10" x14ac:dyDescent="0.3">
      <c r="A5065" s="45">
        <v>43300</v>
      </c>
      <c r="B5065" s="5" t="s">
        <v>16</v>
      </c>
      <c r="C5065" s="5" t="s">
        <v>3946</v>
      </c>
      <c r="D5065" s="43">
        <v>80</v>
      </c>
      <c r="E5065" s="43"/>
      <c r="F5065" s="48">
        <f t="shared" si="81"/>
        <v>31946</v>
      </c>
    </row>
    <row r="5066" spans="1:10" x14ac:dyDescent="0.3">
      <c r="A5066" s="45">
        <v>43300</v>
      </c>
      <c r="B5066" s="5" t="s">
        <v>16</v>
      </c>
      <c r="C5066" s="5" t="s">
        <v>294</v>
      </c>
      <c r="D5066" s="43">
        <v>660</v>
      </c>
      <c r="E5066" s="43"/>
      <c r="F5066" s="48">
        <f t="shared" si="81"/>
        <v>31286</v>
      </c>
    </row>
    <row r="5067" spans="1:10" x14ac:dyDescent="0.3">
      <c r="A5067" s="45">
        <v>43300</v>
      </c>
      <c r="B5067" s="5" t="s">
        <v>2594</v>
      </c>
      <c r="C5067" s="5" t="s">
        <v>3957</v>
      </c>
      <c r="D5067" s="43">
        <v>4430</v>
      </c>
      <c r="E5067" s="43"/>
      <c r="F5067" s="48">
        <f t="shared" ref="F5067:F5130" si="82">F5066-D5067+E5067</f>
        <v>26856</v>
      </c>
    </row>
    <row r="5068" spans="1:10" x14ac:dyDescent="0.3">
      <c r="A5068" s="45">
        <v>43300</v>
      </c>
      <c r="B5068" s="5" t="s">
        <v>541</v>
      </c>
      <c r="C5068" s="5" t="s">
        <v>3958</v>
      </c>
      <c r="D5068" s="43">
        <v>1500</v>
      </c>
      <c r="E5068" s="43"/>
      <c r="F5068" s="48">
        <f t="shared" si="82"/>
        <v>25356</v>
      </c>
      <c r="I5068" s="43"/>
    </row>
    <row r="5069" spans="1:10" x14ac:dyDescent="0.3">
      <c r="A5069" s="45">
        <v>43300</v>
      </c>
      <c r="B5069" s="5" t="s">
        <v>3955</v>
      </c>
      <c r="C5069" s="5" t="s">
        <v>3956</v>
      </c>
      <c r="D5069" s="43">
        <v>14000</v>
      </c>
      <c r="E5069" s="43"/>
      <c r="F5069" s="48">
        <f t="shared" si="82"/>
        <v>11356</v>
      </c>
      <c r="I5069" s="43"/>
    </row>
    <row r="5070" spans="1:10" x14ac:dyDescent="0.3">
      <c r="A5070" s="45">
        <v>43300</v>
      </c>
      <c r="B5070" s="756" t="s">
        <v>3960</v>
      </c>
      <c r="C5070" s="756"/>
      <c r="D5070" s="71"/>
      <c r="E5070" s="72">
        <v>300000</v>
      </c>
      <c r="F5070" s="48">
        <f t="shared" si="82"/>
        <v>311356</v>
      </c>
      <c r="I5070" s="43"/>
    </row>
    <row r="5071" spans="1:10" x14ac:dyDescent="0.3">
      <c r="A5071" s="45">
        <v>43300</v>
      </c>
      <c r="B5071" s="5" t="s">
        <v>3934</v>
      </c>
      <c r="C5071" s="5" t="s">
        <v>3905</v>
      </c>
      <c r="D5071" s="43">
        <v>102000</v>
      </c>
      <c r="E5071" s="43"/>
      <c r="F5071" s="48">
        <f t="shared" si="82"/>
        <v>209356</v>
      </c>
      <c r="I5071" s="62"/>
      <c r="J5071" s="135"/>
    </row>
    <row r="5072" spans="1:10" x14ac:dyDescent="0.3">
      <c r="A5072" s="45">
        <v>43300</v>
      </c>
      <c r="B5072" s="5" t="s">
        <v>3961</v>
      </c>
      <c r="C5072" s="5" t="s">
        <v>3962</v>
      </c>
      <c r="D5072" s="43">
        <v>86911</v>
      </c>
      <c r="E5072" s="43"/>
      <c r="F5072" s="48">
        <f t="shared" si="82"/>
        <v>122445</v>
      </c>
      <c r="J5072" s="135"/>
    </row>
    <row r="5073" spans="1:10" x14ac:dyDescent="0.3">
      <c r="A5073" s="45">
        <v>43300</v>
      </c>
      <c r="B5073" s="5" t="s">
        <v>3963</v>
      </c>
      <c r="C5073" s="5" t="s">
        <v>3966</v>
      </c>
      <c r="D5073" s="43">
        <v>30000</v>
      </c>
      <c r="E5073" s="43"/>
      <c r="F5073" s="48">
        <f t="shared" si="82"/>
        <v>92445</v>
      </c>
      <c r="J5073" s="135"/>
    </row>
    <row r="5074" spans="1:10" x14ac:dyDescent="0.3">
      <c r="A5074" s="45">
        <v>43300</v>
      </c>
      <c r="B5074" s="5" t="s">
        <v>3964</v>
      </c>
      <c r="C5074" s="5" t="s">
        <v>3965</v>
      </c>
      <c r="D5074" s="62">
        <v>20000</v>
      </c>
      <c r="E5074" s="43"/>
      <c r="F5074" s="48">
        <f t="shared" si="82"/>
        <v>72445</v>
      </c>
    </row>
    <row r="5075" spans="1:10" x14ac:dyDescent="0.3">
      <c r="A5075" s="45">
        <v>43300</v>
      </c>
      <c r="B5075" s="5" t="s">
        <v>2594</v>
      </c>
      <c r="C5075" s="5" t="s">
        <v>3968</v>
      </c>
      <c r="D5075" s="43">
        <v>23220</v>
      </c>
      <c r="E5075" s="43"/>
      <c r="F5075" s="48">
        <f t="shared" si="82"/>
        <v>49225</v>
      </c>
    </row>
    <row r="5076" spans="1:10" x14ac:dyDescent="0.3">
      <c r="A5076" s="45">
        <v>43301</v>
      </c>
      <c r="B5076" s="5" t="s">
        <v>84</v>
      </c>
      <c r="C5076" s="5" t="s">
        <v>3959</v>
      </c>
      <c r="D5076" s="43">
        <v>2000</v>
      </c>
      <c r="E5076" s="43"/>
      <c r="F5076" s="48">
        <f t="shared" si="82"/>
        <v>47225</v>
      </c>
    </row>
    <row r="5077" spans="1:10" x14ac:dyDescent="0.3">
      <c r="A5077" s="45">
        <v>43301</v>
      </c>
      <c r="B5077" s="5" t="s">
        <v>14</v>
      </c>
      <c r="C5077" s="5" t="s">
        <v>294</v>
      </c>
      <c r="D5077" s="43">
        <v>1000</v>
      </c>
      <c r="E5077" s="43"/>
      <c r="F5077" s="48">
        <f t="shared" si="82"/>
        <v>46225</v>
      </c>
    </row>
    <row r="5078" spans="1:10" x14ac:dyDescent="0.3">
      <c r="A5078" s="45">
        <v>43304</v>
      </c>
      <c r="B5078" s="5" t="s">
        <v>16</v>
      </c>
      <c r="C5078" s="5" t="s">
        <v>3967</v>
      </c>
      <c r="D5078" s="43">
        <v>24000</v>
      </c>
      <c r="E5078" s="43"/>
      <c r="F5078" s="48">
        <f t="shared" si="82"/>
        <v>22225</v>
      </c>
    </row>
    <row r="5079" spans="1:10" x14ac:dyDescent="0.3">
      <c r="A5079" s="45">
        <v>43304</v>
      </c>
      <c r="B5079" s="756" t="s">
        <v>3969</v>
      </c>
      <c r="C5079" s="756"/>
      <c r="D5079" s="71"/>
      <c r="E5079" s="72">
        <v>200000</v>
      </c>
      <c r="F5079" s="48">
        <f t="shared" si="82"/>
        <v>222225</v>
      </c>
    </row>
    <row r="5080" spans="1:10" x14ac:dyDescent="0.3">
      <c r="A5080" s="45">
        <v>43304</v>
      </c>
      <c r="B5080" s="5" t="s">
        <v>3970</v>
      </c>
      <c r="C5080" s="5" t="s">
        <v>3971</v>
      </c>
      <c r="D5080" s="43">
        <v>25000</v>
      </c>
      <c r="E5080" s="43"/>
      <c r="F5080" s="48">
        <f t="shared" si="82"/>
        <v>197225</v>
      </c>
    </row>
    <row r="5081" spans="1:10" x14ac:dyDescent="0.3">
      <c r="A5081" s="45">
        <v>43304</v>
      </c>
      <c r="B5081" s="5" t="s">
        <v>57</v>
      </c>
      <c r="C5081" s="5" t="s">
        <v>3972</v>
      </c>
      <c r="D5081" s="43">
        <v>500</v>
      </c>
      <c r="E5081" s="43"/>
      <c r="F5081" s="48">
        <f t="shared" si="82"/>
        <v>196725</v>
      </c>
    </row>
    <row r="5082" spans="1:10" x14ac:dyDescent="0.3">
      <c r="A5082" s="45">
        <v>43305</v>
      </c>
      <c r="B5082" s="5" t="s">
        <v>84</v>
      </c>
      <c r="C5082" s="5" t="s">
        <v>3973</v>
      </c>
      <c r="D5082" s="43">
        <v>1000</v>
      </c>
      <c r="E5082" s="43"/>
      <c r="F5082" s="48">
        <f t="shared" si="82"/>
        <v>195725</v>
      </c>
    </row>
    <row r="5083" spans="1:10" x14ac:dyDescent="0.3">
      <c r="A5083" s="45">
        <v>43305</v>
      </c>
      <c r="B5083" s="5" t="s">
        <v>2594</v>
      </c>
      <c r="C5083" s="5" t="s">
        <v>4008</v>
      </c>
      <c r="D5083" s="43">
        <v>7170</v>
      </c>
      <c r="E5083" s="43"/>
      <c r="F5083" s="48">
        <f t="shared" si="82"/>
        <v>188555</v>
      </c>
    </row>
    <row r="5084" spans="1:10" x14ac:dyDescent="0.3">
      <c r="A5084" s="45">
        <v>43305</v>
      </c>
      <c r="B5084" s="5" t="s">
        <v>3974</v>
      </c>
      <c r="C5084" s="5" t="s">
        <v>3975</v>
      </c>
      <c r="D5084" s="43">
        <v>6000</v>
      </c>
      <c r="E5084" s="43"/>
      <c r="F5084" s="48">
        <f t="shared" si="82"/>
        <v>182555</v>
      </c>
    </row>
    <row r="5085" spans="1:10" x14ac:dyDescent="0.3">
      <c r="A5085" s="45">
        <v>43305</v>
      </c>
      <c r="B5085" s="5" t="s">
        <v>57</v>
      </c>
      <c r="C5085" s="5" t="s">
        <v>4015</v>
      </c>
      <c r="D5085" s="43">
        <v>1500</v>
      </c>
      <c r="E5085" s="43"/>
      <c r="F5085" s="48">
        <f t="shared" si="82"/>
        <v>181055</v>
      </c>
    </row>
    <row r="5086" spans="1:10" x14ac:dyDescent="0.3">
      <c r="A5086" s="45">
        <v>43305</v>
      </c>
      <c r="B5086" s="5" t="s">
        <v>2594</v>
      </c>
      <c r="C5086" s="5" t="s">
        <v>4005</v>
      </c>
      <c r="D5086" s="43">
        <v>26167</v>
      </c>
      <c r="E5086" s="43"/>
      <c r="F5086" s="48">
        <f t="shared" si="82"/>
        <v>154888</v>
      </c>
      <c r="I5086" s="182"/>
    </row>
    <row r="5087" spans="1:10" x14ac:dyDescent="0.3">
      <c r="A5087" s="45">
        <v>43305</v>
      </c>
      <c r="B5087" s="756" t="s">
        <v>3717</v>
      </c>
      <c r="C5087" s="756"/>
      <c r="D5087" s="71"/>
      <c r="E5087" s="72">
        <v>100000</v>
      </c>
      <c r="F5087" s="48">
        <f t="shared" si="82"/>
        <v>254888</v>
      </c>
      <c r="I5087" s="182"/>
    </row>
    <row r="5088" spans="1:10" x14ac:dyDescent="0.3">
      <c r="A5088" s="45">
        <v>43305</v>
      </c>
      <c r="B5088" s="5" t="s">
        <v>3913</v>
      </c>
      <c r="C5088" s="5" t="s">
        <v>3976</v>
      </c>
      <c r="D5088" s="43">
        <v>10000</v>
      </c>
      <c r="E5088" s="43"/>
      <c r="F5088" s="48">
        <f t="shared" si="82"/>
        <v>244888</v>
      </c>
    </row>
    <row r="5089" spans="1:6" x14ac:dyDescent="0.3">
      <c r="A5089" s="45">
        <v>43305</v>
      </c>
      <c r="B5089" s="5" t="s">
        <v>58</v>
      </c>
      <c r="C5089" s="5" t="s">
        <v>3143</v>
      </c>
      <c r="D5089" s="43">
        <v>27946</v>
      </c>
      <c r="E5089" s="43"/>
      <c r="F5089" s="48">
        <f t="shared" si="82"/>
        <v>216942</v>
      </c>
    </row>
    <row r="5090" spans="1:6" x14ac:dyDescent="0.3">
      <c r="A5090" s="45">
        <v>43305</v>
      </c>
      <c r="B5090" s="5" t="s">
        <v>14</v>
      </c>
      <c r="C5090" s="5" t="s">
        <v>294</v>
      </c>
      <c r="D5090" s="43">
        <v>5000</v>
      </c>
      <c r="E5090" s="43"/>
      <c r="F5090" s="48">
        <f t="shared" si="82"/>
        <v>211942</v>
      </c>
    </row>
    <row r="5091" spans="1:6" x14ac:dyDescent="0.3">
      <c r="A5091" s="45">
        <v>43305</v>
      </c>
      <c r="B5091" s="5" t="s">
        <v>2594</v>
      </c>
      <c r="C5091" s="5" t="s">
        <v>3979</v>
      </c>
      <c r="D5091" s="43">
        <v>15810</v>
      </c>
      <c r="E5091" s="43"/>
      <c r="F5091" s="48">
        <f t="shared" si="82"/>
        <v>196132</v>
      </c>
    </row>
    <row r="5092" spans="1:6" x14ac:dyDescent="0.3">
      <c r="A5092" s="45">
        <v>43305</v>
      </c>
      <c r="B5092" s="5" t="s">
        <v>2594</v>
      </c>
      <c r="C5092" s="5" t="s">
        <v>3978</v>
      </c>
      <c r="D5092" s="43">
        <v>9900</v>
      </c>
      <c r="E5092" s="43"/>
      <c r="F5092" s="48">
        <f t="shared" si="82"/>
        <v>186232</v>
      </c>
    </row>
    <row r="5093" spans="1:6" x14ac:dyDescent="0.3">
      <c r="A5093" s="45">
        <v>43305</v>
      </c>
      <c r="B5093" s="5" t="s">
        <v>2086</v>
      </c>
      <c r="C5093" s="5" t="s">
        <v>3980</v>
      </c>
      <c r="D5093" s="43">
        <v>1100</v>
      </c>
      <c r="E5093" s="43"/>
      <c r="F5093" s="48">
        <f t="shared" si="82"/>
        <v>185132</v>
      </c>
    </row>
    <row r="5094" spans="1:6" x14ac:dyDescent="0.3">
      <c r="A5094" s="45">
        <v>43305</v>
      </c>
      <c r="B5094" s="5" t="s">
        <v>3814</v>
      </c>
      <c r="C5094" s="5" t="s">
        <v>3977</v>
      </c>
      <c r="D5094" s="43">
        <v>210</v>
      </c>
      <c r="E5094" s="43"/>
      <c r="F5094" s="48">
        <f t="shared" si="82"/>
        <v>184922</v>
      </c>
    </row>
    <row r="5095" spans="1:6" x14ac:dyDescent="0.3">
      <c r="A5095" s="45">
        <v>43305</v>
      </c>
      <c r="B5095" s="5" t="s">
        <v>84</v>
      </c>
      <c r="C5095" s="5" t="s">
        <v>3991</v>
      </c>
      <c r="D5095" s="43">
        <v>5000</v>
      </c>
      <c r="E5095" s="43"/>
      <c r="F5095" s="48">
        <f t="shared" si="82"/>
        <v>179922</v>
      </c>
    </row>
    <row r="5096" spans="1:6" x14ac:dyDescent="0.3">
      <c r="A5096" s="45">
        <v>43305</v>
      </c>
      <c r="B5096" s="5" t="s">
        <v>84</v>
      </c>
      <c r="C5096" s="5" t="s">
        <v>3992</v>
      </c>
      <c r="D5096" s="43">
        <v>3000</v>
      </c>
      <c r="E5096" s="43"/>
      <c r="F5096" s="48">
        <f t="shared" si="82"/>
        <v>176922</v>
      </c>
    </row>
    <row r="5097" spans="1:6" x14ac:dyDescent="0.3">
      <c r="A5097" s="45">
        <v>43305</v>
      </c>
      <c r="B5097" s="5" t="s">
        <v>84</v>
      </c>
      <c r="C5097" s="5" t="s">
        <v>3993</v>
      </c>
      <c r="D5097" s="43">
        <v>5000</v>
      </c>
      <c r="E5097" s="43"/>
      <c r="F5097" s="48">
        <f t="shared" si="82"/>
        <v>171922</v>
      </c>
    </row>
    <row r="5098" spans="1:6" x14ac:dyDescent="0.3">
      <c r="A5098" s="45">
        <v>43305</v>
      </c>
      <c r="B5098" s="5" t="s">
        <v>0</v>
      </c>
      <c r="C5098" s="5" t="s">
        <v>294</v>
      </c>
      <c r="D5098" s="43">
        <v>1000</v>
      </c>
      <c r="E5098" s="43"/>
      <c r="F5098" s="48">
        <f t="shared" si="82"/>
        <v>170922</v>
      </c>
    </row>
    <row r="5099" spans="1:6" x14ac:dyDescent="0.3">
      <c r="A5099" s="45">
        <v>43305</v>
      </c>
      <c r="B5099" s="5" t="s">
        <v>14</v>
      </c>
      <c r="C5099" s="5" t="s">
        <v>294</v>
      </c>
      <c r="D5099" s="43">
        <v>10000</v>
      </c>
      <c r="E5099" s="43"/>
      <c r="F5099" s="48">
        <f t="shared" si="82"/>
        <v>160922</v>
      </c>
    </row>
    <row r="5100" spans="1:6" x14ac:dyDescent="0.3">
      <c r="A5100" s="45">
        <v>43306</v>
      </c>
      <c r="B5100" s="5" t="s">
        <v>118</v>
      </c>
      <c r="C5100" s="5" t="s">
        <v>3995</v>
      </c>
      <c r="D5100" s="43">
        <f>50+60+50+420+380+140+20+110+60+50</f>
        <v>1340</v>
      </c>
      <c r="E5100" s="43"/>
      <c r="F5100" s="48">
        <f t="shared" si="82"/>
        <v>159582</v>
      </c>
    </row>
    <row r="5101" spans="1:6" x14ac:dyDescent="0.3">
      <c r="A5101" s="45">
        <v>43306</v>
      </c>
      <c r="B5101" s="5" t="s">
        <v>110</v>
      </c>
      <c r="C5101" s="5" t="s">
        <v>3996</v>
      </c>
      <c r="D5101" s="43">
        <f>190+100</f>
        <v>290</v>
      </c>
      <c r="E5101" s="43"/>
      <c r="F5101" s="48">
        <f t="shared" si="82"/>
        <v>159292</v>
      </c>
    </row>
    <row r="5102" spans="1:6" x14ac:dyDescent="0.3">
      <c r="A5102" s="45">
        <v>43306</v>
      </c>
      <c r="B5102" s="5" t="s">
        <v>541</v>
      </c>
      <c r="C5102" s="5" t="s">
        <v>3792</v>
      </c>
      <c r="D5102" s="43">
        <v>60</v>
      </c>
      <c r="E5102" s="43"/>
      <c r="F5102" s="48">
        <f t="shared" si="82"/>
        <v>159232</v>
      </c>
    </row>
    <row r="5103" spans="1:6" x14ac:dyDescent="0.3">
      <c r="A5103" s="45">
        <v>43306</v>
      </c>
      <c r="B5103" s="5" t="s">
        <v>89</v>
      </c>
      <c r="C5103" s="5" t="s">
        <v>3792</v>
      </c>
      <c r="D5103" s="43">
        <v>60</v>
      </c>
      <c r="E5103" s="43"/>
      <c r="F5103" s="48">
        <f t="shared" si="82"/>
        <v>159172</v>
      </c>
    </row>
    <row r="5104" spans="1:6" x14ac:dyDescent="0.3">
      <c r="A5104" s="45">
        <v>43306</v>
      </c>
      <c r="B5104" s="5" t="s">
        <v>89</v>
      </c>
      <c r="C5104" s="5" t="s">
        <v>3997</v>
      </c>
      <c r="D5104" s="43">
        <v>100</v>
      </c>
      <c r="E5104" s="43"/>
      <c r="F5104" s="48">
        <f t="shared" si="82"/>
        <v>159072</v>
      </c>
    </row>
    <row r="5105" spans="1:6" x14ac:dyDescent="0.3">
      <c r="A5105" s="45">
        <v>43306</v>
      </c>
      <c r="B5105" s="5" t="s">
        <v>118</v>
      </c>
      <c r="C5105" s="5" t="s">
        <v>3998</v>
      </c>
      <c r="D5105" s="43">
        <v>120</v>
      </c>
      <c r="E5105" s="43"/>
      <c r="F5105" s="48">
        <f t="shared" si="82"/>
        <v>158952</v>
      </c>
    </row>
    <row r="5106" spans="1:6" x14ac:dyDescent="0.3">
      <c r="A5106" s="45">
        <v>43306</v>
      </c>
      <c r="B5106" s="5" t="s">
        <v>541</v>
      </c>
      <c r="C5106" s="5" t="s">
        <v>3999</v>
      </c>
      <c r="D5106" s="43">
        <v>300</v>
      </c>
      <c r="E5106" s="43"/>
      <c r="F5106" s="48">
        <f t="shared" si="82"/>
        <v>158652</v>
      </c>
    </row>
    <row r="5107" spans="1:6" x14ac:dyDescent="0.3">
      <c r="A5107" s="45">
        <v>43306</v>
      </c>
      <c r="B5107" s="5" t="s">
        <v>247</v>
      </c>
      <c r="C5107" s="5" t="s">
        <v>3977</v>
      </c>
      <c r="D5107" s="43">
        <v>100</v>
      </c>
      <c r="E5107" s="43"/>
      <c r="F5107" s="48">
        <f t="shared" si="82"/>
        <v>158552</v>
      </c>
    </row>
    <row r="5108" spans="1:6" x14ac:dyDescent="0.3">
      <c r="A5108" s="45">
        <v>43307</v>
      </c>
      <c r="B5108" s="5" t="s">
        <v>541</v>
      </c>
      <c r="C5108" s="5" t="s">
        <v>4001</v>
      </c>
      <c r="D5108" s="43">
        <v>430</v>
      </c>
      <c r="E5108" s="43"/>
      <c r="F5108" s="48">
        <f t="shared" si="82"/>
        <v>158122</v>
      </c>
    </row>
    <row r="5109" spans="1:6" x14ac:dyDescent="0.3">
      <c r="A5109" s="45">
        <v>43307</v>
      </c>
      <c r="B5109" s="5" t="s">
        <v>118</v>
      </c>
      <c r="C5109" s="5" t="s">
        <v>4002</v>
      </c>
      <c r="D5109" s="43">
        <v>80</v>
      </c>
      <c r="E5109" s="43"/>
      <c r="F5109" s="48">
        <f t="shared" si="82"/>
        <v>158042</v>
      </c>
    </row>
    <row r="5110" spans="1:6" x14ac:dyDescent="0.3">
      <c r="A5110" s="45">
        <v>43307</v>
      </c>
      <c r="B5110" s="5" t="s">
        <v>541</v>
      </c>
      <c r="C5110" s="5" t="s">
        <v>4003</v>
      </c>
      <c r="D5110" s="43">
        <v>128</v>
      </c>
      <c r="E5110" s="43"/>
      <c r="F5110" s="48">
        <f t="shared" si="82"/>
        <v>157914</v>
      </c>
    </row>
    <row r="5111" spans="1:6" ht="37.5" x14ac:dyDescent="0.3">
      <c r="A5111" s="45">
        <v>43308</v>
      </c>
      <c r="B5111" s="5" t="s">
        <v>25</v>
      </c>
      <c r="C5111" s="92" t="s">
        <v>4000</v>
      </c>
      <c r="D5111" s="43">
        <f>520+90+48+60</f>
        <v>718</v>
      </c>
      <c r="E5111" s="43"/>
      <c r="F5111" s="48">
        <f t="shared" si="82"/>
        <v>157196</v>
      </c>
    </row>
    <row r="5112" spans="1:6" x14ac:dyDescent="0.3">
      <c r="A5112" s="45">
        <v>43308</v>
      </c>
      <c r="B5112" s="5" t="s">
        <v>25</v>
      </c>
      <c r="C5112" s="92" t="s">
        <v>4004</v>
      </c>
      <c r="D5112" s="43">
        <v>238</v>
      </c>
      <c r="E5112" s="43"/>
      <c r="F5112" s="48">
        <f t="shared" si="82"/>
        <v>156958</v>
      </c>
    </row>
    <row r="5113" spans="1:6" x14ac:dyDescent="0.3">
      <c r="A5113" s="45">
        <v>43307</v>
      </c>
      <c r="B5113" s="5" t="s">
        <v>84</v>
      </c>
      <c r="C5113" s="5" t="s">
        <v>3981</v>
      </c>
      <c r="D5113" s="43">
        <v>1000</v>
      </c>
      <c r="E5113" s="43"/>
      <c r="F5113" s="48">
        <f t="shared" si="82"/>
        <v>155958</v>
      </c>
    </row>
    <row r="5114" spans="1:6" x14ac:dyDescent="0.3">
      <c r="A5114" s="45">
        <v>43307</v>
      </c>
      <c r="B5114" s="5" t="s">
        <v>3982</v>
      </c>
      <c r="C5114" s="5" t="s">
        <v>3983</v>
      </c>
      <c r="D5114" s="43">
        <v>300</v>
      </c>
      <c r="E5114" s="43"/>
      <c r="F5114" s="48">
        <f t="shared" si="82"/>
        <v>155658</v>
      </c>
    </row>
    <row r="5115" spans="1:6" x14ac:dyDescent="0.3">
      <c r="A5115" s="45">
        <v>43307</v>
      </c>
      <c r="B5115" s="5" t="s">
        <v>3138</v>
      </c>
      <c r="C5115" s="5" t="s">
        <v>3984</v>
      </c>
      <c r="D5115" s="43">
        <f>7960+10782+26806</f>
        <v>45548</v>
      </c>
      <c r="E5115" s="43"/>
      <c r="F5115" s="48">
        <f t="shared" si="82"/>
        <v>110110</v>
      </c>
    </row>
    <row r="5116" spans="1:6" x14ac:dyDescent="0.3">
      <c r="A5116" s="45">
        <v>43307</v>
      </c>
      <c r="B5116" s="5" t="s">
        <v>3985</v>
      </c>
      <c r="C5116" s="5" t="s">
        <v>3986</v>
      </c>
      <c r="D5116" s="43">
        <v>10000</v>
      </c>
      <c r="E5116" s="43"/>
      <c r="F5116" s="48">
        <f t="shared" si="82"/>
        <v>100110</v>
      </c>
    </row>
    <row r="5117" spans="1:6" x14ac:dyDescent="0.3">
      <c r="A5117" s="45">
        <v>43307</v>
      </c>
      <c r="B5117" s="5" t="s">
        <v>56</v>
      </c>
      <c r="C5117" s="5" t="s">
        <v>3988</v>
      </c>
      <c r="D5117" s="43">
        <v>1500</v>
      </c>
      <c r="E5117" s="43"/>
      <c r="F5117" s="48">
        <f t="shared" si="82"/>
        <v>98610</v>
      </c>
    </row>
    <row r="5118" spans="1:6" x14ac:dyDescent="0.3">
      <c r="A5118" s="45">
        <v>43307</v>
      </c>
      <c r="B5118" s="5" t="s">
        <v>3985</v>
      </c>
      <c r="C5118" s="5" t="s">
        <v>3989</v>
      </c>
      <c r="D5118" s="43">
        <v>5360</v>
      </c>
      <c r="E5118" s="43"/>
      <c r="F5118" s="48">
        <f t="shared" si="82"/>
        <v>93250</v>
      </c>
    </row>
    <row r="5119" spans="1:6" x14ac:dyDescent="0.3">
      <c r="A5119" s="45">
        <v>43308</v>
      </c>
      <c r="B5119" s="5" t="s">
        <v>2594</v>
      </c>
      <c r="C5119" s="5" t="s">
        <v>4006</v>
      </c>
      <c r="D5119" s="43">
        <v>10200</v>
      </c>
      <c r="E5119" s="43"/>
      <c r="F5119" s="48">
        <f t="shared" si="82"/>
        <v>83050</v>
      </c>
    </row>
    <row r="5120" spans="1:6" x14ac:dyDescent="0.3">
      <c r="A5120" s="45">
        <v>43308</v>
      </c>
      <c r="B5120" s="5" t="s">
        <v>2594</v>
      </c>
      <c r="C5120" s="5" t="s">
        <v>4007</v>
      </c>
      <c r="D5120" s="43">
        <v>5940</v>
      </c>
      <c r="E5120" s="43"/>
      <c r="F5120" s="48">
        <f t="shared" si="82"/>
        <v>77110</v>
      </c>
    </row>
    <row r="5121" spans="1:6" x14ac:dyDescent="0.3">
      <c r="A5121" s="45">
        <v>43308</v>
      </c>
      <c r="B5121" s="5" t="s">
        <v>3814</v>
      </c>
      <c r="C5121" s="5" t="s">
        <v>3994</v>
      </c>
      <c r="D5121" s="43">
        <v>80</v>
      </c>
      <c r="E5121" s="43"/>
      <c r="F5121" s="48">
        <f t="shared" si="82"/>
        <v>77030</v>
      </c>
    </row>
    <row r="5122" spans="1:6" x14ac:dyDescent="0.3">
      <c r="A5122" s="45">
        <v>43308</v>
      </c>
      <c r="B5122" s="5" t="s">
        <v>2594</v>
      </c>
      <c r="C5122" s="5" t="s">
        <v>4009</v>
      </c>
      <c r="D5122" s="43">
        <v>800</v>
      </c>
      <c r="E5122" s="43"/>
      <c r="F5122" s="48">
        <f t="shared" si="82"/>
        <v>76230</v>
      </c>
    </row>
    <row r="5123" spans="1:6" x14ac:dyDescent="0.3">
      <c r="A5123" s="45">
        <v>43308</v>
      </c>
      <c r="B5123" s="5" t="s">
        <v>2594</v>
      </c>
      <c r="C5123" s="5" t="s">
        <v>4010</v>
      </c>
      <c r="D5123" s="43">
        <v>900</v>
      </c>
      <c r="E5123" s="43"/>
      <c r="F5123" s="48">
        <f t="shared" si="82"/>
        <v>75330</v>
      </c>
    </row>
    <row r="5124" spans="1:6" x14ac:dyDescent="0.3">
      <c r="A5124" s="45">
        <v>43308</v>
      </c>
      <c r="B5124" s="5" t="s">
        <v>58</v>
      </c>
      <c r="C5124" s="5" t="s">
        <v>4075</v>
      </c>
      <c r="D5124" s="43">
        <v>12780</v>
      </c>
      <c r="E5124" s="43"/>
      <c r="F5124" s="48">
        <f t="shared" si="82"/>
        <v>62550</v>
      </c>
    </row>
    <row r="5125" spans="1:6" x14ac:dyDescent="0.3">
      <c r="A5125" s="45">
        <v>43308</v>
      </c>
      <c r="B5125" s="5" t="s">
        <v>4011</v>
      </c>
      <c r="C5125" s="5" t="s">
        <v>4012</v>
      </c>
      <c r="D5125" s="43">
        <v>550</v>
      </c>
      <c r="E5125" s="43"/>
      <c r="F5125" s="48">
        <f t="shared" si="82"/>
        <v>62000</v>
      </c>
    </row>
    <row r="5126" spans="1:6" x14ac:dyDescent="0.3">
      <c r="A5126" s="45">
        <v>43308</v>
      </c>
      <c r="B5126" s="5" t="s">
        <v>58</v>
      </c>
      <c r="C5126" s="5" t="s">
        <v>4013</v>
      </c>
      <c r="D5126" s="43">
        <v>100</v>
      </c>
      <c r="E5126" s="43"/>
      <c r="F5126" s="48">
        <f t="shared" si="82"/>
        <v>61900</v>
      </c>
    </row>
    <row r="5127" spans="1:6" x14ac:dyDescent="0.3">
      <c r="A5127" s="45">
        <v>43308</v>
      </c>
      <c r="B5127" s="5" t="s">
        <v>541</v>
      </c>
      <c r="C5127" s="5" t="s">
        <v>4014</v>
      </c>
      <c r="D5127" s="43">
        <f>540+90</f>
        <v>630</v>
      </c>
      <c r="E5127" s="43"/>
      <c r="F5127" s="48">
        <f t="shared" si="82"/>
        <v>61270</v>
      </c>
    </row>
    <row r="5128" spans="1:6" x14ac:dyDescent="0.3">
      <c r="A5128" s="45">
        <v>43308</v>
      </c>
      <c r="B5128" s="5" t="s">
        <v>541</v>
      </c>
      <c r="C5128" s="5" t="s">
        <v>2435</v>
      </c>
      <c r="D5128" s="43">
        <v>600</v>
      </c>
      <c r="E5128" s="43"/>
      <c r="F5128" s="48">
        <f t="shared" si="82"/>
        <v>60670</v>
      </c>
    </row>
    <row r="5129" spans="1:6" x14ac:dyDescent="0.3">
      <c r="A5129" s="45">
        <v>43309</v>
      </c>
      <c r="B5129" s="5" t="s">
        <v>25</v>
      </c>
      <c r="C5129" s="5" t="s">
        <v>4016</v>
      </c>
      <c r="D5129" s="43">
        <v>1000</v>
      </c>
      <c r="E5129" s="43"/>
      <c r="F5129" s="48">
        <f t="shared" si="82"/>
        <v>59670</v>
      </c>
    </row>
    <row r="5130" spans="1:6" x14ac:dyDescent="0.3">
      <c r="A5130" s="45">
        <v>43311</v>
      </c>
      <c r="B5130" s="5" t="s">
        <v>3138</v>
      </c>
      <c r="C5130" s="5" t="s">
        <v>4017</v>
      </c>
      <c r="D5130" s="43">
        <f>17190+669</f>
        <v>17859</v>
      </c>
      <c r="E5130" s="43"/>
      <c r="F5130" s="48">
        <f t="shared" si="82"/>
        <v>41811</v>
      </c>
    </row>
    <row r="5131" spans="1:6" x14ac:dyDescent="0.3">
      <c r="A5131" s="45">
        <v>43311</v>
      </c>
      <c r="B5131" s="5" t="s">
        <v>14</v>
      </c>
      <c r="C5131" s="5" t="s">
        <v>4018</v>
      </c>
      <c r="D5131" s="43">
        <v>2000</v>
      </c>
      <c r="E5131" s="43"/>
      <c r="F5131" s="48">
        <f t="shared" ref="F5131:F5194" si="83">F5130-D5131+E5131</f>
        <v>39811</v>
      </c>
    </row>
    <row r="5132" spans="1:6" ht="37.5" x14ac:dyDescent="0.3">
      <c r="A5132" s="45">
        <v>43311</v>
      </c>
      <c r="B5132" s="5" t="s">
        <v>57</v>
      </c>
      <c r="C5132" s="92" t="s">
        <v>4023</v>
      </c>
      <c r="D5132" s="43">
        <v>1000</v>
      </c>
      <c r="E5132" s="43"/>
      <c r="F5132" s="48">
        <f t="shared" si="83"/>
        <v>38811</v>
      </c>
    </row>
    <row r="5133" spans="1:6" x14ac:dyDescent="0.3">
      <c r="A5133" s="45">
        <v>43311</v>
      </c>
      <c r="B5133" s="5" t="s">
        <v>57</v>
      </c>
      <c r="C5133" s="5" t="s">
        <v>3143</v>
      </c>
      <c r="D5133" s="43">
        <v>18000</v>
      </c>
      <c r="E5133" s="43"/>
      <c r="F5133" s="48">
        <f t="shared" si="83"/>
        <v>20811</v>
      </c>
    </row>
    <row r="5134" spans="1:6" x14ac:dyDescent="0.3">
      <c r="A5134" s="45">
        <v>43311</v>
      </c>
      <c r="B5134" s="5" t="s">
        <v>58</v>
      </c>
      <c r="C5134" s="5" t="s">
        <v>4095</v>
      </c>
      <c r="D5134" s="43">
        <v>800</v>
      </c>
      <c r="E5134" s="43"/>
      <c r="F5134" s="48">
        <f t="shared" si="83"/>
        <v>20011</v>
      </c>
    </row>
    <row r="5135" spans="1:6" x14ac:dyDescent="0.3">
      <c r="A5135" s="45">
        <v>43311</v>
      </c>
      <c r="B5135" s="5" t="s">
        <v>3384</v>
      </c>
      <c r="C5135" s="5" t="s">
        <v>4019</v>
      </c>
      <c r="D5135" s="43">
        <v>2680</v>
      </c>
      <c r="E5135" s="43"/>
      <c r="F5135" s="48">
        <f t="shared" si="83"/>
        <v>17331</v>
      </c>
    </row>
    <row r="5136" spans="1:6" x14ac:dyDescent="0.3">
      <c r="A5136" s="45">
        <v>43311</v>
      </c>
      <c r="B5136" s="5" t="s">
        <v>3384</v>
      </c>
      <c r="C5136" s="5" t="s">
        <v>4020</v>
      </c>
      <c r="D5136" s="43">
        <v>100</v>
      </c>
      <c r="E5136" s="43"/>
      <c r="F5136" s="48">
        <f t="shared" si="83"/>
        <v>17231</v>
      </c>
    </row>
    <row r="5137" spans="1:9" x14ac:dyDescent="0.3">
      <c r="A5137" s="45">
        <v>43311</v>
      </c>
      <c r="B5137" s="5" t="s">
        <v>3384</v>
      </c>
      <c r="C5137" s="5" t="s">
        <v>4021</v>
      </c>
      <c r="D5137" s="43">
        <v>120</v>
      </c>
      <c r="E5137" s="43"/>
      <c r="F5137" s="48">
        <f t="shared" si="83"/>
        <v>17111</v>
      </c>
    </row>
    <row r="5138" spans="1:9" x14ac:dyDescent="0.3">
      <c r="A5138" s="45">
        <v>43311</v>
      </c>
      <c r="B5138" s="5" t="s">
        <v>3814</v>
      </c>
      <c r="C5138" s="5" t="s">
        <v>4022</v>
      </c>
      <c r="D5138" s="43">
        <v>6000</v>
      </c>
      <c r="E5138" s="43"/>
      <c r="F5138" s="48">
        <f t="shared" si="83"/>
        <v>11111</v>
      </c>
    </row>
    <row r="5139" spans="1:9" x14ac:dyDescent="0.3">
      <c r="A5139" s="45">
        <v>43311</v>
      </c>
      <c r="B5139" s="5" t="s">
        <v>84</v>
      </c>
      <c r="C5139" s="5" t="s">
        <v>4024</v>
      </c>
      <c r="D5139" s="43">
        <v>2000</v>
      </c>
      <c r="E5139" s="43"/>
      <c r="F5139" s="48">
        <f t="shared" si="83"/>
        <v>9111</v>
      </c>
    </row>
    <row r="5140" spans="1:9" x14ac:dyDescent="0.3">
      <c r="A5140" s="45">
        <v>43311</v>
      </c>
      <c r="B5140" s="5" t="s">
        <v>56</v>
      </c>
      <c r="C5140" s="5" t="s">
        <v>4025</v>
      </c>
      <c r="D5140" s="43">
        <v>3000</v>
      </c>
      <c r="E5140" s="43"/>
      <c r="F5140" s="48">
        <f t="shared" si="83"/>
        <v>6111</v>
      </c>
    </row>
    <row r="5141" spans="1:9" x14ac:dyDescent="0.3">
      <c r="A5141" s="45">
        <v>43311</v>
      </c>
      <c r="B5141" s="5" t="s">
        <v>84</v>
      </c>
      <c r="C5141" s="5" t="s">
        <v>4026</v>
      </c>
      <c r="D5141" s="43">
        <v>5000</v>
      </c>
      <c r="E5141" s="43"/>
      <c r="F5141" s="48">
        <f t="shared" si="83"/>
        <v>1111</v>
      </c>
    </row>
    <row r="5142" spans="1:9" x14ac:dyDescent="0.3">
      <c r="A5142" s="45">
        <v>43311</v>
      </c>
      <c r="B5142" s="756" t="s">
        <v>3717</v>
      </c>
      <c r="C5142" s="756"/>
      <c r="D5142" s="71"/>
      <c r="E5142" s="72">
        <v>50000</v>
      </c>
      <c r="F5142" s="48">
        <f t="shared" si="83"/>
        <v>51111</v>
      </c>
      <c r="I5142" s="182"/>
    </row>
    <row r="5143" spans="1:9" x14ac:dyDescent="0.3">
      <c r="A5143" s="45">
        <v>43311</v>
      </c>
      <c r="B5143" s="5" t="s">
        <v>14</v>
      </c>
      <c r="C5143" s="5" t="s">
        <v>294</v>
      </c>
      <c r="D5143" s="43">
        <v>15000</v>
      </c>
      <c r="E5143" s="43"/>
      <c r="F5143" s="48">
        <f t="shared" si="83"/>
        <v>36111</v>
      </c>
    </row>
    <row r="5144" spans="1:9" x14ac:dyDescent="0.3">
      <c r="A5144" s="45">
        <v>43312</v>
      </c>
      <c r="B5144" s="5" t="s">
        <v>2594</v>
      </c>
      <c r="C5144" s="5" t="s">
        <v>4043</v>
      </c>
      <c r="D5144" s="43">
        <f>20000+6450</f>
        <v>26450</v>
      </c>
      <c r="E5144" s="43"/>
      <c r="F5144" s="48">
        <f t="shared" si="83"/>
        <v>9661</v>
      </c>
    </row>
    <row r="5145" spans="1:9" x14ac:dyDescent="0.3">
      <c r="A5145" s="45">
        <v>43312</v>
      </c>
      <c r="B5145" s="5" t="s">
        <v>3825</v>
      </c>
      <c r="C5145" s="5" t="s">
        <v>4027</v>
      </c>
      <c r="D5145" s="43">
        <v>2000</v>
      </c>
      <c r="E5145" s="43"/>
      <c r="F5145" s="48">
        <f t="shared" si="83"/>
        <v>7661</v>
      </c>
    </row>
    <row r="5146" spans="1:9" x14ac:dyDescent="0.3">
      <c r="A5146" s="45">
        <v>43312</v>
      </c>
      <c r="B5146" s="5" t="s">
        <v>2570</v>
      </c>
      <c r="C5146" s="5" t="s">
        <v>4028</v>
      </c>
      <c r="D5146" s="43">
        <v>200</v>
      </c>
      <c r="E5146" s="43"/>
      <c r="F5146" s="48">
        <f t="shared" si="83"/>
        <v>7461</v>
      </c>
    </row>
    <row r="5147" spans="1:9" x14ac:dyDescent="0.3">
      <c r="A5147" s="45">
        <v>43312</v>
      </c>
      <c r="B5147" s="5" t="s">
        <v>14</v>
      </c>
      <c r="C5147" s="5" t="s">
        <v>4029</v>
      </c>
      <c r="D5147" s="43">
        <v>1000</v>
      </c>
      <c r="E5147" s="43"/>
      <c r="F5147" s="48">
        <f t="shared" si="83"/>
        <v>6461</v>
      </c>
    </row>
    <row r="5148" spans="1:9" x14ac:dyDescent="0.3">
      <c r="A5148" s="45">
        <v>43312</v>
      </c>
      <c r="B5148" s="5" t="s">
        <v>1616</v>
      </c>
      <c r="C5148" s="5" t="s">
        <v>4030</v>
      </c>
      <c r="D5148" s="43">
        <v>520</v>
      </c>
      <c r="E5148" s="43"/>
      <c r="F5148" s="48">
        <f t="shared" si="83"/>
        <v>5941</v>
      </c>
    </row>
    <row r="5149" spans="1:9" x14ac:dyDescent="0.3">
      <c r="A5149" s="45">
        <v>43312</v>
      </c>
      <c r="B5149" s="5" t="s">
        <v>18</v>
      </c>
      <c r="C5149" s="5" t="s">
        <v>4031</v>
      </c>
      <c r="D5149" s="43">
        <v>3000</v>
      </c>
      <c r="E5149" s="43"/>
      <c r="F5149" s="48">
        <f t="shared" si="83"/>
        <v>2941</v>
      </c>
    </row>
    <row r="5150" spans="1:9" x14ac:dyDescent="0.3">
      <c r="A5150" s="45">
        <v>43312</v>
      </c>
      <c r="B5150" s="5" t="s">
        <v>84</v>
      </c>
      <c r="C5150" s="5" t="s">
        <v>4032</v>
      </c>
      <c r="D5150" s="43">
        <v>1000</v>
      </c>
      <c r="E5150" s="43"/>
      <c r="F5150" s="48">
        <f t="shared" si="83"/>
        <v>1941</v>
      </c>
    </row>
    <row r="5151" spans="1:9" x14ac:dyDescent="0.3">
      <c r="A5151" s="45">
        <v>43312</v>
      </c>
      <c r="B5151" s="5" t="s">
        <v>4033</v>
      </c>
      <c r="C5151" s="5" t="s">
        <v>2013</v>
      </c>
      <c r="D5151" s="43">
        <v>50</v>
      </c>
      <c r="E5151" s="43"/>
      <c r="F5151" s="48">
        <f t="shared" si="83"/>
        <v>1891</v>
      </c>
    </row>
    <row r="5152" spans="1:9" x14ac:dyDescent="0.3">
      <c r="A5152" s="45">
        <v>43312</v>
      </c>
      <c r="B5152" s="5" t="s">
        <v>2594</v>
      </c>
      <c r="C5152" s="5" t="s">
        <v>4034</v>
      </c>
      <c r="D5152" s="43">
        <v>500</v>
      </c>
      <c r="E5152" s="43"/>
      <c r="F5152" s="48">
        <f t="shared" si="83"/>
        <v>1391</v>
      </c>
    </row>
    <row r="5153" spans="1:9" x14ac:dyDescent="0.3">
      <c r="A5153" s="45">
        <v>43312</v>
      </c>
      <c r="B5153" s="5" t="s">
        <v>2594</v>
      </c>
      <c r="C5153" s="5" t="s">
        <v>4035</v>
      </c>
      <c r="D5153" s="43">
        <v>450</v>
      </c>
      <c r="E5153" s="43"/>
      <c r="F5153" s="48">
        <f t="shared" si="83"/>
        <v>941</v>
      </c>
    </row>
    <row r="5154" spans="1:9" x14ac:dyDescent="0.3">
      <c r="A5154" s="45">
        <v>43312</v>
      </c>
      <c r="B5154" s="5" t="s">
        <v>118</v>
      </c>
      <c r="C5154" s="5" t="s">
        <v>4037</v>
      </c>
      <c r="D5154" s="43">
        <f>170+100+100+320</f>
        <v>690</v>
      </c>
      <c r="E5154" s="43"/>
      <c r="F5154" s="48">
        <f t="shared" si="83"/>
        <v>251</v>
      </c>
    </row>
    <row r="5155" spans="1:9" x14ac:dyDescent="0.3">
      <c r="A5155" s="45">
        <v>43313</v>
      </c>
      <c r="B5155" s="756" t="s">
        <v>4063</v>
      </c>
      <c r="C5155" s="756"/>
      <c r="D5155" s="71"/>
      <c r="E5155" s="72">
        <v>100000</v>
      </c>
      <c r="F5155" s="48">
        <f t="shared" si="83"/>
        <v>100251</v>
      </c>
      <c r="I5155" s="182"/>
    </row>
    <row r="5156" spans="1:9" x14ac:dyDescent="0.3">
      <c r="A5156" s="45">
        <v>43313</v>
      </c>
      <c r="B5156" s="5" t="s">
        <v>58</v>
      </c>
      <c r="C5156" s="5" t="s">
        <v>3143</v>
      </c>
      <c r="D5156" s="43">
        <v>70106</v>
      </c>
      <c r="E5156" s="43"/>
      <c r="F5156" s="48">
        <f t="shared" si="83"/>
        <v>30145</v>
      </c>
    </row>
    <row r="5157" spans="1:9" x14ac:dyDescent="0.3">
      <c r="A5157" s="45">
        <v>43313</v>
      </c>
      <c r="B5157" s="5" t="s">
        <v>4055</v>
      </c>
      <c r="C5157" s="5" t="s">
        <v>4072</v>
      </c>
      <c r="D5157" s="43">
        <v>2000</v>
      </c>
      <c r="E5157" s="43"/>
      <c r="F5157" s="48">
        <f t="shared" si="83"/>
        <v>28145</v>
      </c>
    </row>
    <row r="5158" spans="1:9" x14ac:dyDescent="0.3">
      <c r="A5158" s="45">
        <v>43313</v>
      </c>
      <c r="B5158" s="5" t="s">
        <v>118</v>
      </c>
      <c r="C5158" s="5" t="s">
        <v>4038</v>
      </c>
      <c r="D5158" s="43">
        <f>30+30+100+220+110</f>
        <v>490</v>
      </c>
      <c r="E5158" s="43"/>
      <c r="F5158" s="48">
        <f t="shared" si="83"/>
        <v>27655</v>
      </c>
    </row>
    <row r="5159" spans="1:9" x14ac:dyDescent="0.3">
      <c r="A5159" s="45">
        <v>43313</v>
      </c>
      <c r="B5159" s="5" t="s">
        <v>4039</v>
      </c>
      <c r="C5159" s="5" t="s">
        <v>2875</v>
      </c>
      <c r="D5159" s="43">
        <v>150</v>
      </c>
      <c r="E5159" s="43"/>
      <c r="F5159" s="48">
        <f t="shared" si="83"/>
        <v>27505</v>
      </c>
    </row>
    <row r="5160" spans="1:9" x14ac:dyDescent="0.3">
      <c r="A5160" s="45">
        <v>43313</v>
      </c>
      <c r="B5160" s="5" t="s">
        <v>25</v>
      </c>
      <c r="C5160" s="5" t="s">
        <v>4040</v>
      </c>
      <c r="D5160" s="43">
        <v>160</v>
      </c>
      <c r="E5160" s="43"/>
      <c r="F5160" s="48">
        <f t="shared" si="83"/>
        <v>27345</v>
      </c>
    </row>
    <row r="5161" spans="1:9" x14ac:dyDescent="0.3">
      <c r="A5161" s="45">
        <v>43313</v>
      </c>
      <c r="B5161" s="5" t="s">
        <v>25</v>
      </c>
      <c r="C5161" s="5" t="s">
        <v>4041</v>
      </c>
      <c r="D5161" s="43">
        <v>160</v>
      </c>
      <c r="E5161" s="43"/>
      <c r="F5161" s="48">
        <f t="shared" si="83"/>
        <v>27185</v>
      </c>
    </row>
    <row r="5162" spans="1:9" x14ac:dyDescent="0.3">
      <c r="A5162" s="45">
        <v>43313</v>
      </c>
      <c r="B5162" s="5" t="s">
        <v>2594</v>
      </c>
      <c r="C5162" s="5" t="s">
        <v>4042</v>
      </c>
      <c r="D5162" s="43">
        <v>360</v>
      </c>
      <c r="E5162" s="43"/>
      <c r="F5162" s="48">
        <f t="shared" si="83"/>
        <v>26825</v>
      </c>
    </row>
    <row r="5163" spans="1:9" x14ac:dyDescent="0.3">
      <c r="A5163" s="45">
        <v>43313</v>
      </c>
      <c r="B5163" s="5" t="s">
        <v>3970</v>
      </c>
      <c r="C5163" s="5" t="s">
        <v>4044</v>
      </c>
      <c r="D5163" s="43">
        <v>3150</v>
      </c>
      <c r="E5163" s="43"/>
      <c r="F5163" s="48">
        <f t="shared" si="83"/>
        <v>23675</v>
      </c>
    </row>
    <row r="5164" spans="1:9" x14ac:dyDescent="0.3">
      <c r="A5164" s="45">
        <v>43313</v>
      </c>
      <c r="B5164" s="5" t="s">
        <v>84</v>
      </c>
      <c r="C5164" s="5" t="s">
        <v>4045</v>
      </c>
      <c r="D5164" s="43">
        <v>1000</v>
      </c>
      <c r="E5164" s="43"/>
      <c r="F5164" s="48">
        <f t="shared" si="83"/>
        <v>22675</v>
      </c>
    </row>
    <row r="5165" spans="1:9" x14ac:dyDescent="0.3">
      <c r="A5165" s="45">
        <v>43314</v>
      </c>
      <c r="B5165" s="5" t="s">
        <v>14</v>
      </c>
      <c r="C5165" s="5" t="s">
        <v>2544</v>
      </c>
      <c r="D5165" s="43">
        <v>5000</v>
      </c>
      <c r="E5165" s="43"/>
      <c r="F5165" s="48">
        <f t="shared" si="83"/>
        <v>17675</v>
      </c>
    </row>
    <row r="5166" spans="1:9" x14ac:dyDescent="0.3">
      <c r="A5166" s="45">
        <v>43314</v>
      </c>
      <c r="B5166" s="5" t="s">
        <v>14</v>
      </c>
      <c r="C5166" s="5" t="s">
        <v>4046</v>
      </c>
      <c r="D5166" s="168">
        <v>8020</v>
      </c>
      <c r="E5166" s="43"/>
      <c r="F5166" s="48">
        <f t="shared" si="83"/>
        <v>9655</v>
      </c>
    </row>
    <row r="5167" spans="1:9" x14ac:dyDescent="0.3">
      <c r="A5167" s="45">
        <v>43314</v>
      </c>
      <c r="B5167" s="5" t="s">
        <v>550</v>
      </c>
      <c r="C5167" s="5" t="s">
        <v>4047</v>
      </c>
      <c r="D5167" s="43">
        <v>5000</v>
      </c>
      <c r="E5167" s="43"/>
      <c r="F5167" s="48">
        <f t="shared" si="83"/>
        <v>4655</v>
      </c>
    </row>
    <row r="5168" spans="1:9" x14ac:dyDescent="0.3">
      <c r="A5168" s="45">
        <v>43313</v>
      </c>
      <c r="B5168" s="756" t="s">
        <v>4063</v>
      </c>
      <c r="C5168" s="756"/>
      <c r="D5168" s="71"/>
      <c r="E5168" s="72">
        <v>80000</v>
      </c>
      <c r="F5168" s="48">
        <f t="shared" si="83"/>
        <v>84655</v>
      </c>
      <c r="I5168" s="182"/>
    </row>
    <row r="5169" spans="1:9" x14ac:dyDescent="0.3">
      <c r="A5169" s="45">
        <v>43315</v>
      </c>
      <c r="B5169" s="5" t="s">
        <v>60</v>
      </c>
      <c r="C5169" s="5" t="s">
        <v>2806</v>
      </c>
      <c r="D5169" s="43">
        <v>500</v>
      </c>
      <c r="E5169" s="43"/>
      <c r="F5169" s="48">
        <f t="shared" si="83"/>
        <v>84155</v>
      </c>
    </row>
    <row r="5170" spans="1:9" x14ac:dyDescent="0.3">
      <c r="A5170" s="45">
        <v>43315</v>
      </c>
      <c r="B5170" s="5" t="s">
        <v>58</v>
      </c>
      <c r="C5170" s="5" t="s">
        <v>4052</v>
      </c>
      <c r="D5170" s="43">
        <v>11755</v>
      </c>
      <c r="E5170" s="43"/>
      <c r="F5170" s="48">
        <f t="shared" si="83"/>
        <v>72400</v>
      </c>
    </row>
    <row r="5171" spans="1:9" x14ac:dyDescent="0.3">
      <c r="A5171" s="45">
        <v>43315</v>
      </c>
      <c r="B5171" s="5" t="s">
        <v>60</v>
      </c>
      <c r="C5171" s="5" t="s">
        <v>4053</v>
      </c>
      <c r="D5171" s="43">
        <v>1500</v>
      </c>
      <c r="E5171" s="43"/>
      <c r="F5171" s="48">
        <f t="shared" si="83"/>
        <v>70900</v>
      </c>
    </row>
    <row r="5172" spans="1:9" x14ac:dyDescent="0.3">
      <c r="A5172" s="45">
        <v>43315</v>
      </c>
      <c r="B5172" s="5" t="s">
        <v>58</v>
      </c>
      <c r="C5172" s="5" t="s">
        <v>4048</v>
      </c>
      <c r="D5172" s="43">
        <v>18500</v>
      </c>
      <c r="E5172" s="43"/>
      <c r="F5172" s="48">
        <f t="shared" si="83"/>
        <v>52400</v>
      </c>
    </row>
    <row r="5173" spans="1:9" x14ac:dyDescent="0.3">
      <c r="A5173" s="45">
        <v>43315</v>
      </c>
      <c r="B5173" s="5" t="s">
        <v>56</v>
      </c>
      <c r="C5173" s="5" t="s">
        <v>4073</v>
      </c>
      <c r="D5173" s="43">
        <v>860</v>
      </c>
      <c r="E5173" s="43"/>
      <c r="F5173" s="48">
        <f t="shared" si="83"/>
        <v>51540</v>
      </c>
    </row>
    <row r="5174" spans="1:9" x14ac:dyDescent="0.3">
      <c r="A5174" s="45">
        <v>43315</v>
      </c>
      <c r="B5174" s="5" t="s">
        <v>110</v>
      </c>
      <c r="C5174" s="5" t="s">
        <v>4049</v>
      </c>
      <c r="D5174" s="43">
        <v>10034</v>
      </c>
      <c r="E5174" s="43"/>
      <c r="F5174" s="48">
        <f t="shared" si="83"/>
        <v>41506</v>
      </c>
    </row>
    <row r="5175" spans="1:9" x14ac:dyDescent="0.3">
      <c r="A5175" s="45">
        <v>43315</v>
      </c>
      <c r="B5175" s="5" t="s">
        <v>110</v>
      </c>
      <c r="C5175" s="5" t="s">
        <v>30</v>
      </c>
      <c r="D5175" s="43">
        <v>2870</v>
      </c>
      <c r="E5175" s="43"/>
      <c r="F5175" s="48">
        <f t="shared" si="83"/>
        <v>38636</v>
      </c>
    </row>
    <row r="5176" spans="1:9" x14ac:dyDescent="0.3">
      <c r="A5176" s="45">
        <v>43315</v>
      </c>
      <c r="B5176" s="5" t="s">
        <v>47</v>
      </c>
      <c r="C5176" s="5" t="s">
        <v>4050</v>
      </c>
      <c r="D5176" s="43">
        <v>1000</v>
      </c>
      <c r="E5176" s="43"/>
      <c r="F5176" s="48">
        <f t="shared" si="83"/>
        <v>37636</v>
      </c>
    </row>
    <row r="5177" spans="1:9" x14ac:dyDescent="0.3">
      <c r="A5177" s="45">
        <v>43315</v>
      </c>
      <c r="B5177" s="5" t="s">
        <v>93</v>
      </c>
      <c r="C5177" s="5" t="s">
        <v>4116</v>
      </c>
      <c r="D5177" s="43">
        <v>5000</v>
      </c>
      <c r="E5177" s="43"/>
      <c r="F5177" s="48">
        <f t="shared" si="83"/>
        <v>32636</v>
      </c>
    </row>
    <row r="5178" spans="1:9" x14ac:dyDescent="0.3">
      <c r="A5178" s="45">
        <v>43315</v>
      </c>
      <c r="B5178" s="5" t="s">
        <v>93</v>
      </c>
      <c r="C5178" s="5" t="s">
        <v>4051</v>
      </c>
      <c r="D5178" s="43">
        <v>5000</v>
      </c>
      <c r="E5178" s="43"/>
      <c r="F5178" s="48">
        <f t="shared" si="83"/>
        <v>27636</v>
      </c>
    </row>
    <row r="5179" spans="1:9" ht="13.9" customHeight="1" x14ac:dyDescent="0.3">
      <c r="A5179" s="45">
        <v>43318</v>
      </c>
      <c r="B5179" s="5" t="s">
        <v>58</v>
      </c>
      <c r="C5179" s="92" t="s">
        <v>4054</v>
      </c>
      <c r="D5179" s="43">
        <v>250</v>
      </c>
      <c r="E5179" s="43"/>
      <c r="F5179" s="48">
        <f t="shared" si="83"/>
        <v>27386</v>
      </c>
    </row>
    <row r="5180" spans="1:9" x14ac:dyDescent="0.3">
      <c r="A5180" s="45">
        <v>43318</v>
      </c>
      <c r="B5180" s="5" t="s">
        <v>84</v>
      </c>
      <c r="C5180" s="5" t="s">
        <v>4056</v>
      </c>
      <c r="D5180" s="43">
        <v>5000</v>
      </c>
      <c r="E5180" s="43"/>
      <c r="F5180" s="48">
        <f t="shared" si="83"/>
        <v>22386</v>
      </c>
    </row>
    <row r="5181" spans="1:9" x14ac:dyDescent="0.3">
      <c r="A5181" s="45">
        <v>43318</v>
      </c>
      <c r="B5181" s="5" t="s">
        <v>4057</v>
      </c>
      <c r="C5181" s="5" t="s">
        <v>4074</v>
      </c>
      <c r="D5181" s="43">
        <v>5000</v>
      </c>
      <c r="E5181" s="43"/>
      <c r="F5181" s="48">
        <f t="shared" si="83"/>
        <v>17386</v>
      </c>
    </row>
    <row r="5182" spans="1:9" x14ac:dyDescent="0.3">
      <c r="A5182" s="45">
        <v>43318</v>
      </c>
      <c r="B5182" s="756" t="s">
        <v>4064</v>
      </c>
      <c r="C5182" s="756"/>
      <c r="D5182" s="71"/>
      <c r="E5182" s="72">
        <v>256374</v>
      </c>
      <c r="F5182" s="48">
        <f t="shared" si="83"/>
        <v>273760</v>
      </c>
      <c r="I5182" s="182"/>
    </row>
    <row r="5183" spans="1:9" x14ac:dyDescent="0.3">
      <c r="A5183" s="45">
        <v>43318</v>
      </c>
      <c r="B5183" s="5" t="s">
        <v>4058</v>
      </c>
      <c r="C5183" s="5" t="s">
        <v>4059</v>
      </c>
      <c r="D5183" s="43">
        <v>15000</v>
      </c>
      <c r="E5183" s="43"/>
      <c r="F5183" s="48">
        <f t="shared" si="83"/>
        <v>258760</v>
      </c>
    </row>
    <row r="5184" spans="1:9" x14ac:dyDescent="0.3">
      <c r="A5184" s="45">
        <v>43318</v>
      </c>
      <c r="B5184" s="5" t="s">
        <v>4083</v>
      </c>
      <c r="C5184" s="5" t="s">
        <v>4084</v>
      </c>
      <c r="D5184" s="43">
        <v>100000</v>
      </c>
      <c r="E5184" s="43"/>
      <c r="F5184" s="48">
        <f t="shared" si="83"/>
        <v>158760</v>
      </c>
    </row>
    <row r="5185" spans="1:6" x14ac:dyDescent="0.3">
      <c r="A5185" s="45">
        <v>43318</v>
      </c>
      <c r="B5185" s="5" t="s">
        <v>4085</v>
      </c>
      <c r="C5185" s="5" t="s">
        <v>4086</v>
      </c>
      <c r="D5185" s="43">
        <v>50000</v>
      </c>
      <c r="E5185" s="43"/>
      <c r="F5185" s="48">
        <f t="shared" si="83"/>
        <v>108760</v>
      </c>
    </row>
    <row r="5186" spans="1:6" x14ac:dyDescent="0.3">
      <c r="A5186" s="45">
        <v>43318</v>
      </c>
      <c r="B5186" s="5" t="s">
        <v>2594</v>
      </c>
      <c r="C5186" s="5" t="s">
        <v>4078</v>
      </c>
      <c r="D5186" s="43">
        <f>4500+1000+300</f>
        <v>5800</v>
      </c>
      <c r="E5186" s="43"/>
      <c r="F5186" s="48">
        <f t="shared" si="83"/>
        <v>102960</v>
      </c>
    </row>
    <row r="5187" spans="1:6" x14ac:dyDescent="0.3">
      <c r="A5187" s="45">
        <v>43318</v>
      </c>
      <c r="B5187" s="5" t="s">
        <v>2594</v>
      </c>
      <c r="C5187" s="5" t="s">
        <v>4076</v>
      </c>
      <c r="D5187" s="43">
        <v>10750</v>
      </c>
      <c r="E5187" s="43"/>
      <c r="F5187" s="48">
        <f t="shared" si="83"/>
        <v>92210</v>
      </c>
    </row>
    <row r="5188" spans="1:6" ht="37.5" x14ac:dyDescent="0.3">
      <c r="A5188" s="45">
        <v>43318</v>
      </c>
      <c r="B5188" s="5" t="s">
        <v>2594</v>
      </c>
      <c r="C5188" s="92" t="s">
        <v>4060</v>
      </c>
      <c r="D5188" s="43">
        <v>450</v>
      </c>
      <c r="E5188" s="43"/>
      <c r="F5188" s="48">
        <f t="shared" si="83"/>
        <v>91760</v>
      </c>
    </row>
    <row r="5189" spans="1:6" x14ac:dyDescent="0.3">
      <c r="A5189" s="45">
        <v>43318</v>
      </c>
      <c r="B5189" s="5" t="s">
        <v>14</v>
      </c>
      <c r="C5189" s="5" t="s">
        <v>1624</v>
      </c>
      <c r="D5189" s="43">
        <v>1000</v>
      </c>
      <c r="E5189" s="43"/>
      <c r="F5189" s="48">
        <f t="shared" si="83"/>
        <v>90760</v>
      </c>
    </row>
    <row r="5190" spans="1:6" x14ac:dyDescent="0.3">
      <c r="A5190" s="45">
        <v>43318</v>
      </c>
      <c r="B5190" s="5" t="s">
        <v>4061</v>
      </c>
      <c r="C5190" s="5" t="s">
        <v>4062</v>
      </c>
      <c r="D5190" s="43">
        <v>1300</v>
      </c>
      <c r="E5190" s="43"/>
      <c r="F5190" s="48">
        <f t="shared" si="83"/>
        <v>89460</v>
      </c>
    </row>
    <row r="5191" spans="1:6" x14ac:dyDescent="0.3">
      <c r="A5191" s="45">
        <v>43319</v>
      </c>
      <c r="B5191" s="5" t="s">
        <v>3825</v>
      </c>
      <c r="C5191" s="5" t="s">
        <v>4065</v>
      </c>
      <c r="D5191" s="43">
        <v>4000</v>
      </c>
      <c r="E5191" s="43"/>
      <c r="F5191" s="48">
        <f t="shared" si="83"/>
        <v>85460</v>
      </c>
    </row>
    <row r="5192" spans="1:6" x14ac:dyDescent="0.3">
      <c r="A5192" s="45">
        <v>43319</v>
      </c>
      <c r="B5192" s="5" t="s">
        <v>0</v>
      </c>
      <c r="C5192" s="5" t="s">
        <v>4065</v>
      </c>
      <c r="D5192" s="43">
        <v>2000</v>
      </c>
      <c r="E5192" s="43"/>
      <c r="F5192" s="48">
        <f t="shared" si="83"/>
        <v>83460</v>
      </c>
    </row>
    <row r="5193" spans="1:6" x14ac:dyDescent="0.3">
      <c r="A5193" s="45">
        <v>43319</v>
      </c>
      <c r="B5193" s="5" t="s">
        <v>57</v>
      </c>
      <c r="C5193" s="5" t="s">
        <v>4065</v>
      </c>
      <c r="D5193" s="43">
        <v>1000</v>
      </c>
      <c r="E5193" s="43"/>
      <c r="F5193" s="48">
        <f t="shared" si="83"/>
        <v>82460</v>
      </c>
    </row>
    <row r="5194" spans="1:6" x14ac:dyDescent="0.3">
      <c r="A5194" s="45">
        <v>43319</v>
      </c>
      <c r="B5194" s="5" t="s">
        <v>14</v>
      </c>
      <c r="C5194" s="5" t="s">
        <v>3143</v>
      </c>
      <c r="D5194" s="43">
        <v>7000</v>
      </c>
      <c r="E5194" s="43"/>
      <c r="F5194" s="48">
        <f t="shared" si="83"/>
        <v>75460</v>
      </c>
    </row>
    <row r="5195" spans="1:6" x14ac:dyDescent="0.3">
      <c r="A5195" s="45">
        <v>43319</v>
      </c>
      <c r="B5195" s="5" t="s">
        <v>84</v>
      </c>
      <c r="C5195" s="5" t="s">
        <v>4066</v>
      </c>
      <c r="D5195" s="43">
        <v>5000</v>
      </c>
      <c r="E5195" s="43"/>
      <c r="F5195" s="48">
        <f t="shared" ref="F5195:F5258" si="84">F5194-D5195+E5195</f>
        <v>70460</v>
      </c>
    </row>
    <row r="5196" spans="1:6" x14ac:dyDescent="0.3">
      <c r="A5196" s="45">
        <v>43319</v>
      </c>
      <c r="B5196" s="5" t="s">
        <v>2594</v>
      </c>
      <c r="C5196" s="5" t="s">
        <v>4077</v>
      </c>
      <c r="D5196" s="43">
        <v>16530</v>
      </c>
      <c r="E5196" s="43"/>
      <c r="F5196" s="48">
        <f t="shared" si="84"/>
        <v>53930</v>
      </c>
    </row>
    <row r="5197" spans="1:6" x14ac:dyDescent="0.3">
      <c r="A5197" s="45">
        <v>43319</v>
      </c>
      <c r="B5197" s="5" t="s">
        <v>58</v>
      </c>
      <c r="C5197" s="5" t="s">
        <v>4067</v>
      </c>
      <c r="D5197" s="43">
        <v>8700</v>
      </c>
      <c r="E5197" s="43"/>
      <c r="F5197" s="48">
        <f t="shared" si="84"/>
        <v>45230</v>
      </c>
    </row>
    <row r="5198" spans="1:6" x14ac:dyDescent="0.3">
      <c r="A5198" s="45">
        <v>43320</v>
      </c>
      <c r="B5198" s="5" t="s">
        <v>118</v>
      </c>
      <c r="C5198" s="5" t="s">
        <v>4068</v>
      </c>
      <c r="D5198" s="43">
        <v>240</v>
      </c>
      <c r="E5198" s="43"/>
      <c r="F5198" s="48">
        <f t="shared" si="84"/>
        <v>44990</v>
      </c>
    </row>
    <row r="5199" spans="1:6" x14ac:dyDescent="0.3">
      <c r="A5199" s="45">
        <v>43320</v>
      </c>
      <c r="B5199" s="5" t="s">
        <v>541</v>
      </c>
      <c r="C5199" s="5" t="s">
        <v>4069</v>
      </c>
      <c r="D5199" s="43">
        <v>510</v>
      </c>
      <c r="E5199" s="43"/>
      <c r="F5199" s="48">
        <f t="shared" si="84"/>
        <v>44480</v>
      </c>
    </row>
    <row r="5200" spans="1:6" x14ac:dyDescent="0.3">
      <c r="A5200" s="45">
        <v>43320</v>
      </c>
      <c r="B5200" s="5" t="s">
        <v>2674</v>
      </c>
      <c r="C5200" s="5" t="s">
        <v>3656</v>
      </c>
      <c r="D5200" s="43">
        <v>780</v>
      </c>
      <c r="E5200" s="43"/>
      <c r="F5200" s="48">
        <f t="shared" si="84"/>
        <v>43700</v>
      </c>
    </row>
    <row r="5201" spans="1:6" x14ac:dyDescent="0.3">
      <c r="A5201" s="45">
        <v>43320</v>
      </c>
      <c r="B5201" s="5" t="s">
        <v>247</v>
      </c>
      <c r="C5201" s="5" t="s">
        <v>3775</v>
      </c>
      <c r="D5201" s="43">
        <f>280+280</f>
        <v>560</v>
      </c>
      <c r="E5201" s="43"/>
      <c r="F5201" s="48">
        <f t="shared" si="84"/>
        <v>43140</v>
      </c>
    </row>
    <row r="5202" spans="1:6" ht="56.25" x14ac:dyDescent="0.3">
      <c r="A5202" s="45">
        <v>43320</v>
      </c>
      <c r="B5202" s="5" t="s">
        <v>118</v>
      </c>
      <c r="C5202" s="92" t="s">
        <v>4070</v>
      </c>
      <c r="D5202" s="43">
        <f>390+100+60+80+80+50+80+200+30+400+60+100+70+40+110+100+50+40+20+180+30+50+30</f>
        <v>2350</v>
      </c>
      <c r="E5202" s="43"/>
      <c r="F5202" s="48">
        <f t="shared" si="84"/>
        <v>40790</v>
      </c>
    </row>
    <row r="5203" spans="1:6" x14ac:dyDescent="0.3">
      <c r="A5203" s="45">
        <v>43320</v>
      </c>
      <c r="B5203" s="5" t="s">
        <v>3624</v>
      </c>
      <c r="C5203" s="5" t="s">
        <v>4071</v>
      </c>
      <c r="D5203" s="43">
        <v>270</v>
      </c>
      <c r="E5203" s="43"/>
      <c r="F5203" s="48">
        <f t="shared" si="84"/>
        <v>40520</v>
      </c>
    </row>
    <row r="5204" spans="1:6" x14ac:dyDescent="0.3">
      <c r="A5204" s="45">
        <v>43320</v>
      </c>
      <c r="B5204" s="5" t="s">
        <v>1616</v>
      </c>
      <c r="C5204" s="5" t="s">
        <v>3703</v>
      </c>
      <c r="D5204" s="43">
        <v>1500</v>
      </c>
      <c r="E5204" s="43"/>
      <c r="F5204" s="48">
        <f t="shared" si="84"/>
        <v>39020</v>
      </c>
    </row>
    <row r="5205" spans="1:6" x14ac:dyDescent="0.3">
      <c r="A5205" s="45">
        <v>43320</v>
      </c>
      <c r="B5205" s="5" t="s">
        <v>84</v>
      </c>
      <c r="C5205" s="5" t="s">
        <v>4079</v>
      </c>
      <c r="D5205" s="43">
        <v>500</v>
      </c>
      <c r="E5205" s="43"/>
      <c r="F5205" s="48">
        <f t="shared" si="84"/>
        <v>38520</v>
      </c>
    </row>
    <row r="5206" spans="1:6" x14ac:dyDescent="0.3">
      <c r="A5206" s="45">
        <v>43320</v>
      </c>
      <c r="B5206" s="5" t="s">
        <v>84</v>
      </c>
      <c r="C5206" s="5" t="s">
        <v>4080</v>
      </c>
      <c r="D5206" s="43">
        <v>600</v>
      </c>
      <c r="E5206" s="43"/>
      <c r="F5206" s="48">
        <f t="shared" si="84"/>
        <v>37920</v>
      </c>
    </row>
    <row r="5207" spans="1:6" x14ac:dyDescent="0.3">
      <c r="A5207" s="45">
        <v>43320</v>
      </c>
      <c r="B5207" s="5" t="s">
        <v>2346</v>
      </c>
      <c r="C5207" s="5" t="s">
        <v>4081</v>
      </c>
      <c r="D5207" s="43">
        <v>1500</v>
      </c>
      <c r="E5207" s="43"/>
      <c r="F5207" s="48">
        <f t="shared" si="84"/>
        <v>36420</v>
      </c>
    </row>
    <row r="5208" spans="1:6" x14ac:dyDescent="0.3">
      <c r="A5208" s="45">
        <v>43320</v>
      </c>
      <c r="B5208" s="5" t="s">
        <v>1193</v>
      </c>
      <c r="C5208" s="5" t="s">
        <v>4082</v>
      </c>
      <c r="D5208" s="43">
        <v>2000</v>
      </c>
      <c r="E5208" s="43"/>
      <c r="F5208" s="48">
        <f t="shared" si="84"/>
        <v>34420</v>
      </c>
    </row>
    <row r="5209" spans="1:6" x14ac:dyDescent="0.3">
      <c r="A5209" s="45">
        <v>43321</v>
      </c>
      <c r="B5209" s="5" t="s">
        <v>3766</v>
      </c>
      <c r="C5209" s="5" t="s">
        <v>40</v>
      </c>
      <c r="D5209" s="43">
        <v>2100</v>
      </c>
      <c r="E5209" s="43"/>
      <c r="F5209" s="48">
        <f t="shared" si="84"/>
        <v>32320</v>
      </c>
    </row>
    <row r="5210" spans="1:6" x14ac:dyDescent="0.3">
      <c r="A5210" s="45">
        <v>43321</v>
      </c>
      <c r="B5210" s="5" t="s">
        <v>2346</v>
      </c>
      <c r="C5210" s="5" t="s">
        <v>4087</v>
      </c>
      <c r="D5210" s="43">
        <v>1500</v>
      </c>
      <c r="E5210" s="43"/>
      <c r="F5210" s="48">
        <f t="shared" si="84"/>
        <v>30820</v>
      </c>
    </row>
    <row r="5211" spans="1:6" x14ac:dyDescent="0.3">
      <c r="A5211" s="45">
        <v>43321</v>
      </c>
      <c r="B5211" s="5" t="s">
        <v>84</v>
      </c>
      <c r="C5211" s="5" t="s">
        <v>4088</v>
      </c>
      <c r="D5211" s="43">
        <v>500</v>
      </c>
      <c r="E5211" s="43"/>
      <c r="F5211" s="48">
        <f t="shared" si="84"/>
        <v>30320</v>
      </c>
    </row>
    <row r="5212" spans="1:6" x14ac:dyDescent="0.3">
      <c r="A5212" s="45">
        <v>43321</v>
      </c>
      <c r="B5212" s="5" t="s">
        <v>3724</v>
      </c>
      <c r="C5212" s="5" t="s">
        <v>4089</v>
      </c>
      <c r="D5212" s="43">
        <v>4150</v>
      </c>
      <c r="E5212" s="43"/>
      <c r="F5212" s="48">
        <f t="shared" si="84"/>
        <v>26170</v>
      </c>
    </row>
    <row r="5213" spans="1:6" x14ac:dyDescent="0.3">
      <c r="A5213" s="45">
        <v>43321</v>
      </c>
      <c r="B5213" s="5" t="s">
        <v>2594</v>
      </c>
      <c r="C5213" s="5" t="s">
        <v>4091</v>
      </c>
      <c r="D5213" s="43">
        <v>500</v>
      </c>
      <c r="E5213" s="43"/>
      <c r="F5213" s="48">
        <f t="shared" si="84"/>
        <v>25670</v>
      </c>
    </row>
    <row r="5214" spans="1:6" x14ac:dyDescent="0.3">
      <c r="A5214" s="45">
        <v>43322</v>
      </c>
      <c r="B5214" s="5" t="s">
        <v>3559</v>
      </c>
      <c r="C5214" s="5" t="s">
        <v>4092</v>
      </c>
      <c r="D5214" s="43">
        <v>3800</v>
      </c>
      <c r="E5214" s="43"/>
      <c r="F5214" s="48">
        <f t="shared" si="84"/>
        <v>21870</v>
      </c>
    </row>
    <row r="5215" spans="1:6" x14ac:dyDescent="0.3">
      <c r="A5215" s="45">
        <v>43322</v>
      </c>
      <c r="B5215" s="5" t="s">
        <v>58</v>
      </c>
      <c r="C5215" s="5" t="s">
        <v>4118</v>
      </c>
      <c r="D5215" s="43">
        <v>650</v>
      </c>
      <c r="E5215" s="43"/>
      <c r="F5215" s="48">
        <f t="shared" si="84"/>
        <v>21220</v>
      </c>
    </row>
    <row r="5216" spans="1:6" x14ac:dyDescent="0.3">
      <c r="A5216" s="45">
        <v>43322</v>
      </c>
      <c r="B5216" s="5" t="s">
        <v>4093</v>
      </c>
      <c r="C5216" s="5" t="s">
        <v>4094</v>
      </c>
      <c r="D5216" s="43">
        <v>5000</v>
      </c>
      <c r="E5216" s="43"/>
      <c r="F5216" s="48">
        <f t="shared" si="84"/>
        <v>16220</v>
      </c>
    </row>
    <row r="5217" spans="1:9" x14ac:dyDescent="0.3">
      <c r="A5217" s="45">
        <v>43322</v>
      </c>
      <c r="B5217" s="5" t="s">
        <v>58</v>
      </c>
      <c r="C5217" s="5" t="s">
        <v>4117</v>
      </c>
      <c r="D5217" s="43">
        <v>9940</v>
      </c>
      <c r="E5217" s="43"/>
      <c r="F5217" s="48">
        <f t="shared" si="84"/>
        <v>6280</v>
      </c>
    </row>
    <row r="5218" spans="1:9" x14ac:dyDescent="0.3">
      <c r="A5218" s="45">
        <v>43322</v>
      </c>
      <c r="B5218" s="5" t="s">
        <v>56</v>
      </c>
      <c r="C5218" s="5" t="s">
        <v>4100</v>
      </c>
      <c r="D5218" s="43">
        <v>300</v>
      </c>
      <c r="E5218" s="43"/>
      <c r="F5218" s="48">
        <f t="shared" si="84"/>
        <v>5980</v>
      </c>
    </row>
    <row r="5219" spans="1:9" x14ac:dyDescent="0.3">
      <c r="A5219" s="45">
        <v>43322</v>
      </c>
      <c r="B5219" s="5" t="s">
        <v>4096</v>
      </c>
      <c r="C5219" s="5" t="s">
        <v>4097</v>
      </c>
      <c r="D5219" s="43">
        <v>150</v>
      </c>
      <c r="E5219" s="43"/>
      <c r="F5219" s="48">
        <f t="shared" si="84"/>
        <v>5830</v>
      </c>
    </row>
    <row r="5220" spans="1:9" x14ac:dyDescent="0.3">
      <c r="A5220" s="45">
        <v>43322</v>
      </c>
      <c r="B5220" s="5" t="s">
        <v>4096</v>
      </c>
      <c r="C5220" s="5" t="s">
        <v>4098</v>
      </c>
      <c r="D5220" s="43">
        <v>100</v>
      </c>
      <c r="E5220" s="43"/>
      <c r="F5220" s="48">
        <f t="shared" si="84"/>
        <v>5730</v>
      </c>
    </row>
    <row r="5221" spans="1:9" x14ac:dyDescent="0.3">
      <c r="A5221" s="45">
        <v>43323</v>
      </c>
      <c r="B5221" s="5" t="s">
        <v>1193</v>
      </c>
      <c r="C5221" s="5" t="s">
        <v>4099</v>
      </c>
      <c r="D5221" s="43">
        <v>750</v>
      </c>
      <c r="E5221" s="43"/>
      <c r="F5221" s="48">
        <f t="shared" si="84"/>
        <v>4980</v>
      </c>
    </row>
    <row r="5222" spans="1:9" x14ac:dyDescent="0.3">
      <c r="A5222" s="45">
        <v>43323</v>
      </c>
      <c r="B5222" s="5" t="s">
        <v>3970</v>
      </c>
      <c r="C5222" s="5" t="s">
        <v>4102</v>
      </c>
      <c r="D5222" s="43">
        <v>2500</v>
      </c>
      <c r="E5222" s="43"/>
      <c r="F5222" s="48">
        <f t="shared" si="84"/>
        <v>2480</v>
      </c>
    </row>
    <row r="5223" spans="1:9" x14ac:dyDescent="0.3">
      <c r="A5223" s="45">
        <v>43323</v>
      </c>
      <c r="B5223" s="756" t="s">
        <v>4106</v>
      </c>
      <c r="C5223" s="756"/>
      <c r="D5223" s="71"/>
      <c r="E5223" s="72">
        <v>50000</v>
      </c>
      <c r="F5223" s="48">
        <f t="shared" si="84"/>
        <v>52480</v>
      </c>
      <c r="I5223" s="182"/>
    </row>
    <row r="5224" spans="1:9" x14ac:dyDescent="0.3">
      <c r="A5224" s="45">
        <v>43323</v>
      </c>
      <c r="B5224" s="5" t="s">
        <v>2263</v>
      </c>
      <c r="C5224" s="5" t="s">
        <v>4090</v>
      </c>
      <c r="D5224" s="43">
        <v>500</v>
      </c>
      <c r="E5224" s="43"/>
      <c r="F5224" s="48">
        <f t="shared" si="84"/>
        <v>51980</v>
      </c>
    </row>
    <row r="5225" spans="1:9" x14ac:dyDescent="0.3">
      <c r="A5225" s="45">
        <v>43323</v>
      </c>
      <c r="B5225" s="5" t="s">
        <v>1343</v>
      </c>
      <c r="C5225" s="5" t="s">
        <v>4103</v>
      </c>
      <c r="D5225" s="43">
        <v>2000</v>
      </c>
      <c r="E5225" s="43"/>
      <c r="F5225" s="48">
        <f t="shared" si="84"/>
        <v>49980</v>
      </c>
    </row>
    <row r="5226" spans="1:9" x14ac:dyDescent="0.3">
      <c r="A5226" s="45">
        <v>43323</v>
      </c>
      <c r="B5226" s="5" t="s">
        <v>2948</v>
      </c>
      <c r="C5226" s="5" t="s">
        <v>4104</v>
      </c>
      <c r="D5226" s="43">
        <v>4500</v>
      </c>
      <c r="E5226" s="43"/>
      <c r="F5226" s="48">
        <f t="shared" si="84"/>
        <v>45480</v>
      </c>
    </row>
    <row r="5227" spans="1:9" x14ac:dyDescent="0.3">
      <c r="A5227" s="45">
        <v>43323</v>
      </c>
      <c r="B5227" s="5" t="s">
        <v>11</v>
      </c>
      <c r="C5227" s="5" t="s">
        <v>4105</v>
      </c>
      <c r="D5227" s="43">
        <v>4780</v>
      </c>
      <c r="E5227" s="43"/>
      <c r="F5227" s="48">
        <f t="shared" si="84"/>
        <v>40700</v>
      </c>
    </row>
    <row r="5228" spans="1:9" x14ac:dyDescent="0.3">
      <c r="A5228" s="45">
        <v>43323</v>
      </c>
      <c r="B5228" s="5" t="s">
        <v>1458</v>
      </c>
      <c r="C5228" s="5" t="s">
        <v>4107</v>
      </c>
      <c r="D5228" s="43">
        <v>1700</v>
      </c>
      <c r="E5228" s="43"/>
      <c r="F5228" s="48">
        <f t="shared" si="84"/>
        <v>39000</v>
      </c>
    </row>
    <row r="5229" spans="1:9" x14ac:dyDescent="0.3">
      <c r="A5229" s="45">
        <v>43328</v>
      </c>
      <c r="B5229" s="5" t="s">
        <v>4112</v>
      </c>
      <c r="C5229" s="5" t="s">
        <v>2113</v>
      </c>
      <c r="D5229" s="43">
        <v>100</v>
      </c>
      <c r="E5229" s="43"/>
      <c r="F5229" s="48">
        <f t="shared" si="84"/>
        <v>38900</v>
      </c>
    </row>
    <row r="5230" spans="1:9" x14ac:dyDescent="0.3">
      <c r="A5230" s="45">
        <v>43323</v>
      </c>
      <c r="B5230" s="5" t="s">
        <v>84</v>
      </c>
      <c r="C5230" s="5" t="s">
        <v>4108</v>
      </c>
      <c r="D5230" s="43">
        <v>10000</v>
      </c>
      <c r="E5230" s="43"/>
      <c r="F5230" s="48">
        <f t="shared" si="84"/>
        <v>28900</v>
      </c>
    </row>
    <row r="5231" spans="1:9" x14ac:dyDescent="0.3">
      <c r="A5231" s="45">
        <v>43323</v>
      </c>
      <c r="B5231" s="5" t="s">
        <v>1512</v>
      </c>
      <c r="C5231" s="5" t="s">
        <v>4109</v>
      </c>
      <c r="D5231" s="43">
        <v>13500</v>
      </c>
      <c r="E5231" s="43"/>
      <c r="F5231" s="48">
        <f t="shared" si="84"/>
        <v>15400</v>
      </c>
    </row>
    <row r="5232" spans="1:9" x14ac:dyDescent="0.3">
      <c r="A5232" s="45">
        <v>43323</v>
      </c>
      <c r="B5232" s="5" t="s">
        <v>1512</v>
      </c>
      <c r="C5232" s="5" t="s">
        <v>4110</v>
      </c>
      <c r="D5232" s="43">
        <v>15260</v>
      </c>
      <c r="E5232" s="43"/>
      <c r="F5232" s="48">
        <f t="shared" si="84"/>
        <v>140</v>
      </c>
    </row>
    <row r="5233" spans="1:9" x14ac:dyDescent="0.3">
      <c r="A5233" s="45">
        <v>43328</v>
      </c>
      <c r="B5233" s="756" t="s">
        <v>4106</v>
      </c>
      <c r="C5233" s="756"/>
      <c r="D5233" s="71"/>
      <c r="E5233" s="72">
        <v>45000</v>
      </c>
      <c r="F5233" s="48">
        <f t="shared" si="84"/>
        <v>45140</v>
      </c>
      <c r="I5233" s="182"/>
    </row>
    <row r="5234" spans="1:9" x14ac:dyDescent="0.3">
      <c r="A5234" s="45">
        <v>43328</v>
      </c>
      <c r="B5234" s="5" t="s">
        <v>1512</v>
      </c>
      <c r="C5234" s="5" t="s">
        <v>4111</v>
      </c>
      <c r="D5234" s="43">
        <v>1260</v>
      </c>
      <c r="E5234" s="43"/>
      <c r="F5234" s="48">
        <f t="shared" si="84"/>
        <v>43880</v>
      </c>
    </row>
    <row r="5235" spans="1:9" x14ac:dyDescent="0.3">
      <c r="A5235" s="45">
        <v>43328</v>
      </c>
      <c r="B5235" s="5" t="s">
        <v>58</v>
      </c>
      <c r="C5235" s="5" t="s">
        <v>4119</v>
      </c>
      <c r="D5235" s="43">
        <v>3150</v>
      </c>
      <c r="E5235" s="43"/>
      <c r="F5235" s="48">
        <f t="shared" si="84"/>
        <v>40730</v>
      </c>
    </row>
    <row r="5236" spans="1:9" x14ac:dyDescent="0.3">
      <c r="A5236" s="45">
        <v>43328</v>
      </c>
      <c r="B5236" s="5" t="s">
        <v>2594</v>
      </c>
      <c r="C5236" s="5" t="s">
        <v>4144</v>
      </c>
      <c r="D5236" s="43">
        <v>1500</v>
      </c>
      <c r="E5236" s="43"/>
      <c r="F5236" s="48">
        <f t="shared" si="84"/>
        <v>39230</v>
      </c>
    </row>
    <row r="5237" spans="1:9" ht="56.25" x14ac:dyDescent="0.3">
      <c r="A5237" s="45">
        <v>43328</v>
      </c>
      <c r="B5237" s="5" t="s">
        <v>25</v>
      </c>
      <c r="C5237" s="92" t="s">
        <v>4115</v>
      </c>
      <c r="D5237" s="43">
        <f>70+110+100+70+100+70+40+400+70+390+36+24+60+40</f>
        <v>1580</v>
      </c>
      <c r="E5237" s="43"/>
      <c r="F5237" s="48">
        <f t="shared" si="84"/>
        <v>37650</v>
      </c>
    </row>
    <row r="5238" spans="1:9" x14ac:dyDescent="0.3">
      <c r="A5238" s="45">
        <v>43328</v>
      </c>
      <c r="B5238" s="5" t="s">
        <v>541</v>
      </c>
      <c r="C5238" s="5" t="s">
        <v>4113</v>
      </c>
      <c r="D5238" s="43">
        <f>150+100+128</f>
        <v>378</v>
      </c>
      <c r="E5238" s="43"/>
      <c r="F5238" s="48">
        <f t="shared" si="84"/>
        <v>37272</v>
      </c>
    </row>
    <row r="5239" spans="1:9" x14ac:dyDescent="0.3">
      <c r="A5239" s="45">
        <v>43328</v>
      </c>
      <c r="B5239" s="5" t="s">
        <v>3814</v>
      </c>
      <c r="C5239" s="5" t="s">
        <v>4114</v>
      </c>
      <c r="D5239" s="43">
        <f>240+85</f>
        <v>325</v>
      </c>
      <c r="E5239" s="43"/>
      <c r="F5239" s="48">
        <f t="shared" si="84"/>
        <v>36947</v>
      </c>
    </row>
    <row r="5240" spans="1:9" x14ac:dyDescent="0.3">
      <c r="A5240" s="45">
        <v>43328</v>
      </c>
      <c r="B5240" s="5" t="s">
        <v>3814</v>
      </c>
      <c r="C5240" s="5" t="s">
        <v>3144</v>
      </c>
      <c r="D5240" s="43">
        <v>420</v>
      </c>
      <c r="E5240" s="43"/>
      <c r="F5240" s="48">
        <f t="shared" si="84"/>
        <v>36527</v>
      </c>
    </row>
    <row r="5241" spans="1:9" x14ac:dyDescent="0.3">
      <c r="A5241" s="45">
        <v>43328</v>
      </c>
      <c r="B5241" s="5" t="s">
        <v>541</v>
      </c>
      <c r="C5241" s="5" t="s">
        <v>4101</v>
      </c>
      <c r="D5241" s="43">
        <v>100</v>
      </c>
      <c r="E5241" s="43"/>
      <c r="F5241" s="48">
        <f t="shared" si="84"/>
        <v>36427</v>
      </c>
    </row>
    <row r="5242" spans="1:9" x14ac:dyDescent="0.3">
      <c r="A5242" s="45">
        <v>43328</v>
      </c>
      <c r="B5242" s="5" t="s">
        <v>58</v>
      </c>
      <c r="C5242" s="5" t="s">
        <v>3143</v>
      </c>
      <c r="D5242" s="43">
        <v>6000</v>
      </c>
      <c r="E5242" s="43"/>
      <c r="F5242" s="48">
        <f t="shared" si="84"/>
        <v>30427</v>
      </c>
    </row>
    <row r="5243" spans="1:9" x14ac:dyDescent="0.3">
      <c r="A5243" s="45">
        <v>43328</v>
      </c>
      <c r="B5243" s="5" t="s">
        <v>14</v>
      </c>
      <c r="C5243" s="5" t="s">
        <v>640</v>
      </c>
      <c r="D5243" s="43">
        <v>1000</v>
      </c>
      <c r="E5243" s="43"/>
      <c r="F5243" s="48">
        <f t="shared" si="84"/>
        <v>29427</v>
      </c>
    </row>
    <row r="5244" spans="1:9" x14ac:dyDescent="0.3">
      <c r="A5244" s="45">
        <v>43328</v>
      </c>
      <c r="B5244" s="5" t="s">
        <v>4011</v>
      </c>
      <c r="C5244" s="5" t="s">
        <v>4120</v>
      </c>
      <c r="D5244" s="43">
        <v>2000</v>
      </c>
      <c r="E5244" s="43"/>
      <c r="F5244" s="48">
        <f t="shared" si="84"/>
        <v>27427</v>
      </c>
    </row>
    <row r="5245" spans="1:9" x14ac:dyDescent="0.3">
      <c r="A5245" s="45">
        <v>43328</v>
      </c>
      <c r="B5245" s="5" t="s">
        <v>14</v>
      </c>
      <c r="C5245" s="5" t="s">
        <v>4121</v>
      </c>
      <c r="D5245" s="43">
        <v>2000</v>
      </c>
      <c r="E5245" s="43"/>
      <c r="F5245" s="48">
        <f t="shared" si="84"/>
        <v>25427</v>
      </c>
    </row>
    <row r="5246" spans="1:9" x14ac:dyDescent="0.3">
      <c r="A5246" s="45">
        <v>43328</v>
      </c>
      <c r="B5246" s="5" t="s">
        <v>4122</v>
      </c>
      <c r="C5246" s="5" t="s">
        <v>4123</v>
      </c>
      <c r="D5246" s="43">
        <v>3000</v>
      </c>
      <c r="E5246" s="43"/>
      <c r="F5246" s="48">
        <f t="shared" si="84"/>
        <v>22427</v>
      </c>
    </row>
    <row r="5247" spans="1:9" x14ac:dyDescent="0.3">
      <c r="A5247" s="45">
        <v>43328</v>
      </c>
      <c r="B5247" s="5" t="s">
        <v>0</v>
      </c>
      <c r="C5247" s="5" t="s">
        <v>4124</v>
      </c>
      <c r="D5247" s="43">
        <v>100</v>
      </c>
      <c r="E5247" s="43"/>
      <c r="F5247" s="48">
        <f t="shared" si="84"/>
        <v>22327</v>
      </c>
    </row>
    <row r="5248" spans="1:9" x14ac:dyDescent="0.3">
      <c r="A5248" s="45">
        <v>43328</v>
      </c>
      <c r="B5248" s="5" t="s">
        <v>2594</v>
      </c>
      <c r="C5248" s="5" t="s">
        <v>4126</v>
      </c>
      <c r="D5248" s="43">
        <v>21700</v>
      </c>
      <c r="E5248" s="43"/>
      <c r="F5248" s="48">
        <f t="shared" si="84"/>
        <v>627</v>
      </c>
    </row>
    <row r="5249" spans="1:9" x14ac:dyDescent="0.3">
      <c r="A5249" s="45">
        <v>43329</v>
      </c>
      <c r="B5249" s="756" t="s">
        <v>3444</v>
      </c>
      <c r="C5249" s="756"/>
      <c r="D5249" s="71"/>
      <c r="E5249" s="72">
        <v>100000</v>
      </c>
      <c r="F5249" s="48">
        <f t="shared" si="84"/>
        <v>100627</v>
      </c>
      <c r="I5249" s="182"/>
    </row>
    <row r="5250" spans="1:9" x14ac:dyDescent="0.3">
      <c r="A5250" s="45">
        <v>43329</v>
      </c>
      <c r="B5250" s="5" t="s">
        <v>47</v>
      </c>
      <c r="C5250" s="5" t="s">
        <v>4128</v>
      </c>
      <c r="D5250" s="43">
        <v>500</v>
      </c>
      <c r="E5250" s="43"/>
      <c r="F5250" s="48">
        <f t="shared" si="84"/>
        <v>100127</v>
      </c>
    </row>
    <row r="5251" spans="1:9" x14ac:dyDescent="0.3">
      <c r="A5251" s="45">
        <v>43329</v>
      </c>
      <c r="B5251" s="5" t="s">
        <v>0</v>
      </c>
      <c r="C5251" s="5" t="s">
        <v>4129</v>
      </c>
      <c r="D5251" s="43">
        <v>3050</v>
      </c>
      <c r="E5251" s="43"/>
      <c r="F5251" s="48">
        <f t="shared" si="84"/>
        <v>97077</v>
      </c>
    </row>
    <row r="5252" spans="1:9" x14ac:dyDescent="0.3">
      <c r="A5252" s="45">
        <v>43329</v>
      </c>
      <c r="B5252" s="5" t="s">
        <v>0</v>
      </c>
      <c r="C5252" s="5" t="s">
        <v>4130</v>
      </c>
      <c r="D5252" s="43">
        <v>2500</v>
      </c>
      <c r="E5252" s="43"/>
      <c r="F5252" s="48">
        <f t="shared" si="84"/>
        <v>94577</v>
      </c>
    </row>
    <row r="5253" spans="1:9" x14ac:dyDescent="0.3">
      <c r="A5253" s="45">
        <v>43329</v>
      </c>
      <c r="B5253" s="5" t="s">
        <v>57</v>
      </c>
      <c r="C5253" s="5" t="s">
        <v>4131</v>
      </c>
      <c r="D5253" s="43">
        <v>2000</v>
      </c>
      <c r="E5253" s="43"/>
      <c r="F5253" s="48">
        <f t="shared" si="84"/>
        <v>92577</v>
      </c>
    </row>
    <row r="5254" spans="1:9" x14ac:dyDescent="0.3">
      <c r="A5254" s="45">
        <v>43329</v>
      </c>
      <c r="B5254" s="5" t="s">
        <v>58</v>
      </c>
      <c r="C5254" s="5" t="s">
        <v>4135</v>
      </c>
      <c r="D5254" s="43">
        <v>450</v>
      </c>
      <c r="E5254" s="43"/>
      <c r="F5254" s="48">
        <f t="shared" si="84"/>
        <v>92127</v>
      </c>
    </row>
    <row r="5255" spans="1:9" x14ac:dyDescent="0.3">
      <c r="A5255" s="45">
        <v>43329</v>
      </c>
      <c r="B5255" s="5" t="s">
        <v>4132</v>
      </c>
      <c r="C5255" s="5" t="s">
        <v>4133</v>
      </c>
      <c r="D5255" s="43">
        <v>28000</v>
      </c>
      <c r="E5255" s="43"/>
      <c r="F5255" s="48">
        <f t="shared" si="84"/>
        <v>64127</v>
      </c>
    </row>
    <row r="5256" spans="1:9" x14ac:dyDescent="0.3">
      <c r="A5256" s="45">
        <v>43329</v>
      </c>
      <c r="B5256" s="756" t="s">
        <v>4294</v>
      </c>
      <c r="C5256" s="756"/>
      <c r="D5256" s="71"/>
      <c r="E5256" s="72">
        <v>2000</v>
      </c>
      <c r="F5256" s="48">
        <f t="shared" si="84"/>
        <v>66127</v>
      </c>
      <c r="I5256" s="182"/>
    </row>
    <row r="5257" spans="1:9" x14ac:dyDescent="0.3">
      <c r="A5257" s="45">
        <v>43329</v>
      </c>
      <c r="B5257" s="5" t="s">
        <v>4125</v>
      </c>
      <c r="C5257" s="5" t="s">
        <v>4134</v>
      </c>
      <c r="D5257" s="43">
        <v>5000</v>
      </c>
      <c r="E5257" s="43"/>
      <c r="F5257" s="48">
        <f t="shared" si="84"/>
        <v>61127</v>
      </c>
    </row>
    <row r="5258" spans="1:9" x14ac:dyDescent="0.3">
      <c r="A5258" s="45">
        <v>43329</v>
      </c>
      <c r="B5258" s="5" t="s">
        <v>84</v>
      </c>
      <c r="C5258" s="5" t="s">
        <v>4136</v>
      </c>
      <c r="D5258" s="43">
        <v>1000</v>
      </c>
      <c r="E5258" s="43"/>
      <c r="F5258" s="48">
        <f t="shared" si="84"/>
        <v>60127</v>
      </c>
    </row>
    <row r="5259" spans="1:9" x14ac:dyDescent="0.3">
      <c r="A5259" s="45">
        <v>43329</v>
      </c>
      <c r="B5259" s="5" t="s">
        <v>84</v>
      </c>
      <c r="C5259" s="5" t="s">
        <v>4137</v>
      </c>
      <c r="D5259" s="43">
        <v>500</v>
      </c>
      <c r="E5259" s="43"/>
      <c r="F5259" s="48">
        <f t="shared" ref="F5259:F5322" si="85">F5258-D5259+E5259</f>
        <v>59627</v>
      </c>
    </row>
    <row r="5260" spans="1:9" x14ac:dyDescent="0.3">
      <c r="A5260" s="45">
        <v>43329</v>
      </c>
      <c r="B5260" s="5" t="s">
        <v>84</v>
      </c>
      <c r="C5260" s="5" t="s">
        <v>4138</v>
      </c>
      <c r="D5260" s="43">
        <v>15000</v>
      </c>
      <c r="E5260" s="43"/>
      <c r="F5260" s="48">
        <f t="shared" si="85"/>
        <v>44627</v>
      </c>
    </row>
    <row r="5261" spans="1:9" x14ac:dyDescent="0.3">
      <c r="A5261" s="45">
        <v>43329</v>
      </c>
      <c r="B5261" s="5" t="s">
        <v>84</v>
      </c>
      <c r="C5261" s="5" t="s">
        <v>4139</v>
      </c>
      <c r="D5261" s="43">
        <v>5000</v>
      </c>
      <c r="E5261" s="43"/>
      <c r="F5261" s="48">
        <f t="shared" si="85"/>
        <v>39627</v>
      </c>
    </row>
    <row r="5262" spans="1:9" x14ac:dyDescent="0.3">
      <c r="A5262" s="45">
        <v>43330</v>
      </c>
      <c r="B5262" s="5" t="s">
        <v>84</v>
      </c>
      <c r="C5262" s="5" t="s">
        <v>4140</v>
      </c>
      <c r="D5262" s="43">
        <v>20000</v>
      </c>
      <c r="E5262" s="43"/>
      <c r="F5262" s="48">
        <f t="shared" si="85"/>
        <v>19627</v>
      </c>
    </row>
    <row r="5263" spans="1:9" x14ac:dyDescent="0.3">
      <c r="A5263" s="45">
        <v>43330</v>
      </c>
      <c r="B5263" s="5" t="s">
        <v>84</v>
      </c>
      <c r="C5263" s="5" t="s">
        <v>4141</v>
      </c>
      <c r="D5263" s="43">
        <v>18000</v>
      </c>
      <c r="E5263" s="43"/>
      <c r="F5263" s="48">
        <f t="shared" si="85"/>
        <v>1627</v>
      </c>
    </row>
    <row r="5264" spans="1:9" x14ac:dyDescent="0.3">
      <c r="A5264" s="45">
        <v>43330</v>
      </c>
      <c r="B5264" s="5" t="s">
        <v>57</v>
      </c>
      <c r="C5264" s="5" t="s">
        <v>4142</v>
      </c>
      <c r="D5264" s="43">
        <v>1000</v>
      </c>
      <c r="E5264" s="43"/>
      <c r="F5264" s="48">
        <f t="shared" si="85"/>
        <v>627</v>
      </c>
    </row>
    <row r="5265" spans="1:9" x14ac:dyDescent="0.3">
      <c r="A5265" s="45">
        <v>43330</v>
      </c>
      <c r="B5265" s="5" t="s">
        <v>58</v>
      </c>
      <c r="C5265" s="5" t="s">
        <v>4143</v>
      </c>
      <c r="D5265" s="43">
        <v>100</v>
      </c>
      <c r="E5265" s="43"/>
      <c r="F5265" s="48">
        <f t="shared" si="85"/>
        <v>527</v>
      </c>
    </row>
    <row r="5266" spans="1:9" x14ac:dyDescent="0.3">
      <c r="A5266" s="45">
        <v>43332</v>
      </c>
      <c r="B5266" s="756" t="s">
        <v>4150</v>
      </c>
      <c r="C5266" s="756"/>
      <c r="D5266" s="71"/>
      <c r="E5266" s="72">
        <v>200000</v>
      </c>
      <c r="F5266" s="48">
        <f t="shared" si="85"/>
        <v>200527</v>
      </c>
      <c r="I5266" s="182"/>
    </row>
    <row r="5267" spans="1:9" x14ac:dyDescent="0.3">
      <c r="A5267" s="45">
        <v>43332</v>
      </c>
      <c r="B5267" s="5" t="s">
        <v>84</v>
      </c>
      <c r="C5267" s="5" t="s">
        <v>4146</v>
      </c>
      <c r="D5267" s="43">
        <v>5000</v>
      </c>
      <c r="E5267" s="43"/>
      <c r="F5267" s="48">
        <f t="shared" si="85"/>
        <v>195527</v>
      </c>
    </row>
    <row r="5268" spans="1:9" x14ac:dyDescent="0.3">
      <c r="A5268" s="45">
        <v>43332</v>
      </c>
      <c r="B5268" s="5" t="s">
        <v>84</v>
      </c>
      <c r="C5268" s="5" t="s">
        <v>4147</v>
      </c>
      <c r="D5268" s="43">
        <v>5000</v>
      </c>
      <c r="E5268" s="43"/>
      <c r="F5268" s="48">
        <f t="shared" si="85"/>
        <v>190527</v>
      </c>
    </row>
    <row r="5269" spans="1:9" x14ac:dyDescent="0.3">
      <c r="A5269" s="45">
        <v>43332</v>
      </c>
      <c r="B5269" s="5" t="s">
        <v>84</v>
      </c>
      <c r="C5269" s="5" t="s">
        <v>4145</v>
      </c>
      <c r="D5269" s="43">
        <v>5000</v>
      </c>
      <c r="E5269" s="43"/>
      <c r="F5269" s="48">
        <f t="shared" si="85"/>
        <v>185527</v>
      </c>
    </row>
    <row r="5270" spans="1:9" x14ac:dyDescent="0.3">
      <c r="A5270" s="45">
        <v>43332</v>
      </c>
      <c r="B5270" s="5" t="s">
        <v>14</v>
      </c>
      <c r="C5270" s="5" t="s">
        <v>4148</v>
      </c>
      <c r="D5270" s="43">
        <v>5000</v>
      </c>
      <c r="E5270" s="43"/>
      <c r="F5270" s="48">
        <f t="shared" si="85"/>
        <v>180527</v>
      </c>
    </row>
    <row r="5271" spans="1:9" x14ac:dyDescent="0.3">
      <c r="A5271" s="45">
        <v>43332</v>
      </c>
      <c r="B5271" s="5" t="s">
        <v>93</v>
      </c>
      <c r="C5271" s="5" t="s">
        <v>4149</v>
      </c>
      <c r="D5271" s="43">
        <v>5000</v>
      </c>
      <c r="E5271" s="43"/>
      <c r="F5271" s="48">
        <f t="shared" si="85"/>
        <v>175527</v>
      </c>
    </row>
    <row r="5272" spans="1:9" x14ac:dyDescent="0.3">
      <c r="A5272" s="45">
        <v>43332</v>
      </c>
      <c r="B5272" s="5" t="s">
        <v>4083</v>
      </c>
      <c r="C5272" s="5" t="s">
        <v>4151</v>
      </c>
      <c r="D5272" s="43">
        <v>25000</v>
      </c>
      <c r="E5272" s="43"/>
      <c r="F5272" s="48">
        <f t="shared" si="85"/>
        <v>150527</v>
      </c>
    </row>
    <row r="5273" spans="1:9" x14ac:dyDescent="0.3">
      <c r="A5273" s="45">
        <v>43332</v>
      </c>
      <c r="B5273" s="5" t="s">
        <v>84</v>
      </c>
      <c r="C5273" s="5" t="s">
        <v>4152</v>
      </c>
      <c r="D5273" s="43">
        <v>12000</v>
      </c>
      <c r="E5273" s="43"/>
      <c r="F5273" s="48">
        <f t="shared" si="85"/>
        <v>138527</v>
      </c>
    </row>
    <row r="5274" spans="1:9" x14ac:dyDescent="0.3">
      <c r="A5274" s="45">
        <v>43332</v>
      </c>
      <c r="B5274" s="5" t="s">
        <v>84</v>
      </c>
      <c r="C5274" s="5" t="s">
        <v>4153</v>
      </c>
      <c r="D5274" s="43">
        <v>10000</v>
      </c>
      <c r="E5274" s="43"/>
      <c r="F5274" s="48">
        <f t="shared" si="85"/>
        <v>128527</v>
      </c>
    </row>
    <row r="5275" spans="1:9" x14ac:dyDescent="0.3">
      <c r="A5275" s="45">
        <v>43332</v>
      </c>
      <c r="B5275" s="5" t="s">
        <v>84</v>
      </c>
      <c r="C5275" s="5" t="s">
        <v>4154</v>
      </c>
      <c r="D5275" s="43">
        <v>10000</v>
      </c>
      <c r="E5275" s="43"/>
      <c r="F5275" s="48">
        <f t="shared" si="85"/>
        <v>118527</v>
      </c>
    </row>
    <row r="5276" spans="1:9" x14ac:dyDescent="0.3">
      <c r="A5276" s="45">
        <v>43332</v>
      </c>
      <c r="B5276" s="5" t="s">
        <v>2096</v>
      </c>
      <c r="C5276" s="5" t="s">
        <v>40</v>
      </c>
      <c r="D5276" s="43">
        <v>50000</v>
      </c>
      <c r="E5276" s="43"/>
      <c r="F5276" s="48">
        <f t="shared" si="85"/>
        <v>68527</v>
      </c>
    </row>
    <row r="5277" spans="1:9" x14ac:dyDescent="0.3">
      <c r="A5277" s="45">
        <v>43332</v>
      </c>
      <c r="B5277" s="5" t="s">
        <v>3825</v>
      </c>
      <c r="C5277" s="5" t="s">
        <v>4155</v>
      </c>
      <c r="D5277" s="43">
        <v>5000</v>
      </c>
      <c r="E5277" s="43"/>
      <c r="F5277" s="48">
        <f t="shared" si="85"/>
        <v>63527</v>
      </c>
    </row>
    <row r="5278" spans="1:9" x14ac:dyDescent="0.3">
      <c r="A5278" s="45">
        <v>43332</v>
      </c>
      <c r="B5278" s="5" t="s">
        <v>4156</v>
      </c>
      <c r="C5278" s="5" t="s">
        <v>4157</v>
      </c>
      <c r="D5278" s="43">
        <v>25000</v>
      </c>
      <c r="E5278" s="43"/>
      <c r="F5278" s="48">
        <f t="shared" si="85"/>
        <v>38527</v>
      </c>
    </row>
    <row r="5279" spans="1:9" x14ac:dyDescent="0.3">
      <c r="A5279" s="45">
        <v>43337</v>
      </c>
      <c r="B5279" s="5" t="s">
        <v>3734</v>
      </c>
      <c r="C5279" s="5" t="s">
        <v>4158</v>
      </c>
      <c r="D5279" s="43">
        <v>1300</v>
      </c>
      <c r="E5279" s="43"/>
      <c r="F5279" s="48">
        <f t="shared" si="85"/>
        <v>37227</v>
      </c>
    </row>
    <row r="5280" spans="1:9" x14ac:dyDescent="0.3">
      <c r="A5280" s="45">
        <v>43337</v>
      </c>
      <c r="B5280" s="5" t="s">
        <v>541</v>
      </c>
      <c r="C5280" s="5" t="s">
        <v>640</v>
      </c>
      <c r="D5280" s="43">
        <v>5000</v>
      </c>
      <c r="E5280" s="43"/>
      <c r="F5280" s="48">
        <f t="shared" si="85"/>
        <v>32227</v>
      </c>
    </row>
    <row r="5281" spans="1:9" x14ac:dyDescent="0.3">
      <c r="A5281" s="45">
        <v>43337</v>
      </c>
      <c r="B5281" s="5" t="s">
        <v>2594</v>
      </c>
      <c r="C5281" s="5" t="s">
        <v>4159</v>
      </c>
      <c r="D5281" s="43">
        <v>9680</v>
      </c>
      <c r="E5281" s="43"/>
      <c r="F5281" s="48">
        <f t="shared" si="85"/>
        <v>22547</v>
      </c>
    </row>
    <row r="5282" spans="1:9" x14ac:dyDescent="0.3">
      <c r="A5282" s="45">
        <v>43337</v>
      </c>
      <c r="B5282" s="5" t="s">
        <v>2594</v>
      </c>
      <c r="C5282" s="5" t="s">
        <v>4127</v>
      </c>
      <c r="D5282" s="43">
        <v>960</v>
      </c>
      <c r="E5282" s="43"/>
      <c r="F5282" s="48">
        <f t="shared" si="85"/>
        <v>21587</v>
      </c>
    </row>
    <row r="5283" spans="1:9" x14ac:dyDescent="0.3">
      <c r="A5283" s="45">
        <v>43337</v>
      </c>
      <c r="B5283" s="5" t="s">
        <v>2594</v>
      </c>
      <c r="C5283" s="5" t="s">
        <v>4160</v>
      </c>
      <c r="D5283" s="43">
        <v>500</v>
      </c>
      <c r="E5283" s="43"/>
      <c r="F5283" s="48">
        <f t="shared" si="85"/>
        <v>21087</v>
      </c>
    </row>
    <row r="5284" spans="1:9" x14ac:dyDescent="0.3">
      <c r="A5284" s="45">
        <v>43337</v>
      </c>
      <c r="B5284" s="5" t="s">
        <v>3559</v>
      </c>
      <c r="C5284" s="5" t="s">
        <v>4161</v>
      </c>
      <c r="D5284" s="43">
        <v>500</v>
      </c>
      <c r="E5284" s="43"/>
      <c r="F5284" s="48">
        <f t="shared" si="85"/>
        <v>20587</v>
      </c>
    </row>
    <row r="5285" spans="1:9" x14ac:dyDescent="0.3">
      <c r="A5285" s="45">
        <v>43337</v>
      </c>
      <c r="B5285" s="5" t="s">
        <v>110</v>
      </c>
      <c r="C5285" s="5" t="s">
        <v>4162</v>
      </c>
      <c r="D5285" s="43">
        <v>14000</v>
      </c>
      <c r="E5285" s="43"/>
      <c r="F5285" s="48">
        <f t="shared" si="85"/>
        <v>6587</v>
      </c>
    </row>
    <row r="5286" spans="1:9" x14ac:dyDescent="0.3">
      <c r="A5286" s="45">
        <v>43337</v>
      </c>
      <c r="B5286" s="5" t="s">
        <v>56</v>
      </c>
      <c r="C5286" s="5" t="s">
        <v>4236</v>
      </c>
      <c r="D5286" s="43">
        <v>1500</v>
      </c>
      <c r="E5286" s="43"/>
      <c r="F5286" s="48">
        <f t="shared" si="85"/>
        <v>5087</v>
      </c>
    </row>
    <row r="5287" spans="1:9" x14ac:dyDescent="0.3">
      <c r="A5287" s="45">
        <v>43339</v>
      </c>
      <c r="B5287" s="756" t="s">
        <v>4163</v>
      </c>
      <c r="C5287" s="756"/>
      <c r="D5287" s="71"/>
      <c r="E5287" s="72">
        <v>100000</v>
      </c>
      <c r="F5287" s="48">
        <f t="shared" si="85"/>
        <v>105087</v>
      </c>
      <c r="I5287" s="182"/>
    </row>
    <row r="5288" spans="1:9" x14ac:dyDescent="0.3">
      <c r="A5288" s="45">
        <v>43339</v>
      </c>
      <c r="B5288" s="5" t="s">
        <v>3138</v>
      </c>
      <c r="C5288" s="5" t="s">
        <v>4164</v>
      </c>
      <c r="D5288" s="43">
        <v>57852</v>
      </c>
      <c r="E5288" s="43"/>
      <c r="F5288" s="48">
        <f t="shared" si="85"/>
        <v>47235</v>
      </c>
    </row>
    <row r="5289" spans="1:9" x14ac:dyDescent="0.3">
      <c r="A5289" s="45">
        <v>43339</v>
      </c>
      <c r="B5289" s="5" t="s">
        <v>58</v>
      </c>
      <c r="C5289" s="5" t="s">
        <v>4165</v>
      </c>
      <c r="D5289" s="43">
        <v>250</v>
      </c>
      <c r="E5289" s="43"/>
      <c r="F5289" s="48">
        <f t="shared" si="85"/>
        <v>46985</v>
      </c>
    </row>
    <row r="5290" spans="1:9" x14ac:dyDescent="0.3">
      <c r="A5290" s="45">
        <v>43339</v>
      </c>
      <c r="B5290" s="5" t="s">
        <v>105</v>
      </c>
      <c r="C5290" s="5" t="s">
        <v>4166</v>
      </c>
      <c r="D5290" s="43">
        <v>200</v>
      </c>
      <c r="E5290" s="43"/>
      <c r="F5290" s="48">
        <f t="shared" si="85"/>
        <v>46785</v>
      </c>
    </row>
    <row r="5291" spans="1:9" x14ac:dyDescent="0.3">
      <c r="A5291" s="45">
        <v>43339</v>
      </c>
      <c r="B5291" s="5" t="s">
        <v>3970</v>
      </c>
      <c r="C5291" s="5" t="s">
        <v>4167</v>
      </c>
      <c r="D5291" s="43">
        <v>5000</v>
      </c>
      <c r="E5291" s="43"/>
      <c r="F5291" s="48">
        <f t="shared" si="85"/>
        <v>41785</v>
      </c>
    </row>
    <row r="5292" spans="1:9" x14ac:dyDescent="0.3">
      <c r="A5292" s="45">
        <v>43339</v>
      </c>
      <c r="B5292" s="5" t="s">
        <v>110</v>
      </c>
      <c r="C5292" s="5" t="s">
        <v>640</v>
      </c>
      <c r="D5292" s="43">
        <v>3000</v>
      </c>
      <c r="E5292" s="43"/>
      <c r="F5292" s="48">
        <f t="shared" si="85"/>
        <v>38785</v>
      </c>
    </row>
    <row r="5293" spans="1:9" x14ac:dyDescent="0.3">
      <c r="A5293" s="45">
        <v>43339</v>
      </c>
      <c r="B5293" s="5" t="s">
        <v>0</v>
      </c>
      <c r="C5293" s="5" t="s">
        <v>294</v>
      </c>
      <c r="D5293" s="43">
        <v>2000</v>
      </c>
      <c r="E5293" s="43"/>
      <c r="F5293" s="48">
        <f t="shared" si="85"/>
        <v>36785</v>
      </c>
    </row>
    <row r="5294" spans="1:9" x14ac:dyDescent="0.3">
      <c r="A5294" s="45">
        <v>43339</v>
      </c>
      <c r="B5294" s="5" t="s">
        <v>58</v>
      </c>
      <c r="C5294" s="5" t="s">
        <v>4175</v>
      </c>
      <c r="D5294" s="43">
        <v>500</v>
      </c>
      <c r="E5294" s="43"/>
      <c r="F5294" s="48">
        <f t="shared" si="85"/>
        <v>36285</v>
      </c>
    </row>
    <row r="5295" spans="1:9" x14ac:dyDescent="0.3">
      <c r="A5295" s="45">
        <v>43340</v>
      </c>
      <c r="B5295" s="5" t="s">
        <v>58</v>
      </c>
      <c r="C5295" s="5" t="s">
        <v>4170</v>
      </c>
      <c r="D5295" s="43">
        <v>100</v>
      </c>
      <c r="E5295" s="43"/>
      <c r="F5295" s="48">
        <f t="shared" si="85"/>
        <v>36185</v>
      </c>
    </row>
    <row r="5296" spans="1:9" x14ac:dyDescent="0.3">
      <c r="A5296" s="45">
        <v>43339</v>
      </c>
      <c r="B5296" s="5" t="s">
        <v>18</v>
      </c>
      <c r="C5296" s="5" t="s">
        <v>4435</v>
      </c>
      <c r="D5296" s="43">
        <v>5000</v>
      </c>
      <c r="E5296" s="43"/>
      <c r="F5296" s="48">
        <f t="shared" si="85"/>
        <v>31185</v>
      </c>
    </row>
    <row r="5297" spans="1:6" x14ac:dyDescent="0.3">
      <c r="A5297" s="45">
        <v>43340</v>
      </c>
      <c r="B5297" s="5" t="s">
        <v>247</v>
      </c>
      <c r="C5297" s="5" t="s">
        <v>4168</v>
      </c>
      <c r="D5297" s="43">
        <v>266</v>
      </c>
      <c r="E5297" s="43"/>
      <c r="F5297" s="48">
        <f t="shared" si="85"/>
        <v>30919</v>
      </c>
    </row>
    <row r="5298" spans="1:6" x14ac:dyDescent="0.3">
      <c r="A5298" s="45">
        <v>43340</v>
      </c>
      <c r="B5298" s="5" t="s">
        <v>247</v>
      </c>
      <c r="C5298" s="5" t="s">
        <v>3144</v>
      </c>
      <c r="D5298" s="43">
        <v>420</v>
      </c>
      <c r="E5298" s="43"/>
      <c r="F5298" s="48">
        <f t="shared" si="85"/>
        <v>30499</v>
      </c>
    </row>
    <row r="5299" spans="1:6" x14ac:dyDescent="0.3">
      <c r="A5299" s="45">
        <v>43340</v>
      </c>
      <c r="B5299" s="5" t="s">
        <v>247</v>
      </c>
      <c r="C5299" s="5" t="s">
        <v>2013</v>
      </c>
      <c r="D5299" s="43">
        <v>50</v>
      </c>
      <c r="E5299" s="43"/>
      <c r="F5299" s="48">
        <f t="shared" si="85"/>
        <v>30449</v>
      </c>
    </row>
    <row r="5300" spans="1:6" x14ac:dyDescent="0.3">
      <c r="A5300" s="45">
        <v>43340</v>
      </c>
      <c r="B5300" s="5" t="s">
        <v>58</v>
      </c>
      <c r="C5300" s="5" t="s">
        <v>4171</v>
      </c>
      <c r="D5300" s="43">
        <v>500</v>
      </c>
      <c r="E5300" s="43"/>
      <c r="F5300" s="48">
        <f t="shared" si="85"/>
        <v>29949</v>
      </c>
    </row>
    <row r="5301" spans="1:6" x14ac:dyDescent="0.3">
      <c r="A5301" s="45">
        <v>43340</v>
      </c>
      <c r="B5301" s="5" t="s">
        <v>58</v>
      </c>
      <c r="C5301" s="5" t="s">
        <v>4169</v>
      </c>
      <c r="D5301" s="43">
        <v>100</v>
      </c>
      <c r="E5301" s="43"/>
      <c r="F5301" s="48">
        <f t="shared" si="85"/>
        <v>29849</v>
      </c>
    </row>
    <row r="5302" spans="1:6" ht="37.5" x14ac:dyDescent="0.3">
      <c r="A5302" s="45">
        <v>43340</v>
      </c>
      <c r="B5302" s="5" t="s">
        <v>57</v>
      </c>
      <c r="C5302" s="92" t="s">
        <v>4174</v>
      </c>
      <c r="D5302" s="43">
        <v>2100</v>
      </c>
      <c r="E5302" s="43"/>
      <c r="F5302" s="48">
        <f t="shared" si="85"/>
        <v>27749</v>
      </c>
    </row>
    <row r="5303" spans="1:6" x14ac:dyDescent="0.3">
      <c r="A5303" s="45">
        <v>43341</v>
      </c>
      <c r="B5303" s="5" t="s">
        <v>14</v>
      </c>
      <c r="C5303" s="5" t="s">
        <v>3557</v>
      </c>
      <c r="D5303" s="43">
        <v>5000</v>
      </c>
      <c r="E5303" s="43"/>
      <c r="F5303" s="48">
        <f t="shared" si="85"/>
        <v>22749</v>
      </c>
    </row>
    <row r="5304" spans="1:6" ht="56.25" x14ac:dyDescent="0.3">
      <c r="A5304" s="45">
        <v>43341</v>
      </c>
      <c r="B5304" s="5" t="s">
        <v>25</v>
      </c>
      <c r="C5304" s="92" t="s">
        <v>4172</v>
      </c>
      <c r="D5304" s="43">
        <f>140+60+70+24+180+110+190+15+100+160+45+220+380+380+60+100+100+40</f>
        <v>2374</v>
      </c>
      <c r="E5304" s="43"/>
      <c r="F5304" s="48">
        <f t="shared" si="85"/>
        <v>20375</v>
      </c>
    </row>
    <row r="5305" spans="1:6" x14ac:dyDescent="0.3">
      <c r="A5305" s="45">
        <v>43341</v>
      </c>
      <c r="B5305" s="5" t="s">
        <v>2674</v>
      </c>
      <c r="C5305" s="5" t="s">
        <v>4173</v>
      </c>
      <c r="D5305" s="43">
        <f>470+980</f>
        <v>1450</v>
      </c>
      <c r="E5305" s="43"/>
      <c r="F5305" s="48">
        <f t="shared" si="85"/>
        <v>18925</v>
      </c>
    </row>
    <row r="5306" spans="1:6" x14ac:dyDescent="0.3">
      <c r="A5306" s="45">
        <v>43341</v>
      </c>
      <c r="B5306" s="5" t="s">
        <v>14</v>
      </c>
      <c r="C5306" s="5" t="s">
        <v>3295</v>
      </c>
      <c r="D5306" s="168">
        <v>6000</v>
      </c>
      <c r="E5306" s="43"/>
      <c r="F5306" s="48">
        <f t="shared" si="85"/>
        <v>12925</v>
      </c>
    </row>
    <row r="5307" spans="1:6" x14ac:dyDescent="0.3">
      <c r="A5307" s="45">
        <v>43341</v>
      </c>
      <c r="B5307" s="5" t="s">
        <v>2594</v>
      </c>
      <c r="C5307" s="5" t="s">
        <v>4177</v>
      </c>
      <c r="D5307" s="43">
        <v>5000</v>
      </c>
      <c r="E5307" s="43"/>
      <c r="F5307" s="48">
        <f t="shared" si="85"/>
        <v>7925</v>
      </c>
    </row>
    <row r="5308" spans="1:6" ht="37.5" x14ac:dyDescent="0.3">
      <c r="A5308" s="45">
        <v>43341</v>
      </c>
      <c r="B5308" s="5" t="s">
        <v>58</v>
      </c>
      <c r="C5308" s="92" t="s">
        <v>4176</v>
      </c>
      <c r="D5308" s="43">
        <v>450</v>
      </c>
      <c r="E5308" s="43"/>
      <c r="F5308" s="48">
        <f t="shared" si="85"/>
        <v>7475</v>
      </c>
    </row>
    <row r="5309" spans="1:6" x14ac:dyDescent="0.3">
      <c r="A5309" s="45">
        <v>43341</v>
      </c>
      <c r="B5309" s="5" t="s">
        <v>25</v>
      </c>
      <c r="C5309" s="5" t="s">
        <v>4178</v>
      </c>
      <c r="D5309" s="43">
        <v>1600</v>
      </c>
      <c r="E5309" s="43"/>
      <c r="F5309" s="48">
        <f t="shared" si="85"/>
        <v>5875</v>
      </c>
    </row>
    <row r="5310" spans="1:6" x14ac:dyDescent="0.3">
      <c r="A5310" s="45">
        <v>43341</v>
      </c>
      <c r="B5310" s="5" t="s">
        <v>1541</v>
      </c>
      <c r="C5310" s="5" t="s">
        <v>2013</v>
      </c>
      <c r="D5310" s="43">
        <v>100</v>
      </c>
      <c r="E5310" s="43"/>
      <c r="F5310" s="48">
        <f t="shared" si="85"/>
        <v>5775</v>
      </c>
    </row>
    <row r="5311" spans="1:6" x14ac:dyDescent="0.3">
      <c r="A5311" s="45">
        <v>43341</v>
      </c>
      <c r="B5311" s="5" t="s">
        <v>1616</v>
      </c>
      <c r="C5311" s="5" t="s">
        <v>4179</v>
      </c>
      <c r="D5311" s="43">
        <v>520</v>
      </c>
      <c r="E5311" s="43"/>
      <c r="F5311" s="48">
        <f t="shared" si="85"/>
        <v>5255</v>
      </c>
    </row>
    <row r="5312" spans="1:6" x14ac:dyDescent="0.3">
      <c r="A5312" s="45">
        <v>43341</v>
      </c>
      <c r="B5312" s="5" t="s">
        <v>2594</v>
      </c>
      <c r="C5312" s="5" t="s">
        <v>4180</v>
      </c>
      <c r="D5312" s="43">
        <v>600</v>
      </c>
      <c r="E5312" s="43"/>
      <c r="F5312" s="48">
        <f t="shared" si="85"/>
        <v>4655</v>
      </c>
    </row>
    <row r="5313" spans="1:9" x14ac:dyDescent="0.3">
      <c r="A5313" s="45">
        <v>43341</v>
      </c>
      <c r="B5313" s="5" t="s">
        <v>2594</v>
      </c>
      <c r="C5313" s="5" t="s">
        <v>4181</v>
      </c>
      <c r="D5313" s="43">
        <v>600</v>
      </c>
      <c r="E5313" s="43"/>
      <c r="F5313" s="48">
        <f t="shared" si="85"/>
        <v>4055</v>
      </c>
    </row>
    <row r="5314" spans="1:9" x14ac:dyDescent="0.3">
      <c r="A5314" s="45">
        <v>43341</v>
      </c>
      <c r="B5314" s="5" t="s">
        <v>2594</v>
      </c>
      <c r="C5314" s="5" t="s">
        <v>4182</v>
      </c>
      <c r="D5314" s="43">
        <v>400</v>
      </c>
      <c r="E5314" s="43"/>
      <c r="F5314" s="48">
        <f t="shared" si="85"/>
        <v>3655</v>
      </c>
    </row>
    <row r="5315" spans="1:9" x14ac:dyDescent="0.3">
      <c r="A5315" s="45">
        <v>43341</v>
      </c>
      <c r="B5315" s="5" t="s">
        <v>2594</v>
      </c>
      <c r="C5315" s="5" t="s">
        <v>4183</v>
      </c>
      <c r="D5315" s="43">
        <v>700</v>
      </c>
      <c r="E5315" s="43"/>
      <c r="F5315" s="48">
        <f t="shared" si="85"/>
        <v>2955</v>
      </c>
    </row>
    <row r="5316" spans="1:9" x14ac:dyDescent="0.3">
      <c r="A5316" s="45">
        <v>43341</v>
      </c>
      <c r="B5316" s="756" t="s">
        <v>3444</v>
      </c>
      <c r="C5316" s="756"/>
      <c r="D5316" s="71"/>
      <c r="E5316" s="72">
        <v>50000</v>
      </c>
      <c r="F5316" s="48">
        <f t="shared" si="85"/>
        <v>52955</v>
      </c>
      <c r="I5316" s="182"/>
    </row>
    <row r="5317" spans="1:9" x14ac:dyDescent="0.3">
      <c r="A5317" s="45">
        <v>43341</v>
      </c>
      <c r="B5317" s="5" t="s">
        <v>58</v>
      </c>
      <c r="C5317" s="5" t="s">
        <v>4184</v>
      </c>
      <c r="D5317" s="43">
        <v>19800</v>
      </c>
      <c r="E5317" s="43"/>
      <c r="F5317" s="48">
        <f t="shared" si="85"/>
        <v>33155</v>
      </c>
    </row>
    <row r="5318" spans="1:9" x14ac:dyDescent="0.3">
      <c r="A5318" s="45">
        <v>43341</v>
      </c>
      <c r="B5318" s="5" t="s">
        <v>84</v>
      </c>
      <c r="C5318" s="5" t="s">
        <v>4186</v>
      </c>
      <c r="D5318" s="43">
        <v>5000</v>
      </c>
      <c r="E5318" s="43"/>
      <c r="F5318" s="48">
        <f t="shared" si="85"/>
        <v>28155</v>
      </c>
    </row>
    <row r="5319" spans="1:9" x14ac:dyDescent="0.3">
      <c r="A5319" s="45">
        <v>43341</v>
      </c>
      <c r="B5319" s="5" t="s">
        <v>2086</v>
      </c>
      <c r="C5319" s="5" t="s">
        <v>4185</v>
      </c>
      <c r="D5319" s="43">
        <v>250</v>
      </c>
      <c r="E5319" s="43"/>
      <c r="F5319" s="48">
        <f t="shared" si="85"/>
        <v>27905</v>
      </c>
    </row>
    <row r="5320" spans="1:9" x14ac:dyDescent="0.3">
      <c r="A5320" s="45">
        <v>43342</v>
      </c>
      <c r="B5320" s="5" t="s">
        <v>16</v>
      </c>
      <c r="C5320" s="5" t="s">
        <v>4187</v>
      </c>
      <c r="D5320" s="43">
        <v>4000</v>
      </c>
      <c r="E5320" s="43"/>
      <c r="F5320" s="48">
        <f t="shared" si="85"/>
        <v>23905</v>
      </c>
    </row>
    <row r="5321" spans="1:9" x14ac:dyDescent="0.3">
      <c r="A5321" s="45">
        <v>43342</v>
      </c>
      <c r="B5321" s="5" t="s">
        <v>18</v>
      </c>
      <c r="C5321" s="5" t="s">
        <v>4201</v>
      </c>
      <c r="D5321" s="43">
        <v>5000</v>
      </c>
      <c r="E5321" s="43"/>
      <c r="F5321" s="48">
        <f t="shared" si="85"/>
        <v>18905</v>
      </c>
    </row>
    <row r="5322" spans="1:9" x14ac:dyDescent="0.3">
      <c r="A5322" s="45">
        <v>43342</v>
      </c>
      <c r="B5322" s="5" t="s">
        <v>58</v>
      </c>
      <c r="C5322" s="5" t="s">
        <v>4188</v>
      </c>
      <c r="D5322" s="43">
        <v>17000</v>
      </c>
      <c r="E5322" s="43"/>
      <c r="F5322" s="48">
        <f t="shared" si="85"/>
        <v>1905</v>
      </c>
    </row>
    <row r="5323" spans="1:9" x14ac:dyDescent="0.3">
      <c r="A5323" s="45">
        <v>43343</v>
      </c>
      <c r="B5323" s="756" t="s">
        <v>3444</v>
      </c>
      <c r="C5323" s="756"/>
      <c r="D5323" s="71"/>
      <c r="E5323" s="72">
        <v>50000</v>
      </c>
      <c r="F5323" s="48">
        <f t="shared" ref="F5323:F5386" si="86">F5322-D5323+E5323</f>
        <v>51905</v>
      </c>
      <c r="I5323" s="182"/>
    </row>
    <row r="5324" spans="1:9" x14ac:dyDescent="0.3">
      <c r="A5324" s="45">
        <v>43343</v>
      </c>
      <c r="B5324" s="5" t="s">
        <v>58</v>
      </c>
      <c r="C5324" s="5" t="s">
        <v>3143</v>
      </c>
      <c r="D5324" s="43">
        <v>35000</v>
      </c>
      <c r="E5324" s="43"/>
      <c r="F5324" s="48">
        <f t="shared" si="86"/>
        <v>16905</v>
      </c>
    </row>
    <row r="5325" spans="1:9" x14ac:dyDescent="0.3">
      <c r="A5325" s="45">
        <v>43343</v>
      </c>
      <c r="B5325" s="5" t="s">
        <v>3825</v>
      </c>
      <c r="C5325" s="5" t="s">
        <v>4189</v>
      </c>
      <c r="D5325" s="43">
        <v>2500</v>
      </c>
      <c r="E5325" s="43"/>
      <c r="F5325" s="48">
        <f t="shared" si="86"/>
        <v>14405</v>
      </c>
    </row>
    <row r="5326" spans="1:9" x14ac:dyDescent="0.3">
      <c r="A5326" s="45">
        <v>43343</v>
      </c>
      <c r="B5326" s="5" t="s">
        <v>57</v>
      </c>
      <c r="C5326" s="5" t="s">
        <v>4190</v>
      </c>
      <c r="D5326" s="43">
        <v>1000</v>
      </c>
      <c r="E5326" s="43"/>
      <c r="F5326" s="48">
        <f t="shared" si="86"/>
        <v>13405</v>
      </c>
    </row>
    <row r="5327" spans="1:9" x14ac:dyDescent="0.3">
      <c r="A5327" s="45">
        <v>43343</v>
      </c>
      <c r="B5327" s="5" t="s">
        <v>3970</v>
      </c>
      <c r="C5327" s="5" t="s">
        <v>4191</v>
      </c>
      <c r="D5327" s="43">
        <v>2400</v>
      </c>
      <c r="E5327" s="43"/>
      <c r="F5327" s="48">
        <f t="shared" si="86"/>
        <v>11005</v>
      </c>
    </row>
    <row r="5328" spans="1:9" x14ac:dyDescent="0.3">
      <c r="A5328" s="45">
        <v>43343</v>
      </c>
      <c r="B5328" s="5" t="s">
        <v>2594</v>
      </c>
      <c r="C5328" s="5" t="s">
        <v>4192</v>
      </c>
      <c r="D5328" s="43">
        <v>5000</v>
      </c>
      <c r="E5328" s="43"/>
      <c r="F5328" s="48">
        <f t="shared" si="86"/>
        <v>6005</v>
      </c>
    </row>
    <row r="5329" spans="1:9" x14ac:dyDescent="0.3">
      <c r="A5329" s="45">
        <v>43343</v>
      </c>
      <c r="B5329" s="5" t="s">
        <v>14</v>
      </c>
      <c r="C5329" s="5" t="s">
        <v>294</v>
      </c>
      <c r="D5329" s="43">
        <v>1500</v>
      </c>
      <c r="E5329" s="43"/>
      <c r="F5329" s="48">
        <f t="shared" si="86"/>
        <v>4505</v>
      </c>
    </row>
    <row r="5330" spans="1:9" x14ac:dyDescent="0.3">
      <c r="A5330" s="45">
        <v>43314</v>
      </c>
      <c r="B5330" s="5" t="s">
        <v>84</v>
      </c>
      <c r="C5330" s="5" t="s">
        <v>4193</v>
      </c>
      <c r="D5330" s="43">
        <v>1000</v>
      </c>
      <c r="E5330" s="43"/>
      <c r="F5330" s="48">
        <f t="shared" si="86"/>
        <v>3505</v>
      </c>
    </row>
    <row r="5331" spans="1:9" ht="56.25" x14ac:dyDescent="0.3">
      <c r="A5331" s="45">
        <v>43314</v>
      </c>
      <c r="B5331" s="5" t="s">
        <v>58</v>
      </c>
      <c r="C5331" s="92" t="s">
        <v>4194</v>
      </c>
      <c r="D5331" s="43">
        <v>500</v>
      </c>
      <c r="E5331" s="43"/>
      <c r="F5331" s="48">
        <f t="shared" si="86"/>
        <v>3005</v>
      </c>
    </row>
    <row r="5332" spans="1:9" x14ac:dyDescent="0.3">
      <c r="A5332" s="45">
        <v>43346</v>
      </c>
      <c r="B5332" s="756" t="s">
        <v>3444</v>
      </c>
      <c r="C5332" s="756"/>
      <c r="D5332" s="71"/>
      <c r="E5332" s="72">
        <v>50000</v>
      </c>
      <c r="F5332" s="48">
        <f t="shared" si="86"/>
        <v>53005</v>
      </c>
      <c r="I5332" s="182"/>
    </row>
    <row r="5333" spans="1:9" x14ac:dyDescent="0.3">
      <c r="A5333" s="45">
        <v>43346</v>
      </c>
      <c r="B5333" s="5" t="s">
        <v>16</v>
      </c>
      <c r="C5333" s="92" t="s">
        <v>4207</v>
      </c>
      <c r="D5333" s="43">
        <v>5000</v>
      </c>
      <c r="E5333" s="43"/>
      <c r="F5333" s="48">
        <f t="shared" si="86"/>
        <v>48005</v>
      </c>
      <c r="I5333" s="182"/>
    </row>
    <row r="5334" spans="1:9" x14ac:dyDescent="0.3">
      <c r="A5334" s="45">
        <v>43346</v>
      </c>
      <c r="B5334" s="5" t="s">
        <v>3559</v>
      </c>
      <c r="C5334" s="5" t="s">
        <v>4206</v>
      </c>
      <c r="D5334" s="43">
        <v>420</v>
      </c>
      <c r="E5334" s="43"/>
      <c r="F5334" s="48">
        <f t="shared" si="86"/>
        <v>47585</v>
      </c>
    </row>
    <row r="5335" spans="1:9" x14ac:dyDescent="0.3">
      <c r="A5335" s="45">
        <v>43346</v>
      </c>
      <c r="B5335" s="5" t="s">
        <v>110</v>
      </c>
      <c r="C5335" s="5" t="s">
        <v>40</v>
      </c>
      <c r="D5335" s="43">
        <f>5000+4500+50</f>
        <v>9550</v>
      </c>
      <c r="E5335" s="43"/>
      <c r="F5335" s="48">
        <f t="shared" si="86"/>
        <v>38035</v>
      </c>
    </row>
    <row r="5336" spans="1:9" x14ac:dyDescent="0.3">
      <c r="A5336" s="45">
        <v>43346</v>
      </c>
      <c r="B5336" s="5" t="s">
        <v>4195</v>
      </c>
      <c r="C5336" s="5" t="s">
        <v>4196</v>
      </c>
      <c r="D5336" s="43">
        <v>4000</v>
      </c>
      <c r="E5336" s="43"/>
      <c r="F5336" s="48">
        <f t="shared" si="86"/>
        <v>34035</v>
      </c>
    </row>
    <row r="5337" spans="1:9" x14ac:dyDescent="0.3">
      <c r="A5337" s="45">
        <v>43346</v>
      </c>
      <c r="B5337" s="5" t="s">
        <v>84</v>
      </c>
      <c r="C5337" s="5" t="s">
        <v>4205</v>
      </c>
      <c r="D5337" s="43">
        <v>5000</v>
      </c>
      <c r="E5337" s="43"/>
      <c r="F5337" s="48">
        <f t="shared" si="86"/>
        <v>29035</v>
      </c>
    </row>
    <row r="5338" spans="1:9" x14ac:dyDescent="0.3">
      <c r="A5338" s="45">
        <v>43346</v>
      </c>
      <c r="B5338" s="5" t="s">
        <v>84</v>
      </c>
      <c r="C5338" s="5" t="s">
        <v>4204</v>
      </c>
      <c r="D5338" s="43">
        <v>1000</v>
      </c>
      <c r="E5338" s="43"/>
      <c r="F5338" s="48">
        <f t="shared" si="86"/>
        <v>28035</v>
      </c>
    </row>
    <row r="5339" spans="1:9" x14ac:dyDescent="0.3">
      <c r="A5339" s="45">
        <v>43346</v>
      </c>
      <c r="B5339" s="5" t="s">
        <v>2096</v>
      </c>
      <c r="C5339" s="5" t="s">
        <v>4203</v>
      </c>
      <c r="D5339" s="43">
        <v>25000</v>
      </c>
      <c r="E5339" s="43"/>
      <c r="F5339" s="48">
        <f t="shared" si="86"/>
        <v>3035</v>
      </c>
    </row>
    <row r="5340" spans="1:9" x14ac:dyDescent="0.3">
      <c r="A5340" s="45">
        <v>43346</v>
      </c>
      <c r="B5340" s="5" t="s">
        <v>541</v>
      </c>
      <c r="C5340" s="5" t="s">
        <v>4197</v>
      </c>
      <c r="D5340" s="43">
        <f>128+400</f>
        <v>528</v>
      </c>
      <c r="E5340" s="43"/>
      <c r="F5340" s="48">
        <f t="shared" si="86"/>
        <v>2507</v>
      </c>
    </row>
    <row r="5341" spans="1:9" x14ac:dyDescent="0.3">
      <c r="A5341" s="45">
        <v>43346</v>
      </c>
      <c r="B5341" s="5" t="s">
        <v>110</v>
      </c>
      <c r="C5341" s="5" t="s">
        <v>4198</v>
      </c>
      <c r="D5341" s="43">
        <v>190</v>
      </c>
      <c r="E5341" s="43"/>
      <c r="F5341" s="48">
        <f t="shared" si="86"/>
        <v>2317</v>
      </c>
    </row>
    <row r="5342" spans="1:9" x14ac:dyDescent="0.3">
      <c r="A5342" s="45">
        <v>43346</v>
      </c>
      <c r="B5342" s="5" t="s">
        <v>25</v>
      </c>
      <c r="C5342" s="5" t="s">
        <v>4199</v>
      </c>
      <c r="D5342" s="43">
        <f>120+40+100+100+20+40+100</f>
        <v>520</v>
      </c>
      <c r="E5342" s="43"/>
      <c r="F5342" s="48">
        <f t="shared" si="86"/>
        <v>1797</v>
      </c>
    </row>
    <row r="5343" spans="1:9" x14ac:dyDescent="0.3">
      <c r="A5343" s="45">
        <v>43346</v>
      </c>
      <c r="B5343" s="5" t="s">
        <v>25</v>
      </c>
      <c r="C5343" s="5" t="s">
        <v>4200</v>
      </c>
      <c r="D5343" s="43">
        <v>600</v>
      </c>
      <c r="E5343" s="43"/>
      <c r="F5343" s="48">
        <f t="shared" si="86"/>
        <v>1197</v>
      </c>
    </row>
    <row r="5344" spans="1:9" x14ac:dyDescent="0.3">
      <c r="A5344" s="45">
        <v>43347</v>
      </c>
      <c r="B5344" s="756" t="s">
        <v>3444</v>
      </c>
      <c r="C5344" s="756"/>
      <c r="D5344" s="71"/>
      <c r="E5344" s="72">
        <v>35000</v>
      </c>
      <c r="F5344" s="48">
        <f t="shared" si="86"/>
        <v>36197</v>
      </c>
      <c r="I5344" s="182"/>
    </row>
    <row r="5345" spans="1:9" x14ac:dyDescent="0.3">
      <c r="A5345" s="45">
        <v>43347</v>
      </c>
      <c r="B5345" s="5" t="s">
        <v>14</v>
      </c>
      <c r="C5345" s="5" t="s">
        <v>294</v>
      </c>
      <c r="D5345" s="43">
        <v>1000</v>
      </c>
      <c r="E5345" s="43"/>
      <c r="F5345" s="48">
        <f t="shared" si="86"/>
        <v>35197</v>
      </c>
    </row>
    <row r="5346" spans="1:9" x14ac:dyDescent="0.3">
      <c r="A5346" s="45">
        <v>43347</v>
      </c>
      <c r="B5346" s="5" t="s">
        <v>0</v>
      </c>
      <c r="C5346" s="5" t="s">
        <v>4202</v>
      </c>
      <c r="D5346" s="43">
        <v>2500</v>
      </c>
      <c r="E5346" s="43"/>
      <c r="F5346" s="48">
        <f t="shared" si="86"/>
        <v>32697</v>
      </c>
    </row>
    <row r="5347" spans="1:9" x14ac:dyDescent="0.3">
      <c r="A5347" s="45">
        <v>43347</v>
      </c>
      <c r="B5347" s="5" t="s">
        <v>0</v>
      </c>
      <c r="C5347" s="5" t="s">
        <v>40</v>
      </c>
      <c r="D5347" s="43">
        <v>1000</v>
      </c>
      <c r="E5347" s="43"/>
      <c r="F5347" s="48">
        <f t="shared" si="86"/>
        <v>31697</v>
      </c>
    </row>
    <row r="5348" spans="1:9" x14ac:dyDescent="0.3">
      <c r="A5348" s="45">
        <v>43347</v>
      </c>
      <c r="B5348" s="5" t="s">
        <v>3825</v>
      </c>
      <c r="C5348" s="5" t="s">
        <v>4208</v>
      </c>
      <c r="D5348" s="43">
        <v>5000</v>
      </c>
      <c r="E5348" s="43"/>
      <c r="F5348" s="48">
        <f t="shared" si="86"/>
        <v>26697</v>
      </c>
    </row>
    <row r="5349" spans="1:9" x14ac:dyDescent="0.3">
      <c r="A5349" s="45">
        <v>43348</v>
      </c>
      <c r="B5349" s="5" t="s">
        <v>541</v>
      </c>
      <c r="C5349" s="5" t="s">
        <v>2435</v>
      </c>
      <c r="D5349" s="43">
        <v>600</v>
      </c>
      <c r="E5349" s="43"/>
      <c r="F5349" s="48">
        <f t="shared" si="86"/>
        <v>26097</v>
      </c>
    </row>
    <row r="5350" spans="1:9" x14ac:dyDescent="0.3">
      <c r="A5350" s="45">
        <v>43348</v>
      </c>
      <c r="B5350" s="5" t="s">
        <v>14</v>
      </c>
      <c r="C5350" s="5" t="s">
        <v>1530</v>
      </c>
      <c r="D5350" s="43">
        <v>1000</v>
      </c>
      <c r="E5350" s="43"/>
      <c r="F5350" s="48">
        <f t="shared" si="86"/>
        <v>25097</v>
      </c>
    </row>
    <row r="5351" spans="1:9" x14ac:dyDescent="0.3">
      <c r="A5351" s="45">
        <v>43348</v>
      </c>
      <c r="B5351" s="5" t="s">
        <v>14</v>
      </c>
      <c r="C5351" s="5" t="s">
        <v>2331</v>
      </c>
      <c r="D5351" s="43">
        <v>1000</v>
      </c>
      <c r="E5351" s="43"/>
      <c r="F5351" s="48">
        <f t="shared" si="86"/>
        <v>24097</v>
      </c>
    </row>
    <row r="5352" spans="1:9" x14ac:dyDescent="0.3">
      <c r="A5352" s="45">
        <v>43348</v>
      </c>
      <c r="B5352" s="5" t="s">
        <v>3724</v>
      </c>
      <c r="C5352" s="5" t="s">
        <v>4209</v>
      </c>
      <c r="D5352" s="43">
        <v>4150</v>
      </c>
      <c r="E5352" s="43"/>
      <c r="F5352" s="48">
        <f t="shared" si="86"/>
        <v>19947</v>
      </c>
    </row>
    <row r="5353" spans="1:9" x14ac:dyDescent="0.3">
      <c r="A5353" s="45">
        <v>43348</v>
      </c>
      <c r="B5353" s="5" t="s">
        <v>1458</v>
      </c>
      <c r="C5353" s="5" t="s">
        <v>4210</v>
      </c>
      <c r="D5353" s="43">
        <v>1700</v>
      </c>
      <c r="E5353" s="43"/>
      <c r="F5353" s="48">
        <f t="shared" si="86"/>
        <v>18247</v>
      </c>
    </row>
    <row r="5354" spans="1:9" x14ac:dyDescent="0.3">
      <c r="A5354" s="45">
        <v>43348</v>
      </c>
      <c r="B5354" s="5" t="s">
        <v>84</v>
      </c>
      <c r="C5354" s="5" t="s">
        <v>4211</v>
      </c>
      <c r="D5354" s="43">
        <v>5000</v>
      </c>
      <c r="E5354" s="43"/>
      <c r="F5354" s="48">
        <f t="shared" si="86"/>
        <v>13247</v>
      </c>
    </row>
    <row r="5355" spans="1:9" x14ac:dyDescent="0.3">
      <c r="A5355" s="45">
        <v>43348</v>
      </c>
      <c r="B5355" s="5" t="s">
        <v>541</v>
      </c>
      <c r="C5355" s="5" t="s">
        <v>4212</v>
      </c>
      <c r="D5355" s="43">
        <f>300+300+400+170</f>
        <v>1170</v>
      </c>
      <c r="E5355" s="43"/>
      <c r="F5355" s="48">
        <f t="shared" si="86"/>
        <v>12077</v>
      </c>
    </row>
    <row r="5356" spans="1:9" x14ac:dyDescent="0.3">
      <c r="A5356" s="45">
        <v>43348</v>
      </c>
      <c r="B5356" s="5" t="s">
        <v>110</v>
      </c>
      <c r="C5356" s="5" t="s">
        <v>4198</v>
      </c>
      <c r="D5356" s="43">
        <v>195</v>
      </c>
      <c r="E5356" s="43"/>
      <c r="F5356" s="48">
        <f t="shared" si="86"/>
        <v>11882</v>
      </c>
    </row>
    <row r="5357" spans="1:9" x14ac:dyDescent="0.3">
      <c r="A5357" s="45">
        <v>43349</v>
      </c>
      <c r="B5357" s="5" t="s">
        <v>247</v>
      </c>
      <c r="C5357" s="5" t="s">
        <v>4213</v>
      </c>
      <c r="D5357" s="43">
        <f>255+255+100</f>
        <v>610</v>
      </c>
      <c r="E5357" s="43"/>
      <c r="F5357" s="48">
        <f t="shared" si="86"/>
        <v>11272</v>
      </c>
    </row>
    <row r="5358" spans="1:9" x14ac:dyDescent="0.3">
      <c r="A5358" s="45">
        <v>43349</v>
      </c>
      <c r="B5358" s="5" t="s">
        <v>58</v>
      </c>
      <c r="C5358" s="5" t="s">
        <v>4217</v>
      </c>
      <c r="D5358" s="43">
        <v>50</v>
      </c>
      <c r="E5358" s="43"/>
      <c r="F5358" s="48">
        <f t="shared" si="86"/>
        <v>11222</v>
      </c>
    </row>
    <row r="5359" spans="1:9" x14ac:dyDescent="0.3">
      <c r="A5359" s="45">
        <v>43349</v>
      </c>
      <c r="B5359" s="5" t="s">
        <v>25</v>
      </c>
      <c r="C5359" s="5" t="s">
        <v>4214</v>
      </c>
      <c r="D5359" s="43">
        <v>27</v>
      </c>
      <c r="E5359" s="43"/>
      <c r="F5359" s="48">
        <f t="shared" si="86"/>
        <v>11195</v>
      </c>
    </row>
    <row r="5360" spans="1:9" x14ac:dyDescent="0.3">
      <c r="A5360" s="45">
        <v>43349</v>
      </c>
      <c r="B5360" s="756" t="s">
        <v>4215</v>
      </c>
      <c r="C5360" s="756"/>
      <c r="D5360" s="71"/>
      <c r="E5360" s="72">
        <v>7150</v>
      </c>
      <c r="F5360" s="48">
        <f t="shared" si="86"/>
        <v>18345</v>
      </c>
      <c r="I5360" s="182"/>
    </row>
    <row r="5361" spans="1:9" x14ac:dyDescent="0.3">
      <c r="A5361" s="45">
        <v>43349</v>
      </c>
      <c r="B5361" s="5" t="s">
        <v>58</v>
      </c>
      <c r="C5361" s="5" t="s">
        <v>3653</v>
      </c>
      <c r="D5361" s="43">
        <v>800</v>
      </c>
      <c r="E5361" s="43"/>
      <c r="F5361" s="48">
        <f t="shared" si="86"/>
        <v>17545</v>
      </c>
    </row>
    <row r="5362" spans="1:9" x14ac:dyDescent="0.3">
      <c r="A5362" s="45">
        <v>43350</v>
      </c>
      <c r="B5362" s="5" t="s">
        <v>54</v>
      </c>
      <c r="C5362" s="5" t="s">
        <v>4216</v>
      </c>
      <c r="D5362" s="43"/>
      <c r="E5362" s="43"/>
      <c r="F5362" s="48">
        <f t="shared" si="86"/>
        <v>17545</v>
      </c>
    </row>
    <row r="5363" spans="1:9" x14ac:dyDescent="0.3">
      <c r="A5363" s="45">
        <v>43350</v>
      </c>
      <c r="B5363" s="761" t="s">
        <v>4223</v>
      </c>
      <c r="C5363" s="762"/>
      <c r="D5363" s="71"/>
      <c r="E5363" s="72">
        <v>28335</v>
      </c>
      <c r="F5363" s="48">
        <f t="shared" si="86"/>
        <v>45880</v>
      </c>
      <c r="I5363" s="182"/>
    </row>
    <row r="5364" spans="1:9" ht="56.25" x14ac:dyDescent="0.3">
      <c r="A5364" s="45">
        <v>43350</v>
      </c>
      <c r="B5364" s="5" t="s">
        <v>58</v>
      </c>
      <c r="C5364" s="92" t="s">
        <v>4218</v>
      </c>
      <c r="D5364" s="43">
        <v>150</v>
      </c>
      <c r="E5364" s="43"/>
      <c r="F5364" s="48">
        <f t="shared" si="86"/>
        <v>45730</v>
      </c>
    </row>
    <row r="5365" spans="1:9" x14ac:dyDescent="0.3">
      <c r="A5365" s="45">
        <v>43350</v>
      </c>
      <c r="B5365" s="5" t="s">
        <v>3359</v>
      </c>
      <c r="C5365" s="5" t="s">
        <v>4219</v>
      </c>
      <c r="D5365" s="43">
        <v>10000</v>
      </c>
      <c r="E5365" s="43"/>
      <c r="F5365" s="48">
        <f t="shared" si="86"/>
        <v>35730</v>
      </c>
    </row>
    <row r="5366" spans="1:9" x14ac:dyDescent="0.3">
      <c r="A5366" s="45">
        <v>43350</v>
      </c>
      <c r="B5366" s="5" t="s">
        <v>84</v>
      </c>
      <c r="C5366" s="5" t="s">
        <v>4285</v>
      </c>
      <c r="D5366" s="43">
        <v>1500</v>
      </c>
      <c r="E5366" s="43"/>
      <c r="F5366" s="48">
        <f t="shared" si="86"/>
        <v>34230</v>
      </c>
    </row>
    <row r="5367" spans="1:9" x14ac:dyDescent="0.3">
      <c r="A5367" s="45">
        <v>43350</v>
      </c>
      <c r="B5367" s="5" t="s">
        <v>247</v>
      </c>
      <c r="C5367" s="5" t="s">
        <v>4220</v>
      </c>
      <c r="D5367" s="43">
        <v>50</v>
      </c>
      <c r="E5367" s="43"/>
      <c r="F5367" s="48">
        <f t="shared" si="86"/>
        <v>34180</v>
      </c>
    </row>
    <row r="5368" spans="1:9" x14ac:dyDescent="0.3">
      <c r="A5368" s="45">
        <v>43353</v>
      </c>
      <c r="B5368" s="5" t="s">
        <v>4112</v>
      </c>
      <c r="C5368" s="5" t="s">
        <v>4221</v>
      </c>
      <c r="D5368" s="43">
        <v>100</v>
      </c>
      <c r="E5368" s="43"/>
      <c r="F5368" s="48">
        <f t="shared" si="86"/>
        <v>34080</v>
      </c>
    </row>
    <row r="5369" spans="1:9" x14ac:dyDescent="0.3">
      <c r="A5369" s="45">
        <v>43353</v>
      </c>
      <c r="B5369" s="5" t="s">
        <v>4112</v>
      </c>
      <c r="C5369" s="5" t="s">
        <v>4222</v>
      </c>
      <c r="D5369" s="43">
        <v>50</v>
      </c>
      <c r="E5369" s="43"/>
      <c r="F5369" s="48">
        <f t="shared" si="86"/>
        <v>34030</v>
      </c>
    </row>
    <row r="5370" spans="1:9" x14ac:dyDescent="0.3">
      <c r="A5370" s="45">
        <v>43353</v>
      </c>
      <c r="B5370" s="5" t="s">
        <v>541</v>
      </c>
      <c r="C5370" s="5" t="s">
        <v>4224</v>
      </c>
      <c r="D5370" s="43">
        <v>15000</v>
      </c>
      <c r="E5370" s="43"/>
      <c r="F5370" s="48">
        <f t="shared" si="86"/>
        <v>19030</v>
      </c>
      <c r="G5370" s="302"/>
    </row>
    <row r="5371" spans="1:9" x14ac:dyDescent="0.3">
      <c r="A5371" s="45">
        <v>43353</v>
      </c>
      <c r="B5371" s="5" t="s">
        <v>2594</v>
      </c>
      <c r="C5371" s="5" t="s">
        <v>4225</v>
      </c>
      <c r="D5371" s="43">
        <v>1150</v>
      </c>
      <c r="E5371" s="43"/>
      <c r="F5371" s="48">
        <f t="shared" si="86"/>
        <v>17880</v>
      </c>
    </row>
    <row r="5372" spans="1:9" x14ac:dyDescent="0.3">
      <c r="A5372" s="45">
        <v>43353</v>
      </c>
      <c r="B5372" s="5" t="s">
        <v>2346</v>
      </c>
      <c r="C5372" s="5" t="s">
        <v>4226</v>
      </c>
      <c r="D5372" s="43">
        <v>3000</v>
      </c>
      <c r="E5372" s="43"/>
      <c r="F5372" s="48">
        <f t="shared" si="86"/>
        <v>14880</v>
      </c>
    </row>
    <row r="5373" spans="1:9" x14ac:dyDescent="0.3">
      <c r="A5373" s="45">
        <v>43353</v>
      </c>
      <c r="B5373" s="5" t="s">
        <v>1616</v>
      </c>
      <c r="C5373" s="5" t="s">
        <v>3703</v>
      </c>
      <c r="D5373" s="43">
        <v>1500</v>
      </c>
      <c r="E5373" s="43"/>
      <c r="F5373" s="48">
        <f t="shared" si="86"/>
        <v>13380</v>
      </c>
    </row>
    <row r="5374" spans="1:9" x14ac:dyDescent="0.3">
      <c r="A5374" s="45">
        <v>43353</v>
      </c>
      <c r="B5374" s="5" t="s">
        <v>11</v>
      </c>
      <c r="C5374" s="5" t="s">
        <v>4227</v>
      </c>
      <c r="D5374" s="43">
        <v>2630</v>
      </c>
      <c r="E5374" s="43"/>
      <c r="F5374" s="48">
        <f t="shared" si="86"/>
        <v>10750</v>
      </c>
    </row>
    <row r="5375" spans="1:9" x14ac:dyDescent="0.3">
      <c r="A5375" s="45">
        <v>43353</v>
      </c>
      <c r="B5375" s="5" t="s">
        <v>2594</v>
      </c>
      <c r="C5375" s="5" t="s">
        <v>4228</v>
      </c>
      <c r="D5375" s="43">
        <v>500</v>
      </c>
      <c r="E5375" s="43"/>
      <c r="F5375" s="48">
        <f t="shared" si="86"/>
        <v>10250</v>
      </c>
    </row>
    <row r="5376" spans="1:9" x14ac:dyDescent="0.3">
      <c r="A5376" s="45">
        <v>43353</v>
      </c>
      <c r="B5376" s="5" t="s">
        <v>25</v>
      </c>
      <c r="C5376" s="5" t="s">
        <v>4230</v>
      </c>
      <c r="D5376" s="43">
        <v>1500</v>
      </c>
      <c r="E5376" s="43"/>
      <c r="F5376" s="48">
        <f t="shared" si="86"/>
        <v>8750</v>
      </c>
    </row>
    <row r="5377" spans="1:9" x14ac:dyDescent="0.3">
      <c r="A5377" s="45">
        <v>43353</v>
      </c>
      <c r="B5377" s="5" t="s">
        <v>25</v>
      </c>
      <c r="C5377" s="5" t="s">
        <v>4231</v>
      </c>
      <c r="D5377" s="43">
        <f>400+60+380+20+80+200</f>
        <v>1140</v>
      </c>
      <c r="E5377" s="43"/>
      <c r="F5377" s="48">
        <f t="shared" si="86"/>
        <v>7610</v>
      </c>
    </row>
    <row r="5378" spans="1:9" x14ac:dyDescent="0.3">
      <c r="A5378" s="45">
        <v>43354</v>
      </c>
      <c r="B5378" s="5" t="s">
        <v>110</v>
      </c>
      <c r="C5378" s="5" t="s">
        <v>4232</v>
      </c>
      <c r="D5378" s="43">
        <f>170+180+70</f>
        <v>420</v>
      </c>
      <c r="E5378" s="43"/>
      <c r="F5378" s="48">
        <f t="shared" si="86"/>
        <v>7190</v>
      </c>
    </row>
    <row r="5379" spans="1:9" x14ac:dyDescent="0.3">
      <c r="A5379" s="45">
        <v>43354</v>
      </c>
      <c r="B5379" s="5" t="s">
        <v>541</v>
      </c>
      <c r="C5379" s="5" t="s">
        <v>4233</v>
      </c>
      <c r="D5379" s="43">
        <f>170+130+100</f>
        <v>400</v>
      </c>
      <c r="E5379" s="43"/>
      <c r="F5379" s="48">
        <f t="shared" si="86"/>
        <v>6790</v>
      </c>
    </row>
    <row r="5380" spans="1:9" x14ac:dyDescent="0.3">
      <c r="A5380" s="45">
        <v>43354</v>
      </c>
      <c r="B5380" s="5" t="s">
        <v>2674</v>
      </c>
      <c r="C5380" s="5" t="s">
        <v>4234</v>
      </c>
      <c r="D5380" s="43">
        <v>130</v>
      </c>
      <c r="E5380" s="43"/>
      <c r="F5380" s="48">
        <f t="shared" si="86"/>
        <v>6660</v>
      </c>
    </row>
    <row r="5381" spans="1:9" x14ac:dyDescent="0.3">
      <c r="A5381" s="45">
        <v>43354</v>
      </c>
      <c r="B5381" s="5" t="s">
        <v>14</v>
      </c>
      <c r="C5381" s="5" t="s">
        <v>4235</v>
      </c>
      <c r="D5381" s="43">
        <v>80</v>
      </c>
      <c r="E5381" s="43"/>
      <c r="F5381" s="48">
        <f t="shared" si="86"/>
        <v>6580</v>
      </c>
    </row>
    <row r="5382" spans="1:9" x14ac:dyDescent="0.3">
      <c r="A5382" s="45">
        <v>43354</v>
      </c>
      <c r="B5382" s="5" t="s">
        <v>18</v>
      </c>
      <c r="C5382" s="5" t="s">
        <v>1530</v>
      </c>
      <c r="D5382" s="43">
        <v>3000</v>
      </c>
      <c r="E5382" s="43"/>
      <c r="F5382" s="48">
        <f t="shared" si="86"/>
        <v>3580</v>
      </c>
    </row>
    <row r="5383" spans="1:9" x14ac:dyDescent="0.3">
      <c r="A5383" s="45">
        <v>43354</v>
      </c>
      <c r="B5383" s="5" t="s">
        <v>3220</v>
      </c>
      <c r="C5383" s="5" t="s">
        <v>40</v>
      </c>
      <c r="D5383" s="43">
        <v>1500</v>
      </c>
      <c r="E5383" s="43"/>
      <c r="F5383" s="48">
        <f t="shared" si="86"/>
        <v>2080</v>
      </c>
    </row>
    <row r="5384" spans="1:9" x14ac:dyDescent="0.3">
      <c r="A5384" s="45">
        <v>43354</v>
      </c>
      <c r="B5384" s="761" t="s">
        <v>3444</v>
      </c>
      <c r="C5384" s="762"/>
      <c r="D5384" s="71"/>
      <c r="E5384" s="72">
        <v>100000</v>
      </c>
      <c r="F5384" s="48">
        <f t="shared" si="86"/>
        <v>102080</v>
      </c>
      <c r="I5384" s="182"/>
    </row>
    <row r="5385" spans="1:9" x14ac:dyDescent="0.3">
      <c r="A5385" s="45">
        <v>43354</v>
      </c>
      <c r="B5385" s="5" t="s">
        <v>84</v>
      </c>
      <c r="C5385" s="5" t="s">
        <v>4229</v>
      </c>
      <c r="D5385" s="43">
        <v>10650</v>
      </c>
      <c r="E5385" s="43"/>
      <c r="F5385" s="48">
        <f t="shared" si="86"/>
        <v>91430</v>
      </c>
    </row>
    <row r="5386" spans="1:9" x14ac:dyDescent="0.3">
      <c r="A5386" s="45">
        <v>43354</v>
      </c>
      <c r="B5386" s="5" t="s">
        <v>14</v>
      </c>
      <c r="C5386" s="5" t="s">
        <v>4292</v>
      </c>
      <c r="D5386" s="43">
        <v>50000</v>
      </c>
      <c r="E5386" s="43"/>
      <c r="F5386" s="48">
        <f t="shared" si="86"/>
        <v>41430</v>
      </c>
    </row>
    <row r="5387" spans="1:9" x14ac:dyDescent="0.3">
      <c r="A5387" s="45">
        <v>43354</v>
      </c>
      <c r="B5387" s="5" t="s">
        <v>28</v>
      </c>
      <c r="C5387" s="5" t="s">
        <v>4253</v>
      </c>
      <c r="D5387" s="43">
        <v>1000</v>
      </c>
      <c r="E5387" s="43"/>
      <c r="F5387" s="48">
        <f t="shared" ref="F5387:F5450" si="87">F5386-D5387+E5387</f>
        <v>40430</v>
      </c>
    </row>
    <row r="5388" spans="1:9" x14ac:dyDescent="0.3">
      <c r="A5388" s="45">
        <v>43354</v>
      </c>
      <c r="B5388" s="5" t="s">
        <v>3425</v>
      </c>
      <c r="C5388" s="5" t="s">
        <v>4237</v>
      </c>
      <c r="D5388" s="43">
        <v>400</v>
      </c>
      <c r="E5388" s="43"/>
      <c r="F5388" s="48">
        <f t="shared" si="87"/>
        <v>40030</v>
      </c>
    </row>
    <row r="5389" spans="1:9" x14ac:dyDescent="0.3">
      <c r="A5389" s="45">
        <v>43354</v>
      </c>
      <c r="B5389" s="5" t="s">
        <v>58</v>
      </c>
      <c r="C5389" s="5" t="s">
        <v>4238</v>
      </c>
      <c r="D5389" s="43">
        <v>35000</v>
      </c>
      <c r="E5389" s="43"/>
      <c r="F5389" s="48">
        <f t="shared" si="87"/>
        <v>5030</v>
      </c>
    </row>
    <row r="5390" spans="1:9" x14ac:dyDescent="0.3">
      <c r="A5390" s="45">
        <v>43354</v>
      </c>
      <c r="B5390" s="5" t="s">
        <v>2948</v>
      </c>
      <c r="C5390" s="5" t="s">
        <v>3627</v>
      </c>
      <c r="D5390" s="43">
        <v>3680</v>
      </c>
      <c r="E5390" s="43"/>
      <c r="F5390" s="48">
        <f t="shared" si="87"/>
        <v>1350</v>
      </c>
    </row>
    <row r="5391" spans="1:9" x14ac:dyDescent="0.3">
      <c r="A5391" s="45">
        <v>43354</v>
      </c>
      <c r="B5391" s="5" t="s">
        <v>93</v>
      </c>
      <c r="C5391" s="5" t="s">
        <v>4239</v>
      </c>
      <c r="D5391" s="43">
        <v>1000</v>
      </c>
      <c r="E5391" s="43"/>
      <c r="F5391" s="48">
        <f t="shared" si="87"/>
        <v>350</v>
      </c>
    </row>
    <row r="5392" spans="1:9" x14ac:dyDescent="0.3">
      <c r="A5392" s="45">
        <v>43354</v>
      </c>
      <c r="B5392" s="761" t="s">
        <v>3444</v>
      </c>
      <c r="C5392" s="762"/>
      <c r="D5392" s="71"/>
      <c r="E5392" s="72">
        <v>50000</v>
      </c>
      <c r="F5392" s="48">
        <f>F5391-D5392+E5392</f>
        <v>50350</v>
      </c>
      <c r="I5392" s="182"/>
    </row>
    <row r="5393" spans="1:9" x14ac:dyDescent="0.3">
      <c r="A5393" s="45">
        <v>43355</v>
      </c>
      <c r="B5393" s="5" t="s">
        <v>4240</v>
      </c>
      <c r="C5393" s="5" t="s">
        <v>4241</v>
      </c>
      <c r="D5393" s="43">
        <v>800</v>
      </c>
      <c r="E5393" s="43"/>
      <c r="F5393" s="48">
        <f>F5392-D5393+E5393</f>
        <v>49550</v>
      </c>
    </row>
    <row r="5394" spans="1:9" x14ac:dyDescent="0.3">
      <c r="A5394" s="45">
        <v>43355</v>
      </c>
      <c r="B5394" s="5" t="s">
        <v>58</v>
      </c>
      <c r="C5394" s="5" t="s">
        <v>4245</v>
      </c>
      <c r="D5394" s="43">
        <v>11500</v>
      </c>
      <c r="E5394" s="43"/>
      <c r="F5394" s="48">
        <f t="shared" si="87"/>
        <v>38050</v>
      </c>
    </row>
    <row r="5395" spans="1:9" x14ac:dyDescent="0.3">
      <c r="A5395" s="45">
        <v>43355</v>
      </c>
      <c r="B5395" s="5" t="s">
        <v>58</v>
      </c>
      <c r="C5395" s="5" t="s">
        <v>4242</v>
      </c>
      <c r="D5395" s="43">
        <v>15000</v>
      </c>
      <c r="E5395" s="43"/>
      <c r="F5395" s="48">
        <f t="shared" si="87"/>
        <v>23050</v>
      </c>
    </row>
    <row r="5396" spans="1:9" x14ac:dyDescent="0.3">
      <c r="A5396" s="45">
        <v>43355</v>
      </c>
      <c r="B5396" s="5" t="s">
        <v>4240</v>
      </c>
      <c r="C5396" s="5" t="s">
        <v>4243</v>
      </c>
      <c r="D5396" s="43">
        <v>20000</v>
      </c>
      <c r="E5396" s="43"/>
      <c r="F5396" s="48">
        <f t="shared" si="87"/>
        <v>3050</v>
      </c>
    </row>
    <row r="5397" spans="1:9" x14ac:dyDescent="0.3">
      <c r="A5397" s="45">
        <v>43356</v>
      </c>
      <c r="B5397" s="5" t="s">
        <v>84</v>
      </c>
      <c r="C5397" s="5" t="s">
        <v>4244</v>
      </c>
      <c r="D5397" s="43">
        <v>1500</v>
      </c>
      <c r="E5397" s="43"/>
      <c r="F5397" s="48">
        <f t="shared" si="87"/>
        <v>1550</v>
      </c>
    </row>
    <row r="5398" spans="1:9" x14ac:dyDescent="0.3">
      <c r="A5398" s="45">
        <v>43356</v>
      </c>
      <c r="B5398" s="5" t="s">
        <v>4248</v>
      </c>
      <c r="C5398" s="5" t="s">
        <v>4249</v>
      </c>
      <c r="D5398" s="43">
        <v>230</v>
      </c>
      <c r="E5398" s="43"/>
      <c r="F5398" s="48">
        <f t="shared" si="87"/>
        <v>1320</v>
      </c>
    </row>
    <row r="5399" spans="1:9" x14ac:dyDescent="0.3">
      <c r="A5399" s="45">
        <v>43356</v>
      </c>
      <c r="B5399" s="5" t="s">
        <v>25</v>
      </c>
      <c r="C5399" s="5" t="s">
        <v>4250</v>
      </c>
      <c r="D5399" s="43">
        <f>110+12+40+50+66</f>
        <v>278</v>
      </c>
      <c r="E5399" s="43"/>
      <c r="F5399" s="48">
        <f t="shared" si="87"/>
        <v>1042</v>
      </c>
    </row>
    <row r="5400" spans="1:9" x14ac:dyDescent="0.3">
      <c r="A5400" s="45">
        <v>43356</v>
      </c>
      <c r="B5400" s="5" t="s">
        <v>541</v>
      </c>
      <c r="C5400" s="5" t="s">
        <v>4251</v>
      </c>
      <c r="D5400" s="43">
        <f>130+170</f>
        <v>300</v>
      </c>
      <c r="E5400" s="43"/>
      <c r="F5400" s="48">
        <f t="shared" si="87"/>
        <v>742</v>
      </c>
    </row>
    <row r="5401" spans="1:9" x14ac:dyDescent="0.3">
      <c r="A5401" s="45">
        <v>43356</v>
      </c>
      <c r="B5401" s="5" t="s">
        <v>110</v>
      </c>
      <c r="C5401" s="5" t="s">
        <v>87</v>
      </c>
      <c r="D5401" s="43">
        <v>80</v>
      </c>
      <c r="E5401" s="43"/>
      <c r="F5401" s="48">
        <f t="shared" si="87"/>
        <v>662</v>
      </c>
    </row>
    <row r="5402" spans="1:9" x14ac:dyDescent="0.3">
      <c r="A5402" s="45">
        <v>43356</v>
      </c>
      <c r="B5402" s="5" t="s">
        <v>4112</v>
      </c>
      <c r="C5402" s="5" t="s">
        <v>4252</v>
      </c>
      <c r="D5402" s="43">
        <v>380</v>
      </c>
      <c r="E5402" s="43"/>
      <c r="F5402" s="48">
        <f t="shared" si="87"/>
        <v>282</v>
      </c>
    </row>
    <row r="5403" spans="1:9" x14ac:dyDescent="0.3">
      <c r="A5403" s="45">
        <v>43357</v>
      </c>
      <c r="B5403" s="761" t="s">
        <v>3444</v>
      </c>
      <c r="C5403" s="762"/>
      <c r="D5403" s="71"/>
      <c r="E5403" s="72">
        <v>100000</v>
      </c>
      <c r="F5403" s="48">
        <f t="shared" si="87"/>
        <v>100282</v>
      </c>
      <c r="I5403" s="182"/>
    </row>
    <row r="5404" spans="1:9" x14ac:dyDescent="0.3">
      <c r="A5404" s="45">
        <v>43357</v>
      </c>
      <c r="B5404" s="5" t="s">
        <v>58</v>
      </c>
      <c r="C5404" s="5" t="s">
        <v>3143</v>
      </c>
      <c r="D5404" s="43">
        <v>40000</v>
      </c>
      <c r="E5404" s="43"/>
      <c r="F5404" s="48">
        <f t="shared" si="87"/>
        <v>60282</v>
      </c>
    </row>
    <row r="5405" spans="1:9" x14ac:dyDescent="0.3">
      <c r="A5405" s="45">
        <v>43357</v>
      </c>
      <c r="B5405" s="5" t="s">
        <v>110</v>
      </c>
      <c r="C5405" s="5" t="s">
        <v>2311</v>
      </c>
      <c r="D5405" s="43">
        <v>16550</v>
      </c>
      <c r="E5405" s="43"/>
      <c r="F5405" s="48">
        <f t="shared" si="87"/>
        <v>43732</v>
      </c>
    </row>
    <row r="5406" spans="1:9" x14ac:dyDescent="0.3">
      <c r="A5406" s="45">
        <v>43357</v>
      </c>
      <c r="B5406" s="5" t="s">
        <v>28</v>
      </c>
      <c r="C5406" s="5" t="s">
        <v>4254</v>
      </c>
      <c r="D5406" s="43">
        <v>15000</v>
      </c>
      <c r="E5406" s="43"/>
      <c r="F5406" s="48">
        <f t="shared" si="87"/>
        <v>28732</v>
      </c>
    </row>
    <row r="5407" spans="1:9" x14ac:dyDescent="0.3">
      <c r="A5407" s="45">
        <v>43357</v>
      </c>
      <c r="B5407" s="5" t="s">
        <v>84</v>
      </c>
      <c r="C5407" s="5" t="s">
        <v>4255</v>
      </c>
      <c r="D5407" s="43">
        <v>4000</v>
      </c>
      <c r="E5407" s="43"/>
      <c r="F5407" s="48">
        <f t="shared" si="87"/>
        <v>24732</v>
      </c>
    </row>
    <row r="5408" spans="1:9" x14ac:dyDescent="0.3">
      <c r="A5408" s="45">
        <v>43357</v>
      </c>
      <c r="B5408" s="5" t="s">
        <v>84</v>
      </c>
      <c r="C5408" s="61" t="s">
        <v>4256</v>
      </c>
      <c r="D5408" s="43">
        <v>500</v>
      </c>
      <c r="E5408" s="43"/>
      <c r="F5408" s="48">
        <f t="shared" si="87"/>
        <v>24232</v>
      </c>
    </row>
    <row r="5409" spans="1:6" x14ac:dyDescent="0.3">
      <c r="A5409" s="45">
        <v>43357</v>
      </c>
      <c r="B5409" s="5" t="s">
        <v>4257</v>
      </c>
      <c r="C5409" s="5" t="s">
        <v>4258</v>
      </c>
      <c r="D5409" s="43">
        <v>7550</v>
      </c>
      <c r="E5409" s="43"/>
      <c r="F5409" s="48">
        <f t="shared" si="87"/>
        <v>16682</v>
      </c>
    </row>
    <row r="5410" spans="1:6" x14ac:dyDescent="0.3">
      <c r="A5410" s="45">
        <v>43357</v>
      </c>
      <c r="B5410" s="5" t="s">
        <v>4259</v>
      </c>
      <c r="C5410" s="5" t="s">
        <v>4260</v>
      </c>
      <c r="D5410" s="43">
        <v>1000</v>
      </c>
      <c r="E5410" s="43"/>
      <c r="F5410" s="48">
        <f t="shared" si="87"/>
        <v>15682</v>
      </c>
    </row>
    <row r="5411" spans="1:6" x14ac:dyDescent="0.3">
      <c r="A5411" s="45">
        <v>43357</v>
      </c>
      <c r="B5411" s="5" t="s">
        <v>4240</v>
      </c>
      <c r="C5411" s="5" t="s">
        <v>3106</v>
      </c>
      <c r="D5411" s="43">
        <v>8000</v>
      </c>
      <c r="E5411" s="43"/>
      <c r="F5411" s="48">
        <f t="shared" si="87"/>
        <v>7682</v>
      </c>
    </row>
    <row r="5412" spans="1:6" x14ac:dyDescent="0.3">
      <c r="A5412" s="45">
        <v>43357</v>
      </c>
      <c r="B5412" s="5" t="s">
        <v>2594</v>
      </c>
      <c r="C5412" s="5" t="s">
        <v>4192</v>
      </c>
      <c r="D5412" s="43">
        <v>5000</v>
      </c>
      <c r="E5412" s="43"/>
      <c r="F5412" s="48">
        <f t="shared" si="87"/>
        <v>2682</v>
      </c>
    </row>
    <row r="5413" spans="1:6" x14ac:dyDescent="0.3">
      <c r="A5413" s="45">
        <v>43358</v>
      </c>
      <c r="B5413" s="5" t="s">
        <v>3559</v>
      </c>
      <c r="C5413" s="5" t="s">
        <v>4161</v>
      </c>
      <c r="D5413" s="43">
        <v>500</v>
      </c>
      <c r="E5413" s="43"/>
      <c r="F5413" s="48">
        <f t="shared" si="87"/>
        <v>2182</v>
      </c>
    </row>
    <row r="5414" spans="1:6" x14ac:dyDescent="0.3">
      <c r="A5414" s="45">
        <v>43358</v>
      </c>
      <c r="B5414" s="5" t="s">
        <v>84</v>
      </c>
      <c r="C5414" s="5" t="s">
        <v>4261</v>
      </c>
      <c r="D5414" s="43">
        <v>1000</v>
      </c>
      <c r="E5414" s="43"/>
      <c r="F5414" s="48">
        <f t="shared" si="87"/>
        <v>1182</v>
      </c>
    </row>
    <row r="5415" spans="1:6" x14ac:dyDescent="0.3">
      <c r="A5415" s="45">
        <v>43360</v>
      </c>
      <c r="B5415" s="5" t="s">
        <v>25</v>
      </c>
      <c r="C5415" s="5" t="s">
        <v>4263</v>
      </c>
      <c r="D5415" s="43">
        <f>30+250</f>
        <v>280</v>
      </c>
      <c r="E5415" s="43"/>
      <c r="F5415" s="48">
        <f t="shared" si="87"/>
        <v>902</v>
      </c>
    </row>
    <row r="5416" spans="1:6" x14ac:dyDescent="0.3">
      <c r="A5416" s="45">
        <v>43360</v>
      </c>
      <c r="B5416" s="5" t="s">
        <v>14</v>
      </c>
      <c r="C5416" s="5" t="s">
        <v>4264</v>
      </c>
      <c r="D5416" s="43">
        <v>80</v>
      </c>
      <c r="E5416" s="43"/>
      <c r="F5416" s="48">
        <f t="shared" si="87"/>
        <v>822</v>
      </c>
    </row>
    <row r="5417" spans="1:6" x14ac:dyDescent="0.3">
      <c r="A5417" s="45">
        <v>43360</v>
      </c>
      <c r="B5417" s="5" t="s">
        <v>541</v>
      </c>
      <c r="C5417" s="5" t="s">
        <v>4265</v>
      </c>
      <c r="D5417" s="43">
        <f>160+130+340</f>
        <v>630</v>
      </c>
      <c r="E5417" s="43"/>
      <c r="F5417" s="48">
        <f t="shared" si="87"/>
        <v>192</v>
      </c>
    </row>
    <row r="5418" spans="1:6" x14ac:dyDescent="0.3">
      <c r="A5418" s="45">
        <v>43360</v>
      </c>
      <c r="B5418" s="5" t="s">
        <v>110</v>
      </c>
      <c r="C5418" s="5" t="s">
        <v>87</v>
      </c>
      <c r="D5418" s="43">
        <f>120+100</f>
        <v>220</v>
      </c>
      <c r="E5418" s="43"/>
      <c r="F5418" s="48">
        <f t="shared" si="87"/>
        <v>-28</v>
      </c>
    </row>
    <row r="5419" spans="1:6" x14ac:dyDescent="0.3">
      <c r="A5419" s="45">
        <v>43362</v>
      </c>
      <c r="B5419" s="756" t="s">
        <v>4267</v>
      </c>
      <c r="C5419" s="756"/>
      <c r="D5419" s="71"/>
      <c r="E5419" s="72">
        <v>25000</v>
      </c>
      <c r="F5419" s="48">
        <f t="shared" si="87"/>
        <v>24972</v>
      </c>
    </row>
    <row r="5420" spans="1:6" x14ac:dyDescent="0.3">
      <c r="A5420" s="45">
        <v>43362</v>
      </c>
      <c r="B5420" s="5" t="s">
        <v>2674</v>
      </c>
      <c r="C5420" s="5" t="s">
        <v>4266</v>
      </c>
      <c r="D5420" s="43">
        <v>480</v>
      </c>
      <c r="E5420" s="43"/>
      <c r="F5420" s="48">
        <f t="shared" si="87"/>
        <v>24492</v>
      </c>
    </row>
    <row r="5421" spans="1:6" x14ac:dyDescent="0.3">
      <c r="A5421" s="45">
        <v>43362</v>
      </c>
      <c r="B5421" s="756" t="s">
        <v>4106</v>
      </c>
      <c r="C5421" s="756"/>
      <c r="D5421" s="71"/>
      <c r="E5421" s="72">
        <v>50000</v>
      </c>
      <c r="F5421" s="48">
        <f t="shared" si="87"/>
        <v>74492</v>
      </c>
    </row>
    <row r="5422" spans="1:6" x14ac:dyDescent="0.3">
      <c r="A5422" s="45">
        <v>43362</v>
      </c>
      <c r="B5422" s="5" t="s">
        <v>14</v>
      </c>
      <c r="C5422" s="5" t="s">
        <v>4293</v>
      </c>
      <c r="D5422" s="43">
        <v>40000</v>
      </c>
      <c r="E5422" s="43"/>
      <c r="F5422" s="48">
        <f t="shared" si="87"/>
        <v>34492</v>
      </c>
    </row>
    <row r="5423" spans="1:6" x14ac:dyDescent="0.3">
      <c r="A5423" s="45">
        <v>43362</v>
      </c>
      <c r="B5423" s="5" t="s">
        <v>84</v>
      </c>
      <c r="C5423" s="5" t="s">
        <v>3939</v>
      </c>
      <c r="D5423" s="43">
        <v>3000</v>
      </c>
      <c r="E5423" s="43"/>
      <c r="F5423" s="48">
        <f t="shared" si="87"/>
        <v>31492</v>
      </c>
    </row>
    <row r="5424" spans="1:6" x14ac:dyDescent="0.3">
      <c r="A5424" s="45">
        <v>43362</v>
      </c>
      <c r="B5424" s="5" t="s">
        <v>84</v>
      </c>
      <c r="C5424" s="5" t="s">
        <v>4268</v>
      </c>
      <c r="D5424" s="43">
        <v>5000</v>
      </c>
      <c r="E5424" s="43"/>
      <c r="F5424" s="48">
        <f t="shared" si="87"/>
        <v>26492</v>
      </c>
    </row>
    <row r="5425" spans="1:6" x14ac:dyDescent="0.3">
      <c r="A5425" s="45">
        <v>43362</v>
      </c>
      <c r="B5425" s="5" t="s">
        <v>3734</v>
      </c>
      <c r="C5425" s="5" t="s">
        <v>4269</v>
      </c>
      <c r="D5425" s="43">
        <v>1200</v>
      </c>
      <c r="E5425" s="43"/>
      <c r="F5425" s="48">
        <f t="shared" si="87"/>
        <v>25292</v>
      </c>
    </row>
    <row r="5426" spans="1:6" x14ac:dyDescent="0.3">
      <c r="A5426" s="45">
        <v>43362</v>
      </c>
      <c r="B5426" s="5" t="s">
        <v>4270</v>
      </c>
      <c r="C5426" s="5" t="s">
        <v>40</v>
      </c>
      <c r="D5426" s="43">
        <v>20800</v>
      </c>
      <c r="E5426" s="43"/>
      <c r="F5426" s="48">
        <f t="shared" si="87"/>
        <v>4492</v>
      </c>
    </row>
    <row r="5427" spans="1:6" x14ac:dyDescent="0.3">
      <c r="A5427" s="45">
        <v>43362</v>
      </c>
      <c r="B5427" s="5" t="s">
        <v>25</v>
      </c>
      <c r="C5427" s="5" t="s">
        <v>4271</v>
      </c>
      <c r="D5427" s="43">
        <v>230</v>
      </c>
      <c r="E5427" s="43"/>
      <c r="F5427" s="48">
        <f t="shared" si="87"/>
        <v>4262</v>
      </c>
    </row>
    <row r="5428" spans="1:6" x14ac:dyDescent="0.3">
      <c r="A5428" s="45">
        <v>43362</v>
      </c>
      <c r="B5428" s="5" t="s">
        <v>25</v>
      </c>
      <c r="C5428" s="5" t="s">
        <v>4272</v>
      </c>
      <c r="D5428" s="43">
        <v>120</v>
      </c>
      <c r="E5428" s="43"/>
      <c r="F5428" s="48">
        <f t="shared" si="87"/>
        <v>4142</v>
      </c>
    </row>
    <row r="5429" spans="1:6" x14ac:dyDescent="0.3">
      <c r="A5429" s="45">
        <v>43362</v>
      </c>
      <c r="B5429" s="5" t="s">
        <v>247</v>
      </c>
      <c r="C5429" s="5" t="s">
        <v>4273</v>
      </c>
      <c r="D5429" s="43">
        <v>160</v>
      </c>
      <c r="E5429" s="43"/>
      <c r="F5429" s="48">
        <f t="shared" si="87"/>
        <v>3982</v>
      </c>
    </row>
    <row r="5430" spans="1:6" x14ac:dyDescent="0.3">
      <c r="A5430" s="45">
        <v>43362</v>
      </c>
      <c r="B5430" s="5" t="s">
        <v>2674</v>
      </c>
      <c r="C5430" s="5" t="s">
        <v>4274</v>
      </c>
      <c r="D5430" s="43">
        <v>320</v>
      </c>
      <c r="E5430" s="43"/>
      <c r="F5430" s="48">
        <f t="shared" si="87"/>
        <v>3662</v>
      </c>
    </row>
    <row r="5431" spans="1:6" x14ac:dyDescent="0.3">
      <c r="A5431" s="45">
        <v>43362</v>
      </c>
      <c r="B5431" s="5" t="s">
        <v>110</v>
      </c>
      <c r="C5431" s="5" t="s">
        <v>4275</v>
      </c>
      <c r="D5431" s="43">
        <f>60+170</f>
        <v>230</v>
      </c>
      <c r="E5431" s="43"/>
      <c r="F5431" s="48">
        <f t="shared" si="87"/>
        <v>3432</v>
      </c>
    </row>
    <row r="5432" spans="1:6" x14ac:dyDescent="0.3">
      <c r="A5432" s="45">
        <v>43362</v>
      </c>
      <c r="B5432" s="5" t="s">
        <v>25</v>
      </c>
      <c r="C5432" s="5" t="s">
        <v>4276</v>
      </c>
      <c r="D5432" s="43">
        <f>60+380+110+70</f>
        <v>620</v>
      </c>
      <c r="E5432" s="43"/>
      <c r="F5432" s="48">
        <f t="shared" si="87"/>
        <v>2812</v>
      </c>
    </row>
    <row r="5433" spans="1:6" x14ac:dyDescent="0.3">
      <c r="A5433" s="45">
        <v>43362</v>
      </c>
      <c r="B5433" s="5" t="s">
        <v>2948</v>
      </c>
      <c r="C5433" s="5" t="s">
        <v>4277</v>
      </c>
      <c r="D5433" s="43">
        <v>285</v>
      </c>
      <c r="E5433" s="43"/>
      <c r="F5433" s="48">
        <f t="shared" si="87"/>
        <v>2527</v>
      </c>
    </row>
    <row r="5434" spans="1:6" x14ac:dyDescent="0.3">
      <c r="A5434" s="45">
        <v>43362</v>
      </c>
      <c r="B5434" s="5" t="s">
        <v>25</v>
      </c>
      <c r="C5434" s="5" t="s">
        <v>4278</v>
      </c>
      <c r="D5434" s="43">
        <v>520</v>
      </c>
      <c r="E5434" s="43"/>
      <c r="F5434" s="48">
        <f t="shared" si="87"/>
        <v>2007</v>
      </c>
    </row>
    <row r="5435" spans="1:6" x14ac:dyDescent="0.3">
      <c r="A5435" s="45">
        <v>43362</v>
      </c>
      <c r="B5435" s="5" t="s">
        <v>4036</v>
      </c>
      <c r="C5435" s="5" t="s">
        <v>4279</v>
      </c>
      <c r="D5435" s="43">
        <v>1000</v>
      </c>
      <c r="E5435" s="43"/>
      <c r="F5435" s="48">
        <f t="shared" si="87"/>
        <v>1007</v>
      </c>
    </row>
    <row r="5436" spans="1:6" x14ac:dyDescent="0.3">
      <c r="A5436" s="45">
        <v>43365</v>
      </c>
      <c r="B5436" s="5" t="s">
        <v>84</v>
      </c>
      <c r="C5436" s="5" t="s">
        <v>4280</v>
      </c>
      <c r="D5436" s="43">
        <v>800</v>
      </c>
      <c r="E5436" s="43"/>
      <c r="F5436" s="48">
        <f t="shared" si="87"/>
        <v>207</v>
      </c>
    </row>
    <row r="5437" spans="1:6" x14ac:dyDescent="0.3">
      <c r="A5437" s="45">
        <v>43367</v>
      </c>
      <c r="B5437" s="756" t="s">
        <v>3590</v>
      </c>
      <c r="C5437" s="756"/>
      <c r="D5437" s="71"/>
      <c r="E5437" s="72">
        <v>50000</v>
      </c>
      <c r="F5437" s="48">
        <f t="shared" si="87"/>
        <v>50207</v>
      </c>
    </row>
    <row r="5438" spans="1:6" x14ac:dyDescent="0.3">
      <c r="A5438" s="45">
        <v>43367</v>
      </c>
      <c r="B5438" s="5" t="s">
        <v>2096</v>
      </c>
      <c r="C5438" s="5" t="s">
        <v>294</v>
      </c>
      <c r="D5438" s="43">
        <v>2000</v>
      </c>
      <c r="E5438" s="43"/>
      <c r="F5438" s="48">
        <f t="shared" si="87"/>
        <v>48207</v>
      </c>
    </row>
    <row r="5439" spans="1:6" x14ac:dyDescent="0.3">
      <c r="A5439" s="45">
        <v>43367</v>
      </c>
      <c r="B5439" s="5" t="s">
        <v>58</v>
      </c>
      <c r="C5439" s="5" t="s">
        <v>3143</v>
      </c>
      <c r="D5439" s="43">
        <v>10000</v>
      </c>
      <c r="E5439" s="43"/>
      <c r="F5439" s="48">
        <f t="shared" si="87"/>
        <v>38207</v>
      </c>
    </row>
    <row r="5440" spans="1:6" x14ac:dyDescent="0.3">
      <c r="A5440" s="45">
        <v>43367</v>
      </c>
      <c r="B5440" s="5" t="s">
        <v>110</v>
      </c>
      <c r="C5440" s="5" t="s">
        <v>294</v>
      </c>
      <c r="D5440" s="43">
        <v>21500</v>
      </c>
      <c r="E5440" s="43"/>
      <c r="F5440" s="48">
        <f t="shared" si="87"/>
        <v>16707</v>
      </c>
    </row>
    <row r="5441" spans="1:6" x14ac:dyDescent="0.3">
      <c r="A5441" s="45">
        <v>43367</v>
      </c>
      <c r="B5441" s="5" t="s">
        <v>2594</v>
      </c>
      <c r="C5441" s="5" t="s">
        <v>4283</v>
      </c>
      <c r="D5441" s="43">
        <v>4000</v>
      </c>
      <c r="E5441" s="43"/>
      <c r="F5441" s="48">
        <f t="shared" si="87"/>
        <v>12707</v>
      </c>
    </row>
    <row r="5442" spans="1:6" x14ac:dyDescent="0.3">
      <c r="A5442" s="45">
        <v>43367</v>
      </c>
      <c r="B5442" s="5" t="s">
        <v>2594</v>
      </c>
      <c r="C5442" s="5" t="s">
        <v>4282</v>
      </c>
      <c r="D5442" s="43">
        <v>2000</v>
      </c>
      <c r="E5442" s="43"/>
      <c r="F5442" s="48">
        <f t="shared" si="87"/>
        <v>10707</v>
      </c>
    </row>
    <row r="5443" spans="1:6" x14ac:dyDescent="0.3">
      <c r="A5443" s="45">
        <v>43368</v>
      </c>
      <c r="B5443" s="5" t="s">
        <v>84</v>
      </c>
      <c r="C5443" s="5" t="s">
        <v>4285</v>
      </c>
      <c r="D5443" s="43">
        <v>5000</v>
      </c>
      <c r="E5443" s="43"/>
      <c r="F5443" s="48">
        <f t="shared" si="87"/>
        <v>5707</v>
      </c>
    </row>
    <row r="5444" spans="1:6" x14ac:dyDescent="0.3">
      <c r="A5444" s="45">
        <v>43368</v>
      </c>
      <c r="B5444" s="5" t="s">
        <v>93</v>
      </c>
      <c r="C5444" s="5" t="s">
        <v>3902</v>
      </c>
      <c r="D5444" s="43">
        <v>4000</v>
      </c>
      <c r="E5444" s="43"/>
      <c r="F5444" s="48">
        <f t="shared" si="87"/>
        <v>1707</v>
      </c>
    </row>
    <row r="5445" spans="1:6" x14ac:dyDescent="0.3">
      <c r="A5445" s="45">
        <v>43368</v>
      </c>
      <c r="B5445" s="5" t="s">
        <v>1787</v>
      </c>
      <c r="C5445" s="5" t="s">
        <v>4284</v>
      </c>
      <c r="D5445" s="43">
        <v>1500</v>
      </c>
      <c r="E5445" s="43"/>
      <c r="F5445" s="48">
        <f t="shared" si="87"/>
        <v>207</v>
      </c>
    </row>
    <row r="5446" spans="1:6" x14ac:dyDescent="0.3">
      <c r="A5446" s="45">
        <v>43370</v>
      </c>
      <c r="B5446" s="756" t="s">
        <v>4286</v>
      </c>
      <c r="C5446" s="756"/>
      <c r="D5446" s="71"/>
      <c r="E5446" s="72">
        <v>22000</v>
      </c>
      <c r="F5446" s="48">
        <f t="shared" si="87"/>
        <v>22207</v>
      </c>
    </row>
    <row r="5447" spans="1:6" x14ac:dyDescent="0.3">
      <c r="A5447" s="45">
        <v>43370</v>
      </c>
      <c r="B5447" s="5" t="s">
        <v>2594</v>
      </c>
      <c r="C5447" s="5" t="s">
        <v>4287</v>
      </c>
      <c r="D5447" s="43">
        <v>8000</v>
      </c>
      <c r="E5447" s="43"/>
      <c r="F5447" s="48">
        <f t="shared" si="87"/>
        <v>14207</v>
      </c>
    </row>
    <row r="5448" spans="1:6" x14ac:dyDescent="0.3">
      <c r="A5448" s="45">
        <v>43370</v>
      </c>
      <c r="B5448" s="5" t="s">
        <v>58</v>
      </c>
      <c r="C5448" s="5" t="s">
        <v>4302</v>
      </c>
      <c r="D5448" s="43">
        <v>7000</v>
      </c>
      <c r="E5448" s="43"/>
      <c r="F5448" s="48">
        <f t="shared" si="87"/>
        <v>7207</v>
      </c>
    </row>
    <row r="5449" spans="1:6" x14ac:dyDescent="0.3">
      <c r="A5449" s="45">
        <v>43370</v>
      </c>
      <c r="B5449" s="5" t="s">
        <v>2346</v>
      </c>
      <c r="C5449" s="5" t="s">
        <v>3332</v>
      </c>
      <c r="D5449" s="43">
        <v>5000</v>
      </c>
      <c r="E5449" s="43"/>
      <c r="F5449" s="48">
        <f t="shared" si="87"/>
        <v>2207</v>
      </c>
    </row>
    <row r="5450" spans="1:6" x14ac:dyDescent="0.3">
      <c r="A5450" s="45">
        <v>43370</v>
      </c>
      <c r="B5450" s="5" t="s">
        <v>57</v>
      </c>
      <c r="C5450" s="5" t="s">
        <v>4586</v>
      </c>
      <c r="D5450" s="43">
        <v>500</v>
      </c>
      <c r="E5450" s="43"/>
      <c r="F5450" s="48">
        <f t="shared" si="87"/>
        <v>1707</v>
      </c>
    </row>
    <row r="5451" spans="1:6" x14ac:dyDescent="0.3">
      <c r="A5451" s="45">
        <v>43370</v>
      </c>
      <c r="B5451" s="756" t="s">
        <v>4286</v>
      </c>
      <c r="C5451" s="756"/>
      <c r="D5451" s="71"/>
      <c r="E5451" s="72">
        <f>50000-32000</f>
        <v>18000</v>
      </c>
      <c r="F5451" s="48">
        <f t="shared" ref="F5451:F5514" si="88">F5450-D5451+E5451</f>
        <v>19707</v>
      </c>
    </row>
    <row r="5452" spans="1:6" x14ac:dyDescent="0.3">
      <c r="A5452" s="45">
        <v>43370</v>
      </c>
      <c r="B5452" s="5" t="s">
        <v>84</v>
      </c>
      <c r="C5452" s="5" t="s">
        <v>4288</v>
      </c>
      <c r="D5452" s="43">
        <v>2000</v>
      </c>
      <c r="E5452" s="43"/>
      <c r="F5452" s="48">
        <f t="shared" si="88"/>
        <v>17707</v>
      </c>
    </row>
    <row r="5453" spans="1:6" x14ac:dyDescent="0.3">
      <c r="A5453" s="45">
        <v>43371</v>
      </c>
      <c r="B5453" s="5" t="s">
        <v>693</v>
      </c>
      <c r="C5453" s="5" t="s">
        <v>4289</v>
      </c>
      <c r="D5453" s="43">
        <v>2000</v>
      </c>
      <c r="E5453" s="43"/>
      <c r="F5453" s="48">
        <f t="shared" si="88"/>
        <v>15707</v>
      </c>
    </row>
    <row r="5454" spans="1:6" x14ac:dyDescent="0.3">
      <c r="A5454" s="45">
        <v>43371</v>
      </c>
      <c r="B5454" s="5" t="s">
        <v>84</v>
      </c>
      <c r="C5454" s="5" t="s">
        <v>4290</v>
      </c>
      <c r="D5454" s="43">
        <v>9000</v>
      </c>
      <c r="E5454" s="43"/>
      <c r="F5454" s="48">
        <f t="shared" si="88"/>
        <v>6707</v>
      </c>
    </row>
    <row r="5455" spans="1:6" x14ac:dyDescent="0.3">
      <c r="A5455" s="45">
        <v>43371</v>
      </c>
      <c r="B5455" s="5" t="s">
        <v>2086</v>
      </c>
      <c r="C5455" s="5" t="s">
        <v>4291</v>
      </c>
      <c r="D5455" s="43">
        <v>3000</v>
      </c>
      <c r="E5455" s="43"/>
      <c r="F5455" s="48">
        <f t="shared" si="88"/>
        <v>3707</v>
      </c>
    </row>
    <row r="5456" spans="1:6" ht="56.25" x14ac:dyDescent="0.3">
      <c r="A5456" s="45">
        <v>43372</v>
      </c>
      <c r="B5456" s="5" t="s">
        <v>25</v>
      </c>
      <c r="C5456" s="92" t="s">
        <v>4295</v>
      </c>
      <c r="D5456" s="43">
        <f>180+84+63+110+100+30+80+130+120+200+80+150+110+70+40</f>
        <v>1547</v>
      </c>
      <c r="E5456" s="43"/>
      <c r="F5456" s="48">
        <f t="shared" si="88"/>
        <v>2160</v>
      </c>
    </row>
    <row r="5457" spans="1:9" x14ac:dyDescent="0.3">
      <c r="A5457" s="45">
        <v>43372</v>
      </c>
      <c r="B5457" s="5" t="s">
        <v>4039</v>
      </c>
      <c r="C5457" s="5" t="s">
        <v>2435</v>
      </c>
      <c r="D5457" s="43">
        <v>600</v>
      </c>
      <c r="E5457" s="43"/>
      <c r="F5457" s="48">
        <f t="shared" si="88"/>
        <v>1560</v>
      </c>
    </row>
    <row r="5458" spans="1:9" x14ac:dyDescent="0.3">
      <c r="A5458" s="45">
        <v>43372</v>
      </c>
      <c r="B5458" s="5" t="s">
        <v>1616</v>
      </c>
      <c r="C5458" s="5" t="s">
        <v>2435</v>
      </c>
      <c r="D5458" s="43">
        <v>520</v>
      </c>
      <c r="E5458" s="43"/>
      <c r="F5458" s="48">
        <f t="shared" si="88"/>
        <v>1040</v>
      </c>
    </row>
    <row r="5459" spans="1:9" x14ac:dyDescent="0.3">
      <c r="A5459" s="45">
        <v>43372</v>
      </c>
      <c r="B5459" s="5" t="s">
        <v>2674</v>
      </c>
      <c r="C5459" s="5" t="s">
        <v>4296</v>
      </c>
      <c r="D5459" s="43">
        <v>450</v>
      </c>
      <c r="E5459" s="43"/>
      <c r="F5459" s="48">
        <f t="shared" si="88"/>
        <v>590</v>
      </c>
    </row>
    <row r="5460" spans="1:9" x14ac:dyDescent="0.3">
      <c r="A5460" s="45">
        <v>43371</v>
      </c>
      <c r="B5460" s="756" t="s">
        <v>4299</v>
      </c>
      <c r="C5460" s="756"/>
      <c r="D5460" s="71"/>
      <c r="E5460" s="72">
        <f>76800</f>
        <v>76800</v>
      </c>
      <c r="F5460" s="48">
        <f t="shared" si="88"/>
        <v>77390</v>
      </c>
    </row>
    <row r="5461" spans="1:9" x14ac:dyDescent="0.3">
      <c r="A5461" s="45">
        <v>43370</v>
      </c>
      <c r="B5461" s="756" t="s">
        <v>4300</v>
      </c>
      <c r="C5461" s="756"/>
      <c r="D5461" s="71"/>
      <c r="E5461" s="72">
        <v>100000</v>
      </c>
      <c r="F5461" s="48">
        <f t="shared" si="88"/>
        <v>177390</v>
      </c>
    </row>
    <row r="5462" spans="1:9" x14ac:dyDescent="0.3">
      <c r="A5462" s="45">
        <v>43372</v>
      </c>
      <c r="B5462" s="5" t="s">
        <v>2674</v>
      </c>
      <c r="C5462" s="5" t="s">
        <v>4297</v>
      </c>
      <c r="D5462" s="43">
        <v>900</v>
      </c>
      <c r="E5462" s="43"/>
      <c r="F5462" s="48">
        <f t="shared" si="88"/>
        <v>176490</v>
      </c>
      <c r="I5462" s="135"/>
    </row>
    <row r="5463" spans="1:9" x14ac:dyDescent="0.3">
      <c r="A5463" s="45">
        <v>43372</v>
      </c>
      <c r="B5463" s="5" t="s">
        <v>110</v>
      </c>
      <c r="C5463" s="5" t="s">
        <v>4298</v>
      </c>
      <c r="D5463" s="43">
        <v>4320</v>
      </c>
      <c r="E5463" s="43"/>
      <c r="F5463" s="48">
        <f t="shared" si="88"/>
        <v>172170</v>
      </c>
    </row>
    <row r="5464" spans="1:9" x14ac:dyDescent="0.3">
      <c r="A5464" s="45">
        <v>43372</v>
      </c>
      <c r="B5464" s="5" t="s">
        <v>2096</v>
      </c>
      <c r="C5464" s="5" t="s">
        <v>2349</v>
      </c>
      <c r="D5464" s="43">
        <v>40000</v>
      </c>
      <c r="E5464" s="43"/>
      <c r="F5464" s="48">
        <f t="shared" si="88"/>
        <v>132170</v>
      </c>
    </row>
    <row r="5465" spans="1:9" x14ac:dyDescent="0.3">
      <c r="A5465" s="45">
        <v>43372</v>
      </c>
      <c r="B5465" s="5" t="s">
        <v>58</v>
      </c>
      <c r="C5465" s="5" t="s">
        <v>4301</v>
      </c>
      <c r="D5465" s="43">
        <v>40000</v>
      </c>
      <c r="E5465" s="43"/>
      <c r="F5465" s="48">
        <f t="shared" si="88"/>
        <v>92170</v>
      </c>
    </row>
    <row r="5466" spans="1:9" x14ac:dyDescent="0.3">
      <c r="A5466" s="45">
        <v>43372</v>
      </c>
      <c r="B5466" s="5" t="s">
        <v>1616</v>
      </c>
      <c r="C5466" s="5" t="s">
        <v>4303</v>
      </c>
      <c r="D5466" s="43">
        <v>4700</v>
      </c>
      <c r="E5466" s="43"/>
      <c r="F5466" s="48">
        <f t="shared" si="88"/>
        <v>87470</v>
      </c>
    </row>
    <row r="5467" spans="1:9" x14ac:dyDescent="0.3">
      <c r="A5467" s="45">
        <v>43372</v>
      </c>
      <c r="B5467" s="5" t="s">
        <v>14</v>
      </c>
      <c r="C5467" s="5" t="s">
        <v>4305</v>
      </c>
      <c r="D5467" s="43">
        <v>25000</v>
      </c>
      <c r="E5467" s="43"/>
      <c r="F5467" s="48">
        <f t="shared" si="88"/>
        <v>62470</v>
      </c>
    </row>
    <row r="5468" spans="1:9" x14ac:dyDescent="0.3">
      <c r="A5468" s="45">
        <v>43374</v>
      </c>
      <c r="B5468" s="5" t="s">
        <v>2570</v>
      </c>
      <c r="C5468" s="5" t="s">
        <v>4028</v>
      </c>
      <c r="D5468" s="43">
        <v>200</v>
      </c>
      <c r="E5468" s="43"/>
      <c r="F5468" s="48">
        <f t="shared" si="88"/>
        <v>62270</v>
      </c>
    </row>
    <row r="5469" spans="1:9" x14ac:dyDescent="0.3">
      <c r="A5469" s="45">
        <v>43374</v>
      </c>
      <c r="B5469" s="5" t="s">
        <v>57</v>
      </c>
      <c r="C5469" s="5" t="s">
        <v>4587</v>
      </c>
      <c r="D5469" s="43">
        <v>500</v>
      </c>
      <c r="E5469" s="43"/>
      <c r="F5469" s="48">
        <f t="shared" si="88"/>
        <v>61770</v>
      </c>
    </row>
    <row r="5470" spans="1:9" x14ac:dyDescent="0.3">
      <c r="A5470" s="45">
        <v>43374</v>
      </c>
      <c r="B5470" s="5" t="s">
        <v>3825</v>
      </c>
      <c r="C5470" s="5" t="s">
        <v>4304</v>
      </c>
      <c r="D5470" s="43">
        <v>1000</v>
      </c>
      <c r="E5470" s="43"/>
      <c r="F5470" s="48">
        <f t="shared" si="88"/>
        <v>60770</v>
      </c>
    </row>
    <row r="5471" spans="1:9" ht="56.25" x14ac:dyDescent="0.3">
      <c r="A5471" s="45">
        <v>43374</v>
      </c>
      <c r="B5471" s="5" t="s">
        <v>58</v>
      </c>
      <c r="C5471" s="92" t="s">
        <v>4306</v>
      </c>
      <c r="D5471" s="43">
        <v>8000</v>
      </c>
      <c r="E5471" s="43"/>
      <c r="F5471" s="48">
        <f t="shared" si="88"/>
        <v>52770</v>
      </c>
    </row>
    <row r="5472" spans="1:9" x14ac:dyDescent="0.3">
      <c r="A5472" s="45">
        <v>43374</v>
      </c>
      <c r="B5472" s="5" t="s">
        <v>2086</v>
      </c>
      <c r="C5472" s="5" t="s">
        <v>4307</v>
      </c>
      <c r="D5472" s="43">
        <v>2000</v>
      </c>
      <c r="E5472" s="43"/>
      <c r="F5472" s="48">
        <f t="shared" si="88"/>
        <v>50770</v>
      </c>
    </row>
    <row r="5473" spans="1:6" x14ac:dyDescent="0.3">
      <c r="A5473" s="45">
        <v>43374</v>
      </c>
      <c r="B5473" s="5" t="s">
        <v>4308</v>
      </c>
      <c r="C5473" s="5" t="s">
        <v>4309</v>
      </c>
      <c r="D5473" s="43">
        <v>14000</v>
      </c>
      <c r="E5473" s="43"/>
      <c r="F5473" s="48">
        <f t="shared" si="88"/>
        <v>36770</v>
      </c>
    </row>
    <row r="5474" spans="1:6" x14ac:dyDescent="0.3">
      <c r="A5474" s="45">
        <v>43374</v>
      </c>
      <c r="B5474" s="5" t="s">
        <v>14</v>
      </c>
      <c r="C5474" s="5" t="s">
        <v>4310</v>
      </c>
      <c r="D5474" s="168">
        <v>20000</v>
      </c>
      <c r="E5474" s="43"/>
      <c r="F5474" s="48">
        <f t="shared" si="88"/>
        <v>16770</v>
      </c>
    </row>
    <row r="5475" spans="1:6" x14ac:dyDescent="0.3">
      <c r="A5475" s="45">
        <v>43374</v>
      </c>
      <c r="B5475" s="5" t="s">
        <v>3970</v>
      </c>
      <c r="C5475" s="5" t="s">
        <v>4311</v>
      </c>
      <c r="D5475" s="43">
        <v>2050</v>
      </c>
      <c r="E5475" s="43"/>
      <c r="F5475" s="48">
        <f t="shared" si="88"/>
        <v>14720</v>
      </c>
    </row>
    <row r="5476" spans="1:6" x14ac:dyDescent="0.3">
      <c r="A5476" s="45">
        <v>43374</v>
      </c>
      <c r="B5476" s="5" t="s">
        <v>4312</v>
      </c>
      <c r="C5476" s="5" t="s">
        <v>4309</v>
      </c>
      <c r="D5476" s="43">
        <v>100</v>
      </c>
      <c r="E5476" s="43"/>
      <c r="F5476" s="48">
        <f t="shared" si="88"/>
        <v>14620</v>
      </c>
    </row>
    <row r="5477" spans="1:6" x14ac:dyDescent="0.3">
      <c r="A5477" s="45">
        <v>43374</v>
      </c>
      <c r="B5477" s="5" t="s">
        <v>541</v>
      </c>
      <c r="C5477" s="5" t="s">
        <v>4313</v>
      </c>
      <c r="D5477" s="43">
        <v>2000</v>
      </c>
      <c r="E5477" s="43"/>
      <c r="F5477" s="48">
        <f t="shared" si="88"/>
        <v>12620</v>
      </c>
    </row>
    <row r="5478" spans="1:6" x14ac:dyDescent="0.3">
      <c r="A5478" s="45">
        <v>43375</v>
      </c>
      <c r="B5478" s="5" t="s">
        <v>58</v>
      </c>
      <c r="C5478" s="5" t="s">
        <v>3143</v>
      </c>
      <c r="D5478" s="43">
        <v>9000</v>
      </c>
      <c r="E5478" s="43"/>
      <c r="F5478" s="48">
        <f t="shared" si="88"/>
        <v>3620</v>
      </c>
    </row>
    <row r="5479" spans="1:6" x14ac:dyDescent="0.3">
      <c r="A5479" s="45">
        <v>43375</v>
      </c>
      <c r="B5479" s="5" t="s">
        <v>4312</v>
      </c>
      <c r="C5479" s="5" t="s">
        <v>3332</v>
      </c>
      <c r="D5479" s="43">
        <v>100</v>
      </c>
      <c r="E5479" s="43"/>
      <c r="F5479" s="48">
        <f t="shared" si="88"/>
        <v>3520</v>
      </c>
    </row>
    <row r="5480" spans="1:6" x14ac:dyDescent="0.3">
      <c r="A5480" s="45">
        <v>43375</v>
      </c>
      <c r="B5480" s="5" t="s">
        <v>3825</v>
      </c>
      <c r="C5480" s="5" t="s">
        <v>4187</v>
      </c>
      <c r="D5480" s="43">
        <v>1000</v>
      </c>
      <c r="E5480" s="43"/>
      <c r="F5480" s="48">
        <f t="shared" si="88"/>
        <v>2520</v>
      </c>
    </row>
    <row r="5481" spans="1:6" x14ac:dyDescent="0.3">
      <c r="A5481" s="45">
        <v>43376</v>
      </c>
      <c r="B5481" s="756" t="s">
        <v>4294</v>
      </c>
      <c r="C5481" s="756"/>
      <c r="D5481" s="71"/>
      <c r="E5481" s="72">
        <f>9000-3900</f>
        <v>5100</v>
      </c>
      <c r="F5481" s="48">
        <f t="shared" si="88"/>
        <v>7620</v>
      </c>
    </row>
    <row r="5482" spans="1:6" x14ac:dyDescent="0.3">
      <c r="A5482" s="45">
        <v>43376</v>
      </c>
      <c r="B5482" s="5" t="s">
        <v>84</v>
      </c>
      <c r="C5482" s="5" t="s">
        <v>4314</v>
      </c>
      <c r="D5482" s="43">
        <v>500</v>
      </c>
      <c r="E5482" s="43"/>
      <c r="F5482" s="48">
        <f t="shared" si="88"/>
        <v>7120</v>
      </c>
    </row>
    <row r="5483" spans="1:6" x14ac:dyDescent="0.3">
      <c r="A5483" s="45">
        <v>43376</v>
      </c>
      <c r="B5483" s="5" t="s">
        <v>2346</v>
      </c>
      <c r="C5483" s="5" t="s">
        <v>40</v>
      </c>
      <c r="D5483" s="43">
        <v>2000</v>
      </c>
      <c r="E5483" s="43"/>
      <c r="F5483" s="48">
        <f t="shared" si="88"/>
        <v>5120</v>
      </c>
    </row>
    <row r="5484" spans="1:6" x14ac:dyDescent="0.3">
      <c r="A5484" s="45">
        <v>43378</v>
      </c>
      <c r="B5484" s="5" t="s">
        <v>25</v>
      </c>
      <c r="C5484" s="5" t="s">
        <v>4315</v>
      </c>
      <c r="D5484" s="43">
        <v>620</v>
      </c>
      <c r="E5484" s="43"/>
      <c r="F5484" s="48">
        <f t="shared" si="88"/>
        <v>4500</v>
      </c>
    </row>
    <row r="5485" spans="1:6" x14ac:dyDescent="0.3">
      <c r="A5485" s="45">
        <v>43379</v>
      </c>
      <c r="B5485" s="756" t="s">
        <v>4267</v>
      </c>
      <c r="C5485" s="756"/>
      <c r="D5485" s="71"/>
      <c r="E5485" s="72">
        <v>22000</v>
      </c>
      <c r="F5485" s="48">
        <f t="shared" si="88"/>
        <v>26500</v>
      </c>
    </row>
    <row r="5486" spans="1:6" x14ac:dyDescent="0.3">
      <c r="A5486" s="45">
        <v>43379</v>
      </c>
      <c r="B5486" s="5" t="s">
        <v>1193</v>
      </c>
      <c r="C5486" s="5" t="s">
        <v>4239</v>
      </c>
      <c r="D5486" s="43">
        <v>20000</v>
      </c>
      <c r="E5486" s="43"/>
      <c r="F5486" s="48">
        <f t="shared" si="88"/>
        <v>6500</v>
      </c>
    </row>
    <row r="5487" spans="1:6" x14ac:dyDescent="0.3">
      <c r="A5487" s="45">
        <v>43379</v>
      </c>
      <c r="B5487" s="5" t="s">
        <v>47</v>
      </c>
      <c r="C5487" s="5" t="s">
        <v>4316</v>
      </c>
      <c r="D5487" s="43">
        <v>2200</v>
      </c>
      <c r="E5487" s="43"/>
      <c r="F5487" s="48">
        <f t="shared" si="88"/>
        <v>4300</v>
      </c>
    </row>
    <row r="5488" spans="1:6" ht="75" x14ac:dyDescent="0.3">
      <c r="A5488" s="45">
        <v>43379</v>
      </c>
      <c r="B5488" s="5" t="s">
        <v>25</v>
      </c>
      <c r="C5488" s="92" t="s">
        <v>4317</v>
      </c>
      <c r="D5488" s="43">
        <f>280+160+130+170+100+63+70+260+220+100+60+60+180+450+380+230+600+160+300+120+110+80+10</f>
        <v>4293</v>
      </c>
      <c r="E5488" s="43"/>
      <c r="F5488" s="48">
        <f t="shared" si="88"/>
        <v>7</v>
      </c>
    </row>
    <row r="5489" spans="1:6" x14ac:dyDescent="0.3">
      <c r="A5489" s="45">
        <v>43379</v>
      </c>
      <c r="B5489" s="756" t="s">
        <v>17</v>
      </c>
      <c r="C5489" s="756"/>
      <c r="D5489" s="71"/>
      <c r="E5489" s="72">
        <v>15469</v>
      </c>
      <c r="F5489" s="48">
        <f t="shared" si="88"/>
        <v>15476</v>
      </c>
    </row>
    <row r="5490" spans="1:6" x14ac:dyDescent="0.3">
      <c r="A5490" s="45">
        <v>43379</v>
      </c>
      <c r="B5490" s="5" t="s">
        <v>2674</v>
      </c>
      <c r="C5490" s="5" t="s">
        <v>4318</v>
      </c>
      <c r="D5490" s="43">
        <v>570</v>
      </c>
      <c r="E5490" s="43"/>
      <c r="F5490" s="48">
        <f t="shared" si="88"/>
        <v>14906</v>
      </c>
    </row>
    <row r="5491" spans="1:6" x14ac:dyDescent="0.3">
      <c r="A5491" s="45">
        <v>43379</v>
      </c>
      <c r="B5491" s="5" t="s">
        <v>247</v>
      </c>
      <c r="C5491" s="5" t="s">
        <v>2013</v>
      </c>
      <c r="D5491" s="43">
        <v>100</v>
      </c>
      <c r="E5491" s="43"/>
      <c r="F5491" s="48">
        <f t="shared" si="88"/>
        <v>14806</v>
      </c>
    </row>
    <row r="5492" spans="1:6" x14ac:dyDescent="0.3">
      <c r="A5492" s="45">
        <v>43380</v>
      </c>
      <c r="B5492" s="5" t="s">
        <v>58</v>
      </c>
      <c r="C5492" s="5" t="s">
        <v>2013</v>
      </c>
      <c r="D5492" s="43">
        <v>100</v>
      </c>
      <c r="E5492" s="43"/>
      <c r="F5492" s="48">
        <f t="shared" si="88"/>
        <v>14706</v>
      </c>
    </row>
    <row r="5493" spans="1:6" x14ac:dyDescent="0.3">
      <c r="A5493" s="45">
        <v>43383</v>
      </c>
      <c r="B5493" s="5" t="s">
        <v>2096</v>
      </c>
      <c r="C5493" s="5" t="s">
        <v>4319</v>
      </c>
      <c r="D5493" s="43">
        <v>12000</v>
      </c>
      <c r="E5493" s="43"/>
      <c r="F5493" s="48">
        <f t="shared" si="88"/>
        <v>2706</v>
      </c>
    </row>
    <row r="5494" spans="1:6" ht="56.25" x14ac:dyDescent="0.3">
      <c r="A5494" s="45">
        <v>43385</v>
      </c>
      <c r="B5494" s="5" t="s">
        <v>25</v>
      </c>
      <c r="C5494" s="92" t="s">
        <v>4320</v>
      </c>
      <c r="D5494" s="43">
        <f>510+150+100+35+150+70+80+370+70+40+80+20</f>
        <v>1675</v>
      </c>
      <c r="E5494" s="43"/>
      <c r="F5494" s="48">
        <f t="shared" si="88"/>
        <v>1031</v>
      </c>
    </row>
    <row r="5495" spans="1:6" x14ac:dyDescent="0.3">
      <c r="A5495" s="45">
        <v>43385</v>
      </c>
      <c r="B5495" s="5" t="s">
        <v>2674</v>
      </c>
      <c r="C5495" s="5" t="s">
        <v>4321</v>
      </c>
      <c r="D5495" s="43">
        <v>100</v>
      </c>
      <c r="E5495" s="43"/>
      <c r="F5495" s="48">
        <f t="shared" si="88"/>
        <v>931</v>
      </c>
    </row>
    <row r="5496" spans="1:6" x14ac:dyDescent="0.3">
      <c r="A5496" s="45">
        <v>43385</v>
      </c>
      <c r="B5496" s="756" t="s">
        <v>4322</v>
      </c>
      <c r="C5496" s="756"/>
      <c r="D5496" s="71"/>
      <c r="E5496" s="72">
        <v>8000</v>
      </c>
      <c r="F5496" s="48">
        <f t="shared" si="88"/>
        <v>8931</v>
      </c>
    </row>
    <row r="5497" spans="1:6" x14ac:dyDescent="0.3">
      <c r="A5497" s="45">
        <v>43386</v>
      </c>
      <c r="B5497" s="5" t="s">
        <v>100</v>
      </c>
      <c r="C5497" s="5" t="s">
        <v>4325</v>
      </c>
      <c r="D5497" s="43">
        <v>500</v>
      </c>
      <c r="E5497" s="43"/>
      <c r="F5497" s="48">
        <f t="shared" si="88"/>
        <v>8431</v>
      </c>
    </row>
    <row r="5498" spans="1:6" x14ac:dyDescent="0.3">
      <c r="A5498" s="45">
        <v>43388</v>
      </c>
      <c r="B5498" s="5" t="s">
        <v>3392</v>
      </c>
      <c r="C5498" s="5" t="s">
        <v>4326</v>
      </c>
      <c r="D5498" s="43">
        <v>500</v>
      </c>
      <c r="E5498" s="43"/>
      <c r="F5498" s="48">
        <f t="shared" si="88"/>
        <v>7931</v>
      </c>
    </row>
    <row r="5499" spans="1:6" x14ac:dyDescent="0.3">
      <c r="A5499" s="45">
        <v>43388</v>
      </c>
      <c r="B5499" s="5" t="s">
        <v>247</v>
      </c>
      <c r="C5499" s="5" t="s">
        <v>3217</v>
      </c>
      <c r="D5499" s="43">
        <v>960</v>
      </c>
      <c r="E5499" s="43"/>
      <c r="F5499" s="48">
        <f t="shared" si="88"/>
        <v>6971</v>
      </c>
    </row>
    <row r="5500" spans="1:6" x14ac:dyDescent="0.3">
      <c r="A5500" s="45">
        <v>43388</v>
      </c>
      <c r="B5500" s="5" t="s">
        <v>14</v>
      </c>
      <c r="C5500" s="5" t="s">
        <v>4323</v>
      </c>
      <c r="D5500" s="43">
        <v>1000</v>
      </c>
      <c r="E5500" s="43"/>
      <c r="F5500" s="48">
        <f t="shared" si="88"/>
        <v>5971</v>
      </c>
    </row>
    <row r="5501" spans="1:6" x14ac:dyDescent="0.3">
      <c r="A5501" s="45">
        <v>43388</v>
      </c>
      <c r="B5501" s="5" t="s">
        <v>58</v>
      </c>
      <c r="C5501" s="5" t="s">
        <v>3811</v>
      </c>
      <c r="D5501" s="43">
        <v>500</v>
      </c>
      <c r="E5501" s="43"/>
      <c r="F5501" s="48">
        <f t="shared" si="88"/>
        <v>5471</v>
      </c>
    </row>
    <row r="5502" spans="1:6" x14ac:dyDescent="0.3">
      <c r="A5502" s="45">
        <v>43388</v>
      </c>
      <c r="B5502" s="5" t="s">
        <v>4324</v>
      </c>
      <c r="C5502" s="5" t="s">
        <v>3716</v>
      </c>
      <c r="D5502" s="43">
        <v>1700</v>
      </c>
      <c r="E5502" s="43"/>
      <c r="F5502" s="48">
        <f t="shared" si="88"/>
        <v>3771</v>
      </c>
    </row>
    <row r="5503" spans="1:6" x14ac:dyDescent="0.3">
      <c r="A5503" s="45">
        <v>43389</v>
      </c>
      <c r="B5503" s="5" t="s">
        <v>1616</v>
      </c>
      <c r="C5503" s="5" t="s">
        <v>3703</v>
      </c>
      <c r="D5503" s="43">
        <v>1500</v>
      </c>
      <c r="E5503" s="43"/>
      <c r="F5503" s="48">
        <f t="shared" si="88"/>
        <v>2271</v>
      </c>
    </row>
    <row r="5504" spans="1:6" x14ac:dyDescent="0.3">
      <c r="A5504" s="45">
        <v>43389</v>
      </c>
      <c r="B5504" s="5" t="s">
        <v>3559</v>
      </c>
      <c r="C5504" s="5" t="s">
        <v>4327</v>
      </c>
      <c r="D5504" s="43">
        <v>500</v>
      </c>
      <c r="E5504" s="43"/>
      <c r="F5504" s="48">
        <f t="shared" si="88"/>
        <v>1771</v>
      </c>
    </row>
    <row r="5505" spans="1:6" ht="56.25" x14ac:dyDescent="0.3">
      <c r="A5505" s="45">
        <v>43389</v>
      </c>
      <c r="B5505" s="5" t="s">
        <v>1458</v>
      </c>
      <c r="C5505" s="92" t="s">
        <v>4328</v>
      </c>
      <c r="D5505" s="43">
        <f>400+60+120+200+100+400+200+20+190+40+40</f>
        <v>1770</v>
      </c>
      <c r="E5505" s="43"/>
      <c r="F5505" s="48">
        <f t="shared" si="88"/>
        <v>1</v>
      </c>
    </row>
    <row r="5506" spans="1:6" x14ac:dyDescent="0.3">
      <c r="A5506" s="45">
        <v>43390</v>
      </c>
      <c r="B5506" s="756" t="s">
        <v>4329</v>
      </c>
      <c r="C5506" s="756"/>
      <c r="D5506" s="71"/>
      <c r="E5506" s="72">
        <v>40000</v>
      </c>
      <c r="F5506" s="48">
        <f t="shared" si="88"/>
        <v>40001</v>
      </c>
    </row>
    <row r="5507" spans="1:6" x14ac:dyDescent="0.3">
      <c r="A5507" s="45">
        <v>43390</v>
      </c>
      <c r="B5507" s="756" t="s">
        <v>4106</v>
      </c>
      <c r="C5507" s="756"/>
      <c r="D5507" s="71"/>
      <c r="E5507" s="72">
        <v>30000</v>
      </c>
      <c r="F5507" s="48">
        <f t="shared" si="88"/>
        <v>70001</v>
      </c>
    </row>
    <row r="5508" spans="1:6" x14ac:dyDescent="0.3">
      <c r="A5508" s="45">
        <v>43390</v>
      </c>
      <c r="B5508" s="5" t="s">
        <v>2096</v>
      </c>
      <c r="C5508" s="5" t="s">
        <v>294</v>
      </c>
      <c r="D5508" s="43">
        <v>15000</v>
      </c>
      <c r="E5508" s="43"/>
      <c r="F5508" s="48">
        <f t="shared" si="88"/>
        <v>55001</v>
      </c>
    </row>
    <row r="5509" spans="1:6" x14ac:dyDescent="0.3">
      <c r="A5509" s="45">
        <v>43390</v>
      </c>
      <c r="B5509" s="5" t="s">
        <v>58</v>
      </c>
      <c r="C5509" s="5" t="s">
        <v>3143</v>
      </c>
      <c r="D5509" s="43">
        <v>15000</v>
      </c>
      <c r="E5509" s="43"/>
      <c r="F5509" s="48">
        <f t="shared" si="88"/>
        <v>40001</v>
      </c>
    </row>
    <row r="5510" spans="1:6" x14ac:dyDescent="0.3">
      <c r="A5510" s="45">
        <v>43390</v>
      </c>
      <c r="B5510" s="5" t="s">
        <v>4257</v>
      </c>
      <c r="C5510" s="5" t="s">
        <v>40</v>
      </c>
      <c r="D5510" s="43">
        <v>5000</v>
      </c>
      <c r="E5510" s="43"/>
      <c r="F5510" s="48">
        <f t="shared" si="88"/>
        <v>35001</v>
      </c>
    </row>
    <row r="5511" spans="1:6" x14ac:dyDescent="0.3">
      <c r="A5511" s="45">
        <v>43390</v>
      </c>
      <c r="B5511" s="5" t="s">
        <v>0</v>
      </c>
      <c r="C5511" s="5" t="s">
        <v>4330</v>
      </c>
      <c r="D5511" s="43">
        <v>10000</v>
      </c>
      <c r="E5511" s="43"/>
      <c r="F5511" s="48">
        <f t="shared" si="88"/>
        <v>25001</v>
      </c>
    </row>
    <row r="5512" spans="1:6" x14ac:dyDescent="0.3">
      <c r="A5512" s="45">
        <v>43391</v>
      </c>
      <c r="B5512" s="5" t="s">
        <v>84</v>
      </c>
      <c r="C5512" s="5" t="s">
        <v>4331</v>
      </c>
      <c r="D5512" s="43">
        <v>500</v>
      </c>
      <c r="E5512" s="43"/>
      <c r="F5512" s="48">
        <f t="shared" si="88"/>
        <v>24501</v>
      </c>
    </row>
    <row r="5513" spans="1:6" x14ac:dyDescent="0.3">
      <c r="A5513" s="45">
        <v>43391</v>
      </c>
      <c r="B5513" s="5" t="s">
        <v>84</v>
      </c>
      <c r="C5513" s="5" t="s">
        <v>4332</v>
      </c>
      <c r="D5513" s="43">
        <v>500</v>
      </c>
      <c r="E5513" s="43"/>
      <c r="F5513" s="48">
        <f t="shared" si="88"/>
        <v>24001</v>
      </c>
    </row>
    <row r="5514" spans="1:6" x14ac:dyDescent="0.3">
      <c r="A5514" s="45">
        <v>43391</v>
      </c>
      <c r="B5514" s="5" t="s">
        <v>3825</v>
      </c>
      <c r="C5514" s="5" t="s">
        <v>3143</v>
      </c>
      <c r="D5514" s="43">
        <v>6000</v>
      </c>
      <c r="E5514" s="43"/>
      <c r="F5514" s="48">
        <f t="shared" si="88"/>
        <v>18001</v>
      </c>
    </row>
    <row r="5515" spans="1:6" x14ac:dyDescent="0.3">
      <c r="A5515" s="45">
        <v>43391</v>
      </c>
      <c r="B5515" s="5" t="s">
        <v>3734</v>
      </c>
      <c r="C5515" s="5" t="s">
        <v>4269</v>
      </c>
      <c r="D5515" s="43">
        <v>1200</v>
      </c>
      <c r="E5515" s="43"/>
      <c r="F5515" s="48">
        <f t="shared" ref="F5515:F5577" si="89">F5514-D5515+E5515</f>
        <v>16801</v>
      </c>
    </row>
    <row r="5516" spans="1:6" x14ac:dyDescent="0.3">
      <c r="A5516" s="45">
        <v>43391</v>
      </c>
      <c r="B5516" s="5" t="s">
        <v>3392</v>
      </c>
      <c r="C5516" s="5" t="s">
        <v>4326</v>
      </c>
      <c r="D5516" s="43">
        <v>500</v>
      </c>
      <c r="E5516" s="43"/>
      <c r="F5516" s="48">
        <f t="shared" si="89"/>
        <v>16301</v>
      </c>
    </row>
    <row r="5517" spans="1:6" x14ac:dyDescent="0.3">
      <c r="A5517" s="45">
        <v>43391</v>
      </c>
      <c r="B5517" s="5" t="s">
        <v>58</v>
      </c>
      <c r="C5517" s="5" t="s">
        <v>4333</v>
      </c>
      <c r="D5517" s="43">
        <v>4000</v>
      </c>
      <c r="E5517" s="43"/>
      <c r="F5517" s="48">
        <f t="shared" si="89"/>
        <v>12301</v>
      </c>
    </row>
    <row r="5518" spans="1:6" x14ac:dyDescent="0.3">
      <c r="A5518" s="45">
        <v>43391</v>
      </c>
      <c r="B5518" s="5" t="s">
        <v>11</v>
      </c>
      <c r="C5518" s="5" t="s">
        <v>4334</v>
      </c>
      <c r="D5518" s="43">
        <v>2000</v>
      </c>
      <c r="E5518" s="43"/>
      <c r="F5518" s="48">
        <f t="shared" si="89"/>
        <v>10301</v>
      </c>
    </row>
    <row r="5519" spans="1:6" x14ac:dyDescent="0.3">
      <c r="A5519" s="45">
        <v>43391</v>
      </c>
      <c r="B5519" s="5" t="s">
        <v>2348</v>
      </c>
      <c r="C5519" s="5" t="s">
        <v>4335</v>
      </c>
      <c r="D5519" s="43">
        <v>1500</v>
      </c>
      <c r="E5519" s="43"/>
      <c r="F5519" s="48">
        <f t="shared" si="89"/>
        <v>8801</v>
      </c>
    </row>
    <row r="5520" spans="1:6" x14ac:dyDescent="0.3">
      <c r="A5520" s="45">
        <v>43391</v>
      </c>
      <c r="B5520" s="5" t="s">
        <v>84</v>
      </c>
      <c r="C5520" s="5" t="s">
        <v>4336</v>
      </c>
      <c r="D5520" s="43">
        <v>3000</v>
      </c>
      <c r="E5520" s="43"/>
      <c r="F5520" s="48">
        <f t="shared" si="89"/>
        <v>5801</v>
      </c>
    </row>
    <row r="5521" spans="1:6" x14ac:dyDescent="0.3">
      <c r="A5521" s="45">
        <v>43391</v>
      </c>
      <c r="B5521" s="5" t="s">
        <v>84</v>
      </c>
      <c r="C5521" s="5" t="s">
        <v>4337</v>
      </c>
      <c r="D5521" s="43">
        <v>3000</v>
      </c>
      <c r="E5521" s="43"/>
      <c r="F5521" s="48">
        <f t="shared" si="89"/>
        <v>2801</v>
      </c>
    </row>
    <row r="5522" spans="1:6" x14ac:dyDescent="0.3">
      <c r="A5522" s="45">
        <v>43393</v>
      </c>
      <c r="B5522" s="5" t="s">
        <v>56</v>
      </c>
      <c r="C5522" s="5" t="s">
        <v>2013</v>
      </c>
      <c r="D5522" s="43">
        <v>100</v>
      </c>
      <c r="E5522" s="43"/>
      <c r="F5522" s="48">
        <f t="shared" si="89"/>
        <v>2701</v>
      </c>
    </row>
    <row r="5523" spans="1:6" x14ac:dyDescent="0.3">
      <c r="A5523" s="45">
        <v>43393</v>
      </c>
      <c r="B5523" s="5" t="s">
        <v>2086</v>
      </c>
      <c r="C5523" s="5" t="s">
        <v>4338</v>
      </c>
      <c r="D5523" s="43">
        <f>690+50</f>
        <v>740</v>
      </c>
      <c r="E5523" s="43"/>
      <c r="F5523" s="48">
        <f t="shared" si="89"/>
        <v>1961</v>
      </c>
    </row>
    <row r="5524" spans="1:6" x14ac:dyDescent="0.3">
      <c r="A5524" s="45">
        <v>43393</v>
      </c>
      <c r="B5524" s="5" t="s">
        <v>3559</v>
      </c>
      <c r="C5524" s="5" t="s">
        <v>3442</v>
      </c>
      <c r="D5524" s="43">
        <v>500</v>
      </c>
      <c r="E5524" s="43"/>
      <c r="F5524" s="48">
        <f t="shared" si="89"/>
        <v>1461</v>
      </c>
    </row>
    <row r="5525" spans="1:6" x14ac:dyDescent="0.3">
      <c r="A5525" s="45">
        <v>43393</v>
      </c>
      <c r="B5525" s="5" t="s">
        <v>25</v>
      </c>
      <c r="C5525" s="5" t="s">
        <v>4339</v>
      </c>
      <c r="D5525" s="43">
        <f>260+50+120+50+60+60+70+50+20+80+110+120+210</f>
        <v>1260</v>
      </c>
      <c r="E5525" s="43"/>
      <c r="F5525" s="48">
        <f t="shared" si="89"/>
        <v>201</v>
      </c>
    </row>
    <row r="5526" spans="1:6" x14ac:dyDescent="0.3">
      <c r="A5526" s="45">
        <v>43395</v>
      </c>
      <c r="B5526" s="756" t="s">
        <v>4329</v>
      </c>
      <c r="C5526" s="756"/>
      <c r="D5526" s="71"/>
      <c r="E5526" s="72">
        <v>100000</v>
      </c>
      <c r="F5526" s="48">
        <f t="shared" si="89"/>
        <v>100201</v>
      </c>
    </row>
    <row r="5527" spans="1:6" x14ac:dyDescent="0.3">
      <c r="A5527" s="45">
        <v>43395</v>
      </c>
      <c r="B5527" s="5" t="s">
        <v>110</v>
      </c>
      <c r="C5527" s="5" t="s">
        <v>2128</v>
      </c>
      <c r="D5527" s="43">
        <v>5000</v>
      </c>
      <c r="E5527" s="43"/>
      <c r="F5527" s="48">
        <f t="shared" si="89"/>
        <v>95201</v>
      </c>
    </row>
    <row r="5528" spans="1:6" x14ac:dyDescent="0.3">
      <c r="A5528" s="45">
        <v>43395</v>
      </c>
      <c r="B5528" s="5" t="s">
        <v>3138</v>
      </c>
      <c r="C5528" s="5" t="s">
        <v>4340</v>
      </c>
      <c r="D5528" s="43">
        <v>47082</v>
      </c>
      <c r="E5528" s="43"/>
      <c r="F5528" s="48">
        <f t="shared" si="89"/>
        <v>48119</v>
      </c>
    </row>
    <row r="5529" spans="1:6" x14ac:dyDescent="0.3">
      <c r="A5529" s="45">
        <v>43395</v>
      </c>
      <c r="B5529" s="5" t="s">
        <v>54</v>
      </c>
      <c r="C5529" s="5" t="s">
        <v>4341</v>
      </c>
      <c r="D5529" s="43">
        <v>15680</v>
      </c>
      <c r="E5529" s="43"/>
      <c r="F5529" s="48">
        <f t="shared" si="89"/>
        <v>32439</v>
      </c>
    </row>
    <row r="5530" spans="1:6" x14ac:dyDescent="0.3">
      <c r="A5530" s="45">
        <v>43395</v>
      </c>
      <c r="B5530" s="5" t="s">
        <v>541</v>
      </c>
      <c r="C5530" s="5" t="s">
        <v>4342</v>
      </c>
      <c r="D5530" s="43">
        <v>5440</v>
      </c>
      <c r="E5530" s="43"/>
      <c r="F5530" s="48">
        <f t="shared" si="89"/>
        <v>26999</v>
      </c>
    </row>
    <row r="5531" spans="1:6" x14ac:dyDescent="0.3">
      <c r="A5531" s="45">
        <v>43395</v>
      </c>
      <c r="B5531" s="5" t="s">
        <v>4033</v>
      </c>
      <c r="C5531" s="5" t="s">
        <v>3106</v>
      </c>
      <c r="D5531" s="43">
        <v>1300</v>
      </c>
      <c r="E5531" s="43"/>
      <c r="F5531" s="48">
        <f t="shared" si="89"/>
        <v>25699</v>
      </c>
    </row>
    <row r="5532" spans="1:6" x14ac:dyDescent="0.3">
      <c r="A5532" s="45">
        <v>43396</v>
      </c>
      <c r="B5532" s="5" t="s">
        <v>56</v>
      </c>
      <c r="C5532" s="5" t="s">
        <v>4469</v>
      </c>
      <c r="D5532" s="43">
        <v>1500</v>
      </c>
      <c r="E5532" s="43"/>
      <c r="F5532" s="48">
        <f t="shared" si="89"/>
        <v>24199</v>
      </c>
    </row>
    <row r="5533" spans="1:6" x14ac:dyDescent="0.3">
      <c r="A5533" s="45">
        <v>43396</v>
      </c>
      <c r="B5533" s="5" t="s">
        <v>4036</v>
      </c>
      <c r="C5533" s="5" t="s">
        <v>4343</v>
      </c>
      <c r="D5533" s="43">
        <v>2000</v>
      </c>
      <c r="E5533" s="43"/>
      <c r="F5533" s="48">
        <f t="shared" si="89"/>
        <v>22199</v>
      </c>
    </row>
    <row r="5534" spans="1:6" x14ac:dyDescent="0.3">
      <c r="A5534" s="45">
        <v>43396</v>
      </c>
      <c r="B5534" s="5" t="s">
        <v>2948</v>
      </c>
      <c r="C5534" s="5" t="s">
        <v>3627</v>
      </c>
      <c r="D5534" s="43">
        <v>4720</v>
      </c>
      <c r="E5534" s="43"/>
      <c r="F5534" s="48">
        <f t="shared" si="89"/>
        <v>17479</v>
      </c>
    </row>
    <row r="5535" spans="1:6" x14ac:dyDescent="0.3">
      <c r="A5535" s="45">
        <v>43396</v>
      </c>
      <c r="B5535" s="5" t="s">
        <v>84</v>
      </c>
      <c r="C5535" s="5" t="s">
        <v>4344</v>
      </c>
      <c r="D5535" s="43">
        <v>1000</v>
      </c>
      <c r="E5535" s="43"/>
      <c r="F5535" s="48">
        <f t="shared" si="89"/>
        <v>16479</v>
      </c>
    </row>
    <row r="5536" spans="1:6" x14ac:dyDescent="0.3">
      <c r="A5536" s="45">
        <v>43397</v>
      </c>
      <c r="B5536" s="5" t="s">
        <v>3825</v>
      </c>
      <c r="C5536" s="5" t="s">
        <v>4187</v>
      </c>
      <c r="D5536" s="43">
        <v>11000</v>
      </c>
      <c r="E5536" s="43"/>
      <c r="F5536" s="48">
        <f t="shared" si="89"/>
        <v>5479</v>
      </c>
    </row>
    <row r="5537" spans="1:6" x14ac:dyDescent="0.3">
      <c r="A5537" s="45">
        <v>43397</v>
      </c>
      <c r="B5537" s="5" t="s">
        <v>2346</v>
      </c>
      <c r="C5537" s="5" t="s">
        <v>4345</v>
      </c>
      <c r="D5537" s="43">
        <v>1200</v>
      </c>
      <c r="E5537" s="43"/>
      <c r="F5537" s="48">
        <f t="shared" si="89"/>
        <v>4279</v>
      </c>
    </row>
    <row r="5538" spans="1:6" x14ac:dyDescent="0.3">
      <c r="A5538" s="45">
        <v>43398</v>
      </c>
      <c r="B5538" s="5" t="s">
        <v>25</v>
      </c>
      <c r="C5538" s="5" t="s">
        <v>4346</v>
      </c>
      <c r="D5538" s="43">
        <f>180+60+45+120+60+40+110+120+750</f>
        <v>1485</v>
      </c>
      <c r="E5538" s="43"/>
      <c r="F5538" s="48">
        <f t="shared" si="89"/>
        <v>2794</v>
      </c>
    </row>
    <row r="5539" spans="1:6" x14ac:dyDescent="0.3">
      <c r="A5539" s="45">
        <v>43398</v>
      </c>
      <c r="B5539" s="5" t="s">
        <v>2674</v>
      </c>
      <c r="C5539" s="5" t="s">
        <v>3217</v>
      </c>
      <c r="D5539" s="43">
        <v>480</v>
      </c>
      <c r="E5539" s="43"/>
      <c r="F5539" s="48">
        <f t="shared" si="89"/>
        <v>2314</v>
      </c>
    </row>
    <row r="5540" spans="1:6" x14ac:dyDescent="0.3">
      <c r="A5540" s="45">
        <v>43398</v>
      </c>
      <c r="B5540" s="5" t="s">
        <v>2674</v>
      </c>
      <c r="C5540" s="5" t="s">
        <v>3946</v>
      </c>
      <c r="D5540" s="43">
        <v>300</v>
      </c>
      <c r="E5540" s="43"/>
      <c r="F5540" s="48">
        <f t="shared" si="89"/>
        <v>2014</v>
      </c>
    </row>
    <row r="5541" spans="1:6" x14ac:dyDescent="0.3">
      <c r="A5541" s="45">
        <v>43398</v>
      </c>
      <c r="B5541" s="5" t="s">
        <v>2674</v>
      </c>
      <c r="C5541" s="5" t="s">
        <v>4347</v>
      </c>
      <c r="D5541" s="43">
        <v>120</v>
      </c>
      <c r="E5541" s="43"/>
      <c r="F5541" s="48">
        <f t="shared" si="89"/>
        <v>1894</v>
      </c>
    </row>
    <row r="5542" spans="1:6" x14ac:dyDescent="0.3">
      <c r="A5542" s="45">
        <v>43398</v>
      </c>
      <c r="B5542" s="5" t="s">
        <v>25</v>
      </c>
      <c r="C5542" s="5" t="s">
        <v>4348</v>
      </c>
      <c r="D5542" s="43">
        <f>360+318</f>
        <v>678</v>
      </c>
      <c r="E5542" s="43"/>
      <c r="F5542" s="48">
        <f t="shared" si="89"/>
        <v>1216</v>
      </c>
    </row>
    <row r="5543" spans="1:6" x14ac:dyDescent="0.3">
      <c r="A5543" s="45">
        <v>43398</v>
      </c>
      <c r="B5543" s="5" t="s">
        <v>3624</v>
      </c>
      <c r="C5543" s="5" t="s">
        <v>4349</v>
      </c>
      <c r="D5543" s="43">
        <v>320</v>
      </c>
      <c r="E5543" s="43"/>
      <c r="F5543" s="48">
        <f t="shared" si="89"/>
        <v>896</v>
      </c>
    </row>
    <row r="5544" spans="1:6" x14ac:dyDescent="0.3">
      <c r="A5544" s="45">
        <v>43398</v>
      </c>
      <c r="B5544" s="5" t="s">
        <v>16</v>
      </c>
      <c r="C5544" s="5" t="s">
        <v>1530</v>
      </c>
      <c r="D5544" s="43">
        <v>100</v>
      </c>
      <c r="E5544" s="43"/>
      <c r="F5544" s="48">
        <f t="shared" si="89"/>
        <v>796</v>
      </c>
    </row>
    <row r="5545" spans="1:6" x14ac:dyDescent="0.3">
      <c r="A5545" s="45">
        <v>43399</v>
      </c>
      <c r="B5545" s="756" t="s">
        <v>4329</v>
      </c>
      <c r="C5545" s="756"/>
      <c r="D5545" s="71"/>
      <c r="E5545" s="72">
        <v>25000</v>
      </c>
      <c r="F5545" s="48">
        <f t="shared" si="89"/>
        <v>25796</v>
      </c>
    </row>
    <row r="5546" spans="1:6" x14ac:dyDescent="0.3">
      <c r="A5546" s="45">
        <v>43399</v>
      </c>
      <c r="B5546" s="5" t="s">
        <v>2594</v>
      </c>
      <c r="C5546" s="5" t="s">
        <v>4350</v>
      </c>
      <c r="D5546" s="43">
        <v>10000</v>
      </c>
      <c r="E5546" s="43"/>
      <c r="F5546" s="48">
        <f t="shared" si="89"/>
        <v>15796</v>
      </c>
    </row>
    <row r="5547" spans="1:6" x14ac:dyDescent="0.3">
      <c r="A5547" s="45">
        <v>43399</v>
      </c>
      <c r="B5547" s="5" t="s">
        <v>110</v>
      </c>
      <c r="C5547" s="5" t="s">
        <v>4351</v>
      </c>
      <c r="D5547" s="43">
        <v>8400</v>
      </c>
      <c r="E5547" s="43"/>
      <c r="F5547" s="48">
        <f t="shared" si="89"/>
        <v>7396</v>
      </c>
    </row>
    <row r="5548" spans="1:6" x14ac:dyDescent="0.3">
      <c r="A5548" s="45">
        <v>43399</v>
      </c>
      <c r="B5548" s="5" t="s">
        <v>4352</v>
      </c>
      <c r="C5548" s="5" t="s">
        <v>40</v>
      </c>
      <c r="D5548" s="43">
        <v>5000</v>
      </c>
      <c r="E5548" s="43"/>
      <c r="F5548" s="48">
        <f t="shared" si="89"/>
        <v>2396</v>
      </c>
    </row>
    <row r="5549" spans="1:6" x14ac:dyDescent="0.3">
      <c r="A5549" s="45">
        <v>43399</v>
      </c>
      <c r="B5549" s="5" t="s">
        <v>1616</v>
      </c>
      <c r="C5549" s="5" t="s">
        <v>640</v>
      </c>
      <c r="D5549" s="43">
        <v>520</v>
      </c>
      <c r="E5549" s="43"/>
      <c r="F5549" s="48">
        <f t="shared" si="89"/>
        <v>1876</v>
      </c>
    </row>
    <row r="5550" spans="1:6" x14ac:dyDescent="0.3">
      <c r="A5550" s="45">
        <v>43405</v>
      </c>
      <c r="B5550" s="756" t="s">
        <v>4353</v>
      </c>
      <c r="C5550" s="756"/>
      <c r="D5550" s="71"/>
      <c r="E5550" s="72">
        <v>1000</v>
      </c>
      <c r="F5550" s="48">
        <f t="shared" si="89"/>
        <v>2876</v>
      </c>
    </row>
    <row r="5551" spans="1:6" x14ac:dyDescent="0.3">
      <c r="A5551" s="45">
        <v>43405</v>
      </c>
      <c r="B5551" s="5" t="s">
        <v>3734</v>
      </c>
      <c r="C5551" s="5" t="s">
        <v>84</v>
      </c>
      <c r="D5551" s="43">
        <v>800</v>
      </c>
      <c r="E5551" s="43"/>
      <c r="F5551" s="48">
        <f t="shared" si="89"/>
        <v>2076</v>
      </c>
    </row>
    <row r="5552" spans="1:6" x14ac:dyDescent="0.3">
      <c r="A5552" s="45">
        <v>43407</v>
      </c>
      <c r="B5552" s="5" t="s">
        <v>14</v>
      </c>
      <c r="C5552" s="5" t="s">
        <v>640</v>
      </c>
      <c r="D5552" s="43">
        <v>500</v>
      </c>
      <c r="E5552" s="43"/>
      <c r="F5552" s="48">
        <f t="shared" si="89"/>
        <v>1576</v>
      </c>
    </row>
    <row r="5553" spans="1:6" x14ac:dyDescent="0.3">
      <c r="A5553" s="45">
        <v>43407</v>
      </c>
      <c r="B5553" s="5" t="s">
        <v>1458</v>
      </c>
      <c r="C5553" s="5" t="s">
        <v>4354</v>
      </c>
      <c r="D5553" s="43">
        <f>50+40+50+380+70+70+45+65+180+400+120+30+70</f>
        <v>1570</v>
      </c>
      <c r="E5553" s="43"/>
      <c r="F5553" s="48">
        <f t="shared" si="89"/>
        <v>6</v>
      </c>
    </row>
    <row r="5554" spans="1:6" x14ac:dyDescent="0.3">
      <c r="A5554" s="45">
        <v>43416</v>
      </c>
      <c r="B5554" s="756" t="s">
        <v>3444</v>
      </c>
      <c r="C5554" s="756"/>
      <c r="D5554" s="71"/>
      <c r="E5554" s="72">
        <v>100000</v>
      </c>
      <c r="F5554" s="48">
        <f t="shared" si="89"/>
        <v>100006</v>
      </c>
    </row>
    <row r="5555" spans="1:6" x14ac:dyDescent="0.3">
      <c r="A5555" s="45">
        <v>43416</v>
      </c>
      <c r="B5555" s="5" t="s">
        <v>2594</v>
      </c>
      <c r="C5555" s="5" t="s">
        <v>4388</v>
      </c>
      <c r="D5555" s="43">
        <f>11000</f>
        <v>11000</v>
      </c>
      <c r="E5555" s="43"/>
      <c r="F5555" s="48">
        <f t="shared" si="89"/>
        <v>89006</v>
      </c>
    </row>
    <row r="5556" spans="1:6" x14ac:dyDescent="0.3">
      <c r="A5556" s="45">
        <v>43416</v>
      </c>
      <c r="B5556" s="5" t="s">
        <v>2594</v>
      </c>
      <c r="C5556" s="5" t="s">
        <v>4359</v>
      </c>
      <c r="D5556" s="43">
        <v>5000</v>
      </c>
      <c r="E5556" s="43"/>
      <c r="F5556" s="48">
        <f>F5555-D5556+E5556</f>
        <v>84006</v>
      </c>
    </row>
    <row r="5557" spans="1:6" x14ac:dyDescent="0.3">
      <c r="A5557" s="45">
        <v>43416</v>
      </c>
      <c r="B5557" s="5" t="s">
        <v>54</v>
      </c>
      <c r="C5557" s="5" t="s">
        <v>4389</v>
      </c>
      <c r="D5557" s="43">
        <v>57200</v>
      </c>
      <c r="E5557" s="43"/>
      <c r="F5557" s="48">
        <f>F5556-D5557+E5557</f>
        <v>26806</v>
      </c>
    </row>
    <row r="5558" spans="1:6" x14ac:dyDescent="0.3">
      <c r="A5558" s="45">
        <v>43416</v>
      </c>
      <c r="B5558" s="5" t="s">
        <v>4357</v>
      </c>
      <c r="C5558" s="5" t="s">
        <v>4355</v>
      </c>
      <c r="D5558" s="43">
        <v>20000</v>
      </c>
      <c r="E5558" s="43"/>
      <c r="F5558" s="48">
        <f t="shared" si="89"/>
        <v>6806</v>
      </c>
    </row>
    <row r="5559" spans="1:6" x14ac:dyDescent="0.3">
      <c r="A5559" s="45">
        <v>43416</v>
      </c>
      <c r="B5559" s="5" t="s">
        <v>1512</v>
      </c>
      <c r="C5559" s="5" t="s">
        <v>4356</v>
      </c>
      <c r="D5559" s="43">
        <v>3000</v>
      </c>
      <c r="E5559" s="43"/>
      <c r="F5559" s="48">
        <f t="shared" si="89"/>
        <v>3806</v>
      </c>
    </row>
    <row r="5560" spans="1:6" ht="37.5" x14ac:dyDescent="0.3">
      <c r="A5560" s="45">
        <v>43417</v>
      </c>
      <c r="B5560" s="5" t="s">
        <v>25</v>
      </c>
      <c r="C5560" s="92" t="s">
        <v>4367</v>
      </c>
      <c r="D5560" s="43">
        <f>90+20+45+210+20+50+170+210+30+30+100+100+170+210+130+560+50</f>
        <v>2195</v>
      </c>
      <c r="E5560" s="43"/>
      <c r="F5560" s="48">
        <f t="shared" si="89"/>
        <v>1611</v>
      </c>
    </row>
    <row r="5561" spans="1:6" x14ac:dyDescent="0.3">
      <c r="A5561" s="45">
        <v>43417</v>
      </c>
      <c r="B5561" s="5" t="s">
        <v>25</v>
      </c>
      <c r="C5561" s="5" t="s">
        <v>4358</v>
      </c>
      <c r="D5561" s="43">
        <v>1600</v>
      </c>
      <c r="E5561" s="43"/>
      <c r="F5561" s="48">
        <f t="shared" si="89"/>
        <v>11</v>
      </c>
    </row>
    <row r="5562" spans="1:6" x14ac:dyDescent="0.3">
      <c r="A5562" s="45">
        <v>43417</v>
      </c>
      <c r="B5562" s="756" t="s">
        <v>3444</v>
      </c>
      <c r="C5562" s="756"/>
      <c r="D5562" s="71"/>
      <c r="E5562" s="72">
        <v>100000</v>
      </c>
      <c r="F5562" s="48">
        <f t="shared" si="89"/>
        <v>100011</v>
      </c>
    </row>
    <row r="5563" spans="1:6" x14ac:dyDescent="0.3">
      <c r="A5563" s="45">
        <v>43417</v>
      </c>
      <c r="B5563" s="5" t="s">
        <v>16</v>
      </c>
      <c r="C5563" s="5" t="s">
        <v>4373</v>
      </c>
      <c r="D5563" s="43">
        <v>50000</v>
      </c>
      <c r="E5563" s="43"/>
      <c r="F5563" s="48">
        <f t="shared" si="89"/>
        <v>50011</v>
      </c>
    </row>
    <row r="5564" spans="1:6" x14ac:dyDescent="0.3">
      <c r="A5564" s="45">
        <v>43417</v>
      </c>
      <c r="B5564" s="5" t="s">
        <v>2594</v>
      </c>
      <c r="C5564" s="5" t="s">
        <v>4370</v>
      </c>
      <c r="D5564" s="43">
        <v>1000</v>
      </c>
      <c r="E5564" s="43"/>
      <c r="F5564" s="48">
        <f t="shared" si="89"/>
        <v>49011</v>
      </c>
    </row>
    <row r="5565" spans="1:6" x14ac:dyDescent="0.3">
      <c r="A5565" s="45">
        <v>43417</v>
      </c>
      <c r="B5565" s="5" t="s">
        <v>84</v>
      </c>
      <c r="C5565" s="5" t="s">
        <v>4368</v>
      </c>
      <c r="D5565" s="43">
        <v>20000</v>
      </c>
      <c r="E5565" s="43"/>
      <c r="F5565" s="48">
        <f t="shared" si="89"/>
        <v>29011</v>
      </c>
    </row>
    <row r="5566" spans="1:6" x14ac:dyDescent="0.3">
      <c r="A5566" s="45">
        <v>43417</v>
      </c>
      <c r="B5566" s="5" t="s">
        <v>2346</v>
      </c>
      <c r="C5566" s="5" t="s">
        <v>4366</v>
      </c>
      <c r="D5566" s="43">
        <v>1000</v>
      </c>
      <c r="E5566" s="43"/>
      <c r="F5566" s="48">
        <f t="shared" si="89"/>
        <v>28011</v>
      </c>
    </row>
    <row r="5567" spans="1:6" x14ac:dyDescent="0.3">
      <c r="A5567" s="45">
        <v>43418</v>
      </c>
      <c r="B5567" s="5" t="s">
        <v>2594</v>
      </c>
      <c r="C5567" s="5" t="s">
        <v>4369</v>
      </c>
      <c r="D5567" s="43">
        <v>12000</v>
      </c>
      <c r="E5567" s="43"/>
      <c r="F5567" s="48">
        <f t="shared" si="89"/>
        <v>16011</v>
      </c>
    </row>
    <row r="5568" spans="1:6" x14ac:dyDescent="0.3">
      <c r="A5568" s="45">
        <v>43418</v>
      </c>
      <c r="B5568" s="5" t="s">
        <v>84</v>
      </c>
      <c r="C5568" s="5" t="s">
        <v>4371</v>
      </c>
      <c r="D5568" s="43">
        <v>5000</v>
      </c>
      <c r="E5568" s="43"/>
      <c r="F5568" s="48">
        <f t="shared" si="89"/>
        <v>11011</v>
      </c>
    </row>
    <row r="5569" spans="1:11" x14ac:dyDescent="0.3">
      <c r="A5569" s="45">
        <v>43418</v>
      </c>
      <c r="B5569" s="5" t="s">
        <v>1787</v>
      </c>
      <c r="C5569" s="5" t="s">
        <v>4372</v>
      </c>
      <c r="D5569" s="43">
        <v>1000</v>
      </c>
      <c r="E5569" s="43"/>
      <c r="F5569" s="48">
        <f t="shared" si="89"/>
        <v>10011</v>
      </c>
    </row>
    <row r="5570" spans="1:11" x14ac:dyDescent="0.3">
      <c r="A5570" s="45">
        <v>43419</v>
      </c>
      <c r="B5570" s="5" t="s">
        <v>110</v>
      </c>
      <c r="C5570" s="5" t="s">
        <v>640</v>
      </c>
      <c r="D5570" s="43">
        <v>2000</v>
      </c>
      <c r="E5570" s="43"/>
      <c r="F5570" s="48">
        <f t="shared" si="89"/>
        <v>8011</v>
      </c>
    </row>
    <row r="5571" spans="1:11" x14ac:dyDescent="0.3">
      <c r="A5571" s="45">
        <v>43419</v>
      </c>
      <c r="B5571" s="5" t="s">
        <v>4374</v>
      </c>
      <c r="C5571" s="5" t="s">
        <v>4375</v>
      </c>
      <c r="D5571" s="43">
        <v>1500</v>
      </c>
      <c r="E5571" s="43"/>
      <c r="F5571" s="48">
        <f t="shared" si="89"/>
        <v>6511</v>
      </c>
    </row>
    <row r="5572" spans="1:11" x14ac:dyDescent="0.3">
      <c r="A5572" s="45">
        <v>43420</v>
      </c>
      <c r="B5572" s="5" t="s">
        <v>16</v>
      </c>
      <c r="C5572" s="5" t="s">
        <v>4376</v>
      </c>
      <c r="D5572" s="43">
        <v>600</v>
      </c>
      <c r="E5572" s="43"/>
      <c r="F5572" s="48">
        <f t="shared" si="89"/>
        <v>5911</v>
      </c>
    </row>
    <row r="5573" spans="1:11" x14ac:dyDescent="0.3">
      <c r="A5573" s="45">
        <v>43420</v>
      </c>
      <c r="B5573" s="5" t="s">
        <v>2594</v>
      </c>
      <c r="C5573" s="5" t="s">
        <v>4377</v>
      </c>
      <c r="D5573" s="43">
        <v>400</v>
      </c>
      <c r="E5573" s="43"/>
      <c r="F5573" s="48">
        <f t="shared" si="89"/>
        <v>5511</v>
      </c>
      <c r="K5573" s="93"/>
    </row>
    <row r="5574" spans="1:11" x14ac:dyDescent="0.3">
      <c r="A5574" s="45">
        <v>43420</v>
      </c>
      <c r="B5574" s="5" t="s">
        <v>247</v>
      </c>
      <c r="C5574" s="5" t="s">
        <v>2013</v>
      </c>
      <c r="D5574" s="43">
        <v>100</v>
      </c>
      <c r="E5574" s="43"/>
      <c r="F5574" s="48">
        <f t="shared" si="89"/>
        <v>5411</v>
      </c>
      <c r="K5574" s="52"/>
    </row>
    <row r="5575" spans="1:11" x14ac:dyDescent="0.3">
      <c r="A5575" s="45">
        <v>43420</v>
      </c>
      <c r="B5575" s="5" t="s">
        <v>25</v>
      </c>
      <c r="C5575" s="5" t="s">
        <v>4378</v>
      </c>
      <c r="D5575" s="43">
        <f>45+50+80+200+50+200+50</f>
        <v>675</v>
      </c>
      <c r="E5575" s="43"/>
      <c r="F5575" s="48">
        <f t="shared" si="89"/>
        <v>4736</v>
      </c>
    </row>
    <row r="5576" spans="1:11" x14ac:dyDescent="0.3">
      <c r="A5576" s="45">
        <v>43420</v>
      </c>
      <c r="B5576" s="5" t="s">
        <v>2594</v>
      </c>
      <c r="C5576" s="5" t="s">
        <v>4380</v>
      </c>
      <c r="D5576" s="43">
        <v>2350</v>
      </c>
      <c r="E5576" s="43"/>
      <c r="F5576" s="48">
        <f t="shared" si="89"/>
        <v>2386</v>
      </c>
    </row>
    <row r="5577" spans="1:11" x14ac:dyDescent="0.3">
      <c r="A5577" s="45">
        <v>43420</v>
      </c>
      <c r="B5577" s="5" t="s">
        <v>2346</v>
      </c>
      <c r="C5577" s="5" t="s">
        <v>4379</v>
      </c>
      <c r="D5577" s="43">
        <v>1500</v>
      </c>
      <c r="E5577" s="43"/>
      <c r="F5577" s="48">
        <f t="shared" si="89"/>
        <v>886</v>
      </c>
    </row>
    <row r="5578" spans="1:11" x14ac:dyDescent="0.3">
      <c r="A5578" s="45">
        <v>43420</v>
      </c>
      <c r="B5578" s="756" t="s">
        <v>2960</v>
      </c>
      <c r="C5578" s="756"/>
      <c r="D5578" s="71"/>
      <c r="E5578" s="72">
        <v>10000</v>
      </c>
      <c r="F5578" s="48">
        <f>F5577-D5578+E5578</f>
        <v>10886</v>
      </c>
    </row>
    <row r="5579" spans="1:11" x14ac:dyDescent="0.3">
      <c r="A5579" s="45">
        <v>43420</v>
      </c>
      <c r="B5579" s="5" t="s">
        <v>2594</v>
      </c>
      <c r="C5579" s="5" t="s">
        <v>3143</v>
      </c>
      <c r="D5579" s="43">
        <v>7000</v>
      </c>
      <c r="E5579" s="43"/>
      <c r="F5579" s="48">
        <f>F5578-D5579+E5579</f>
        <v>3886</v>
      </c>
    </row>
    <row r="5580" spans="1:11" x14ac:dyDescent="0.3">
      <c r="A5580" s="45">
        <v>43420</v>
      </c>
      <c r="B5580" s="5" t="s">
        <v>3559</v>
      </c>
      <c r="C5580" s="5" t="s">
        <v>4381</v>
      </c>
      <c r="D5580" s="43">
        <v>590</v>
      </c>
      <c r="E5580" s="43"/>
      <c r="F5580" s="48">
        <f>F5579-D5580+E5580</f>
        <v>3296</v>
      </c>
    </row>
    <row r="5581" spans="1:11" x14ac:dyDescent="0.3">
      <c r="A5581" s="45">
        <v>43420</v>
      </c>
      <c r="B5581" s="756" t="s">
        <v>4106</v>
      </c>
      <c r="C5581" s="756"/>
      <c r="D5581" s="71"/>
      <c r="E5581" s="72">
        <v>50000</v>
      </c>
      <c r="F5581" s="48">
        <f t="shared" ref="F5581:F5644" si="90">F5580-D5581+E5581</f>
        <v>53296</v>
      </c>
    </row>
    <row r="5582" spans="1:11" x14ac:dyDescent="0.3">
      <c r="A5582" s="45">
        <v>43420</v>
      </c>
      <c r="B5582" s="5" t="s">
        <v>84</v>
      </c>
      <c r="C5582" s="5" t="s">
        <v>4382</v>
      </c>
      <c r="D5582" s="43">
        <v>10000</v>
      </c>
      <c r="E5582" s="43"/>
      <c r="F5582" s="48">
        <f t="shared" si="90"/>
        <v>43296</v>
      </c>
    </row>
    <row r="5583" spans="1:11" x14ac:dyDescent="0.3">
      <c r="A5583" s="45">
        <v>43421</v>
      </c>
      <c r="B5583" s="5" t="s">
        <v>14</v>
      </c>
      <c r="C5583" s="5" t="s">
        <v>2544</v>
      </c>
      <c r="D5583" s="43">
        <v>5000</v>
      </c>
      <c r="E5583" s="43"/>
      <c r="F5583" s="48">
        <f t="shared" si="90"/>
        <v>38296</v>
      </c>
    </row>
    <row r="5584" spans="1:11" x14ac:dyDescent="0.3">
      <c r="A5584" s="45">
        <v>43421</v>
      </c>
      <c r="B5584" s="5" t="s">
        <v>1837</v>
      </c>
      <c r="C5584" s="5" t="s">
        <v>4383</v>
      </c>
      <c r="D5584" s="43">
        <v>6000</v>
      </c>
      <c r="E5584" s="43"/>
      <c r="F5584" s="48">
        <f t="shared" si="90"/>
        <v>32296</v>
      </c>
    </row>
    <row r="5585" spans="1:6" x14ac:dyDescent="0.3">
      <c r="A5585" s="45">
        <v>43421</v>
      </c>
      <c r="B5585" s="5" t="s">
        <v>2346</v>
      </c>
      <c r="C5585" s="5" t="s">
        <v>4384</v>
      </c>
      <c r="D5585" s="43">
        <v>1000</v>
      </c>
      <c r="E5585" s="43"/>
      <c r="F5585" s="48">
        <f t="shared" si="90"/>
        <v>31296</v>
      </c>
    </row>
    <row r="5586" spans="1:6" x14ac:dyDescent="0.3">
      <c r="A5586" s="45">
        <v>43421</v>
      </c>
      <c r="B5586" s="5" t="s">
        <v>2096</v>
      </c>
      <c r="C5586" s="5" t="s">
        <v>40</v>
      </c>
      <c r="D5586" s="43">
        <v>23000</v>
      </c>
      <c r="E5586" s="43"/>
      <c r="F5586" s="48">
        <f t="shared" si="90"/>
        <v>8296</v>
      </c>
    </row>
    <row r="5587" spans="1:6" x14ac:dyDescent="0.3">
      <c r="A5587" s="45">
        <v>43421</v>
      </c>
      <c r="B5587" s="5" t="s">
        <v>11</v>
      </c>
      <c r="C5587" s="5" t="s">
        <v>4386</v>
      </c>
      <c r="D5587" s="43">
        <v>2000</v>
      </c>
      <c r="E5587" s="43"/>
      <c r="F5587" s="48">
        <f t="shared" si="90"/>
        <v>6296</v>
      </c>
    </row>
    <row r="5588" spans="1:6" x14ac:dyDescent="0.3">
      <c r="A5588" s="45">
        <v>43421</v>
      </c>
      <c r="B5588" s="5" t="s">
        <v>84</v>
      </c>
      <c r="C5588" s="5" t="s">
        <v>4387</v>
      </c>
      <c r="D5588" s="43">
        <v>1000</v>
      </c>
      <c r="E5588" s="43"/>
      <c r="F5588" s="48">
        <f t="shared" si="90"/>
        <v>5296</v>
      </c>
    </row>
    <row r="5589" spans="1:6" x14ac:dyDescent="0.3">
      <c r="A5589" s="45">
        <v>43421</v>
      </c>
      <c r="B5589" s="5" t="s">
        <v>2346</v>
      </c>
      <c r="C5589" s="5" t="s">
        <v>4395</v>
      </c>
      <c r="D5589" s="43">
        <v>1500</v>
      </c>
      <c r="E5589" s="43"/>
      <c r="F5589" s="48">
        <f t="shared" si="90"/>
        <v>3796</v>
      </c>
    </row>
    <row r="5590" spans="1:6" x14ac:dyDescent="0.3">
      <c r="A5590" s="45">
        <v>43421</v>
      </c>
      <c r="B5590" s="358" t="s">
        <v>2960</v>
      </c>
      <c r="C5590" s="358"/>
      <c r="D5590" s="71"/>
      <c r="E5590" s="72">
        <v>10000</v>
      </c>
      <c r="F5590" s="48">
        <f t="shared" si="90"/>
        <v>13796</v>
      </c>
    </row>
    <row r="5591" spans="1:6" x14ac:dyDescent="0.3">
      <c r="A5591" s="45">
        <v>43421</v>
      </c>
      <c r="B5591" s="5" t="s">
        <v>2594</v>
      </c>
      <c r="C5591" s="5" t="s">
        <v>4393</v>
      </c>
      <c r="D5591" s="43">
        <v>10000</v>
      </c>
      <c r="E5591" s="43"/>
      <c r="F5591" s="48">
        <f t="shared" si="90"/>
        <v>3796</v>
      </c>
    </row>
    <row r="5592" spans="1:6" x14ac:dyDescent="0.3">
      <c r="A5592" s="45">
        <v>43421</v>
      </c>
      <c r="B5592" s="5" t="s">
        <v>16</v>
      </c>
      <c r="C5592" s="5" t="s">
        <v>4394</v>
      </c>
      <c r="D5592" s="43">
        <v>900</v>
      </c>
      <c r="E5592" s="43"/>
      <c r="F5592" s="48">
        <f t="shared" si="90"/>
        <v>2896</v>
      </c>
    </row>
    <row r="5593" spans="1:6" x14ac:dyDescent="0.3">
      <c r="A5593" s="45">
        <v>43423</v>
      </c>
      <c r="B5593" s="756" t="s">
        <v>3444</v>
      </c>
      <c r="C5593" s="756"/>
      <c r="D5593" s="71"/>
      <c r="E5593" s="72">
        <v>25000</v>
      </c>
      <c r="F5593" s="48">
        <f t="shared" si="90"/>
        <v>27896</v>
      </c>
    </row>
    <row r="5594" spans="1:6" x14ac:dyDescent="0.3">
      <c r="A5594" s="45">
        <v>43423</v>
      </c>
      <c r="B5594" s="5" t="s">
        <v>2594</v>
      </c>
      <c r="C5594" s="5" t="s">
        <v>4350</v>
      </c>
      <c r="D5594" s="43">
        <v>15000</v>
      </c>
      <c r="E5594" s="43"/>
      <c r="F5594" s="48">
        <f t="shared" si="90"/>
        <v>12896</v>
      </c>
    </row>
    <row r="5595" spans="1:6" x14ac:dyDescent="0.3">
      <c r="A5595" s="45">
        <v>43423</v>
      </c>
      <c r="B5595" s="5" t="s">
        <v>84</v>
      </c>
      <c r="C5595" s="5" t="s">
        <v>4396</v>
      </c>
      <c r="D5595" s="43">
        <v>6000</v>
      </c>
      <c r="E5595" s="43"/>
      <c r="F5595" s="48">
        <f t="shared" si="90"/>
        <v>6896</v>
      </c>
    </row>
    <row r="5596" spans="1:6" x14ac:dyDescent="0.3">
      <c r="A5596" s="45">
        <v>43423</v>
      </c>
      <c r="B5596" s="5" t="s">
        <v>247</v>
      </c>
      <c r="C5596" s="5" t="s">
        <v>1624</v>
      </c>
      <c r="D5596" s="43">
        <v>100</v>
      </c>
      <c r="E5596" s="43"/>
      <c r="F5596" s="48">
        <f t="shared" si="90"/>
        <v>6796</v>
      </c>
    </row>
    <row r="5597" spans="1:6" x14ac:dyDescent="0.3">
      <c r="A5597" s="45">
        <v>43424</v>
      </c>
      <c r="B5597" s="5" t="s">
        <v>2594</v>
      </c>
      <c r="C5597" s="5" t="s">
        <v>4397</v>
      </c>
      <c r="D5597" s="43">
        <v>2000</v>
      </c>
      <c r="E5597" s="43"/>
      <c r="F5597" s="48">
        <f t="shared" si="90"/>
        <v>4796</v>
      </c>
    </row>
    <row r="5598" spans="1:6" x14ac:dyDescent="0.3">
      <c r="A5598" s="45">
        <v>43424</v>
      </c>
      <c r="B5598" s="5" t="s">
        <v>25</v>
      </c>
      <c r="C5598" s="5" t="s">
        <v>4398</v>
      </c>
      <c r="D5598" s="43">
        <f>150+140+70+150+130+40+50+160+100+50+400+50</f>
        <v>1490</v>
      </c>
      <c r="E5598" s="43"/>
      <c r="F5598" s="48">
        <f t="shared" si="90"/>
        <v>3306</v>
      </c>
    </row>
    <row r="5599" spans="1:6" x14ac:dyDescent="0.3">
      <c r="A5599" s="45">
        <v>43424</v>
      </c>
      <c r="B5599" s="5" t="s">
        <v>4036</v>
      </c>
      <c r="C5599" s="5" t="s">
        <v>4399</v>
      </c>
      <c r="D5599" s="43">
        <v>1000</v>
      </c>
      <c r="E5599" s="43"/>
      <c r="F5599" s="48">
        <f t="shared" si="90"/>
        <v>2306</v>
      </c>
    </row>
    <row r="5600" spans="1:6" x14ac:dyDescent="0.3">
      <c r="A5600" s="45">
        <v>43426</v>
      </c>
      <c r="B5600" s="756" t="s">
        <v>3444</v>
      </c>
      <c r="C5600" s="756"/>
      <c r="D5600" s="71"/>
      <c r="E5600" s="72">
        <v>100000</v>
      </c>
      <c r="F5600" s="48">
        <f t="shared" si="90"/>
        <v>102306</v>
      </c>
    </row>
    <row r="5601" spans="1:6" x14ac:dyDescent="0.3">
      <c r="A5601" s="45">
        <v>43426</v>
      </c>
      <c r="B5601" s="5" t="s">
        <v>16</v>
      </c>
      <c r="C5601" s="5" t="s">
        <v>4401</v>
      </c>
      <c r="D5601" s="43">
        <v>50000</v>
      </c>
      <c r="E5601" s="43"/>
      <c r="F5601" s="48">
        <f t="shared" si="90"/>
        <v>52306</v>
      </c>
    </row>
    <row r="5602" spans="1:6" x14ac:dyDescent="0.3">
      <c r="A5602" s="45">
        <v>43426</v>
      </c>
      <c r="B5602" s="5" t="s">
        <v>2948</v>
      </c>
      <c r="C5602" s="5" t="s">
        <v>4414</v>
      </c>
      <c r="D5602" s="43">
        <v>6500</v>
      </c>
      <c r="E5602" s="43"/>
      <c r="F5602" s="48">
        <f t="shared" si="90"/>
        <v>45806</v>
      </c>
    </row>
    <row r="5603" spans="1:6" x14ac:dyDescent="0.3">
      <c r="A5603" s="45">
        <v>43426</v>
      </c>
      <c r="B5603" s="5" t="s">
        <v>14</v>
      </c>
      <c r="C5603" s="5" t="s">
        <v>4402</v>
      </c>
      <c r="D5603" s="43">
        <v>20000</v>
      </c>
      <c r="E5603" s="43"/>
      <c r="F5603" s="48">
        <f t="shared" si="90"/>
        <v>25806</v>
      </c>
    </row>
    <row r="5604" spans="1:6" x14ac:dyDescent="0.3">
      <c r="A5604" s="45">
        <v>43427</v>
      </c>
      <c r="B5604" s="5" t="s">
        <v>1616</v>
      </c>
      <c r="C5604" s="5" t="s">
        <v>2435</v>
      </c>
      <c r="D5604" s="43">
        <v>520</v>
      </c>
      <c r="E5604" s="43"/>
      <c r="F5604" s="48">
        <f t="shared" si="90"/>
        <v>25286</v>
      </c>
    </row>
    <row r="5605" spans="1:6" x14ac:dyDescent="0.3">
      <c r="A5605" s="45">
        <v>43427</v>
      </c>
      <c r="B5605" s="5" t="s">
        <v>1410</v>
      </c>
      <c r="C5605" s="5" t="s">
        <v>4403</v>
      </c>
      <c r="D5605" s="43">
        <v>18000</v>
      </c>
      <c r="E5605" s="43"/>
      <c r="F5605" s="48">
        <f t="shared" si="90"/>
        <v>7286</v>
      </c>
    </row>
    <row r="5606" spans="1:6" x14ac:dyDescent="0.3">
      <c r="A5606" s="45">
        <v>43427</v>
      </c>
      <c r="B5606" s="5" t="s">
        <v>2594</v>
      </c>
      <c r="C5606" s="5" t="s">
        <v>4404</v>
      </c>
      <c r="D5606" s="43">
        <v>3500</v>
      </c>
      <c r="E5606" s="43"/>
      <c r="F5606" s="48">
        <f t="shared" si="90"/>
        <v>3786</v>
      </c>
    </row>
    <row r="5607" spans="1:6" x14ac:dyDescent="0.3">
      <c r="A5607" s="45">
        <v>43431</v>
      </c>
      <c r="B5607" s="5" t="s">
        <v>2948</v>
      </c>
      <c r="C5607" s="5" t="s">
        <v>4407</v>
      </c>
      <c r="D5607" s="43">
        <v>1400</v>
      </c>
      <c r="E5607" s="43"/>
      <c r="F5607" s="48">
        <f t="shared" si="90"/>
        <v>2386</v>
      </c>
    </row>
    <row r="5608" spans="1:6" x14ac:dyDescent="0.3">
      <c r="A5608" s="45">
        <v>43431</v>
      </c>
      <c r="B5608" s="5" t="s">
        <v>25</v>
      </c>
      <c r="C5608" s="5" t="s">
        <v>4408</v>
      </c>
      <c r="D5608" s="43">
        <f>40+30+20+130+100+210+400+40+20+130+210+50</f>
        <v>1380</v>
      </c>
      <c r="E5608" s="43"/>
      <c r="F5608" s="48">
        <f t="shared" si="90"/>
        <v>1006</v>
      </c>
    </row>
    <row r="5609" spans="1:6" x14ac:dyDescent="0.3">
      <c r="A5609" s="45">
        <v>43431</v>
      </c>
      <c r="B5609" s="756" t="s">
        <v>3444</v>
      </c>
      <c r="C5609" s="756"/>
      <c r="D5609" s="71"/>
      <c r="E5609" s="72">
        <v>100000</v>
      </c>
      <c r="F5609" s="48">
        <f t="shared" si="90"/>
        <v>101006</v>
      </c>
    </row>
    <row r="5610" spans="1:6" x14ac:dyDescent="0.3">
      <c r="A5610" s="45">
        <v>43431</v>
      </c>
      <c r="B5610" s="5" t="s">
        <v>84</v>
      </c>
      <c r="C5610" s="5" t="s">
        <v>4412</v>
      </c>
      <c r="D5610" s="43">
        <v>65000</v>
      </c>
      <c r="E5610" s="43"/>
      <c r="F5610" s="48">
        <f t="shared" si="90"/>
        <v>36006</v>
      </c>
    </row>
    <row r="5611" spans="1:6" x14ac:dyDescent="0.3">
      <c r="A5611" s="45">
        <v>43431</v>
      </c>
      <c r="B5611" s="5" t="s">
        <v>84</v>
      </c>
      <c r="C5611" s="5" t="s">
        <v>4410</v>
      </c>
      <c r="D5611" s="43">
        <v>5000</v>
      </c>
      <c r="E5611" s="43"/>
      <c r="F5611" s="48">
        <f t="shared" si="90"/>
        <v>31006</v>
      </c>
    </row>
    <row r="5612" spans="1:6" x14ac:dyDescent="0.3">
      <c r="A5612" s="45">
        <v>43431</v>
      </c>
      <c r="B5612" s="5" t="s">
        <v>84</v>
      </c>
      <c r="C5612" s="5" t="s">
        <v>4411</v>
      </c>
      <c r="D5612" s="43">
        <v>6000</v>
      </c>
      <c r="E5612" s="43"/>
      <c r="F5612" s="48">
        <f t="shared" si="90"/>
        <v>25006</v>
      </c>
    </row>
    <row r="5613" spans="1:6" x14ac:dyDescent="0.3">
      <c r="A5613" s="45">
        <v>43431</v>
      </c>
      <c r="B5613" s="5" t="s">
        <v>2570</v>
      </c>
      <c r="C5613" s="5" t="s">
        <v>4413</v>
      </c>
      <c r="D5613" s="43">
        <v>210</v>
      </c>
      <c r="E5613" s="43"/>
      <c r="F5613" s="48">
        <f t="shared" si="90"/>
        <v>24796</v>
      </c>
    </row>
    <row r="5614" spans="1:6" x14ac:dyDescent="0.3">
      <c r="A5614" s="45">
        <v>43431</v>
      </c>
      <c r="B5614" s="756" t="s">
        <v>4415</v>
      </c>
      <c r="C5614" s="756"/>
      <c r="D5614" s="71"/>
      <c r="E5614" s="72">
        <v>165000</v>
      </c>
      <c r="F5614" s="48">
        <f t="shared" si="90"/>
        <v>189796</v>
      </c>
    </row>
    <row r="5615" spans="1:6" x14ac:dyDescent="0.3">
      <c r="A5615" s="45">
        <v>43431</v>
      </c>
      <c r="B5615" s="5" t="s">
        <v>2346</v>
      </c>
      <c r="C5615" s="5" t="s">
        <v>3332</v>
      </c>
      <c r="D5615" s="43">
        <v>1300</v>
      </c>
      <c r="E5615" s="43"/>
      <c r="F5615" s="48">
        <f t="shared" si="90"/>
        <v>188496</v>
      </c>
    </row>
    <row r="5616" spans="1:6" x14ac:dyDescent="0.3">
      <c r="A5616" s="45">
        <v>43431</v>
      </c>
      <c r="B5616" s="5" t="s">
        <v>84</v>
      </c>
      <c r="C5616" s="5" t="s">
        <v>4416</v>
      </c>
      <c r="D5616" s="43">
        <v>5000</v>
      </c>
      <c r="E5616" s="43"/>
      <c r="F5616" s="48">
        <f t="shared" si="90"/>
        <v>183496</v>
      </c>
    </row>
    <row r="5617" spans="1:6" x14ac:dyDescent="0.3">
      <c r="A5617" s="45">
        <v>43432</v>
      </c>
      <c r="B5617" s="5" t="s">
        <v>14</v>
      </c>
      <c r="C5617" s="5" t="s">
        <v>294</v>
      </c>
      <c r="D5617" s="43">
        <v>10000</v>
      </c>
      <c r="E5617" s="43"/>
      <c r="F5617" s="48">
        <f t="shared" si="90"/>
        <v>173496</v>
      </c>
    </row>
    <row r="5618" spans="1:6" x14ac:dyDescent="0.3">
      <c r="A5618" s="45">
        <v>43432</v>
      </c>
      <c r="B5618" s="5" t="s">
        <v>57</v>
      </c>
      <c r="C5618" s="5" t="s">
        <v>4417</v>
      </c>
      <c r="D5618" s="43">
        <v>1000</v>
      </c>
      <c r="E5618" s="43"/>
      <c r="F5618" s="48">
        <f t="shared" si="90"/>
        <v>172496</v>
      </c>
    </row>
    <row r="5619" spans="1:6" x14ac:dyDescent="0.3">
      <c r="A5619" s="45">
        <v>43432</v>
      </c>
      <c r="B5619" s="5" t="s">
        <v>2096</v>
      </c>
      <c r="C5619" s="5" t="s">
        <v>4418</v>
      </c>
      <c r="D5619" s="43">
        <v>9100</v>
      </c>
      <c r="E5619" s="43"/>
      <c r="F5619" s="48">
        <f t="shared" si="90"/>
        <v>163396</v>
      </c>
    </row>
    <row r="5620" spans="1:6" x14ac:dyDescent="0.3">
      <c r="A5620" s="45">
        <v>43432</v>
      </c>
      <c r="B5620" s="5" t="s">
        <v>2096</v>
      </c>
      <c r="C5620" s="5" t="s">
        <v>4419</v>
      </c>
      <c r="D5620" s="43">
        <v>2500</v>
      </c>
      <c r="E5620" s="43"/>
      <c r="F5620" s="48">
        <f t="shared" si="90"/>
        <v>160896</v>
      </c>
    </row>
    <row r="5621" spans="1:6" x14ac:dyDescent="0.3">
      <c r="A5621" s="45">
        <v>43432</v>
      </c>
      <c r="B5621" s="5" t="s">
        <v>0</v>
      </c>
      <c r="C5621" s="5" t="s">
        <v>4420</v>
      </c>
      <c r="D5621" s="43">
        <v>5000</v>
      </c>
      <c r="E5621" s="43"/>
      <c r="F5621" s="48">
        <f t="shared" si="90"/>
        <v>155896</v>
      </c>
    </row>
    <row r="5622" spans="1:6" x14ac:dyDescent="0.3">
      <c r="A5622" s="45">
        <v>43432</v>
      </c>
      <c r="B5622" s="5" t="s">
        <v>84</v>
      </c>
      <c r="C5622" s="5" t="s">
        <v>4421</v>
      </c>
      <c r="D5622" s="43">
        <v>5000</v>
      </c>
      <c r="E5622" s="43"/>
      <c r="F5622" s="48">
        <f t="shared" si="90"/>
        <v>150896</v>
      </c>
    </row>
    <row r="5623" spans="1:6" x14ac:dyDescent="0.3">
      <c r="A5623" s="45">
        <v>43432</v>
      </c>
      <c r="B5623" s="5" t="s">
        <v>84</v>
      </c>
      <c r="C5623" s="5" t="s">
        <v>4422</v>
      </c>
      <c r="D5623" s="43">
        <v>2000</v>
      </c>
      <c r="E5623" s="43"/>
      <c r="F5623" s="48">
        <f t="shared" si="90"/>
        <v>148896</v>
      </c>
    </row>
    <row r="5624" spans="1:6" x14ac:dyDescent="0.3">
      <c r="A5624" s="45">
        <v>43432</v>
      </c>
      <c r="B5624" s="5" t="s">
        <v>84</v>
      </c>
      <c r="C5624" s="5" t="s">
        <v>4423</v>
      </c>
      <c r="D5624" s="43">
        <v>2000</v>
      </c>
      <c r="E5624" s="43"/>
      <c r="F5624" s="48">
        <f t="shared" si="90"/>
        <v>146896</v>
      </c>
    </row>
    <row r="5625" spans="1:6" x14ac:dyDescent="0.3">
      <c r="A5625" s="45">
        <v>43432</v>
      </c>
      <c r="B5625" s="5" t="s">
        <v>14</v>
      </c>
      <c r="C5625" s="5" t="s">
        <v>4424</v>
      </c>
      <c r="D5625" s="168">
        <v>4733</v>
      </c>
      <c r="E5625" s="43"/>
      <c r="F5625" s="48">
        <f t="shared" si="90"/>
        <v>142163</v>
      </c>
    </row>
    <row r="5626" spans="1:6" x14ac:dyDescent="0.3">
      <c r="A5626" s="45">
        <v>43432</v>
      </c>
      <c r="B5626" s="5" t="s">
        <v>541</v>
      </c>
      <c r="C5626" s="5" t="s">
        <v>4425</v>
      </c>
      <c r="D5626" s="43">
        <v>1000</v>
      </c>
      <c r="E5626" s="43"/>
      <c r="F5626" s="48">
        <f t="shared" si="90"/>
        <v>141163</v>
      </c>
    </row>
    <row r="5627" spans="1:6" x14ac:dyDescent="0.3">
      <c r="A5627" s="45">
        <v>43433</v>
      </c>
      <c r="B5627" s="5" t="s">
        <v>2594</v>
      </c>
      <c r="C5627" s="5" t="s">
        <v>4427</v>
      </c>
      <c r="D5627" s="43">
        <v>15000</v>
      </c>
      <c r="E5627" s="43"/>
      <c r="F5627" s="48">
        <f t="shared" si="90"/>
        <v>126163</v>
      </c>
    </row>
    <row r="5628" spans="1:6" x14ac:dyDescent="0.3">
      <c r="A5628" s="45">
        <v>43433</v>
      </c>
      <c r="B5628" s="5" t="s">
        <v>84</v>
      </c>
      <c r="C5628" s="5" t="s">
        <v>4428</v>
      </c>
      <c r="D5628" s="43">
        <v>500</v>
      </c>
      <c r="E5628" s="43"/>
      <c r="F5628" s="48">
        <f t="shared" si="90"/>
        <v>125663</v>
      </c>
    </row>
    <row r="5629" spans="1:6" x14ac:dyDescent="0.3">
      <c r="A5629" s="45">
        <v>43433</v>
      </c>
      <c r="B5629" s="5" t="s">
        <v>1837</v>
      </c>
      <c r="C5629" s="5" t="s">
        <v>4429</v>
      </c>
      <c r="D5629" s="43">
        <v>2000</v>
      </c>
      <c r="E5629" s="43"/>
      <c r="F5629" s="48">
        <f t="shared" si="90"/>
        <v>123663</v>
      </c>
    </row>
    <row r="5630" spans="1:6" x14ac:dyDescent="0.3">
      <c r="A5630" s="45">
        <v>43433</v>
      </c>
      <c r="B5630" s="5" t="s">
        <v>3559</v>
      </c>
      <c r="C5630" s="5" t="s">
        <v>4430</v>
      </c>
      <c r="D5630" s="43">
        <v>400</v>
      </c>
      <c r="E5630" s="43"/>
      <c r="F5630" s="48">
        <f t="shared" si="90"/>
        <v>123263</v>
      </c>
    </row>
    <row r="5631" spans="1:6" x14ac:dyDescent="0.3">
      <c r="A5631" s="45">
        <v>43433</v>
      </c>
      <c r="B5631" s="5" t="s">
        <v>247</v>
      </c>
      <c r="C5631" s="5" t="s">
        <v>3946</v>
      </c>
      <c r="D5631" s="43">
        <v>300</v>
      </c>
      <c r="E5631" s="43"/>
      <c r="F5631" s="48">
        <f t="shared" si="90"/>
        <v>122963</v>
      </c>
    </row>
    <row r="5632" spans="1:6" x14ac:dyDescent="0.3">
      <c r="A5632" s="45">
        <v>43434</v>
      </c>
      <c r="B5632" s="5" t="s">
        <v>25</v>
      </c>
      <c r="C5632" s="5" t="s">
        <v>4431</v>
      </c>
      <c r="D5632" s="43">
        <f>60+300+210+160+50+20+400+40+150+20</f>
        <v>1410</v>
      </c>
      <c r="E5632" s="43"/>
      <c r="F5632" s="48">
        <f t="shared" si="90"/>
        <v>121553</v>
      </c>
    </row>
    <row r="5633" spans="1:6" x14ac:dyDescent="0.3">
      <c r="A5633" s="45">
        <v>43434</v>
      </c>
      <c r="B5633" s="5" t="s">
        <v>2594</v>
      </c>
      <c r="C5633" s="5" t="s">
        <v>4432</v>
      </c>
      <c r="D5633" s="43">
        <v>30000</v>
      </c>
      <c r="E5633" s="43"/>
      <c r="F5633" s="48">
        <f t="shared" si="90"/>
        <v>91553</v>
      </c>
    </row>
    <row r="5634" spans="1:6" x14ac:dyDescent="0.3">
      <c r="A5634" s="45">
        <v>43434</v>
      </c>
      <c r="B5634" s="5" t="s">
        <v>3825</v>
      </c>
      <c r="C5634" s="5" t="s">
        <v>3183</v>
      </c>
      <c r="D5634" s="43">
        <v>2000</v>
      </c>
      <c r="E5634" s="43"/>
      <c r="F5634" s="48">
        <f t="shared" si="90"/>
        <v>89553</v>
      </c>
    </row>
    <row r="5635" spans="1:6" x14ac:dyDescent="0.3">
      <c r="A5635" s="45">
        <v>43434</v>
      </c>
      <c r="B5635" s="5" t="s">
        <v>16</v>
      </c>
      <c r="C5635" s="5" t="s">
        <v>4433</v>
      </c>
      <c r="D5635" s="43">
        <v>15000</v>
      </c>
      <c r="E5635" s="43"/>
      <c r="F5635" s="48">
        <f t="shared" si="90"/>
        <v>74553</v>
      </c>
    </row>
    <row r="5636" spans="1:6" x14ac:dyDescent="0.3">
      <c r="A5636" s="45">
        <v>43434</v>
      </c>
      <c r="B5636" s="5" t="s">
        <v>14</v>
      </c>
      <c r="C5636" s="5" t="s">
        <v>4434</v>
      </c>
      <c r="D5636" s="43">
        <v>15000</v>
      </c>
      <c r="E5636" s="43"/>
      <c r="F5636" s="48">
        <f t="shared" si="90"/>
        <v>59553</v>
      </c>
    </row>
    <row r="5637" spans="1:6" x14ac:dyDescent="0.3">
      <c r="A5637" s="45">
        <v>43435</v>
      </c>
      <c r="B5637" s="5" t="s">
        <v>18</v>
      </c>
      <c r="C5637" s="5" t="s">
        <v>4436</v>
      </c>
      <c r="D5637" s="43">
        <v>25000</v>
      </c>
      <c r="E5637" s="43"/>
      <c r="F5637" s="48">
        <f t="shared" si="90"/>
        <v>34553</v>
      </c>
    </row>
    <row r="5638" spans="1:6" x14ac:dyDescent="0.3">
      <c r="A5638" s="45">
        <v>43435</v>
      </c>
      <c r="B5638" s="5" t="s">
        <v>16</v>
      </c>
      <c r="C5638" s="5" t="s">
        <v>4437</v>
      </c>
      <c r="D5638" s="43">
        <v>500</v>
      </c>
      <c r="E5638" s="43"/>
      <c r="F5638" s="48">
        <f t="shared" si="90"/>
        <v>34053</v>
      </c>
    </row>
    <row r="5639" spans="1:6" x14ac:dyDescent="0.3">
      <c r="A5639" s="45">
        <v>43435</v>
      </c>
      <c r="B5639" s="5" t="s">
        <v>2594</v>
      </c>
      <c r="C5639" s="5" t="s">
        <v>4438</v>
      </c>
      <c r="D5639" s="43">
        <v>20000</v>
      </c>
      <c r="E5639" s="43"/>
      <c r="F5639" s="48">
        <f t="shared" si="90"/>
        <v>14053</v>
      </c>
    </row>
    <row r="5640" spans="1:6" x14ac:dyDescent="0.3">
      <c r="A5640" s="45">
        <v>43435</v>
      </c>
      <c r="B5640" s="5" t="s">
        <v>2594</v>
      </c>
      <c r="C5640" s="5" t="s">
        <v>294</v>
      </c>
      <c r="D5640" s="43">
        <v>5000</v>
      </c>
      <c r="E5640" s="43"/>
      <c r="F5640" s="48">
        <f t="shared" si="90"/>
        <v>9053</v>
      </c>
    </row>
    <row r="5641" spans="1:6" x14ac:dyDescent="0.3">
      <c r="A5641" s="45">
        <v>43441</v>
      </c>
      <c r="B5641" s="5" t="s">
        <v>3734</v>
      </c>
      <c r="C5641" s="5" t="s">
        <v>4439</v>
      </c>
      <c r="D5641" s="43">
        <v>1330</v>
      </c>
      <c r="E5641" s="43"/>
      <c r="F5641" s="48">
        <f t="shared" si="90"/>
        <v>7723</v>
      </c>
    </row>
    <row r="5642" spans="1:6" x14ac:dyDescent="0.3">
      <c r="A5642" s="45">
        <v>43441</v>
      </c>
      <c r="B5642" s="5" t="s">
        <v>16</v>
      </c>
      <c r="C5642" s="5" t="s">
        <v>51</v>
      </c>
      <c r="D5642" s="43">
        <v>400</v>
      </c>
      <c r="E5642" s="43"/>
      <c r="F5642" s="48">
        <f t="shared" si="90"/>
        <v>7323</v>
      </c>
    </row>
    <row r="5643" spans="1:6" x14ac:dyDescent="0.3">
      <c r="A5643" s="45">
        <v>43441</v>
      </c>
      <c r="B5643" s="5" t="s">
        <v>247</v>
      </c>
      <c r="C5643" s="5" t="s">
        <v>4443</v>
      </c>
      <c r="D5643" s="43">
        <v>400</v>
      </c>
      <c r="E5643" s="43"/>
      <c r="F5643" s="48">
        <f t="shared" si="90"/>
        <v>6923</v>
      </c>
    </row>
    <row r="5644" spans="1:6" x14ac:dyDescent="0.3">
      <c r="A5644" s="45">
        <v>43441</v>
      </c>
      <c r="B5644" s="5" t="s">
        <v>247</v>
      </c>
      <c r="C5644" s="5" t="s">
        <v>4440</v>
      </c>
      <c r="D5644" s="43">
        <v>360</v>
      </c>
      <c r="E5644" s="43"/>
      <c r="F5644" s="48">
        <f t="shared" si="90"/>
        <v>6563</v>
      </c>
    </row>
    <row r="5645" spans="1:6" x14ac:dyDescent="0.3">
      <c r="A5645" s="45">
        <v>43441</v>
      </c>
      <c r="B5645" s="5" t="s">
        <v>247</v>
      </c>
      <c r="C5645" s="5" t="s">
        <v>4440</v>
      </c>
      <c r="D5645" s="43">
        <v>270</v>
      </c>
      <c r="E5645" s="43"/>
      <c r="F5645" s="48">
        <f t="shared" ref="F5645:F5708" si="91">F5644-D5645+E5645</f>
        <v>6293</v>
      </c>
    </row>
    <row r="5646" spans="1:6" x14ac:dyDescent="0.3">
      <c r="A5646" s="45">
        <v>43441</v>
      </c>
      <c r="B5646" s="5" t="s">
        <v>14</v>
      </c>
      <c r="C5646" s="5" t="s">
        <v>4441</v>
      </c>
      <c r="D5646" s="43">
        <f>138+60+18</f>
        <v>216</v>
      </c>
      <c r="E5646" s="43"/>
      <c r="F5646" s="48">
        <f t="shared" si="91"/>
        <v>6077</v>
      </c>
    </row>
    <row r="5647" spans="1:6" x14ac:dyDescent="0.3">
      <c r="A5647" s="45">
        <v>43441</v>
      </c>
      <c r="B5647" s="5" t="s">
        <v>25</v>
      </c>
      <c r="C5647" s="5" t="s">
        <v>4442</v>
      </c>
      <c r="D5647" s="43">
        <f>280+60+400+400+130+160+120+30+40+45+30+44+130+210+190+30+30</f>
        <v>2329</v>
      </c>
      <c r="E5647" s="43"/>
      <c r="F5647" s="48">
        <f t="shared" si="91"/>
        <v>3748</v>
      </c>
    </row>
    <row r="5648" spans="1:6" x14ac:dyDescent="0.3">
      <c r="A5648" s="45">
        <v>43442</v>
      </c>
      <c r="B5648" s="5" t="s">
        <v>84</v>
      </c>
      <c r="C5648" s="5" t="s">
        <v>4444</v>
      </c>
      <c r="D5648" s="43">
        <v>1000</v>
      </c>
      <c r="E5648" s="43"/>
      <c r="F5648" s="48">
        <f t="shared" si="91"/>
        <v>2748</v>
      </c>
    </row>
    <row r="5649" spans="1:6" x14ac:dyDescent="0.3">
      <c r="A5649" s="45">
        <v>43442</v>
      </c>
      <c r="B5649" s="5" t="s">
        <v>93</v>
      </c>
      <c r="C5649" s="5" t="s">
        <v>4445</v>
      </c>
      <c r="D5649" s="43">
        <v>1000</v>
      </c>
      <c r="E5649" s="43"/>
      <c r="F5649" s="48">
        <f t="shared" si="91"/>
        <v>1748</v>
      </c>
    </row>
    <row r="5650" spans="1:6" x14ac:dyDescent="0.3">
      <c r="A5650" s="45">
        <v>43442</v>
      </c>
      <c r="B5650" s="5" t="s">
        <v>25</v>
      </c>
      <c r="C5650" s="5" t="s">
        <v>4448</v>
      </c>
      <c r="D5650" s="43">
        <v>1100</v>
      </c>
      <c r="E5650" s="43"/>
      <c r="F5650" s="48">
        <f t="shared" si="91"/>
        <v>648</v>
      </c>
    </row>
    <row r="5651" spans="1:6" x14ac:dyDescent="0.3">
      <c r="A5651" s="45">
        <v>43442</v>
      </c>
      <c r="B5651" s="756" t="s">
        <v>4455</v>
      </c>
      <c r="C5651" s="756"/>
      <c r="D5651" s="71"/>
      <c r="E5651" s="72">
        <v>194</v>
      </c>
      <c r="F5651" s="48">
        <f t="shared" si="91"/>
        <v>842</v>
      </c>
    </row>
    <row r="5652" spans="1:6" x14ac:dyDescent="0.3">
      <c r="A5652" s="45">
        <v>43448</v>
      </c>
      <c r="B5652" s="756" t="s">
        <v>4329</v>
      </c>
      <c r="C5652" s="756"/>
      <c r="D5652" s="71"/>
      <c r="E5652" s="72">
        <v>34500</v>
      </c>
      <c r="F5652" s="48">
        <f t="shared" si="91"/>
        <v>35342</v>
      </c>
    </row>
    <row r="5653" spans="1:6" x14ac:dyDescent="0.3">
      <c r="A5653" s="45">
        <v>43446</v>
      </c>
      <c r="B5653" s="5" t="s">
        <v>11</v>
      </c>
      <c r="C5653" s="5" t="s">
        <v>4449</v>
      </c>
      <c r="D5653" s="43">
        <v>2000</v>
      </c>
      <c r="E5653" s="43"/>
      <c r="F5653" s="48">
        <f t="shared" si="91"/>
        <v>33342</v>
      </c>
    </row>
    <row r="5654" spans="1:6" x14ac:dyDescent="0.3">
      <c r="A5654" s="45">
        <v>43446</v>
      </c>
      <c r="B5654" s="5" t="s">
        <v>54</v>
      </c>
      <c r="C5654" s="5" t="s">
        <v>4456</v>
      </c>
      <c r="D5654" s="43">
        <v>20000</v>
      </c>
      <c r="E5654" s="43"/>
      <c r="F5654" s="48">
        <f t="shared" si="91"/>
        <v>13342</v>
      </c>
    </row>
    <row r="5655" spans="1:6" x14ac:dyDescent="0.3">
      <c r="A5655" s="45">
        <v>43446</v>
      </c>
      <c r="B5655" s="5" t="s">
        <v>541</v>
      </c>
      <c r="C5655" s="5" t="s">
        <v>4457</v>
      </c>
      <c r="D5655" s="43">
        <v>7000</v>
      </c>
      <c r="E5655" s="43"/>
      <c r="F5655" s="48">
        <f t="shared" si="91"/>
        <v>6342</v>
      </c>
    </row>
    <row r="5656" spans="1:6" x14ac:dyDescent="0.3">
      <c r="A5656" s="45">
        <v>43446</v>
      </c>
      <c r="B5656" s="5" t="s">
        <v>25</v>
      </c>
      <c r="C5656" s="5" t="s">
        <v>4450</v>
      </c>
      <c r="D5656" s="43">
        <f>220+45+130+510+400+145+130+95+60+180+38+123+141+200+800+140+20+200+250</f>
        <v>3827</v>
      </c>
      <c r="E5656" s="43"/>
      <c r="F5656" s="48">
        <f t="shared" si="91"/>
        <v>2515</v>
      </c>
    </row>
    <row r="5657" spans="1:6" x14ac:dyDescent="0.3">
      <c r="A5657" s="45">
        <v>43448</v>
      </c>
      <c r="B5657" s="756" t="s">
        <v>4329</v>
      </c>
      <c r="C5657" s="756"/>
      <c r="D5657" s="71"/>
      <c r="E5657" s="72">
        <v>50000</v>
      </c>
      <c r="F5657" s="48">
        <f t="shared" si="91"/>
        <v>52515</v>
      </c>
    </row>
    <row r="5658" spans="1:6" x14ac:dyDescent="0.3">
      <c r="A5658" s="45">
        <v>43448</v>
      </c>
      <c r="B5658" s="5" t="s">
        <v>2594</v>
      </c>
      <c r="C5658" s="5" t="s">
        <v>4454</v>
      </c>
      <c r="D5658" s="43">
        <v>23900</v>
      </c>
      <c r="E5658" s="43"/>
      <c r="F5658" s="48">
        <f t="shared" si="91"/>
        <v>28615</v>
      </c>
    </row>
    <row r="5659" spans="1:6" x14ac:dyDescent="0.3">
      <c r="A5659" s="45">
        <v>43448</v>
      </c>
      <c r="B5659" s="5" t="s">
        <v>84</v>
      </c>
      <c r="C5659" s="5" t="s">
        <v>4451</v>
      </c>
      <c r="D5659" s="43">
        <v>10000</v>
      </c>
      <c r="E5659" s="43"/>
      <c r="F5659" s="48">
        <f t="shared" si="91"/>
        <v>18615</v>
      </c>
    </row>
    <row r="5660" spans="1:6" x14ac:dyDescent="0.3">
      <c r="A5660" s="45">
        <v>43448</v>
      </c>
      <c r="B5660" s="5" t="s">
        <v>84</v>
      </c>
      <c r="C5660" s="5" t="s">
        <v>4452</v>
      </c>
      <c r="D5660" s="43">
        <v>5000</v>
      </c>
      <c r="E5660" s="43"/>
      <c r="F5660" s="48">
        <f t="shared" si="91"/>
        <v>13615</v>
      </c>
    </row>
    <row r="5661" spans="1:6" x14ac:dyDescent="0.3">
      <c r="A5661" s="45">
        <v>43449</v>
      </c>
      <c r="B5661" s="5" t="s">
        <v>2594</v>
      </c>
      <c r="C5661" s="5" t="s">
        <v>4453</v>
      </c>
      <c r="D5661" s="43">
        <v>7485</v>
      </c>
      <c r="E5661" s="43"/>
      <c r="F5661" s="48">
        <f t="shared" si="91"/>
        <v>6130</v>
      </c>
    </row>
    <row r="5662" spans="1:6" x14ac:dyDescent="0.3">
      <c r="A5662" s="45">
        <v>43449</v>
      </c>
      <c r="B5662" s="5" t="s">
        <v>84</v>
      </c>
      <c r="C5662" s="5" t="s">
        <v>4458</v>
      </c>
      <c r="D5662" s="43">
        <v>1000</v>
      </c>
      <c r="E5662" s="43"/>
      <c r="F5662" s="48">
        <f t="shared" si="91"/>
        <v>5130</v>
      </c>
    </row>
    <row r="5663" spans="1:6" x14ac:dyDescent="0.3">
      <c r="A5663" s="45">
        <v>43449</v>
      </c>
      <c r="B5663" s="5" t="s">
        <v>0</v>
      </c>
      <c r="C5663" s="5" t="s">
        <v>4459</v>
      </c>
      <c r="D5663" s="43">
        <v>3000</v>
      </c>
      <c r="E5663" s="43"/>
      <c r="F5663" s="48">
        <f t="shared" si="91"/>
        <v>2130</v>
      </c>
    </row>
    <row r="5664" spans="1:6" x14ac:dyDescent="0.3">
      <c r="A5664" s="45">
        <v>43449</v>
      </c>
      <c r="B5664" s="5" t="s">
        <v>84</v>
      </c>
      <c r="C5664" s="5" t="s">
        <v>4460</v>
      </c>
      <c r="D5664" s="43">
        <v>500</v>
      </c>
      <c r="E5664" s="43"/>
      <c r="F5664" s="48">
        <f t="shared" si="91"/>
        <v>1630</v>
      </c>
    </row>
    <row r="5665" spans="1:6" x14ac:dyDescent="0.3">
      <c r="A5665" s="45">
        <v>43451</v>
      </c>
      <c r="B5665" s="756" t="s">
        <v>4329</v>
      </c>
      <c r="C5665" s="756"/>
      <c r="D5665" s="71"/>
      <c r="E5665" s="72">
        <v>100000</v>
      </c>
      <c r="F5665" s="48">
        <f t="shared" si="91"/>
        <v>101630</v>
      </c>
    </row>
    <row r="5666" spans="1:6" x14ac:dyDescent="0.3">
      <c r="A5666" s="45">
        <v>43451</v>
      </c>
      <c r="B5666" s="5" t="s">
        <v>2594</v>
      </c>
      <c r="C5666" s="5" t="s">
        <v>4467</v>
      </c>
      <c r="D5666" s="43">
        <v>40360</v>
      </c>
      <c r="E5666" s="43"/>
      <c r="F5666" s="48">
        <f t="shared" si="91"/>
        <v>61270</v>
      </c>
    </row>
    <row r="5667" spans="1:6" x14ac:dyDescent="0.3">
      <c r="A5667" s="45">
        <v>43451</v>
      </c>
      <c r="B5667" s="5" t="s">
        <v>20</v>
      </c>
      <c r="C5667" s="5" t="s">
        <v>40</v>
      </c>
      <c r="D5667" s="43">
        <v>5000</v>
      </c>
      <c r="E5667" s="43"/>
      <c r="F5667" s="48">
        <f t="shared" si="91"/>
        <v>56270</v>
      </c>
    </row>
    <row r="5668" spans="1:6" x14ac:dyDescent="0.3">
      <c r="A5668" s="45">
        <v>43451</v>
      </c>
      <c r="B5668" s="5" t="s">
        <v>1512</v>
      </c>
      <c r="C5668" s="5" t="s">
        <v>4461</v>
      </c>
      <c r="D5668" s="43">
        <v>27000</v>
      </c>
      <c r="E5668" s="43"/>
      <c r="F5668" s="48">
        <f t="shared" si="91"/>
        <v>29270</v>
      </c>
    </row>
    <row r="5669" spans="1:6" x14ac:dyDescent="0.3">
      <c r="A5669" s="45">
        <v>43451</v>
      </c>
      <c r="B5669" s="5" t="s">
        <v>3559</v>
      </c>
      <c r="C5669" s="5" t="s">
        <v>3442</v>
      </c>
      <c r="D5669" s="43">
        <v>620</v>
      </c>
      <c r="E5669" s="43"/>
      <c r="F5669" s="48">
        <f t="shared" si="91"/>
        <v>28650</v>
      </c>
    </row>
    <row r="5670" spans="1:6" x14ac:dyDescent="0.3">
      <c r="A5670" s="45">
        <v>43451</v>
      </c>
      <c r="B5670" s="5" t="s">
        <v>2346</v>
      </c>
      <c r="C5670" s="5" t="s">
        <v>4462</v>
      </c>
      <c r="D5670" s="43">
        <v>5000</v>
      </c>
      <c r="E5670" s="43"/>
      <c r="F5670" s="48">
        <f t="shared" si="91"/>
        <v>23650</v>
      </c>
    </row>
    <row r="5671" spans="1:6" x14ac:dyDescent="0.3">
      <c r="A5671" s="45">
        <v>43451</v>
      </c>
      <c r="B5671" s="5" t="s">
        <v>110</v>
      </c>
      <c r="C5671" s="5" t="s">
        <v>26</v>
      </c>
      <c r="D5671" s="43">
        <v>3300</v>
      </c>
      <c r="E5671" s="43"/>
      <c r="F5671" s="48">
        <f t="shared" si="91"/>
        <v>20350</v>
      </c>
    </row>
    <row r="5672" spans="1:6" x14ac:dyDescent="0.3">
      <c r="A5672" s="45">
        <v>43451</v>
      </c>
      <c r="B5672" s="5" t="s">
        <v>16</v>
      </c>
      <c r="C5672" s="5" t="s">
        <v>49</v>
      </c>
      <c r="D5672" s="43">
        <v>5000</v>
      </c>
      <c r="E5672" s="43"/>
      <c r="F5672" s="48">
        <f t="shared" si="91"/>
        <v>15350</v>
      </c>
    </row>
    <row r="5673" spans="1:6" x14ac:dyDescent="0.3">
      <c r="A5673" s="45">
        <v>43451</v>
      </c>
      <c r="B5673" s="5" t="s">
        <v>84</v>
      </c>
      <c r="C5673" s="5" t="s">
        <v>4268</v>
      </c>
      <c r="D5673" s="43">
        <v>5000</v>
      </c>
      <c r="E5673" s="43"/>
      <c r="F5673" s="48">
        <f t="shared" si="91"/>
        <v>10350</v>
      </c>
    </row>
    <row r="5674" spans="1:6" x14ac:dyDescent="0.3">
      <c r="A5674" s="45">
        <v>43451</v>
      </c>
      <c r="B5674" s="5" t="s">
        <v>1837</v>
      </c>
      <c r="C5674" s="5" t="s">
        <v>4463</v>
      </c>
      <c r="D5674" s="43">
        <v>5000</v>
      </c>
      <c r="E5674" s="43"/>
      <c r="F5674" s="48">
        <f t="shared" si="91"/>
        <v>5350</v>
      </c>
    </row>
    <row r="5675" spans="1:6" x14ac:dyDescent="0.3">
      <c r="A5675" s="45">
        <v>43451</v>
      </c>
      <c r="B5675" s="5" t="s">
        <v>84</v>
      </c>
      <c r="C5675" s="5" t="s">
        <v>4464</v>
      </c>
      <c r="D5675" s="43">
        <v>1000</v>
      </c>
      <c r="E5675" s="43"/>
      <c r="F5675" s="48">
        <f t="shared" si="91"/>
        <v>4350</v>
      </c>
    </row>
    <row r="5676" spans="1:6" x14ac:dyDescent="0.3">
      <c r="A5676" s="45">
        <v>43452</v>
      </c>
      <c r="B5676" s="5" t="s">
        <v>1512</v>
      </c>
      <c r="C5676" s="5" t="s">
        <v>4465</v>
      </c>
      <c r="D5676" s="43">
        <v>2000</v>
      </c>
      <c r="E5676" s="43"/>
      <c r="F5676" s="48">
        <f t="shared" si="91"/>
        <v>2350</v>
      </c>
    </row>
    <row r="5677" spans="1:6" x14ac:dyDescent="0.3">
      <c r="A5677" s="45">
        <v>43452</v>
      </c>
      <c r="B5677" s="756" t="s">
        <v>4329</v>
      </c>
      <c r="C5677" s="756"/>
      <c r="D5677" s="71"/>
      <c r="E5677" s="72">
        <v>30000</v>
      </c>
      <c r="F5677" s="48">
        <f t="shared" si="91"/>
        <v>32350</v>
      </c>
    </row>
    <row r="5678" spans="1:6" x14ac:dyDescent="0.3">
      <c r="A5678" s="45">
        <v>43452</v>
      </c>
      <c r="B5678" s="5" t="s">
        <v>1343</v>
      </c>
      <c r="C5678" s="5" t="s">
        <v>4466</v>
      </c>
      <c r="D5678" s="43">
        <v>5000</v>
      </c>
      <c r="E5678" s="43"/>
      <c r="F5678" s="48">
        <f t="shared" si="91"/>
        <v>27350</v>
      </c>
    </row>
    <row r="5679" spans="1:6" x14ac:dyDescent="0.3">
      <c r="A5679" s="45">
        <v>43452</v>
      </c>
      <c r="B5679" s="5" t="s">
        <v>2594</v>
      </c>
      <c r="C5679" s="5" t="s">
        <v>4468</v>
      </c>
      <c r="D5679" s="43">
        <v>10918</v>
      </c>
      <c r="E5679" s="43"/>
      <c r="F5679" s="48">
        <f t="shared" si="91"/>
        <v>16432</v>
      </c>
    </row>
    <row r="5680" spans="1:6" x14ac:dyDescent="0.3">
      <c r="A5680" s="45">
        <v>43452</v>
      </c>
      <c r="B5680" s="5" t="s">
        <v>247</v>
      </c>
      <c r="C5680" s="5" t="s">
        <v>4470</v>
      </c>
      <c r="D5680" s="43">
        <v>120</v>
      </c>
      <c r="E5680" s="43"/>
      <c r="F5680" s="48">
        <f t="shared" si="91"/>
        <v>16312</v>
      </c>
    </row>
    <row r="5681" spans="1:6" x14ac:dyDescent="0.3">
      <c r="A5681" s="45">
        <v>43452</v>
      </c>
      <c r="B5681" s="5" t="s">
        <v>4039</v>
      </c>
      <c r="C5681" s="5" t="s">
        <v>3703</v>
      </c>
      <c r="D5681" s="43">
        <v>5000</v>
      </c>
      <c r="E5681" s="43"/>
      <c r="F5681" s="48">
        <f t="shared" si="91"/>
        <v>11312</v>
      </c>
    </row>
    <row r="5682" spans="1:6" x14ac:dyDescent="0.3">
      <c r="A5682" s="45">
        <v>43452</v>
      </c>
      <c r="B5682" s="5" t="s">
        <v>0</v>
      </c>
      <c r="C5682" s="5" t="s">
        <v>4471</v>
      </c>
      <c r="D5682" s="43">
        <v>5000</v>
      </c>
      <c r="E5682" s="43"/>
      <c r="F5682" s="48">
        <f t="shared" si="91"/>
        <v>6312</v>
      </c>
    </row>
    <row r="5683" spans="1:6" x14ac:dyDescent="0.3">
      <c r="A5683" s="45">
        <v>43452</v>
      </c>
      <c r="B5683" s="5" t="s">
        <v>16</v>
      </c>
      <c r="C5683" s="5" t="s">
        <v>294</v>
      </c>
      <c r="D5683" s="43">
        <v>5000</v>
      </c>
      <c r="E5683" s="43"/>
      <c r="F5683" s="48">
        <f t="shared" si="91"/>
        <v>1312</v>
      </c>
    </row>
    <row r="5684" spans="1:6" x14ac:dyDescent="0.3">
      <c r="A5684" s="45">
        <v>43452</v>
      </c>
      <c r="B5684" s="756" t="s">
        <v>4472</v>
      </c>
      <c r="C5684" s="756"/>
      <c r="D5684" s="71"/>
      <c r="E5684" s="72">
        <v>980000</v>
      </c>
      <c r="F5684" s="48">
        <f t="shared" si="91"/>
        <v>981312</v>
      </c>
    </row>
    <row r="5685" spans="1:6" x14ac:dyDescent="0.3">
      <c r="A5685" s="45">
        <v>43452</v>
      </c>
      <c r="B5685" s="5" t="s">
        <v>4478</v>
      </c>
      <c r="C5685" s="5" t="s">
        <v>40</v>
      </c>
      <c r="D5685" s="43">
        <v>132000</v>
      </c>
      <c r="E5685" s="43"/>
      <c r="F5685" s="48">
        <f t="shared" si="91"/>
        <v>849312</v>
      </c>
    </row>
    <row r="5686" spans="1:6" x14ac:dyDescent="0.3">
      <c r="A5686" s="45">
        <v>43453</v>
      </c>
      <c r="B5686" s="5" t="s">
        <v>4473</v>
      </c>
      <c r="C5686" s="5" t="s">
        <v>4474</v>
      </c>
      <c r="D5686" s="43">
        <v>30000</v>
      </c>
      <c r="E5686" s="43"/>
      <c r="F5686" s="48">
        <f t="shared" si="91"/>
        <v>819312</v>
      </c>
    </row>
    <row r="5687" spans="1:6" x14ac:dyDescent="0.3">
      <c r="A5687" s="45">
        <v>43453</v>
      </c>
      <c r="B5687" s="5" t="s">
        <v>2348</v>
      </c>
      <c r="C5687" s="5" t="s">
        <v>4475</v>
      </c>
      <c r="D5687" s="43">
        <v>50000</v>
      </c>
      <c r="E5687" s="43"/>
      <c r="F5687" s="48">
        <f t="shared" si="91"/>
        <v>769312</v>
      </c>
    </row>
    <row r="5688" spans="1:6" x14ac:dyDescent="0.3">
      <c r="A5688" s="45">
        <v>43453</v>
      </c>
      <c r="B5688" s="5" t="s">
        <v>2096</v>
      </c>
      <c r="C5688" s="5" t="s">
        <v>4476</v>
      </c>
      <c r="D5688" s="43">
        <v>16235</v>
      </c>
      <c r="E5688" s="43"/>
      <c r="F5688" s="48">
        <f t="shared" si="91"/>
        <v>753077</v>
      </c>
    </row>
    <row r="5689" spans="1:6" x14ac:dyDescent="0.3">
      <c r="A5689" s="45">
        <v>43453</v>
      </c>
      <c r="B5689" s="5" t="s">
        <v>1343</v>
      </c>
      <c r="C5689" s="5" t="s">
        <v>4477</v>
      </c>
      <c r="D5689" s="43">
        <v>14000</v>
      </c>
      <c r="E5689" s="43"/>
      <c r="F5689" s="48">
        <f t="shared" si="91"/>
        <v>739077</v>
      </c>
    </row>
    <row r="5690" spans="1:6" x14ac:dyDescent="0.3">
      <c r="A5690" s="45">
        <v>43453</v>
      </c>
      <c r="B5690" s="5" t="s">
        <v>3825</v>
      </c>
      <c r="C5690" s="5" t="s">
        <v>3332</v>
      </c>
      <c r="D5690" s="43">
        <v>3000</v>
      </c>
      <c r="E5690" s="43"/>
      <c r="F5690" s="48">
        <f t="shared" si="91"/>
        <v>736077</v>
      </c>
    </row>
    <row r="5691" spans="1:6" x14ac:dyDescent="0.3">
      <c r="A5691" s="45">
        <v>43454</v>
      </c>
      <c r="B5691" s="5" t="s">
        <v>2594</v>
      </c>
      <c r="C5691" s="5" t="s">
        <v>4480</v>
      </c>
      <c r="D5691" s="43">
        <v>16500</v>
      </c>
      <c r="E5691" s="43"/>
      <c r="F5691" s="48">
        <f t="shared" si="91"/>
        <v>719577</v>
      </c>
    </row>
    <row r="5692" spans="1:6" x14ac:dyDescent="0.3">
      <c r="A5692" s="45">
        <v>43454</v>
      </c>
      <c r="B5692" s="5" t="s">
        <v>16</v>
      </c>
      <c r="C5692" s="5" t="s">
        <v>4479</v>
      </c>
      <c r="D5692" s="43">
        <v>20000</v>
      </c>
      <c r="E5692" s="43"/>
      <c r="F5692" s="48">
        <f t="shared" si="91"/>
        <v>699577</v>
      </c>
    </row>
    <row r="5693" spans="1:6" x14ac:dyDescent="0.3">
      <c r="A5693" s="45">
        <v>43454</v>
      </c>
      <c r="B5693" s="5" t="s">
        <v>16</v>
      </c>
      <c r="C5693" s="5" t="s">
        <v>438</v>
      </c>
      <c r="D5693" s="43">
        <v>10000</v>
      </c>
      <c r="E5693" s="43"/>
      <c r="F5693" s="48">
        <f t="shared" si="91"/>
        <v>689577</v>
      </c>
    </row>
    <row r="5694" spans="1:6" x14ac:dyDescent="0.3">
      <c r="A5694" s="45">
        <v>43454</v>
      </c>
      <c r="B5694" s="5" t="s">
        <v>1316</v>
      </c>
      <c r="C5694" s="5" t="s">
        <v>4485</v>
      </c>
      <c r="D5694" s="43">
        <v>30000</v>
      </c>
      <c r="E5694" s="43"/>
      <c r="F5694" s="48">
        <f t="shared" si="91"/>
        <v>659577</v>
      </c>
    </row>
    <row r="5695" spans="1:6" x14ac:dyDescent="0.3">
      <c r="A5695" s="45">
        <v>43455</v>
      </c>
      <c r="B5695" s="5" t="s">
        <v>2594</v>
      </c>
      <c r="C5695" s="5" t="s">
        <v>3557</v>
      </c>
      <c r="D5695" s="43">
        <v>10000</v>
      </c>
      <c r="E5695" s="43"/>
      <c r="F5695" s="48">
        <f t="shared" si="91"/>
        <v>649577</v>
      </c>
    </row>
    <row r="5696" spans="1:6" x14ac:dyDescent="0.3">
      <c r="A5696" s="45">
        <v>43455</v>
      </c>
      <c r="B5696" s="5" t="s">
        <v>110</v>
      </c>
      <c r="C5696" s="5" t="s">
        <v>4481</v>
      </c>
      <c r="D5696" s="43">
        <v>100000</v>
      </c>
      <c r="E5696" s="43"/>
      <c r="F5696" s="48">
        <f t="shared" si="91"/>
        <v>549577</v>
      </c>
    </row>
    <row r="5697" spans="1:6" x14ac:dyDescent="0.3">
      <c r="A5697" s="45">
        <v>43456</v>
      </c>
      <c r="B5697" s="5" t="s">
        <v>2594</v>
      </c>
      <c r="C5697" s="5" t="s">
        <v>4482</v>
      </c>
      <c r="D5697" s="43">
        <v>20000</v>
      </c>
      <c r="E5697" s="43"/>
      <c r="F5697" s="48">
        <f t="shared" si="91"/>
        <v>529577</v>
      </c>
    </row>
    <row r="5698" spans="1:6" x14ac:dyDescent="0.3">
      <c r="A5698" s="45">
        <v>43456</v>
      </c>
      <c r="B5698" s="5" t="s">
        <v>1343</v>
      </c>
      <c r="C5698" s="5" t="s">
        <v>4483</v>
      </c>
      <c r="D5698" s="43">
        <v>2000</v>
      </c>
      <c r="E5698" s="43"/>
      <c r="F5698" s="48">
        <f t="shared" si="91"/>
        <v>527577</v>
      </c>
    </row>
    <row r="5699" spans="1:6" x14ac:dyDescent="0.3">
      <c r="A5699" s="45">
        <v>43458</v>
      </c>
      <c r="B5699" s="5" t="s">
        <v>3734</v>
      </c>
      <c r="C5699" s="5" t="s">
        <v>4484</v>
      </c>
      <c r="D5699" s="43">
        <v>1470</v>
      </c>
      <c r="E5699" s="43"/>
      <c r="F5699" s="48">
        <f t="shared" si="91"/>
        <v>526107</v>
      </c>
    </row>
    <row r="5700" spans="1:6" x14ac:dyDescent="0.3">
      <c r="A5700" s="45">
        <v>43458</v>
      </c>
      <c r="B5700" s="5" t="s">
        <v>541</v>
      </c>
      <c r="C5700" s="5" t="s">
        <v>40</v>
      </c>
      <c r="D5700" s="43">
        <v>520000</v>
      </c>
      <c r="E5700" s="43"/>
      <c r="F5700" s="48">
        <f t="shared" si="91"/>
        <v>6107</v>
      </c>
    </row>
    <row r="5701" spans="1:6" x14ac:dyDescent="0.3">
      <c r="A5701" s="45">
        <v>43458</v>
      </c>
      <c r="B5701" s="5" t="s">
        <v>2594</v>
      </c>
      <c r="C5701" s="5" t="s">
        <v>4486</v>
      </c>
      <c r="D5701" s="43">
        <v>500</v>
      </c>
      <c r="E5701" s="43"/>
      <c r="F5701" s="48">
        <f t="shared" si="91"/>
        <v>5607</v>
      </c>
    </row>
    <row r="5702" spans="1:6" x14ac:dyDescent="0.3">
      <c r="A5702" s="45">
        <v>43458</v>
      </c>
      <c r="B5702" s="5" t="s">
        <v>84</v>
      </c>
      <c r="C5702" s="5" t="s">
        <v>4487</v>
      </c>
      <c r="D5702" s="43">
        <v>1000</v>
      </c>
      <c r="E5702" s="43"/>
      <c r="F5702" s="48">
        <f t="shared" si="91"/>
        <v>4607</v>
      </c>
    </row>
    <row r="5703" spans="1:6" x14ac:dyDescent="0.3">
      <c r="A5703" s="45">
        <v>43458</v>
      </c>
      <c r="B5703" s="5" t="s">
        <v>2594</v>
      </c>
      <c r="C5703" s="5" t="s">
        <v>4488</v>
      </c>
      <c r="D5703" s="43">
        <v>250</v>
      </c>
      <c r="E5703" s="43"/>
      <c r="F5703" s="48">
        <f t="shared" si="91"/>
        <v>4357</v>
      </c>
    </row>
    <row r="5704" spans="1:6" x14ac:dyDescent="0.3">
      <c r="A5704" s="45">
        <v>43458</v>
      </c>
      <c r="B5704" s="5" t="s">
        <v>4489</v>
      </c>
      <c r="C5704" s="5" t="s">
        <v>640</v>
      </c>
      <c r="D5704" s="43">
        <v>2000</v>
      </c>
      <c r="E5704" s="43"/>
      <c r="F5704" s="48">
        <f t="shared" si="91"/>
        <v>2357</v>
      </c>
    </row>
    <row r="5705" spans="1:6" x14ac:dyDescent="0.3">
      <c r="A5705" s="45">
        <v>43458</v>
      </c>
      <c r="B5705" s="5" t="s">
        <v>4489</v>
      </c>
      <c r="C5705" s="5" t="s">
        <v>2435</v>
      </c>
      <c r="D5705" s="43">
        <v>520</v>
      </c>
      <c r="E5705" s="43"/>
      <c r="F5705" s="48">
        <f t="shared" si="91"/>
        <v>1837</v>
      </c>
    </row>
    <row r="5706" spans="1:6" x14ac:dyDescent="0.3">
      <c r="A5706" s="45">
        <v>43458</v>
      </c>
      <c r="B5706" s="756" t="s">
        <v>3444</v>
      </c>
      <c r="C5706" s="756"/>
      <c r="D5706" s="71"/>
      <c r="E5706" s="72">
        <v>50000</v>
      </c>
      <c r="F5706" s="48">
        <f t="shared" si="91"/>
        <v>51837</v>
      </c>
    </row>
    <row r="5707" spans="1:6" x14ac:dyDescent="0.3">
      <c r="A5707" s="45">
        <v>43458</v>
      </c>
      <c r="B5707" s="5" t="s">
        <v>84</v>
      </c>
      <c r="C5707" s="92" t="s">
        <v>4531</v>
      </c>
      <c r="D5707" s="43">
        <v>5000</v>
      </c>
      <c r="E5707" s="43"/>
      <c r="F5707" s="48">
        <f t="shared" si="91"/>
        <v>46837</v>
      </c>
    </row>
    <row r="5708" spans="1:6" x14ac:dyDescent="0.3">
      <c r="A5708" s="45">
        <v>43461</v>
      </c>
      <c r="B5708" s="5" t="s">
        <v>3138</v>
      </c>
      <c r="C5708" s="5" t="s">
        <v>4532</v>
      </c>
      <c r="D5708" s="43">
        <v>20618</v>
      </c>
      <c r="E5708" s="43"/>
      <c r="F5708" s="48">
        <f t="shared" si="91"/>
        <v>26219</v>
      </c>
    </row>
    <row r="5709" spans="1:6" x14ac:dyDescent="0.3">
      <c r="A5709" s="45">
        <v>43461</v>
      </c>
      <c r="B5709" s="5" t="s">
        <v>84</v>
      </c>
      <c r="C5709" s="5" t="s">
        <v>4491</v>
      </c>
      <c r="D5709" s="43">
        <v>500</v>
      </c>
      <c r="E5709" s="43"/>
      <c r="F5709" s="48">
        <f t="shared" ref="F5709:F5772" si="92">F5708-D5709+E5709</f>
        <v>25719</v>
      </c>
    </row>
    <row r="5710" spans="1:6" x14ac:dyDescent="0.3">
      <c r="A5710" s="45">
        <v>43461</v>
      </c>
      <c r="B5710" s="5" t="s">
        <v>84</v>
      </c>
      <c r="C5710" s="5" t="s">
        <v>4492</v>
      </c>
      <c r="D5710" s="43">
        <v>3000</v>
      </c>
      <c r="E5710" s="43"/>
      <c r="F5710" s="48">
        <f t="shared" si="92"/>
        <v>22719</v>
      </c>
    </row>
    <row r="5711" spans="1:6" x14ac:dyDescent="0.3">
      <c r="A5711" s="45">
        <v>43461</v>
      </c>
      <c r="B5711" s="5" t="s">
        <v>0</v>
      </c>
      <c r="C5711" s="5" t="s">
        <v>4533</v>
      </c>
      <c r="D5711" s="43">
        <v>3000</v>
      </c>
      <c r="E5711" s="43"/>
      <c r="F5711" s="48">
        <f t="shared" si="92"/>
        <v>19719</v>
      </c>
    </row>
    <row r="5712" spans="1:6" x14ac:dyDescent="0.3">
      <c r="A5712" s="45">
        <v>43462</v>
      </c>
      <c r="B5712" s="5" t="s">
        <v>14</v>
      </c>
      <c r="C5712" s="5" t="s">
        <v>3910</v>
      </c>
      <c r="D5712" s="43">
        <v>10000</v>
      </c>
      <c r="E5712" s="43"/>
      <c r="F5712" s="48">
        <f t="shared" si="92"/>
        <v>9719</v>
      </c>
    </row>
    <row r="5713" spans="1:6" x14ac:dyDescent="0.3">
      <c r="A5713" s="45">
        <v>43462</v>
      </c>
      <c r="B5713" s="5" t="s">
        <v>84</v>
      </c>
      <c r="C5713" s="5" t="s">
        <v>4493</v>
      </c>
      <c r="D5713" s="43">
        <v>1000</v>
      </c>
      <c r="E5713" s="43"/>
      <c r="F5713" s="48">
        <f t="shared" si="92"/>
        <v>8719</v>
      </c>
    </row>
    <row r="5714" spans="1:6" x14ac:dyDescent="0.3">
      <c r="A5714" s="45">
        <v>43463</v>
      </c>
      <c r="B5714" s="5" t="s">
        <v>14</v>
      </c>
      <c r="C5714" s="5" t="s">
        <v>4494</v>
      </c>
      <c r="D5714" s="43">
        <v>4800</v>
      </c>
      <c r="E5714" s="43"/>
      <c r="F5714" s="48">
        <f t="shared" si="92"/>
        <v>3919</v>
      </c>
    </row>
    <row r="5715" spans="1:6" x14ac:dyDescent="0.3">
      <c r="A5715" s="45">
        <v>43463</v>
      </c>
      <c r="B5715" s="5" t="s">
        <v>110</v>
      </c>
      <c r="C5715" s="5" t="s">
        <v>640</v>
      </c>
      <c r="D5715" s="43">
        <v>1000</v>
      </c>
      <c r="E5715" s="43"/>
      <c r="F5715" s="48">
        <f t="shared" si="92"/>
        <v>2919</v>
      </c>
    </row>
    <row r="5716" spans="1:6" x14ac:dyDescent="0.3">
      <c r="A5716" s="45">
        <v>43465</v>
      </c>
      <c r="B5716" s="756" t="s">
        <v>3444</v>
      </c>
      <c r="C5716" s="756"/>
      <c r="D5716" s="71"/>
      <c r="E5716" s="72">
        <v>100000</v>
      </c>
      <c r="F5716" s="48">
        <f t="shared" si="92"/>
        <v>102919</v>
      </c>
    </row>
    <row r="5717" spans="1:6" x14ac:dyDescent="0.3">
      <c r="A5717" s="45">
        <v>43465</v>
      </c>
      <c r="B5717" s="5" t="s">
        <v>1316</v>
      </c>
      <c r="C5717" s="5" t="s">
        <v>4485</v>
      </c>
      <c r="D5717" s="43">
        <v>50000</v>
      </c>
      <c r="E5717" s="43"/>
      <c r="F5717" s="48">
        <f t="shared" si="92"/>
        <v>52919</v>
      </c>
    </row>
    <row r="5718" spans="1:6" x14ac:dyDescent="0.3">
      <c r="A5718" s="45">
        <v>43465</v>
      </c>
      <c r="B5718" s="5" t="s">
        <v>2594</v>
      </c>
      <c r="C5718" s="5" t="s">
        <v>4495</v>
      </c>
      <c r="D5718" s="43">
        <v>20000</v>
      </c>
      <c r="E5718" s="43"/>
      <c r="F5718" s="48">
        <f t="shared" si="92"/>
        <v>32919</v>
      </c>
    </row>
    <row r="5719" spans="1:6" x14ac:dyDescent="0.3">
      <c r="A5719" s="45">
        <v>43465</v>
      </c>
      <c r="B5719" s="5" t="s">
        <v>51</v>
      </c>
      <c r="C5719" s="5" t="s">
        <v>4496</v>
      </c>
      <c r="D5719" s="43">
        <f>450+2990</f>
        <v>3440</v>
      </c>
      <c r="E5719" s="43"/>
      <c r="F5719" s="48">
        <f t="shared" si="92"/>
        <v>29479</v>
      </c>
    </row>
    <row r="5720" spans="1:6" x14ac:dyDescent="0.3">
      <c r="A5720" s="45">
        <v>43465</v>
      </c>
      <c r="B5720" s="5" t="s">
        <v>84</v>
      </c>
      <c r="C5720" s="5" t="s">
        <v>4497</v>
      </c>
      <c r="D5720" s="43">
        <v>500</v>
      </c>
      <c r="E5720" s="43"/>
      <c r="F5720" s="48">
        <f t="shared" si="92"/>
        <v>28979</v>
      </c>
    </row>
    <row r="5721" spans="1:6" x14ac:dyDescent="0.3">
      <c r="A5721" s="45">
        <v>43466</v>
      </c>
      <c r="B5721" s="5" t="s">
        <v>1343</v>
      </c>
      <c r="C5721" s="5" t="s">
        <v>4483</v>
      </c>
      <c r="D5721" s="43">
        <v>890</v>
      </c>
      <c r="E5721" s="43"/>
      <c r="F5721" s="48">
        <f t="shared" si="92"/>
        <v>28089</v>
      </c>
    </row>
    <row r="5722" spans="1:6" x14ac:dyDescent="0.3">
      <c r="A5722" s="45">
        <v>43466</v>
      </c>
      <c r="B5722" s="5" t="s">
        <v>0</v>
      </c>
      <c r="C5722" s="5" t="s">
        <v>4319</v>
      </c>
      <c r="D5722" s="43">
        <v>5000</v>
      </c>
      <c r="E5722" s="43"/>
      <c r="F5722" s="48">
        <f t="shared" si="92"/>
        <v>23089</v>
      </c>
    </row>
    <row r="5723" spans="1:6" x14ac:dyDescent="0.3">
      <c r="A5723" s="45">
        <v>43466</v>
      </c>
      <c r="B5723" s="5" t="s">
        <v>4534</v>
      </c>
      <c r="C5723" s="5" t="s">
        <v>4498</v>
      </c>
      <c r="D5723" s="43">
        <v>15000</v>
      </c>
      <c r="E5723" s="43"/>
      <c r="F5723" s="48">
        <f t="shared" si="92"/>
        <v>8089</v>
      </c>
    </row>
    <row r="5724" spans="1:6" x14ac:dyDescent="0.3">
      <c r="A5724" s="45">
        <v>43467</v>
      </c>
      <c r="B5724" s="5" t="s">
        <v>73</v>
      </c>
      <c r="C5724" s="5" t="s">
        <v>4499</v>
      </c>
      <c r="D5724" s="43">
        <v>50</v>
      </c>
      <c r="E5724" s="43"/>
      <c r="F5724" s="48">
        <f t="shared" si="92"/>
        <v>8039</v>
      </c>
    </row>
    <row r="5725" spans="1:6" x14ac:dyDescent="0.3">
      <c r="A5725" s="45">
        <v>43467</v>
      </c>
      <c r="B5725" s="5" t="s">
        <v>3724</v>
      </c>
      <c r="C5725" s="5" t="s">
        <v>4535</v>
      </c>
      <c r="D5725" s="43">
        <v>4150</v>
      </c>
      <c r="E5725" s="43"/>
      <c r="F5725" s="48">
        <f t="shared" si="92"/>
        <v>3889</v>
      </c>
    </row>
    <row r="5726" spans="1:6" x14ac:dyDescent="0.3">
      <c r="A5726" s="45">
        <v>43467</v>
      </c>
      <c r="B5726" s="5" t="s">
        <v>2570</v>
      </c>
      <c r="C5726" s="5" t="s">
        <v>4028</v>
      </c>
      <c r="D5726" s="43">
        <v>215</v>
      </c>
      <c r="E5726" s="43"/>
      <c r="F5726" s="48">
        <f t="shared" si="92"/>
        <v>3674</v>
      </c>
    </row>
    <row r="5727" spans="1:6" x14ac:dyDescent="0.3">
      <c r="A5727" s="45">
        <v>43469</v>
      </c>
      <c r="B5727" s="5" t="s">
        <v>25</v>
      </c>
      <c r="C5727" s="5" t="s">
        <v>4500</v>
      </c>
      <c r="D5727" s="43">
        <f>120+300+45+260+30+50+80+150+40+50+140+180+200</f>
        <v>1645</v>
      </c>
      <c r="E5727" s="43"/>
      <c r="F5727" s="48">
        <f t="shared" si="92"/>
        <v>2029</v>
      </c>
    </row>
    <row r="5728" spans="1:6" x14ac:dyDescent="0.3">
      <c r="A5728" s="45">
        <v>43473</v>
      </c>
      <c r="B5728" s="5" t="s">
        <v>25</v>
      </c>
      <c r="C5728" s="5" t="s">
        <v>4501</v>
      </c>
      <c r="D5728" s="43">
        <f>130+140+570+260+200+80+45+70+40+45+45+45+120+15+180+40</f>
        <v>2025</v>
      </c>
      <c r="E5728" s="43"/>
      <c r="F5728" s="48">
        <f t="shared" si="92"/>
        <v>4</v>
      </c>
    </row>
    <row r="5729" spans="1:6" x14ac:dyDescent="0.3">
      <c r="A5729" s="45">
        <v>43473</v>
      </c>
      <c r="B5729" s="756" t="s">
        <v>4447</v>
      </c>
      <c r="C5729" s="756"/>
      <c r="D5729" s="71"/>
      <c r="E5729" s="72">
        <v>50000</v>
      </c>
      <c r="F5729" s="48">
        <f t="shared" si="92"/>
        <v>50004</v>
      </c>
    </row>
    <row r="5730" spans="1:6" x14ac:dyDescent="0.3">
      <c r="A5730" s="45">
        <v>43473</v>
      </c>
      <c r="B5730" s="5" t="s">
        <v>2594</v>
      </c>
      <c r="C5730" s="5" t="s">
        <v>4502</v>
      </c>
      <c r="D5730" s="43">
        <v>20126</v>
      </c>
      <c r="E5730" s="43"/>
      <c r="F5730" s="48">
        <f t="shared" si="92"/>
        <v>29878</v>
      </c>
    </row>
    <row r="5731" spans="1:6" x14ac:dyDescent="0.3">
      <c r="A5731" s="45">
        <v>43473</v>
      </c>
      <c r="B5731" s="5" t="s">
        <v>28</v>
      </c>
      <c r="C5731" s="5" t="s">
        <v>4503</v>
      </c>
      <c r="D5731" s="43">
        <v>20000</v>
      </c>
      <c r="E5731" s="43"/>
      <c r="F5731" s="48">
        <f t="shared" si="92"/>
        <v>9878</v>
      </c>
    </row>
    <row r="5732" spans="1:6" x14ac:dyDescent="0.3">
      <c r="A5732" s="45">
        <v>43474</v>
      </c>
      <c r="B5732" s="756" t="s">
        <v>4106</v>
      </c>
      <c r="C5732" s="756"/>
      <c r="D5732" s="71"/>
      <c r="E5732" s="72">
        <v>50000</v>
      </c>
      <c r="F5732" s="48">
        <f t="shared" si="92"/>
        <v>59878</v>
      </c>
    </row>
    <row r="5733" spans="1:6" x14ac:dyDescent="0.3">
      <c r="A5733" s="45">
        <v>43474</v>
      </c>
      <c r="B5733" s="5" t="s">
        <v>2594</v>
      </c>
      <c r="C5733" s="5" t="s">
        <v>4519</v>
      </c>
      <c r="D5733" s="43">
        <v>6000</v>
      </c>
      <c r="E5733" s="43"/>
      <c r="F5733" s="48">
        <f t="shared" si="92"/>
        <v>53878</v>
      </c>
    </row>
    <row r="5734" spans="1:6" x14ac:dyDescent="0.3">
      <c r="A5734" s="45">
        <v>43474</v>
      </c>
      <c r="B5734" s="5" t="s">
        <v>2594</v>
      </c>
      <c r="C5734" s="5" t="s">
        <v>4520</v>
      </c>
      <c r="D5734" s="43">
        <v>32650</v>
      </c>
      <c r="E5734" s="43"/>
      <c r="F5734" s="48">
        <f t="shared" si="92"/>
        <v>21228</v>
      </c>
    </row>
    <row r="5735" spans="1:6" x14ac:dyDescent="0.3">
      <c r="A5735" s="45">
        <v>43474</v>
      </c>
      <c r="B5735" s="5" t="s">
        <v>4504</v>
      </c>
      <c r="C5735" s="5" t="s">
        <v>4505</v>
      </c>
      <c r="D5735" s="43">
        <v>6000</v>
      </c>
      <c r="E5735" s="43"/>
      <c r="F5735" s="48">
        <f t="shared" si="92"/>
        <v>15228</v>
      </c>
    </row>
    <row r="5736" spans="1:6" x14ac:dyDescent="0.3">
      <c r="A5736" s="45">
        <v>43474</v>
      </c>
      <c r="B5736" s="5" t="s">
        <v>0</v>
      </c>
      <c r="C5736" s="5" t="s">
        <v>3612</v>
      </c>
      <c r="D5736" s="43">
        <v>3000</v>
      </c>
      <c r="E5736" s="43"/>
      <c r="F5736" s="48">
        <f t="shared" si="92"/>
        <v>12228</v>
      </c>
    </row>
    <row r="5737" spans="1:6" x14ac:dyDescent="0.3">
      <c r="A5737" s="45">
        <v>43474</v>
      </c>
      <c r="B5737" s="5" t="s">
        <v>16</v>
      </c>
      <c r="C5737" s="5" t="s">
        <v>2435</v>
      </c>
      <c r="D5737" s="43">
        <v>600</v>
      </c>
      <c r="E5737" s="43"/>
      <c r="F5737" s="48">
        <f t="shared" si="92"/>
        <v>11628</v>
      </c>
    </row>
    <row r="5738" spans="1:6" x14ac:dyDescent="0.3">
      <c r="A5738" s="45">
        <v>43474</v>
      </c>
      <c r="B5738" s="5" t="s">
        <v>16</v>
      </c>
      <c r="C5738" s="5" t="s">
        <v>4506</v>
      </c>
      <c r="D5738" s="43">
        <v>500</v>
      </c>
      <c r="E5738" s="43"/>
      <c r="F5738" s="48">
        <f t="shared" si="92"/>
        <v>11128</v>
      </c>
    </row>
    <row r="5739" spans="1:6" x14ac:dyDescent="0.3">
      <c r="A5739" s="45">
        <v>43474</v>
      </c>
      <c r="B5739" s="5" t="s">
        <v>247</v>
      </c>
      <c r="C5739" s="5" t="s">
        <v>4507</v>
      </c>
      <c r="D5739" s="43">
        <v>1000</v>
      </c>
      <c r="E5739" s="43"/>
      <c r="F5739" s="48">
        <f t="shared" si="92"/>
        <v>10128</v>
      </c>
    </row>
    <row r="5740" spans="1:6" x14ac:dyDescent="0.3">
      <c r="A5740" s="45">
        <v>43474</v>
      </c>
      <c r="B5740" s="5" t="s">
        <v>4508</v>
      </c>
      <c r="C5740" s="5" t="s">
        <v>4509</v>
      </c>
      <c r="D5740" s="43">
        <v>500</v>
      </c>
      <c r="E5740" s="43"/>
      <c r="F5740" s="48">
        <f t="shared" si="92"/>
        <v>9628</v>
      </c>
    </row>
    <row r="5741" spans="1:6" x14ac:dyDescent="0.3">
      <c r="A5741" s="45">
        <v>43474</v>
      </c>
      <c r="B5741" s="5" t="s">
        <v>4112</v>
      </c>
      <c r="C5741" s="5" t="s">
        <v>1624</v>
      </c>
      <c r="D5741" s="43">
        <v>100</v>
      </c>
      <c r="E5741" s="43"/>
      <c r="F5741" s="48">
        <f t="shared" si="92"/>
        <v>9528</v>
      </c>
    </row>
    <row r="5742" spans="1:6" x14ac:dyDescent="0.3">
      <c r="A5742" s="45">
        <v>43474</v>
      </c>
      <c r="B5742" s="5" t="s">
        <v>1458</v>
      </c>
      <c r="C5742" s="5" t="s">
        <v>4510</v>
      </c>
      <c r="D5742" s="43">
        <v>1700</v>
      </c>
      <c r="E5742" s="43"/>
      <c r="F5742" s="48">
        <f t="shared" si="92"/>
        <v>7828</v>
      </c>
    </row>
    <row r="5743" spans="1:6" x14ac:dyDescent="0.3">
      <c r="A5743" s="45">
        <v>43474</v>
      </c>
      <c r="B5743" s="5" t="s">
        <v>100</v>
      </c>
      <c r="C5743" s="5" t="s">
        <v>4511</v>
      </c>
      <c r="D5743" s="43">
        <v>1000</v>
      </c>
      <c r="E5743" s="43"/>
      <c r="F5743" s="48">
        <f t="shared" si="92"/>
        <v>6828</v>
      </c>
    </row>
    <row r="5744" spans="1:6" x14ac:dyDescent="0.3">
      <c r="A5744" s="45">
        <v>43475</v>
      </c>
      <c r="B5744" s="756" t="s">
        <v>4106</v>
      </c>
      <c r="C5744" s="756"/>
      <c r="D5744" s="71"/>
      <c r="E5744" s="72">
        <v>100000</v>
      </c>
      <c r="F5744" s="48">
        <f t="shared" si="92"/>
        <v>106828</v>
      </c>
    </row>
    <row r="5745" spans="1:6" x14ac:dyDescent="0.3">
      <c r="A5745" s="45">
        <v>43475</v>
      </c>
      <c r="B5745" s="5" t="s">
        <v>14</v>
      </c>
      <c r="C5745" s="5" t="s">
        <v>4512</v>
      </c>
      <c r="D5745" s="43">
        <v>10000</v>
      </c>
      <c r="E5745" s="43"/>
      <c r="F5745" s="48">
        <f t="shared" si="92"/>
        <v>96828</v>
      </c>
    </row>
    <row r="5746" spans="1:6" x14ac:dyDescent="0.3">
      <c r="A5746" s="45">
        <v>43475</v>
      </c>
      <c r="B5746" s="5" t="s">
        <v>14</v>
      </c>
      <c r="C5746" s="5" t="s">
        <v>3899</v>
      </c>
      <c r="D5746" s="43">
        <v>1000</v>
      </c>
      <c r="E5746" s="43"/>
      <c r="F5746" s="48">
        <f t="shared" si="92"/>
        <v>95828</v>
      </c>
    </row>
    <row r="5747" spans="1:6" x14ac:dyDescent="0.3">
      <c r="A5747" s="45">
        <v>43475</v>
      </c>
      <c r="B5747" s="5" t="s">
        <v>11</v>
      </c>
      <c r="C5747" s="5" t="s">
        <v>294</v>
      </c>
      <c r="D5747" s="43">
        <v>1600</v>
      </c>
      <c r="E5747" s="43"/>
      <c r="F5747" s="48">
        <f t="shared" si="92"/>
        <v>94228</v>
      </c>
    </row>
    <row r="5748" spans="1:6" x14ac:dyDescent="0.3">
      <c r="A5748" s="45">
        <v>43475</v>
      </c>
      <c r="B5748" s="5" t="s">
        <v>4513</v>
      </c>
      <c r="C5748" s="5" t="s">
        <v>4151</v>
      </c>
      <c r="D5748" s="43">
        <v>20000</v>
      </c>
      <c r="E5748" s="43"/>
      <c r="F5748" s="48">
        <f t="shared" si="92"/>
        <v>74228</v>
      </c>
    </row>
    <row r="5749" spans="1:6" x14ac:dyDescent="0.3">
      <c r="A5749" s="45">
        <v>43475</v>
      </c>
      <c r="B5749" s="5" t="s">
        <v>1343</v>
      </c>
      <c r="C5749" s="5" t="s">
        <v>4514</v>
      </c>
      <c r="D5749" s="43">
        <v>57400</v>
      </c>
      <c r="E5749" s="43"/>
      <c r="F5749" s="48">
        <f t="shared" si="92"/>
        <v>16828</v>
      </c>
    </row>
    <row r="5750" spans="1:6" x14ac:dyDescent="0.3">
      <c r="A5750" s="45">
        <v>43475</v>
      </c>
      <c r="B5750" s="5" t="s">
        <v>84</v>
      </c>
      <c r="C5750" s="5" t="s">
        <v>4515</v>
      </c>
      <c r="D5750" s="43">
        <v>500</v>
      </c>
      <c r="E5750" s="43"/>
      <c r="F5750" s="48">
        <f t="shared" si="92"/>
        <v>16328</v>
      </c>
    </row>
    <row r="5751" spans="1:6" x14ac:dyDescent="0.3">
      <c r="A5751" s="45">
        <v>43476</v>
      </c>
      <c r="B5751" s="5" t="s">
        <v>2594</v>
      </c>
      <c r="C5751" s="5" t="s">
        <v>4517</v>
      </c>
      <c r="D5751" s="43">
        <v>4260</v>
      </c>
      <c r="E5751" s="43"/>
      <c r="F5751" s="48">
        <f t="shared" si="92"/>
        <v>12068</v>
      </c>
    </row>
    <row r="5752" spans="1:6" x14ac:dyDescent="0.3">
      <c r="A5752" s="45">
        <v>43476</v>
      </c>
      <c r="B5752" s="5" t="s">
        <v>2594</v>
      </c>
      <c r="C5752" s="5" t="s">
        <v>4518</v>
      </c>
      <c r="D5752" s="43">
        <v>9000</v>
      </c>
      <c r="E5752" s="43"/>
      <c r="F5752" s="48">
        <f t="shared" si="92"/>
        <v>3068</v>
      </c>
    </row>
    <row r="5753" spans="1:6" x14ac:dyDescent="0.3">
      <c r="A5753" s="45">
        <v>43476</v>
      </c>
      <c r="B5753" s="5" t="s">
        <v>25</v>
      </c>
      <c r="C5753" s="5" t="s">
        <v>4516</v>
      </c>
      <c r="D5753" s="43">
        <f>480+45+130+110+230+45+110+15+60+100+180+35</f>
        <v>1540</v>
      </c>
      <c r="E5753" s="43"/>
      <c r="F5753" s="48">
        <f t="shared" si="92"/>
        <v>1528</v>
      </c>
    </row>
    <row r="5754" spans="1:6" x14ac:dyDescent="0.3">
      <c r="A5754" s="45">
        <v>43476</v>
      </c>
      <c r="B5754" s="756" t="s">
        <v>4406</v>
      </c>
      <c r="C5754" s="756"/>
      <c r="D5754" s="71"/>
      <c r="E5754" s="72">
        <v>100000</v>
      </c>
      <c r="F5754" s="48">
        <f t="shared" si="92"/>
        <v>101528</v>
      </c>
    </row>
    <row r="5755" spans="1:6" x14ac:dyDescent="0.3">
      <c r="A5755" s="45">
        <v>43476</v>
      </c>
      <c r="B5755" s="5" t="s">
        <v>541</v>
      </c>
      <c r="C5755" s="5" t="s">
        <v>4521</v>
      </c>
      <c r="D5755" s="43">
        <v>29050</v>
      </c>
      <c r="E5755" s="43"/>
      <c r="F5755" s="48">
        <f t="shared" si="92"/>
        <v>72478</v>
      </c>
    </row>
    <row r="5756" spans="1:6" x14ac:dyDescent="0.3">
      <c r="A5756" s="45">
        <v>43476</v>
      </c>
      <c r="B5756" s="5" t="s">
        <v>4112</v>
      </c>
      <c r="C5756" s="5" t="s">
        <v>2013</v>
      </c>
      <c r="D5756" s="43">
        <v>150</v>
      </c>
      <c r="E5756" s="43"/>
      <c r="F5756" s="48">
        <f t="shared" si="92"/>
        <v>72328</v>
      </c>
    </row>
    <row r="5757" spans="1:6" x14ac:dyDescent="0.3">
      <c r="A5757" s="45">
        <v>43476</v>
      </c>
      <c r="B5757" s="5" t="s">
        <v>4522</v>
      </c>
      <c r="C5757" s="5" t="s">
        <v>4523</v>
      </c>
      <c r="D5757" s="43">
        <v>10000</v>
      </c>
      <c r="E5757" s="43"/>
      <c r="F5757" s="48">
        <f t="shared" si="92"/>
        <v>62328</v>
      </c>
    </row>
    <row r="5758" spans="1:6" x14ac:dyDescent="0.3">
      <c r="A5758" s="45">
        <v>43477</v>
      </c>
      <c r="B5758" s="5" t="s">
        <v>2594</v>
      </c>
      <c r="C5758" s="5" t="s">
        <v>4524</v>
      </c>
      <c r="D5758" s="43">
        <v>4000</v>
      </c>
      <c r="E5758" s="43"/>
      <c r="F5758" s="48">
        <f t="shared" si="92"/>
        <v>58328</v>
      </c>
    </row>
    <row r="5759" spans="1:6" x14ac:dyDescent="0.3">
      <c r="A5759" s="45">
        <v>43477</v>
      </c>
      <c r="B5759" s="5" t="s">
        <v>18</v>
      </c>
      <c r="C5759" s="5" t="s">
        <v>4525</v>
      </c>
      <c r="D5759" s="43">
        <v>1000</v>
      </c>
      <c r="E5759" s="43"/>
      <c r="F5759" s="48">
        <f t="shared" si="92"/>
        <v>57328</v>
      </c>
    </row>
    <row r="5760" spans="1:6" x14ac:dyDescent="0.3">
      <c r="A5760" s="45">
        <v>43477</v>
      </c>
      <c r="B5760" s="5" t="s">
        <v>3559</v>
      </c>
      <c r="C5760" s="5" t="s">
        <v>3442</v>
      </c>
      <c r="D5760" s="43">
        <v>670</v>
      </c>
      <c r="E5760" s="43"/>
      <c r="F5760" s="48">
        <f t="shared" si="92"/>
        <v>56658</v>
      </c>
    </row>
    <row r="5761" spans="1:6" x14ac:dyDescent="0.3">
      <c r="A5761" s="45">
        <v>43477</v>
      </c>
      <c r="B5761" s="5" t="s">
        <v>1343</v>
      </c>
      <c r="C5761" s="5" t="s">
        <v>4526</v>
      </c>
      <c r="D5761" s="43">
        <v>46000</v>
      </c>
      <c r="E5761" s="43"/>
      <c r="F5761" s="48">
        <f t="shared" si="92"/>
        <v>10658</v>
      </c>
    </row>
    <row r="5762" spans="1:6" x14ac:dyDescent="0.3">
      <c r="A5762" s="45">
        <v>43479</v>
      </c>
      <c r="B5762" s="5" t="s">
        <v>84</v>
      </c>
      <c r="C5762" s="5" t="s">
        <v>4527</v>
      </c>
      <c r="D5762" s="43">
        <v>1000</v>
      </c>
      <c r="E5762" s="43"/>
      <c r="F5762" s="48">
        <f t="shared" si="92"/>
        <v>9658</v>
      </c>
    </row>
    <row r="5763" spans="1:6" x14ac:dyDescent="0.3">
      <c r="A5763" s="45">
        <v>43479</v>
      </c>
      <c r="B5763" s="5" t="s">
        <v>84</v>
      </c>
      <c r="C5763" s="5" t="s">
        <v>4528</v>
      </c>
      <c r="D5763" s="43">
        <v>500</v>
      </c>
      <c r="E5763" s="43"/>
      <c r="F5763" s="48">
        <f t="shared" si="92"/>
        <v>9158</v>
      </c>
    </row>
    <row r="5764" spans="1:6" x14ac:dyDescent="0.3">
      <c r="A5764" s="45">
        <v>43480</v>
      </c>
      <c r="B5764" s="5" t="s">
        <v>247</v>
      </c>
      <c r="C5764" s="5" t="s">
        <v>4529</v>
      </c>
      <c r="D5764" s="43">
        <v>200</v>
      </c>
      <c r="E5764" s="43"/>
      <c r="F5764" s="48">
        <f t="shared" si="92"/>
        <v>8958</v>
      </c>
    </row>
    <row r="5765" spans="1:6" x14ac:dyDescent="0.3">
      <c r="A5765" s="45">
        <v>43480</v>
      </c>
      <c r="B5765" s="756" t="s">
        <v>4406</v>
      </c>
      <c r="C5765" s="756"/>
      <c r="D5765" s="71"/>
      <c r="E5765" s="72">
        <v>50000</v>
      </c>
      <c r="F5765" s="48">
        <f>F5764-D5765+E5765</f>
        <v>58958</v>
      </c>
    </row>
    <row r="5766" spans="1:6" x14ac:dyDescent="0.3">
      <c r="A5766" s="45">
        <v>43480</v>
      </c>
      <c r="B5766" s="5" t="s">
        <v>2594</v>
      </c>
      <c r="C5766" s="5" t="s">
        <v>3143</v>
      </c>
      <c r="D5766" s="43">
        <v>10000</v>
      </c>
      <c r="E5766" s="43"/>
      <c r="F5766" s="48">
        <f>F5765-D5766+E5766</f>
        <v>48958</v>
      </c>
    </row>
    <row r="5767" spans="1:6" x14ac:dyDescent="0.3">
      <c r="A5767" s="45">
        <v>43480</v>
      </c>
      <c r="B5767" s="5" t="s">
        <v>14</v>
      </c>
      <c r="C5767" s="5" t="s">
        <v>4530</v>
      </c>
      <c r="D5767" s="43">
        <v>1500</v>
      </c>
      <c r="E5767" s="43"/>
      <c r="F5767" s="48">
        <f t="shared" si="92"/>
        <v>47458</v>
      </c>
    </row>
    <row r="5768" spans="1:6" x14ac:dyDescent="0.3">
      <c r="A5768" s="45">
        <v>43480</v>
      </c>
      <c r="B5768" s="5" t="s">
        <v>2948</v>
      </c>
      <c r="C5768" s="5" t="s">
        <v>4358</v>
      </c>
      <c r="D5768" s="43">
        <v>5280</v>
      </c>
      <c r="E5768" s="43"/>
      <c r="F5768" s="48">
        <f t="shared" si="92"/>
        <v>42178</v>
      </c>
    </row>
    <row r="5769" spans="1:6" x14ac:dyDescent="0.3">
      <c r="A5769" s="45">
        <v>43480</v>
      </c>
      <c r="B5769" s="5" t="s">
        <v>2096</v>
      </c>
      <c r="C5769" s="5" t="s">
        <v>4187</v>
      </c>
      <c r="D5769" s="62">
        <v>20000</v>
      </c>
      <c r="E5769" s="43"/>
      <c r="F5769" s="48">
        <f t="shared" si="92"/>
        <v>22178</v>
      </c>
    </row>
    <row r="5770" spans="1:6" x14ac:dyDescent="0.3">
      <c r="A5770" s="45">
        <v>43480</v>
      </c>
      <c r="B5770" s="5" t="s">
        <v>84</v>
      </c>
      <c r="C5770" s="5" t="s">
        <v>4536</v>
      </c>
      <c r="D5770" s="43">
        <v>20000</v>
      </c>
      <c r="E5770" s="43"/>
      <c r="F5770" s="48">
        <f t="shared" si="92"/>
        <v>2178</v>
      </c>
    </row>
    <row r="5771" spans="1:6" x14ac:dyDescent="0.3">
      <c r="A5771" s="45">
        <v>43480</v>
      </c>
      <c r="B5771" s="5" t="s">
        <v>4537</v>
      </c>
      <c r="C5771" s="5" t="s">
        <v>4538</v>
      </c>
      <c r="D5771" s="43">
        <v>1500</v>
      </c>
      <c r="E5771" s="43"/>
      <c r="F5771" s="48">
        <f t="shared" si="92"/>
        <v>678</v>
      </c>
    </row>
    <row r="5772" spans="1:6" x14ac:dyDescent="0.3">
      <c r="A5772" s="45">
        <v>43481</v>
      </c>
      <c r="B5772" s="756" t="s">
        <v>4406</v>
      </c>
      <c r="C5772" s="756"/>
      <c r="D5772" s="71"/>
      <c r="E5772" s="72">
        <v>100000</v>
      </c>
      <c r="F5772" s="48">
        <f t="shared" si="92"/>
        <v>100678</v>
      </c>
    </row>
    <row r="5773" spans="1:6" x14ac:dyDescent="0.3">
      <c r="A5773" s="45">
        <v>43481</v>
      </c>
      <c r="B5773" s="5" t="s">
        <v>3825</v>
      </c>
      <c r="C5773" s="5" t="s">
        <v>4539</v>
      </c>
      <c r="D5773" s="43">
        <v>3500</v>
      </c>
      <c r="E5773" s="43"/>
      <c r="F5773" s="48">
        <f t="shared" ref="F5773:F5836" si="93">F5772-D5773+E5773</f>
        <v>97178</v>
      </c>
    </row>
    <row r="5774" spans="1:6" x14ac:dyDescent="0.3">
      <c r="A5774" s="45">
        <v>43481</v>
      </c>
      <c r="B5774" s="5" t="s">
        <v>4112</v>
      </c>
      <c r="C5774" s="5" t="s">
        <v>1624</v>
      </c>
      <c r="D5774" s="43">
        <v>200</v>
      </c>
      <c r="E5774" s="43"/>
      <c r="F5774" s="48">
        <f t="shared" si="93"/>
        <v>96978</v>
      </c>
    </row>
    <row r="5775" spans="1:6" x14ac:dyDescent="0.3">
      <c r="A5775" s="45">
        <v>43481</v>
      </c>
      <c r="B5775" s="5" t="s">
        <v>14</v>
      </c>
      <c r="C5775" s="5" t="s">
        <v>4540</v>
      </c>
      <c r="D5775" s="43">
        <v>30000</v>
      </c>
      <c r="E5775" s="43"/>
      <c r="F5775" s="48">
        <f t="shared" si="93"/>
        <v>66978</v>
      </c>
    </row>
    <row r="5776" spans="1:6" x14ac:dyDescent="0.3">
      <c r="A5776" s="45">
        <v>43481</v>
      </c>
      <c r="B5776" s="5" t="s">
        <v>4541</v>
      </c>
      <c r="C5776" s="5" t="s">
        <v>4542</v>
      </c>
      <c r="D5776" s="43">
        <v>10000</v>
      </c>
      <c r="E5776" s="43"/>
      <c r="F5776" s="48">
        <f t="shared" si="93"/>
        <v>56978</v>
      </c>
    </row>
    <row r="5777" spans="1:6" x14ac:dyDescent="0.3">
      <c r="A5777" s="45">
        <v>43481</v>
      </c>
      <c r="B5777" s="5" t="s">
        <v>2948</v>
      </c>
      <c r="C5777" s="5" t="s">
        <v>4557</v>
      </c>
      <c r="D5777" s="43">
        <v>40000</v>
      </c>
      <c r="E5777" s="43"/>
      <c r="F5777" s="48">
        <f t="shared" si="93"/>
        <v>16978</v>
      </c>
    </row>
    <row r="5778" spans="1:6" x14ac:dyDescent="0.3">
      <c r="A5778" s="45">
        <v>43481</v>
      </c>
      <c r="B5778" s="5" t="s">
        <v>1837</v>
      </c>
      <c r="C5778" s="5" t="s">
        <v>4543</v>
      </c>
      <c r="D5778" s="43">
        <v>630</v>
      </c>
      <c r="E5778" s="43"/>
      <c r="F5778" s="48">
        <f t="shared" si="93"/>
        <v>16348</v>
      </c>
    </row>
    <row r="5779" spans="1:6" x14ac:dyDescent="0.3">
      <c r="A5779" s="45">
        <v>43481</v>
      </c>
      <c r="B5779" s="5" t="s">
        <v>4552</v>
      </c>
      <c r="C5779" s="5" t="s">
        <v>4551</v>
      </c>
      <c r="D5779" s="43">
        <v>15000</v>
      </c>
      <c r="E5779" s="43"/>
      <c r="F5779" s="48">
        <f t="shared" si="93"/>
        <v>1348</v>
      </c>
    </row>
    <row r="5780" spans="1:6" x14ac:dyDescent="0.3">
      <c r="A5780" s="45">
        <v>43482</v>
      </c>
      <c r="B5780" s="756" t="s">
        <v>4406</v>
      </c>
      <c r="C5780" s="756"/>
      <c r="D5780" s="71"/>
      <c r="E5780" s="72">
        <v>50000</v>
      </c>
      <c r="F5780" s="48">
        <f t="shared" si="93"/>
        <v>51348</v>
      </c>
    </row>
    <row r="5781" spans="1:6" x14ac:dyDescent="0.3">
      <c r="A5781" s="45">
        <v>43482</v>
      </c>
      <c r="B5781" s="5" t="s">
        <v>2594</v>
      </c>
      <c r="C5781" s="5" t="s">
        <v>4544</v>
      </c>
      <c r="D5781" s="43">
        <v>10000</v>
      </c>
      <c r="E5781" s="43"/>
      <c r="F5781" s="48">
        <f t="shared" si="93"/>
        <v>41348</v>
      </c>
    </row>
    <row r="5782" spans="1:6" x14ac:dyDescent="0.3">
      <c r="A5782" s="45">
        <v>43482</v>
      </c>
      <c r="B5782" s="5" t="s">
        <v>4545</v>
      </c>
      <c r="C5782" s="5" t="s">
        <v>4546</v>
      </c>
      <c r="D5782" s="43">
        <v>15000</v>
      </c>
      <c r="E5782" s="43"/>
      <c r="F5782" s="48">
        <f t="shared" si="93"/>
        <v>26348</v>
      </c>
    </row>
    <row r="5783" spans="1:6" x14ac:dyDescent="0.3">
      <c r="A5783" s="45">
        <v>43482</v>
      </c>
      <c r="B5783" s="5" t="s">
        <v>2096</v>
      </c>
      <c r="C5783" s="5" t="s">
        <v>3910</v>
      </c>
      <c r="D5783" s="43">
        <v>15500</v>
      </c>
      <c r="E5783" s="43"/>
      <c r="F5783" s="48">
        <f t="shared" si="93"/>
        <v>10848</v>
      </c>
    </row>
    <row r="5784" spans="1:6" x14ac:dyDescent="0.3">
      <c r="A5784" s="45">
        <v>43482</v>
      </c>
      <c r="B5784" s="5" t="s">
        <v>84</v>
      </c>
      <c r="C5784" s="5" t="s">
        <v>4547</v>
      </c>
      <c r="D5784" s="43">
        <v>2000</v>
      </c>
      <c r="E5784" s="43"/>
      <c r="F5784" s="48">
        <f t="shared" si="93"/>
        <v>8848</v>
      </c>
    </row>
    <row r="5785" spans="1:6" x14ac:dyDescent="0.3">
      <c r="A5785" s="45">
        <v>43482</v>
      </c>
      <c r="B5785" s="5" t="s">
        <v>84</v>
      </c>
      <c r="C5785" s="5" t="s">
        <v>4548</v>
      </c>
      <c r="D5785" s="43">
        <v>2000</v>
      </c>
      <c r="E5785" s="43"/>
      <c r="F5785" s="48">
        <f t="shared" si="93"/>
        <v>6848</v>
      </c>
    </row>
    <row r="5786" spans="1:6" x14ac:dyDescent="0.3">
      <c r="A5786" s="45">
        <v>43482</v>
      </c>
      <c r="B5786" s="5" t="s">
        <v>0</v>
      </c>
      <c r="C5786" s="5" t="s">
        <v>4549</v>
      </c>
      <c r="D5786" s="43">
        <v>2000</v>
      </c>
      <c r="E5786" s="43"/>
      <c r="F5786" s="48">
        <f t="shared" si="93"/>
        <v>4848</v>
      </c>
    </row>
    <row r="5787" spans="1:6" x14ac:dyDescent="0.3">
      <c r="A5787" s="45">
        <v>43482</v>
      </c>
      <c r="B5787" s="5" t="s">
        <v>25</v>
      </c>
      <c r="C5787" s="5" t="s">
        <v>4553</v>
      </c>
      <c r="D5787" s="43">
        <f>25+190+110+180+190+140+130+50+110+280+130+30+45+280+120+20+45+130+140+280</f>
        <v>2625</v>
      </c>
      <c r="E5787" s="43"/>
      <c r="F5787" s="48">
        <f t="shared" si="93"/>
        <v>2223</v>
      </c>
    </row>
    <row r="5788" spans="1:6" x14ac:dyDescent="0.3">
      <c r="A5788" s="45">
        <v>43482</v>
      </c>
      <c r="B5788" s="5" t="s">
        <v>2948</v>
      </c>
      <c r="C5788" s="5" t="s">
        <v>4558</v>
      </c>
      <c r="D5788" s="43">
        <v>1600</v>
      </c>
      <c r="E5788" s="43"/>
      <c r="F5788" s="48">
        <f t="shared" si="93"/>
        <v>623</v>
      </c>
    </row>
    <row r="5789" spans="1:6" x14ac:dyDescent="0.3">
      <c r="A5789" s="45">
        <v>43483</v>
      </c>
      <c r="B5789" s="756" t="s">
        <v>4406</v>
      </c>
      <c r="C5789" s="756"/>
      <c r="D5789" s="71"/>
      <c r="E5789" s="72">
        <v>100000</v>
      </c>
      <c r="F5789" s="48">
        <f t="shared" si="93"/>
        <v>100623</v>
      </c>
    </row>
    <row r="5790" spans="1:6" x14ac:dyDescent="0.3">
      <c r="A5790" s="45">
        <v>43483</v>
      </c>
      <c r="B5790" s="5" t="s">
        <v>2594</v>
      </c>
      <c r="C5790" s="5" t="s">
        <v>4554</v>
      </c>
      <c r="D5790" s="43">
        <v>35000</v>
      </c>
      <c r="E5790" s="43"/>
      <c r="F5790" s="48">
        <f t="shared" si="93"/>
        <v>65623</v>
      </c>
    </row>
    <row r="5791" spans="1:6" x14ac:dyDescent="0.3">
      <c r="A5791" s="45">
        <v>43483</v>
      </c>
      <c r="B5791" s="5" t="s">
        <v>1343</v>
      </c>
      <c r="C5791" s="5" t="s">
        <v>4555</v>
      </c>
      <c r="D5791" s="43">
        <v>4000</v>
      </c>
      <c r="E5791" s="43"/>
      <c r="F5791" s="48">
        <f t="shared" si="93"/>
        <v>61623</v>
      </c>
    </row>
    <row r="5792" spans="1:6" x14ac:dyDescent="0.3">
      <c r="A5792" s="45">
        <v>43483</v>
      </c>
      <c r="B5792" s="5" t="s">
        <v>1343</v>
      </c>
      <c r="C5792" s="5" t="s">
        <v>4556</v>
      </c>
      <c r="D5792" s="43">
        <v>6000</v>
      </c>
      <c r="E5792" s="43"/>
      <c r="F5792" s="48">
        <f t="shared" si="93"/>
        <v>55623</v>
      </c>
    </row>
    <row r="5793" spans="1:6" x14ac:dyDescent="0.3">
      <c r="A5793" s="45">
        <v>43483</v>
      </c>
      <c r="B5793" s="5" t="s">
        <v>14</v>
      </c>
      <c r="C5793" s="5" t="s">
        <v>4576</v>
      </c>
      <c r="D5793" s="43">
        <v>55000</v>
      </c>
      <c r="E5793" s="43"/>
      <c r="F5793" s="48">
        <f t="shared" si="93"/>
        <v>623</v>
      </c>
    </row>
    <row r="5794" spans="1:6" x14ac:dyDescent="0.3">
      <c r="A5794" s="45">
        <v>43483</v>
      </c>
      <c r="B5794" s="756" t="s">
        <v>4406</v>
      </c>
      <c r="C5794" s="756"/>
      <c r="D5794" s="71"/>
      <c r="E5794" s="72">
        <v>100000</v>
      </c>
      <c r="F5794" s="48">
        <f t="shared" si="93"/>
        <v>100623</v>
      </c>
    </row>
    <row r="5795" spans="1:6" x14ac:dyDescent="0.3">
      <c r="A5795" s="45">
        <v>43483</v>
      </c>
      <c r="B5795" s="5" t="s">
        <v>3825</v>
      </c>
      <c r="C5795" s="5" t="s">
        <v>4187</v>
      </c>
      <c r="D5795" s="43">
        <v>1800</v>
      </c>
      <c r="E5795" s="43"/>
      <c r="F5795" s="48">
        <f t="shared" si="93"/>
        <v>98823</v>
      </c>
    </row>
    <row r="5796" spans="1:6" x14ac:dyDescent="0.3">
      <c r="A5796" s="45">
        <v>43483</v>
      </c>
      <c r="B5796" s="5" t="s">
        <v>25</v>
      </c>
      <c r="C5796" s="5" t="s">
        <v>4563</v>
      </c>
      <c r="D5796" s="43">
        <v>200</v>
      </c>
      <c r="E5796" s="43"/>
      <c r="F5796" s="48">
        <f t="shared" si="93"/>
        <v>98623</v>
      </c>
    </row>
    <row r="5797" spans="1:6" x14ac:dyDescent="0.3">
      <c r="A5797" s="45">
        <v>43483</v>
      </c>
      <c r="B5797" s="5" t="s">
        <v>4559</v>
      </c>
      <c r="C5797" s="5" t="s">
        <v>3450</v>
      </c>
      <c r="D5797" s="43"/>
      <c r="E5797" s="43">
        <v>1840</v>
      </c>
      <c r="F5797" s="48">
        <f t="shared" si="93"/>
        <v>100463</v>
      </c>
    </row>
    <row r="5798" spans="1:6" x14ac:dyDescent="0.3">
      <c r="A5798" s="45">
        <v>43486</v>
      </c>
      <c r="B5798" s="5" t="s">
        <v>30</v>
      </c>
      <c r="C5798" s="5" t="s">
        <v>4560</v>
      </c>
      <c r="D5798" s="43">
        <v>300</v>
      </c>
      <c r="E5798" s="43"/>
      <c r="F5798" s="48">
        <f t="shared" si="93"/>
        <v>100163</v>
      </c>
    </row>
    <row r="5799" spans="1:6" x14ac:dyDescent="0.3">
      <c r="A5799" s="45">
        <v>43486</v>
      </c>
      <c r="B5799" s="5" t="s">
        <v>30</v>
      </c>
      <c r="C5799" s="5" t="s">
        <v>4561</v>
      </c>
      <c r="D5799" s="43">
        <v>100</v>
      </c>
      <c r="E5799" s="43"/>
      <c r="F5799" s="48">
        <f t="shared" si="93"/>
        <v>100063</v>
      </c>
    </row>
    <row r="5800" spans="1:6" x14ac:dyDescent="0.3">
      <c r="A5800" s="45">
        <v>43486</v>
      </c>
      <c r="B5800" s="5" t="s">
        <v>30</v>
      </c>
      <c r="C5800" s="5" t="s">
        <v>4562</v>
      </c>
      <c r="D5800" s="43">
        <v>100</v>
      </c>
      <c r="E5800" s="43"/>
      <c r="F5800" s="48">
        <f t="shared" si="93"/>
        <v>99963</v>
      </c>
    </row>
    <row r="5801" spans="1:6" x14ac:dyDescent="0.3">
      <c r="A5801" s="45">
        <v>43486</v>
      </c>
      <c r="B5801" s="5" t="s">
        <v>2096</v>
      </c>
      <c r="C5801" s="5" t="s">
        <v>3557</v>
      </c>
      <c r="D5801" s="43">
        <v>30000</v>
      </c>
      <c r="E5801" s="43"/>
      <c r="F5801" s="48">
        <f t="shared" si="93"/>
        <v>69963</v>
      </c>
    </row>
    <row r="5802" spans="1:6" x14ac:dyDescent="0.3">
      <c r="A5802" s="45">
        <v>43486</v>
      </c>
      <c r="B5802" s="5" t="s">
        <v>14</v>
      </c>
      <c r="C5802" s="5" t="s">
        <v>3557</v>
      </c>
      <c r="D5802" s="43">
        <v>10000</v>
      </c>
      <c r="E5802" s="43"/>
      <c r="F5802" s="48">
        <f t="shared" si="93"/>
        <v>59963</v>
      </c>
    </row>
    <row r="5803" spans="1:6" x14ac:dyDescent="0.3">
      <c r="A5803" s="45">
        <v>43486</v>
      </c>
      <c r="B5803" s="5" t="s">
        <v>0</v>
      </c>
      <c r="C5803" s="5" t="s">
        <v>4564</v>
      </c>
      <c r="D5803" s="43">
        <v>5000</v>
      </c>
      <c r="E5803" s="43"/>
      <c r="F5803" s="48">
        <f t="shared" si="93"/>
        <v>54963</v>
      </c>
    </row>
    <row r="5804" spans="1:6" x14ac:dyDescent="0.3">
      <c r="A5804" s="45">
        <v>43486</v>
      </c>
      <c r="B5804" s="41" t="s">
        <v>84</v>
      </c>
      <c r="C5804" s="41" t="s">
        <v>4565</v>
      </c>
      <c r="D5804" s="43">
        <v>6000</v>
      </c>
      <c r="E5804" s="43"/>
      <c r="F5804" s="48">
        <f t="shared" si="93"/>
        <v>48963</v>
      </c>
    </row>
    <row r="5805" spans="1:6" x14ac:dyDescent="0.3">
      <c r="A5805" s="45">
        <v>43486</v>
      </c>
      <c r="B5805" s="5" t="s">
        <v>60</v>
      </c>
      <c r="C5805" s="5" t="s">
        <v>4566</v>
      </c>
      <c r="D5805" s="43">
        <v>1000</v>
      </c>
      <c r="E5805" s="43"/>
      <c r="F5805" s="48">
        <f t="shared" si="93"/>
        <v>47963</v>
      </c>
    </row>
    <row r="5806" spans="1:6" x14ac:dyDescent="0.3">
      <c r="A5806" s="45">
        <v>43486</v>
      </c>
      <c r="B5806" s="5" t="s">
        <v>1787</v>
      </c>
      <c r="C5806" s="5" t="s">
        <v>4567</v>
      </c>
      <c r="D5806" s="43">
        <v>1000</v>
      </c>
      <c r="E5806" s="43"/>
      <c r="F5806" s="48">
        <f t="shared" si="93"/>
        <v>46963</v>
      </c>
    </row>
    <row r="5807" spans="1:6" x14ac:dyDescent="0.3">
      <c r="A5807" s="45">
        <v>43486</v>
      </c>
      <c r="B5807" s="5" t="s">
        <v>2594</v>
      </c>
      <c r="C5807" s="5" t="s">
        <v>4568</v>
      </c>
      <c r="D5807" s="43">
        <v>11820</v>
      </c>
      <c r="E5807" s="43"/>
      <c r="F5807" s="48">
        <f t="shared" si="93"/>
        <v>35143</v>
      </c>
    </row>
    <row r="5808" spans="1:6" x14ac:dyDescent="0.3">
      <c r="A5808" s="45">
        <v>43487</v>
      </c>
      <c r="B5808" s="5" t="s">
        <v>247</v>
      </c>
      <c r="C5808" s="5" t="s">
        <v>4569</v>
      </c>
      <c r="D5808" s="43">
        <v>2360</v>
      </c>
      <c r="E5808" s="43"/>
      <c r="F5808" s="48">
        <f t="shared" si="93"/>
        <v>32783</v>
      </c>
    </row>
    <row r="5809" spans="1:6" x14ac:dyDescent="0.3">
      <c r="A5809" s="45">
        <v>43487</v>
      </c>
      <c r="B5809" s="5" t="s">
        <v>247</v>
      </c>
      <c r="C5809" s="5" t="s">
        <v>4321</v>
      </c>
      <c r="D5809" s="43">
        <v>480</v>
      </c>
      <c r="E5809" s="43"/>
      <c r="F5809" s="48">
        <f t="shared" si="93"/>
        <v>32303</v>
      </c>
    </row>
    <row r="5810" spans="1:6" x14ac:dyDescent="0.3">
      <c r="A5810" s="45">
        <v>43487</v>
      </c>
      <c r="B5810" s="756" t="s">
        <v>4406</v>
      </c>
      <c r="C5810" s="756"/>
      <c r="D5810" s="71"/>
      <c r="E5810" s="72">
        <v>50000</v>
      </c>
      <c r="F5810" s="48">
        <f t="shared" si="93"/>
        <v>82303</v>
      </c>
    </row>
    <row r="5811" spans="1:6" x14ac:dyDescent="0.3">
      <c r="A5811" s="45">
        <v>43487</v>
      </c>
      <c r="B5811" s="5" t="s">
        <v>1343</v>
      </c>
      <c r="C5811" s="5" t="s">
        <v>4575</v>
      </c>
      <c r="D5811" s="43">
        <v>20000</v>
      </c>
      <c r="E5811" s="43"/>
      <c r="F5811" s="48">
        <f t="shared" si="93"/>
        <v>62303</v>
      </c>
    </row>
    <row r="5812" spans="1:6" x14ac:dyDescent="0.3">
      <c r="A5812" s="45">
        <v>43488</v>
      </c>
      <c r="B5812" s="5" t="s">
        <v>25</v>
      </c>
      <c r="C5812" s="5" t="s">
        <v>4570</v>
      </c>
      <c r="D5812" s="43">
        <f>250+190+400+130+160+200+130+110+110+45+48+120+110+130+200+210</f>
        <v>2543</v>
      </c>
      <c r="E5812" s="43"/>
      <c r="F5812" s="48">
        <f t="shared" si="93"/>
        <v>59760</v>
      </c>
    </row>
    <row r="5813" spans="1:6" x14ac:dyDescent="0.3">
      <c r="A5813" s="45">
        <v>43488</v>
      </c>
      <c r="B5813" s="5" t="s">
        <v>247</v>
      </c>
      <c r="C5813" s="5" t="s">
        <v>3919</v>
      </c>
      <c r="D5813" s="43">
        <v>130</v>
      </c>
      <c r="E5813" s="43"/>
      <c r="F5813" s="48">
        <f t="shared" si="93"/>
        <v>59630</v>
      </c>
    </row>
    <row r="5814" spans="1:6" x14ac:dyDescent="0.3">
      <c r="A5814" s="45">
        <v>43488</v>
      </c>
      <c r="B5814" s="5" t="s">
        <v>4571</v>
      </c>
      <c r="C5814" s="5" t="s">
        <v>4572</v>
      </c>
      <c r="D5814" s="43">
        <v>11700</v>
      </c>
      <c r="E5814" s="43"/>
      <c r="F5814" s="48">
        <f t="shared" si="93"/>
        <v>47930</v>
      </c>
    </row>
    <row r="5815" spans="1:6" x14ac:dyDescent="0.3">
      <c r="A5815" s="45">
        <v>43488</v>
      </c>
      <c r="B5815" s="756" t="s">
        <v>4574</v>
      </c>
      <c r="C5815" s="756"/>
      <c r="D5815" s="71"/>
      <c r="E5815" s="72">
        <v>5000</v>
      </c>
      <c r="F5815" s="48">
        <f t="shared" si="93"/>
        <v>52930</v>
      </c>
    </row>
    <row r="5816" spans="1:6" x14ac:dyDescent="0.3">
      <c r="A5816" s="45">
        <v>43488</v>
      </c>
      <c r="B5816" s="5" t="s">
        <v>11</v>
      </c>
      <c r="C5816" s="5" t="s">
        <v>4573</v>
      </c>
      <c r="D5816" s="43">
        <v>2000</v>
      </c>
      <c r="E5816" s="43"/>
      <c r="F5816" s="48">
        <f t="shared" si="93"/>
        <v>50930</v>
      </c>
    </row>
    <row r="5817" spans="1:6" x14ac:dyDescent="0.3">
      <c r="A5817" s="45">
        <v>43488</v>
      </c>
      <c r="B5817" s="5" t="s">
        <v>2594</v>
      </c>
      <c r="C5817" s="5" t="s">
        <v>4577</v>
      </c>
      <c r="D5817" s="43">
        <v>50000</v>
      </c>
      <c r="E5817" s="43"/>
      <c r="F5817" s="48">
        <f t="shared" si="93"/>
        <v>930</v>
      </c>
    </row>
    <row r="5818" spans="1:6" x14ac:dyDescent="0.3">
      <c r="A5818" s="45">
        <v>43490</v>
      </c>
      <c r="B5818" s="756" t="s">
        <v>4406</v>
      </c>
      <c r="C5818" s="756"/>
      <c r="D5818" s="71"/>
      <c r="E5818" s="72">
        <v>100000</v>
      </c>
      <c r="F5818" s="48">
        <f t="shared" si="93"/>
        <v>100930</v>
      </c>
    </row>
    <row r="5819" spans="1:6" x14ac:dyDescent="0.3">
      <c r="A5819" s="45">
        <v>43490</v>
      </c>
      <c r="B5819" s="5" t="s">
        <v>3138</v>
      </c>
      <c r="C5819" s="5" t="s">
        <v>4578</v>
      </c>
      <c r="D5819" s="43">
        <v>18570</v>
      </c>
      <c r="E5819" s="43"/>
      <c r="F5819" s="48">
        <f t="shared" si="93"/>
        <v>82360</v>
      </c>
    </row>
    <row r="5820" spans="1:6" x14ac:dyDescent="0.3">
      <c r="A5820" s="45">
        <v>43490</v>
      </c>
      <c r="B5820" s="5" t="s">
        <v>2594</v>
      </c>
      <c r="C5820" s="5" t="s">
        <v>4588</v>
      </c>
      <c r="D5820" s="43">
        <v>20000</v>
      </c>
      <c r="E5820" s="43"/>
      <c r="F5820" s="48">
        <f t="shared" si="93"/>
        <v>62360</v>
      </c>
    </row>
    <row r="5821" spans="1:6" x14ac:dyDescent="0.3">
      <c r="A5821" s="45">
        <v>43490</v>
      </c>
      <c r="B5821" s="5" t="s">
        <v>4579</v>
      </c>
      <c r="C5821" s="5" t="s">
        <v>4580</v>
      </c>
      <c r="D5821" s="43">
        <v>25000</v>
      </c>
      <c r="E5821" s="43"/>
      <c r="F5821" s="48">
        <f t="shared" si="93"/>
        <v>37360</v>
      </c>
    </row>
    <row r="5822" spans="1:6" x14ac:dyDescent="0.3">
      <c r="A5822" s="45">
        <v>43490</v>
      </c>
      <c r="B5822" s="5" t="s">
        <v>28</v>
      </c>
      <c r="C5822" s="5" t="s">
        <v>4581</v>
      </c>
      <c r="D5822" s="43">
        <v>15000</v>
      </c>
      <c r="E5822" s="43"/>
      <c r="F5822" s="48">
        <f t="shared" si="93"/>
        <v>22360</v>
      </c>
    </row>
    <row r="5823" spans="1:6" x14ac:dyDescent="0.3">
      <c r="A5823" s="45">
        <v>43490</v>
      </c>
      <c r="B5823" s="5" t="s">
        <v>0</v>
      </c>
      <c r="C5823" s="5" t="s">
        <v>4582</v>
      </c>
      <c r="D5823" s="43">
        <v>5000</v>
      </c>
      <c r="E5823" s="43"/>
      <c r="F5823" s="48">
        <f t="shared" si="93"/>
        <v>17360</v>
      </c>
    </row>
    <row r="5824" spans="1:6" x14ac:dyDescent="0.3">
      <c r="A5824" s="45">
        <v>43490</v>
      </c>
      <c r="B5824" s="5" t="s">
        <v>541</v>
      </c>
      <c r="C5824" s="5" t="s">
        <v>4583</v>
      </c>
      <c r="D5824" s="43">
        <v>1400</v>
      </c>
      <c r="E5824" s="43"/>
      <c r="F5824" s="48">
        <f t="shared" si="93"/>
        <v>15960</v>
      </c>
    </row>
    <row r="5825" spans="1:6" x14ac:dyDescent="0.3">
      <c r="A5825" s="45">
        <v>43490</v>
      </c>
      <c r="B5825" s="5" t="s">
        <v>3825</v>
      </c>
      <c r="C5825" s="5" t="s">
        <v>3910</v>
      </c>
      <c r="D5825" s="43">
        <v>5000</v>
      </c>
      <c r="E5825" s="43"/>
      <c r="F5825" s="48">
        <f t="shared" si="93"/>
        <v>10960</v>
      </c>
    </row>
    <row r="5826" spans="1:6" x14ac:dyDescent="0.3">
      <c r="A5826" s="45">
        <v>43490</v>
      </c>
      <c r="B5826" s="5" t="s">
        <v>14</v>
      </c>
      <c r="C5826" s="5" t="s">
        <v>294</v>
      </c>
      <c r="D5826" s="43">
        <v>10000</v>
      </c>
      <c r="E5826" s="43"/>
      <c r="F5826" s="48">
        <f t="shared" si="93"/>
        <v>960</v>
      </c>
    </row>
    <row r="5827" spans="1:6" x14ac:dyDescent="0.3">
      <c r="A5827" s="45">
        <v>43491</v>
      </c>
      <c r="B5827" s="756" t="s">
        <v>2960</v>
      </c>
      <c r="C5827" s="756"/>
      <c r="D5827" s="71"/>
      <c r="E5827" s="72">
        <v>5000</v>
      </c>
      <c r="F5827" s="48">
        <f t="shared" si="93"/>
        <v>5960</v>
      </c>
    </row>
    <row r="5828" spans="1:6" x14ac:dyDescent="0.3">
      <c r="A5828" s="45">
        <v>43491</v>
      </c>
      <c r="B5828" s="5" t="s">
        <v>2948</v>
      </c>
      <c r="C5828" s="5" t="s">
        <v>4584</v>
      </c>
      <c r="D5828" s="43">
        <v>3000</v>
      </c>
      <c r="E5828" s="43"/>
      <c r="F5828" s="48">
        <f t="shared" si="93"/>
        <v>2960</v>
      </c>
    </row>
    <row r="5829" spans="1:6" x14ac:dyDescent="0.3">
      <c r="A5829" s="45">
        <v>43491</v>
      </c>
      <c r="B5829" s="5" t="s">
        <v>14</v>
      </c>
      <c r="C5829" s="5" t="s">
        <v>640</v>
      </c>
      <c r="D5829" s="43">
        <v>1000</v>
      </c>
      <c r="E5829" s="43"/>
      <c r="F5829" s="48">
        <f t="shared" si="93"/>
        <v>1960</v>
      </c>
    </row>
    <row r="5830" spans="1:6" x14ac:dyDescent="0.3">
      <c r="A5830" s="45">
        <v>43491</v>
      </c>
      <c r="B5830" s="5" t="s">
        <v>84</v>
      </c>
      <c r="C5830" s="5" t="s">
        <v>4585</v>
      </c>
      <c r="D5830" s="43">
        <v>500</v>
      </c>
      <c r="E5830" s="43"/>
      <c r="F5830" s="48">
        <f t="shared" si="93"/>
        <v>1460</v>
      </c>
    </row>
    <row r="5831" spans="1:6" x14ac:dyDescent="0.3">
      <c r="A5831" s="45">
        <v>43493</v>
      </c>
      <c r="B5831" s="756" t="s">
        <v>4406</v>
      </c>
      <c r="C5831" s="756"/>
      <c r="D5831" s="71"/>
      <c r="E5831" s="72">
        <v>50000</v>
      </c>
      <c r="F5831" s="48">
        <f t="shared" si="93"/>
        <v>51460</v>
      </c>
    </row>
    <row r="5832" spans="1:6" x14ac:dyDescent="0.3">
      <c r="A5832" s="45">
        <v>43493</v>
      </c>
      <c r="B5832" s="5" t="s">
        <v>25</v>
      </c>
      <c r="C5832" s="5" t="s">
        <v>4589</v>
      </c>
      <c r="D5832" s="43">
        <f>250+140+180+30+20+200+180+130+45+20+240+220+140+40+50</f>
        <v>1885</v>
      </c>
      <c r="E5832" s="43"/>
      <c r="F5832" s="48">
        <f t="shared" si="93"/>
        <v>49575</v>
      </c>
    </row>
    <row r="5833" spans="1:6" x14ac:dyDescent="0.3">
      <c r="A5833" s="45">
        <v>43493</v>
      </c>
      <c r="B5833" s="5" t="s">
        <v>2594</v>
      </c>
      <c r="C5833" s="5" t="s">
        <v>4590</v>
      </c>
      <c r="D5833" s="43">
        <v>46300</v>
      </c>
      <c r="E5833" s="43"/>
      <c r="F5833" s="48">
        <f t="shared" si="93"/>
        <v>3275</v>
      </c>
    </row>
    <row r="5834" spans="1:6" x14ac:dyDescent="0.3">
      <c r="A5834" s="45">
        <v>43493</v>
      </c>
      <c r="B5834" s="756" t="s">
        <v>4406</v>
      </c>
      <c r="C5834" s="756"/>
      <c r="D5834" s="71"/>
      <c r="E5834" s="72">
        <v>100000</v>
      </c>
      <c r="F5834" s="48">
        <f t="shared" si="93"/>
        <v>103275</v>
      </c>
    </row>
    <row r="5835" spans="1:6" x14ac:dyDescent="0.3">
      <c r="A5835" s="45">
        <v>43493</v>
      </c>
      <c r="B5835" s="5" t="s">
        <v>2594</v>
      </c>
      <c r="C5835" s="5" t="s">
        <v>2544</v>
      </c>
      <c r="D5835" s="43">
        <v>39860</v>
      </c>
      <c r="E5835" s="43"/>
      <c r="F5835" s="48">
        <f t="shared" si="93"/>
        <v>63415</v>
      </c>
    </row>
    <row r="5836" spans="1:6" x14ac:dyDescent="0.3">
      <c r="A5836" s="45">
        <v>43493</v>
      </c>
      <c r="B5836" s="5" t="s">
        <v>2096</v>
      </c>
      <c r="C5836" s="5" t="s">
        <v>4591</v>
      </c>
      <c r="D5836" s="43">
        <v>5000</v>
      </c>
      <c r="E5836" s="43"/>
      <c r="F5836" s="48">
        <f t="shared" si="93"/>
        <v>58415</v>
      </c>
    </row>
    <row r="5837" spans="1:6" x14ac:dyDescent="0.3">
      <c r="A5837" s="45">
        <v>43494</v>
      </c>
      <c r="B5837" s="5" t="s">
        <v>57</v>
      </c>
      <c r="C5837" s="5" t="s">
        <v>4592</v>
      </c>
      <c r="D5837" s="43">
        <v>1900</v>
      </c>
      <c r="E5837" s="43"/>
      <c r="F5837" s="48">
        <f t="shared" ref="F5837:F5900" si="94">F5836-D5837+E5837</f>
        <v>56515</v>
      </c>
    </row>
    <row r="5838" spans="1:6" x14ac:dyDescent="0.3">
      <c r="A5838" s="45">
        <v>43494</v>
      </c>
      <c r="B5838" s="5" t="s">
        <v>3734</v>
      </c>
      <c r="C5838" s="5" t="s">
        <v>4593</v>
      </c>
      <c r="D5838" s="43">
        <v>1500</v>
      </c>
      <c r="E5838" s="43"/>
      <c r="F5838" s="48">
        <f t="shared" si="94"/>
        <v>55015</v>
      </c>
    </row>
    <row r="5839" spans="1:6" x14ac:dyDescent="0.3">
      <c r="A5839" s="45">
        <v>43494</v>
      </c>
      <c r="B5839" s="5" t="s">
        <v>14</v>
      </c>
      <c r="C5839" s="5" t="s">
        <v>2544</v>
      </c>
      <c r="D5839" s="43">
        <v>50000</v>
      </c>
      <c r="E5839" s="43"/>
      <c r="F5839" s="48">
        <f t="shared" si="94"/>
        <v>5015</v>
      </c>
    </row>
    <row r="5840" spans="1:6" x14ac:dyDescent="0.3">
      <c r="A5840" s="45">
        <v>43494</v>
      </c>
      <c r="B5840" s="5" t="s">
        <v>2348</v>
      </c>
      <c r="C5840" s="5" t="s">
        <v>4594</v>
      </c>
      <c r="D5840" s="43">
        <v>5000</v>
      </c>
      <c r="E5840" s="43"/>
      <c r="F5840" s="48">
        <f t="shared" si="94"/>
        <v>15</v>
      </c>
    </row>
    <row r="5841" spans="1:6" x14ac:dyDescent="0.3">
      <c r="A5841" s="45">
        <v>43494</v>
      </c>
      <c r="B5841" s="756" t="s">
        <v>4406</v>
      </c>
      <c r="C5841" s="756"/>
      <c r="D5841" s="71"/>
      <c r="E5841" s="72">
        <v>35000</v>
      </c>
      <c r="F5841" s="48">
        <f t="shared" si="94"/>
        <v>35015</v>
      </c>
    </row>
    <row r="5842" spans="1:6" x14ac:dyDescent="0.3">
      <c r="A5842" s="45">
        <v>43494</v>
      </c>
      <c r="B5842" s="5" t="s">
        <v>4595</v>
      </c>
      <c r="C5842" s="5" t="s">
        <v>4596</v>
      </c>
      <c r="D5842" s="43">
        <f>1650+1000</f>
        <v>2650</v>
      </c>
      <c r="E5842" s="43"/>
      <c r="F5842" s="48">
        <f t="shared" si="94"/>
        <v>32365</v>
      </c>
    </row>
    <row r="5843" spans="1:6" x14ac:dyDescent="0.3">
      <c r="A5843" s="45">
        <v>43494</v>
      </c>
      <c r="B5843" s="5" t="s">
        <v>4112</v>
      </c>
      <c r="C5843" s="5" t="s">
        <v>2013</v>
      </c>
      <c r="D5843" s="43">
        <v>150</v>
      </c>
      <c r="E5843" s="43"/>
      <c r="F5843" s="48">
        <f t="shared" si="94"/>
        <v>32215</v>
      </c>
    </row>
    <row r="5844" spans="1:6" x14ac:dyDescent="0.3">
      <c r="A5844" s="45">
        <v>43494</v>
      </c>
      <c r="B5844" s="5" t="s">
        <v>0</v>
      </c>
      <c r="C5844" s="5" t="s">
        <v>4591</v>
      </c>
      <c r="D5844" s="43">
        <v>1000</v>
      </c>
      <c r="E5844" s="43"/>
      <c r="F5844" s="48">
        <f t="shared" si="94"/>
        <v>31215</v>
      </c>
    </row>
    <row r="5845" spans="1:6" x14ac:dyDescent="0.3">
      <c r="A5845" s="45">
        <v>43496</v>
      </c>
      <c r="B5845" s="5" t="s">
        <v>25</v>
      </c>
      <c r="C5845" s="5" t="s">
        <v>4597</v>
      </c>
      <c r="D5845" s="43">
        <f>250+300+20+185+60+120+140+90+200+180+130+45</f>
        <v>1720</v>
      </c>
      <c r="E5845" s="43"/>
      <c r="F5845" s="48">
        <f t="shared" si="94"/>
        <v>29495</v>
      </c>
    </row>
    <row r="5846" spans="1:6" x14ac:dyDescent="0.3">
      <c r="A5846" s="45">
        <v>43496</v>
      </c>
      <c r="B5846" s="5" t="s">
        <v>2594</v>
      </c>
      <c r="C5846" s="5" t="s">
        <v>4598</v>
      </c>
      <c r="D5846" s="43">
        <v>27000</v>
      </c>
      <c r="E5846" s="43"/>
      <c r="F5846" s="48">
        <f t="shared" si="94"/>
        <v>2495</v>
      </c>
    </row>
    <row r="5847" spans="1:6" ht="56.25" x14ac:dyDescent="0.3">
      <c r="A5847" s="45">
        <v>43496</v>
      </c>
      <c r="B5847" s="5" t="s">
        <v>2594</v>
      </c>
      <c r="C5847" s="92" t="s">
        <v>4599</v>
      </c>
      <c r="D5847" s="43">
        <v>1900</v>
      </c>
      <c r="E5847" s="43"/>
      <c r="F5847" s="48">
        <f t="shared" si="94"/>
        <v>595</v>
      </c>
    </row>
    <row r="5848" spans="1:6" x14ac:dyDescent="0.3">
      <c r="A5848" s="45">
        <v>43497</v>
      </c>
      <c r="B5848" s="756" t="s">
        <v>4406</v>
      </c>
      <c r="C5848" s="756"/>
      <c r="D5848" s="71"/>
      <c r="E5848" s="72">
        <v>50000</v>
      </c>
      <c r="F5848" s="48">
        <f t="shared" si="94"/>
        <v>50595</v>
      </c>
    </row>
    <row r="5849" spans="1:6" x14ac:dyDescent="0.3">
      <c r="A5849" s="45">
        <v>43497</v>
      </c>
      <c r="B5849" s="5" t="s">
        <v>110</v>
      </c>
      <c r="C5849" s="5" t="s">
        <v>4600</v>
      </c>
      <c r="D5849" s="43">
        <v>1500</v>
      </c>
      <c r="E5849" s="43"/>
      <c r="F5849" s="48">
        <f t="shared" si="94"/>
        <v>49095</v>
      </c>
    </row>
    <row r="5850" spans="1:6" x14ac:dyDescent="0.3">
      <c r="A5850" s="45">
        <v>43497</v>
      </c>
      <c r="B5850" s="5" t="s">
        <v>16</v>
      </c>
      <c r="C5850" s="5" t="s">
        <v>3910</v>
      </c>
      <c r="D5850" s="43">
        <v>10000</v>
      </c>
      <c r="E5850" s="43"/>
      <c r="F5850" s="48">
        <f t="shared" si="94"/>
        <v>39095</v>
      </c>
    </row>
    <row r="5851" spans="1:6" x14ac:dyDescent="0.3">
      <c r="A5851" s="45">
        <v>43497</v>
      </c>
      <c r="B5851" s="5" t="s">
        <v>3559</v>
      </c>
      <c r="C5851" s="5" t="s">
        <v>4601</v>
      </c>
      <c r="D5851" s="43">
        <v>3080</v>
      </c>
      <c r="E5851" s="43"/>
      <c r="F5851" s="48">
        <f t="shared" si="94"/>
        <v>36015</v>
      </c>
    </row>
    <row r="5852" spans="1:6" x14ac:dyDescent="0.3">
      <c r="A5852" s="45">
        <v>43497</v>
      </c>
      <c r="B5852" s="5" t="s">
        <v>51</v>
      </c>
      <c r="C5852" s="5" t="s">
        <v>4602</v>
      </c>
      <c r="D5852" s="43">
        <v>4400</v>
      </c>
      <c r="E5852" s="43"/>
      <c r="F5852" s="48">
        <f t="shared" si="94"/>
        <v>31615</v>
      </c>
    </row>
    <row r="5853" spans="1:6" x14ac:dyDescent="0.3">
      <c r="A5853" s="45">
        <v>43497</v>
      </c>
      <c r="B5853" s="5" t="s">
        <v>25</v>
      </c>
      <c r="C5853" s="5" t="s">
        <v>4358</v>
      </c>
      <c r="D5853" s="43">
        <v>1600</v>
      </c>
      <c r="E5853" s="43"/>
      <c r="F5853" s="48">
        <f t="shared" si="94"/>
        <v>30015</v>
      </c>
    </row>
    <row r="5854" spans="1:6" x14ac:dyDescent="0.3">
      <c r="A5854" s="45">
        <v>43497</v>
      </c>
      <c r="B5854" s="5" t="s">
        <v>28</v>
      </c>
      <c r="C5854" s="5" t="s">
        <v>3296</v>
      </c>
      <c r="D5854" s="43">
        <v>5000</v>
      </c>
      <c r="E5854" s="43"/>
      <c r="F5854" s="48">
        <f t="shared" si="94"/>
        <v>25015</v>
      </c>
    </row>
    <row r="5855" spans="1:6" x14ac:dyDescent="0.3">
      <c r="A5855" s="45">
        <v>43497</v>
      </c>
      <c r="B5855" s="5" t="s">
        <v>100</v>
      </c>
      <c r="C5855" s="5" t="s">
        <v>4319</v>
      </c>
      <c r="D5855" s="43">
        <v>1000</v>
      </c>
      <c r="E5855" s="43"/>
      <c r="F5855" s="48">
        <f t="shared" si="94"/>
        <v>24015</v>
      </c>
    </row>
    <row r="5856" spans="1:6" x14ac:dyDescent="0.3">
      <c r="A5856" s="45">
        <v>43497</v>
      </c>
      <c r="B5856" s="5" t="s">
        <v>84</v>
      </c>
      <c r="C5856" s="5" t="s">
        <v>4603</v>
      </c>
      <c r="D5856" s="43">
        <v>1000</v>
      </c>
      <c r="E5856" s="43"/>
      <c r="F5856" s="48">
        <f t="shared" si="94"/>
        <v>23015</v>
      </c>
    </row>
    <row r="5857" spans="1:6" x14ac:dyDescent="0.3">
      <c r="A5857" s="45">
        <v>43497</v>
      </c>
      <c r="B5857" s="5" t="s">
        <v>3825</v>
      </c>
      <c r="C5857" s="5" t="s">
        <v>4319</v>
      </c>
      <c r="D5857" s="43">
        <v>1000</v>
      </c>
      <c r="E5857" s="43"/>
      <c r="F5857" s="48">
        <f t="shared" si="94"/>
        <v>22015</v>
      </c>
    </row>
    <row r="5858" spans="1:6" x14ac:dyDescent="0.3">
      <c r="A5858" s="45">
        <v>43497</v>
      </c>
      <c r="B5858" s="5" t="s">
        <v>2594</v>
      </c>
      <c r="C5858" s="5" t="s">
        <v>4613</v>
      </c>
      <c r="D5858" s="43">
        <v>9450</v>
      </c>
      <c r="E5858" s="43"/>
      <c r="F5858" s="48">
        <f t="shared" si="94"/>
        <v>12565</v>
      </c>
    </row>
    <row r="5859" spans="1:6" x14ac:dyDescent="0.3">
      <c r="A5859" s="45">
        <v>43497</v>
      </c>
      <c r="B5859" s="756" t="s">
        <v>4406</v>
      </c>
      <c r="C5859" s="756"/>
      <c r="D5859" s="71"/>
      <c r="E5859" s="72">
        <v>100000</v>
      </c>
      <c r="F5859" s="48">
        <f t="shared" si="94"/>
        <v>112565</v>
      </c>
    </row>
    <row r="5860" spans="1:6" x14ac:dyDescent="0.3">
      <c r="A5860" s="45">
        <v>43497</v>
      </c>
      <c r="B5860" s="5" t="s">
        <v>2096</v>
      </c>
      <c r="C5860" s="5" t="s">
        <v>4506</v>
      </c>
      <c r="D5860" s="43">
        <v>50000</v>
      </c>
      <c r="E5860" s="43"/>
      <c r="F5860" s="48">
        <f t="shared" si="94"/>
        <v>62565</v>
      </c>
    </row>
    <row r="5861" spans="1:6" x14ac:dyDescent="0.3">
      <c r="A5861" s="45">
        <v>43497</v>
      </c>
      <c r="B5861" s="5" t="s">
        <v>4604</v>
      </c>
      <c r="C5861" s="5" t="s">
        <v>4605</v>
      </c>
      <c r="D5861" s="43">
        <v>40000</v>
      </c>
      <c r="E5861" s="43"/>
      <c r="F5861" s="48">
        <f t="shared" si="94"/>
        <v>22565</v>
      </c>
    </row>
    <row r="5862" spans="1:6" x14ac:dyDescent="0.3">
      <c r="A5862" s="45">
        <v>43497</v>
      </c>
      <c r="B5862" s="5" t="s">
        <v>14</v>
      </c>
      <c r="C5862" s="5" t="s">
        <v>3143</v>
      </c>
      <c r="D5862" s="43">
        <v>10000</v>
      </c>
      <c r="E5862" s="43"/>
      <c r="F5862" s="48">
        <f t="shared" si="94"/>
        <v>12565</v>
      </c>
    </row>
    <row r="5863" spans="1:6" x14ac:dyDescent="0.3">
      <c r="A5863" s="45">
        <v>43498</v>
      </c>
      <c r="B5863" s="5" t="s">
        <v>3724</v>
      </c>
      <c r="C5863" s="5" t="s">
        <v>40</v>
      </c>
      <c r="D5863" s="43">
        <v>4150</v>
      </c>
      <c r="E5863" s="43"/>
      <c r="F5863" s="48">
        <f t="shared" si="94"/>
        <v>8415</v>
      </c>
    </row>
    <row r="5864" spans="1:6" x14ac:dyDescent="0.3">
      <c r="A5864" s="45">
        <v>43500</v>
      </c>
      <c r="B5864" s="5" t="s">
        <v>2948</v>
      </c>
      <c r="C5864" s="5" t="s">
        <v>4606</v>
      </c>
      <c r="D5864" s="43">
        <v>100</v>
      </c>
      <c r="E5864" s="43"/>
      <c r="F5864" s="48">
        <f t="shared" si="94"/>
        <v>8315</v>
      </c>
    </row>
    <row r="5865" spans="1:6" x14ac:dyDescent="0.3">
      <c r="A5865" s="45">
        <v>43500</v>
      </c>
      <c r="B5865" s="756" t="s">
        <v>4406</v>
      </c>
      <c r="C5865" s="756"/>
      <c r="D5865" s="71"/>
      <c r="E5865" s="72">
        <v>100000</v>
      </c>
      <c r="F5865" s="48">
        <f t="shared" si="94"/>
        <v>108315</v>
      </c>
    </row>
    <row r="5866" spans="1:6" x14ac:dyDescent="0.3">
      <c r="A5866" s="45">
        <v>43500</v>
      </c>
      <c r="B5866" s="5" t="s">
        <v>2594</v>
      </c>
      <c r="C5866" s="5" t="s">
        <v>4614</v>
      </c>
      <c r="D5866" s="43">
        <v>40350</v>
      </c>
      <c r="E5866" s="43"/>
      <c r="F5866" s="48">
        <f t="shared" si="94"/>
        <v>67965</v>
      </c>
    </row>
    <row r="5867" spans="1:6" x14ac:dyDescent="0.3">
      <c r="A5867" s="45">
        <v>43500</v>
      </c>
      <c r="B5867" s="5" t="s">
        <v>14</v>
      </c>
      <c r="C5867" s="5" t="s">
        <v>294</v>
      </c>
      <c r="D5867" s="43">
        <v>2000</v>
      </c>
      <c r="E5867" s="43"/>
      <c r="F5867" s="48">
        <f t="shared" si="94"/>
        <v>65965</v>
      </c>
    </row>
    <row r="5868" spans="1:6" x14ac:dyDescent="0.3">
      <c r="A5868" s="45">
        <v>43500</v>
      </c>
      <c r="B5868" s="5" t="s">
        <v>28</v>
      </c>
      <c r="C5868" s="5" t="s">
        <v>4607</v>
      </c>
      <c r="D5868" s="43">
        <v>3000</v>
      </c>
      <c r="E5868" s="43"/>
      <c r="F5868" s="48">
        <f t="shared" si="94"/>
        <v>62965</v>
      </c>
    </row>
    <row r="5869" spans="1:6" x14ac:dyDescent="0.3">
      <c r="A5869" s="45">
        <v>43500</v>
      </c>
      <c r="B5869" s="5" t="s">
        <v>1616</v>
      </c>
      <c r="C5869" s="5" t="s">
        <v>3703</v>
      </c>
      <c r="D5869" s="43">
        <v>1500</v>
      </c>
      <c r="E5869" s="43"/>
      <c r="F5869" s="48">
        <f t="shared" si="94"/>
        <v>61465</v>
      </c>
    </row>
    <row r="5870" spans="1:6" x14ac:dyDescent="0.3">
      <c r="A5870" s="45">
        <v>43500</v>
      </c>
      <c r="B5870" s="5" t="s">
        <v>1458</v>
      </c>
      <c r="C5870" s="5" t="s">
        <v>4608</v>
      </c>
      <c r="D5870" s="43">
        <v>12500</v>
      </c>
      <c r="E5870" s="43"/>
      <c r="F5870" s="48">
        <f t="shared" si="94"/>
        <v>48965</v>
      </c>
    </row>
    <row r="5871" spans="1:6" x14ac:dyDescent="0.3">
      <c r="A5871" s="45">
        <v>43500</v>
      </c>
      <c r="B5871" s="5" t="s">
        <v>1193</v>
      </c>
      <c r="C5871" s="5" t="s">
        <v>2248</v>
      </c>
      <c r="D5871" s="43">
        <v>6000</v>
      </c>
      <c r="E5871" s="43"/>
      <c r="F5871" s="48">
        <f t="shared" si="94"/>
        <v>42965</v>
      </c>
    </row>
    <row r="5872" spans="1:6" x14ac:dyDescent="0.3">
      <c r="A5872" s="45">
        <v>43500</v>
      </c>
      <c r="B5872" s="5" t="s">
        <v>3372</v>
      </c>
      <c r="C5872" s="5" t="s">
        <v>40</v>
      </c>
      <c r="D5872" s="43">
        <v>1700</v>
      </c>
      <c r="E5872" s="43"/>
      <c r="F5872" s="48">
        <f t="shared" si="94"/>
        <v>41265</v>
      </c>
    </row>
    <row r="5873" spans="1:6" x14ac:dyDescent="0.3">
      <c r="A5873" s="45">
        <v>43500</v>
      </c>
      <c r="B5873" s="5" t="s">
        <v>84</v>
      </c>
      <c r="C5873" s="5" t="s">
        <v>4609</v>
      </c>
      <c r="D5873" s="43">
        <v>2000</v>
      </c>
      <c r="E5873" s="43"/>
      <c r="F5873" s="48">
        <f t="shared" si="94"/>
        <v>39265</v>
      </c>
    </row>
    <row r="5874" spans="1:6" x14ac:dyDescent="0.3">
      <c r="A5874" s="45">
        <v>43500</v>
      </c>
      <c r="B5874" s="5" t="s">
        <v>247</v>
      </c>
      <c r="C5874" s="5" t="s">
        <v>78</v>
      </c>
      <c r="D5874" s="43">
        <v>100</v>
      </c>
      <c r="E5874" s="43"/>
      <c r="F5874" s="48">
        <f t="shared" si="94"/>
        <v>39165</v>
      </c>
    </row>
    <row r="5875" spans="1:6" x14ac:dyDescent="0.3">
      <c r="A5875" s="45">
        <v>43500</v>
      </c>
      <c r="B5875" s="5" t="s">
        <v>84</v>
      </c>
      <c r="C5875" s="5" t="s">
        <v>4603</v>
      </c>
      <c r="D5875" s="43">
        <v>3000</v>
      </c>
      <c r="E5875" s="43"/>
      <c r="F5875" s="48">
        <f t="shared" si="94"/>
        <v>36165</v>
      </c>
    </row>
    <row r="5876" spans="1:6" x14ac:dyDescent="0.3">
      <c r="A5876" s="45">
        <v>43500</v>
      </c>
      <c r="B5876" s="756" t="s">
        <v>4627</v>
      </c>
      <c r="C5876" s="756"/>
      <c r="D5876" s="71"/>
      <c r="E5876" s="72">
        <v>10000</v>
      </c>
      <c r="F5876" s="48">
        <f t="shared" si="94"/>
        <v>46165</v>
      </c>
    </row>
    <row r="5877" spans="1:6" x14ac:dyDescent="0.3">
      <c r="A5877" s="45">
        <v>43500</v>
      </c>
      <c r="B5877" s="5" t="s">
        <v>3559</v>
      </c>
      <c r="C5877" s="5" t="s">
        <v>4390</v>
      </c>
      <c r="D5877" s="43">
        <v>14700</v>
      </c>
      <c r="E5877" s="43"/>
      <c r="F5877" s="48">
        <f t="shared" si="94"/>
        <v>31465</v>
      </c>
    </row>
    <row r="5878" spans="1:6" x14ac:dyDescent="0.3">
      <c r="A5878" s="45">
        <v>43500</v>
      </c>
      <c r="B5878" s="5" t="s">
        <v>2594</v>
      </c>
      <c r="C5878" s="175" t="s">
        <v>4630</v>
      </c>
      <c r="D5878" s="166">
        <v>5000</v>
      </c>
      <c r="E5878" s="166"/>
      <c r="F5878" s="48">
        <f t="shared" si="94"/>
        <v>26465</v>
      </c>
    </row>
    <row r="5879" spans="1:6" x14ac:dyDescent="0.3">
      <c r="A5879" s="45">
        <v>43500</v>
      </c>
      <c r="B5879" s="5" t="s">
        <v>1837</v>
      </c>
      <c r="C5879" s="175" t="s">
        <v>4629</v>
      </c>
      <c r="D5879" s="166">
        <v>2000</v>
      </c>
      <c r="E5879" s="166"/>
      <c r="F5879" s="48">
        <f t="shared" si="94"/>
        <v>24465</v>
      </c>
    </row>
    <row r="5880" spans="1:6" x14ac:dyDescent="0.3">
      <c r="A5880" s="45">
        <v>43500</v>
      </c>
      <c r="B5880" s="5" t="s">
        <v>0</v>
      </c>
      <c r="C5880" s="175" t="s">
        <v>4628</v>
      </c>
      <c r="D5880" s="166">
        <v>2000</v>
      </c>
      <c r="E5880" s="166"/>
      <c r="F5880" s="48">
        <f t="shared" si="94"/>
        <v>22465</v>
      </c>
    </row>
    <row r="5881" spans="1:6" x14ac:dyDescent="0.3">
      <c r="A5881" s="45">
        <v>43500</v>
      </c>
      <c r="B5881" s="5" t="s">
        <v>16</v>
      </c>
      <c r="C5881" s="5" t="s">
        <v>4319</v>
      </c>
      <c r="D5881" s="43">
        <v>2000</v>
      </c>
      <c r="E5881" s="43"/>
      <c r="F5881" s="48">
        <f t="shared" si="94"/>
        <v>20465</v>
      </c>
    </row>
    <row r="5882" spans="1:6" x14ac:dyDescent="0.3">
      <c r="A5882" s="45">
        <v>43500</v>
      </c>
      <c r="B5882" s="5" t="s">
        <v>2594</v>
      </c>
      <c r="C5882" s="5" t="s">
        <v>4615</v>
      </c>
      <c r="D5882" s="43">
        <v>5200</v>
      </c>
      <c r="E5882" s="43"/>
      <c r="F5882" s="48">
        <f t="shared" si="94"/>
        <v>15265</v>
      </c>
    </row>
    <row r="5883" spans="1:6" x14ac:dyDescent="0.3">
      <c r="A5883" s="45">
        <v>43500</v>
      </c>
      <c r="B5883" s="756" t="s">
        <v>4631</v>
      </c>
      <c r="C5883" s="756"/>
      <c r="D5883" s="71"/>
      <c r="E5883" s="72">
        <v>1241</v>
      </c>
      <c r="F5883" s="48">
        <f>F5882-D5883+E5883</f>
        <v>16506</v>
      </c>
    </row>
    <row r="5884" spans="1:6" x14ac:dyDescent="0.3">
      <c r="A5884" s="45">
        <v>43502</v>
      </c>
      <c r="B5884" s="5" t="s">
        <v>14</v>
      </c>
      <c r="C5884" s="5" t="s">
        <v>4610</v>
      </c>
      <c r="D5884" s="168">
        <v>4160</v>
      </c>
      <c r="E5884" s="43"/>
      <c r="F5884" s="48">
        <f>F5883-D5884+E5884</f>
        <v>12346</v>
      </c>
    </row>
    <row r="5885" spans="1:6" x14ac:dyDescent="0.3">
      <c r="A5885" s="45">
        <v>43502</v>
      </c>
      <c r="B5885" s="5" t="s">
        <v>4611</v>
      </c>
      <c r="C5885" s="5" t="s">
        <v>4612</v>
      </c>
      <c r="D5885" s="43">
        <v>9000</v>
      </c>
      <c r="E5885" s="43"/>
      <c r="F5885" s="48">
        <f t="shared" si="94"/>
        <v>3346</v>
      </c>
    </row>
    <row r="5886" spans="1:6" x14ac:dyDescent="0.3">
      <c r="A5886" s="45">
        <v>43507</v>
      </c>
      <c r="B5886" s="756" t="s">
        <v>4406</v>
      </c>
      <c r="C5886" s="756"/>
      <c r="D5886" s="71"/>
      <c r="E5886" s="72">
        <v>130000</v>
      </c>
      <c r="F5886" s="48">
        <f t="shared" si="94"/>
        <v>133346</v>
      </c>
    </row>
    <row r="5887" spans="1:6" x14ac:dyDescent="0.3">
      <c r="A5887" s="45">
        <v>43507</v>
      </c>
      <c r="B5887" s="5" t="s">
        <v>3138</v>
      </c>
      <c r="C5887" s="5" t="s">
        <v>4616</v>
      </c>
      <c r="D5887" s="43">
        <v>10342</v>
      </c>
      <c r="E5887" s="43"/>
      <c r="F5887" s="48">
        <f t="shared" si="94"/>
        <v>123004</v>
      </c>
    </row>
    <row r="5888" spans="1:6" x14ac:dyDescent="0.3">
      <c r="A5888" s="45">
        <v>43507</v>
      </c>
      <c r="B5888" s="5" t="s">
        <v>4357</v>
      </c>
      <c r="C5888" s="5" t="s">
        <v>4620</v>
      </c>
      <c r="D5888" s="43">
        <v>20000</v>
      </c>
      <c r="E5888" s="43"/>
      <c r="F5888" s="48">
        <f t="shared" si="94"/>
        <v>103004</v>
      </c>
    </row>
    <row r="5889" spans="1:6" x14ac:dyDescent="0.3">
      <c r="A5889" s="45">
        <v>43507</v>
      </c>
      <c r="B5889" s="5" t="s">
        <v>84</v>
      </c>
      <c r="C5889" s="5" t="s">
        <v>4617</v>
      </c>
      <c r="D5889" s="43">
        <v>5500</v>
      </c>
      <c r="E5889" s="43"/>
      <c r="F5889" s="48">
        <f t="shared" si="94"/>
        <v>97504</v>
      </c>
    </row>
    <row r="5890" spans="1:6" x14ac:dyDescent="0.3">
      <c r="A5890" s="45">
        <v>43507</v>
      </c>
      <c r="B5890" s="5" t="s">
        <v>47</v>
      </c>
      <c r="C5890" s="5" t="s">
        <v>4618</v>
      </c>
      <c r="D5890" s="43">
        <v>150</v>
      </c>
      <c r="E5890" s="43"/>
      <c r="F5890" s="48">
        <f t="shared" si="94"/>
        <v>97354</v>
      </c>
    </row>
    <row r="5891" spans="1:6" x14ac:dyDescent="0.3">
      <c r="A5891" s="45">
        <v>43507</v>
      </c>
      <c r="B5891" s="5" t="s">
        <v>57</v>
      </c>
      <c r="C5891" s="5" t="s">
        <v>4619</v>
      </c>
      <c r="D5891" s="43">
        <v>300</v>
      </c>
      <c r="E5891" s="43"/>
      <c r="F5891" s="48">
        <f t="shared" si="94"/>
        <v>97054</v>
      </c>
    </row>
    <row r="5892" spans="1:6" x14ac:dyDescent="0.3">
      <c r="A5892" s="45">
        <v>43507</v>
      </c>
      <c r="B5892" s="5" t="s">
        <v>14</v>
      </c>
      <c r="C5892" s="5" t="s">
        <v>78</v>
      </c>
      <c r="D5892" s="43">
        <v>1000</v>
      </c>
      <c r="E5892" s="43"/>
      <c r="F5892" s="48">
        <f t="shared" si="94"/>
        <v>96054</v>
      </c>
    </row>
    <row r="5893" spans="1:6" x14ac:dyDescent="0.3">
      <c r="A5893" s="45">
        <v>43507</v>
      </c>
      <c r="B5893" s="5" t="s">
        <v>4621</v>
      </c>
      <c r="C5893" s="5" t="s">
        <v>4622</v>
      </c>
      <c r="D5893" s="43">
        <v>1500</v>
      </c>
      <c r="E5893" s="43"/>
      <c r="F5893" s="48">
        <f t="shared" si="94"/>
        <v>94554</v>
      </c>
    </row>
    <row r="5894" spans="1:6" x14ac:dyDescent="0.3">
      <c r="A5894" s="45">
        <v>43507</v>
      </c>
      <c r="B5894" s="5" t="s">
        <v>3546</v>
      </c>
      <c r="C5894" s="5" t="s">
        <v>4623</v>
      </c>
      <c r="D5894" s="43">
        <v>61500</v>
      </c>
      <c r="E5894" s="43"/>
      <c r="F5894" s="48">
        <f t="shared" si="94"/>
        <v>33054</v>
      </c>
    </row>
    <row r="5895" spans="1:6" x14ac:dyDescent="0.3">
      <c r="A5895" s="45">
        <v>43509</v>
      </c>
      <c r="B5895" s="5" t="s">
        <v>14</v>
      </c>
      <c r="C5895" s="5" t="s">
        <v>4624</v>
      </c>
      <c r="D5895" s="43">
        <v>5000</v>
      </c>
      <c r="E5895" s="43"/>
      <c r="F5895" s="48">
        <f t="shared" si="94"/>
        <v>28054</v>
      </c>
    </row>
    <row r="5896" spans="1:6" x14ac:dyDescent="0.3">
      <c r="A5896" s="45">
        <v>43509</v>
      </c>
      <c r="B5896" s="5" t="s">
        <v>57</v>
      </c>
      <c r="C5896" s="5" t="s">
        <v>4625</v>
      </c>
      <c r="D5896" s="43">
        <v>5000</v>
      </c>
      <c r="E5896" s="43"/>
      <c r="F5896" s="48">
        <f t="shared" si="94"/>
        <v>23054</v>
      </c>
    </row>
    <row r="5897" spans="1:6" x14ac:dyDescent="0.3">
      <c r="A5897" s="45">
        <v>43509</v>
      </c>
      <c r="B5897" s="5" t="s">
        <v>0</v>
      </c>
      <c r="C5897" s="5" t="s">
        <v>3856</v>
      </c>
      <c r="D5897" s="43">
        <v>20000</v>
      </c>
      <c r="E5897" s="43"/>
      <c r="F5897" s="48">
        <f t="shared" si="94"/>
        <v>3054</v>
      </c>
    </row>
    <row r="5898" spans="1:6" ht="37.5" x14ac:dyDescent="0.3">
      <c r="A5898" s="45">
        <v>43509</v>
      </c>
      <c r="B5898" s="5" t="s">
        <v>25</v>
      </c>
      <c r="C5898" s="92" t="s">
        <v>4626</v>
      </c>
      <c r="D5898" s="43">
        <f>50+320+60+120+36+310+190+130+120+100+345+230+180+45+140+100+200+45+30+30+30+20+200</f>
        <v>3031</v>
      </c>
      <c r="E5898" s="43"/>
      <c r="F5898" s="48">
        <f t="shared" si="94"/>
        <v>23</v>
      </c>
    </row>
    <row r="5899" spans="1:6" x14ac:dyDescent="0.3">
      <c r="A5899" s="45">
        <v>43509</v>
      </c>
      <c r="B5899" s="756" t="s">
        <v>4632</v>
      </c>
      <c r="C5899" s="756"/>
      <c r="D5899" s="71"/>
      <c r="E5899" s="72">
        <v>450000</v>
      </c>
      <c r="F5899" s="48">
        <f t="shared" si="94"/>
        <v>450023</v>
      </c>
    </row>
    <row r="5900" spans="1:6" x14ac:dyDescent="0.3">
      <c r="A5900" s="45">
        <v>43509</v>
      </c>
      <c r="B5900" s="5" t="s">
        <v>2096</v>
      </c>
      <c r="C5900" s="5" t="s">
        <v>4633</v>
      </c>
      <c r="D5900" s="43">
        <v>20000</v>
      </c>
      <c r="E5900" s="43"/>
      <c r="F5900" s="48">
        <f t="shared" si="94"/>
        <v>430023</v>
      </c>
    </row>
    <row r="5901" spans="1:6" x14ac:dyDescent="0.3">
      <c r="A5901" s="45">
        <v>43509</v>
      </c>
      <c r="B5901" s="5" t="s">
        <v>1316</v>
      </c>
      <c r="C5901" s="5" t="s">
        <v>4634</v>
      </c>
      <c r="D5901" s="43">
        <v>20000</v>
      </c>
      <c r="E5901" s="43"/>
      <c r="F5901" s="48">
        <f t="shared" ref="F5901:F5964" si="95">F5900-D5901+E5901</f>
        <v>410023</v>
      </c>
    </row>
    <row r="5902" spans="1:6" x14ac:dyDescent="0.3">
      <c r="A5902" s="45">
        <v>43509</v>
      </c>
      <c r="B5902" s="5" t="s">
        <v>3825</v>
      </c>
      <c r="C5902" s="5" t="s">
        <v>4635</v>
      </c>
      <c r="D5902" s="43">
        <v>10000</v>
      </c>
      <c r="E5902" s="43"/>
      <c r="F5902" s="48">
        <f t="shared" si="95"/>
        <v>400023</v>
      </c>
    </row>
    <row r="5903" spans="1:6" x14ac:dyDescent="0.3">
      <c r="A5903" s="45">
        <v>43509</v>
      </c>
      <c r="B5903" s="5" t="s">
        <v>11</v>
      </c>
      <c r="C5903" s="5" t="s">
        <v>4635</v>
      </c>
      <c r="D5903" s="43">
        <v>3000</v>
      </c>
      <c r="E5903" s="43"/>
      <c r="F5903" s="48">
        <f t="shared" si="95"/>
        <v>397023</v>
      </c>
    </row>
    <row r="5904" spans="1:6" x14ac:dyDescent="0.3">
      <c r="A5904" s="45">
        <v>43509</v>
      </c>
      <c r="B5904" s="5" t="s">
        <v>2594</v>
      </c>
      <c r="C5904" s="5" t="s">
        <v>4636</v>
      </c>
      <c r="D5904" s="43">
        <v>8140</v>
      </c>
      <c r="E5904" s="43"/>
      <c r="F5904" s="48">
        <f t="shared" si="95"/>
        <v>388883</v>
      </c>
    </row>
    <row r="5905" spans="1:6" x14ac:dyDescent="0.3">
      <c r="A5905" s="45">
        <v>43509</v>
      </c>
      <c r="B5905" s="5" t="s">
        <v>54</v>
      </c>
      <c r="C5905" s="5" t="s">
        <v>4637</v>
      </c>
      <c r="D5905" s="43">
        <v>10700</v>
      </c>
      <c r="E5905" s="43"/>
      <c r="F5905" s="48">
        <f t="shared" si="95"/>
        <v>378183</v>
      </c>
    </row>
    <row r="5906" spans="1:6" x14ac:dyDescent="0.3">
      <c r="A5906" s="45">
        <v>43509</v>
      </c>
      <c r="B5906" s="5" t="s">
        <v>4604</v>
      </c>
      <c r="C5906" s="5" t="s">
        <v>40</v>
      </c>
      <c r="D5906" s="43">
        <v>25000</v>
      </c>
      <c r="E5906" s="43"/>
      <c r="F5906" s="48">
        <f t="shared" si="95"/>
        <v>353183</v>
      </c>
    </row>
    <row r="5907" spans="1:6" x14ac:dyDescent="0.3">
      <c r="A5907" s="45">
        <v>43509</v>
      </c>
      <c r="B5907" s="5" t="s">
        <v>4638</v>
      </c>
      <c r="C5907" s="5" t="s">
        <v>4639</v>
      </c>
      <c r="D5907" s="43">
        <v>50000</v>
      </c>
      <c r="E5907" s="43"/>
      <c r="F5907" s="48">
        <f t="shared" si="95"/>
        <v>303183</v>
      </c>
    </row>
    <row r="5908" spans="1:6" x14ac:dyDescent="0.3">
      <c r="A5908" s="45">
        <v>43510</v>
      </c>
      <c r="B5908" s="5" t="s">
        <v>14</v>
      </c>
      <c r="C5908" s="5" t="s">
        <v>3143</v>
      </c>
      <c r="D5908" s="43">
        <v>20000</v>
      </c>
      <c r="E5908" s="43"/>
      <c r="F5908" s="48">
        <f t="shared" si="95"/>
        <v>283183</v>
      </c>
    </row>
    <row r="5909" spans="1:6" x14ac:dyDescent="0.3">
      <c r="A5909" s="45">
        <v>43510</v>
      </c>
      <c r="B5909" s="5" t="s">
        <v>14</v>
      </c>
      <c r="C5909" s="5" t="s">
        <v>640</v>
      </c>
      <c r="D5909" s="43">
        <v>1000</v>
      </c>
      <c r="E5909" s="43"/>
      <c r="F5909" s="48">
        <f t="shared" si="95"/>
        <v>282183</v>
      </c>
    </row>
    <row r="5910" spans="1:6" x14ac:dyDescent="0.3">
      <c r="A5910" s="45">
        <v>43510</v>
      </c>
      <c r="B5910" s="5" t="s">
        <v>25</v>
      </c>
      <c r="C5910" s="5" t="s">
        <v>4640</v>
      </c>
      <c r="D5910" s="43">
        <v>1600</v>
      </c>
      <c r="E5910" s="43"/>
      <c r="F5910" s="48">
        <f t="shared" si="95"/>
        <v>280583</v>
      </c>
    </row>
    <row r="5911" spans="1:6" x14ac:dyDescent="0.3">
      <c r="A5911" s="45">
        <v>43510</v>
      </c>
      <c r="B5911" s="5" t="s">
        <v>2594</v>
      </c>
      <c r="C5911" s="5" t="s">
        <v>4644</v>
      </c>
      <c r="D5911" s="43">
        <v>48980</v>
      </c>
      <c r="E5911" s="43"/>
      <c r="F5911" s="48">
        <f t="shared" si="95"/>
        <v>231603</v>
      </c>
    </row>
    <row r="5912" spans="1:6" x14ac:dyDescent="0.3">
      <c r="A5912" s="45">
        <v>43510</v>
      </c>
      <c r="B5912" s="5" t="s">
        <v>4641</v>
      </c>
      <c r="C5912" s="5" t="s">
        <v>4642</v>
      </c>
      <c r="D5912" s="43">
        <v>50000</v>
      </c>
      <c r="E5912" s="43"/>
      <c r="F5912" s="48">
        <f t="shared" si="95"/>
        <v>181603</v>
      </c>
    </row>
    <row r="5913" spans="1:6" x14ac:dyDescent="0.3">
      <c r="A5913" s="45">
        <v>43510</v>
      </c>
      <c r="B5913" s="5" t="s">
        <v>4552</v>
      </c>
      <c r="C5913" s="5" t="s">
        <v>4643</v>
      </c>
      <c r="D5913" s="43">
        <v>20000</v>
      </c>
      <c r="E5913" s="43"/>
      <c r="F5913" s="48">
        <f t="shared" si="95"/>
        <v>161603</v>
      </c>
    </row>
    <row r="5914" spans="1:6" x14ac:dyDescent="0.3">
      <c r="A5914" s="45">
        <v>43510</v>
      </c>
      <c r="B5914" s="5" t="s">
        <v>541</v>
      </c>
      <c r="C5914" s="5" t="s">
        <v>2331</v>
      </c>
      <c r="D5914" s="43">
        <v>5000</v>
      </c>
      <c r="E5914" s="43"/>
      <c r="F5914" s="48">
        <f t="shared" si="95"/>
        <v>156603</v>
      </c>
    </row>
    <row r="5915" spans="1:6" x14ac:dyDescent="0.3">
      <c r="A5915" s="45">
        <v>43510</v>
      </c>
      <c r="B5915" s="5" t="s">
        <v>2948</v>
      </c>
      <c r="C5915" s="5" t="s">
        <v>4645</v>
      </c>
      <c r="D5915" s="43">
        <v>13000</v>
      </c>
      <c r="E5915" s="43"/>
      <c r="F5915" s="48">
        <f t="shared" si="95"/>
        <v>143603</v>
      </c>
    </row>
    <row r="5916" spans="1:6" x14ac:dyDescent="0.3">
      <c r="A5916" s="45">
        <v>43510</v>
      </c>
      <c r="B5916" s="5" t="s">
        <v>1512</v>
      </c>
      <c r="C5916" s="5" t="s">
        <v>4646</v>
      </c>
      <c r="D5916" s="43">
        <v>5800</v>
      </c>
      <c r="E5916" s="43"/>
      <c r="F5916" s="48">
        <f t="shared" si="95"/>
        <v>137803</v>
      </c>
    </row>
    <row r="5917" spans="1:6" x14ac:dyDescent="0.3">
      <c r="A5917" s="45">
        <v>43511</v>
      </c>
      <c r="B5917" s="5" t="s">
        <v>4647</v>
      </c>
      <c r="C5917" s="5" t="s">
        <v>4648</v>
      </c>
      <c r="D5917" s="43">
        <v>50000</v>
      </c>
      <c r="E5917" s="43"/>
      <c r="F5917" s="48">
        <f t="shared" si="95"/>
        <v>87803</v>
      </c>
    </row>
    <row r="5918" spans="1:6" x14ac:dyDescent="0.3">
      <c r="A5918" s="45">
        <v>43511</v>
      </c>
      <c r="B5918" s="5" t="s">
        <v>0</v>
      </c>
      <c r="C5918" s="5" t="s">
        <v>4319</v>
      </c>
      <c r="D5918" s="43">
        <v>2000</v>
      </c>
      <c r="E5918" s="43"/>
      <c r="F5918" s="48">
        <f t="shared" si="95"/>
        <v>85803</v>
      </c>
    </row>
    <row r="5919" spans="1:6" x14ac:dyDescent="0.3">
      <c r="A5919" s="45">
        <v>43511</v>
      </c>
      <c r="B5919" s="5" t="s">
        <v>1512</v>
      </c>
      <c r="C5919" s="5" t="s">
        <v>4649</v>
      </c>
      <c r="D5919" s="43">
        <v>18000</v>
      </c>
      <c r="E5919" s="43"/>
      <c r="F5919" s="48">
        <f t="shared" si="95"/>
        <v>67803</v>
      </c>
    </row>
    <row r="5920" spans="1:6" x14ac:dyDescent="0.3">
      <c r="A5920" s="45">
        <v>43511</v>
      </c>
      <c r="B5920" s="5" t="s">
        <v>84</v>
      </c>
      <c r="C5920" s="5" t="s">
        <v>4650</v>
      </c>
      <c r="D5920" s="43">
        <v>5000</v>
      </c>
      <c r="E5920" s="43"/>
      <c r="F5920" s="48">
        <f t="shared" si="95"/>
        <v>62803</v>
      </c>
    </row>
    <row r="5921" spans="1:6" x14ac:dyDescent="0.3">
      <c r="A5921" s="45">
        <v>43511</v>
      </c>
      <c r="B5921" s="5" t="s">
        <v>84</v>
      </c>
      <c r="C5921" s="5" t="s">
        <v>4651</v>
      </c>
      <c r="D5921" s="43">
        <v>5000</v>
      </c>
      <c r="E5921" s="43"/>
      <c r="F5921" s="48">
        <f t="shared" si="95"/>
        <v>57803</v>
      </c>
    </row>
    <row r="5922" spans="1:6" x14ac:dyDescent="0.3">
      <c r="A5922" s="45">
        <v>43511</v>
      </c>
      <c r="B5922" s="5" t="s">
        <v>84</v>
      </c>
      <c r="C5922" s="5" t="s">
        <v>4652</v>
      </c>
      <c r="D5922" s="43">
        <v>5000</v>
      </c>
      <c r="E5922" s="43"/>
      <c r="F5922" s="48">
        <f t="shared" si="95"/>
        <v>52803</v>
      </c>
    </row>
    <row r="5923" spans="1:6" x14ac:dyDescent="0.3">
      <c r="A5923" s="45">
        <v>43511</v>
      </c>
      <c r="B5923" s="5" t="s">
        <v>84</v>
      </c>
      <c r="C5923" s="5" t="s">
        <v>4653</v>
      </c>
      <c r="D5923" s="43">
        <v>5000</v>
      </c>
      <c r="E5923" s="43"/>
      <c r="F5923" s="48">
        <f t="shared" si="95"/>
        <v>47803</v>
      </c>
    </row>
    <row r="5924" spans="1:6" x14ac:dyDescent="0.3">
      <c r="A5924" s="45">
        <v>43511</v>
      </c>
      <c r="B5924" s="5" t="s">
        <v>84</v>
      </c>
      <c r="C5924" s="5" t="s">
        <v>4654</v>
      </c>
      <c r="D5924" s="43">
        <v>5000</v>
      </c>
      <c r="E5924" s="43"/>
      <c r="F5924" s="48">
        <f t="shared" si="95"/>
        <v>42803</v>
      </c>
    </row>
    <row r="5925" spans="1:6" x14ac:dyDescent="0.3">
      <c r="A5925" s="45">
        <v>43511</v>
      </c>
      <c r="B5925" s="5" t="s">
        <v>84</v>
      </c>
      <c r="C5925" s="5" t="s">
        <v>4655</v>
      </c>
      <c r="D5925" s="43">
        <v>5000</v>
      </c>
      <c r="E5925" s="43"/>
      <c r="F5925" s="48">
        <f t="shared" si="95"/>
        <v>37803</v>
      </c>
    </row>
    <row r="5926" spans="1:6" x14ac:dyDescent="0.3">
      <c r="A5926" s="45">
        <v>43512</v>
      </c>
      <c r="B5926" s="5" t="s">
        <v>57</v>
      </c>
      <c r="C5926" s="5" t="s">
        <v>4656</v>
      </c>
      <c r="D5926" s="43">
        <v>5000</v>
      </c>
      <c r="E5926" s="43"/>
      <c r="F5926" s="48">
        <f t="shared" si="95"/>
        <v>32803</v>
      </c>
    </row>
    <row r="5927" spans="1:6" x14ac:dyDescent="0.3">
      <c r="A5927" s="45">
        <v>43512</v>
      </c>
      <c r="B5927" s="5" t="s">
        <v>11</v>
      </c>
      <c r="C5927" s="5" t="s">
        <v>4187</v>
      </c>
      <c r="D5927" s="43">
        <v>3000</v>
      </c>
      <c r="E5927" s="43"/>
      <c r="F5927" s="48">
        <f t="shared" si="95"/>
        <v>29803</v>
      </c>
    </row>
    <row r="5928" spans="1:6" x14ac:dyDescent="0.3">
      <c r="A5928" s="45">
        <v>43512</v>
      </c>
      <c r="B5928" s="5" t="s">
        <v>0</v>
      </c>
      <c r="C5928" s="5" t="s">
        <v>4319</v>
      </c>
      <c r="D5928" s="43">
        <v>10000</v>
      </c>
      <c r="E5928" s="43"/>
      <c r="F5928" s="48">
        <f t="shared" si="95"/>
        <v>19803</v>
      </c>
    </row>
    <row r="5929" spans="1:6" x14ac:dyDescent="0.3">
      <c r="A5929" s="45">
        <v>43512</v>
      </c>
      <c r="B5929" s="5" t="s">
        <v>0</v>
      </c>
      <c r="C5929" s="5" t="s">
        <v>4657</v>
      </c>
      <c r="D5929" s="43">
        <v>300</v>
      </c>
      <c r="E5929" s="43"/>
      <c r="F5929" s="48">
        <f t="shared" si="95"/>
        <v>19503</v>
      </c>
    </row>
    <row r="5930" spans="1:6" x14ac:dyDescent="0.3">
      <c r="A5930" s="45">
        <v>43514</v>
      </c>
      <c r="B5930" s="5" t="s">
        <v>25</v>
      </c>
      <c r="C5930" s="5" t="s">
        <v>4658</v>
      </c>
      <c r="D5930" s="43">
        <f>228+110+360+130+180+45+40+450+550+650+470+370+450+110</f>
        <v>4143</v>
      </c>
      <c r="E5930" s="43"/>
      <c r="F5930" s="48">
        <f t="shared" si="95"/>
        <v>15360</v>
      </c>
    </row>
    <row r="5931" spans="1:6" x14ac:dyDescent="0.3">
      <c r="A5931" s="45">
        <v>43514</v>
      </c>
      <c r="B5931" s="5" t="s">
        <v>25</v>
      </c>
      <c r="C5931" s="5" t="s">
        <v>4659</v>
      </c>
      <c r="D5931" s="43">
        <v>500</v>
      </c>
      <c r="E5931" s="43"/>
      <c r="F5931" s="48">
        <f t="shared" si="95"/>
        <v>14860</v>
      </c>
    </row>
    <row r="5932" spans="1:6" x14ac:dyDescent="0.3">
      <c r="A5932" s="45">
        <v>43514</v>
      </c>
      <c r="B5932" s="5" t="s">
        <v>14</v>
      </c>
      <c r="C5932" s="5" t="s">
        <v>2544</v>
      </c>
      <c r="D5932" s="43">
        <v>10000</v>
      </c>
      <c r="E5932" s="43"/>
      <c r="F5932" s="48">
        <f t="shared" si="95"/>
        <v>4860</v>
      </c>
    </row>
    <row r="5933" spans="1:6" x14ac:dyDescent="0.3">
      <c r="A5933" s="45">
        <v>43514</v>
      </c>
      <c r="B5933" s="756" t="s">
        <v>4811</v>
      </c>
      <c r="C5933" s="756"/>
      <c r="D5933" s="71"/>
      <c r="E5933" s="72">
        <v>300000</v>
      </c>
      <c r="F5933" s="48">
        <f t="shared" si="95"/>
        <v>304860</v>
      </c>
    </row>
    <row r="5934" spans="1:6" x14ac:dyDescent="0.3">
      <c r="A5934" s="45">
        <v>43514</v>
      </c>
      <c r="B5934" s="5" t="s">
        <v>4660</v>
      </c>
      <c r="C5934" s="5" t="s">
        <v>4661</v>
      </c>
      <c r="D5934" s="43">
        <v>71000</v>
      </c>
      <c r="E5934" s="43"/>
      <c r="F5934" s="48">
        <f t="shared" si="95"/>
        <v>233860</v>
      </c>
    </row>
    <row r="5935" spans="1:6" x14ac:dyDescent="0.3">
      <c r="A5935" s="45">
        <v>43514</v>
      </c>
      <c r="B5935" s="5" t="s">
        <v>1343</v>
      </c>
      <c r="C5935" s="5" t="s">
        <v>4662</v>
      </c>
      <c r="D5935" s="43">
        <v>5000</v>
      </c>
      <c r="E5935" s="43"/>
      <c r="F5935" s="48">
        <f t="shared" si="95"/>
        <v>228860</v>
      </c>
    </row>
    <row r="5936" spans="1:6" x14ac:dyDescent="0.3">
      <c r="A5936" s="45">
        <v>43514</v>
      </c>
      <c r="B5936" s="5" t="s">
        <v>1343</v>
      </c>
      <c r="C5936" s="5" t="s">
        <v>4663</v>
      </c>
      <c r="D5936" s="43">
        <v>23000</v>
      </c>
      <c r="E5936" s="43"/>
      <c r="F5936" s="48">
        <f t="shared" si="95"/>
        <v>205860</v>
      </c>
    </row>
    <row r="5937" spans="1:6" x14ac:dyDescent="0.3">
      <c r="A5937" s="45">
        <v>43514</v>
      </c>
      <c r="B5937" s="5" t="s">
        <v>1458</v>
      </c>
      <c r="C5937" s="5" t="s">
        <v>4664</v>
      </c>
      <c r="D5937" s="43">
        <v>16000</v>
      </c>
      <c r="E5937" s="43"/>
      <c r="F5937" s="48">
        <f t="shared" si="95"/>
        <v>189860</v>
      </c>
    </row>
    <row r="5938" spans="1:6" x14ac:dyDescent="0.3">
      <c r="A5938" s="45">
        <v>43514</v>
      </c>
      <c r="B5938" s="5" t="s">
        <v>4665</v>
      </c>
      <c r="C5938" s="5" t="s">
        <v>4666</v>
      </c>
      <c r="D5938" s="43">
        <v>25000</v>
      </c>
      <c r="E5938" s="43"/>
      <c r="F5938" s="48">
        <f t="shared" si="95"/>
        <v>164860</v>
      </c>
    </row>
    <row r="5939" spans="1:6" x14ac:dyDescent="0.3">
      <c r="A5939" s="45">
        <v>43514</v>
      </c>
      <c r="B5939" s="5" t="s">
        <v>4667</v>
      </c>
      <c r="C5939" s="5" t="s">
        <v>4668</v>
      </c>
      <c r="D5939" s="43">
        <v>50000</v>
      </c>
      <c r="E5939" s="43"/>
      <c r="F5939" s="48">
        <f t="shared" si="95"/>
        <v>114860</v>
      </c>
    </row>
    <row r="5940" spans="1:6" x14ac:dyDescent="0.3">
      <c r="A5940" s="45">
        <v>43514</v>
      </c>
      <c r="B5940" s="5" t="s">
        <v>3825</v>
      </c>
      <c r="C5940" s="5" t="s">
        <v>4187</v>
      </c>
      <c r="D5940" s="43">
        <v>3500</v>
      </c>
      <c r="E5940" s="43"/>
      <c r="F5940" s="48">
        <f t="shared" si="95"/>
        <v>111360</v>
      </c>
    </row>
    <row r="5941" spans="1:6" x14ac:dyDescent="0.3">
      <c r="A5941" s="45">
        <v>43514</v>
      </c>
      <c r="B5941" s="5" t="s">
        <v>4669</v>
      </c>
      <c r="C5941" s="5" t="s">
        <v>49</v>
      </c>
      <c r="D5941" s="43">
        <v>1000</v>
      </c>
      <c r="E5941" s="43"/>
      <c r="F5941" s="48">
        <f t="shared" si="95"/>
        <v>110360</v>
      </c>
    </row>
    <row r="5942" spans="1:6" x14ac:dyDescent="0.3">
      <c r="A5942" s="45">
        <v>43514</v>
      </c>
      <c r="B5942" s="5" t="s">
        <v>247</v>
      </c>
      <c r="C5942" s="5" t="s">
        <v>2013</v>
      </c>
      <c r="D5942" s="43">
        <v>100</v>
      </c>
      <c r="E5942" s="43"/>
      <c r="F5942" s="48">
        <f t="shared" si="95"/>
        <v>110260</v>
      </c>
    </row>
    <row r="5943" spans="1:6" x14ac:dyDescent="0.3">
      <c r="A5943" s="45">
        <v>43514</v>
      </c>
      <c r="B5943" s="5" t="s">
        <v>84</v>
      </c>
      <c r="C5943" s="5" t="s">
        <v>4670</v>
      </c>
      <c r="D5943" s="43">
        <v>3000</v>
      </c>
      <c r="E5943" s="43"/>
      <c r="F5943" s="48">
        <f t="shared" si="95"/>
        <v>107260</v>
      </c>
    </row>
    <row r="5944" spans="1:6" x14ac:dyDescent="0.3">
      <c r="A5944" s="45">
        <v>43514</v>
      </c>
      <c r="B5944" s="5" t="s">
        <v>4647</v>
      </c>
      <c r="C5944" s="5" t="s">
        <v>4671</v>
      </c>
      <c r="D5944" s="43">
        <v>100000</v>
      </c>
      <c r="E5944" s="43"/>
      <c r="F5944" s="48">
        <f t="shared" si="95"/>
        <v>7260</v>
      </c>
    </row>
    <row r="5945" spans="1:6" x14ac:dyDescent="0.3">
      <c r="A5945" s="45">
        <v>43515</v>
      </c>
      <c r="B5945" s="5" t="s">
        <v>2948</v>
      </c>
      <c r="C5945" s="5" t="s">
        <v>4672</v>
      </c>
      <c r="D5945" s="43">
        <v>360</v>
      </c>
      <c r="E5945" s="43"/>
      <c r="F5945" s="48">
        <f t="shared" si="95"/>
        <v>6900</v>
      </c>
    </row>
    <row r="5946" spans="1:6" x14ac:dyDescent="0.3">
      <c r="A5946" s="45">
        <v>43515</v>
      </c>
      <c r="B5946" s="5" t="s">
        <v>25</v>
      </c>
      <c r="C5946" s="5" t="s">
        <v>4673</v>
      </c>
      <c r="D5946" s="43">
        <v>160</v>
      </c>
      <c r="E5946" s="43"/>
      <c r="F5946" s="48">
        <f t="shared" si="95"/>
        <v>6740</v>
      </c>
    </row>
    <row r="5947" spans="1:6" x14ac:dyDescent="0.3">
      <c r="A5947" s="45">
        <v>43515</v>
      </c>
      <c r="B5947" s="5" t="s">
        <v>4641</v>
      </c>
      <c r="C5947" s="5" t="s">
        <v>4674</v>
      </c>
      <c r="D5947" s="43">
        <v>200</v>
      </c>
      <c r="E5947" s="43"/>
      <c r="F5947" s="48">
        <f t="shared" si="95"/>
        <v>6540</v>
      </c>
    </row>
    <row r="5948" spans="1:6" x14ac:dyDescent="0.3">
      <c r="A5948" s="45">
        <v>43515</v>
      </c>
      <c r="B5948" s="756" t="s">
        <v>2960</v>
      </c>
      <c r="C5948" s="756"/>
      <c r="D5948" s="71"/>
      <c r="E5948" s="72">
        <v>20000</v>
      </c>
      <c r="F5948" s="48">
        <f t="shared" si="95"/>
        <v>26540</v>
      </c>
    </row>
    <row r="5949" spans="1:6" x14ac:dyDescent="0.3">
      <c r="A5949" s="45">
        <v>43515</v>
      </c>
      <c r="B5949" s="5" t="s">
        <v>2594</v>
      </c>
      <c r="C5949" s="5" t="s">
        <v>3143</v>
      </c>
      <c r="D5949" s="43">
        <v>10000</v>
      </c>
      <c r="E5949" s="43"/>
      <c r="F5949" s="48">
        <f t="shared" si="95"/>
        <v>16540</v>
      </c>
    </row>
    <row r="5950" spans="1:6" x14ac:dyDescent="0.3">
      <c r="A5950" s="45">
        <v>43516</v>
      </c>
      <c r="B5950" s="756" t="s">
        <v>4675</v>
      </c>
      <c r="C5950" s="756"/>
      <c r="D5950" s="71"/>
      <c r="E5950" s="72">
        <v>500000</v>
      </c>
      <c r="F5950" s="48">
        <f t="shared" si="95"/>
        <v>516540</v>
      </c>
    </row>
    <row r="5951" spans="1:6" x14ac:dyDescent="0.3">
      <c r="A5951" s="45">
        <v>43516</v>
      </c>
      <c r="B5951" s="5" t="s">
        <v>4647</v>
      </c>
      <c r="C5951" s="5" t="s">
        <v>4676</v>
      </c>
      <c r="D5951" s="43">
        <v>308400</v>
      </c>
      <c r="E5951" s="43"/>
      <c r="F5951" s="48">
        <f t="shared" si="95"/>
        <v>208140</v>
      </c>
    </row>
    <row r="5952" spans="1:6" x14ac:dyDescent="0.3">
      <c r="A5952" s="45">
        <v>43516</v>
      </c>
      <c r="B5952" s="5" t="s">
        <v>4677</v>
      </c>
      <c r="C5952" s="5" t="s">
        <v>4678</v>
      </c>
      <c r="D5952" s="43">
        <v>180500</v>
      </c>
      <c r="E5952" s="43"/>
      <c r="F5952" s="48">
        <f t="shared" si="95"/>
        <v>27640</v>
      </c>
    </row>
    <row r="5953" spans="1:6" x14ac:dyDescent="0.3">
      <c r="A5953" s="45">
        <v>43516</v>
      </c>
      <c r="B5953" s="5" t="s">
        <v>25</v>
      </c>
      <c r="C5953" s="5" t="s">
        <v>4679</v>
      </c>
      <c r="D5953" s="43">
        <v>300</v>
      </c>
      <c r="E5953" s="43"/>
      <c r="F5953" s="48">
        <f t="shared" si="95"/>
        <v>27340</v>
      </c>
    </row>
    <row r="5954" spans="1:6" x14ac:dyDescent="0.3">
      <c r="A5954" s="45">
        <v>43516</v>
      </c>
      <c r="B5954" s="5" t="s">
        <v>25</v>
      </c>
      <c r="C5954" s="5" t="s">
        <v>4680</v>
      </c>
      <c r="D5954" s="43">
        <v>300</v>
      </c>
      <c r="E5954" s="43"/>
      <c r="F5954" s="48">
        <f t="shared" si="95"/>
        <v>27040</v>
      </c>
    </row>
    <row r="5955" spans="1:6" x14ac:dyDescent="0.3">
      <c r="A5955" s="45">
        <v>43516</v>
      </c>
      <c r="B5955" s="756" t="s">
        <v>4810</v>
      </c>
      <c r="C5955" s="756"/>
      <c r="D5955" s="71"/>
      <c r="E5955" s="72">
        <v>300000</v>
      </c>
      <c r="F5955" s="48">
        <f t="shared" si="95"/>
        <v>327040</v>
      </c>
    </row>
    <row r="5956" spans="1:6" x14ac:dyDescent="0.3">
      <c r="A5956" s="45">
        <v>43516</v>
      </c>
      <c r="B5956" s="5" t="s">
        <v>3734</v>
      </c>
      <c r="C5956" s="5" t="s">
        <v>4484</v>
      </c>
      <c r="D5956" s="43">
        <v>1000</v>
      </c>
      <c r="E5956" s="43"/>
      <c r="F5956" s="48">
        <f t="shared" si="95"/>
        <v>326040</v>
      </c>
    </row>
    <row r="5957" spans="1:6" x14ac:dyDescent="0.3">
      <c r="A5957" s="45">
        <v>43516</v>
      </c>
      <c r="B5957" s="5" t="s">
        <v>84</v>
      </c>
      <c r="C5957" s="5" t="s">
        <v>4681</v>
      </c>
      <c r="D5957" s="43">
        <v>1500</v>
      </c>
      <c r="E5957" s="43"/>
      <c r="F5957" s="48">
        <f t="shared" si="95"/>
        <v>324540</v>
      </c>
    </row>
    <row r="5958" spans="1:6" x14ac:dyDescent="0.3">
      <c r="A5958" s="45">
        <v>43516</v>
      </c>
      <c r="B5958" s="5" t="s">
        <v>4667</v>
      </c>
      <c r="C5958" s="5" t="s">
        <v>4682</v>
      </c>
      <c r="D5958" s="43">
        <v>63000</v>
      </c>
      <c r="E5958" s="43"/>
      <c r="F5958" s="48">
        <f t="shared" si="95"/>
        <v>261540</v>
      </c>
    </row>
    <row r="5959" spans="1:6" x14ac:dyDescent="0.3">
      <c r="A5959" s="45">
        <v>43516</v>
      </c>
      <c r="B5959" s="5" t="s">
        <v>2594</v>
      </c>
      <c r="C5959" s="5" t="s">
        <v>4505</v>
      </c>
      <c r="D5959" s="43">
        <v>22500</v>
      </c>
      <c r="E5959" s="43"/>
      <c r="F5959" s="48">
        <f t="shared" si="95"/>
        <v>239040</v>
      </c>
    </row>
    <row r="5960" spans="1:6" x14ac:dyDescent="0.3">
      <c r="A5960" s="45">
        <v>43516</v>
      </c>
      <c r="B5960" s="5" t="s">
        <v>2594</v>
      </c>
      <c r="C5960" s="5" t="s">
        <v>4683</v>
      </c>
      <c r="D5960" s="43">
        <v>22136</v>
      </c>
      <c r="E5960" s="43"/>
      <c r="F5960" s="48">
        <f t="shared" si="95"/>
        <v>216904</v>
      </c>
    </row>
    <row r="5961" spans="1:6" x14ac:dyDescent="0.3">
      <c r="A5961" s="45">
        <v>43517</v>
      </c>
      <c r="B5961" s="5" t="s">
        <v>25</v>
      </c>
      <c r="C5961" s="5" t="s">
        <v>4684</v>
      </c>
      <c r="D5961" s="43">
        <v>100</v>
      </c>
      <c r="E5961" s="43"/>
      <c r="F5961" s="48">
        <f t="shared" si="95"/>
        <v>216804</v>
      </c>
    </row>
    <row r="5962" spans="1:6" x14ac:dyDescent="0.3">
      <c r="A5962" s="45">
        <v>43517</v>
      </c>
      <c r="B5962" s="5" t="s">
        <v>4504</v>
      </c>
      <c r="C5962" s="5" t="s">
        <v>4685</v>
      </c>
      <c r="D5962" s="43">
        <v>200</v>
      </c>
      <c r="E5962" s="43"/>
      <c r="F5962" s="48">
        <f t="shared" si="95"/>
        <v>216604</v>
      </c>
    </row>
    <row r="5963" spans="1:6" x14ac:dyDescent="0.3">
      <c r="A5963" s="45">
        <v>43517</v>
      </c>
      <c r="B5963" s="5" t="s">
        <v>4604</v>
      </c>
      <c r="C5963" s="5" t="s">
        <v>4686</v>
      </c>
      <c r="D5963" s="43">
        <v>46300</v>
      </c>
      <c r="E5963" s="43"/>
      <c r="F5963" s="48">
        <f t="shared" si="95"/>
        <v>170304</v>
      </c>
    </row>
    <row r="5964" spans="1:6" x14ac:dyDescent="0.3">
      <c r="A5964" s="45">
        <v>43517</v>
      </c>
      <c r="B5964" s="5" t="s">
        <v>0</v>
      </c>
      <c r="C5964" s="5" t="s">
        <v>4687</v>
      </c>
      <c r="D5964" s="43">
        <v>10000</v>
      </c>
      <c r="E5964" s="43"/>
      <c r="F5964" s="48">
        <f t="shared" si="95"/>
        <v>160304</v>
      </c>
    </row>
    <row r="5965" spans="1:6" x14ac:dyDescent="0.3">
      <c r="A5965" s="45">
        <v>43517</v>
      </c>
      <c r="B5965" s="756" t="s">
        <v>4809</v>
      </c>
      <c r="C5965" s="756"/>
      <c r="D5965" s="71"/>
      <c r="E5965" s="72">
        <v>300000</v>
      </c>
      <c r="F5965" s="48">
        <f t="shared" ref="F5965:F6028" si="96">F5964-D5965+E5965</f>
        <v>460304</v>
      </c>
    </row>
    <row r="5966" spans="1:6" x14ac:dyDescent="0.3">
      <c r="A5966" s="45">
        <v>43517</v>
      </c>
      <c r="B5966" s="5" t="s">
        <v>4579</v>
      </c>
      <c r="C5966" s="5" t="s">
        <v>4689</v>
      </c>
      <c r="D5966" s="43">
        <v>400000</v>
      </c>
      <c r="E5966" s="43"/>
      <c r="F5966" s="48">
        <f t="shared" si="96"/>
        <v>60304</v>
      </c>
    </row>
    <row r="5967" spans="1:6" x14ac:dyDescent="0.3">
      <c r="A5967" s="45">
        <v>43517</v>
      </c>
      <c r="B5967" s="5" t="s">
        <v>4688</v>
      </c>
      <c r="C5967" s="5" t="s">
        <v>4690</v>
      </c>
      <c r="D5967" s="43">
        <v>10000</v>
      </c>
      <c r="E5967" s="43"/>
      <c r="F5967" s="48">
        <f t="shared" si="96"/>
        <v>50304</v>
      </c>
    </row>
    <row r="5968" spans="1:6" x14ac:dyDescent="0.3">
      <c r="A5968" s="45">
        <v>43517</v>
      </c>
      <c r="B5968" s="5" t="s">
        <v>3559</v>
      </c>
      <c r="C5968" s="5" t="s">
        <v>3535</v>
      </c>
      <c r="D5968" s="43">
        <v>650</v>
      </c>
      <c r="E5968" s="43"/>
      <c r="F5968" s="48">
        <f t="shared" si="96"/>
        <v>49654</v>
      </c>
    </row>
    <row r="5969" spans="1:6" x14ac:dyDescent="0.3">
      <c r="A5969" s="45">
        <v>43518</v>
      </c>
      <c r="B5969" s="5" t="s">
        <v>2948</v>
      </c>
      <c r="C5969" s="5" t="s">
        <v>50</v>
      </c>
      <c r="D5969" s="43">
        <v>5000</v>
      </c>
      <c r="E5969" s="43"/>
      <c r="F5969" s="48">
        <f t="shared" si="96"/>
        <v>44654</v>
      </c>
    </row>
    <row r="5970" spans="1:6" x14ac:dyDescent="0.3">
      <c r="A5970" s="45">
        <v>43518</v>
      </c>
      <c r="B5970" s="5" t="s">
        <v>2594</v>
      </c>
      <c r="C5970" s="5" t="s">
        <v>4691</v>
      </c>
      <c r="D5970" s="43">
        <v>19040</v>
      </c>
      <c r="E5970" s="43"/>
      <c r="F5970" s="48">
        <f t="shared" si="96"/>
        <v>25614</v>
      </c>
    </row>
    <row r="5971" spans="1:6" x14ac:dyDescent="0.3">
      <c r="A5971" s="45">
        <v>43518</v>
      </c>
      <c r="B5971" s="5" t="s">
        <v>14</v>
      </c>
      <c r="C5971" s="5" t="s">
        <v>294</v>
      </c>
      <c r="D5971" s="43">
        <v>5000</v>
      </c>
      <c r="E5971" s="43"/>
      <c r="F5971" s="48">
        <f t="shared" si="96"/>
        <v>20614</v>
      </c>
    </row>
    <row r="5972" spans="1:6" x14ac:dyDescent="0.3">
      <c r="A5972" s="45">
        <v>43518</v>
      </c>
      <c r="B5972" s="5" t="s">
        <v>4692</v>
      </c>
      <c r="C5972" s="5" t="s">
        <v>4693</v>
      </c>
      <c r="D5972" s="43">
        <v>5500</v>
      </c>
      <c r="E5972" s="43"/>
      <c r="F5972" s="48">
        <f t="shared" si="96"/>
        <v>15114</v>
      </c>
    </row>
    <row r="5973" spans="1:6" x14ac:dyDescent="0.3">
      <c r="A5973" s="45">
        <v>43518</v>
      </c>
      <c r="B5973" s="756" t="s">
        <v>3444</v>
      </c>
      <c r="C5973" s="756"/>
      <c r="D5973" s="71"/>
      <c r="E5973" s="72">
        <v>500000</v>
      </c>
      <c r="F5973" s="48">
        <f t="shared" si="96"/>
        <v>515114</v>
      </c>
    </row>
    <row r="5974" spans="1:6" x14ac:dyDescent="0.3">
      <c r="A5974" s="45">
        <v>43518</v>
      </c>
      <c r="B5974" s="5" t="s">
        <v>4694</v>
      </c>
      <c r="C5974" s="5" t="s">
        <v>4700</v>
      </c>
      <c r="D5974" s="43">
        <v>450000</v>
      </c>
      <c r="E5974" s="43"/>
      <c r="F5974" s="48">
        <f t="shared" si="96"/>
        <v>65114</v>
      </c>
    </row>
    <row r="5975" spans="1:6" x14ac:dyDescent="0.3">
      <c r="A5975" s="45">
        <v>43518</v>
      </c>
      <c r="B5975" s="5" t="s">
        <v>110</v>
      </c>
      <c r="C5975" s="5" t="s">
        <v>4695</v>
      </c>
      <c r="D5975" s="43">
        <v>8300</v>
      </c>
      <c r="E5975" s="43"/>
      <c r="F5975" s="48">
        <f t="shared" si="96"/>
        <v>56814</v>
      </c>
    </row>
    <row r="5976" spans="1:6" x14ac:dyDescent="0.3">
      <c r="A5976" s="45">
        <v>43518</v>
      </c>
      <c r="B5976" s="5" t="s">
        <v>1616</v>
      </c>
      <c r="C5976" s="5" t="s">
        <v>4696</v>
      </c>
      <c r="D5976" s="43">
        <v>520</v>
      </c>
      <c r="E5976" s="43"/>
      <c r="F5976" s="48">
        <f t="shared" si="96"/>
        <v>56294</v>
      </c>
    </row>
    <row r="5977" spans="1:6" x14ac:dyDescent="0.3">
      <c r="A5977" s="45">
        <v>43518</v>
      </c>
      <c r="B5977" s="5" t="s">
        <v>2824</v>
      </c>
      <c r="C5977" s="5" t="s">
        <v>4701</v>
      </c>
      <c r="D5977" s="43">
        <v>4000</v>
      </c>
      <c r="E5977" s="43"/>
      <c r="F5977" s="48">
        <f t="shared" si="96"/>
        <v>52294</v>
      </c>
    </row>
    <row r="5978" spans="1:6" x14ac:dyDescent="0.3">
      <c r="A5978" s="45">
        <v>43518</v>
      </c>
      <c r="B5978" s="5" t="s">
        <v>2594</v>
      </c>
      <c r="C5978" s="5" t="s">
        <v>4702</v>
      </c>
      <c r="D5978" s="43">
        <v>15915</v>
      </c>
      <c r="E5978" s="43"/>
      <c r="F5978" s="48">
        <f t="shared" si="96"/>
        <v>36379</v>
      </c>
    </row>
    <row r="5979" spans="1:6" x14ac:dyDescent="0.3">
      <c r="A5979" s="45">
        <v>43518</v>
      </c>
      <c r="B5979" s="5" t="s">
        <v>14</v>
      </c>
      <c r="C5979" s="5" t="s">
        <v>4697</v>
      </c>
      <c r="D5979" s="43">
        <v>25000</v>
      </c>
      <c r="E5979" s="43"/>
      <c r="F5979" s="48">
        <f t="shared" si="96"/>
        <v>11379</v>
      </c>
    </row>
    <row r="5980" spans="1:6" x14ac:dyDescent="0.3">
      <c r="A5980" s="45">
        <v>43518</v>
      </c>
      <c r="B5980" s="5" t="s">
        <v>4698</v>
      </c>
      <c r="C5980" s="5" t="s">
        <v>40</v>
      </c>
      <c r="D5980" s="43">
        <v>100</v>
      </c>
      <c r="E5980" s="43"/>
      <c r="F5980" s="48">
        <f t="shared" si="96"/>
        <v>11279</v>
      </c>
    </row>
    <row r="5981" spans="1:6" x14ac:dyDescent="0.3">
      <c r="A5981" s="45">
        <v>43519</v>
      </c>
      <c r="B5981" s="5" t="s">
        <v>25</v>
      </c>
      <c r="C5981" s="5" t="s">
        <v>4699</v>
      </c>
      <c r="D5981" s="43">
        <v>640</v>
      </c>
      <c r="E5981" s="43"/>
      <c r="F5981" s="48">
        <f t="shared" si="96"/>
        <v>10639</v>
      </c>
    </row>
    <row r="5982" spans="1:6" x14ac:dyDescent="0.3">
      <c r="A5982" s="45">
        <v>43521</v>
      </c>
      <c r="B5982" s="756" t="s">
        <v>3444</v>
      </c>
      <c r="C5982" s="756"/>
      <c r="D5982" s="71"/>
      <c r="E5982" s="72">
        <v>50000</v>
      </c>
      <c r="F5982" s="48">
        <f t="shared" si="96"/>
        <v>60639</v>
      </c>
    </row>
    <row r="5983" spans="1:6" x14ac:dyDescent="0.3">
      <c r="A5983" s="45">
        <v>43521</v>
      </c>
      <c r="B5983" s="5" t="s">
        <v>2594</v>
      </c>
      <c r="C5983" s="5" t="s">
        <v>4703</v>
      </c>
      <c r="D5983" s="43">
        <v>19970</v>
      </c>
      <c r="E5983" s="43"/>
      <c r="F5983" s="48">
        <f t="shared" si="96"/>
        <v>40669</v>
      </c>
    </row>
    <row r="5984" spans="1:6" x14ac:dyDescent="0.3">
      <c r="A5984" s="45">
        <v>43521</v>
      </c>
      <c r="B5984" s="5" t="s">
        <v>4638</v>
      </c>
      <c r="C5984" s="5" t="s">
        <v>4704</v>
      </c>
      <c r="D5984" s="43">
        <v>7850</v>
      </c>
      <c r="E5984" s="43"/>
      <c r="F5984" s="48">
        <f t="shared" si="96"/>
        <v>32819</v>
      </c>
    </row>
    <row r="5985" spans="1:6" x14ac:dyDescent="0.3">
      <c r="A5985" s="45">
        <v>43521</v>
      </c>
      <c r="B5985" s="5" t="s">
        <v>84</v>
      </c>
      <c r="C5985" s="5" t="s">
        <v>4705</v>
      </c>
      <c r="D5985" s="43">
        <v>2000</v>
      </c>
      <c r="E5985" s="43"/>
      <c r="F5985" s="48">
        <f t="shared" si="96"/>
        <v>30819</v>
      </c>
    </row>
    <row r="5986" spans="1:6" x14ac:dyDescent="0.3">
      <c r="A5986" s="45">
        <v>43521</v>
      </c>
      <c r="B5986" s="5" t="s">
        <v>84</v>
      </c>
      <c r="C5986" s="5" t="s">
        <v>4706</v>
      </c>
      <c r="D5986" s="43">
        <v>2000</v>
      </c>
      <c r="E5986" s="43"/>
      <c r="F5986" s="48">
        <f t="shared" si="96"/>
        <v>28819</v>
      </c>
    </row>
    <row r="5987" spans="1:6" x14ac:dyDescent="0.3">
      <c r="A5987" s="45">
        <v>43521</v>
      </c>
      <c r="B5987" s="5" t="s">
        <v>18</v>
      </c>
      <c r="C5987" s="5" t="s">
        <v>4707</v>
      </c>
      <c r="D5987" s="43">
        <v>20000</v>
      </c>
      <c r="E5987" s="43"/>
      <c r="F5987" s="48">
        <f t="shared" si="96"/>
        <v>8819</v>
      </c>
    </row>
    <row r="5988" spans="1:6" x14ac:dyDescent="0.3">
      <c r="A5988" s="45">
        <v>43521</v>
      </c>
      <c r="B5988" s="756" t="s">
        <v>3444</v>
      </c>
      <c r="C5988" s="756"/>
      <c r="D5988" s="71"/>
      <c r="E5988" s="72">
        <v>100000</v>
      </c>
      <c r="F5988" s="48">
        <f t="shared" si="96"/>
        <v>108819</v>
      </c>
    </row>
    <row r="5989" spans="1:6" x14ac:dyDescent="0.3">
      <c r="A5989" s="45">
        <v>43521</v>
      </c>
      <c r="B5989" s="5" t="s">
        <v>14</v>
      </c>
      <c r="C5989" s="5" t="s">
        <v>294</v>
      </c>
      <c r="D5989" s="43">
        <v>50000</v>
      </c>
      <c r="E5989" s="43"/>
      <c r="F5989" s="48">
        <f t="shared" si="96"/>
        <v>58819</v>
      </c>
    </row>
    <row r="5990" spans="1:6" x14ac:dyDescent="0.3">
      <c r="A5990" s="45">
        <v>43521</v>
      </c>
      <c r="B5990" s="5" t="s">
        <v>84</v>
      </c>
      <c r="C5990" s="5" t="s">
        <v>4708</v>
      </c>
      <c r="D5990" s="43">
        <v>5000</v>
      </c>
      <c r="E5990" s="43"/>
      <c r="F5990" s="48">
        <f t="shared" si="96"/>
        <v>53819</v>
      </c>
    </row>
    <row r="5991" spans="1:6" x14ac:dyDescent="0.3">
      <c r="A5991" s="45">
        <v>43521</v>
      </c>
      <c r="B5991" s="5" t="s">
        <v>25</v>
      </c>
      <c r="C5991" s="5" t="s">
        <v>4709</v>
      </c>
      <c r="D5991" s="43">
        <f>140+100+20+50+50+30+100+80+17</f>
        <v>587</v>
      </c>
      <c r="E5991" s="43"/>
      <c r="F5991" s="48">
        <f t="shared" si="96"/>
        <v>53232</v>
      </c>
    </row>
    <row r="5992" spans="1:6" ht="56.25" x14ac:dyDescent="0.3">
      <c r="A5992" s="45">
        <v>43522</v>
      </c>
      <c r="B5992" s="5" t="s">
        <v>1787</v>
      </c>
      <c r="C5992" s="92" t="s">
        <v>4716</v>
      </c>
      <c r="D5992" s="43">
        <v>3500</v>
      </c>
      <c r="E5992" s="43"/>
      <c r="F5992" s="48">
        <f t="shared" si="96"/>
        <v>49732</v>
      </c>
    </row>
    <row r="5993" spans="1:6" x14ac:dyDescent="0.3">
      <c r="A5993" s="45">
        <v>43522</v>
      </c>
      <c r="B5993" s="5" t="s">
        <v>3825</v>
      </c>
      <c r="C5993" s="5" t="s">
        <v>4710</v>
      </c>
      <c r="D5993" s="43">
        <v>5000</v>
      </c>
      <c r="E5993" s="43"/>
      <c r="F5993" s="48">
        <f t="shared" si="96"/>
        <v>44732</v>
      </c>
    </row>
    <row r="5994" spans="1:6" x14ac:dyDescent="0.3">
      <c r="A5994" s="45">
        <v>43522</v>
      </c>
      <c r="B5994" s="5" t="s">
        <v>84</v>
      </c>
      <c r="C5994" s="5" t="s">
        <v>4711</v>
      </c>
      <c r="D5994" s="43">
        <v>4000</v>
      </c>
      <c r="E5994" s="43"/>
      <c r="F5994" s="48">
        <f t="shared" si="96"/>
        <v>40732</v>
      </c>
    </row>
    <row r="5995" spans="1:6" x14ac:dyDescent="0.3">
      <c r="A5995" s="45">
        <v>43522</v>
      </c>
      <c r="B5995" s="5" t="s">
        <v>16</v>
      </c>
      <c r="C5995" s="5" t="s">
        <v>4713</v>
      </c>
      <c r="D5995" s="43">
        <v>18730</v>
      </c>
      <c r="E5995" s="43"/>
      <c r="F5995" s="48">
        <f t="shared" si="96"/>
        <v>22002</v>
      </c>
    </row>
    <row r="5996" spans="1:6" x14ac:dyDescent="0.3">
      <c r="A5996" s="45">
        <v>43522</v>
      </c>
      <c r="B5996" s="5" t="s">
        <v>2096</v>
      </c>
      <c r="C5996" s="5" t="s">
        <v>4713</v>
      </c>
      <c r="D5996" s="43">
        <v>18200</v>
      </c>
      <c r="E5996" s="43"/>
      <c r="F5996" s="48">
        <f t="shared" si="96"/>
        <v>3802</v>
      </c>
    </row>
    <row r="5997" spans="1:6" x14ac:dyDescent="0.3">
      <c r="A5997" s="45">
        <v>43522</v>
      </c>
      <c r="B5997" s="756" t="s">
        <v>4809</v>
      </c>
      <c r="C5997" s="756"/>
      <c r="D5997" s="71"/>
      <c r="E5997" s="72">
        <v>50000</v>
      </c>
      <c r="F5997" s="48">
        <f t="shared" si="96"/>
        <v>53802</v>
      </c>
    </row>
    <row r="5998" spans="1:6" x14ac:dyDescent="0.3">
      <c r="A5998" s="45">
        <v>43522</v>
      </c>
      <c r="B5998" s="5" t="s">
        <v>2096</v>
      </c>
      <c r="C5998" s="5" t="s">
        <v>4714</v>
      </c>
      <c r="D5998" s="43">
        <v>20000</v>
      </c>
      <c r="E5998" s="43"/>
      <c r="F5998" s="48">
        <f t="shared" si="96"/>
        <v>33802</v>
      </c>
    </row>
    <row r="5999" spans="1:6" x14ac:dyDescent="0.3">
      <c r="A5999" s="45">
        <v>43522</v>
      </c>
      <c r="B5999" s="5" t="s">
        <v>84</v>
      </c>
      <c r="C5999" s="5" t="s">
        <v>4712</v>
      </c>
      <c r="D5999" s="43">
        <v>1000</v>
      </c>
      <c r="E5999" s="43"/>
      <c r="F5999" s="48">
        <f t="shared" si="96"/>
        <v>32802</v>
      </c>
    </row>
    <row r="6000" spans="1:6" x14ac:dyDescent="0.3">
      <c r="A6000" s="45">
        <v>43522</v>
      </c>
      <c r="B6000" s="5" t="s">
        <v>3138</v>
      </c>
      <c r="C6000" s="5" t="s">
        <v>4715</v>
      </c>
      <c r="D6000" s="43">
        <f>9500+4530</f>
        <v>14030</v>
      </c>
      <c r="E6000" s="43"/>
      <c r="F6000" s="48">
        <f t="shared" si="96"/>
        <v>18772</v>
      </c>
    </row>
    <row r="6001" spans="1:6" x14ac:dyDescent="0.3">
      <c r="A6001" s="45">
        <v>43523</v>
      </c>
      <c r="B6001" s="756" t="s">
        <v>3444</v>
      </c>
      <c r="C6001" s="756"/>
      <c r="D6001" s="71"/>
      <c r="E6001" s="72">
        <v>500000</v>
      </c>
      <c r="F6001" s="48">
        <f t="shared" si="96"/>
        <v>518772</v>
      </c>
    </row>
    <row r="6002" spans="1:6" x14ac:dyDescent="0.3">
      <c r="A6002" s="45">
        <v>43523</v>
      </c>
      <c r="B6002" s="5" t="s">
        <v>541</v>
      </c>
      <c r="C6002" s="5" t="s">
        <v>4717</v>
      </c>
      <c r="D6002" s="43">
        <v>100000</v>
      </c>
      <c r="E6002" s="43"/>
      <c r="F6002" s="48">
        <f t="shared" si="96"/>
        <v>418772</v>
      </c>
    </row>
    <row r="6003" spans="1:6" x14ac:dyDescent="0.3">
      <c r="A6003" s="45">
        <v>43523</v>
      </c>
      <c r="B6003" s="5" t="s">
        <v>4641</v>
      </c>
      <c r="C6003" s="5" t="s">
        <v>4718</v>
      </c>
      <c r="D6003" s="43">
        <v>101000</v>
      </c>
      <c r="E6003" s="43"/>
      <c r="F6003" s="48">
        <f t="shared" si="96"/>
        <v>317772</v>
      </c>
    </row>
    <row r="6004" spans="1:6" x14ac:dyDescent="0.3">
      <c r="A6004" s="45">
        <v>43523</v>
      </c>
      <c r="B6004" s="5" t="s">
        <v>2594</v>
      </c>
      <c r="C6004" s="5" t="s">
        <v>4719</v>
      </c>
      <c r="D6004" s="43">
        <v>10430</v>
      </c>
      <c r="E6004" s="43"/>
      <c r="F6004" s="48">
        <f t="shared" si="96"/>
        <v>307342</v>
      </c>
    </row>
    <row r="6005" spans="1:6" x14ac:dyDescent="0.3">
      <c r="A6005" s="45">
        <v>43523</v>
      </c>
      <c r="B6005" s="5" t="s">
        <v>2594</v>
      </c>
      <c r="C6005" s="5" t="s">
        <v>4720</v>
      </c>
      <c r="D6005" s="43">
        <v>4000</v>
      </c>
      <c r="E6005" s="43"/>
      <c r="F6005" s="48">
        <f t="shared" si="96"/>
        <v>303342</v>
      </c>
    </row>
    <row r="6006" spans="1:6" x14ac:dyDescent="0.3">
      <c r="A6006" s="45">
        <v>43523</v>
      </c>
      <c r="B6006" s="5" t="s">
        <v>2096</v>
      </c>
      <c r="C6006" s="5" t="s">
        <v>4721</v>
      </c>
      <c r="D6006" s="43">
        <v>50000</v>
      </c>
      <c r="E6006" s="43"/>
      <c r="F6006" s="48">
        <f t="shared" si="96"/>
        <v>253342</v>
      </c>
    </row>
    <row r="6007" spans="1:6" x14ac:dyDescent="0.3">
      <c r="A6007" s="45">
        <v>43524</v>
      </c>
      <c r="B6007" s="5" t="s">
        <v>57</v>
      </c>
      <c r="C6007" s="5" t="s">
        <v>4723</v>
      </c>
      <c r="D6007" s="43">
        <v>10000</v>
      </c>
      <c r="E6007" s="43"/>
      <c r="F6007" s="48">
        <f t="shared" si="96"/>
        <v>243342</v>
      </c>
    </row>
    <row r="6008" spans="1:6" x14ac:dyDescent="0.3">
      <c r="A6008" s="45">
        <v>43524</v>
      </c>
      <c r="B6008" s="5" t="s">
        <v>18</v>
      </c>
      <c r="C6008" s="5" t="s">
        <v>4724</v>
      </c>
      <c r="D6008" s="43">
        <v>60000</v>
      </c>
      <c r="E6008" s="43"/>
      <c r="F6008" s="48">
        <f t="shared" si="96"/>
        <v>183342</v>
      </c>
    </row>
    <row r="6009" spans="1:6" x14ac:dyDescent="0.3">
      <c r="A6009" s="45">
        <v>43524</v>
      </c>
      <c r="B6009" s="5" t="s">
        <v>84</v>
      </c>
      <c r="C6009" s="5" t="s">
        <v>4725</v>
      </c>
      <c r="D6009" s="43">
        <v>4000</v>
      </c>
      <c r="E6009" s="43"/>
      <c r="F6009" s="48">
        <f t="shared" si="96"/>
        <v>179342</v>
      </c>
    </row>
    <row r="6010" spans="1:6" x14ac:dyDescent="0.3">
      <c r="A6010" s="45">
        <v>43525</v>
      </c>
      <c r="B6010" s="5" t="s">
        <v>4726</v>
      </c>
      <c r="C6010" s="5" t="s">
        <v>40</v>
      </c>
      <c r="D6010" s="43">
        <v>500</v>
      </c>
      <c r="E6010" s="43"/>
      <c r="F6010" s="48">
        <f t="shared" si="96"/>
        <v>178842</v>
      </c>
    </row>
    <row r="6011" spans="1:6" x14ac:dyDescent="0.3">
      <c r="A6011" s="45">
        <v>43525</v>
      </c>
      <c r="B6011" s="5" t="s">
        <v>84</v>
      </c>
      <c r="C6011" s="5" t="s">
        <v>4727</v>
      </c>
      <c r="D6011" s="43">
        <v>20000</v>
      </c>
      <c r="E6011" s="43"/>
      <c r="F6011" s="48">
        <f t="shared" si="96"/>
        <v>158842</v>
      </c>
    </row>
    <row r="6012" spans="1:6" x14ac:dyDescent="0.3">
      <c r="A6012" s="45">
        <v>43525</v>
      </c>
      <c r="B6012" s="5" t="s">
        <v>2594</v>
      </c>
      <c r="C6012" s="5" t="s">
        <v>4729</v>
      </c>
      <c r="D6012" s="43">
        <v>10000</v>
      </c>
      <c r="E6012" s="43"/>
      <c r="F6012" s="48">
        <f t="shared" si="96"/>
        <v>148842</v>
      </c>
    </row>
    <row r="6013" spans="1:6" x14ac:dyDescent="0.3">
      <c r="A6013" s="45">
        <v>43526</v>
      </c>
      <c r="B6013" s="5" t="s">
        <v>25</v>
      </c>
      <c r="C6013" s="5" t="s">
        <v>4709</v>
      </c>
      <c r="D6013" s="43">
        <f>1400+30+50+180+100</f>
        <v>1760</v>
      </c>
      <c r="E6013" s="43"/>
      <c r="F6013" s="48">
        <f t="shared" si="96"/>
        <v>147082</v>
      </c>
    </row>
    <row r="6014" spans="1:6" x14ac:dyDescent="0.3">
      <c r="A6014" s="45">
        <v>43526</v>
      </c>
      <c r="B6014" s="5" t="s">
        <v>3734</v>
      </c>
      <c r="C6014" s="5" t="s">
        <v>4728</v>
      </c>
      <c r="D6014" s="43">
        <v>2000</v>
      </c>
      <c r="E6014" s="43"/>
      <c r="F6014" s="48">
        <f t="shared" si="96"/>
        <v>145082</v>
      </c>
    </row>
    <row r="6015" spans="1:6" x14ac:dyDescent="0.3">
      <c r="A6015" s="45">
        <v>43526</v>
      </c>
      <c r="B6015" s="5" t="s">
        <v>2594</v>
      </c>
      <c r="C6015" s="5" t="s">
        <v>4747</v>
      </c>
      <c r="D6015" s="43">
        <v>5000</v>
      </c>
      <c r="E6015" s="43"/>
      <c r="F6015" s="48">
        <f t="shared" si="96"/>
        <v>140082</v>
      </c>
    </row>
    <row r="6016" spans="1:6" x14ac:dyDescent="0.3">
      <c r="A6016" s="45">
        <v>43526</v>
      </c>
      <c r="B6016" s="5" t="s">
        <v>110</v>
      </c>
      <c r="C6016" s="5" t="s">
        <v>4730</v>
      </c>
      <c r="D6016" s="43">
        <v>12500</v>
      </c>
      <c r="E6016" s="43"/>
      <c r="F6016" s="48">
        <f t="shared" si="96"/>
        <v>127582</v>
      </c>
    </row>
    <row r="6017" spans="1:6" x14ac:dyDescent="0.3">
      <c r="A6017" s="45">
        <v>43526</v>
      </c>
      <c r="B6017" s="5" t="s">
        <v>110</v>
      </c>
      <c r="C6017" s="5" t="s">
        <v>4731</v>
      </c>
      <c r="D6017" s="43">
        <v>5000</v>
      </c>
      <c r="E6017" s="43"/>
      <c r="F6017" s="48">
        <f t="shared" si="96"/>
        <v>122582</v>
      </c>
    </row>
    <row r="6018" spans="1:6" x14ac:dyDescent="0.3">
      <c r="A6018" s="45">
        <v>43527</v>
      </c>
      <c r="B6018" s="5" t="s">
        <v>541</v>
      </c>
      <c r="C6018" s="5" t="s">
        <v>4732</v>
      </c>
      <c r="D6018" s="43">
        <v>935</v>
      </c>
      <c r="E6018" s="43"/>
      <c r="F6018" s="48">
        <f t="shared" si="96"/>
        <v>121647</v>
      </c>
    </row>
    <row r="6019" spans="1:6" x14ac:dyDescent="0.3">
      <c r="A6019" s="45">
        <v>43527</v>
      </c>
      <c r="B6019" s="5" t="s">
        <v>14</v>
      </c>
      <c r="C6019" s="5" t="s">
        <v>4733</v>
      </c>
      <c r="D6019" s="43">
        <v>50</v>
      </c>
      <c r="E6019" s="43"/>
      <c r="F6019" s="48">
        <f t="shared" si="96"/>
        <v>121597</v>
      </c>
    </row>
    <row r="6020" spans="1:6" x14ac:dyDescent="0.3">
      <c r="A6020" s="45">
        <v>43527</v>
      </c>
      <c r="B6020" s="5" t="s">
        <v>3559</v>
      </c>
      <c r="C6020" s="5" t="s">
        <v>4734</v>
      </c>
      <c r="D6020" s="43">
        <v>40000</v>
      </c>
      <c r="E6020" s="43"/>
      <c r="F6020" s="48">
        <f t="shared" si="96"/>
        <v>81597</v>
      </c>
    </row>
    <row r="6021" spans="1:6" x14ac:dyDescent="0.3">
      <c r="A6021" s="45">
        <v>43527</v>
      </c>
      <c r="B6021" s="5" t="s">
        <v>4735</v>
      </c>
      <c r="C6021" s="5" t="s">
        <v>2311</v>
      </c>
      <c r="D6021" s="43">
        <v>21030</v>
      </c>
      <c r="E6021" s="43"/>
      <c r="F6021" s="48">
        <f t="shared" si="96"/>
        <v>60567</v>
      </c>
    </row>
    <row r="6022" spans="1:6" x14ac:dyDescent="0.3">
      <c r="A6022" s="45">
        <v>43527</v>
      </c>
      <c r="B6022" s="5" t="s">
        <v>54</v>
      </c>
      <c r="C6022" s="5" t="s">
        <v>4216</v>
      </c>
      <c r="D6022" s="43">
        <v>30000</v>
      </c>
      <c r="E6022" s="43"/>
      <c r="F6022" s="48">
        <f t="shared" si="96"/>
        <v>30567</v>
      </c>
    </row>
    <row r="6023" spans="1:6" x14ac:dyDescent="0.3">
      <c r="A6023" s="45">
        <v>43527</v>
      </c>
      <c r="B6023" s="5" t="s">
        <v>2594</v>
      </c>
      <c r="C6023" s="5" t="s">
        <v>4736</v>
      </c>
      <c r="D6023" s="43">
        <v>1200</v>
      </c>
      <c r="E6023" s="43"/>
      <c r="F6023" s="48">
        <f t="shared" si="96"/>
        <v>29367</v>
      </c>
    </row>
    <row r="6024" spans="1:6" x14ac:dyDescent="0.3">
      <c r="A6024" s="45">
        <v>43528</v>
      </c>
      <c r="B6024" s="5" t="s">
        <v>4737</v>
      </c>
      <c r="C6024" s="5" t="s">
        <v>4738</v>
      </c>
      <c r="D6024" s="43">
        <v>10000</v>
      </c>
      <c r="E6024" s="43"/>
      <c r="F6024" s="48">
        <f t="shared" si="96"/>
        <v>19367</v>
      </c>
    </row>
    <row r="6025" spans="1:6" x14ac:dyDescent="0.3">
      <c r="A6025" s="45">
        <v>43528</v>
      </c>
      <c r="B6025" s="5" t="s">
        <v>247</v>
      </c>
      <c r="C6025" s="5" t="s">
        <v>4739</v>
      </c>
      <c r="D6025" s="43">
        <v>10000</v>
      </c>
      <c r="E6025" s="43"/>
      <c r="F6025" s="48">
        <f t="shared" si="96"/>
        <v>9367</v>
      </c>
    </row>
    <row r="6026" spans="1:6" x14ac:dyDescent="0.3">
      <c r="A6026" s="45">
        <v>43528</v>
      </c>
      <c r="B6026" s="756" t="s">
        <v>4455</v>
      </c>
      <c r="C6026" s="756"/>
      <c r="D6026" s="71"/>
      <c r="E6026" s="72">
        <v>459</v>
      </c>
      <c r="F6026" s="48">
        <f t="shared" si="96"/>
        <v>9826</v>
      </c>
    </row>
    <row r="6027" spans="1:6" x14ac:dyDescent="0.3">
      <c r="A6027" s="45">
        <v>43529</v>
      </c>
      <c r="B6027" s="5" t="s">
        <v>3559</v>
      </c>
      <c r="C6027" s="5" t="s">
        <v>4601</v>
      </c>
      <c r="D6027" s="43">
        <v>1270</v>
      </c>
      <c r="E6027" s="43"/>
      <c r="F6027" s="48">
        <f t="shared" si="96"/>
        <v>8556</v>
      </c>
    </row>
    <row r="6028" spans="1:6" x14ac:dyDescent="0.3">
      <c r="A6028" s="45">
        <v>43529</v>
      </c>
      <c r="B6028" s="5" t="s">
        <v>4112</v>
      </c>
      <c r="C6028" s="5" t="s">
        <v>2013</v>
      </c>
      <c r="D6028" s="43">
        <v>50</v>
      </c>
      <c r="E6028" s="43"/>
      <c r="F6028" s="48">
        <f t="shared" si="96"/>
        <v>8506</v>
      </c>
    </row>
    <row r="6029" spans="1:6" x14ac:dyDescent="0.3">
      <c r="A6029" s="45">
        <v>43529</v>
      </c>
      <c r="B6029" s="756" t="s">
        <v>3444</v>
      </c>
      <c r="C6029" s="756"/>
      <c r="D6029" s="71"/>
      <c r="E6029" s="72">
        <v>50000</v>
      </c>
      <c r="F6029" s="48">
        <f t="shared" ref="F6029:F6092" si="97">F6028-D6029+E6029</f>
        <v>58506</v>
      </c>
    </row>
    <row r="6030" spans="1:6" x14ac:dyDescent="0.3">
      <c r="A6030" s="45">
        <v>43529</v>
      </c>
      <c r="B6030" s="5" t="s">
        <v>2594</v>
      </c>
      <c r="C6030" s="5" t="s">
        <v>3143</v>
      </c>
      <c r="D6030" s="43">
        <v>20820</v>
      </c>
      <c r="E6030" s="43"/>
      <c r="F6030" s="48">
        <f t="shared" si="97"/>
        <v>37686</v>
      </c>
    </row>
    <row r="6031" spans="1:6" x14ac:dyDescent="0.3">
      <c r="A6031" s="45">
        <v>43529</v>
      </c>
      <c r="B6031" s="5" t="s">
        <v>2594</v>
      </c>
      <c r="C6031" s="5" t="s">
        <v>3143</v>
      </c>
      <c r="D6031" s="43">
        <v>30200</v>
      </c>
      <c r="E6031" s="43"/>
      <c r="F6031" s="48">
        <f t="shared" si="97"/>
        <v>7486</v>
      </c>
    </row>
    <row r="6032" spans="1:6" x14ac:dyDescent="0.3">
      <c r="A6032" s="45">
        <v>43530</v>
      </c>
      <c r="B6032" s="756" t="s">
        <v>3444</v>
      </c>
      <c r="C6032" s="756"/>
      <c r="D6032" s="71"/>
      <c r="E6032" s="72">
        <v>100000</v>
      </c>
      <c r="F6032" s="48">
        <f t="shared" si="97"/>
        <v>107486</v>
      </c>
    </row>
    <row r="6033" spans="1:6" x14ac:dyDescent="0.3">
      <c r="A6033" s="45">
        <v>43530</v>
      </c>
      <c r="B6033" s="5" t="s">
        <v>4740</v>
      </c>
      <c r="C6033" s="5" t="s">
        <v>4741</v>
      </c>
      <c r="D6033" s="43">
        <v>40000</v>
      </c>
      <c r="E6033" s="43"/>
      <c r="F6033" s="48">
        <f t="shared" si="97"/>
        <v>67486</v>
      </c>
    </row>
    <row r="6034" spans="1:6" x14ac:dyDescent="0.3">
      <c r="A6034" s="45">
        <v>43530</v>
      </c>
      <c r="B6034" s="5" t="s">
        <v>4742</v>
      </c>
      <c r="C6034" s="5" t="s">
        <v>4743</v>
      </c>
      <c r="D6034" s="43">
        <v>900</v>
      </c>
      <c r="E6034" s="43"/>
      <c r="F6034" s="48">
        <f t="shared" si="97"/>
        <v>66586</v>
      </c>
    </row>
    <row r="6035" spans="1:6" x14ac:dyDescent="0.3">
      <c r="A6035" s="45">
        <v>43530</v>
      </c>
      <c r="B6035" s="5" t="s">
        <v>4247</v>
      </c>
      <c r="C6035" s="5" t="s">
        <v>4744</v>
      </c>
      <c r="D6035" s="43">
        <v>20000</v>
      </c>
      <c r="E6035" s="43"/>
      <c r="F6035" s="48">
        <f t="shared" si="97"/>
        <v>46586</v>
      </c>
    </row>
    <row r="6036" spans="1:6" x14ac:dyDescent="0.3">
      <c r="A6036" s="45">
        <v>43531</v>
      </c>
      <c r="B6036" s="5" t="s">
        <v>54</v>
      </c>
      <c r="C6036" s="5" t="s">
        <v>4745</v>
      </c>
      <c r="D6036" s="43">
        <v>5775</v>
      </c>
      <c r="E6036" s="43"/>
      <c r="F6036" s="48">
        <f t="shared" si="97"/>
        <v>40811</v>
      </c>
    </row>
    <row r="6037" spans="1:6" x14ac:dyDescent="0.3">
      <c r="A6037" s="45">
        <v>43531</v>
      </c>
      <c r="B6037" s="5" t="s">
        <v>93</v>
      </c>
      <c r="C6037" s="5" t="s">
        <v>3902</v>
      </c>
      <c r="D6037" s="43">
        <v>5000</v>
      </c>
      <c r="E6037" s="43"/>
      <c r="F6037" s="48">
        <f t="shared" si="97"/>
        <v>35811</v>
      </c>
    </row>
    <row r="6038" spans="1:6" x14ac:dyDescent="0.3">
      <c r="A6038" s="45">
        <v>43531</v>
      </c>
      <c r="B6038" s="5" t="s">
        <v>14</v>
      </c>
      <c r="C6038" s="5" t="s">
        <v>4746</v>
      </c>
      <c r="D6038" s="43">
        <v>554</v>
      </c>
      <c r="E6038" s="43"/>
      <c r="F6038" s="48">
        <f t="shared" si="97"/>
        <v>35257</v>
      </c>
    </row>
    <row r="6039" spans="1:6" x14ac:dyDescent="0.3">
      <c r="A6039" s="45">
        <v>43531</v>
      </c>
      <c r="B6039" s="5" t="s">
        <v>110</v>
      </c>
      <c r="C6039" s="5" t="s">
        <v>4748</v>
      </c>
      <c r="D6039" s="43">
        <v>600</v>
      </c>
      <c r="E6039" s="43"/>
      <c r="F6039" s="48">
        <f t="shared" si="97"/>
        <v>34657</v>
      </c>
    </row>
    <row r="6040" spans="1:6" x14ac:dyDescent="0.3">
      <c r="A6040" s="45">
        <v>43531</v>
      </c>
      <c r="B6040" s="5" t="s">
        <v>4742</v>
      </c>
      <c r="C6040" s="5" t="s">
        <v>4709</v>
      </c>
      <c r="D6040" s="43">
        <v>2300</v>
      </c>
      <c r="E6040" s="43"/>
      <c r="F6040" s="48">
        <f t="shared" si="97"/>
        <v>32357</v>
      </c>
    </row>
    <row r="6041" spans="1:6" x14ac:dyDescent="0.3">
      <c r="A6041" s="45">
        <v>43532</v>
      </c>
      <c r="B6041" s="5" t="s">
        <v>2594</v>
      </c>
      <c r="C6041" s="5" t="s">
        <v>4749</v>
      </c>
      <c r="D6041" s="43">
        <v>10720</v>
      </c>
      <c r="E6041" s="43"/>
      <c r="F6041" s="48">
        <f t="shared" si="97"/>
        <v>21637</v>
      </c>
    </row>
    <row r="6042" spans="1:6" x14ac:dyDescent="0.3">
      <c r="A6042" s="45">
        <v>43532</v>
      </c>
      <c r="B6042" s="5" t="s">
        <v>0</v>
      </c>
      <c r="C6042" s="5" t="s">
        <v>4750</v>
      </c>
      <c r="D6042" s="43">
        <v>3000</v>
      </c>
      <c r="E6042" s="43"/>
      <c r="F6042" s="48">
        <f t="shared" si="97"/>
        <v>18637</v>
      </c>
    </row>
    <row r="6043" spans="1:6" x14ac:dyDescent="0.3">
      <c r="A6043" s="45">
        <v>43532</v>
      </c>
      <c r="B6043" s="5" t="s">
        <v>247</v>
      </c>
      <c r="C6043" s="5" t="s">
        <v>4751</v>
      </c>
      <c r="D6043" s="43">
        <v>360</v>
      </c>
      <c r="E6043" s="43"/>
      <c r="F6043" s="48">
        <f t="shared" si="97"/>
        <v>18277</v>
      </c>
    </row>
    <row r="6044" spans="1:6" x14ac:dyDescent="0.3">
      <c r="A6044" s="45">
        <v>43532</v>
      </c>
      <c r="B6044" s="5" t="s">
        <v>1787</v>
      </c>
      <c r="C6044" s="5" t="s">
        <v>4752</v>
      </c>
      <c r="D6044" s="43">
        <v>1500</v>
      </c>
      <c r="E6044" s="43"/>
      <c r="F6044" s="48">
        <f t="shared" si="97"/>
        <v>16777</v>
      </c>
    </row>
    <row r="6045" spans="1:6" x14ac:dyDescent="0.3">
      <c r="A6045" s="45">
        <v>43533</v>
      </c>
      <c r="B6045" s="756" t="s">
        <v>4753</v>
      </c>
      <c r="C6045" s="756"/>
      <c r="D6045" s="71"/>
      <c r="E6045" s="72">
        <v>16000</v>
      </c>
      <c r="F6045" s="48">
        <f t="shared" si="97"/>
        <v>32777</v>
      </c>
    </row>
    <row r="6046" spans="1:6" x14ac:dyDescent="0.3">
      <c r="A6046" s="45">
        <v>43533</v>
      </c>
      <c r="B6046" s="41" t="s">
        <v>4754</v>
      </c>
      <c r="C6046" s="41" t="s">
        <v>4755</v>
      </c>
      <c r="D6046" s="42">
        <v>20000</v>
      </c>
      <c r="E6046" s="43"/>
      <c r="F6046" s="48">
        <f t="shared" si="97"/>
        <v>12777</v>
      </c>
    </row>
    <row r="6047" spans="1:6" x14ac:dyDescent="0.3">
      <c r="A6047" s="45">
        <v>43533</v>
      </c>
      <c r="B6047" s="5" t="s">
        <v>2594</v>
      </c>
      <c r="C6047" s="5" t="s">
        <v>4757</v>
      </c>
      <c r="D6047" s="43">
        <v>11500</v>
      </c>
      <c r="E6047" s="43"/>
      <c r="F6047" s="48">
        <f t="shared" si="97"/>
        <v>1277</v>
      </c>
    </row>
    <row r="6048" spans="1:6" x14ac:dyDescent="0.3">
      <c r="A6048" s="45">
        <v>43535</v>
      </c>
      <c r="B6048" s="5" t="s">
        <v>3559</v>
      </c>
      <c r="C6048" s="5" t="s">
        <v>4758</v>
      </c>
      <c r="D6048" s="43">
        <v>630</v>
      </c>
      <c r="E6048" s="43"/>
      <c r="F6048" s="48">
        <f t="shared" si="97"/>
        <v>647</v>
      </c>
    </row>
    <row r="6049" spans="1:6" ht="37.5" x14ac:dyDescent="0.3">
      <c r="A6049" s="45">
        <v>43535</v>
      </c>
      <c r="B6049" s="5" t="s">
        <v>4112</v>
      </c>
      <c r="C6049" s="92" t="s">
        <v>4768</v>
      </c>
      <c r="D6049" s="43">
        <v>100</v>
      </c>
      <c r="E6049" s="43"/>
      <c r="F6049" s="48">
        <f t="shared" si="97"/>
        <v>547</v>
      </c>
    </row>
    <row r="6050" spans="1:6" x14ac:dyDescent="0.3">
      <c r="A6050" s="45">
        <v>43536</v>
      </c>
      <c r="B6050" s="756" t="s">
        <v>3444</v>
      </c>
      <c r="C6050" s="756"/>
      <c r="D6050" s="71"/>
      <c r="E6050" s="72">
        <v>50000</v>
      </c>
      <c r="F6050" s="48">
        <f t="shared" si="97"/>
        <v>50547</v>
      </c>
    </row>
    <row r="6051" spans="1:6" x14ac:dyDescent="0.3">
      <c r="A6051" s="45">
        <v>43536</v>
      </c>
      <c r="B6051" s="5" t="s">
        <v>2594</v>
      </c>
      <c r="C6051" s="5" t="s">
        <v>4757</v>
      </c>
      <c r="D6051" s="43">
        <v>20000</v>
      </c>
      <c r="E6051" s="43"/>
      <c r="F6051" s="48">
        <f t="shared" si="97"/>
        <v>30547</v>
      </c>
    </row>
    <row r="6052" spans="1:6" x14ac:dyDescent="0.3">
      <c r="A6052" s="45">
        <v>43536</v>
      </c>
      <c r="B6052" s="5" t="s">
        <v>0</v>
      </c>
      <c r="C6052" s="5" t="s">
        <v>4319</v>
      </c>
      <c r="D6052" s="43">
        <v>2000</v>
      </c>
      <c r="E6052" s="43"/>
      <c r="F6052" s="48">
        <f t="shared" si="97"/>
        <v>28547</v>
      </c>
    </row>
    <row r="6053" spans="1:6" x14ac:dyDescent="0.3">
      <c r="A6053" s="45">
        <v>43536</v>
      </c>
      <c r="B6053" s="5" t="s">
        <v>14</v>
      </c>
      <c r="C6053" s="5" t="s">
        <v>4319</v>
      </c>
      <c r="D6053" s="43">
        <v>15000</v>
      </c>
      <c r="E6053" s="43"/>
      <c r="F6053" s="48">
        <f t="shared" si="97"/>
        <v>13547</v>
      </c>
    </row>
    <row r="6054" spans="1:6" x14ac:dyDescent="0.3">
      <c r="A6054" s="45">
        <v>43536</v>
      </c>
      <c r="B6054" s="5" t="s">
        <v>1787</v>
      </c>
      <c r="C6054" s="5" t="s">
        <v>4759</v>
      </c>
      <c r="D6054" s="43">
        <v>1000</v>
      </c>
      <c r="E6054" s="43"/>
      <c r="F6054" s="48">
        <f t="shared" si="97"/>
        <v>12547</v>
      </c>
    </row>
    <row r="6055" spans="1:6" x14ac:dyDescent="0.3">
      <c r="A6055" s="45">
        <v>43536</v>
      </c>
      <c r="B6055" s="5" t="s">
        <v>2948</v>
      </c>
      <c r="C6055" s="5" t="s">
        <v>4760</v>
      </c>
      <c r="D6055" s="43">
        <v>4400</v>
      </c>
      <c r="E6055" s="43"/>
      <c r="F6055" s="48">
        <f t="shared" si="97"/>
        <v>8147</v>
      </c>
    </row>
    <row r="6056" spans="1:6" x14ac:dyDescent="0.3">
      <c r="A6056" s="45">
        <v>43536</v>
      </c>
      <c r="B6056" s="5" t="s">
        <v>11</v>
      </c>
      <c r="C6056" s="5" t="s">
        <v>4761</v>
      </c>
      <c r="D6056" s="43">
        <v>2000</v>
      </c>
      <c r="E6056" s="43"/>
      <c r="F6056" s="48">
        <f t="shared" si="97"/>
        <v>6147</v>
      </c>
    </row>
    <row r="6057" spans="1:6" ht="37.5" x14ac:dyDescent="0.3">
      <c r="A6057" s="45">
        <v>43536</v>
      </c>
      <c r="B6057" s="92" t="s">
        <v>4552</v>
      </c>
      <c r="C6057" s="5" t="s">
        <v>3611</v>
      </c>
      <c r="D6057" s="43">
        <v>5000</v>
      </c>
      <c r="E6057" s="43"/>
      <c r="F6057" s="48">
        <f t="shared" si="97"/>
        <v>1147</v>
      </c>
    </row>
    <row r="6058" spans="1:6" x14ac:dyDescent="0.3">
      <c r="A6058" s="45">
        <v>43538</v>
      </c>
      <c r="B6058" s="756" t="s">
        <v>3444</v>
      </c>
      <c r="C6058" s="756"/>
      <c r="D6058" s="71"/>
      <c r="E6058" s="72">
        <v>100000</v>
      </c>
      <c r="F6058" s="48">
        <f t="shared" si="97"/>
        <v>101147</v>
      </c>
    </row>
    <row r="6059" spans="1:6" x14ac:dyDescent="0.3">
      <c r="A6059" s="45">
        <v>43538</v>
      </c>
      <c r="B6059" s="5" t="s">
        <v>84</v>
      </c>
      <c r="C6059" s="5" t="s">
        <v>4762</v>
      </c>
      <c r="D6059" s="43">
        <v>5000</v>
      </c>
      <c r="E6059" s="43"/>
      <c r="F6059" s="48">
        <f t="shared" si="97"/>
        <v>96147</v>
      </c>
    </row>
    <row r="6060" spans="1:6" x14ac:dyDescent="0.3">
      <c r="A6060" s="45">
        <v>43538</v>
      </c>
      <c r="B6060" s="5" t="s">
        <v>1837</v>
      </c>
      <c r="C6060" s="5" t="s">
        <v>4763</v>
      </c>
      <c r="D6060" s="43">
        <v>16000</v>
      </c>
      <c r="E6060" s="43"/>
      <c r="F6060" s="48">
        <f t="shared" si="97"/>
        <v>80147</v>
      </c>
    </row>
    <row r="6061" spans="1:6" x14ac:dyDescent="0.3">
      <c r="A6061" s="45">
        <v>43538</v>
      </c>
      <c r="B6061" s="5" t="s">
        <v>1837</v>
      </c>
      <c r="C6061" s="5" t="s">
        <v>4764</v>
      </c>
      <c r="D6061" s="43">
        <v>3000</v>
      </c>
      <c r="E6061" s="43"/>
      <c r="F6061" s="48">
        <f t="shared" si="97"/>
        <v>77147</v>
      </c>
    </row>
    <row r="6062" spans="1:6" x14ac:dyDescent="0.3">
      <c r="A6062" s="45">
        <v>43538</v>
      </c>
      <c r="B6062" s="5" t="s">
        <v>4773</v>
      </c>
      <c r="C6062" s="5" t="s">
        <v>4765</v>
      </c>
      <c r="D6062" s="43">
        <v>15000</v>
      </c>
      <c r="E6062" s="43"/>
      <c r="F6062" s="48">
        <f t="shared" si="97"/>
        <v>62147</v>
      </c>
    </row>
    <row r="6063" spans="1:6" x14ac:dyDescent="0.3">
      <c r="A6063" s="45">
        <v>43538</v>
      </c>
      <c r="B6063" s="5" t="s">
        <v>2096</v>
      </c>
      <c r="C6063" s="5" t="s">
        <v>4766</v>
      </c>
      <c r="D6063" s="43">
        <v>10000</v>
      </c>
      <c r="E6063" s="43"/>
      <c r="F6063" s="48">
        <f t="shared" si="97"/>
        <v>52147</v>
      </c>
    </row>
    <row r="6064" spans="1:6" ht="56.25" x14ac:dyDescent="0.3">
      <c r="A6064" s="45">
        <v>43538</v>
      </c>
      <c r="B6064" s="5" t="s">
        <v>25</v>
      </c>
      <c r="C6064" s="92" t="s">
        <v>4767</v>
      </c>
      <c r="D6064" s="43">
        <f>140+60+150+100+850+150+70+50+170+250+78+50+60+200+120+80+20+20</f>
        <v>2618</v>
      </c>
      <c r="E6064" s="43"/>
      <c r="F6064" s="48">
        <f t="shared" si="97"/>
        <v>49529</v>
      </c>
    </row>
    <row r="6065" spans="1:6" x14ac:dyDescent="0.3">
      <c r="A6065" s="45">
        <v>43538</v>
      </c>
      <c r="B6065" s="5" t="s">
        <v>57</v>
      </c>
      <c r="C6065" s="5" t="s">
        <v>4625</v>
      </c>
      <c r="D6065" s="43">
        <v>10000</v>
      </c>
      <c r="E6065" s="43"/>
      <c r="F6065" s="48">
        <f t="shared" si="97"/>
        <v>39529</v>
      </c>
    </row>
    <row r="6066" spans="1:6" x14ac:dyDescent="0.3">
      <c r="A6066" s="45">
        <v>43538</v>
      </c>
      <c r="B6066" s="5" t="s">
        <v>4112</v>
      </c>
      <c r="C6066" s="5" t="s">
        <v>2013</v>
      </c>
      <c r="D6066" s="43">
        <v>100</v>
      </c>
      <c r="E6066" s="43"/>
      <c r="F6066" s="48">
        <f t="shared" si="97"/>
        <v>39429</v>
      </c>
    </row>
    <row r="6067" spans="1:6" x14ac:dyDescent="0.3">
      <c r="A6067" s="45">
        <v>43538</v>
      </c>
      <c r="B6067" s="5" t="s">
        <v>247</v>
      </c>
      <c r="C6067" s="5" t="s">
        <v>4769</v>
      </c>
      <c r="D6067" s="43">
        <v>420</v>
      </c>
      <c r="E6067" s="43"/>
      <c r="F6067" s="48">
        <f t="shared" si="97"/>
        <v>39009</v>
      </c>
    </row>
    <row r="6068" spans="1:6" x14ac:dyDescent="0.3">
      <c r="A6068" s="45">
        <v>43538</v>
      </c>
      <c r="B6068" s="5" t="s">
        <v>541</v>
      </c>
      <c r="C6068" s="5" t="s">
        <v>40</v>
      </c>
      <c r="D6068" s="43">
        <v>25000</v>
      </c>
      <c r="E6068" s="43"/>
      <c r="F6068" s="48">
        <f t="shared" si="97"/>
        <v>14009</v>
      </c>
    </row>
    <row r="6069" spans="1:6" x14ac:dyDescent="0.3">
      <c r="A6069" s="45">
        <v>43539</v>
      </c>
      <c r="B6069" s="5" t="s">
        <v>3825</v>
      </c>
      <c r="C6069" s="5" t="s">
        <v>4319</v>
      </c>
      <c r="D6069" s="43">
        <v>1000</v>
      </c>
      <c r="E6069" s="43"/>
      <c r="F6069" s="48">
        <f t="shared" si="97"/>
        <v>13009</v>
      </c>
    </row>
    <row r="6070" spans="1:6" x14ac:dyDescent="0.3">
      <c r="A6070" s="45">
        <v>43539</v>
      </c>
      <c r="B6070" s="41" t="s">
        <v>2594</v>
      </c>
      <c r="C6070" s="41" t="s">
        <v>3143</v>
      </c>
      <c r="D6070" s="42">
        <v>9000</v>
      </c>
      <c r="E6070" s="43"/>
      <c r="F6070" s="48">
        <f t="shared" si="97"/>
        <v>4009</v>
      </c>
    </row>
    <row r="6071" spans="1:6" x14ac:dyDescent="0.3">
      <c r="A6071" s="45">
        <v>43539</v>
      </c>
      <c r="B6071" s="5" t="s">
        <v>1679</v>
      </c>
      <c r="C6071" s="5" t="s">
        <v>4770</v>
      </c>
      <c r="D6071" s="43">
        <v>1000</v>
      </c>
      <c r="E6071" s="43"/>
      <c r="F6071" s="48">
        <f t="shared" si="97"/>
        <v>3009</v>
      </c>
    </row>
    <row r="6072" spans="1:6" x14ac:dyDescent="0.3">
      <c r="A6072" s="45">
        <v>43539</v>
      </c>
      <c r="B6072" s="756" t="s">
        <v>3444</v>
      </c>
      <c r="C6072" s="756"/>
      <c r="D6072" s="71"/>
      <c r="E6072" s="72">
        <v>100000</v>
      </c>
      <c r="F6072" s="48">
        <f t="shared" si="97"/>
        <v>103009</v>
      </c>
    </row>
    <row r="6073" spans="1:6" x14ac:dyDescent="0.3">
      <c r="A6073" s="45">
        <v>43539</v>
      </c>
      <c r="B6073" s="5" t="s">
        <v>57</v>
      </c>
      <c r="C6073" s="5" t="s">
        <v>4319</v>
      </c>
      <c r="D6073" s="43">
        <v>2000</v>
      </c>
      <c r="E6073" s="43"/>
      <c r="F6073" s="48">
        <f t="shared" si="97"/>
        <v>101009</v>
      </c>
    </row>
    <row r="6074" spans="1:6" x14ac:dyDescent="0.3">
      <c r="A6074" s="45">
        <v>43540</v>
      </c>
      <c r="B6074" s="5" t="s">
        <v>2096</v>
      </c>
      <c r="C6074" s="5" t="s">
        <v>4772</v>
      </c>
      <c r="D6074" s="43">
        <v>20000</v>
      </c>
      <c r="E6074" s="43"/>
      <c r="F6074" s="48">
        <f t="shared" si="97"/>
        <v>81009</v>
      </c>
    </row>
    <row r="6075" spans="1:6" x14ac:dyDescent="0.3">
      <c r="A6075" s="45">
        <v>43540</v>
      </c>
      <c r="B6075" s="5" t="s">
        <v>84</v>
      </c>
      <c r="C6075" s="5" t="s">
        <v>4771</v>
      </c>
      <c r="D6075" s="43">
        <v>10000</v>
      </c>
      <c r="E6075" s="43"/>
      <c r="F6075" s="48">
        <f t="shared" si="97"/>
        <v>71009</v>
      </c>
    </row>
    <row r="6076" spans="1:6" x14ac:dyDescent="0.3">
      <c r="A6076" s="45">
        <v>43540</v>
      </c>
      <c r="B6076" s="5" t="s">
        <v>4641</v>
      </c>
      <c r="C6076" s="5" t="s">
        <v>4775</v>
      </c>
      <c r="D6076" s="43">
        <v>10000</v>
      </c>
      <c r="E6076" s="43"/>
      <c r="F6076" s="48">
        <f t="shared" si="97"/>
        <v>61009</v>
      </c>
    </row>
    <row r="6077" spans="1:6" x14ac:dyDescent="0.3">
      <c r="A6077" s="45">
        <v>43540</v>
      </c>
      <c r="B6077" s="5" t="s">
        <v>3559</v>
      </c>
      <c r="C6077" s="5" t="s">
        <v>3442</v>
      </c>
      <c r="D6077" s="43">
        <v>490</v>
      </c>
      <c r="E6077" s="43"/>
      <c r="F6077" s="48">
        <f t="shared" si="97"/>
        <v>60519</v>
      </c>
    </row>
    <row r="6078" spans="1:6" x14ac:dyDescent="0.3">
      <c r="A6078" s="45">
        <v>43540</v>
      </c>
      <c r="B6078" s="5" t="s">
        <v>25</v>
      </c>
      <c r="C6078" s="5" t="s">
        <v>4776</v>
      </c>
      <c r="D6078" s="43">
        <v>1200</v>
      </c>
      <c r="E6078" s="43"/>
      <c r="F6078" s="48">
        <f t="shared" si="97"/>
        <v>59319</v>
      </c>
    </row>
    <row r="6079" spans="1:6" x14ac:dyDescent="0.3">
      <c r="A6079" s="45">
        <v>43540</v>
      </c>
      <c r="B6079" s="5" t="s">
        <v>0</v>
      </c>
      <c r="C6079" s="5" t="s">
        <v>4777</v>
      </c>
      <c r="D6079" s="43">
        <v>15000</v>
      </c>
      <c r="E6079" s="43"/>
      <c r="F6079" s="48">
        <f t="shared" si="97"/>
        <v>44319</v>
      </c>
    </row>
    <row r="6080" spans="1:6" x14ac:dyDescent="0.3">
      <c r="A6080" s="45">
        <v>43542</v>
      </c>
      <c r="B6080" s="5" t="s">
        <v>1616</v>
      </c>
      <c r="C6080" s="5" t="s">
        <v>1008</v>
      </c>
      <c r="D6080" s="43">
        <v>1500</v>
      </c>
      <c r="E6080" s="43"/>
      <c r="F6080" s="48">
        <f t="shared" si="97"/>
        <v>42819</v>
      </c>
    </row>
    <row r="6081" spans="1:6" x14ac:dyDescent="0.3">
      <c r="A6081" s="45">
        <v>43542</v>
      </c>
      <c r="B6081" s="5" t="s">
        <v>1787</v>
      </c>
      <c r="C6081" s="5" t="s">
        <v>4399</v>
      </c>
      <c r="D6081" s="43">
        <v>1000</v>
      </c>
      <c r="E6081" s="43"/>
      <c r="F6081" s="48">
        <f t="shared" si="97"/>
        <v>41819</v>
      </c>
    </row>
    <row r="6082" spans="1:6" x14ac:dyDescent="0.3">
      <c r="A6082" s="45">
        <v>43542</v>
      </c>
      <c r="B6082" s="41" t="s">
        <v>2594</v>
      </c>
      <c r="C6082" s="41" t="s">
        <v>3143</v>
      </c>
      <c r="D6082" s="42">
        <v>19000</v>
      </c>
      <c r="E6082" s="43"/>
      <c r="F6082" s="48">
        <f t="shared" si="97"/>
        <v>22819</v>
      </c>
    </row>
    <row r="6083" spans="1:6" x14ac:dyDescent="0.3">
      <c r="A6083" s="45">
        <v>43542</v>
      </c>
      <c r="B6083" s="5" t="s">
        <v>4778</v>
      </c>
      <c r="C6083" s="5" t="s">
        <v>4779</v>
      </c>
      <c r="D6083" s="43">
        <v>4170</v>
      </c>
      <c r="E6083" s="43"/>
      <c r="F6083" s="48">
        <f t="shared" si="97"/>
        <v>18649</v>
      </c>
    </row>
    <row r="6084" spans="1:6" x14ac:dyDescent="0.3">
      <c r="A6084" s="45">
        <v>43542</v>
      </c>
      <c r="B6084" s="5" t="s">
        <v>28</v>
      </c>
      <c r="C6084" s="5" t="s">
        <v>4780</v>
      </c>
      <c r="D6084" s="43">
        <v>6000</v>
      </c>
      <c r="E6084" s="43"/>
      <c r="F6084" s="48">
        <f t="shared" si="97"/>
        <v>12649</v>
      </c>
    </row>
    <row r="6085" spans="1:6" x14ac:dyDescent="0.3">
      <c r="A6085" s="45">
        <v>43542</v>
      </c>
      <c r="B6085" s="5" t="s">
        <v>84</v>
      </c>
      <c r="C6085" s="5" t="s">
        <v>4783</v>
      </c>
      <c r="D6085" s="43">
        <v>5000</v>
      </c>
      <c r="E6085" s="43"/>
      <c r="F6085" s="48">
        <f t="shared" si="97"/>
        <v>7649</v>
      </c>
    </row>
    <row r="6086" spans="1:6" x14ac:dyDescent="0.3">
      <c r="A6086" s="45">
        <v>43543</v>
      </c>
      <c r="B6086" s="5" t="s">
        <v>3559</v>
      </c>
      <c r="C6086" s="5" t="s">
        <v>4781</v>
      </c>
      <c r="D6086" s="43">
        <v>580</v>
      </c>
      <c r="E6086" s="43"/>
      <c r="F6086" s="48">
        <f t="shared" si="97"/>
        <v>7069</v>
      </c>
    </row>
    <row r="6087" spans="1:6" x14ac:dyDescent="0.3">
      <c r="A6087" s="45">
        <v>43543</v>
      </c>
      <c r="B6087" s="41" t="s">
        <v>2594</v>
      </c>
      <c r="C6087" s="41" t="s">
        <v>3557</v>
      </c>
      <c r="D6087" s="42">
        <v>6000</v>
      </c>
      <c r="E6087" s="43"/>
      <c r="F6087" s="48">
        <f t="shared" si="97"/>
        <v>1069</v>
      </c>
    </row>
    <row r="6088" spans="1:6" x14ac:dyDescent="0.3">
      <c r="A6088" s="45">
        <v>43543</v>
      </c>
      <c r="B6088" s="5" t="s">
        <v>1616</v>
      </c>
      <c r="C6088" s="5" t="s">
        <v>2435</v>
      </c>
      <c r="D6088" s="43">
        <v>520</v>
      </c>
      <c r="E6088" s="43"/>
      <c r="F6088" s="48">
        <f t="shared" si="97"/>
        <v>549</v>
      </c>
    </row>
    <row r="6089" spans="1:6" x14ac:dyDescent="0.3">
      <c r="A6089" s="45">
        <v>43543</v>
      </c>
      <c r="B6089" s="756" t="s">
        <v>4808</v>
      </c>
      <c r="C6089" s="756"/>
      <c r="D6089" s="71"/>
      <c r="E6089" s="72">
        <v>300000</v>
      </c>
      <c r="F6089" s="48">
        <f t="shared" si="97"/>
        <v>300549</v>
      </c>
    </row>
    <row r="6090" spans="1:6" x14ac:dyDescent="0.3">
      <c r="A6090" s="45">
        <v>43544</v>
      </c>
      <c r="B6090" s="5" t="s">
        <v>14</v>
      </c>
      <c r="C6090" s="5" t="s">
        <v>3332</v>
      </c>
      <c r="D6090" s="43">
        <v>5000</v>
      </c>
      <c r="E6090" s="43"/>
      <c r="F6090" s="48">
        <f t="shared" si="97"/>
        <v>295549</v>
      </c>
    </row>
    <row r="6091" spans="1:6" x14ac:dyDescent="0.3">
      <c r="A6091" s="45">
        <v>43544</v>
      </c>
      <c r="B6091" s="5" t="s">
        <v>56</v>
      </c>
      <c r="C6091" s="5" t="s">
        <v>4963</v>
      </c>
      <c r="D6091" s="43">
        <v>1000</v>
      </c>
      <c r="E6091" s="43"/>
      <c r="F6091" s="48">
        <f t="shared" si="97"/>
        <v>294549</v>
      </c>
    </row>
    <row r="6092" spans="1:6" x14ac:dyDescent="0.3">
      <c r="A6092" s="45">
        <v>43544</v>
      </c>
      <c r="B6092" s="5" t="s">
        <v>4638</v>
      </c>
      <c r="C6092" s="5" t="s">
        <v>4782</v>
      </c>
      <c r="D6092" s="43">
        <v>30000</v>
      </c>
      <c r="E6092" s="43"/>
      <c r="F6092" s="48">
        <f t="shared" si="97"/>
        <v>264549</v>
      </c>
    </row>
    <row r="6093" spans="1:6" x14ac:dyDescent="0.3">
      <c r="A6093" s="45">
        <v>43544</v>
      </c>
      <c r="B6093" s="5" t="s">
        <v>2096</v>
      </c>
      <c r="C6093" s="5" t="s">
        <v>4710</v>
      </c>
      <c r="D6093" s="43">
        <v>50000</v>
      </c>
      <c r="E6093" s="43"/>
      <c r="F6093" s="48">
        <f t="shared" ref="F6093:F6156" si="98">F6092-D6093+E6093</f>
        <v>214549</v>
      </c>
    </row>
    <row r="6094" spans="1:6" x14ac:dyDescent="0.3">
      <c r="A6094" s="45">
        <v>43545</v>
      </c>
      <c r="B6094" s="5" t="s">
        <v>3825</v>
      </c>
      <c r="C6094" s="5" t="s">
        <v>4784</v>
      </c>
      <c r="D6094" s="43">
        <v>3000</v>
      </c>
      <c r="E6094" s="43"/>
      <c r="F6094" s="48">
        <f t="shared" si="98"/>
        <v>211549</v>
      </c>
    </row>
    <row r="6095" spans="1:6" x14ac:dyDescent="0.3">
      <c r="A6095" s="45">
        <v>43545</v>
      </c>
      <c r="B6095" s="73" t="s">
        <v>1837</v>
      </c>
      <c r="C6095" s="73" t="s">
        <v>4615</v>
      </c>
      <c r="D6095" s="183">
        <v>10000</v>
      </c>
      <c r="E6095" s="43"/>
      <c r="F6095" s="48">
        <f t="shared" si="98"/>
        <v>201549</v>
      </c>
    </row>
    <row r="6096" spans="1:6" x14ac:dyDescent="0.3">
      <c r="A6096" s="45">
        <v>43545</v>
      </c>
      <c r="B6096" s="5" t="s">
        <v>84</v>
      </c>
      <c r="C6096" s="5" t="s">
        <v>4785</v>
      </c>
      <c r="D6096" s="43">
        <v>2000</v>
      </c>
      <c r="E6096" s="43"/>
      <c r="F6096" s="48">
        <f t="shared" si="98"/>
        <v>199549</v>
      </c>
    </row>
    <row r="6097" spans="1:6" x14ac:dyDescent="0.3">
      <c r="A6097" s="45">
        <v>43545</v>
      </c>
      <c r="B6097" s="5" t="s">
        <v>1410</v>
      </c>
      <c r="C6097" s="5" t="s">
        <v>4786</v>
      </c>
      <c r="D6097" s="43">
        <v>6600</v>
      </c>
      <c r="E6097" s="43"/>
      <c r="F6097" s="48">
        <f t="shared" si="98"/>
        <v>192949</v>
      </c>
    </row>
    <row r="6098" spans="1:6" x14ac:dyDescent="0.3">
      <c r="A6098" s="45">
        <v>43545</v>
      </c>
      <c r="B6098" s="5" t="s">
        <v>110</v>
      </c>
      <c r="C6098" s="5" t="s">
        <v>4787</v>
      </c>
      <c r="D6098" s="43">
        <v>34380</v>
      </c>
      <c r="E6098" s="43"/>
      <c r="F6098" s="48">
        <f t="shared" si="98"/>
        <v>158569</v>
      </c>
    </row>
    <row r="6099" spans="1:6" x14ac:dyDescent="0.3">
      <c r="A6099" s="45">
        <v>43545</v>
      </c>
      <c r="B6099" s="5" t="s">
        <v>4851</v>
      </c>
      <c r="C6099" s="5" t="s">
        <v>4788</v>
      </c>
      <c r="D6099" s="43">
        <v>1440</v>
      </c>
      <c r="E6099" s="43"/>
      <c r="F6099" s="48">
        <f t="shared" si="98"/>
        <v>157129</v>
      </c>
    </row>
    <row r="6100" spans="1:6" x14ac:dyDescent="0.3">
      <c r="A6100" s="45">
        <v>43545</v>
      </c>
      <c r="B6100" s="5" t="s">
        <v>84</v>
      </c>
      <c r="C6100" s="5" t="s">
        <v>4850</v>
      </c>
      <c r="D6100" s="43">
        <v>15000</v>
      </c>
      <c r="E6100" s="43"/>
      <c r="F6100" s="48">
        <f t="shared" si="98"/>
        <v>142129</v>
      </c>
    </row>
    <row r="6101" spans="1:6" x14ac:dyDescent="0.3">
      <c r="A6101" s="45">
        <v>43545</v>
      </c>
      <c r="B6101" s="5" t="s">
        <v>3546</v>
      </c>
      <c r="C6101" s="5" t="s">
        <v>40</v>
      </c>
      <c r="D6101" s="43">
        <v>25000</v>
      </c>
      <c r="E6101" s="43"/>
      <c r="F6101" s="48">
        <f t="shared" si="98"/>
        <v>117129</v>
      </c>
    </row>
    <row r="6102" spans="1:6" x14ac:dyDescent="0.3">
      <c r="A6102" s="45">
        <v>43545</v>
      </c>
      <c r="B6102" s="5" t="s">
        <v>84</v>
      </c>
      <c r="C6102" s="5" t="s">
        <v>4852</v>
      </c>
      <c r="D6102" s="43">
        <v>1000</v>
      </c>
      <c r="E6102" s="43"/>
      <c r="F6102" s="48">
        <f t="shared" si="98"/>
        <v>116129</v>
      </c>
    </row>
    <row r="6103" spans="1:6" x14ac:dyDescent="0.3">
      <c r="A6103" s="45">
        <v>43545</v>
      </c>
      <c r="B6103" s="5" t="s">
        <v>14</v>
      </c>
      <c r="C6103" s="5" t="s">
        <v>294</v>
      </c>
      <c r="D6103" s="43">
        <v>13000</v>
      </c>
      <c r="E6103" s="43"/>
      <c r="F6103" s="48">
        <f t="shared" si="98"/>
        <v>103129</v>
      </c>
    </row>
    <row r="6104" spans="1:6" x14ac:dyDescent="0.3">
      <c r="A6104" s="45">
        <v>43546</v>
      </c>
      <c r="B6104" s="5" t="s">
        <v>57</v>
      </c>
      <c r="C6104" s="5" t="s">
        <v>4789</v>
      </c>
      <c r="D6104" s="43">
        <v>5000</v>
      </c>
      <c r="E6104" s="43"/>
      <c r="F6104" s="48">
        <f t="shared" si="98"/>
        <v>98129</v>
      </c>
    </row>
    <row r="6105" spans="1:6" x14ac:dyDescent="0.3">
      <c r="A6105" s="45">
        <v>43546</v>
      </c>
      <c r="B6105" s="5" t="s">
        <v>4112</v>
      </c>
      <c r="C6105" s="5" t="s">
        <v>4790</v>
      </c>
      <c r="D6105" s="43">
        <v>200</v>
      </c>
      <c r="E6105" s="43"/>
      <c r="F6105" s="48">
        <f t="shared" si="98"/>
        <v>97929</v>
      </c>
    </row>
    <row r="6106" spans="1:6" x14ac:dyDescent="0.3">
      <c r="A6106" s="45">
        <v>43546</v>
      </c>
      <c r="B6106" s="5" t="s">
        <v>84</v>
      </c>
      <c r="C6106" s="5" t="s">
        <v>4791</v>
      </c>
      <c r="D6106" s="43">
        <v>5000</v>
      </c>
      <c r="E6106" s="43"/>
      <c r="F6106" s="48">
        <f t="shared" si="98"/>
        <v>92929</v>
      </c>
    </row>
    <row r="6107" spans="1:6" x14ac:dyDescent="0.3">
      <c r="A6107" s="45">
        <v>43546</v>
      </c>
      <c r="B6107" s="5" t="s">
        <v>2096</v>
      </c>
      <c r="C6107" s="5" t="s">
        <v>4792</v>
      </c>
      <c r="D6107" s="43">
        <v>29143</v>
      </c>
      <c r="E6107" s="43"/>
      <c r="F6107" s="48">
        <f t="shared" si="98"/>
        <v>63786</v>
      </c>
    </row>
    <row r="6108" spans="1:6" x14ac:dyDescent="0.3">
      <c r="A6108" s="45">
        <v>43546</v>
      </c>
      <c r="B6108" s="5" t="s">
        <v>2096</v>
      </c>
      <c r="C6108" s="5" t="s">
        <v>4801</v>
      </c>
      <c r="D6108" s="43">
        <v>20000</v>
      </c>
      <c r="E6108" s="43"/>
      <c r="F6108" s="48">
        <f t="shared" si="98"/>
        <v>43786</v>
      </c>
    </row>
    <row r="6109" spans="1:6" x14ac:dyDescent="0.3">
      <c r="A6109" s="45">
        <v>43546</v>
      </c>
      <c r="B6109" s="5" t="s">
        <v>14</v>
      </c>
      <c r="C6109" s="5" t="s">
        <v>294</v>
      </c>
      <c r="D6109" s="43">
        <v>30000</v>
      </c>
      <c r="E6109" s="43"/>
      <c r="F6109" s="48">
        <f t="shared" si="98"/>
        <v>13786</v>
      </c>
    </row>
    <row r="6110" spans="1:6" x14ac:dyDescent="0.3">
      <c r="A6110" s="45">
        <v>43546</v>
      </c>
      <c r="B6110" s="5" t="s">
        <v>57</v>
      </c>
      <c r="C6110" s="5" t="s">
        <v>4853</v>
      </c>
      <c r="D6110" s="43">
        <v>5000</v>
      </c>
      <c r="E6110" s="43"/>
      <c r="F6110" s="48">
        <f t="shared" si="98"/>
        <v>8786</v>
      </c>
    </row>
    <row r="6111" spans="1:6" x14ac:dyDescent="0.3">
      <c r="A6111" s="45">
        <v>43549</v>
      </c>
      <c r="B6111" s="5" t="s">
        <v>2948</v>
      </c>
      <c r="C6111" s="5" t="s">
        <v>4793</v>
      </c>
      <c r="D6111" s="43">
        <v>100</v>
      </c>
      <c r="E6111" s="43"/>
      <c r="F6111" s="48">
        <f t="shared" si="98"/>
        <v>8686</v>
      </c>
    </row>
    <row r="6112" spans="1:6" x14ac:dyDescent="0.3">
      <c r="A6112" s="45">
        <v>43549</v>
      </c>
      <c r="B6112" s="756" t="s">
        <v>4364</v>
      </c>
      <c r="C6112" s="756"/>
      <c r="D6112" s="71"/>
      <c r="E6112" s="72">
        <v>200000</v>
      </c>
      <c r="F6112" s="48">
        <f t="shared" si="98"/>
        <v>208686</v>
      </c>
    </row>
    <row r="6113" spans="1:6" x14ac:dyDescent="0.3">
      <c r="A6113" s="45">
        <v>43549</v>
      </c>
      <c r="B6113" s="5" t="s">
        <v>4638</v>
      </c>
      <c r="C6113" s="5" t="s">
        <v>4795</v>
      </c>
      <c r="D6113" s="43">
        <v>40000</v>
      </c>
      <c r="E6113" s="43"/>
      <c r="F6113" s="48">
        <f t="shared" si="98"/>
        <v>168686</v>
      </c>
    </row>
    <row r="6114" spans="1:6" x14ac:dyDescent="0.3">
      <c r="A6114" s="45">
        <v>43549</v>
      </c>
      <c r="B6114" s="5" t="s">
        <v>84</v>
      </c>
      <c r="C6114" s="5" t="s">
        <v>4794</v>
      </c>
      <c r="D6114" s="43">
        <v>15500</v>
      </c>
      <c r="E6114" s="43"/>
      <c r="F6114" s="48">
        <f t="shared" si="98"/>
        <v>153186</v>
      </c>
    </row>
    <row r="6115" spans="1:6" x14ac:dyDescent="0.3">
      <c r="A6115" s="45">
        <v>43549</v>
      </c>
      <c r="B6115" s="5" t="s">
        <v>3138</v>
      </c>
      <c r="C6115" s="5" t="s">
        <v>40</v>
      </c>
      <c r="D6115" s="43">
        <f>11454+4120</f>
        <v>15574</v>
      </c>
      <c r="E6115" s="43"/>
      <c r="F6115" s="48">
        <f t="shared" si="98"/>
        <v>137612</v>
      </c>
    </row>
    <row r="6116" spans="1:6" x14ac:dyDescent="0.3">
      <c r="A6116" s="45">
        <v>43549</v>
      </c>
      <c r="B6116" s="5" t="s">
        <v>84</v>
      </c>
      <c r="C6116" s="5" t="s">
        <v>4796</v>
      </c>
      <c r="D6116" s="43">
        <v>10000</v>
      </c>
      <c r="E6116" s="43"/>
      <c r="F6116" s="48">
        <f t="shared" si="98"/>
        <v>127612</v>
      </c>
    </row>
    <row r="6117" spans="1:6" x14ac:dyDescent="0.3">
      <c r="A6117" s="45">
        <v>43549</v>
      </c>
      <c r="B6117" s="5" t="s">
        <v>84</v>
      </c>
      <c r="C6117" s="5" t="s">
        <v>4797</v>
      </c>
      <c r="D6117" s="43">
        <v>7000</v>
      </c>
      <c r="E6117" s="43"/>
      <c r="F6117" s="48">
        <f t="shared" si="98"/>
        <v>120612</v>
      </c>
    </row>
    <row r="6118" spans="1:6" x14ac:dyDescent="0.3">
      <c r="A6118" s="45">
        <v>43550</v>
      </c>
      <c r="B6118" s="5" t="s">
        <v>0</v>
      </c>
      <c r="C6118" s="5" t="s">
        <v>294</v>
      </c>
      <c r="D6118" s="43">
        <v>3000</v>
      </c>
      <c r="E6118" s="43"/>
      <c r="F6118" s="48">
        <f t="shared" si="98"/>
        <v>117612</v>
      </c>
    </row>
    <row r="6119" spans="1:6" x14ac:dyDescent="0.3">
      <c r="A6119" s="45">
        <v>43550</v>
      </c>
      <c r="B6119" s="5" t="s">
        <v>4112</v>
      </c>
      <c r="C6119" s="5" t="s">
        <v>4798</v>
      </c>
      <c r="D6119" s="43">
        <v>100</v>
      </c>
      <c r="E6119" s="43"/>
      <c r="F6119" s="48">
        <f t="shared" si="98"/>
        <v>117512</v>
      </c>
    </row>
    <row r="6120" spans="1:6" x14ac:dyDescent="0.3">
      <c r="A6120" s="45">
        <v>43550</v>
      </c>
      <c r="B6120" s="5" t="s">
        <v>3559</v>
      </c>
      <c r="C6120" s="5" t="s">
        <v>4799</v>
      </c>
      <c r="D6120" s="43">
        <v>10800</v>
      </c>
      <c r="E6120" s="43"/>
      <c r="F6120" s="48">
        <f t="shared" si="98"/>
        <v>106712</v>
      </c>
    </row>
    <row r="6121" spans="1:6" x14ac:dyDescent="0.3">
      <c r="A6121" s="45">
        <v>43551</v>
      </c>
      <c r="B6121" s="5" t="s">
        <v>14</v>
      </c>
      <c r="C6121" s="5" t="s">
        <v>40</v>
      </c>
      <c r="D6121" s="43">
        <v>500</v>
      </c>
      <c r="E6121" s="43"/>
      <c r="F6121" s="48">
        <f t="shared" si="98"/>
        <v>106212</v>
      </c>
    </row>
    <row r="6122" spans="1:6" x14ac:dyDescent="0.3">
      <c r="A6122" s="45">
        <v>43551</v>
      </c>
      <c r="B6122" s="5" t="s">
        <v>57</v>
      </c>
      <c r="C6122" s="5" t="s">
        <v>4854</v>
      </c>
      <c r="D6122" s="43">
        <v>5125</v>
      </c>
      <c r="E6122" s="43"/>
      <c r="F6122" s="48">
        <f t="shared" si="98"/>
        <v>101087</v>
      </c>
    </row>
    <row r="6123" spans="1:6" x14ac:dyDescent="0.3">
      <c r="A6123" s="45">
        <v>43551</v>
      </c>
      <c r="B6123" s="756" t="s">
        <v>4809</v>
      </c>
      <c r="C6123" s="756"/>
      <c r="D6123" s="71"/>
      <c r="E6123" s="72">
        <v>100000</v>
      </c>
      <c r="F6123" s="48">
        <f t="shared" si="98"/>
        <v>201087</v>
      </c>
    </row>
    <row r="6124" spans="1:6" x14ac:dyDescent="0.3">
      <c r="A6124" s="45">
        <v>43551</v>
      </c>
      <c r="B6124" s="5" t="s">
        <v>2096</v>
      </c>
      <c r="C6124" s="5" t="s">
        <v>4800</v>
      </c>
      <c r="D6124" s="43">
        <v>20000</v>
      </c>
      <c r="E6124" s="43"/>
      <c r="F6124" s="48">
        <f t="shared" si="98"/>
        <v>181087</v>
      </c>
    </row>
    <row r="6125" spans="1:6" x14ac:dyDescent="0.3">
      <c r="A6125" s="45">
        <v>43551</v>
      </c>
      <c r="B6125" s="5" t="s">
        <v>0</v>
      </c>
      <c r="C6125" s="5" t="s">
        <v>4802</v>
      </c>
      <c r="D6125" s="43">
        <v>5000</v>
      </c>
      <c r="E6125" s="43"/>
      <c r="F6125" s="48">
        <f t="shared" si="98"/>
        <v>176087</v>
      </c>
    </row>
    <row r="6126" spans="1:6" x14ac:dyDescent="0.3">
      <c r="A6126" s="45">
        <v>43551</v>
      </c>
      <c r="B6126" s="5" t="s">
        <v>57</v>
      </c>
      <c r="C6126" s="5" t="s">
        <v>4803</v>
      </c>
      <c r="D6126" s="43">
        <v>1250</v>
      </c>
      <c r="E6126" s="43"/>
      <c r="F6126" s="48">
        <f t="shared" si="98"/>
        <v>174837</v>
      </c>
    </row>
    <row r="6127" spans="1:6" x14ac:dyDescent="0.3">
      <c r="A6127" s="45">
        <v>43551</v>
      </c>
      <c r="B6127" s="5" t="s">
        <v>247</v>
      </c>
      <c r="C6127" s="5" t="s">
        <v>4823</v>
      </c>
      <c r="D6127" s="43">
        <v>900</v>
      </c>
      <c r="E6127" s="43"/>
      <c r="F6127" s="48">
        <f t="shared" si="98"/>
        <v>173937</v>
      </c>
    </row>
    <row r="6128" spans="1:6" x14ac:dyDescent="0.3">
      <c r="A6128" s="45">
        <v>43551</v>
      </c>
      <c r="B6128" s="5" t="s">
        <v>84</v>
      </c>
      <c r="C6128" s="5" t="s">
        <v>4804</v>
      </c>
      <c r="D6128" s="43">
        <v>500</v>
      </c>
      <c r="E6128" s="43"/>
      <c r="F6128" s="48">
        <f t="shared" si="98"/>
        <v>173437</v>
      </c>
    </row>
    <row r="6129" spans="1:7" x14ac:dyDescent="0.3">
      <c r="A6129" s="45">
        <v>43551</v>
      </c>
      <c r="B6129" s="5" t="s">
        <v>2346</v>
      </c>
      <c r="C6129" s="5" t="s">
        <v>4805</v>
      </c>
      <c r="D6129" s="43">
        <v>1200</v>
      </c>
      <c r="E6129" s="43"/>
      <c r="F6129" s="48">
        <f t="shared" si="98"/>
        <v>172237</v>
      </c>
    </row>
    <row r="6130" spans="1:7" x14ac:dyDescent="0.3">
      <c r="A6130" s="45">
        <v>43552</v>
      </c>
      <c r="B6130" s="5" t="s">
        <v>14</v>
      </c>
      <c r="C6130" s="5" t="s">
        <v>294</v>
      </c>
      <c r="D6130" s="43">
        <v>25000</v>
      </c>
      <c r="E6130" s="43"/>
      <c r="F6130" s="48">
        <f t="shared" si="98"/>
        <v>147237</v>
      </c>
    </row>
    <row r="6131" spans="1:7" x14ac:dyDescent="0.3">
      <c r="A6131" s="45">
        <v>43552</v>
      </c>
      <c r="B6131" s="5" t="s">
        <v>25</v>
      </c>
      <c r="C6131" s="5" t="s">
        <v>4806</v>
      </c>
      <c r="D6131" s="43">
        <f>350+140+170+220+110+60+750+140+70+90+50+210+25+120+70+65+70+50+10+190+60+110</f>
        <v>3130</v>
      </c>
      <c r="E6131" s="43"/>
      <c r="F6131" s="48">
        <f t="shared" si="98"/>
        <v>144107</v>
      </c>
    </row>
    <row r="6132" spans="1:7" x14ac:dyDescent="0.3">
      <c r="A6132" s="45">
        <v>43553</v>
      </c>
      <c r="B6132" s="5" t="s">
        <v>25</v>
      </c>
      <c r="C6132" s="5" t="s">
        <v>4807</v>
      </c>
      <c r="D6132" s="43">
        <v>2500</v>
      </c>
      <c r="E6132" s="43"/>
      <c r="F6132" s="48">
        <f t="shared" si="98"/>
        <v>141607</v>
      </c>
    </row>
    <row r="6133" spans="1:7" x14ac:dyDescent="0.3">
      <c r="A6133" s="45">
        <v>43554</v>
      </c>
      <c r="B6133" s="5" t="s">
        <v>28</v>
      </c>
      <c r="C6133" s="5" t="s">
        <v>4812</v>
      </c>
      <c r="D6133" s="43">
        <v>1000</v>
      </c>
      <c r="E6133" s="43"/>
      <c r="F6133" s="48">
        <f t="shared" si="98"/>
        <v>140607</v>
      </c>
    </row>
    <row r="6134" spans="1:7" x14ac:dyDescent="0.3">
      <c r="A6134" s="45">
        <v>43554</v>
      </c>
      <c r="B6134" s="5" t="s">
        <v>3734</v>
      </c>
      <c r="C6134" s="5" t="s">
        <v>4813</v>
      </c>
      <c r="D6134" s="43">
        <v>1500</v>
      </c>
      <c r="E6134" s="43"/>
      <c r="F6134" s="48">
        <f t="shared" si="98"/>
        <v>139107</v>
      </c>
    </row>
    <row r="6135" spans="1:7" x14ac:dyDescent="0.3">
      <c r="A6135" s="45">
        <v>43554</v>
      </c>
      <c r="B6135" s="5" t="s">
        <v>57</v>
      </c>
      <c r="C6135" s="5" t="s">
        <v>4814</v>
      </c>
      <c r="D6135" s="43">
        <v>26000</v>
      </c>
      <c r="E6135" s="43"/>
      <c r="F6135" s="48">
        <f t="shared" si="98"/>
        <v>113107</v>
      </c>
    </row>
    <row r="6136" spans="1:7" x14ac:dyDescent="0.3">
      <c r="A6136" s="45">
        <v>43554</v>
      </c>
      <c r="B6136" s="5" t="s">
        <v>84</v>
      </c>
      <c r="C6136" s="5" t="s">
        <v>4815</v>
      </c>
      <c r="D6136" s="43">
        <v>3000</v>
      </c>
      <c r="E6136" s="43"/>
      <c r="F6136" s="48">
        <f t="shared" si="98"/>
        <v>110107</v>
      </c>
    </row>
    <row r="6137" spans="1:7" x14ac:dyDescent="0.3">
      <c r="A6137" s="45">
        <v>43554</v>
      </c>
      <c r="B6137" s="5" t="s">
        <v>2096</v>
      </c>
      <c r="C6137" s="5" t="s">
        <v>4816</v>
      </c>
      <c r="D6137" s="43">
        <v>50000</v>
      </c>
      <c r="E6137" s="43"/>
      <c r="F6137" s="48">
        <f t="shared" si="98"/>
        <v>60107</v>
      </c>
    </row>
    <row r="6138" spans="1:7" x14ac:dyDescent="0.3">
      <c r="A6138" s="45">
        <v>43554</v>
      </c>
      <c r="B6138" s="5" t="s">
        <v>247</v>
      </c>
      <c r="C6138" s="5" t="s">
        <v>4817</v>
      </c>
      <c r="D6138" s="43">
        <v>1080</v>
      </c>
      <c r="E6138" s="43"/>
      <c r="F6138" s="48">
        <f t="shared" si="98"/>
        <v>59027</v>
      </c>
    </row>
    <row r="6139" spans="1:7" x14ac:dyDescent="0.3">
      <c r="A6139" s="45">
        <v>43556</v>
      </c>
      <c r="B6139" s="5" t="s">
        <v>2570</v>
      </c>
      <c r="C6139" s="5" t="s">
        <v>4601</v>
      </c>
      <c r="D6139" s="43">
        <v>230</v>
      </c>
      <c r="E6139" s="43"/>
      <c r="F6139" s="48">
        <f t="shared" si="98"/>
        <v>58797</v>
      </c>
    </row>
    <row r="6140" spans="1:7" x14ac:dyDescent="0.3">
      <c r="A6140" s="184">
        <v>43556</v>
      </c>
      <c r="B6140" s="66" t="s">
        <v>14</v>
      </c>
      <c r="C6140" s="66" t="s">
        <v>294</v>
      </c>
      <c r="D6140" s="67">
        <v>15000</v>
      </c>
      <c r="E6140" s="67"/>
      <c r="F6140" s="48">
        <f t="shared" si="98"/>
        <v>43797</v>
      </c>
    </row>
    <row r="6141" spans="1:7" x14ac:dyDescent="0.3">
      <c r="A6141" s="45">
        <v>43556</v>
      </c>
      <c r="B6141" s="5" t="s">
        <v>14</v>
      </c>
      <c r="C6141" s="5" t="s">
        <v>4818</v>
      </c>
      <c r="D6141" s="43">
        <v>1000</v>
      </c>
      <c r="E6141" s="43"/>
      <c r="F6141" s="48">
        <f t="shared" si="98"/>
        <v>42797</v>
      </c>
      <c r="G6141" s="43"/>
    </row>
    <row r="6142" spans="1:7" x14ac:dyDescent="0.3">
      <c r="A6142" s="45">
        <v>43557</v>
      </c>
      <c r="B6142" s="5" t="s">
        <v>4820</v>
      </c>
      <c r="C6142" s="5" t="s">
        <v>4819</v>
      </c>
      <c r="D6142" s="43">
        <v>140</v>
      </c>
      <c r="E6142" s="43"/>
      <c r="F6142" s="48">
        <f t="shared" si="98"/>
        <v>42657</v>
      </c>
      <c r="G6142" s="43"/>
    </row>
    <row r="6143" spans="1:7" x14ac:dyDescent="0.3">
      <c r="A6143" s="45">
        <v>43557</v>
      </c>
      <c r="B6143" s="5" t="s">
        <v>1193</v>
      </c>
      <c r="C6143" s="5" t="s">
        <v>4827</v>
      </c>
      <c r="D6143" s="43">
        <v>5500</v>
      </c>
      <c r="E6143" s="43"/>
      <c r="F6143" s="48">
        <f t="shared" si="98"/>
        <v>37157</v>
      </c>
      <c r="G6143" s="43"/>
    </row>
    <row r="6144" spans="1:7" x14ac:dyDescent="0.3">
      <c r="A6144" s="45">
        <v>43557</v>
      </c>
      <c r="B6144" s="5" t="s">
        <v>0</v>
      </c>
      <c r="C6144" s="5" t="s">
        <v>4821</v>
      </c>
      <c r="D6144" s="43">
        <v>20000</v>
      </c>
      <c r="E6144" s="43"/>
      <c r="F6144" s="48">
        <f t="shared" si="98"/>
        <v>17157</v>
      </c>
      <c r="G6144" s="43"/>
    </row>
    <row r="6145" spans="1:7" x14ac:dyDescent="0.3">
      <c r="A6145" s="45">
        <v>43557</v>
      </c>
      <c r="B6145" s="5" t="s">
        <v>84</v>
      </c>
      <c r="C6145" s="5" t="s">
        <v>4822</v>
      </c>
      <c r="D6145" s="43">
        <v>1000</v>
      </c>
      <c r="E6145" s="43"/>
      <c r="F6145" s="48">
        <f t="shared" si="98"/>
        <v>16157</v>
      </c>
      <c r="G6145" s="43"/>
    </row>
    <row r="6146" spans="1:7" x14ac:dyDescent="0.3">
      <c r="A6146" s="45">
        <v>43557</v>
      </c>
      <c r="B6146" s="5" t="s">
        <v>247</v>
      </c>
      <c r="C6146" s="5" t="s">
        <v>4823</v>
      </c>
      <c r="D6146" s="43">
        <v>120</v>
      </c>
      <c r="E6146" s="43"/>
      <c r="F6146" s="48">
        <f t="shared" si="98"/>
        <v>16037</v>
      </c>
      <c r="G6146" s="43"/>
    </row>
    <row r="6147" spans="1:7" x14ac:dyDescent="0.3">
      <c r="A6147" s="45">
        <v>43558</v>
      </c>
      <c r="B6147" s="5" t="s">
        <v>247</v>
      </c>
      <c r="C6147" s="5" t="s">
        <v>4824</v>
      </c>
      <c r="D6147" s="43">
        <v>300</v>
      </c>
      <c r="E6147" s="43"/>
      <c r="F6147" s="48">
        <f t="shared" si="98"/>
        <v>15737</v>
      </c>
      <c r="G6147" s="43"/>
    </row>
    <row r="6148" spans="1:7" x14ac:dyDescent="0.3">
      <c r="A6148" s="45">
        <v>43558</v>
      </c>
      <c r="B6148" s="5" t="s">
        <v>57</v>
      </c>
      <c r="C6148" s="5" t="s">
        <v>4825</v>
      </c>
      <c r="D6148" s="43">
        <v>2000</v>
      </c>
      <c r="E6148" s="43"/>
      <c r="F6148" s="48">
        <f t="shared" si="98"/>
        <v>13737</v>
      </c>
      <c r="G6148" s="43"/>
    </row>
    <row r="6149" spans="1:7" x14ac:dyDescent="0.3">
      <c r="A6149" s="45">
        <v>43558</v>
      </c>
      <c r="B6149" s="5" t="s">
        <v>2948</v>
      </c>
      <c r="C6149" s="5" t="s">
        <v>4826</v>
      </c>
      <c r="D6149" s="43">
        <v>200</v>
      </c>
      <c r="E6149" s="43"/>
      <c r="F6149" s="48">
        <f t="shared" si="98"/>
        <v>13537</v>
      </c>
      <c r="G6149" s="43"/>
    </row>
    <row r="6150" spans="1:7" x14ac:dyDescent="0.3">
      <c r="A6150" s="45">
        <v>43559</v>
      </c>
      <c r="B6150" s="5" t="s">
        <v>4828</v>
      </c>
      <c r="C6150" s="5" t="s">
        <v>2013</v>
      </c>
      <c r="D6150" s="43">
        <v>100</v>
      </c>
      <c r="E6150" s="43"/>
      <c r="F6150" s="48">
        <f t="shared" si="98"/>
        <v>13437</v>
      </c>
      <c r="G6150" s="43"/>
    </row>
    <row r="6151" spans="1:7" x14ac:dyDescent="0.3">
      <c r="A6151" s="45">
        <v>43560</v>
      </c>
      <c r="B6151" s="5" t="s">
        <v>100</v>
      </c>
      <c r="C6151" s="5" t="s">
        <v>4829</v>
      </c>
      <c r="D6151" s="43">
        <v>1000</v>
      </c>
      <c r="E6151" s="43"/>
      <c r="F6151" s="48">
        <f t="shared" si="98"/>
        <v>12437</v>
      </c>
      <c r="G6151" s="43"/>
    </row>
    <row r="6152" spans="1:7" x14ac:dyDescent="0.3">
      <c r="A6152" s="45">
        <v>43560</v>
      </c>
      <c r="B6152" s="5" t="s">
        <v>84</v>
      </c>
      <c r="C6152" s="5" t="s">
        <v>4831</v>
      </c>
      <c r="D6152" s="43">
        <v>500</v>
      </c>
      <c r="E6152" s="43"/>
      <c r="F6152" s="48">
        <f t="shared" si="98"/>
        <v>11937</v>
      </c>
      <c r="G6152" s="43"/>
    </row>
    <row r="6153" spans="1:7" x14ac:dyDescent="0.3">
      <c r="A6153" s="45">
        <v>43560</v>
      </c>
      <c r="B6153" s="5" t="s">
        <v>84</v>
      </c>
      <c r="C6153" s="5" t="s">
        <v>4830</v>
      </c>
      <c r="D6153" s="43">
        <v>5000</v>
      </c>
      <c r="E6153" s="43"/>
      <c r="F6153" s="48">
        <f t="shared" si="98"/>
        <v>6937</v>
      </c>
      <c r="G6153" s="43"/>
    </row>
    <row r="6154" spans="1:7" x14ac:dyDescent="0.3">
      <c r="A6154" s="45">
        <v>43562</v>
      </c>
      <c r="B6154" s="5" t="s">
        <v>84</v>
      </c>
      <c r="C6154" s="5" t="s">
        <v>4804</v>
      </c>
      <c r="D6154" s="43">
        <v>500</v>
      </c>
      <c r="E6154" s="43"/>
      <c r="F6154" s="48">
        <f t="shared" si="98"/>
        <v>6437</v>
      </c>
      <c r="G6154" s="43"/>
    </row>
    <row r="6155" spans="1:7" x14ac:dyDescent="0.3">
      <c r="A6155" s="45">
        <v>43562</v>
      </c>
      <c r="B6155" s="5" t="s">
        <v>2948</v>
      </c>
      <c r="C6155" s="5" t="s">
        <v>4832</v>
      </c>
      <c r="D6155" s="43">
        <v>1140</v>
      </c>
      <c r="E6155" s="43"/>
      <c r="F6155" s="48">
        <f t="shared" si="98"/>
        <v>5297</v>
      </c>
      <c r="G6155" s="43"/>
    </row>
    <row r="6156" spans="1:7" x14ac:dyDescent="0.3">
      <c r="A6156" s="45">
        <v>43562</v>
      </c>
      <c r="B6156" s="5" t="s">
        <v>25</v>
      </c>
      <c r="C6156" s="5" t="s">
        <v>4833</v>
      </c>
      <c r="D6156" s="43">
        <f>140+60+50+30+20+70+50+110+150+40+130+65+40+130+50+20+75+50+88+110+20+230+130+50+20+70+50+110+10+200</f>
        <v>2368</v>
      </c>
      <c r="E6156" s="43"/>
      <c r="F6156" s="48">
        <f t="shared" si="98"/>
        <v>2929</v>
      </c>
      <c r="G6156" s="43"/>
    </row>
    <row r="6157" spans="1:7" x14ac:dyDescent="0.3">
      <c r="A6157" s="45">
        <v>43562</v>
      </c>
      <c r="B6157" s="5" t="s">
        <v>4742</v>
      </c>
      <c r="C6157" s="5" t="s">
        <v>4834</v>
      </c>
      <c r="D6157" s="43">
        <v>1350</v>
      </c>
      <c r="E6157" s="43"/>
      <c r="F6157" s="48">
        <f t="shared" ref="F6157:F6220" si="99">F6156-D6157+E6157</f>
        <v>1579</v>
      </c>
      <c r="G6157" s="43"/>
    </row>
    <row r="6158" spans="1:7" x14ac:dyDescent="0.3">
      <c r="A6158" s="45">
        <v>43564</v>
      </c>
      <c r="B6158" s="5" t="s">
        <v>93</v>
      </c>
      <c r="C6158" s="5" t="s">
        <v>4835</v>
      </c>
      <c r="D6158" s="43">
        <v>1000</v>
      </c>
      <c r="E6158" s="43"/>
      <c r="F6158" s="48">
        <f t="shared" si="99"/>
        <v>579</v>
      </c>
      <c r="G6158" s="43"/>
    </row>
    <row r="6159" spans="1:7" x14ac:dyDescent="0.3">
      <c r="A6159" s="45">
        <v>43564</v>
      </c>
      <c r="B6159" s="5" t="s">
        <v>14</v>
      </c>
      <c r="C6159" s="5" t="s">
        <v>4837</v>
      </c>
      <c r="D6159" s="43">
        <v>554</v>
      </c>
      <c r="E6159" s="43"/>
      <c r="F6159" s="48">
        <f t="shared" si="99"/>
        <v>25</v>
      </c>
      <c r="G6159" s="43"/>
    </row>
    <row r="6160" spans="1:7" x14ac:dyDescent="0.3">
      <c r="A6160" s="45">
        <v>43564</v>
      </c>
      <c r="B6160" s="756" t="s">
        <v>4846</v>
      </c>
      <c r="C6160" s="756"/>
      <c r="D6160" s="71"/>
      <c r="E6160" s="72">
        <v>20000</v>
      </c>
      <c r="F6160" s="48">
        <f t="shared" si="99"/>
        <v>20025</v>
      </c>
    </row>
    <row r="6161" spans="1:7" x14ac:dyDescent="0.3">
      <c r="A6161" s="45">
        <v>43564</v>
      </c>
      <c r="B6161" s="358" t="s">
        <v>4847</v>
      </c>
      <c r="C6161" s="358"/>
      <c r="D6161" s="71"/>
      <c r="E6161" s="72">
        <v>970</v>
      </c>
      <c r="F6161" s="48">
        <f t="shared" si="99"/>
        <v>20995</v>
      </c>
    </row>
    <row r="6162" spans="1:7" x14ac:dyDescent="0.3">
      <c r="A6162" s="45">
        <v>43564</v>
      </c>
      <c r="B6162" s="358" t="s">
        <v>4848</v>
      </c>
      <c r="C6162" s="358"/>
      <c r="D6162" s="71"/>
      <c r="E6162" s="72">
        <v>5152</v>
      </c>
      <c r="F6162" s="48">
        <f t="shared" si="99"/>
        <v>26147</v>
      </c>
    </row>
    <row r="6163" spans="1:7" x14ac:dyDescent="0.3">
      <c r="A6163" s="45">
        <v>43564</v>
      </c>
      <c r="B6163" s="5" t="s">
        <v>1837</v>
      </c>
      <c r="C6163" s="5" t="s">
        <v>4838</v>
      </c>
      <c r="D6163" s="43">
        <v>900</v>
      </c>
      <c r="E6163" s="43"/>
      <c r="F6163" s="48">
        <f t="shared" si="99"/>
        <v>25247</v>
      </c>
      <c r="G6163" s="43"/>
    </row>
    <row r="6164" spans="1:7" x14ac:dyDescent="0.3">
      <c r="A6164" s="45">
        <v>43565</v>
      </c>
      <c r="B6164" s="5" t="s">
        <v>2948</v>
      </c>
      <c r="C6164" s="5" t="s">
        <v>4839</v>
      </c>
      <c r="D6164" s="43">
        <v>1000</v>
      </c>
      <c r="E6164" s="43"/>
      <c r="F6164" s="48">
        <f t="shared" si="99"/>
        <v>24247</v>
      </c>
      <c r="G6164" s="43"/>
    </row>
    <row r="6165" spans="1:7" x14ac:dyDescent="0.3">
      <c r="A6165" s="45">
        <v>43565</v>
      </c>
      <c r="B6165" s="5" t="s">
        <v>88</v>
      </c>
      <c r="C6165" s="5" t="s">
        <v>4015</v>
      </c>
      <c r="D6165" s="43">
        <v>14000</v>
      </c>
      <c r="E6165" s="43"/>
      <c r="F6165" s="48">
        <f t="shared" si="99"/>
        <v>10247</v>
      </c>
      <c r="G6165" s="43"/>
    </row>
    <row r="6166" spans="1:7" x14ac:dyDescent="0.3">
      <c r="A6166" s="45">
        <v>43566</v>
      </c>
      <c r="B6166" s="5" t="s">
        <v>11</v>
      </c>
      <c r="C6166" s="5" t="s">
        <v>4840</v>
      </c>
      <c r="D6166" s="43">
        <v>2000</v>
      </c>
      <c r="E6166" s="43"/>
      <c r="F6166" s="48">
        <f t="shared" si="99"/>
        <v>8247</v>
      </c>
      <c r="G6166" s="43"/>
    </row>
    <row r="6167" spans="1:7" x14ac:dyDescent="0.3">
      <c r="A6167" s="45">
        <v>43566</v>
      </c>
      <c r="B6167" s="5" t="s">
        <v>88</v>
      </c>
      <c r="C6167" s="5" t="s">
        <v>4898</v>
      </c>
      <c r="D6167" s="43">
        <v>6000</v>
      </c>
      <c r="E6167" s="43"/>
      <c r="F6167" s="48">
        <f t="shared" si="99"/>
        <v>2247</v>
      </c>
      <c r="G6167" s="43"/>
    </row>
    <row r="6168" spans="1:7" x14ac:dyDescent="0.3">
      <c r="A6168" s="45">
        <v>43568</v>
      </c>
      <c r="B6168" s="5" t="s">
        <v>25</v>
      </c>
      <c r="C6168" s="5" t="s">
        <v>4358</v>
      </c>
      <c r="D6168" s="43">
        <v>1600</v>
      </c>
      <c r="E6168" s="43"/>
      <c r="F6168" s="48">
        <f t="shared" si="99"/>
        <v>647</v>
      </c>
      <c r="G6168" s="43"/>
    </row>
    <row r="6169" spans="1:7" x14ac:dyDescent="0.3">
      <c r="A6169" s="45">
        <v>43570</v>
      </c>
      <c r="B6169" s="756" t="s">
        <v>4364</v>
      </c>
      <c r="C6169" s="756"/>
      <c r="D6169" s="71"/>
      <c r="E6169" s="72">
        <v>52000</v>
      </c>
      <c r="F6169" s="48">
        <f t="shared" si="99"/>
        <v>52647</v>
      </c>
      <c r="G6169" s="43"/>
    </row>
    <row r="6170" spans="1:7" x14ac:dyDescent="0.3">
      <c r="A6170" s="45">
        <v>43568</v>
      </c>
      <c r="B6170" s="5" t="s">
        <v>84</v>
      </c>
      <c r="C6170" s="5" t="s">
        <v>4842</v>
      </c>
      <c r="D6170" s="43">
        <v>1000</v>
      </c>
      <c r="E6170" s="43"/>
      <c r="F6170" s="48">
        <f t="shared" si="99"/>
        <v>51647</v>
      </c>
      <c r="G6170" s="43"/>
    </row>
    <row r="6171" spans="1:7" x14ac:dyDescent="0.3">
      <c r="A6171" s="45">
        <v>43568</v>
      </c>
      <c r="B6171" s="5" t="s">
        <v>4843</v>
      </c>
      <c r="C6171" s="5" t="s">
        <v>4844</v>
      </c>
      <c r="D6171" s="43">
        <v>100</v>
      </c>
      <c r="E6171" s="43"/>
      <c r="F6171" s="48">
        <f t="shared" si="99"/>
        <v>51547</v>
      </c>
      <c r="G6171" s="43"/>
    </row>
    <row r="6172" spans="1:7" x14ac:dyDescent="0.3">
      <c r="A6172" s="45">
        <v>43570</v>
      </c>
      <c r="B6172" s="5" t="s">
        <v>16</v>
      </c>
      <c r="C6172" s="5" t="s">
        <v>294</v>
      </c>
      <c r="D6172" s="43">
        <v>250</v>
      </c>
      <c r="E6172" s="43"/>
      <c r="F6172" s="48">
        <f t="shared" si="99"/>
        <v>51297</v>
      </c>
      <c r="G6172" s="43"/>
    </row>
    <row r="6173" spans="1:7" x14ac:dyDescent="0.3">
      <c r="A6173" s="45">
        <v>43570</v>
      </c>
      <c r="B6173" s="5" t="s">
        <v>541</v>
      </c>
      <c r="C6173" s="5" t="s">
        <v>3591</v>
      </c>
      <c r="D6173" s="43">
        <v>5000</v>
      </c>
      <c r="E6173" s="43"/>
      <c r="F6173" s="48">
        <f t="shared" si="99"/>
        <v>46297</v>
      </c>
      <c r="G6173" s="43"/>
    </row>
    <row r="6174" spans="1:7" x14ac:dyDescent="0.3">
      <c r="A6174" s="45">
        <v>43570</v>
      </c>
      <c r="B6174" s="5" t="s">
        <v>3559</v>
      </c>
      <c r="C6174" s="5" t="s">
        <v>4845</v>
      </c>
      <c r="D6174" s="43">
        <v>17000</v>
      </c>
      <c r="E6174" s="43"/>
      <c r="F6174" s="48">
        <f t="shared" si="99"/>
        <v>29297</v>
      </c>
      <c r="G6174" s="43"/>
    </row>
    <row r="6175" spans="1:7" x14ac:dyDescent="0.3">
      <c r="A6175" s="45">
        <v>43571</v>
      </c>
      <c r="B6175" s="5" t="s">
        <v>16</v>
      </c>
      <c r="C6175" s="5" t="s">
        <v>294</v>
      </c>
      <c r="D6175" s="43">
        <v>2000</v>
      </c>
      <c r="E6175" s="43"/>
      <c r="F6175" s="48">
        <f t="shared" si="99"/>
        <v>27297</v>
      </c>
      <c r="G6175" s="43"/>
    </row>
    <row r="6176" spans="1:7" x14ac:dyDescent="0.3">
      <c r="A6176" s="45">
        <v>43571</v>
      </c>
      <c r="B6176" s="5" t="s">
        <v>1616</v>
      </c>
      <c r="C6176" s="5" t="s">
        <v>3703</v>
      </c>
      <c r="D6176" s="43">
        <v>1500</v>
      </c>
      <c r="E6176" s="43"/>
      <c r="F6176" s="48">
        <f t="shared" si="99"/>
        <v>25797</v>
      </c>
      <c r="G6176" s="43"/>
    </row>
    <row r="6177" spans="1:7" x14ac:dyDescent="0.3">
      <c r="A6177" s="45">
        <v>43571</v>
      </c>
      <c r="B6177" s="5" t="s">
        <v>1616</v>
      </c>
      <c r="C6177" s="5" t="s">
        <v>2435</v>
      </c>
      <c r="D6177" s="43">
        <v>520</v>
      </c>
      <c r="E6177" s="43"/>
      <c r="F6177" s="48">
        <f t="shared" si="99"/>
        <v>25277</v>
      </c>
      <c r="G6177" s="43"/>
    </row>
    <row r="6178" spans="1:7" x14ac:dyDescent="0.3">
      <c r="A6178" s="45">
        <v>43571</v>
      </c>
      <c r="B6178" s="5" t="s">
        <v>2948</v>
      </c>
      <c r="C6178" s="5" t="s">
        <v>4849</v>
      </c>
      <c r="D6178" s="43">
        <v>5000</v>
      </c>
      <c r="E6178" s="43"/>
      <c r="F6178" s="48">
        <f t="shared" si="99"/>
        <v>20277</v>
      </c>
      <c r="G6178" s="43"/>
    </row>
    <row r="6179" spans="1:7" x14ac:dyDescent="0.3">
      <c r="A6179" s="45">
        <v>43571</v>
      </c>
      <c r="B6179" s="5" t="s">
        <v>4638</v>
      </c>
      <c r="C6179" s="5" t="s">
        <v>4858</v>
      </c>
      <c r="D6179" s="43">
        <v>5000</v>
      </c>
      <c r="E6179" s="43"/>
      <c r="F6179" s="48">
        <f t="shared" si="99"/>
        <v>15277</v>
      </c>
      <c r="G6179" s="43"/>
    </row>
    <row r="6180" spans="1:7" x14ac:dyDescent="0.3">
      <c r="A6180" s="45">
        <v>43571</v>
      </c>
      <c r="B6180" s="5" t="s">
        <v>3825</v>
      </c>
      <c r="C6180" s="5" t="s">
        <v>4857</v>
      </c>
      <c r="D6180" s="43">
        <v>10000</v>
      </c>
      <c r="E6180" s="43"/>
      <c r="F6180" s="48">
        <f t="shared" si="99"/>
        <v>5277</v>
      </c>
      <c r="G6180" s="43"/>
    </row>
    <row r="6181" spans="1:7" x14ac:dyDescent="0.3">
      <c r="A6181" s="45">
        <v>43573</v>
      </c>
      <c r="B6181" s="5" t="s">
        <v>84</v>
      </c>
      <c r="C6181" s="5" t="s">
        <v>4855</v>
      </c>
      <c r="D6181" s="43">
        <v>2000</v>
      </c>
      <c r="E6181" s="43"/>
      <c r="F6181" s="48">
        <f t="shared" si="99"/>
        <v>3277</v>
      </c>
      <c r="G6181" s="43"/>
    </row>
    <row r="6182" spans="1:7" x14ac:dyDescent="0.3">
      <c r="A6182" s="45">
        <v>43573</v>
      </c>
      <c r="B6182" s="5" t="s">
        <v>25</v>
      </c>
      <c r="C6182" s="5" t="s">
        <v>4856</v>
      </c>
      <c r="D6182" s="43">
        <f>20+35+50+90+60+20+50+20+40+120+350+140+80+180+120+20+65+80+120+210+50+50+210+120+35+150+50+130+200</f>
        <v>2865</v>
      </c>
      <c r="E6182" s="43"/>
      <c r="F6182" s="48">
        <f t="shared" si="99"/>
        <v>412</v>
      </c>
      <c r="G6182" s="43"/>
    </row>
    <row r="6183" spans="1:7" x14ac:dyDescent="0.3">
      <c r="A6183" s="45">
        <v>43573</v>
      </c>
      <c r="B6183" s="358" t="s">
        <v>4862</v>
      </c>
      <c r="C6183" s="358"/>
      <c r="D6183" s="71"/>
      <c r="E6183" s="72">
        <v>100000</v>
      </c>
      <c r="F6183" s="48">
        <f t="shared" si="99"/>
        <v>100412</v>
      </c>
    </row>
    <row r="6184" spans="1:7" x14ac:dyDescent="0.3">
      <c r="A6184" s="45">
        <v>43573</v>
      </c>
      <c r="B6184" s="5" t="s">
        <v>25</v>
      </c>
      <c r="C6184" s="5" t="s">
        <v>4859</v>
      </c>
      <c r="D6184" s="43">
        <v>120</v>
      </c>
      <c r="E6184" s="43"/>
      <c r="F6184" s="48">
        <f t="shared" si="99"/>
        <v>100292</v>
      </c>
      <c r="G6184" s="249"/>
    </row>
    <row r="6185" spans="1:7" x14ac:dyDescent="0.3">
      <c r="A6185" s="45">
        <v>43573</v>
      </c>
      <c r="B6185" s="5" t="s">
        <v>4638</v>
      </c>
      <c r="C6185" s="5" t="s">
        <v>4860</v>
      </c>
      <c r="D6185" s="43">
        <v>17500</v>
      </c>
      <c r="E6185" s="43"/>
      <c r="F6185" s="48">
        <f t="shared" si="99"/>
        <v>82792</v>
      </c>
      <c r="G6185" s="249"/>
    </row>
    <row r="6186" spans="1:7" x14ac:dyDescent="0.3">
      <c r="A6186" s="45">
        <v>43573</v>
      </c>
      <c r="B6186" s="5" t="s">
        <v>4638</v>
      </c>
      <c r="C6186" s="5" t="s">
        <v>4861</v>
      </c>
      <c r="D6186" s="43">
        <v>25000</v>
      </c>
      <c r="E6186" s="43"/>
      <c r="F6186" s="48">
        <f t="shared" si="99"/>
        <v>57792</v>
      </c>
    </row>
    <row r="6187" spans="1:7" x14ac:dyDescent="0.3">
      <c r="A6187" s="45">
        <v>43573</v>
      </c>
      <c r="B6187" s="5" t="s">
        <v>4641</v>
      </c>
      <c r="C6187" s="5" t="s">
        <v>4864</v>
      </c>
      <c r="D6187" s="43">
        <v>30000</v>
      </c>
      <c r="E6187" s="43"/>
      <c r="F6187" s="48">
        <f t="shared" si="99"/>
        <v>27792</v>
      </c>
    </row>
    <row r="6188" spans="1:7" x14ac:dyDescent="0.3">
      <c r="A6188" s="45">
        <v>43573</v>
      </c>
      <c r="B6188" s="5" t="s">
        <v>84</v>
      </c>
      <c r="C6188" s="5" t="s">
        <v>4863</v>
      </c>
      <c r="D6188" s="43">
        <v>6000</v>
      </c>
      <c r="E6188" s="43"/>
      <c r="F6188" s="48">
        <f t="shared" si="99"/>
        <v>21792</v>
      </c>
    </row>
    <row r="6189" spans="1:7" x14ac:dyDescent="0.3">
      <c r="A6189" s="45">
        <v>43573</v>
      </c>
      <c r="B6189" s="5" t="s">
        <v>3559</v>
      </c>
      <c r="C6189" s="5" t="s">
        <v>4865</v>
      </c>
      <c r="D6189" s="43">
        <v>6620</v>
      </c>
      <c r="E6189" s="43"/>
      <c r="F6189" s="48">
        <f t="shared" si="99"/>
        <v>15172</v>
      </c>
    </row>
    <row r="6190" spans="1:7" x14ac:dyDescent="0.3">
      <c r="A6190" s="45">
        <v>43573</v>
      </c>
      <c r="B6190" s="5" t="s">
        <v>247</v>
      </c>
      <c r="C6190" s="5" t="s">
        <v>4866</v>
      </c>
      <c r="D6190" s="43">
        <v>270</v>
      </c>
      <c r="E6190" s="43"/>
      <c r="F6190" s="48">
        <f t="shared" si="99"/>
        <v>14902</v>
      </c>
    </row>
    <row r="6191" spans="1:7" x14ac:dyDescent="0.3">
      <c r="A6191" s="45">
        <v>43573</v>
      </c>
      <c r="B6191" s="358" t="s">
        <v>4878</v>
      </c>
      <c r="C6191" s="358"/>
      <c r="D6191" s="71"/>
      <c r="E6191" s="72">
        <v>5000</v>
      </c>
      <c r="F6191" s="48">
        <f t="shared" si="99"/>
        <v>19902</v>
      </c>
    </row>
    <row r="6192" spans="1:7" x14ac:dyDescent="0.3">
      <c r="A6192" s="45">
        <v>43574</v>
      </c>
      <c r="B6192" s="5" t="s">
        <v>84</v>
      </c>
      <c r="C6192" s="5" t="s">
        <v>4867</v>
      </c>
      <c r="D6192" s="43">
        <v>10000</v>
      </c>
      <c r="E6192" s="43"/>
      <c r="F6192" s="48">
        <f t="shared" si="99"/>
        <v>9902</v>
      </c>
    </row>
    <row r="6193" spans="1:6" x14ac:dyDescent="0.3">
      <c r="A6193" s="45">
        <v>43574</v>
      </c>
      <c r="B6193" s="5" t="s">
        <v>2984</v>
      </c>
      <c r="C6193" s="5" t="s">
        <v>4879</v>
      </c>
      <c r="D6193" s="43">
        <v>6000</v>
      </c>
      <c r="E6193" s="43"/>
      <c r="F6193" s="48">
        <f t="shared" si="99"/>
        <v>3902</v>
      </c>
    </row>
    <row r="6194" spans="1:6" x14ac:dyDescent="0.3">
      <c r="A6194" s="45">
        <v>43574</v>
      </c>
      <c r="B6194" s="5" t="s">
        <v>541</v>
      </c>
      <c r="C6194" s="5" t="s">
        <v>2435</v>
      </c>
      <c r="D6194" s="43">
        <v>600</v>
      </c>
      <c r="E6194" s="43"/>
      <c r="F6194" s="48">
        <f t="shared" si="99"/>
        <v>3302</v>
      </c>
    </row>
    <row r="6195" spans="1:6" x14ac:dyDescent="0.3">
      <c r="A6195" s="45">
        <v>43574</v>
      </c>
      <c r="B6195" s="5" t="s">
        <v>84</v>
      </c>
      <c r="C6195" s="5" t="s">
        <v>4868</v>
      </c>
      <c r="D6195" s="43">
        <v>1000</v>
      </c>
      <c r="E6195" s="43"/>
      <c r="F6195" s="48">
        <f t="shared" si="99"/>
        <v>2302</v>
      </c>
    </row>
    <row r="6196" spans="1:6" x14ac:dyDescent="0.3">
      <c r="A6196" s="45">
        <v>43577</v>
      </c>
      <c r="B6196" s="358" t="s">
        <v>4362</v>
      </c>
      <c r="C6196" s="358"/>
      <c r="D6196" s="71"/>
      <c r="E6196" s="72">
        <v>35000</v>
      </c>
      <c r="F6196" s="48">
        <f t="shared" si="99"/>
        <v>37302</v>
      </c>
    </row>
    <row r="6197" spans="1:6" x14ac:dyDescent="0.3">
      <c r="A6197" s="45">
        <v>43577</v>
      </c>
      <c r="B6197" s="5" t="s">
        <v>4869</v>
      </c>
      <c r="C6197" s="5" t="s">
        <v>4870</v>
      </c>
      <c r="D6197" s="43">
        <v>4200</v>
      </c>
      <c r="E6197" s="43"/>
      <c r="F6197" s="48">
        <f t="shared" si="99"/>
        <v>33102</v>
      </c>
    </row>
    <row r="6198" spans="1:6" x14ac:dyDescent="0.3">
      <c r="A6198" s="45">
        <v>43577</v>
      </c>
      <c r="B6198" s="5" t="s">
        <v>3734</v>
      </c>
      <c r="C6198" s="5" t="s">
        <v>4876</v>
      </c>
      <c r="D6198" s="43">
        <v>500</v>
      </c>
      <c r="E6198" s="43"/>
      <c r="F6198" s="48">
        <f t="shared" si="99"/>
        <v>32602</v>
      </c>
    </row>
    <row r="6199" spans="1:6" x14ac:dyDescent="0.3">
      <c r="A6199" s="45">
        <v>43577</v>
      </c>
      <c r="B6199" s="5" t="s">
        <v>541</v>
      </c>
      <c r="C6199" s="5" t="s">
        <v>3703</v>
      </c>
      <c r="D6199" s="43">
        <v>2500</v>
      </c>
      <c r="E6199" s="43"/>
      <c r="F6199" s="48">
        <f t="shared" si="99"/>
        <v>30102</v>
      </c>
    </row>
    <row r="6200" spans="1:6" x14ac:dyDescent="0.3">
      <c r="A6200" s="45">
        <v>43577</v>
      </c>
      <c r="B6200" s="358" t="s">
        <v>4880</v>
      </c>
      <c r="C6200" s="358"/>
      <c r="D6200" s="71"/>
      <c r="E6200" s="72">
        <v>1400</v>
      </c>
      <c r="F6200" s="48">
        <f t="shared" si="99"/>
        <v>31502</v>
      </c>
    </row>
    <row r="6201" spans="1:6" x14ac:dyDescent="0.3">
      <c r="A6201" s="45">
        <v>43577</v>
      </c>
      <c r="B6201" s="5" t="s">
        <v>2948</v>
      </c>
      <c r="C6201" s="5" t="s">
        <v>4882</v>
      </c>
      <c r="D6201" s="43">
        <v>26900</v>
      </c>
      <c r="E6201" s="43"/>
      <c r="F6201" s="48">
        <f t="shared" si="99"/>
        <v>4602</v>
      </c>
    </row>
    <row r="6202" spans="1:6" x14ac:dyDescent="0.3">
      <c r="A6202" s="45">
        <v>43577</v>
      </c>
      <c r="B6202" s="5" t="s">
        <v>25</v>
      </c>
      <c r="C6202" s="5" t="s">
        <v>65</v>
      </c>
      <c r="D6202" s="43">
        <v>120</v>
      </c>
      <c r="E6202" s="43"/>
      <c r="F6202" s="48">
        <f t="shared" si="99"/>
        <v>4482</v>
      </c>
    </row>
    <row r="6203" spans="1:6" x14ac:dyDescent="0.3">
      <c r="A6203" s="45">
        <v>43578</v>
      </c>
      <c r="B6203" s="358" t="s">
        <v>3444</v>
      </c>
      <c r="C6203" s="358"/>
      <c r="D6203" s="71"/>
      <c r="E6203" s="72">
        <v>100000</v>
      </c>
      <c r="F6203" s="48">
        <f t="shared" si="99"/>
        <v>104482</v>
      </c>
    </row>
    <row r="6204" spans="1:6" x14ac:dyDescent="0.3">
      <c r="A6204" s="45">
        <v>43578</v>
      </c>
      <c r="B6204" s="5" t="s">
        <v>541</v>
      </c>
      <c r="C6204" s="5" t="s">
        <v>4886</v>
      </c>
      <c r="D6204" s="43">
        <v>35000</v>
      </c>
      <c r="E6204" s="43"/>
      <c r="F6204" s="48">
        <f t="shared" si="99"/>
        <v>69482</v>
      </c>
    </row>
    <row r="6205" spans="1:6" x14ac:dyDescent="0.3">
      <c r="A6205" s="45">
        <v>43578</v>
      </c>
      <c r="B6205" s="5" t="s">
        <v>541</v>
      </c>
      <c r="C6205" s="5" t="s">
        <v>4887</v>
      </c>
      <c r="D6205" s="43">
        <f>44410+150</f>
        <v>44560</v>
      </c>
      <c r="E6205" s="43"/>
      <c r="F6205" s="48">
        <f t="shared" si="99"/>
        <v>24922</v>
      </c>
    </row>
    <row r="6206" spans="1:6" x14ac:dyDescent="0.3">
      <c r="A6206" s="45">
        <v>43578</v>
      </c>
      <c r="B6206" s="5" t="s">
        <v>541</v>
      </c>
      <c r="C6206" s="5" t="s">
        <v>4888</v>
      </c>
      <c r="D6206" s="43">
        <v>16580</v>
      </c>
      <c r="E6206" s="43"/>
      <c r="F6206" s="48">
        <f t="shared" si="99"/>
        <v>8342</v>
      </c>
    </row>
    <row r="6207" spans="1:6" x14ac:dyDescent="0.3">
      <c r="A6207" s="45">
        <v>43578</v>
      </c>
      <c r="B6207" s="5" t="s">
        <v>541</v>
      </c>
      <c r="C6207" s="5" t="s">
        <v>640</v>
      </c>
      <c r="D6207" s="43">
        <v>2500</v>
      </c>
      <c r="E6207" s="43"/>
      <c r="F6207" s="48">
        <f t="shared" si="99"/>
        <v>5842</v>
      </c>
    </row>
    <row r="6208" spans="1:6" x14ac:dyDescent="0.3">
      <c r="A6208" s="45">
        <v>43578</v>
      </c>
      <c r="B6208" s="5" t="s">
        <v>25</v>
      </c>
      <c r="C6208" s="5" t="s">
        <v>4889</v>
      </c>
      <c r="D6208" s="43">
        <f>160+50+100+170+50+10+20+160+70+20+150+70+50+30+20+50+70+70+80+110+40+50+10+100+250+400</f>
        <v>2360</v>
      </c>
      <c r="E6208" s="43"/>
      <c r="F6208" s="48">
        <f t="shared" si="99"/>
        <v>3482</v>
      </c>
    </row>
    <row r="6209" spans="1:6" x14ac:dyDescent="0.3">
      <c r="A6209" s="45">
        <v>43578</v>
      </c>
      <c r="B6209" s="358" t="s">
        <v>4364</v>
      </c>
      <c r="C6209" s="358"/>
      <c r="D6209" s="71"/>
      <c r="E6209" s="72">
        <v>30000</v>
      </c>
      <c r="F6209" s="48">
        <f t="shared" si="99"/>
        <v>33482</v>
      </c>
    </row>
    <row r="6210" spans="1:6" x14ac:dyDescent="0.3">
      <c r="A6210" s="45">
        <v>43578</v>
      </c>
      <c r="B6210" s="5" t="s">
        <v>0</v>
      </c>
      <c r="C6210" s="5" t="s">
        <v>4890</v>
      </c>
      <c r="D6210" s="43">
        <v>5000</v>
      </c>
      <c r="E6210" s="43"/>
      <c r="F6210" s="48">
        <f t="shared" si="99"/>
        <v>28482</v>
      </c>
    </row>
    <row r="6211" spans="1:6" x14ac:dyDescent="0.3">
      <c r="A6211" s="45">
        <v>43578</v>
      </c>
      <c r="B6211" s="5" t="s">
        <v>57</v>
      </c>
      <c r="C6211" s="5" t="s">
        <v>4893</v>
      </c>
      <c r="D6211" s="43">
        <v>22000</v>
      </c>
      <c r="E6211" s="43"/>
      <c r="F6211" s="48">
        <f t="shared" si="99"/>
        <v>6482</v>
      </c>
    </row>
    <row r="6212" spans="1:6" x14ac:dyDescent="0.3">
      <c r="A6212" s="45">
        <v>43578</v>
      </c>
      <c r="B6212" s="5" t="s">
        <v>14</v>
      </c>
      <c r="C6212" s="5" t="s">
        <v>294</v>
      </c>
      <c r="D6212" s="43">
        <v>3000</v>
      </c>
      <c r="E6212" s="43"/>
      <c r="F6212" s="48">
        <f t="shared" si="99"/>
        <v>3482</v>
      </c>
    </row>
    <row r="6213" spans="1:6" x14ac:dyDescent="0.3">
      <c r="A6213" s="45">
        <v>43580</v>
      </c>
      <c r="B6213" s="5" t="s">
        <v>88</v>
      </c>
      <c r="C6213" s="5" t="s">
        <v>4903</v>
      </c>
      <c r="D6213" s="43">
        <v>1000</v>
      </c>
      <c r="E6213" s="43"/>
      <c r="F6213" s="48">
        <f t="shared" si="99"/>
        <v>2482</v>
      </c>
    </row>
    <row r="6214" spans="1:6" x14ac:dyDescent="0.3">
      <c r="A6214" s="45">
        <v>43580</v>
      </c>
      <c r="B6214" s="358" t="s">
        <v>4899</v>
      </c>
      <c r="C6214" s="358"/>
      <c r="D6214" s="71"/>
      <c r="E6214" s="72">
        <v>344486</v>
      </c>
      <c r="F6214" s="48">
        <f t="shared" si="99"/>
        <v>346968</v>
      </c>
    </row>
    <row r="6215" spans="1:6" x14ac:dyDescent="0.3">
      <c r="A6215" s="45">
        <v>43580</v>
      </c>
      <c r="B6215" s="5" t="s">
        <v>88</v>
      </c>
      <c r="C6215" s="5" t="s">
        <v>4900</v>
      </c>
      <c r="D6215" s="43">
        <v>16000</v>
      </c>
      <c r="E6215" s="43"/>
      <c r="F6215" s="48">
        <f t="shared" si="99"/>
        <v>330968</v>
      </c>
    </row>
    <row r="6216" spans="1:6" x14ac:dyDescent="0.3">
      <c r="A6216" s="45">
        <v>43580</v>
      </c>
      <c r="B6216" s="5" t="s">
        <v>16</v>
      </c>
      <c r="C6216" s="5" t="s">
        <v>3910</v>
      </c>
      <c r="D6216" s="43">
        <v>5000</v>
      </c>
      <c r="E6216" s="43"/>
      <c r="F6216" s="48">
        <f t="shared" si="99"/>
        <v>325968</v>
      </c>
    </row>
    <row r="6217" spans="1:6" x14ac:dyDescent="0.3">
      <c r="A6217" s="45">
        <v>43580</v>
      </c>
      <c r="B6217" s="5" t="s">
        <v>4550</v>
      </c>
      <c r="C6217" s="5" t="s">
        <v>4902</v>
      </c>
      <c r="D6217" s="43">
        <v>25000</v>
      </c>
      <c r="E6217" s="43"/>
      <c r="F6217" s="48">
        <f t="shared" si="99"/>
        <v>300968</v>
      </c>
    </row>
    <row r="6218" spans="1:6" x14ac:dyDescent="0.3">
      <c r="A6218" s="45">
        <v>43580</v>
      </c>
      <c r="B6218" s="5" t="s">
        <v>100</v>
      </c>
      <c r="C6218" s="5" t="s">
        <v>4904</v>
      </c>
      <c r="D6218" s="43">
        <v>750</v>
      </c>
      <c r="E6218" s="43"/>
      <c r="F6218" s="48">
        <f t="shared" si="99"/>
        <v>300218</v>
      </c>
    </row>
    <row r="6219" spans="1:6" x14ac:dyDescent="0.3">
      <c r="A6219" s="45">
        <v>43580</v>
      </c>
      <c r="B6219" s="5" t="s">
        <v>100</v>
      </c>
      <c r="C6219" s="5" t="s">
        <v>4905</v>
      </c>
      <c r="D6219" s="43">
        <v>2000</v>
      </c>
      <c r="E6219" s="43"/>
      <c r="F6219" s="48">
        <f t="shared" si="99"/>
        <v>298218</v>
      </c>
    </row>
    <row r="6220" spans="1:6" x14ac:dyDescent="0.3">
      <c r="A6220" s="45">
        <v>43580</v>
      </c>
      <c r="B6220" s="5" t="s">
        <v>14</v>
      </c>
      <c r="C6220" s="5" t="s">
        <v>294</v>
      </c>
      <c r="D6220" s="43">
        <v>125000</v>
      </c>
      <c r="E6220" s="43"/>
      <c r="F6220" s="48">
        <f t="shared" si="99"/>
        <v>173218</v>
      </c>
    </row>
    <row r="6221" spans="1:6" x14ac:dyDescent="0.3">
      <c r="A6221" s="45">
        <v>43580</v>
      </c>
      <c r="B6221" s="5" t="s">
        <v>247</v>
      </c>
      <c r="C6221" s="5" t="s">
        <v>4751</v>
      </c>
      <c r="D6221" s="43">
        <v>2160</v>
      </c>
      <c r="E6221" s="43"/>
      <c r="F6221" s="48">
        <f t="shared" ref="F6221:F6255" si="100">F6220-D6221+E6221</f>
        <v>171058</v>
      </c>
    </row>
    <row r="6222" spans="1:6" x14ac:dyDescent="0.3">
      <c r="A6222" s="45">
        <v>43580</v>
      </c>
      <c r="B6222" s="5" t="s">
        <v>247</v>
      </c>
      <c r="C6222" s="5" t="s">
        <v>4751</v>
      </c>
      <c r="D6222" s="43">
        <v>540</v>
      </c>
      <c r="E6222" s="43"/>
      <c r="F6222" s="48">
        <f t="shared" si="100"/>
        <v>170518</v>
      </c>
    </row>
    <row r="6223" spans="1:6" x14ac:dyDescent="0.3">
      <c r="A6223" s="45">
        <v>43580</v>
      </c>
      <c r="B6223" s="5" t="s">
        <v>247</v>
      </c>
      <c r="C6223" s="5" t="s">
        <v>1624</v>
      </c>
      <c r="D6223" s="43">
        <v>100</v>
      </c>
      <c r="E6223" s="43"/>
      <c r="F6223" s="48">
        <f t="shared" si="100"/>
        <v>170418</v>
      </c>
    </row>
    <row r="6224" spans="1:6" x14ac:dyDescent="0.3">
      <c r="A6224" s="45">
        <v>43581</v>
      </c>
      <c r="B6224" s="5" t="s">
        <v>3559</v>
      </c>
      <c r="C6224" s="5" t="s">
        <v>4906</v>
      </c>
      <c r="D6224" s="43">
        <v>670</v>
      </c>
      <c r="E6224" s="43"/>
      <c r="F6224" s="48">
        <f t="shared" si="100"/>
        <v>169748</v>
      </c>
    </row>
    <row r="6225" spans="1:6" x14ac:dyDescent="0.3">
      <c r="A6225" s="45">
        <v>43581</v>
      </c>
      <c r="B6225" s="5" t="s">
        <v>3825</v>
      </c>
      <c r="C6225" s="5" t="s">
        <v>4907</v>
      </c>
      <c r="D6225" s="43">
        <v>20000</v>
      </c>
      <c r="E6225" s="43"/>
      <c r="F6225" s="48">
        <f t="shared" si="100"/>
        <v>149748</v>
      </c>
    </row>
    <row r="6226" spans="1:6" x14ac:dyDescent="0.3">
      <c r="A6226" s="45">
        <v>43582</v>
      </c>
      <c r="B6226" s="5" t="s">
        <v>0</v>
      </c>
      <c r="C6226" s="5" t="s">
        <v>3910</v>
      </c>
      <c r="D6226" s="43">
        <v>21000</v>
      </c>
      <c r="E6226" s="43"/>
      <c r="F6226" s="48">
        <f t="shared" si="100"/>
        <v>128748</v>
      </c>
    </row>
    <row r="6227" spans="1:6" x14ac:dyDescent="0.3">
      <c r="A6227" s="45">
        <v>43582</v>
      </c>
      <c r="B6227" s="5" t="s">
        <v>4550</v>
      </c>
      <c r="C6227" s="5" t="s">
        <v>3910</v>
      </c>
      <c r="D6227" s="43">
        <v>15000</v>
      </c>
      <c r="E6227" s="43"/>
      <c r="F6227" s="48">
        <f t="shared" si="100"/>
        <v>113748</v>
      </c>
    </row>
    <row r="6228" spans="1:6" x14ac:dyDescent="0.3">
      <c r="A6228" s="45">
        <v>43582</v>
      </c>
      <c r="B6228" s="5" t="s">
        <v>2346</v>
      </c>
      <c r="C6228" s="5" t="s">
        <v>4908</v>
      </c>
      <c r="D6228" s="43">
        <v>1000</v>
      </c>
      <c r="E6228" s="43"/>
      <c r="F6228" s="48">
        <f t="shared" si="100"/>
        <v>112748</v>
      </c>
    </row>
    <row r="6229" spans="1:6" x14ac:dyDescent="0.3">
      <c r="A6229" s="45">
        <v>43584</v>
      </c>
      <c r="B6229" s="5" t="s">
        <v>16</v>
      </c>
      <c r="C6229" s="5" t="s">
        <v>1530</v>
      </c>
      <c r="D6229" s="43">
        <v>3000</v>
      </c>
      <c r="E6229" s="43"/>
      <c r="F6229" s="48">
        <f t="shared" si="100"/>
        <v>109748</v>
      </c>
    </row>
    <row r="6230" spans="1:6" x14ac:dyDescent="0.3">
      <c r="A6230" s="45">
        <v>43584</v>
      </c>
      <c r="B6230" s="5" t="s">
        <v>84</v>
      </c>
      <c r="C6230" s="5" t="s">
        <v>4909</v>
      </c>
      <c r="D6230" s="43">
        <v>3000</v>
      </c>
      <c r="E6230" s="43"/>
      <c r="F6230" s="48">
        <f t="shared" si="100"/>
        <v>106748</v>
      </c>
    </row>
    <row r="6231" spans="1:6" x14ac:dyDescent="0.3">
      <c r="A6231" s="45">
        <v>43584</v>
      </c>
      <c r="B6231" s="5" t="s">
        <v>4910</v>
      </c>
      <c r="C6231" s="5" t="s">
        <v>4911</v>
      </c>
      <c r="D6231" s="43">
        <v>6000</v>
      </c>
      <c r="E6231" s="43"/>
      <c r="F6231" s="48">
        <f t="shared" si="100"/>
        <v>100748</v>
      </c>
    </row>
    <row r="6232" spans="1:6" x14ac:dyDescent="0.3">
      <c r="A6232" s="45">
        <v>43584</v>
      </c>
      <c r="B6232" s="5" t="s">
        <v>110</v>
      </c>
      <c r="C6232" s="5" t="s">
        <v>2311</v>
      </c>
      <c r="D6232" s="43">
        <v>8000</v>
      </c>
      <c r="E6232" s="43"/>
      <c r="F6232" s="48">
        <f t="shared" si="100"/>
        <v>92748</v>
      </c>
    </row>
    <row r="6233" spans="1:6" x14ac:dyDescent="0.3">
      <c r="A6233" s="45">
        <v>43584</v>
      </c>
      <c r="B6233" s="5" t="s">
        <v>110</v>
      </c>
      <c r="C6233" s="5" t="s">
        <v>640</v>
      </c>
      <c r="D6233" s="43">
        <v>2000</v>
      </c>
      <c r="E6233" s="43"/>
      <c r="F6233" s="48">
        <f t="shared" si="100"/>
        <v>90748</v>
      </c>
    </row>
    <row r="6234" spans="1:6" x14ac:dyDescent="0.3">
      <c r="A6234" s="45">
        <v>43584</v>
      </c>
      <c r="B6234" s="5" t="s">
        <v>2570</v>
      </c>
      <c r="C6234" s="5" t="s">
        <v>3568</v>
      </c>
      <c r="D6234" s="43">
        <v>210</v>
      </c>
      <c r="E6234" s="43"/>
      <c r="F6234" s="48">
        <f t="shared" si="100"/>
        <v>90538</v>
      </c>
    </row>
    <row r="6235" spans="1:6" x14ac:dyDescent="0.3">
      <c r="A6235" s="45">
        <v>43584</v>
      </c>
      <c r="B6235" s="5" t="s">
        <v>25</v>
      </c>
      <c r="C6235" s="5" t="s">
        <v>4912</v>
      </c>
      <c r="D6235" s="43">
        <f>370+50+100+20+30+20+100+170+70+40+40+330+50+180+50+30+40+50+270+50+40+140</f>
        <v>2240</v>
      </c>
      <c r="E6235" s="43"/>
      <c r="F6235" s="48">
        <f t="shared" si="100"/>
        <v>88298</v>
      </c>
    </row>
    <row r="6236" spans="1:6" x14ac:dyDescent="0.3">
      <c r="A6236" s="45">
        <v>43584</v>
      </c>
      <c r="B6236" s="5" t="s">
        <v>4742</v>
      </c>
      <c r="C6236" s="5" t="s">
        <v>4913</v>
      </c>
      <c r="D6236" s="43">
        <v>14000</v>
      </c>
      <c r="E6236" s="43"/>
      <c r="F6236" s="48">
        <f t="shared" si="100"/>
        <v>74298</v>
      </c>
    </row>
    <row r="6237" spans="1:6" x14ac:dyDescent="0.3">
      <c r="A6237" s="45">
        <v>43584</v>
      </c>
      <c r="B6237" s="5" t="s">
        <v>84</v>
      </c>
      <c r="C6237" s="5" t="s">
        <v>4914</v>
      </c>
      <c r="D6237" s="43">
        <v>5000</v>
      </c>
      <c r="E6237" s="43"/>
      <c r="F6237" s="48">
        <f t="shared" si="100"/>
        <v>69298</v>
      </c>
    </row>
    <row r="6238" spans="1:6" x14ac:dyDescent="0.3">
      <c r="A6238" s="45">
        <v>43584</v>
      </c>
      <c r="B6238" s="5" t="s">
        <v>4737</v>
      </c>
      <c r="C6238" s="5" t="s">
        <v>294</v>
      </c>
      <c r="D6238" s="43">
        <v>50000</v>
      </c>
      <c r="E6238" s="43"/>
      <c r="F6238" s="48">
        <f t="shared" si="100"/>
        <v>19298</v>
      </c>
    </row>
    <row r="6239" spans="1:6" x14ac:dyDescent="0.3">
      <c r="A6239" s="45">
        <v>43585</v>
      </c>
      <c r="B6239" s="358" t="s">
        <v>3444</v>
      </c>
      <c r="C6239" s="358"/>
      <c r="D6239" s="71"/>
      <c r="E6239" s="72">
        <v>50000</v>
      </c>
      <c r="F6239" s="48">
        <f t="shared" si="100"/>
        <v>69298</v>
      </c>
    </row>
    <row r="6240" spans="1:6" x14ac:dyDescent="0.3">
      <c r="A6240" s="45">
        <v>43585</v>
      </c>
      <c r="B6240" s="5" t="s">
        <v>4915</v>
      </c>
      <c r="C6240" s="5" t="s">
        <v>4916</v>
      </c>
      <c r="D6240" s="43">
        <v>20000</v>
      </c>
      <c r="E6240" s="43"/>
      <c r="F6240" s="48">
        <f t="shared" si="100"/>
        <v>49298</v>
      </c>
    </row>
    <row r="6241" spans="1:6" x14ac:dyDescent="0.3">
      <c r="A6241" s="45">
        <v>43585</v>
      </c>
      <c r="B6241" s="5" t="s">
        <v>4641</v>
      </c>
      <c r="C6241" s="5" t="s">
        <v>4917</v>
      </c>
      <c r="D6241" s="43">
        <v>5000</v>
      </c>
      <c r="E6241" s="43"/>
      <c r="F6241" s="48">
        <f t="shared" si="100"/>
        <v>44298</v>
      </c>
    </row>
    <row r="6242" spans="1:6" x14ac:dyDescent="0.3">
      <c r="A6242" s="45">
        <v>43585</v>
      </c>
      <c r="B6242" s="5" t="s">
        <v>0</v>
      </c>
      <c r="C6242" s="5" t="s">
        <v>294</v>
      </c>
      <c r="D6242" s="43">
        <v>20000</v>
      </c>
      <c r="E6242" s="43"/>
      <c r="F6242" s="48">
        <f t="shared" si="100"/>
        <v>24298</v>
      </c>
    </row>
    <row r="6243" spans="1:6" x14ac:dyDescent="0.3">
      <c r="A6243" s="45">
        <v>43585</v>
      </c>
      <c r="B6243" s="5" t="s">
        <v>11</v>
      </c>
      <c r="C6243" s="5" t="s">
        <v>2113</v>
      </c>
      <c r="D6243" s="43">
        <v>400</v>
      </c>
      <c r="E6243" s="43"/>
      <c r="F6243" s="48">
        <f t="shared" si="100"/>
        <v>23898</v>
      </c>
    </row>
    <row r="6244" spans="1:6" x14ac:dyDescent="0.3">
      <c r="A6244" s="45">
        <v>43585</v>
      </c>
      <c r="B6244" s="5" t="s">
        <v>4011</v>
      </c>
      <c r="C6244" s="5" t="s">
        <v>4918</v>
      </c>
      <c r="D6244" s="43">
        <v>150</v>
      </c>
      <c r="E6244" s="43"/>
      <c r="F6244" s="48">
        <f t="shared" si="100"/>
        <v>23748</v>
      </c>
    </row>
    <row r="6245" spans="1:6" x14ac:dyDescent="0.3">
      <c r="A6245" s="45">
        <v>43587</v>
      </c>
      <c r="B6245" s="5" t="s">
        <v>16</v>
      </c>
      <c r="C6245" s="5" t="s">
        <v>294</v>
      </c>
      <c r="D6245" s="43">
        <v>5000</v>
      </c>
      <c r="E6245" s="43"/>
      <c r="F6245" s="48">
        <f t="shared" si="100"/>
        <v>18748</v>
      </c>
    </row>
    <row r="6246" spans="1:6" x14ac:dyDescent="0.3">
      <c r="A6246" s="45">
        <v>43589</v>
      </c>
      <c r="B6246" s="358" t="s">
        <v>4862</v>
      </c>
      <c r="C6246" s="358"/>
      <c r="D6246" s="71"/>
      <c r="E6246" s="72">
        <v>100000</v>
      </c>
      <c r="F6246" s="48">
        <f t="shared" si="100"/>
        <v>118748</v>
      </c>
    </row>
    <row r="6247" spans="1:6" x14ac:dyDescent="0.3">
      <c r="A6247" s="45">
        <v>43589</v>
      </c>
      <c r="B6247" s="5" t="s">
        <v>4925</v>
      </c>
      <c r="C6247" s="5" t="s">
        <v>40</v>
      </c>
      <c r="D6247" s="168">
        <v>20000</v>
      </c>
      <c r="E6247" s="43"/>
      <c r="F6247" s="48">
        <f t="shared" si="100"/>
        <v>98748</v>
      </c>
    </row>
    <row r="6248" spans="1:6" x14ac:dyDescent="0.3">
      <c r="A6248" s="45">
        <v>43589</v>
      </c>
      <c r="B6248" s="5" t="s">
        <v>18</v>
      </c>
      <c r="C6248" s="5" t="s">
        <v>4927</v>
      </c>
      <c r="D6248" s="43">
        <v>15000</v>
      </c>
      <c r="E6248" s="43"/>
      <c r="F6248" s="48">
        <f t="shared" si="100"/>
        <v>83748</v>
      </c>
    </row>
    <row r="6249" spans="1:6" x14ac:dyDescent="0.3">
      <c r="A6249" s="45">
        <v>43589</v>
      </c>
      <c r="B6249" s="5" t="s">
        <v>4641</v>
      </c>
      <c r="C6249" s="5" t="s">
        <v>4928</v>
      </c>
      <c r="D6249" s="43">
        <v>35000</v>
      </c>
      <c r="E6249" s="43"/>
      <c r="F6249" s="48">
        <f t="shared" si="100"/>
        <v>48748</v>
      </c>
    </row>
    <row r="6250" spans="1:6" x14ac:dyDescent="0.3">
      <c r="A6250" s="45">
        <v>43589</v>
      </c>
      <c r="B6250" s="5" t="s">
        <v>4929</v>
      </c>
      <c r="C6250" s="5" t="s">
        <v>4930</v>
      </c>
      <c r="D6250" s="43">
        <v>31000</v>
      </c>
      <c r="E6250" s="43"/>
      <c r="F6250" s="48">
        <f t="shared" si="100"/>
        <v>17748</v>
      </c>
    </row>
    <row r="6251" spans="1:6" x14ac:dyDescent="0.3">
      <c r="A6251" s="45">
        <v>43589</v>
      </c>
      <c r="B6251" s="5" t="s">
        <v>57</v>
      </c>
      <c r="C6251" s="5" t="s">
        <v>4932</v>
      </c>
      <c r="D6251" s="43">
        <v>3000</v>
      </c>
      <c r="E6251" s="43"/>
      <c r="F6251" s="48">
        <f t="shared" si="100"/>
        <v>14748</v>
      </c>
    </row>
    <row r="6252" spans="1:6" x14ac:dyDescent="0.3">
      <c r="A6252" s="45">
        <v>43589</v>
      </c>
      <c r="B6252" s="5" t="s">
        <v>4869</v>
      </c>
      <c r="C6252" s="5" t="s">
        <v>40</v>
      </c>
      <c r="D6252" s="43">
        <v>4210</v>
      </c>
      <c r="E6252" s="43"/>
      <c r="F6252" s="48">
        <f t="shared" si="100"/>
        <v>10538</v>
      </c>
    </row>
    <row r="6253" spans="1:6" x14ac:dyDescent="0.3">
      <c r="A6253" s="45">
        <v>43589</v>
      </c>
      <c r="B6253" s="5" t="s">
        <v>4550</v>
      </c>
      <c r="C6253" s="5" t="s">
        <v>4330</v>
      </c>
      <c r="D6253" s="43">
        <v>5000</v>
      </c>
      <c r="E6253" s="43"/>
      <c r="F6253" s="48">
        <f t="shared" si="100"/>
        <v>5538</v>
      </c>
    </row>
    <row r="6254" spans="1:6" x14ac:dyDescent="0.3">
      <c r="A6254" s="45">
        <v>43589</v>
      </c>
      <c r="B6254" s="5" t="s">
        <v>25</v>
      </c>
      <c r="C6254" s="5" t="s">
        <v>4931</v>
      </c>
      <c r="D6254" s="43">
        <v>220</v>
      </c>
      <c r="E6254" s="43"/>
      <c r="F6254" s="48">
        <f t="shared" si="100"/>
        <v>5318</v>
      </c>
    </row>
    <row r="6255" spans="1:6" x14ac:dyDescent="0.3">
      <c r="A6255" s="45">
        <v>43589</v>
      </c>
      <c r="B6255" s="5" t="s">
        <v>25</v>
      </c>
      <c r="C6255" s="5" t="s">
        <v>4933</v>
      </c>
      <c r="D6255" s="43">
        <v>180</v>
      </c>
      <c r="E6255" s="43"/>
      <c r="F6255" s="48">
        <f t="shared" si="100"/>
        <v>5138</v>
      </c>
    </row>
    <row r="6256" spans="1:6" x14ac:dyDescent="0.3">
      <c r="A6256" s="45">
        <v>43591</v>
      </c>
      <c r="B6256" s="358" t="s">
        <v>4934</v>
      </c>
      <c r="C6256" s="358"/>
      <c r="D6256" s="71"/>
      <c r="E6256" s="72">
        <v>20000</v>
      </c>
      <c r="F6256" s="48">
        <f>F6255-D6256+E6256</f>
        <v>25138</v>
      </c>
    </row>
    <row r="6257" spans="1:6" x14ac:dyDescent="0.3">
      <c r="A6257" s="45">
        <v>43591</v>
      </c>
      <c r="B6257" s="5" t="s">
        <v>4935</v>
      </c>
      <c r="C6257" s="5" t="s">
        <v>4937</v>
      </c>
      <c r="D6257" s="43">
        <v>11100</v>
      </c>
      <c r="E6257" s="43"/>
      <c r="F6257" s="48">
        <f>F6256-D6257+E6257</f>
        <v>14038</v>
      </c>
    </row>
    <row r="6258" spans="1:6" x14ac:dyDescent="0.3">
      <c r="A6258" s="45">
        <v>43591</v>
      </c>
      <c r="B6258" s="5" t="s">
        <v>25</v>
      </c>
      <c r="C6258" s="5" t="s">
        <v>4938</v>
      </c>
      <c r="D6258" s="43">
        <v>5000</v>
      </c>
      <c r="E6258" s="43"/>
      <c r="F6258" s="48">
        <f>F6257-D6258+E6258</f>
        <v>9038</v>
      </c>
    </row>
    <row r="6259" spans="1:6" x14ac:dyDescent="0.3">
      <c r="A6259" s="45">
        <v>43591</v>
      </c>
      <c r="B6259" s="5" t="s">
        <v>1787</v>
      </c>
      <c r="C6259" s="5" t="s">
        <v>4939</v>
      </c>
      <c r="D6259" s="43">
        <v>900</v>
      </c>
      <c r="E6259" s="43"/>
      <c r="F6259" s="48">
        <f>F6258-D6259+E6259</f>
        <v>8138</v>
      </c>
    </row>
    <row r="6260" spans="1:6" x14ac:dyDescent="0.3">
      <c r="A6260" s="45">
        <v>43591</v>
      </c>
      <c r="B6260" s="5" t="s">
        <v>2674</v>
      </c>
      <c r="C6260" s="5" t="s">
        <v>4940</v>
      </c>
      <c r="D6260" s="43">
        <v>1500</v>
      </c>
      <c r="E6260" s="43"/>
      <c r="F6260" s="48">
        <f>F6259-D6260+E6260</f>
        <v>6638</v>
      </c>
    </row>
    <row r="6261" spans="1:6" x14ac:dyDescent="0.3">
      <c r="A6261" s="45">
        <v>43591</v>
      </c>
      <c r="B6261" s="358" t="s">
        <v>3444</v>
      </c>
      <c r="C6261" s="358"/>
      <c r="D6261" s="71"/>
      <c r="E6261" s="72">
        <v>50000</v>
      </c>
      <c r="F6261" s="48">
        <f t="shared" ref="F6261:F6279" si="101">F6260-D6261+E6261</f>
        <v>56638</v>
      </c>
    </row>
    <row r="6262" spans="1:6" x14ac:dyDescent="0.3">
      <c r="A6262" s="45">
        <v>43591</v>
      </c>
      <c r="B6262" s="5" t="s">
        <v>4039</v>
      </c>
      <c r="C6262" s="5" t="s">
        <v>4943</v>
      </c>
      <c r="D6262" s="43">
        <v>3735</v>
      </c>
      <c r="E6262" s="43"/>
      <c r="F6262" s="48">
        <f t="shared" si="101"/>
        <v>52903</v>
      </c>
    </row>
    <row r="6263" spans="1:6" x14ac:dyDescent="0.3">
      <c r="A6263" s="45">
        <v>43592</v>
      </c>
      <c r="B6263" s="5" t="s">
        <v>1679</v>
      </c>
      <c r="C6263" s="5" t="s">
        <v>4944</v>
      </c>
      <c r="D6263" s="43">
        <v>2000</v>
      </c>
      <c r="E6263" s="43"/>
      <c r="F6263" s="48">
        <f t="shared" si="101"/>
        <v>50903</v>
      </c>
    </row>
    <row r="6264" spans="1:6" x14ac:dyDescent="0.3">
      <c r="A6264" s="45">
        <v>43592</v>
      </c>
      <c r="B6264" s="5" t="s">
        <v>1458</v>
      </c>
      <c r="C6264" s="5" t="s">
        <v>4834</v>
      </c>
      <c r="D6264" s="43">
        <v>1000</v>
      </c>
      <c r="E6264" s="43"/>
      <c r="F6264" s="48">
        <f t="shared" si="101"/>
        <v>49903</v>
      </c>
    </row>
    <row r="6265" spans="1:6" x14ac:dyDescent="0.3">
      <c r="A6265" s="45">
        <v>43592</v>
      </c>
      <c r="B6265" s="5" t="s">
        <v>25</v>
      </c>
      <c r="C6265" s="5" t="s">
        <v>4945</v>
      </c>
      <c r="D6265" s="43">
        <f>70+50+200+50+20+50+200+35+240+50+100+100+150+200</f>
        <v>1515</v>
      </c>
      <c r="E6265" s="43"/>
      <c r="F6265" s="48">
        <f t="shared" si="101"/>
        <v>48388</v>
      </c>
    </row>
    <row r="6266" spans="1:6" x14ac:dyDescent="0.3">
      <c r="A6266" s="45">
        <v>43593</v>
      </c>
      <c r="B6266" s="5" t="s">
        <v>4946</v>
      </c>
      <c r="C6266" s="5" t="s">
        <v>4947</v>
      </c>
      <c r="D6266" s="43">
        <v>550</v>
      </c>
      <c r="E6266" s="43"/>
      <c r="F6266" s="48">
        <f t="shared" si="101"/>
        <v>47838</v>
      </c>
    </row>
    <row r="6267" spans="1:6" x14ac:dyDescent="0.3">
      <c r="A6267" s="45">
        <v>43593</v>
      </c>
      <c r="B6267" s="5" t="s">
        <v>93</v>
      </c>
      <c r="C6267" s="5" t="s">
        <v>5461</v>
      </c>
      <c r="D6267" s="43">
        <v>10000</v>
      </c>
      <c r="E6267" s="43"/>
      <c r="F6267" s="48">
        <f t="shared" si="101"/>
        <v>37838</v>
      </c>
    </row>
    <row r="6268" spans="1:6" x14ac:dyDescent="0.3">
      <c r="A6268" s="45">
        <v>43593</v>
      </c>
      <c r="B6268" s="5" t="s">
        <v>1410</v>
      </c>
      <c r="C6268" s="5" t="s">
        <v>4786</v>
      </c>
      <c r="D6268" s="43">
        <v>8000</v>
      </c>
      <c r="E6268" s="43"/>
      <c r="F6268" s="48">
        <f t="shared" si="101"/>
        <v>29838</v>
      </c>
    </row>
    <row r="6269" spans="1:6" x14ac:dyDescent="0.3">
      <c r="A6269" s="45">
        <v>43593</v>
      </c>
      <c r="B6269" s="5" t="s">
        <v>0</v>
      </c>
      <c r="C6269" s="5" t="s">
        <v>4948</v>
      </c>
      <c r="D6269" s="43">
        <v>100</v>
      </c>
      <c r="E6269" s="43"/>
      <c r="F6269" s="48">
        <f t="shared" si="101"/>
        <v>29738</v>
      </c>
    </row>
    <row r="6270" spans="1:6" x14ac:dyDescent="0.3">
      <c r="A6270" s="45">
        <v>43593</v>
      </c>
      <c r="B6270" s="5" t="s">
        <v>3546</v>
      </c>
      <c r="C6270" s="5" t="s">
        <v>4949</v>
      </c>
      <c r="D6270" s="43">
        <v>25500</v>
      </c>
      <c r="E6270" s="43"/>
      <c r="F6270" s="48">
        <f t="shared" si="101"/>
        <v>4238</v>
      </c>
    </row>
    <row r="6271" spans="1:6" x14ac:dyDescent="0.3">
      <c r="A6271" s="45">
        <v>43594</v>
      </c>
      <c r="B6271" s="5" t="s">
        <v>2948</v>
      </c>
      <c r="C6271" s="5" t="s">
        <v>4952</v>
      </c>
      <c r="D6271" s="43">
        <v>3000</v>
      </c>
      <c r="E6271" s="43"/>
      <c r="F6271" s="48">
        <f t="shared" si="101"/>
        <v>1238</v>
      </c>
    </row>
    <row r="6272" spans="1:6" x14ac:dyDescent="0.3">
      <c r="A6272" s="45">
        <v>43594</v>
      </c>
      <c r="B6272" s="358" t="s">
        <v>3444</v>
      </c>
      <c r="C6272" s="358"/>
      <c r="D6272" s="71"/>
      <c r="E6272" s="72">
        <v>50000</v>
      </c>
      <c r="F6272" s="48">
        <f t="shared" si="101"/>
        <v>51238</v>
      </c>
    </row>
    <row r="6273" spans="1:6" x14ac:dyDescent="0.3">
      <c r="A6273" s="45">
        <v>43594</v>
      </c>
      <c r="B6273" s="5" t="s">
        <v>3825</v>
      </c>
      <c r="C6273" s="5" t="s">
        <v>4953</v>
      </c>
      <c r="D6273" s="43">
        <v>1000</v>
      </c>
      <c r="E6273" s="43"/>
      <c r="F6273" s="48">
        <f t="shared" si="101"/>
        <v>50238</v>
      </c>
    </row>
    <row r="6274" spans="1:6" x14ac:dyDescent="0.3">
      <c r="A6274" s="45">
        <v>43594</v>
      </c>
      <c r="B6274" s="5" t="s">
        <v>0</v>
      </c>
      <c r="C6274" s="5" t="s">
        <v>4954</v>
      </c>
      <c r="D6274" s="43">
        <v>9000</v>
      </c>
      <c r="E6274" s="43"/>
      <c r="F6274" s="48">
        <f t="shared" si="101"/>
        <v>41238</v>
      </c>
    </row>
    <row r="6275" spans="1:6" x14ac:dyDescent="0.3">
      <c r="A6275" s="45">
        <v>43594</v>
      </c>
      <c r="B6275" s="5" t="s">
        <v>54</v>
      </c>
      <c r="C6275" s="5" t="s">
        <v>4955</v>
      </c>
      <c r="D6275" s="43">
        <v>10000</v>
      </c>
      <c r="E6275" s="43"/>
      <c r="F6275" s="48">
        <f t="shared" si="101"/>
        <v>31238</v>
      </c>
    </row>
    <row r="6276" spans="1:6" x14ac:dyDescent="0.3">
      <c r="A6276" s="45">
        <v>43594</v>
      </c>
      <c r="B6276" s="5" t="s">
        <v>54</v>
      </c>
      <c r="C6276" s="5" t="s">
        <v>4956</v>
      </c>
      <c r="D6276" s="43">
        <v>9942</v>
      </c>
      <c r="E6276" s="43"/>
      <c r="F6276" s="48">
        <f t="shared" si="101"/>
        <v>21296</v>
      </c>
    </row>
    <row r="6277" spans="1:6" x14ac:dyDescent="0.3">
      <c r="A6277" s="45">
        <v>43594</v>
      </c>
      <c r="B6277" s="5" t="s">
        <v>54</v>
      </c>
      <c r="C6277" s="5" t="s">
        <v>4957</v>
      </c>
      <c r="D6277" s="43">
        <v>9740</v>
      </c>
      <c r="E6277" s="43"/>
      <c r="F6277" s="48">
        <f t="shared" si="101"/>
        <v>11556</v>
      </c>
    </row>
    <row r="6278" spans="1:6" x14ac:dyDescent="0.3">
      <c r="A6278" s="45">
        <v>43594</v>
      </c>
      <c r="B6278" s="5" t="s">
        <v>0</v>
      </c>
      <c r="C6278" s="5" t="s">
        <v>4958</v>
      </c>
      <c r="D6278" s="43">
        <v>2000</v>
      </c>
      <c r="E6278" s="43"/>
      <c r="F6278" s="48">
        <f t="shared" si="101"/>
        <v>9556</v>
      </c>
    </row>
    <row r="6279" spans="1:6" x14ac:dyDescent="0.3">
      <c r="A6279" s="45">
        <v>43595</v>
      </c>
      <c r="B6279" s="5" t="s">
        <v>3734</v>
      </c>
      <c r="C6279" s="5" t="s">
        <v>4876</v>
      </c>
      <c r="D6279" s="43">
        <v>750</v>
      </c>
      <c r="E6279" s="43"/>
      <c r="F6279" s="48">
        <f t="shared" si="101"/>
        <v>8806</v>
      </c>
    </row>
    <row r="6280" spans="1:6" x14ac:dyDescent="0.3">
      <c r="A6280" s="45">
        <v>43596</v>
      </c>
      <c r="B6280" s="358" t="s">
        <v>3444</v>
      </c>
      <c r="C6280" s="358"/>
      <c r="D6280" s="71"/>
      <c r="E6280" s="72">
        <v>100000</v>
      </c>
      <c r="F6280" s="48">
        <f>F6279-D6280+E6280</f>
        <v>108806</v>
      </c>
    </row>
    <row r="6281" spans="1:6" x14ac:dyDescent="0.3">
      <c r="A6281" s="45">
        <v>43596</v>
      </c>
      <c r="B6281" s="5" t="s">
        <v>0</v>
      </c>
      <c r="C6281" s="5" t="s">
        <v>4591</v>
      </c>
      <c r="D6281" s="43">
        <v>40000</v>
      </c>
      <c r="E6281" s="43"/>
      <c r="F6281" s="48">
        <f>F6280-D6281+E6281</f>
        <v>68806</v>
      </c>
    </row>
    <row r="6282" spans="1:6" x14ac:dyDescent="0.3">
      <c r="A6282" s="45">
        <v>43596</v>
      </c>
      <c r="B6282" s="5" t="s">
        <v>84</v>
      </c>
      <c r="C6282" s="5" t="s">
        <v>4959</v>
      </c>
      <c r="D6282" s="43">
        <v>10000</v>
      </c>
      <c r="E6282" s="43"/>
      <c r="F6282" s="48">
        <f>F6281-D6282+E6282</f>
        <v>58806</v>
      </c>
    </row>
    <row r="6283" spans="1:6" x14ac:dyDescent="0.3">
      <c r="A6283" s="45">
        <v>43596</v>
      </c>
      <c r="B6283" s="5" t="s">
        <v>10</v>
      </c>
      <c r="C6283" s="5" t="s">
        <v>4960</v>
      </c>
      <c r="D6283" s="43">
        <v>5000</v>
      </c>
      <c r="E6283" s="43"/>
      <c r="F6283" s="48">
        <f>F6282-D6283+E6283</f>
        <v>53806</v>
      </c>
    </row>
    <row r="6284" spans="1:6" x14ac:dyDescent="0.3">
      <c r="A6284" s="45">
        <v>43596</v>
      </c>
      <c r="B6284" s="5" t="s">
        <v>84</v>
      </c>
      <c r="C6284" s="5" t="s">
        <v>4961</v>
      </c>
      <c r="D6284" s="43">
        <v>3000</v>
      </c>
      <c r="E6284" s="43"/>
      <c r="F6284" s="48">
        <f t="shared" ref="F6284:F6347" si="102">F6283-D6284+E6284</f>
        <v>50806</v>
      </c>
    </row>
    <row r="6285" spans="1:6" x14ac:dyDescent="0.3">
      <c r="A6285" s="45">
        <v>43598</v>
      </c>
      <c r="B6285" s="5" t="s">
        <v>4641</v>
      </c>
      <c r="C6285" s="5" t="s">
        <v>4962</v>
      </c>
      <c r="D6285" s="43">
        <v>500</v>
      </c>
      <c r="E6285" s="43"/>
      <c r="F6285" s="48">
        <f t="shared" si="102"/>
        <v>50306</v>
      </c>
    </row>
    <row r="6286" spans="1:6" x14ac:dyDescent="0.3">
      <c r="A6286" s="45">
        <v>43598</v>
      </c>
      <c r="B6286" s="5" t="s">
        <v>4964</v>
      </c>
      <c r="C6286" s="5" t="s">
        <v>4965</v>
      </c>
      <c r="D6286" s="43">
        <v>5000</v>
      </c>
      <c r="E6286" s="43"/>
      <c r="F6286" s="48">
        <f t="shared" si="102"/>
        <v>45306</v>
      </c>
    </row>
    <row r="6287" spans="1:6" x14ac:dyDescent="0.3">
      <c r="A6287" s="45">
        <v>43598</v>
      </c>
      <c r="B6287" s="5" t="s">
        <v>247</v>
      </c>
      <c r="C6287" s="5" t="s">
        <v>2013</v>
      </c>
      <c r="D6287" s="43">
        <v>100</v>
      </c>
      <c r="E6287" s="43"/>
      <c r="F6287" s="48">
        <f t="shared" si="102"/>
        <v>45206</v>
      </c>
    </row>
    <row r="6288" spans="1:6" x14ac:dyDescent="0.3">
      <c r="A6288" s="45">
        <v>43598</v>
      </c>
      <c r="B6288" s="5" t="s">
        <v>84</v>
      </c>
      <c r="C6288" s="41" t="s">
        <v>4966</v>
      </c>
      <c r="D6288" s="43">
        <v>3000</v>
      </c>
      <c r="E6288" s="43"/>
      <c r="F6288" s="48">
        <f t="shared" si="102"/>
        <v>42206</v>
      </c>
    </row>
    <row r="6289" spans="1:6" x14ac:dyDescent="0.3">
      <c r="A6289" s="45">
        <v>43598</v>
      </c>
      <c r="B6289" s="5" t="s">
        <v>84</v>
      </c>
      <c r="C6289" s="5" t="s">
        <v>4967</v>
      </c>
      <c r="D6289" s="43">
        <v>2000</v>
      </c>
      <c r="E6289" s="43"/>
      <c r="F6289" s="48">
        <f t="shared" si="102"/>
        <v>40206</v>
      </c>
    </row>
    <row r="6290" spans="1:6" x14ac:dyDescent="0.3">
      <c r="A6290" s="45">
        <v>43598</v>
      </c>
      <c r="B6290" s="5" t="s">
        <v>2263</v>
      </c>
      <c r="C6290" s="5" t="s">
        <v>4968</v>
      </c>
      <c r="D6290" s="43">
        <v>300</v>
      </c>
      <c r="E6290" s="43"/>
      <c r="F6290" s="48">
        <f t="shared" si="102"/>
        <v>39906</v>
      </c>
    </row>
    <row r="6291" spans="1:6" x14ac:dyDescent="0.3">
      <c r="A6291" s="45">
        <v>43598</v>
      </c>
      <c r="B6291" s="5" t="s">
        <v>0</v>
      </c>
      <c r="C6291" s="5" t="s">
        <v>4591</v>
      </c>
      <c r="D6291" s="43">
        <v>10000</v>
      </c>
      <c r="E6291" s="43"/>
      <c r="F6291" s="48">
        <f t="shared" si="102"/>
        <v>29906</v>
      </c>
    </row>
    <row r="6292" spans="1:6" x14ac:dyDescent="0.3">
      <c r="A6292" s="45">
        <v>43598</v>
      </c>
      <c r="B6292" s="5" t="s">
        <v>2948</v>
      </c>
      <c r="C6292" s="5" t="s">
        <v>4969</v>
      </c>
      <c r="D6292" s="43">
        <v>8000</v>
      </c>
      <c r="E6292" s="43"/>
      <c r="F6292" s="48">
        <f t="shared" si="102"/>
        <v>21906</v>
      </c>
    </row>
    <row r="6293" spans="1:6" x14ac:dyDescent="0.3">
      <c r="A6293" s="45">
        <v>43598</v>
      </c>
      <c r="B6293" s="5" t="s">
        <v>84</v>
      </c>
      <c r="C6293" s="5" t="s">
        <v>4970</v>
      </c>
      <c r="D6293" s="43">
        <v>1000</v>
      </c>
      <c r="E6293" s="43"/>
      <c r="F6293" s="48">
        <f t="shared" si="102"/>
        <v>20906</v>
      </c>
    </row>
    <row r="6294" spans="1:6" x14ac:dyDescent="0.3">
      <c r="A6294" s="45">
        <v>43599</v>
      </c>
      <c r="B6294" s="5" t="s">
        <v>4971</v>
      </c>
      <c r="C6294" s="5" t="s">
        <v>4972</v>
      </c>
      <c r="D6294" s="43">
        <v>1200</v>
      </c>
      <c r="E6294" s="43"/>
      <c r="F6294" s="48">
        <f t="shared" si="102"/>
        <v>19706</v>
      </c>
    </row>
    <row r="6295" spans="1:6" x14ac:dyDescent="0.3">
      <c r="A6295" s="45">
        <v>43599</v>
      </c>
      <c r="B6295" s="5" t="s">
        <v>57</v>
      </c>
      <c r="C6295" s="5" t="s">
        <v>4973</v>
      </c>
      <c r="D6295" s="43">
        <v>300</v>
      </c>
      <c r="E6295" s="43"/>
      <c r="F6295" s="48">
        <f t="shared" si="102"/>
        <v>19406</v>
      </c>
    </row>
    <row r="6296" spans="1:6" x14ac:dyDescent="0.3">
      <c r="A6296" s="45">
        <v>43599</v>
      </c>
      <c r="B6296" s="358" t="s">
        <v>4974</v>
      </c>
      <c r="C6296" s="358"/>
      <c r="D6296" s="71"/>
      <c r="E6296" s="72">
        <v>300000</v>
      </c>
      <c r="F6296" s="48">
        <f t="shared" si="102"/>
        <v>319406</v>
      </c>
    </row>
    <row r="6297" spans="1:6" x14ac:dyDescent="0.3">
      <c r="A6297" s="45">
        <v>43599</v>
      </c>
      <c r="B6297" s="5" t="s">
        <v>3005</v>
      </c>
      <c r="C6297" s="5" t="s">
        <v>4975</v>
      </c>
      <c r="D6297" s="43">
        <v>50000</v>
      </c>
      <c r="E6297" s="43"/>
      <c r="F6297" s="48">
        <f t="shared" si="102"/>
        <v>269406</v>
      </c>
    </row>
    <row r="6298" spans="1:6" x14ac:dyDescent="0.3">
      <c r="A6298" s="45">
        <v>43600</v>
      </c>
      <c r="B6298" s="5" t="s">
        <v>25</v>
      </c>
      <c r="C6298" s="5" t="s">
        <v>4976</v>
      </c>
      <c r="D6298" s="43">
        <v>150</v>
      </c>
      <c r="E6298" s="43"/>
      <c r="F6298" s="48">
        <f t="shared" si="102"/>
        <v>269256</v>
      </c>
    </row>
    <row r="6299" spans="1:6" x14ac:dyDescent="0.3">
      <c r="A6299" s="45">
        <v>43600</v>
      </c>
      <c r="B6299" s="5" t="s">
        <v>59</v>
      </c>
      <c r="C6299" s="5" t="s">
        <v>4977</v>
      </c>
      <c r="D6299" s="43">
        <v>2000</v>
      </c>
      <c r="E6299" s="43"/>
      <c r="F6299" s="48">
        <f t="shared" si="102"/>
        <v>267256</v>
      </c>
    </row>
    <row r="6300" spans="1:6" x14ac:dyDescent="0.3">
      <c r="A6300" s="45">
        <v>43600</v>
      </c>
      <c r="B6300" s="5" t="s">
        <v>3825</v>
      </c>
      <c r="C6300" s="5" t="s">
        <v>4187</v>
      </c>
      <c r="D6300" s="43">
        <v>3000</v>
      </c>
      <c r="E6300" s="43"/>
      <c r="F6300" s="48">
        <f t="shared" si="102"/>
        <v>264256</v>
      </c>
    </row>
    <row r="6301" spans="1:6" x14ac:dyDescent="0.3">
      <c r="A6301" s="45">
        <v>43600</v>
      </c>
      <c r="B6301" s="5" t="s">
        <v>84</v>
      </c>
      <c r="C6301" s="5" t="s">
        <v>4978</v>
      </c>
      <c r="D6301" s="43">
        <v>2000</v>
      </c>
      <c r="E6301" s="43"/>
      <c r="F6301" s="48">
        <f t="shared" si="102"/>
        <v>262256</v>
      </c>
    </row>
    <row r="6302" spans="1:6" x14ac:dyDescent="0.3">
      <c r="A6302" s="45">
        <v>43600</v>
      </c>
      <c r="B6302" s="5" t="s">
        <v>84</v>
      </c>
      <c r="C6302" s="5" t="s">
        <v>4979</v>
      </c>
      <c r="D6302" s="43">
        <v>10000</v>
      </c>
      <c r="E6302" s="43"/>
      <c r="F6302" s="48">
        <f t="shared" si="102"/>
        <v>252256</v>
      </c>
    </row>
    <row r="6303" spans="1:6" x14ac:dyDescent="0.3">
      <c r="A6303" s="45">
        <v>43600</v>
      </c>
      <c r="B6303" s="5" t="s">
        <v>4550</v>
      </c>
      <c r="C6303" s="5" t="s">
        <v>4980</v>
      </c>
      <c r="D6303" s="43">
        <v>51400</v>
      </c>
      <c r="E6303" s="43"/>
      <c r="F6303" s="48">
        <f t="shared" si="102"/>
        <v>200856</v>
      </c>
    </row>
    <row r="6304" spans="1:6" x14ac:dyDescent="0.3">
      <c r="A6304" s="45">
        <v>43600</v>
      </c>
      <c r="B6304" s="5" t="s">
        <v>4550</v>
      </c>
      <c r="C6304" s="5" t="s">
        <v>4319</v>
      </c>
      <c r="D6304" s="43">
        <v>10000</v>
      </c>
      <c r="E6304" s="43"/>
      <c r="F6304" s="48">
        <f t="shared" si="102"/>
        <v>190856</v>
      </c>
    </row>
    <row r="6305" spans="1:6" x14ac:dyDescent="0.3">
      <c r="A6305" s="45">
        <v>43600</v>
      </c>
      <c r="B6305" s="5" t="s">
        <v>4981</v>
      </c>
      <c r="C6305" s="5" t="s">
        <v>4982</v>
      </c>
      <c r="D6305" s="43">
        <v>5000</v>
      </c>
      <c r="E6305" s="43"/>
      <c r="F6305" s="48">
        <f t="shared" si="102"/>
        <v>185856</v>
      </c>
    </row>
    <row r="6306" spans="1:6" x14ac:dyDescent="0.3">
      <c r="A6306" s="45">
        <v>43600</v>
      </c>
      <c r="B6306" s="5" t="s">
        <v>4981</v>
      </c>
      <c r="C6306" s="5" t="s">
        <v>4983</v>
      </c>
      <c r="D6306" s="43">
        <v>5000</v>
      </c>
      <c r="E6306" s="43"/>
      <c r="F6306" s="48">
        <f t="shared" si="102"/>
        <v>180856</v>
      </c>
    </row>
    <row r="6307" spans="1:6" x14ac:dyDescent="0.3">
      <c r="A6307" s="45">
        <v>43600</v>
      </c>
      <c r="B6307" s="5" t="s">
        <v>4552</v>
      </c>
      <c r="C6307" s="5" t="s">
        <v>4643</v>
      </c>
      <c r="D6307" s="43">
        <v>10000</v>
      </c>
      <c r="E6307" s="43"/>
      <c r="F6307" s="48">
        <f t="shared" si="102"/>
        <v>170856</v>
      </c>
    </row>
    <row r="6308" spans="1:6" x14ac:dyDescent="0.3">
      <c r="A6308" s="45">
        <v>43600</v>
      </c>
      <c r="B6308" s="5" t="s">
        <v>2263</v>
      </c>
      <c r="C6308" s="5" t="s">
        <v>4984</v>
      </c>
      <c r="D6308" s="43">
        <v>300</v>
      </c>
      <c r="E6308" s="43"/>
      <c r="F6308" s="48">
        <f t="shared" si="102"/>
        <v>170556</v>
      </c>
    </row>
    <row r="6309" spans="1:6" x14ac:dyDescent="0.3">
      <c r="A6309" s="45">
        <v>43600</v>
      </c>
      <c r="B6309" s="5" t="s">
        <v>0</v>
      </c>
      <c r="C6309" s="5" t="s">
        <v>2013</v>
      </c>
      <c r="D6309" s="43">
        <v>100</v>
      </c>
      <c r="E6309" s="43"/>
      <c r="F6309" s="48">
        <f t="shared" si="102"/>
        <v>170456</v>
      </c>
    </row>
    <row r="6310" spans="1:6" x14ac:dyDescent="0.3">
      <c r="A6310" s="45">
        <v>43601</v>
      </c>
      <c r="B6310" s="5" t="s">
        <v>693</v>
      </c>
      <c r="C6310" s="5" t="s">
        <v>4985</v>
      </c>
      <c r="D6310" s="43">
        <v>5000</v>
      </c>
      <c r="E6310" s="43"/>
      <c r="F6310" s="48">
        <f t="shared" si="102"/>
        <v>165456</v>
      </c>
    </row>
    <row r="6311" spans="1:6" x14ac:dyDescent="0.3">
      <c r="A6311" s="45">
        <v>43601</v>
      </c>
      <c r="B6311" s="5" t="s">
        <v>57</v>
      </c>
      <c r="C6311" s="5" t="s">
        <v>4319</v>
      </c>
      <c r="D6311" s="43">
        <v>100</v>
      </c>
      <c r="E6311" s="43"/>
      <c r="F6311" s="48">
        <f t="shared" si="102"/>
        <v>165356</v>
      </c>
    </row>
    <row r="6312" spans="1:6" x14ac:dyDescent="0.3">
      <c r="A6312" s="45">
        <v>43601</v>
      </c>
      <c r="B6312" s="5" t="s">
        <v>98</v>
      </c>
      <c r="C6312" s="5" t="s">
        <v>4986</v>
      </c>
      <c r="D6312" s="43">
        <v>39000</v>
      </c>
      <c r="E6312" s="43"/>
      <c r="F6312" s="48">
        <f t="shared" si="102"/>
        <v>126356</v>
      </c>
    </row>
    <row r="6313" spans="1:6" x14ac:dyDescent="0.3">
      <c r="A6313" s="45">
        <v>43601</v>
      </c>
      <c r="B6313" s="5" t="s">
        <v>98</v>
      </c>
      <c r="C6313" s="5" t="s">
        <v>4987</v>
      </c>
      <c r="D6313" s="43">
        <v>16580</v>
      </c>
      <c r="E6313" s="43"/>
      <c r="F6313" s="48">
        <f t="shared" si="102"/>
        <v>109776</v>
      </c>
    </row>
    <row r="6314" spans="1:6" x14ac:dyDescent="0.3">
      <c r="A6314" s="45">
        <v>43601</v>
      </c>
      <c r="B6314" s="5" t="s">
        <v>4981</v>
      </c>
      <c r="C6314" s="5" t="s">
        <v>4988</v>
      </c>
      <c r="D6314" s="43">
        <v>5000</v>
      </c>
      <c r="E6314" s="43"/>
      <c r="F6314" s="48">
        <f t="shared" si="102"/>
        <v>104776</v>
      </c>
    </row>
    <row r="6315" spans="1:6" x14ac:dyDescent="0.3">
      <c r="A6315" s="45">
        <v>43601</v>
      </c>
      <c r="B6315" s="5" t="s">
        <v>4989</v>
      </c>
      <c r="C6315" s="5" t="s">
        <v>4990</v>
      </c>
      <c r="D6315" s="43">
        <v>5000</v>
      </c>
      <c r="E6315" s="43"/>
      <c r="F6315" s="48">
        <f t="shared" si="102"/>
        <v>99776</v>
      </c>
    </row>
    <row r="6316" spans="1:6" x14ac:dyDescent="0.3">
      <c r="A6316" s="45">
        <v>43601</v>
      </c>
      <c r="B6316" s="5" t="s">
        <v>84</v>
      </c>
      <c r="C6316" s="5" t="s">
        <v>4991</v>
      </c>
      <c r="D6316" s="43">
        <v>10000</v>
      </c>
      <c r="E6316" s="43"/>
      <c r="F6316" s="48">
        <f t="shared" si="102"/>
        <v>89776</v>
      </c>
    </row>
    <row r="6317" spans="1:6" x14ac:dyDescent="0.3">
      <c r="A6317" s="45">
        <v>43601</v>
      </c>
      <c r="B6317" s="5" t="s">
        <v>84</v>
      </c>
      <c r="C6317" s="5" t="s">
        <v>4992</v>
      </c>
      <c r="D6317" s="43">
        <v>5000</v>
      </c>
      <c r="E6317" s="43"/>
      <c r="F6317" s="48">
        <f t="shared" si="102"/>
        <v>84776</v>
      </c>
    </row>
    <row r="6318" spans="1:6" x14ac:dyDescent="0.3">
      <c r="A6318" s="45">
        <v>43601</v>
      </c>
      <c r="B6318" s="5" t="s">
        <v>4112</v>
      </c>
      <c r="C6318" s="5" t="s">
        <v>2013</v>
      </c>
      <c r="D6318" s="43">
        <v>100</v>
      </c>
      <c r="E6318" s="43"/>
      <c r="F6318" s="48">
        <f t="shared" si="102"/>
        <v>84676</v>
      </c>
    </row>
    <row r="6319" spans="1:6" x14ac:dyDescent="0.3">
      <c r="A6319" s="45">
        <v>43601</v>
      </c>
      <c r="B6319" s="5" t="s">
        <v>1616</v>
      </c>
      <c r="C6319" s="5" t="s">
        <v>2435</v>
      </c>
      <c r="D6319" s="43">
        <v>550</v>
      </c>
      <c r="E6319" s="43"/>
      <c r="F6319" s="48">
        <f t="shared" si="102"/>
        <v>84126</v>
      </c>
    </row>
    <row r="6320" spans="1:6" x14ac:dyDescent="0.3">
      <c r="A6320" s="45">
        <v>43602</v>
      </c>
      <c r="B6320" s="5" t="s">
        <v>4989</v>
      </c>
      <c r="C6320" s="5" t="s">
        <v>4993</v>
      </c>
      <c r="D6320" s="43">
        <v>5000</v>
      </c>
      <c r="E6320" s="43"/>
      <c r="F6320" s="48">
        <f t="shared" si="102"/>
        <v>79126</v>
      </c>
    </row>
    <row r="6321" spans="1:6" x14ac:dyDescent="0.3">
      <c r="A6321" s="45">
        <v>43602</v>
      </c>
      <c r="B6321" s="5" t="s">
        <v>110</v>
      </c>
      <c r="C6321" s="5" t="s">
        <v>3172</v>
      </c>
      <c r="D6321" s="43">
        <v>24200</v>
      </c>
      <c r="E6321" s="43"/>
      <c r="F6321" s="48">
        <f t="shared" si="102"/>
        <v>54926</v>
      </c>
    </row>
    <row r="6322" spans="1:6" x14ac:dyDescent="0.3">
      <c r="A6322" s="45">
        <v>43602</v>
      </c>
      <c r="B6322" s="5" t="s">
        <v>110</v>
      </c>
      <c r="C6322" s="5" t="s">
        <v>3172</v>
      </c>
      <c r="D6322" s="43">
        <v>8200</v>
      </c>
      <c r="E6322" s="43"/>
      <c r="F6322" s="48">
        <f t="shared" si="102"/>
        <v>46726</v>
      </c>
    </row>
    <row r="6323" spans="1:6" x14ac:dyDescent="0.3">
      <c r="A6323" s="45">
        <v>43602</v>
      </c>
      <c r="B6323" s="5" t="s">
        <v>1616</v>
      </c>
      <c r="C6323" s="5" t="s">
        <v>4529</v>
      </c>
      <c r="D6323" s="43">
        <v>1000</v>
      </c>
      <c r="E6323" s="43"/>
      <c r="F6323" s="48">
        <f t="shared" si="102"/>
        <v>45726</v>
      </c>
    </row>
    <row r="6324" spans="1:6" x14ac:dyDescent="0.3">
      <c r="A6324" s="45">
        <v>43603</v>
      </c>
      <c r="B6324" s="5" t="s">
        <v>3825</v>
      </c>
      <c r="C6324" s="5" t="s">
        <v>4994</v>
      </c>
      <c r="D6324" s="43">
        <v>2000</v>
      </c>
      <c r="E6324" s="43"/>
      <c r="F6324" s="48">
        <f t="shared" si="102"/>
        <v>43726</v>
      </c>
    </row>
    <row r="6325" spans="1:6" x14ac:dyDescent="0.3">
      <c r="A6325" s="45">
        <v>43603</v>
      </c>
      <c r="B6325" s="5" t="s">
        <v>11</v>
      </c>
      <c r="C6325" s="5" t="s">
        <v>4995</v>
      </c>
      <c r="D6325" s="43">
        <v>2600</v>
      </c>
      <c r="E6325" s="43"/>
      <c r="F6325" s="48">
        <f t="shared" si="102"/>
        <v>41126</v>
      </c>
    </row>
    <row r="6326" spans="1:6" x14ac:dyDescent="0.3">
      <c r="A6326" s="45">
        <v>43603</v>
      </c>
      <c r="B6326" s="5" t="s">
        <v>4828</v>
      </c>
      <c r="C6326" s="5" t="s">
        <v>2013</v>
      </c>
      <c r="D6326" s="43">
        <v>100</v>
      </c>
      <c r="E6326" s="43"/>
      <c r="F6326" s="48">
        <f t="shared" si="102"/>
        <v>41026</v>
      </c>
    </row>
    <row r="6327" spans="1:6" x14ac:dyDescent="0.3">
      <c r="A6327" s="45">
        <v>43605</v>
      </c>
      <c r="B6327" s="5" t="s">
        <v>25</v>
      </c>
      <c r="C6327" s="5" t="s">
        <v>4997</v>
      </c>
      <c r="D6327" s="43">
        <v>725</v>
      </c>
      <c r="E6327" s="43"/>
      <c r="F6327" s="48">
        <f t="shared" si="102"/>
        <v>40301</v>
      </c>
    </row>
    <row r="6328" spans="1:6" x14ac:dyDescent="0.3">
      <c r="A6328" s="45">
        <v>43605</v>
      </c>
      <c r="B6328" s="5" t="s">
        <v>4915</v>
      </c>
      <c r="C6328" s="5" t="s">
        <v>4998</v>
      </c>
      <c r="D6328" s="43">
        <v>5000</v>
      </c>
      <c r="E6328" s="43"/>
      <c r="F6328" s="48">
        <f t="shared" si="102"/>
        <v>35301</v>
      </c>
    </row>
    <row r="6329" spans="1:6" x14ac:dyDescent="0.3">
      <c r="A6329" s="45">
        <v>43605</v>
      </c>
      <c r="B6329" s="5" t="s">
        <v>84</v>
      </c>
      <c r="C6329" s="5" t="s">
        <v>4999</v>
      </c>
      <c r="D6329" s="43">
        <v>5000</v>
      </c>
      <c r="E6329" s="43"/>
      <c r="F6329" s="48">
        <f t="shared" si="102"/>
        <v>30301</v>
      </c>
    </row>
    <row r="6330" spans="1:6" x14ac:dyDescent="0.3">
      <c r="A6330" s="45">
        <v>43605</v>
      </c>
      <c r="B6330" s="5" t="s">
        <v>84</v>
      </c>
      <c r="C6330" s="5" t="s">
        <v>4967</v>
      </c>
      <c r="D6330" s="43">
        <v>1000</v>
      </c>
      <c r="E6330" s="43"/>
      <c r="F6330" s="48">
        <f t="shared" si="102"/>
        <v>29301</v>
      </c>
    </row>
    <row r="6331" spans="1:6" x14ac:dyDescent="0.3">
      <c r="A6331" s="45">
        <v>43605</v>
      </c>
      <c r="B6331" s="5" t="s">
        <v>84</v>
      </c>
      <c r="C6331" s="5" t="s">
        <v>5001</v>
      </c>
      <c r="D6331" s="43">
        <v>10000</v>
      </c>
      <c r="E6331" s="43"/>
      <c r="F6331" s="48">
        <f t="shared" si="102"/>
        <v>19301</v>
      </c>
    </row>
    <row r="6332" spans="1:6" x14ac:dyDescent="0.3">
      <c r="A6332" s="185">
        <v>43605</v>
      </c>
      <c r="B6332" s="186" t="s">
        <v>14</v>
      </c>
      <c r="C6332" s="186" t="s">
        <v>4353</v>
      </c>
      <c r="D6332" s="187"/>
      <c r="E6332" s="187">
        <v>7000</v>
      </c>
      <c r="F6332" s="188">
        <f t="shared" si="102"/>
        <v>26301</v>
      </c>
    </row>
    <row r="6333" spans="1:6" x14ac:dyDescent="0.3">
      <c r="A6333" s="45">
        <v>43606</v>
      </c>
      <c r="B6333" s="5" t="s">
        <v>25</v>
      </c>
      <c r="C6333" s="5" t="s">
        <v>5002</v>
      </c>
      <c r="D6333" s="43">
        <v>300</v>
      </c>
      <c r="E6333" s="43"/>
      <c r="F6333" s="48">
        <f t="shared" si="102"/>
        <v>26001</v>
      </c>
    </row>
    <row r="6334" spans="1:6" x14ac:dyDescent="0.3">
      <c r="A6334" s="45">
        <v>43606</v>
      </c>
      <c r="B6334" s="5" t="s">
        <v>84</v>
      </c>
      <c r="C6334" s="5" t="s">
        <v>5004</v>
      </c>
      <c r="D6334" s="43">
        <v>5000</v>
      </c>
      <c r="E6334" s="43"/>
      <c r="F6334" s="48">
        <f t="shared" si="102"/>
        <v>21001</v>
      </c>
    </row>
    <row r="6335" spans="1:6" x14ac:dyDescent="0.3">
      <c r="A6335" s="45">
        <v>43606</v>
      </c>
      <c r="B6335" s="5" t="s">
        <v>1837</v>
      </c>
      <c r="C6335" s="5" t="s">
        <v>5003</v>
      </c>
      <c r="D6335" s="43">
        <v>5000</v>
      </c>
      <c r="E6335" s="43"/>
      <c r="F6335" s="48">
        <f t="shared" si="102"/>
        <v>16001</v>
      </c>
    </row>
    <row r="6336" spans="1:6" x14ac:dyDescent="0.3">
      <c r="A6336" s="45">
        <v>43606</v>
      </c>
      <c r="B6336" s="5" t="s">
        <v>84</v>
      </c>
      <c r="C6336" s="5" t="s">
        <v>5005</v>
      </c>
      <c r="D6336" s="43">
        <v>1000</v>
      </c>
      <c r="E6336" s="43"/>
      <c r="F6336" s="48">
        <f t="shared" si="102"/>
        <v>15001</v>
      </c>
    </row>
    <row r="6337" spans="1:6" x14ac:dyDescent="0.3">
      <c r="A6337" s="45">
        <v>43606</v>
      </c>
      <c r="B6337" s="358" t="s">
        <v>2960</v>
      </c>
      <c r="C6337" s="358"/>
      <c r="D6337" s="71"/>
      <c r="E6337" s="72">
        <v>100000</v>
      </c>
      <c r="F6337" s="48">
        <f t="shared" si="102"/>
        <v>115001</v>
      </c>
    </row>
    <row r="6338" spans="1:6" x14ac:dyDescent="0.3">
      <c r="A6338" s="45">
        <v>43606</v>
      </c>
      <c r="B6338" s="5" t="s">
        <v>4641</v>
      </c>
      <c r="C6338" s="5" t="s">
        <v>5006</v>
      </c>
      <c r="D6338" s="43">
        <v>30000</v>
      </c>
      <c r="E6338" s="43"/>
      <c r="F6338" s="48">
        <f t="shared" si="102"/>
        <v>85001</v>
      </c>
    </row>
    <row r="6339" spans="1:6" x14ac:dyDescent="0.3">
      <c r="A6339" s="45">
        <v>43606</v>
      </c>
      <c r="B6339" s="5" t="s">
        <v>84</v>
      </c>
      <c r="C6339" s="5" t="s">
        <v>5007</v>
      </c>
      <c r="D6339" s="43">
        <v>20000</v>
      </c>
      <c r="E6339" s="43"/>
      <c r="F6339" s="48">
        <f t="shared" si="102"/>
        <v>65001</v>
      </c>
    </row>
    <row r="6340" spans="1:6" x14ac:dyDescent="0.3">
      <c r="A6340" s="45">
        <v>43607</v>
      </c>
      <c r="B6340" s="5" t="s">
        <v>4915</v>
      </c>
      <c r="C6340" s="5" t="s">
        <v>5009</v>
      </c>
      <c r="D6340" s="43">
        <v>20000</v>
      </c>
      <c r="E6340" s="43"/>
      <c r="F6340" s="48">
        <f t="shared" si="102"/>
        <v>45001</v>
      </c>
    </row>
    <row r="6341" spans="1:6" x14ac:dyDescent="0.3">
      <c r="A6341" s="45">
        <v>43607</v>
      </c>
      <c r="B6341" s="5" t="s">
        <v>2346</v>
      </c>
      <c r="C6341" s="5" t="s">
        <v>5010</v>
      </c>
      <c r="D6341" s="43">
        <v>2000</v>
      </c>
      <c r="E6341" s="43"/>
      <c r="F6341" s="48">
        <f t="shared" si="102"/>
        <v>43001</v>
      </c>
    </row>
    <row r="6342" spans="1:6" x14ac:dyDescent="0.3">
      <c r="A6342" s="45">
        <v>43607</v>
      </c>
      <c r="B6342" s="5" t="s">
        <v>1616</v>
      </c>
      <c r="C6342" s="5" t="s">
        <v>5011</v>
      </c>
      <c r="D6342" s="43">
        <v>3000</v>
      </c>
      <c r="E6342" s="43"/>
      <c r="F6342" s="48">
        <f t="shared" si="102"/>
        <v>40001</v>
      </c>
    </row>
    <row r="6343" spans="1:6" x14ac:dyDescent="0.3">
      <c r="A6343" s="45">
        <v>43607</v>
      </c>
      <c r="B6343" s="5" t="s">
        <v>4989</v>
      </c>
      <c r="C6343" s="5" t="s">
        <v>5012</v>
      </c>
      <c r="D6343" s="43">
        <v>20000</v>
      </c>
      <c r="E6343" s="43"/>
      <c r="F6343" s="48">
        <f t="shared" si="102"/>
        <v>20001</v>
      </c>
    </row>
    <row r="6344" spans="1:6" x14ac:dyDescent="0.3">
      <c r="A6344" s="45">
        <v>43607</v>
      </c>
      <c r="B6344" s="5" t="s">
        <v>580</v>
      </c>
      <c r="C6344" s="5" t="s">
        <v>5013</v>
      </c>
      <c r="D6344" s="43">
        <v>2500</v>
      </c>
      <c r="E6344" s="43"/>
      <c r="F6344" s="48">
        <f t="shared" si="102"/>
        <v>17501</v>
      </c>
    </row>
    <row r="6345" spans="1:6" x14ac:dyDescent="0.3">
      <c r="A6345" s="45">
        <v>43607</v>
      </c>
      <c r="B6345" s="5" t="s">
        <v>5014</v>
      </c>
      <c r="C6345" s="5" t="s">
        <v>5015</v>
      </c>
      <c r="D6345" s="43">
        <v>70</v>
      </c>
      <c r="E6345" s="43"/>
      <c r="F6345" s="48">
        <f t="shared" si="102"/>
        <v>17431</v>
      </c>
    </row>
    <row r="6346" spans="1:6" x14ac:dyDescent="0.3">
      <c r="A6346" s="45">
        <v>43608</v>
      </c>
      <c r="B6346" s="5" t="s">
        <v>57</v>
      </c>
      <c r="C6346" s="5" t="s">
        <v>3143</v>
      </c>
      <c r="D6346" s="43">
        <v>8000</v>
      </c>
      <c r="E6346" s="43"/>
      <c r="F6346" s="48">
        <f t="shared" si="102"/>
        <v>9431</v>
      </c>
    </row>
    <row r="6347" spans="1:6" x14ac:dyDescent="0.3">
      <c r="A6347" s="45">
        <v>43608</v>
      </c>
      <c r="B6347" s="5" t="s">
        <v>84</v>
      </c>
      <c r="C6347" s="5" t="s">
        <v>5017</v>
      </c>
      <c r="D6347" s="43">
        <v>3000</v>
      </c>
      <c r="E6347" s="43"/>
      <c r="F6347" s="48">
        <f t="shared" si="102"/>
        <v>6431</v>
      </c>
    </row>
    <row r="6348" spans="1:6" x14ac:dyDescent="0.3">
      <c r="A6348" s="45">
        <v>43609</v>
      </c>
      <c r="B6348" s="5" t="s">
        <v>541</v>
      </c>
      <c r="C6348" s="5" t="s">
        <v>5018</v>
      </c>
      <c r="D6348" s="43">
        <v>330</v>
      </c>
      <c r="E6348" s="43"/>
      <c r="F6348" s="48">
        <f t="shared" ref="F6348:F6411" si="103">F6347-D6348+E6348</f>
        <v>6101</v>
      </c>
    </row>
    <row r="6349" spans="1:6" ht="37.5" x14ac:dyDescent="0.3">
      <c r="A6349" s="45">
        <v>43609</v>
      </c>
      <c r="B6349" s="5" t="s">
        <v>4112</v>
      </c>
      <c r="C6349" s="92" t="s">
        <v>5019</v>
      </c>
      <c r="D6349" s="43">
        <v>100</v>
      </c>
      <c r="E6349" s="43"/>
      <c r="F6349" s="48">
        <f t="shared" si="103"/>
        <v>6001</v>
      </c>
    </row>
    <row r="6350" spans="1:6" x14ac:dyDescent="0.3">
      <c r="A6350" s="45">
        <v>43609</v>
      </c>
      <c r="B6350" s="5" t="s">
        <v>3559</v>
      </c>
      <c r="C6350" s="5" t="s">
        <v>4865</v>
      </c>
      <c r="D6350" s="43">
        <v>2000</v>
      </c>
      <c r="E6350" s="43"/>
      <c r="F6350" s="48">
        <f t="shared" si="103"/>
        <v>4001</v>
      </c>
    </row>
    <row r="6351" spans="1:6" x14ac:dyDescent="0.3">
      <c r="A6351" s="45">
        <v>43610</v>
      </c>
      <c r="B6351" s="358" t="s">
        <v>2960</v>
      </c>
      <c r="C6351" s="358"/>
      <c r="D6351" s="71"/>
      <c r="E6351" s="72">
        <v>100000</v>
      </c>
      <c r="F6351" s="48">
        <f t="shared" si="103"/>
        <v>104001</v>
      </c>
    </row>
    <row r="6352" spans="1:6" x14ac:dyDescent="0.3">
      <c r="A6352" s="45">
        <v>43610</v>
      </c>
      <c r="B6352" s="5" t="s">
        <v>0</v>
      </c>
      <c r="C6352" s="5" t="s">
        <v>5020</v>
      </c>
      <c r="D6352" s="43">
        <v>30000</v>
      </c>
      <c r="E6352" s="43"/>
      <c r="F6352" s="48">
        <f t="shared" si="103"/>
        <v>74001</v>
      </c>
    </row>
    <row r="6353" spans="1:6" x14ac:dyDescent="0.3">
      <c r="A6353" s="45">
        <v>43610</v>
      </c>
      <c r="B6353" s="5" t="s">
        <v>18</v>
      </c>
      <c r="C6353" s="5" t="s">
        <v>5021</v>
      </c>
      <c r="D6353" s="43">
        <v>2500</v>
      </c>
      <c r="E6353" s="43"/>
      <c r="F6353" s="48">
        <f t="shared" si="103"/>
        <v>71501</v>
      </c>
    </row>
    <row r="6354" spans="1:6" x14ac:dyDescent="0.3">
      <c r="A6354" s="45">
        <v>43610</v>
      </c>
      <c r="B6354" s="5" t="s">
        <v>84</v>
      </c>
      <c r="C6354" s="5" t="s">
        <v>5022</v>
      </c>
      <c r="D6354" s="43">
        <v>3000</v>
      </c>
      <c r="E6354" s="43"/>
      <c r="F6354" s="48">
        <f t="shared" si="103"/>
        <v>68501</v>
      </c>
    </row>
    <row r="6355" spans="1:6" x14ac:dyDescent="0.3">
      <c r="A6355" s="45">
        <v>43610</v>
      </c>
      <c r="B6355" s="5" t="s">
        <v>2995</v>
      </c>
      <c r="C6355" s="5" t="s">
        <v>5025</v>
      </c>
      <c r="D6355" s="43">
        <v>13850</v>
      </c>
      <c r="E6355" s="43"/>
      <c r="F6355" s="48">
        <f t="shared" si="103"/>
        <v>54651</v>
      </c>
    </row>
    <row r="6356" spans="1:6" x14ac:dyDescent="0.3">
      <c r="A6356" s="45">
        <v>43610</v>
      </c>
      <c r="B6356" s="5" t="s">
        <v>84</v>
      </c>
      <c r="C6356" s="5" t="s">
        <v>5023</v>
      </c>
      <c r="D6356" s="43">
        <v>10000</v>
      </c>
      <c r="E6356" s="43"/>
      <c r="F6356" s="48">
        <f t="shared" si="103"/>
        <v>44651</v>
      </c>
    </row>
    <row r="6357" spans="1:6" x14ac:dyDescent="0.3">
      <c r="A6357" s="45">
        <v>43612</v>
      </c>
      <c r="B6357" s="5" t="s">
        <v>16</v>
      </c>
      <c r="C6357" s="5" t="s">
        <v>5024</v>
      </c>
      <c r="D6357" s="43">
        <v>2000</v>
      </c>
      <c r="E6357" s="43"/>
      <c r="F6357" s="48">
        <f t="shared" si="103"/>
        <v>42651</v>
      </c>
    </row>
    <row r="6358" spans="1:6" x14ac:dyDescent="0.3">
      <c r="A6358" s="45">
        <v>43612</v>
      </c>
      <c r="B6358" s="5" t="s">
        <v>14</v>
      </c>
      <c r="C6358" s="5" t="s">
        <v>294</v>
      </c>
      <c r="D6358" s="43">
        <v>10000</v>
      </c>
      <c r="E6358" s="43"/>
      <c r="F6358" s="48">
        <f t="shared" si="103"/>
        <v>32651</v>
      </c>
    </row>
    <row r="6359" spans="1:6" x14ac:dyDescent="0.3">
      <c r="A6359" s="45">
        <v>43612</v>
      </c>
      <c r="B6359" s="5" t="s">
        <v>3559</v>
      </c>
      <c r="C6359" s="5" t="s">
        <v>5026</v>
      </c>
      <c r="D6359" s="43">
        <v>650</v>
      </c>
      <c r="E6359" s="43"/>
      <c r="F6359" s="48">
        <f t="shared" si="103"/>
        <v>32001</v>
      </c>
    </row>
    <row r="6360" spans="1:6" x14ac:dyDescent="0.3">
      <c r="A6360" s="45">
        <v>43612</v>
      </c>
      <c r="B6360" s="5" t="s">
        <v>84</v>
      </c>
      <c r="C6360" s="5" t="s">
        <v>5027</v>
      </c>
      <c r="D6360" s="43">
        <v>1000</v>
      </c>
      <c r="E6360" s="43"/>
      <c r="F6360" s="48">
        <f t="shared" si="103"/>
        <v>31001</v>
      </c>
    </row>
    <row r="6361" spans="1:6" x14ac:dyDescent="0.3">
      <c r="A6361" s="45">
        <v>43612</v>
      </c>
      <c r="B6361" s="5" t="s">
        <v>1837</v>
      </c>
      <c r="C6361" s="5" t="s">
        <v>2013</v>
      </c>
      <c r="D6361" s="43">
        <v>100</v>
      </c>
      <c r="E6361" s="43"/>
      <c r="F6361" s="48">
        <f t="shared" si="103"/>
        <v>30901</v>
      </c>
    </row>
    <row r="6362" spans="1:6" x14ac:dyDescent="0.3">
      <c r="A6362" s="45">
        <v>43612</v>
      </c>
      <c r="B6362" s="5" t="s">
        <v>57</v>
      </c>
      <c r="C6362" s="5" t="s">
        <v>5021</v>
      </c>
      <c r="D6362" s="43">
        <v>730</v>
      </c>
      <c r="E6362" s="43"/>
      <c r="F6362" s="48">
        <f t="shared" si="103"/>
        <v>30171</v>
      </c>
    </row>
    <row r="6363" spans="1:6" x14ac:dyDescent="0.3">
      <c r="A6363" s="45">
        <v>43612</v>
      </c>
      <c r="B6363" s="5" t="s">
        <v>84</v>
      </c>
      <c r="C6363" s="5" t="s">
        <v>5028</v>
      </c>
      <c r="D6363" s="43">
        <v>25000</v>
      </c>
      <c r="E6363" s="43"/>
      <c r="F6363" s="48">
        <f t="shared" si="103"/>
        <v>5171</v>
      </c>
    </row>
    <row r="6364" spans="1:6" x14ac:dyDescent="0.3">
      <c r="A6364" s="45">
        <v>43612</v>
      </c>
      <c r="B6364" s="358" t="s">
        <v>2960</v>
      </c>
      <c r="C6364" s="358"/>
      <c r="D6364" s="71"/>
      <c r="E6364" s="72">
        <v>100000</v>
      </c>
      <c r="F6364" s="48">
        <f t="shared" si="103"/>
        <v>105171</v>
      </c>
    </row>
    <row r="6365" spans="1:6" x14ac:dyDescent="0.3">
      <c r="A6365" s="45">
        <v>43612</v>
      </c>
      <c r="B6365" s="5" t="s">
        <v>84</v>
      </c>
      <c r="C6365" s="5" t="s">
        <v>5029</v>
      </c>
      <c r="D6365" s="43">
        <v>10000</v>
      </c>
      <c r="E6365" s="43"/>
      <c r="F6365" s="48">
        <f t="shared" si="103"/>
        <v>95171</v>
      </c>
    </row>
    <row r="6366" spans="1:6" x14ac:dyDescent="0.3">
      <c r="A6366" s="45">
        <v>43612</v>
      </c>
      <c r="B6366" s="5" t="s">
        <v>4550</v>
      </c>
      <c r="C6366" s="5" t="s">
        <v>5030</v>
      </c>
      <c r="D6366" s="43">
        <v>28400</v>
      </c>
      <c r="E6366" s="43"/>
      <c r="F6366" s="48">
        <f t="shared" si="103"/>
        <v>66771</v>
      </c>
    </row>
    <row r="6367" spans="1:6" x14ac:dyDescent="0.3">
      <c r="A6367" s="45">
        <v>43612</v>
      </c>
      <c r="B6367" s="5" t="s">
        <v>4552</v>
      </c>
      <c r="C6367" s="5" t="s">
        <v>5031</v>
      </c>
      <c r="D6367" s="43">
        <v>20300</v>
      </c>
      <c r="E6367" s="43"/>
      <c r="F6367" s="48">
        <f t="shared" si="103"/>
        <v>46471</v>
      </c>
    </row>
    <row r="6368" spans="1:6" x14ac:dyDescent="0.3">
      <c r="A6368" s="189">
        <v>43612</v>
      </c>
      <c r="B6368" s="41" t="s">
        <v>100</v>
      </c>
      <c r="C6368" s="41" t="s">
        <v>5066</v>
      </c>
      <c r="D6368" s="42">
        <v>30000</v>
      </c>
      <c r="E6368" s="42"/>
      <c r="F6368" s="190">
        <f t="shared" si="103"/>
        <v>16471</v>
      </c>
    </row>
    <row r="6369" spans="1:6" x14ac:dyDescent="0.3">
      <c r="A6369" s="45">
        <v>43613</v>
      </c>
      <c r="B6369" s="5" t="s">
        <v>18</v>
      </c>
      <c r="C6369" s="5" t="s">
        <v>5071</v>
      </c>
      <c r="D6369" s="43">
        <v>10000</v>
      </c>
      <c r="E6369" s="43"/>
      <c r="F6369" s="48">
        <f t="shared" si="103"/>
        <v>6471</v>
      </c>
    </row>
    <row r="6370" spans="1:6" x14ac:dyDescent="0.3">
      <c r="A6370" s="45">
        <v>43613</v>
      </c>
      <c r="B6370" s="5" t="s">
        <v>25</v>
      </c>
      <c r="C6370" s="5" t="s">
        <v>5032</v>
      </c>
      <c r="D6370" s="43">
        <v>300</v>
      </c>
      <c r="E6370" s="43"/>
      <c r="F6370" s="48">
        <f t="shared" si="103"/>
        <v>6171</v>
      </c>
    </row>
    <row r="6371" spans="1:6" x14ac:dyDescent="0.3">
      <c r="A6371" s="45">
        <v>43613</v>
      </c>
      <c r="B6371" s="5" t="s">
        <v>16</v>
      </c>
      <c r="C6371" s="5" t="s">
        <v>294</v>
      </c>
      <c r="D6371" s="43">
        <v>1000</v>
      </c>
      <c r="E6371" s="43"/>
      <c r="F6371" s="48">
        <f t="shared" si="103"/>
        <v>5171</v>
      </c>
    </row>
    <row r="6372" spans="1:6" x14ac:dyDescent="0.3">
      <c r="A6372" s="45">
        <v>43613</v>
      </c>
      <c r="B6372" s="358" t="s">
        <v>2960</v>
      </c>
      <c r="C6372" s="358"/>
      <c r="D6372" s="71"/>
      <c r="E6372" s="72">
        <v>100000</v>
      </c>
      <c r="F6372" s="48">
        <f t="shared" si="103"/>
        <v>105171</v>
      </c>
    </row>
    <row r="6373" spans="1:6" x14ac:dyDescent="0.3">
      <c r="A6373" s="45">
        <v>43613</v>
      </c>
      <c r="B6373" s="5" t="s">
        <v>14</v>
      </c>
      <c r="C6373" s="5" t="s">
        <v>294</v>
      </c>
      <c r="D6373" s="43">
        <v>3000</v>
      </c>
      <c r="E6373" s="43"/>
      <c r="F6373" s="48">
        <f t="shared" si="103"/>
        <v>102171</v>
      </c>
    </row>
    <row r="6374" spans="1:6" x14ac:dyDescent="0.3">
      <c r="A6374" s="45">
        <v>43614</v>
      </c>
      <c r="B6374" s="5" t="s">
        <v>16</v>
      </c>
      <c r="C6374" s="5" t="s">
        <v>294</v>
      </c>
      <c r="D6374" s="43">
        <v>2000</v>
      </c>
      <c r="E6374" s="43"/>
      <c r="F6374" s="48">
        <f t="shared" si="103"/>
        <v>100171</v>
      </c>
    </row>
    <row r="6375" spans="1:6" x14ac:dyDescent="0.3">
      <c r="A6375" s="45">
        <v>43614</v>
      </c>
      <c r="B6375" s="5" t="s">
        <v>5084</v>
      </c>
      <c r="C6375" s="5"/>
      <c r="D6375" s="43"/>
      <c r="E6375" s="43">
        <v>100000</v>
      </c>
      <c r="F6375" s="48">
        <f t="shared" si="103"/>
        <v>200171</v>
      </c>
    </row>
    <row r="6376" spans="1:6" x14ac:dyDescent="0.3">
      <c r="A6376" s="45">
        <v>43615</v>
      </c>
      <c r="B6376" s="5" t="s">
        <v>16</v>
      </c>
      <c r="C6376" s="5" t="s">
        <v>294</v>
      </c>
      <c r="D6376" s="43">
        <v>2000</v>
      </c>
      <c r="E6376" s="43"/>
      <c r="F6376" s="48">
        <f t="shared" si="103"/>
        <v>198171</v>
      </c>
    </row>
    <row r="6377" spans="1:6" x14ac:dyDescent="0.3">
      <c r="A6377" s="45">
        <v>43615</v>
      </c>
      <c r="B6377" s="5" t="s">
        <v>14</v>
      </c>
      <c r="C6377" s="5" t="s">
        <v>294</v>
      </c>
      <c r="D6377" s="43">
        <v>10000</v>
      </c>
      <c r="E6377" s="43"/>
      <c r="F6377" s="48">
        <f t="shared" si="103"/>
        <v>188171</v>
      </c>
    </row>
    <row r="6378" spans="1:6" x14ac:dyDescent="0.3">
      <c r="A6378" s="45">
        <v>43615</v>
      </c>
      <c r="B6378" s="5" t="s">
        <v>110</v>
      </c>
      <c r="C6378" s="5" t="s">
        <v>5038</v>
      </c>
      <c r="D6378" s="43">
        <v>17000</v>
      </c>
      <c r="E6378" s="43"/>
      <c r="F6378" s="48">
        <f t="shared" si="103"/>
        <v>171171</v>
      </c>
    </row>
    <row r="6379" spans="1:6" x14ac:dyDescent="0.3">
      <c r="A6379" s="45">
        <v>43617</v>
      </c>
      <c r="B6379" s="5" t="s">
        <v>25</v>
      </c>
      <c r="C6379" s="5" t="s">
        <v>5039</v>
      </c>
      <c r="D6379" s="43">
        <v>190</v>
      </c>
      <c r="E6379" s="43"/>
      <c r="F6379" s="48">
        <f t="shared" si="103"/>
        <v>170981</v>
      </c>
    </row>
    <row r="6380" spans="1:6" x14ac:dyDescent="0.3">
      <c r="A6380" s="45">
        <v>43617</v>
      </c>
      <c r="B6380" s="5" t="s">
        <v>25</v>
      </c>
      <c r="C6380" s="5" t="s">
        <v>5040</v>
      </c>
      <c r="D6380" s="43">
        <v>180</v>
      </c>
      <c r="E6380" s="43"/>
      <c r="F6380" s="48">
        <f t="shared" si="103"/>
        <v>170801</v>
      </c>
    </row>
    <row r="6381" spans="1:6" x14ac:dyDescent="0.3">
      <c r="A6381" s="45">
        <v>43617</v>
      </c>
      <c r="B6381" s="5" t="s">
        <v>5041</v>
      </c>
      <c r="C6381" s="5" t="s">
        <v>2013</v>
      </c>
      <c r="D6381" s="43">
        <v>100</v>
      </c>
      <c r="E6381" s="43"/>
      <c r="F6381" s="48">
        <f t="shared" si="103"/>
        <v>170701</v>
      </c>
    </row>
    <row r="6382" spans="1:6" x14ac:dyDescent="0.3">
      <c r="A6382" s="45">
        <v>43617</v>
      </c>
      <c r="B6382" s="5" t="s">
        <v>5042</v>
      </c>
      <c r="C6382" s="5" t="s">
        <v>5043</v>
      </c>
      <c r="D6382" s="43">
        <v>60450</v>
      </c>
      <c r="E6382" s="43"/>
      <c r="F6382" s="48">
        <f t="shared" si="103"/>
        <v>110251</v>
      </c>
    </row>
    <row r="6383" spans="1:6" x14ac:dyDescent="0.3">
      <c r="A6383" s="45">
        <v>43619</v>
      </c>
      <c r="B6383" s="5" t="s">
        <v>1458</v>
      </c>
      <c r="C6383" s="5" t="s">
        <v>650</v>
      </c>
      <c r="D6383" s="43">
        <v>1300</v>
      </c>
      <c r="E6383" s="43"/>
      <c r="F6383" s="48">
        <f t="shared" si="103"/>
        <v>108951</v>
      </c>
    </row>
    <row r="6384" spans="1:6" x14ac:dyDescent="0.3">
      <c r="A6384" s="45">
        <v>43619</v>
      </c>
      <c r="B6384" s="5" t="s">
        <v>16</v>
      </c>
      <c r="C6384" s="5" t="s">
        <v>294</v>
      </c>
      <c r="D6384" s="43">
        <v>3500</v>
      </c>
      <c r="E6384" s="43"/>
      <c r="F6384" s="48">
        <f t="shared" si="103"/>
        <v>105451</v>
      </c>
    </row>
    <row r="6385" spans="1:6" x14ac:dyDescent="0.3">
      <c r="A6385" s="45">
        <v>43619</v>
      </c>
      <c r="B6385" s="5" t="s">
        <v>14</v>
      </c>
      <c r="C6385" s="5" t="s">
        <v>5044</v>
      </c>
      <c r="D6385" s="43">
        <v>2800</v>
      </c>
      <c r="E6385" s="43"/>
      <c r="F6385" s="48">
        <f t="shared" si="103"/>
        <v>102651</v>
      </c>
    </row>
    <row r="6386" spans="1:6" x14ac:dyDescent="0.3">
      <c r="A6386" s="45">
        <v>43619</v>
      </c>
      <c r="B6386" s="5" t="s">
        <v>14</v>
      </c>
      <c r="C6386" s="5" t="s">
        <v>640</v>
      </c>
      <c r="D6386" s="43">
        <v>1000</v>
      </c>
      <c r="E6386" s="43"/>
      <c r="F6386" s="48">
        <f t="shared" si="103"/>
        <v>101651</v>
      </c>
    </row>
    <row r="6387" spans="1:6" x14ac:dyDescent="0.3">
      <c r="A6387" s="45">
        <v>43619</v>
      </c>
      <c r="B6387" s="5" t="s">
        <v>84</v>
      </c>
      <c r="C6387" s="5" t="s">
        <v>5045</v>
      </c>
      <c r="D6387" s="43">
        <v>5500</v>
      </c>
      <c r="E6387" s="43"/>
      <c r="F6387" s="48">
        <f t="shared" si="103"/>
        <v>96151</v>
      </c>
    </row>
    <row r="6388" spans="1:6" x14ac:dyDescent="0.3">
      <c r="A6388" s="45">
        <v>43619</v>
      </c>
      <c r="B6388" s="5" t="s">
        <v>84</v>
      </c>
      <c r="C6388" s="5" t="s">
        <v>5046</v>
      </c>
      <c r="D6388" s="43">
        <v>5000</v>
      </c>
      <c r="E6388" s="43"/>
      <c r="F6388" s="48">
        <f t="shared" si="103"/>
        <v>91151</v>
      </c>
    </row>
    <row r="6389" spans="1:6" x14ac:dyDescent="0.3">
      <c r="A6389" s="45">
        <v>43619</v>
      </c>
      <c r="B6389" s="5" t="s">
        <v>46</v>
      </c>
      <c r="C6389" s="5" t="s">
        <v>5047</v>
      </c>
      <c r="D6389" s="43">
        <v>90000</v>
      </c>
      <c r="E6389" s="43"/>
      <c r="F6389" s="48">
        <f t="shared" si="103"/>
        <v>1151</v>
      </c>
    </row>
    <row r="6390" spans="1:6" x14ac:dyDescent="0.3">
      <c r="A6390" s="45">
        <v>43619</v>
      </c>
      <c r="B6390" s="358" t="s">
        <v>5048</v>
      </c>
      <c r="C6390" s="358"/>
      <c r="D6390" s="71"/>
      <c r="E6390" s="72">
        <v>7090</v>
      </c>
      <c r="F6390" s="48">
        <f t="shared" si="103"/>
        <v>8241</v>
      </c>
    </row>
    <row r="6391" spans="1:6" x14ac:dyDescent="0.3">
      <c r="A6391" s="45">
        <v>43619</v>
      </c>
      <c r="B6391" s="5" t="s">
        <v>4869</v>
      </c>
      <c r="C6391" s="5" t="s">
        <v>5050</v>
      </c>
      <c r="D6391" s="43">
        <v>2000</v>
      </c>
      <c r="E6391" s="43"/>
      <c r="F6391" s="48">
        <f>F6390-D6391+E6391</f>
        <v>6241</v>
      </c>
    </row>
    <row r="6392" spans="1:6" x14ac:dyDescent="0.3">
      <c r="A6392" s="45">
        <v>43626</v>
      </c>
      <c r="B6392" s="5" t="s">
        <v>25</v>
      </c>
      <c r="C6392" s="5" t="s">
        <v>5049</v>
      </c>
      <c r="D6392" s="43">
        <f>51+700+380+50+42+120+220+100+247+130</f>
        <v>2040</v>
      </c>
      <c r="E6392" s="43"/>
      <c r="F6392" s="48">
        <f>F6391-D6392+E6392</f>
        <v>4201</v>
      </c>
    </row>
    <row r="6393" spans="1:6" x14ac:dyDescent="0.3">
      <c r="A6393" s="45">
        <v>43626</v>
      </c>
      <c r="B6393" s="5" t="s">
        <v>4869</v>
      </c>
      <c r="C6393" s="5" t="s">
        <v>3332</v>
      </c>
      <c r="D6393" s="43">
        <v>4200</v>
      </c>
      <c r="E6393" s="43"/>
      <c r="F6393" s="48">
        <f t="shared" si="103"/>
        <v>1</v>
      </c>
    </row>
    <row r="6394" spans="1:6" ht="37.5" x14ac:dyDescent="0.3">
      <c r="A6394" s="45">
        <v>43626</v>
      </c>
      <c r="B6394" s="5"/>
      <c r="C6394" s="92" t="s">
        <v>5056</v>
      </c>
      <c r="D6394" s="43"/>
      <c r="E6394" s="29">
        <v>59000</v>
      </c>
      <c r="F6394" s="48">
        <f t="shared" si="103"/>
        <v>59001</v>
      </c>
    </row>
    <row r="6395" spans="1:6" x14ac:dyDescent="0.3">
      <c r="A6395" s="45">
        <v>43626</v>
      </c>
      <c r="B6395" s="5" t="s">
        <v>5052</v>
      </c>
      <c r="C6395" s="5" t="s">
        <v>5053</v>
      </c>
      <c r="D6395" s="43">
        <v>13000</v>
      </c>
      <c r="E6395" s="43"/>
      <c r="F6395" s="48">
        <f t="shared" si="103"/>
        <v>46001</v>
      </c>
    </row>
    <row r="6396" spans="1:6" x14ac:dyDescent="0.3">
      <c r="A6396" s="45">
        <v>43626</v>
      </c>
      <c r="B6396" s="5" t="s">
        <v>541</v>
      </c>
      <c r="C6396" s="5" t="s">
        <v>3703</v>
      </c>
      <c r="D6396" s="43">
        <v>5000</v>
      </c>
      <c r="E6396" s="43"/>
      <c r="F6396" s="48">
        <f t="shared" si="103"/>
        <v>41001</v>
      </c>
    </row>
    <row r="6397" spans="1:6" x14ac:dyDescent="0.3">
      <c r="A6397" s="45">
        <v>43626</v>
      </c>
      <c r="B6397" s="5" t="s">
        <v>541</v>
      </c>
      <c r="C6397" s="5" t="s">
        <v>2435</v>
      </c>
      <c r="D6397" s="43">
        <v>600</v>
      </c>
      <c r="E6397" s="43"/>
      <c r="F6397" s="48">
        <f t="shared" si="103"/>
        <v>40401</v>
      </c>
    </row>
    <row r="6398" spans="1:6" x14ac:dyDescent="0.3">
      <c r="A6398" s="45">
        <v>43626</v>
      </c>
      <c r="B6398" s="5" t="s">
        <v>14</v>
      </c>
      <c r="C6398" s="5" t="s">
        <v>294</v>
      </c>
      <c r="D6398" s="43">
        <v>40000</v>
      </c>
      <c r="E6398" s="43"/>
      <c r="F6398" s="48">
        <f t="shared" si="103"/>
        <v>401</v>
      </c>
    </row>
    <row r="6399" spans="1:6" x14ac:dyDescent="0.3">
      <c r="A6399" s="45">
        <v>43626</v>
      </c>
      <c r="B6399" s="358" t="s">
        <v>3444</v>
      </c>
      <c r="C6399" s="358"/>
      <c r="D6399" s="71"/>
      <c r="E6399" s="72">
        <v>100000</v>
      </c>
      <c r="F6399" s="48">
        <f t="shared" si="103"/>
        <v>100401</v>
      </c>
    </row>
    <row r="6400" spans="1:6" x14ac:dyDescent="0.3">
      <c r="A6400" s="45">
        <v>43626</v>
      </c>
      <c r="B6400" s="5" t="s">
        <v>110</v>
      </c>
      <c r="C6400" s="5" t="s">
        <v>3172</v>
      </c>
      <c r="D6400" s="43">
        <v>15000</v>
      </c>
      <c r="E6400" s="43"/>
      <c r="F6400" s="48">
        <f t="shared" si="103"/>
        <v>85401</v>
      </c>
    </row>
    <row r="6401" spans="1:6" x14ac:dyDescent="0.3">
      <c r="A6401" s="45">
        <v>43628</v>
      </c>
      <c r="B6401" s="5" t="s">
        <v>5042</v>
      </c>
      <c r="C6401" s="5" t="s">
        <v>681</v>
      </c>
      <c r="D6401" s="43">
        <v>85000</v>
      </c>
      <c r="E6401" s="43"/>
      <c r="F6401" s="48">
        <f t="shared" si="103"/>
        <v>401</v>
      </c>
    </row>
    <row r="6402" spans="1:6" x14ac:dyDescent="0.3">
      <c r="A6402" s="45">
        <v>43628</v>
      </c>
      <c r="B6402" s="5" t="s">
        <v>4112</v>
      </c>
      <c r="C6402" s="5" t="s">
        <v>5054</v>
      </c>
      <c r="D6402" s="43">
        <v>150</v>
      </c>
      <c r="E6402" s="43"/>
      <c r="F6402" s="48">
        <f t="shared" si="103"/>
        <v>251</v>
      </c>
    </row>
    <row r="6403" spans="1:6" x14ac:dyDescent="0.3">
      <c r="A6403" s="45">
        <v>43628</v>
      </c>
      <c r="B6403" s="5" t="s">
        <v>25</v>
      </c>
      <c r="C6403" s="5" t="s">
        <v>5055</v>
      </c>
      <c r="D6403" s="43">
        <v>150</v>
      </c>
      <c r="E6403" s="43"/>
      <c r="F6403" s="48">
        <f t="shared" si="103"/>
        <v>101</v>
      </c>
    </row>
    <row r="6404" spans="1:6" x14ac:dyDescent="0.3">
      <c r="A6404" s="45">
        <v>43628</v>
      </c>
      <c r="B6404" s="358" t="s">
        <v>3444</v>
      </c>
      <c r="C6404" s="358"/>
      <c r="D6404" s="71"/>
      <c r="E6404" s="72">
        <v>50000</v>
      </c>
      <c r="F6404" s="48">
        <f t="shared" si="103"/>
        <v>50101</v>
      </c>
    </row>
    <row r="6405" spans="1:6" x14ac:dyDescent="0.3">
      <c r="A6405" s="45">
        <v>43628</v>
      </c>
      <c r="B6405" s="5" t="s">
        <v>0</v>
      </c>
      <c r="C6405" s="5" t="s">
        <v>294</v>
      </c>
      <c r="D6405" s="43">
        <v>25000</v>
      </c>
      <c r="E6405" s="43"/>
      <c r="F6405" s="48">
        <f t="shared" si="103"/>
        <v>25101</v>
      </c>
    </row>
    <row r="6406" spans="1:6" x14ac:dyDescent="0.3">
      <c r="A6406" s="45">
        <v>43629</v>
      </c>
      <c r="B6406" s="5" t="s">
        <v>1458</v>
      </c>
      <c r="C6406" s="5" t="s">
        <v>3372</v>
      </c>
      <c r="D6406" s="43">
        <v>300</v>
      </c>
      <c r="E6406" s="43"/>
      <c r="F6406" s="48">
        <f t="shared" si="103"/>
        <v>24801</v>
      </c>
    </row>
    <row r="6407" spans="1:6" x14ac:dyDescent="0.3">
      <c r="A6407" s="45">
        <v>43629</v>
      </c>
      <c r="B6407" s="5" t="s">
        <v>16</v>
      </c>
      <c r="C6407" s="5" t="s">
        <v>294</v>
      </c>
      <c r="D6407" s="43">
        <v>8500</v>
      </c>
      <c r="E6407" s="43"/>
      <c r="F6407" s="48">
        <f t="shared" si="103"/>
        <v>16301</v>
      </c>
    </row>
    <row r="6408" spans="1:6" x14ac:dyDescent="0.3">
      <c r="A6408" s="45">
        <v>43629</v>
      </c>
      <c r="B6408" s="5" t="s">
        <v>4470</v>
      </c>
      <c r="C6408" s="5" t="s">
        <v>5058</v>
      </c>
      <c r="D6408" s="43">
        <v>1170</v>
      </c>
      <c r="E6408" s="43"/>
      <c r="F6408" s="48">
        <f t="shared" si="103"/>
        <v>15131</v>
      </c>
    </row>
    <row r="6409" spans="1:6" x14ac:dyDescent="0.3">
      <c r="A6409" s="45">
        <v>43629</v>
      </c>
      <c r="B6409" s="5" t="s">
        <v>14</v>
      </c>
      <c r="C6409" s="5" t="s">
        <v>5059</v>
      </c>
      <c r="D6409" s="43">
        <v>1000</v>
      </c>
      <c r="E6409" s="43"/>
      <c r="F6409" s="48">
        <f t="shared" si="103"/>
        <v>14131</v>
      </c>
    </row>
    <row r="6410" spans="1:6" x14ac:dyDescent="0.3">
      <c r="A6410" s="45">
        <v>43629</v>
      </c>
      <c r="B6410" s="5" t="s">
        <v>1616</v>
      </c>
      <c r="C6410" s="5" t="s">
        <v>3703</v>
      </c>
      <c r="D6410" s="43">
        <v>1500</v>
      </c>
      <c r="E6410" s="43"/>
      <c r="F6410" s="48">
        <f t="shared" si="103"/>
        <v>12631</v>
      </c>
    </row>
    <row r="6411" spans="1:6" x14ac:dyDescent="0.3">
      <c r="A6411" s="45">
        <v>43629</v>
      </c>
      <c r="B6411" s="5" t="s">
        <v>1616</v>
      </c>
      <c r="C6411" s="5" t="s">
        <v>2435</v>
      </c>
      <c r="D6411" s="43">
        <v>550</v>
      </c>
      <c r="E6411" s="43"/>
      <c r="F6411" s="48">
        <f t="shared" si="103"/>
        <v>12081</v>
      </c>
    </row>
    <row r="6412" spans="1:6" x14ac:dyDescent="0.3">
      <c r="A6412" s="45">
        <v>43630</v>
      </c>
      <c r="B6412" s="5" t="s">
        <v>0</v>
      </c>
      <c r="C6412" s="5" t="s">
        <v>294</v>
      </c>
      <c r="D6412" s="43">
        <v>8000</v>
      </c>
      <c r="E6412" s="43"/>
      <c r="F6412" s="48">
        <f t="shared" ref="F6412:F6475" si="104">F6411-D6412+E6412</f>
        <v>4081</v>
      </c>
    </row>
    <row r="6413" spans="1:6" x14ac:dyDescent="0.3">
      <c r="A6413" s="45">
        <v>43630</v>
      </c>
      <c r="B6413" s="5" t="s">
        <v>2948</v>
      </c>
      <c r="C6413" s="5" t="s">
        <v>4760</v>
      </c>
      <c r="D6413" s="43">
        <v>2600</v>
      </c>
      <c r="E6413" s="43"/>
      <c r="F6413" s="48">
        <f t="shared" si="104"/>
        <v>1481</v>
      </c>
    </row>
    <row r="6414" spans="1:6" x14ac:dyDescent="0.3">
      <c r="A6414" s="45">
        <v>43630</v>
      </c>
      <c r="B6414" s="358" t="s">
        <v>3444</v>
      </c>
      <c r="C6414" s="358"/>
      <c r="D6414" s="71"/>
      <c r="E6414" s="72">
        <v>200000</v>
      </c>
      <c r="F6414" s="48">
        <f t="shared" si="104"/>
        <v>201481</v>
      </c>
    </row>
    <row r="6415" spans="1:6" x14ac:dyDescent="0.3">
      <c r="A6415" s="45">
        <v>43630</v>
      </c>
      <c r="B6415" s="5" t="s">
        <v>4550</v>
      </c>
      <c r="C6415" s="5" t="s">
        <v>4764</v>
      </c>
      <c r="D6415" s="43">
        <v>25000</v>
      </c>
      <c r="E6415" s="43"/>
      <c r="F6415" s="48">
        <f t="shared" si="104"/>
        <v>176481</v>
      </c>
    </row>
    <row r="6416" spans="1:6" x14ac:dyDescent="0.3">
      <c r="A6416" s="45">
        <v>43630</v>
      </c>
      <c r="B6416" s="5" t="s">
        <v>110</v>
      </c>
      <c r="C6416" s="5" t="s">
        <v>5060</v>
      </c>
      <c r="D6416" s="43">
        <v>7500</v>
      </c>
      <c r="E6416" s="43"/>
      <c r="F6416" s="48">
        <f t="shared" si="104"/>
        <v>168981</v>
      </c>
    </row>
    <row r="6417" spans="1:6" x14ac:dyDescent="0.3">
      <c r="A6417" s="45">
        <v>43630</v>
      </c>
      <c r="B6417" s="5" t="s">
        <v>1458</v>
      </c>
      <c r="C6417" s="5" t="s">
        <v>5061</v>
      </c>
      <c r="D6417" s="43">
        <f>230+120+30+140+20+25+360+90+40+50+180+25+100</f>
        <v>1410</v>
      </c>
      <c r="E6417" s="43"/>
      <c r="F6417" s="48">
        <f t="shared" si="104"/>
        <v>167571</v>
      </c>
    </row>
    <row r="6418" spans="1:6" x14ac:dyDescent="0.3">
      <c r="A6418" s="45">
        <v>43630</v>
      </c>
      <c r="B6418" s="5" t="s">
        <v>84</v>
      </c>
      <c r="C6418" s="5" t="s">
        <v>5062</v>
      </c>
      <c r="D6418" s="43">
        <v>15000</v>
      </c>
      <c r="E6418" s="43"/>
      <c r="F6418" s="48">
        <f t="shared" si="104"/>
        <v>152571</v>
      </c>
    </row>
    <row r="6419" spans="1:6" x14ac:dyDescent="0.3">
      <c r="A6419" s="45">
        <v>43631</v>
      </c>
      <c r="B6419" s="5" t="s">
        <v>693</v>
      </c>
      <c r="C6419" s="5" t="s">
        <v>3977</v>
      </c>
      <c r="D6419" s="43">
        <v>900</v>
      </c>
      <c r="E6419" s="43"/>
      <c r="F6419" s="48">
        <f t="shared" si="104"/>
        <v>151671</v>
      </c>
    </row>
    <row r="6420" spans="1:6" x14ac:dyDescent="0.3">
      <c r="A6420" s="45">
        <v>43633</v>
      </c>
      <c r="B6420" s="5" t="s">
        <v>56</v>
      </c>
      <c r="C6420" s="5" t="s">
        <v>5065</v>
      </c>
      <c r="D6420" s="43">
        <v>1000</v>
      </c>
      <c r="E6420" s="43"/>
      <c r="F6420" s="48">
        <f t="shared" si="104"/>
        <v>150671</v>
      </c>
    </row>
    <row r="6421" spans="1:6" x14ac:dyDescent="0.3">
      <c r="A6421" s="45">
        <v>43633</v>
      </c>
      <c r="B6421" s="5" t="s">
        <v>56</v>
      </c>
      <c r="C6421" s="5" t="s">
        <v>1624</v>
      </c>
      <c r="D6421" s="43">
        <v>100</v>
      </c>
      <c r="E6421" s="43"/>
      <c r="F6421" s="48">
        <f t="shared" si="104"/>
        <v>150571</v>
      </c>
    </row>
    <row r="6422" spans="1:6" x14ac:dyDescent="0.3">
      <c r="A6422" s="45">
        <v>43633</v>
      </c>
      <c r="B6422" s="5" t="s">
        <v>56</v>
      </c>
      <c r="C6422" s="5" t="s">
        <v>5486</v>
      </c>
      <c r="D6422" s="43">
        <v>2000</v>
      </c>
      <c r="E6422" s="43"/>
      <c r="F6422" s="48">
        <f t="shared" si="104"/>
        <v>148571</v>
      </c>
    </row>
    <row r="6423" spans="1:6" x14ac:dyDescent="0.3">
      <c r="A6423" s="45">
        <v>43633</v>
      </c>
      <c r="B6423" s="5" t="s">
        <v>100</v>
      </c>
      <c r="C6423" s="5" t="s">
        <v>5080</v>
      </c>
      <c r="D6423" s="43">
        <v>10000</v>
      </c>
      <c r="E6423" s="43"/>
      <c r="F6423" s="48">
        <f t="shared" si="104"/>
        <v>138571</v>
      </c>
    </row>
    <row r="6424" spans="1:6" x14ac:dyDescent="0.3">
      <c r="A6424" s="45">
        <v>43633</v>
      </c>
      <c r="B6424" s="5" t="s">
        <v>0</v>
      </c>
      <c r="C6424" s="5" t="s">
        <v>4187</v>
      </c>
      <c r="D6424" s="43">
        <v>200</v>
      </c>
      <c r="E6424" s="43"/>
      <c r="F6424" s="48">
        <f t="shared" si="104"/>
        <v>138371</v>
      </c>
    </row>
    <row r="6425" spans="1:6" x14ac:dyDescent="0.3">
      <c r="A6425" s="45">
        <v>43633</v>
      </c>
      <c r="B6425" s="5" t="s">
        <v>4112</v>
      </c>
      <c r="C6425" s="5" t="s">
        <v>5067</v>
      </c>
      <c r="D6425" s="43">
        <v>200</v>
      </c>
      <c r="E6425" s="43"/>
      <c r="F6425" s="48">
        <f t="shared" si="104"/>
        <v>138171</v>
      </c>
    </row>
    <row r="6426" spans="1:6" x14ac:dyDescent="0.3">
      <c r="A6426" s="45">
        <v>43633</v>
      </c>
      <c r="B6426" s="5" t="s">
        <v>3825</v>
      </c>
      <c r="C6426" s="5" t="s">
        <v>5068</v>
      </c>
      <c r="D6426" s="43">
        <v>1000</v>
      </c>
      <c r="E6426" s="43"/>
      <c r="F6426" s="48">
        <f t="shared" si="104"/>
        <v>137171</v>
      </c>
    </row>
    <row r="6427" spans="1:6" x14ac:dyDescent="0.3">
      <c r="A6427" s="45">
        <v>43633</v>
      </c>
      <c r="B6427" s="5" t="s">
        <v>84</v>
      </c>
      <c r="C6427" s="5" t="s">
        <v>5069</v>
      </c>
      <c r="D6427" s="43">
        <v>2000</v>
      </c>
      <c r="E6427" s="43"/>
      <c r="F6427" s="48">
        <f t="shared" si="104"/>
        <v>135171</v>
      </c>
    </row>
    <row r="6428" spans="1:6" x14ac:dyDescent="0.3">
      <c r="A6428" s="45">
        <v>43633</v>
      </c>
      <c r="B6428" s="5" t="s">
        <v>84</v>
      </c>
      <c r="C6428" s="5" t="s">
        <v>5070</v>
      </c>
      <c r="D6428" s="43">
        <v>1000</v>
      </c>
      <c r="E6428" s="43"/>
      <c r="F6428" s="48">
        <f t="shared" si="104"/>
        <v>134171</v>
      </c>
    </row>
    <row r="6429" spans="1:6" x14ac:dyDescent="0.3">
      <c r="A6429" s="45">
        <v>43634</v>
      </c>
      <c r="B6429" s="5" t="s">
        <v>18</v>
      </c>
      <c r="C6429" s="5" t="s">
        <v>4293</v>
      </c>
      <c r="D6429" s="43">
        <v>1000</v>
      </c>
      <c r="E6429" s="43"/>
      <c r="F6429" s="48">
        <f t="shared" si="104"/>
        <v>133171</v>
      </c>
    </row>
    <row r="6430" spans="1:6" x14ac:dyDescent="0.3">
      <c r="A6430" s="45">
        <v>43635</v>
      </c>
      <c r="B6430" s="5" t="s">
        <v>16</v>
      </c>
      <c r="C6430" s="5" t="s">
        <v>294</v>
      </c>
      <c r="D6430" s="43">
        <v>25000</v>
      </c>
      <c r="E6430" s="43"/>
      <c r="F6430" s="48">
        <f t="shared" si="104"/>
        <v>108171</v>
      </c>
    </row>
    <row r="6431" spans="1:6" x14ac:dyDescent="0.3">
      <c r="A6431" s="45">
        <v>43635</v>
      </c>
      <c r="B6431" s="5" t="s">
        <v>84</v>
      </c>
      <c r="C6431" s="5" t="s">
        <v>5072</v>
      </c>
      <c r="D6431" s="43">
        <v>5000</v>
      </c>
      <c r="E6431" s="43"/>
      <c r="F6431" s="48">
        <f t="shared" si="104"/>
        <v>103171</v>
      </c>
    </row>
    <row r="6432" spans="1:6" x14ac:dyDescent="0.3">
      <c r="A6432" s="45">
        <v>43635</v>
      </c>
      <c r="B6432" s="5" t="s">
        <v>4308</v>
      </c>
      <c r="C6432" s="5" t="s">
        <v>5073</v>
      </c>
      <c r="D6432" s="43">
        <v>75000</v>
      </c>
      <c r="E6432" s="43"/>
      <c r="F6432" s="48">
        <f t="shared" si="104"/>
        <v>28171</v>
      </c>
    </row>
    <row r="6433" spans="1:6" ht="206.25" x14ac:dyDescent="0.3">
      <c r="A6433" s="45">
        <v>43635</v>
      </c>
      <c r="B6433" s="191" t="s">
        <v>3444</v>
      </c>
      <c r="C6433" s="124" t="s">
        <v>5076</v>
      </c>
      <c r="D6433" s="192"/>
      <c r="E6433" s="141">
        <v>200000</v>
      </c>
      <c r="F6433" s="48">
        <f t="shared" si="104"/>
        <v>228171</v>
      </c>
    </row>
    <row r="6434" spans="1:6" x14ac:dyDescent="0.3">
      <c r="A6434" s="45">
        <v>43635</v>
      </c>
      <c r="B6434" s="5" t="s">
        <v>5074</v>
      </c>
      <c r="C6434" s="5" t="s">
        <v>5075</v>
      </c>
      <c r="D6434" s="43">
        <v>85000</v>
      </c>
      <c r="E6434" s="43"/>
      <c r="F6434" s="48">
        <f t="shared" si="104"/>
        <v>143171</v>
      </c>
    </row>
    <row r="6435" spans="1:6" x14ac:dyDescent="0.3">
      <c r="A6435" s="45">
        <v>43636</v>
      </c>
      <c r="B6435" s="358"/>
      <c r="C6435" s="358" t="s">
        <v>5077</v>
      </c>
      <c r="D6435" s="71"/>
      <c r="E6435" s="72">
        <v>14000</v>
      </c>
      <c r="F6435" s="48">
        <f t="shared" si="104"/>
        <v>157171</v>
      </c>
    </row>
    <row r="6436" spans="1:6" x14ac:dyDescent="0.3">
      <c r="A6436" s="45">
        <v>43636</v>
      </c>
      <c r="B6436" s="5" t="s">
        <v>5042</v>
      </c>
      <c r="C6436" s="5" t="s">
        <v>4928</v>
      </c>
      <c r="D6436" s="43">
        <v>15000</v>
      </c>
      <c r="E6436" s="43"/>
      <c r="F6436" s="48">
        <f t="shared" si="104"/>
        <v>142171</v>
      </c>
    </row>
    <row r="6437" spans="1:6" x14ac:dyDescent="0.3">
      <c r="A6437" s="45">
        <v>43636</v>
      </c>
      <c r="B6437" s="5" t="s">
        <v>5074</v>
      </c>
      <c r="C6437" s="5" t="s">
        <v>5078</v>
      </c>
      <c r="D6437" s="43">
        <v>43000</v>
      </c>
      <c r="E6437" s="43"/>
      <c r="F6437" s="48">
        <f t="shared" si="104"/>
        <v>99171</v>
      </c>
    </row>
    <row r="6438" spans="1:6" x14ac:dyDescent="0.3">
      <c r="A6438" s="45">
        <v>43637</v>
      </c>
      <c r="B6438" s="5" t="s">
        <v>16</v>
      </c>
      <c r="C6438" s="5" t="s">
        <v>294</v>
      </c>
      <c r="D6438" s="43">
        <v>25000</v>
      </c>
      <c r="E6438" s="43"/>
      <c r="F6438" s="48">
        <f t="shared" si="104"/>
        <v>74171</v>
      </c>
    </row>
    <row r="6439" spans="1:6" x14ac:dyDescent="0.3">
      <c r="A6439" s="45">
        <v>43637</v>
      </c>
      <c r="B6439" s="5" t="s">
        <v>4112</v>
      </c>
      <c r="C6439" s="5" t="s">
        <v>2013</v>
      </c>
      <c r="D6439" s="43">
        <v>100</v>
      </c>
      <c r="E6439" s="43"/>
      <c r="F6439" s="48">
        <f t="shared" si="104"/>
        <v>74071</v>
      </c>
    </row>
    <row r="6440" spans="1:6" x14ac:dyDescent="0.3">
      <c r="A6440" s="45">
        <v>43637</v>
      </c>
      <c r="B6440" s="5" t="s">
        <v>3559</v>
      </c>
      <c r="C6440" s="5" t="s">
        <v>4381</v>
      </c>
      <c r="D6440" s="43">
        <v>660</v>
      </c>
      <c r="E6440" s="43"/>
      <c r="F6440" s="48">
        <f t="shared" si="104"/>
        <v>73411</v>
      </c>
    </row>
    <row r="6441" spans="1:6" x14ac:dyDescent="0.3">
      <c r="A6441" s="45">
        <v>43638</v>
      </c>
      <c r="B6441" s="5" t="s">
        <v>25</v>
      </c>
      <c r="C6441" s="5" t="s">
        <v>5079</v>
      </c>
      <c r="D6441" s="43">
        <f>24+150+150+684+200+190+140+270+140+210+140+70+220+50+50</f>
        <v>2688</v>
      </c>
      <c r="E6441" s="43"/>
      <c r="F6441" s="48">
        <f t="shared" si="104"/>
        <v>70723</v>
      </c>
    </row>
    <row r="6442" spans="1:6" x14ac:dyDescent="0.3">
      <c r="A6442" s="45">
        <v>43638</v>
      </c>
      <c r="B6442" s="5" t="s">
        <v>247</v>
      </c>
      <c r="C6442" s="5" t="s">
        <v>5081</v>
      </c>
      <c r="D6442" s="43">
        <v>690</v>
      </c>
      <c r="E6442" s="43"/>
      <c r="F6442" s="48">
        <f t="shared" si="104"/>
        <v>70033</v>
      </c>
    </row>
    <row r="6443" spans="1:6" x14ac:dyDescent="0.3">
      <c r="A6443" s="45">
        <v>43638</v>
      </c>
      <c r="B6443" s="5" t="s">
        <v>100</v>
      </c>
      <c r="C6443" s="5" t="s">
        <v>5082</v>
      </c>
      <c r="D6443" s="43">
        <v>15000</v>
      </c>
      <c r="E6443" s="43"/>
      <c r="F6443" s="48">
        <f t="shared" si="104"/>
        <v>55033</v>
      </c>
    </row>
    <row r="6444" spans="1:6" x14ac:dyDescent="0.3">
      <c r="A6444" s="45">
        <v>43638</v>
      </c>
      <c r="B6444" s="5" t="s">
        <v>11</v>
      </c>
      <c r="C6444" s="5" t="s">
        <v>3910</v>
      </c>
      <c r="D6444" s="43">
        <v>650</v>
      </c>
      <c r="E6444" s="43"/>
      <c r="F6444" s="48">
        <f t="shared" si="104"/>
        <v>54383</v>
      </c>
    </row>
    <row r="6445" spans="1:6" x14ac:dyDescent="0.3">
      <c r="A6445" s="45">
        <v>43638</v>
      </c>
      <c r="B6445" s="5" t="s">
        <v>367</v>
      </c>
      <c r="C6445" s="5" t="s">
        <v>5083</v>
      </c>
      <c r="D6445" s="43">
        <v>7000</v>
      </c>
      <c r="E6445" s="43"/>
      <c r="F6445" s="48">
        <f t="shared" si="104"/>
        <v>47383</v>
      </c>
    </row>
    <row r="6446" spans="1:6" x14ac:dyDescent="0.3">
      <c r="A6446" s="45">
        <v>43638</v>
      </c>
      <c r="B6446" s="5" t="s">
        <v>10</v>
      </c>
      <c r="C6446" s="5" t="s">
        <v>5085</v>
      </c>
      <c r="D6446" s="43">
        <v>5000</v>
      </c>
      <c r="E6446" s="43"/>
      <c r="F6446" s="48">
        <f t="shared" si="104"/>
        <v>42383</v>
      </c>
    </row>
    <row r="6447" spans="1:6" x14ac:dyDescent="0.3">
      <c r="A6447" s="45">
        <v>43638</v>
      </c>
      <c r="B6447" s="5" t="s">
        <v>84</v>
      </c>
      <c r="C6447" s="5" t="s">
        <v>5086</v>
      </c>
      <c r="D6447" s="43">
        <v>14000</v>
      </c>
      <c r="E6447" s="43"/>
      <c r="F6447" s="48">
        <f t="shared" si="104"/>
        <v>28383</v>
      </c>
    </row>
    <row r="6448" spans="1:6" x14ac:dyDescent="0.3">
      <c r="A6448" s="45">
        <v>43640</v>
      </c>
      <c r="B6448" s="5" t="s">
        <v>18</v>
      </c>
      <c r="C6448" s="5" t="s">
        <v>5087</v>
      </c>
      <c r="D6448" s="43">
        <v>16000</v>
      </c>
      <c r="E6448" s="43"/>
      <c r="F6448" s="48">
        <f t="shared" si="104"/>
        <v>12383</v>
      </c>
    </row>
    <row r="6449" spans="1:6" x14ac:dyDescent="0.3">
      <c r="A6449" s="45">
        <v>43640</v>
      </c>
      <c r="B6449" s="5" t="s">
        <v>14</v>
      </c>
      <c r="C6449" s="5" t="s">
        <v>640</v>
      </c>
      <c r="D6449" s="43">
        <v>1000</v>
      </c>
      <c r="E6449" s="43"/>
      <c r="F6449" s="48">
        <f t="shared" si="104"/>
        <v>11383</v>
      </c>
    </row>
    <row r="6450" spans="1:6" x14ac:dyDescent="0.3">
      <c r="A6450" s="45">
        <v>43641</v>
      </c>
      <c r="B6450" s="5" t="s">
        <v>5042</v>
      </c>
      <c r="C6450" s="5" t="s">
        <v>5088</v>
      </c>
      <c r="D6450" s="43">
        <v>3000</v>
      </c>
      <c r="E6450" s="43"/>
      <c r="F6450" s="48">
        <f t="shared" si="104"/>
        <v>8383</v>
      </c>
    </row>
    <row r="6451" spans="1:6" x14ac:dyDescent="0.3">
      <c r="A6451" s="45">
        <v>43641</v>
      </c>
      <c r="B6451" s="5" t="s">
        <v>5042</v>
      </c>
      <c r="C6451" s="5" t="s">
        <v>5088</v>
      </c>
      <c r="D6451" s="43">
        <v>3000</v>
      </c>
      <c r="E6451" s="43"/>
      <c r="F6451" s="48">
        <f t="shared" si="104"/>
        <v>5383</v>
      </c>
    </row>
    <row r="6452" spans="1:6" x14ac:dyDescent="0.3">
      <c r="A6452" s="45">
        <v>43642</v>
      </c>
      <c r="B6452" s="5" t="s">
        <v>84</v>
      </c>
      <c r="C6452" s="5" t="s">
        <v>5090</v>
      </c>
      <c r="D6452" s="43">
        <v>2000</v>
      </c>
      <c r="E6452" s="43"/>
      <c r="F6452" s="48">
        <f t="shared" si="104"/>
        <v>3383</v>
      </c>
    </row>
    <row r="6453" spans="1:6" x14ac:dyDescent="0.3">
      <c r="A6453" s="45">
        <v>43643</v>
      </c>
      <c r="B6453" s="358"/>
      <c r="C6453" s="358" t="s">
        <v>5092</v>
      </c>
      <c r="D6453" s="71"/>
      <c r="E6453" s="72">
        <v>500000</v>
      </c>
      <c r="F6453" s="48">
        <f t="shared" si="104"/>
        <v>503383</v>
      </c>
    </row>
    <row r="6454" spans="1:6" x14ac:dyDescent="0.3">
      <c r="A6454" s="45">
        <v>43643</v>
      </c>
      <c r="B6454" s="5" t="s">
        <v>25</v>
      </c>
      <c r="C6454" s="5" t="s">
        <v>5091</v>
      </c>
      <c r="D6454" s="43">
        <f>180+180+180+170+250+120+150+180+180+10+20+649+10</f>
        <v>2279</v>
      </c>
      <c r="E6454" s="43"/>
      <c r="F6454" s="48">
        <f t="shared" si="104"/>
        <v>501104</v>
      </c>
    </row>
    <row r="6455" spans="1:6" x14ac:dyDescent="0.3">
      <c r="A6455" s="45">
        <v>43643</v>
      </c>
      <c r="B6455" s="5" t="s">
        <v>14</v>
      </c>
      <c r="C6455" s="92" t="s">
        <v>5096</v>
      </c>
      <c r="D6455" s="43">
        <v>400000</v>
      </c>
      <c r="E6455" s="43"/>
      <c r="F6455" s="48">
        <f t="shared" si="104"/>
        <v>101104</v>
      </c>
    </row>
    <row r="6456" spans="1:6" x14ac:dyDescent="0.3">
      <c r="A6456" s="45">
        <v>43643</v>
      </c>
      <c r="B6456" s="5" t="s">
        <v>2594</v>
      </c>
      <c r="C6456" s="5" t="s">
        <v>5094</v>
      </c>
      <c r="D6456" s="43">
        <v>10350</v>
      </c>
      <c r="E6456" s="43"/>
      <c r="F6456" s="48">
        <f t="shared" si="104"/>
        <v>90754</v>
      </c>
    </row>
    <row r="6457" spans="1:6" x14ac:dyDescent="0.3">
      <c r="A6457" s="45">
        <v>43643</v>
      </c>
      <c r="B6457" s="5" t="s">
        <v>25</v>
      </c>
      <c r="C6457" s="5" t="s">
        <v>5140</v>
      </c>
      <c r="D6457" s="43">
        <v>15000</v>
      </c>
      <c r="E6457" s="43"/>
      <c r="F6457" s="48">
        <f t="shared" si="104"/>
        <v>75754</v>
      </c>
    </row>
    <row r="6458" spans="1:6" x14ac:dyDescent="0.3">
      <c r="A6458" s="45">
        <v>43643</v>
      </c>
      <c r="B6458" s="5" t="s">
        <v>5093</v>
      </c>
      <c r="C6458" s="5" t="s">
        <v>5095</v>
      </c>
      <c r="D6458" s="43">
        <v>5240</v>
      </c>
      <c r="E6458" s="43"/>
      <c r="F6458" s="48">
        <f t="shared" si="104"/>
        <v>70514</v>
      </c>
    </row>
    <row r="6459" spans="1:6" x14ac:dyDescent="0.3">
      <c r="A6459" s="45">
        <v>43644</v>
      </c>
      <c r="B6459" s="5" t="s">
        <v>4722</v>
      </c>
      <c r="C6459" s="5" t="s">
        <v>5097</v>
      </c>
      <c r="D6459" s="43">
        <v>15000</v>
      </c>
      <c r="E6459" s="43"/>
      <c r="F6459" s="48">
        <f t="shared" si="104"/>
        <v>55514</v>
      </c>
    </row>
    <row r="6460" spans="1:6" x14ac:dyDescent="0.3">
      <c r="A6460" s="45">
        <v>43644</v>
      </c>
      <c r="B6460" s="5" t="s">
        <v>5098</v>
      </c>
      <c r="C6460" s="5" t="s">
        <v>3977</v>
      </c>
      <c r="D6460" s="43">
        <v>2500</v>
      </c>
      <c r="E6460" s="43"/>
      <c r="F6460" s="48">
        <f t="shared" si="104"/>
        <v>53014</v>
      </c>
    </row>
    <row r="6461" spans="1:6" x14ac:dyDescent="0.3">
      <c r="A6461" s="45">
        <v>43644</v>
      </c>
      <c r="B6461" s="5" t="s">
        <v>100</v>
      </c>
      <c r="C6461" s="5" t="s">
        <v>4591</v>
      </c>
      <c r="D6461" s="43">
        <v>15000</v>
      </c>
      <c r="E6461" s="43"/>
      <c r="F6461" s="48">
        <f t="shared" si="104"/>
        <v>38014</v>
      </c>
    </row>
    <row r="6462" spans="1:6" x14ac:dyDescent="0.3">
      <c r="A6462" s="45">
        <v>43644</v>
      </c>
      <c r="B6462" s="5" t="s">
        <v>110</v>
      </c>
      <c r="C6462" s="5" t="s">
        <v>3332</v>
      </c>
      <c r="D6462" s="43">
        <v>9130</v>
      </c>
      <c r="E6462" s="43"/>
      <c r="F6462" s="48">
        <f t="shared" si="104"/>
        <v>28884</v>
      </c>
    </row>
    <row r="6463" spans="1:6" x14ac:dyDescent="0.3">
      <c r="A6463" s="45">
        <v>43644</v>
      </c>
      <c r="B6463" s="5" t="s">
        <v>4112</v>
      </c>
      <c r="C6463" s="5" t="s">
        <v>5099</v>
      </c>
      <c r="D6463" s="43">
        <v>2138</v>
      </c>
      <c r="E6463" s="43"/>
      <c r="F6463" s="48">
        <f t="shared" si="104"/>
        <v>26746</v>
      </c>
    </row>
    <row r="6464" spans="1:6" x14ac:dyDescent="0.3">
      <c r="A6464" s="45">
        <v>43644</v>
      </c>
      <c r="B6464" s="5" t="s">
        <v>4112</v>
      </c>
      <c r="C6464" s="5" t="s">
        <v>5100</v>
      </c>
      <c r="D6464" s="43">
        <v>100</v>
      </c>
      <c r="E6464" s="43"/>
      <c r="F6464" s="48">
        <f t="shared" si="104"/>
        <v>26646</v>
      </c>
    </row>
    <row r="6465" spans="1:6" x14ac:dyDescent="0.3">
      <c r="A6465" s="45">
        <v>43645</v>
      </c>
      <c r="B6465" s="5" t="s">
        <v>84</v>
      </c>
      <c r="C6465" s="5" t="s">
        <v>5101</v>
      </c>
      <c r="D6465" s="43">
        <v>20000</v>
      </c>
      <c r="E6465" s="43"/>
      <c r="F6465" s="48">
        <f t="shared" si="104"/>
        <v>6646</v>
      </c>
    </row>
    <row r="6466" spans="1:6" x14ac:dyDescent="0.3">
      <c r="A6466" s="45">
        <v>43645</v>
      </c>
      <c r="B6466" s="5" t="s">
        <v>25</v>
      </c>
      <c r="C6466" s="5" t="s">
        <v>5102</v>
      </c>
      <c r="D6466" s="43">
        <v>300</v>
      </c>
      <c r="E6466" s="43"/>
      <c r="F6466" s="48">
        <f t="shared" si="104"/>
        <v>6346</v>
      </c>
    </row>
    <row r="6467" spans="1:6" x14ac:dyDescent="0.3">
      <c r="A6467" s="45">
        <v>43645</v>
      </c>
      <c r="B6467" s="5" t="s">
        <v>4737</v>
      </c>
      <c r="C6467" s="5" t="s">
        <v>5103</v>
      </c>
      <c r="D6467" s="43">
        <v>2000</v>
      </c>
      <c r="E6467" s="43"/>
      <c r="F6467" s="48">
        <f t="shared" si="104"/>
        <v>4346</v>
      </c>
    </row>
    <row r="6468" spans="1:6" x14ac:dyDescent="0.3">
      <c r="A6468" s="45">
        <v>43645</v>
      </c>
      <c r="B6468" s="5" t="s">
        <v>84</v>
      </c>
      <c r="C6468" s="5" t="s">
        <v>5104</v>
      </c>
      <c r="D6468" s="43">
        <v>5000</v>
      </c>
      <c r="E6468" s="43"/>
      <c r="F6468" s="48">
        <f t="shared" si="104"/>
        <v>-654</v>
      </c>
    </row>
    <row r="6469" spans="1:6" ht="262.5" x14ac:dyDescent="0.3">
      <c r="A6469" s="45">
        <v>43648</v>
      </c>
      <c r="B6469" s="191" t="s">
        <v>3444</v>
      </c>
      <c r="C6469" s="124" t="s">
        <v>5141</v>
      </c>
      <c r="D6469" s="192"/>
      <c r="E6469" s="141">
        <v>100000</v>
      </c>
      <c r="F6469" s="48">
        <f t="shared" si="104"/>
        <v>99346</v>
      </c>
    </row>
    <row r="6470" spans="1:6" x14ac:dyDescent="0.3">
      <c r="A6470" s="45">
        <v>43648</v>
      </c>
      <c r="B6470" s="191" t="s">
        <v>25</v>
      </c>
      <c r="C6470" s="124" t="s">
        <v>5142</v>
      </c>
      <c r="D6470" s="192">
        <v>113</v>
      </c>
      <c r="E6470" s="141"/>
      <c r="F6470" s="48">
        <f t="shared" si="104"/>
        <v>99233</v>
      </c>
    </row>
    <row r="6471" spans="1:6" x14ac:dyDescent="0.3">
      <c r="A6471" s="45">
        <v>43645</v>
      </c>
      <c r="B6471" s="5" t="s">
        <v>84</v>
      </c>
      <c r="C6471" s="5" t="s">
        <v>5105</v>
      </c>
      <c r="D6471" s="43">
        <v>2000</v>
      </c>
      <c r="E6471" s="43"/>
      <c r="F6471" s="48">
        <f t="shared" si="104"/>
        <v>97233</v>
      </c>
    </row>
    <row r="6472" spans="1:6" x14ac:dyDescent="0.3">
      <c r="A6472" s="45">
        <v>43647</v>
      </c>
      <c r="B6472" s="5" t="s">
        <v>5106</v>
      </c>
      <c r="C6472" s="5" t="s">
        <v>3557</v>
      </c>
      <c r="D6472" s="43">
        <v>8000</v>
      </c>
      <c r="E6472" s="43"/>
      <c r="F6472" s="48">
        <f t="shared" si="104"/>
        <v>89233</v>
      </c>
    </row>
    <row r="6473" spans="1:6" x14ac:dyDescent="0.3">
      <c r="A6473" s="45">
        <v>43648</v>
      </c>
      <c r="B6473" s="5" t="s">
        <v>5042</v>
      </c>
      <c r="C6473" s="5" t="s">
        <v>5107</v>
      </c>
      <c r="D6473" s="43">
        <v>87000</v>
      </c>
      <c r="E6473" s="43"/>
      <c r="F6473" s="48">
        <f t="shared" si="104"/>
        <v>2233</v>
      </c>
    </row>
    <row r="6474" spans="1:6" x14ac:dyDescent="0.3">
      <c r="A6474" s="45">
        <v>43648</v>
      </c>
      <c r="B6474" s="5" t="s">
        <v>25</v>
      </c>
      <c r="C6474" s="5" t="s">
        <v>5108</v>
      </c>
      <c r="D6474" s="43">
        <v>1300</v>
      </c>
      <c r="E6474" s="43"/>
      <c r="F6474" s="48">
        <f t="shared" si="104"/>
        <v>933</v>
      </c>
    </row>
    <row r="6475" spans="1:6" x14ac:dyDescent="0.3">
      <c r="A6475" s="45">
        <v>43648</v>
      </c>
      <c r="B6475" s="358"/>
      <c r="C6475" s="358" t="s">
        <v>5132</v>
      </c>
      <c r="D6475" s="71"/>
      <c r="E6475" s="72">
        <v>500000</v>
      </c>
      <c r="F6475" s="48">
        <f t="shared" si="104"/>
        <v>500933</v>
      </c>
    </row>
    <row r="6476" spans="1:6" x14ac:dyDescent="0.3">
      <c r="A6476" s="45">
        <v>43648</v>
      </c>
      <c r="B6476" s="358"/>
      <c r="C6476" s="358" t="s">
        <v>4364</v>
      </c>
      <c r="D6476" s="71"/>
      <c r="E6476" s="72">
        <v>500000</v>
      </c>
      <c r="F6476" s="48">
        <f t="shared" ref="F6476:F6539" si="105">F6475-D6476+E6476</f>
        <v>1000933</v>
      </c>
    </row>
    <row r="6477" spans="1:6" x14ac:dyDescent="0.3">
      <c r="A6477" s="45">
        <v>43648</v>
      </c>
      <c r="B6477" s="358"/>
      <c r="C6477" s="358" t="s">
        <v>4364</v>
      </c>
      <c r="D6477" s="71"/>
      <c r="E6477" s="72">
        <v>500000</v>
      </c>
      <c r="F6477" s="48">
        <f t="shared" si="105"/>
        <v>1500933</v>
      </c>
    </row>
    <row r="6478" spans="1:6" x14ac:dyDescent="0.3">
      <c r="A6478" s="45">
        <v>43648</v>
      </c>
      <c r="B6478" s="358"/>
      <c r="C6478" s="358" t="s">
        <v>4364</v>
      </c>
      <c r="D6478" s="71"/>
      <c r="E6478" s="72">
        <v>250000</v>
      </c>
      <c r="F6478" s="48">
        <f t="shared" si="105"/>
        <v>1750933</v>
      </c>
    </row>
    <row r="6479" spans="1:6" x14ac:dyDescent="0.3">
      <c r="A6479" s="45">
        <v>43648</v>
      </c>
      <c r="B6479" s="358"/>
      <c r="C6479" s="358" t="s">
        <v>4364</v>
      </c>
      <c r="D6479" s="71"/>
      <c r="E6479" s="72">
        <v>62000</v>
      </c>
      <c r="F6479" s="48">
        <f t="shared" si="105"/>
        <v>1812933</v>
      </c>
    </row>
    <row r="6480" spans="1:6" x14ac:dyDescent="0.3">
      <c r="A6480" s="45">
        <v>43648</v>
      </c>
      <c r="B6480" s="5" t="s">
        <v>2594</v>
      </c>
      <c r="C6480" s="5" t="s">
        <v>5109</v>
      </c>
      <c r="D6480" s="43">
        <v>14733</v>
      </c>
      <c r="E6480" s="43"/>
      <c r="F6480" s="48">
        <f t="shared" si="105"/>
        <v>1798200</v>
      </c>
    </row>
    <row r="6481" spans="1:6" x14ac:dyDescent="0.3">
      <c r="A6481" s="45">
        <v>43648</v>
      </c>
      <c r="B6481" s="5" t="s">
        <v>2594</v>
      </c>
      <c r="C6481" s="5" t="s">
        <v>5109</v>
      </c>
      <c r="D6481" s="43">
        <v>980</v>
      </c>
      <c r="E6481" s="43"/>
      <c r="F6481" s="48">
        <f t="shared" si="105"/>
        <v>1797220</v>
      </c>
    </row>
    <row r="6482" spans="1:6" x14ac:dyDescent="0.3">
      <c r="A6482" s="45">
        <v>43649</v>
      </c>
      <c r="B6482" s="5" t="s">
        <v>4722</v>
      </c>
      <c r="C6482" s="41" t="s">
        <v>5110</v>
      </c>
      <c r="D6482" s="43">
        <v>10000</v>
      </c>
      <c r="E6482" s="43"/>
      <c r="F6482" s="48">
        <f t="shared" si="105"/>
        <v>1787220</v>
      </c>
    </row>
    <row r="6483" spans="1:6" x14ac:dyDescent="0.3">
      <c r="A6483" s="45">
        <v>43649</v>
      </c>
      <c r="B6483" s="5" t="s">
        <v>16</v>
      </c>
      <c r="C6483" s="5" t="s">
        <v>438</v>
      </c>
      <c r="D6483" s="43">
        <v>10000</v>
      </c>
      <c r="E6483" s="43"/>
      <c r="F6483" s="48">
        <f t="shared" si="105"/>
        <v>1777220</v>
      </c>
    </row>
    <row r="6484" spans="1:6" x14ac:dyDescent="0.3">
      <c r="A6484" s="45">
        <v>43649</v>
      </c>
      <c r="B6484" s="5" t="s">
        <v>2570</v>
      </c>
      <c r="C6484" s="5" t="s">
        <v>5115</v>
      </c>
      <c r="D6484" s="43">
        <v>830</v>
      </c>
      <c r="E6484" s="43"/>
      <c r="F6484" s="48">
        <f t="shared" si="105"/>
        <v>1776390</v>
      </c>
    </row>
    <row r="6485" spans="1:6" x14ac:dyDescent="0.3">
      <c r="A6485" s="45">
        <v>43649</v>
      </c>
      <c r="B6485" s="5" t="s">
        <v>3158</v>
      </c>
      <c r="C6485" s="5" t="s">
        <v>40</v>
      </c>
      <c r="D6485" s="43">
        <v>300</v>
      </c>
      <c r="E6485" s="43"/>
      <c r="F6485" s="48">
        <f t="shared" si="105"/>
        <v>1776090</v>
      </c>
    </row>
    <row r="6486" spans="1:6" x14ac:dyDescent="0.3">
      <c r="A6486" s="45">
        <v>43649</v>
      </c>
      <c r="B6486" s="5" t="s">
        <v>1616</v>
      </c>
      <c r="C6486" s="5" t="s">
        <v>5116</v>
      </c>
      <c r="D6486" s="43">
        <v>500</v>
      </c>
      <c r="E6486" s="43"/>
      <c r="F6486" s="48">
        <f t="shared" si="105"/>
        <v>1775590</v>
      </c>
    </row>
    <row r="6487" spans="1:6" x14ac:dyDescent="0.3">
      <c r="A6487" s="45">
        <v>43649</v>
      </c>
      <c r="B6487" s="5" t="s">
        <v>4112</v>
      </c>
      <c r="C6487" s="5" t="s">
        <v>5117</v>
      </c>
      <c r="D6487" s="43">
        <v>300</v>
      </c>
      <c r="E6487" s="43"/>
      <c r="F6487" s="48">
        <f t="shared" si="105"/>
        <v>1775290</v>
      </c>
    </row>
    <row r="6488" spans="1:6" x14ac:dyDescent="0.3">
      <c r="A6488" s="45">
        <v>43649</v>
      </c>
      <c r="B6488" s="5" t="s">
        <v>25</v>
      </c>
      <c r="C6488" s="5" t="s">
        <v>5118</v>
      </c>
      <c r="D6488" s="43">
        <v>2850</v>
      </c>
      <c r="E6488" s="43"/>
      <c r="F6488" s="48">
        <f t="shared" si="105"/>
        <v>1772440</v>
      </c>
    </row>
    <row r="6489" spans="1:6" x14ac:dyDescent="0.3">
      <c r="A6489" s="45">
        <v>43649</v>
      </c>
      <c r="B6489" s="5" t="s">
        <v>2594</v>
      </c>
      <c r="C6489" s="5" t="s">
        <v>5119</v>
      </c>
      <c r="D6489" s="43">
        <v>6440</v>
      </c>
      <c r="E6489" s="43"/>
      <c r="F6489" s="48">
        <f t="shared" si="105"/>
        <v>1766000</v>
      </c>
    </row>
    <row r="6490" spans="1:6" x14ac:dyDescent="0.3">
      <c r="A6490" s="45">
        <v>43649</v>
      </c>
      <c r="B6490" s="5" t="s">
        <v>2594</v>
      </c>
      <c r="C6490" s="73" t="s">
        <v>5120</v>
      </c>
      <c r="D6490" s="183">
        <v>9100</v>
      </c>
      <c r="E6490" s="43"/>
      <c r="F6490" s="48">
        <f t="shared" si="105"/>
        <v>1756900</v>
      </c>
    </row>
    <row r="6491" spans="1:6" x14ac:dyDescent="0.3">
      <c r="A6491" s="45">
        <v>43650</v>
      </c>
      <c r="B6491" s="5" t="s">
        <v>25</v>
      </c>
      <c r="C6491" s="5" t="s">
        <v>5123</v>
      </c>
      <c r="D6491" s="183">
        <f>130+230+290+260+50+200+200+150+210+80+210+190+50+80+50+50+130</f>
        <v>2560</v>
      </c>
      <c r="E6491" s="43"/>
      <c r="F6491" s="48">
        <f t="shared" si="105"/>
        <v>1754340</v>
      </c>
    </row>
    <row r="6492" spans="1:6" x14ac:dyDescent="0.3">
      <c r="A6492" s="45">
        <v>43650</v>
      </c>
      <c r="B6492" s="5" t="s">
        <v>5124</v>
      </c>
      <c r="C6492" s="5" t="s">
        <v>5125</v>
      </c>
      <c r="D6492" s="183">
        <f>356</f>
        <v>356</v>
      </c>
      <c r="E6492" s="43"/>
      <c r="F6492" s="48">
        <f t="shared" si="105"/>
        <v>1753984</v>
      </c>
    </row>
    <row r="6493" spans="1:6" x14ac:dyDescent="0.3">
      <c r="A6493" s="45">
        <v>43650</v>
      </c>
      <c r="B6493" s="5" t="s">
        <v>25</v>
      </c>
      <c r="C6493" s="73" t="s">
        <v>5121</v>
      </c>
      <c r="D6493" s="183">
        <v>90</v>
      </c>
      <c r="E6493" s="43"/>
      <c r="F6493" s="48">
        <f t="shared" si="105"/>
        <v>1753894</v>
      </c>
    </row>
    <row r="6494" spans="1:6" x14ac:dyDescent="0.3">
      <c r="A6494" s="45">
        <v>43650</v>
      </c>
      <c r="B6494" s="5" t="s">
        <v>25</v>
      </c>
      <c r="C6494" s="73" t="s">
        <v>5126</v>
      </c>
      <c r="D6494" s="183">
        <v>2100</v>
      </c>
      <c r="E6494" s="43"/>
      <c r="F6494" s="48">
        <f t="shared" si="105"/>
        <v>1751794</v>
      </c>
    </row>
    <row r="6495" spans="1:6" x14ac:dyDescent="0.3">
      <c r="A6495" s="45">
        <v>43650</v>
      </c>
      <c r="B6495" s="5" t="s">
        <v>2594</v>
      </c>
      <c r="C6495" s="73" t="s">
        <v>5122</v>
      </c>
      <c r="D6495" s="183">
        <v>15000</v>
      </c>
      <c r="E6495" s="43"/>
      <c r="F6495" s="48">
        <f t="shared" si="105"/>
        <v>1736794</v>
      </c>
    </row>
    <row r="6496" spans="1:6" x14ac:dyDescent="0.3">
      <c r="A6496" s="45">
        <v>43650</v>
      </c>
      <c r="B6496" s="5" t="s">
        <v>0</v>
      </c>
      <c r="C6496" s="5" t="s">
        <v>3910</v>
      </c>
      <c r="D6496" s="43">
        <v>5000</v>
      </c>
      <c r="E6496" s="43"/>
      <c r="F6496" s="48">
        <f t="shared" si="105"/>
        <v>1731794</v>
      </c>
    </row>
    <row r="6497" spans="1:6" x14ac:dyDescent="0.3">
      <c r="A6497" s="45">
        <v>43651</v>
      </c>
      <c r="B6497" s="5" t="s">
        <v>2594</v>
      </c>
      <c r="C6497" s="73" t="s">
        <v>5127</v>
      </c>
      <c r="D6497" s="43">
        <v>21090</v>
      </c>
      <c r="E6497" s="43"/>
      <c r="F6497" s="48">
        <f t="shared" si="105"/>
        <v>1710704</v>
      </c>
    </row>
    <row r="6498" spans="1:6" x14ac:dyDescent="0.3">
      <c r="A6498" s="45">
        <v>43651</v>
      </c>
      <c r="B6498" s="5" t="s">
        <v>2594</v>
      </c>
      <c r="C6498" s="73" t="s">
        <v>5128</v>
      </c>
      <c r="D6498" s="43">
        <v>101300</v>
      </c>
      <c r="E6498" s="43"/>
      <c r="F6498" s="48">
        <f t="shared" si="105"/>
        <v>1609404</v>
      </c>
    </row>
    <row r="6499" spans="1:6" x14ac:dyDescent="0.3">
      <c r="A6499" s="45">
        <v>43651</v>
      </c>
      <c r="B6499" s="5" t="s">
        <v>4964</v>
      </c>
      <c r="C6499" s="41" t="s">
        <v>5129</v>
      </c>
      <c r="D6499" s="43">
        <v>5000</v>
      </c>
      <c r="E6499" s="43"/>
      <c r="F6499" s="48">
        <f t="shared" si="105"/>
        <v>1604404</v>
      </c>
    </row>
    <row r="6500" spans="1:6" x14ac:dyDescent="0.3">
      <c r="A6500" s="45">
        <v>43651</v>
      </c>
      <c r="B6500" s="5" t="s">
        <v>4641</v>
      </c>
      <c r="C6500" s="5" t="s">
        <v>4718</v>
      </c>
      <c r="D6500" s="43">
        <v>15000</v>
      </c>
      <c r="E6500" s="43"/>
      <c r="F6500" s="48">
        <f t="shared" si="105"/>
        <v>1589404</v>
      </c>
    </row>
    <row r="6501" spans="1:6" x14ac:dyDescent="0.3">
      <c r="A6501" s="45">
        <v>43651</v>
      </c>
      <c r="B6501" s="5" t="s">
        <v>247</v>
      </c>
      <c r="C6501" s="5" t="s">
        <v>2013</v>
      </c>
      <c r="D6501" s="43">
        <v>100</v>
      </c>
      <c r="E6501" s="43"/>
      <c r="F6501" s="48">
        <f t="shared" si="105"/>
        <v>1589304</v>
      </c>
    </row>
    <row r="6502" spans="1:6" x14ac:dyDescent="0.3">
      <c r="A6502" s="45">
        <v>43652</v>
      </c>
      <c r="B6502" s="5" t="s">
        <v>47</v>
      </c>
      <c r="C6502" s="5" t="s">
        <v>5130</v>
      </c>
      <c r="D6502" s="43">
        <v>1500</v>
      </c>
      <c r="E6502" s="43"/>
      <c r="F6502" s="48">
        <f t="shared" si="105"/>
        <v>1587804</v>
      </c>
    </row>
    <row r="6503" spans="1:6" x14ac:dyDescent="0.3">
      <c r="A6503" s="45">
        <v>43652</v>
      </c>
      <c r="B6503" s="5" t="s">
        <v>2594</v>
      </c>
      <c r="C6503" s="41" t="s">
        <v>5131</v>
      </c>
      <c r="D6503" s="43">
        <v>20000</v>
      </c>
      <c r="E6503" s="43"/>
      <c r="F6503" s="48">
        <f t="shared" si="105"/>
        <v>1567804</v>
      </c>
    </row>
    <row r="6504" spans="1:6" x14ac:dyDescent="0.3">
      <c r="A6504" s="45">
        <v>43652</v>
      </c>
      <c r="B6504" s="5" t="s">
        <v>5124</v>
      </c>
      <c r="C6504" s="5" t="s">
        <v>5133</v>
      </c>
      <c r="D6504" s="43">
        <v>104500</v>
      </c>
      <c r="E6504" s="43"/>
      <c r="F6504" s="48">
        <f t="shared" si="105"/>
        <v>1463304</v>
      </c>
    </row>
    <row r="6505" spans="1:6" x14ac:dyDescent="0.3">
      <c r="A6505" s="45">
        <v>43652</v>
      </c>
      <c r="B6505" s="5" t="s">
        <v>5124</v>
      </c>
      <c r="C6505" s="5" t="s">
        <v>2772</v>
      </c>
      <c r="D6505" s="43">
        <v>30000</v>
      </c>
      <c r="E6505" s="43"/>
      <c r="F6505" s="48">
        <f t="shared" si="105"/>
        <v>1433304</v>
      </c>
    </row>
    <row r="6506" spans="1:6" x14ac:dyDescent="0.3">
      <c r="A6506" s="45">
        <v>43652</v>
      </c>
      <c r="B6506" s="5" t="s">
        <v>46</v>
      </c>
      <c r="C6506" s="5" t="s">
        <v>40</v>
      </c>
      <c r="D6506" s="43">
        <v>1398460</v>
      </c>
      <c r="E6506" s="43"/>
      <c r="F6506" s="48">
        <f t="shared" si="105"/>
        <v>34844</v>
      </c>
    </row>
    <row r="6507" spans="1:6" x14ac:dyDescent="0.3">
      <c r="A6507" s="45">
        <v>43654</v>
      </c>
      <c r="B6507" s="5" t="s">
        <v>5134</v>
      </c>
      <c r="C6507" s="5" t="s">
        <v>5135</v>
      </c>
      <c r="D6507" s="43">
        <v>16000</v>
      </c>
      <c r="E6507" s="43"/>
      <c r="F6507" s="48">
        <f t="shared" si="105"/>
        <v>18844</v>
      </c>
    </row>
    <row r="6508" spans="1:6" x14ac:dyDescent="0.3">
      <c r="A6508" s="45">
        <v>43654</v>
      </c>
      <c r="B6508" s="5" t="s">
        <v>2594</v>
      </c>
      <c r="C6508" s="73" t="s">
        <v>5131</v>
      </c>
      <c r="D6508" s="43">
        <v>15200</v>
      </c>
      <c r="E6508" s="43"/>
      <c r="F6508" s="48">
        <f t="shared" si="105"/>
        <v>3644</v>
      </c>
    </row>
    <row r="6509" spans="1:6" x14ac:dyDescent="0.3">
      <c r="A6509" s="45">
        <v>43654</v>
      </c>
      <c r="B6509" s="5" t="s">
        <v>1410</v>
      </c>
      <c r="C6509" s="5" t="s">
        <v>5136</v>
      </c>
      <c r="D6509" s="43">
        <v>13000</v>
      </c>
      <c r="E6509" s="43"/>
      <c r="F6509" s="48">
        <f t="shared" si="105"/>
        <v>-9356</v>
      </c>
    </row>
    <row r="6510" spans="1:6" x14ac:dyDescent="0.3">
      <c r="A6510" s="45">
        <v>43654</v>
      </c>
      <c r="B6510" s="5" t="s">
        <v>4112</v>
      </c>
      <c r="C6510" s="5" t="s">
        <v>4591</v>
      </c>
      <c r="D6510" s="43">
        <v>5000</v>
      </c>
      <c r="E6510" s="43"/>
      <c r="F6510" s="48">
        <f t="shared" si="105"/>
        <v>-14356</v>
      </c>
    </row>
    <row r="6511" spans="1:6" x14ac:dyDescent="0.3">
      <c r="A6511" s="45">
        <v>43655</v>
      </c>
      <c r="B6511" s="5" t="s">
        <v>100</v>
      </c>
      <c r="C6511" s="5" t="s">
        <v>5138</v>
      </c>
      <c r="D6511" s="43">
        <v>10000</v>
      </c>
      <c r="E6511" s="43"/>
      <c r="F6511" s="48">
        <f t="shared" si="105"/>
        <v>-24356</v>
      </c>
    </row>
    <row r="6512" spans="1:6" x14ac:dyDescent="0.3">
      <c r="A6512" s="45">
        <v>43655</v>
      </c>
      <c r="B6512" s="73" t="s">
        <v>2594</v>
      </c>
      <c r="C6512" s="73" t="s">
        <v>5137</v>
      </c>
      <c r="D6512" s="183">
        <v>10000</v>
      </c>
      <c r="E6512" s="43"/>
      <c r="F6512" s="48">
        <f t="shared" si="105"/>
        <v>-34356</v>
      </c>
    </row>
    <row r="6513" spans="1:6" x14ac:dyDescent="0.3">
      <c r="A6513" s="45">
        <v>43655</v>
      </c>
      <c r="B6513" s="41" t="s">
        <v>2594</v>
      </c>
      <c r="C6513" s="41" t="s">
        <v>5139</v>
      </c>
      <c r="D6513" s="42">
        <v>4800</v>
      </c>
      <c r="E6513" s="43"/>
      <c r="F6513" s="48">
        <f t="shared" si="105"/>
        <v>-39156</v>
      </c>
    </row>
    <row r="6514" spans="1:6" ht="262.5" x14ac:dyDescent="0.3">
      <c r="A6514" s="45">
        <v>43655</v>
      </c>
      <c r="B6514" s="191" t="s">
        <v>3444</v>
      </c>
      <c r="C6514" s="124" t="s">
        <v>5141</v>
      </c>
      <c r="D6514" s="192"/>
      <c r="E6514" s="141">
        <v>100000</v>
      </c>
      <c r="F6514" s="48">
        <f t="shared" si="105"/>
        <v>60844</v>
      </c>
    </row>
    <row r="6515" spans="1:6" x14ac:dyDescent="0.3">
      <c r="A6515" s="45">
        <v>43655</v>
      </c>
      <c r="B6515" s="191" t="s">
        <v>25</v>
      </c>
      <c r="C6515" s="124" t="s">
        <v>5142</v>
      </c>
      <c r="D6515" s="192">
        <v>113</v>
      </c>
      <c r="E6515" s="141"/>
      <c r="F6515" s="48">
        <f t="shared" si="105"/>
        <v>60731</v>
      </c>
    </row>
    <row r="6516" spans="1:6" x14ac:dyDescent="0.3">
      <c r="A6516" s="45">
        <v>43655</v>
      </c>
      <c r="B6516" s="5" t="s">
        <v>5042</v>
      </c>
      <c r="C6516" s="5" t="s">
        <v>5143</v>
      </c>
      <c r="D6516" s="43">
        <v>34000</v>
      </c>
      <c r="E6516" s="43"/>
      <c r="F6516" s="48">
        <f t="shared" si="105"/>
        <v>26731</v>
      </c>
    </row>
    <row r="6517" spans="1:6" ht="13.9" customHeight="1" x14ac:dyDescent="0.3">
      <c r="A6517" s="45">
        <v>43655</v>
      </c>
      <c r="B6517" s="73" t="s">
        <v>3559</v>
      </c>
      <c r="C6517" s="73" t="s">
        <v>5144</v>
      </c>
      <c r="D6517" s="183">
        <v>21000</v>
      </c>
      <c r="E6517" s="43"/>
      <c r="F6517" s="48">
        <f t="shared" si="105"/>
        <v>5731</v>
      </c>
    </row>
    <row r="6518" spans="1:6" ht="37.5" x14ac:dyDescent="0.3">
      <c r="A6518" s="45">
        <v>43656</v>
      </c>
      <c r="B6518" s="191" t="s">
        <v>98</v>
      </c>
      <c r="C6518" s="124" t="s">
        <v>5145</v>
      </c>
      <c r="D6518" s="192"/>
      <c r="E6518" s="141">
        <v>300000</v>
      </c>
      <c r="F6518" s="48">
        <f t="shared" si="105"/>
        <v>305731</v>
      </c>
    </row>
    <row r="6519" spans="1:6" x14ac:dyDescent="0.3">
      <c r="A6519" s="45">
        <v>43656</v>
      </c>
      <c r="B6519" s="191" t="s">
        <v>4550</v>
      </c>
      <c r="C6519" s="124" t="s">
        <v>4319</v>
      </c>
      <c r="D6519" s="43">
        <v>11000</v>
      </c>
      <c r="E6519" s="43"/>
      <c r="F6519" s="48">
        <f>F6518-D6519+E6519</f>
        <v>294731</v>
      </c>
    </row>
    <row r="6520" spans="1:6" x14ac:dyDescent="0.3">
      <c r="A6520" s="45">
        <v>43656</v>
      </c>
      <c r="B6520" s="191" t="s">
        <v>2219</v>
      </c>
      <c r="C6520" s="124" t="s">
        <v>5146</v>
      </c>
      <c r="D6520" s="43">
        <v>12960</v>
      </c>
      <c r="E6520" s="43"/>
      <c r="F6520" s="48">
        <f>F6519-D6520+E6520</f>
        <v>281771</v>
      </c>
    </row>
    <row r="6521" spans="1:6" x14ac:dyDescent="0.3">
      <c r="A6521" s="45">
        <v>43656</v>
      </c>
      <c r="B6521" s="73" t="s">
        <v>2594</v>
      </c>
      <c r="C6521" s="73" t="s">
        <v>5147</v>
      </c>
      <c r="D6521" s="183">
        <v>23000</v>
      </c>
      <c r="E6521" s="43"/>
      <c r="F6521" s="48">
        <f t="shared" si="105"/>
        <v>258771</v>
      </c>
    </row>
    <row r="6522" spans="1:6" x14ac:dyDescent="0.3">
      <c r="A6522" s="45">
        <v>43656</v>
      </c>
      <c r="B6522" s="73" t="s">
        <v>1616</v>
      </c>
      <c r="C6522" s="73" t="s">
        <v>3703</v>
      </c>
      <c r="D6522" s="183">
        <v>1500</v>
      </c>
      <c r="E6522" s="43"/>
      <c r="F6522" s="48">
        <f t="shared" si="105"/>
        <v>257271</v>
      </c>
    </row>
    <row r="6523" spans="1:6" x14ac:dyDescent="0.3">
      <c r="A6523" s="45">
        <v>43656</v>
      </c>
      <c r="B6523" s="73" t="s">
        <v>1616</v>
      </c>
      <c r="C6523" s="73" t="s">
        <v>2435</v>
      </c>
      <c r="D6523" s="183">
        <v>550</v>
      </c>
      <c r="E6523" s="43"/>
      <c r="F6523" s="48">
        <f t="shared" si="105"/>
        <v>256721</v>
      </c>
    </row>
    <row r="6524" spans="1:6" ht="37.5" x14ac:dyDescent="0.3">
      <c r="A6524" s="45">
        <v>43656</v>
      </c>
      <c r="B6524" s="73" t="s">
        <v>5148</v>
      </c>
      <c r="C6524" s="124" t="s">
        <v>5149</v>
      </c>
      <c r="D6524" s="43">
        <v>4700</v>
      </c>
      <c r="E6524" s="43"/>
      <c r="F6524" s="48">
        <f t="shared" si="105"/>
        <v>252021</v>
      </c>
    </row>
    <row r="6525" spans="1:6" x14ac:dyDescent="0.3">
      <c r="A6525" s="45">
        <v>43656</v>
      </c>
      <c r="B6525" s="193" t="s">
        <v>84</v>
      </c>
      <c r="C6525" s="124" t="s">
        <v>5150</v>
      </c>
      <c r="D6525" s="43">
        <v>3000</v>
      </c>
      <c r="E6525" s="43"/>
      <c r="F6525" s="48">
        <f t="shared" si="105"/>
        <v>249021</v>
      </c>
    </row>
    <row r="6526" spans="1:6" x14ac:dyDescent="0.3">
      <c r="A6526" s="45">
        <v>43656</v>
      </c>
      <c r="B6526" s="193" t="s">
        <v>4869</v>
      </c>
      <c r="C6526" s="124" t="s">
        <v>40</v>
      </c>
      <c r="D6526" s="43">
        <v>4200</v>
      </c>
      <c r="E6526" s="43"/>
      <c r="F6526" s="48">
        <f t="shared" si="105"/>
        <v>244821</v>
      </c>
    </row>
    <row r="6527" spans="1:6" x14ac:dyDescent="0.3">
      <c r="A6527" s="45">
        <v>43657</v>
      </c>
      <c r="B6527" s="193" t="s">
        <v>4946</v>
      </c>
      <c r="C6527" s="124" t="s">
        <v>4947</v>
      </c>
      <c r="D6527" s="43">
        <v>527</v>
      </c>
      <c r="E6527" s="43"/>
      <c r="F6527" s="48">
        <f t="shared" si="105"/>
        <v>244294</v>
      </c>
    </row>
    <row r="6528" spans="1:6" x14ac:dyDescent="0.3">
      <c r="A6528" s="45">
        <v>43657</v>
      </c>
      <c r="B6528" s="193" t="s">
        <v>25</v>
      </c>
      <c r="C6528" s="124" t="s">
        <v>50</v>
      </c>
      <c r="D6528" s="43">
        <v>1600</v>
      </c>
      <c r="E6528" s="43"/>
      <c r="F6528" s="48">
        <f t="shared" si="105"/>
        <v>242694</v>
      </c>
    </row>
    <row r="6529" spans="1:10" x14ac:dyDescent="0.3">
      <c r="A6529" s="45">
        <v>43657</v>
      </c>
      <c r="B6529" s="5" t="s">
        <v>5151</v>
      </c>
      <c r="C6529" s="5" t="s">
        <v>5152</v>
      </c>
      <c r="D6529" s="43">
        <v>2000</v>
      </c>
      <c r="E6529" s="43"/>
      <c r="F6529" s="48">
        <f t="shared" si="105"/>
        <v>240694</v>
      </c>
    </row>
    <row r="6530" spans="1:10" x14ac:dyDescent="0.3">
      <c r="A6530" s="45">
        <v>43657</v>
      </c>
      <c r="B6530" s="5" t="s">
        <v>4112</v>
      </c>
      <c r="C6530" s="5" t="s">
        <v>4506</v>
      </c>
      <c r="D6530" s="43">
        <v>5000</v>
      </c>
      <c r="E6530" s="43"/>
      <c r="F6530" s="48">
        <f t="shared" si="105"/>
        <v>235694</v>
      </c>
    </row>
    <row r="6531" spans="1:10" s="114" customFormat="1" x14ac:dyDescent="0.3">
      <c r="A6531" s="45">
        <v>43657</v>
      </c>
      <c r="B6531" s="73" t="s">
        <v>2594</v>
      </c>
      <c r="C6531" s="73" t="s">
        <v>5155</v>
      </c>
      <c r="D6531" s="183">
        <v>6420</v>
      </c>
      <c r="E6531" s="183"/>
      <c r="F6531" s="48">
        <f t="shared" si="105"/>
        <v>229274</v>
      </c>
      <c r="G6531" s="194"/>
      <c r="H6531" s="194"/>
      <c r="I6531" s="194"/>
      <c r="J6531" s="194"/>
    </row>
    <row r="6532" spans="1:10" s="114" customFormat="1" x14ac:dyDescent="0.3">
      <c r="A6532" s="45">
        <v>43657</v>
      </c>
      <c r="B6532" s="195" t="s">
        <v>2594</v>
      </c>
      <c r="C6532" s="195" t="s">
        <v>5139</v>
      </c>
      <c r="D6532" s="196">
        <f>15000-6420</f>
        <v>8580</v>
      </c>
      <c r="E6532" s="183"/>
      <c r="F6532" s="48">
        <f t="shared" si="105"/>
        <v>220694</v>
      </c>
      <c r="G6532" s="194"/>
      <c r="H6532" s="194"/>
      <c r="I6532" s="194"/>
      <c r="J6532" s="194"/>
    </row>
    <row r="6533" spans="1:10" x14ac:dyDescent="0.3">
      <c r="A6533" s="45">
        <v>43657</v>
      </c>
      <c r="B6533" s="5" t="s">
        <v>5153</v>
      </c>
      <c r="C6533" s="5" t="s">
        <v>5154</v>
      </c>
      <c r="D6533" s="43">
        <v>15000</v>
      </c>
      <c r="E6533" s="43"/>
      <c r="F6533" s="48">
        <f t="shared" si="105"/>
        <v>205694</v>
      </c>
    </row>
    <row r="6534" spans="1:10" x14ac:dyDescent="0.3">
      <c r="A6534" s="45">
        <v>43657</v>
      </c>
      <c r="B6534" s="5" t="s">
        <v>14</v>
      </c>
      <c r="C6534" s="5" t="s">
        <v>294</v>
      </c>
      <c r="D6534" s="43">
        <v>13000</v>
      </c>
      <c r="E6534" s="43"/>
      <c r="F6534" s="48">
        <f t="shared" si="105"/>
        <v>192694</v>
      </c>
    </row>
    <row r="6535" spans="1:10" x14ac:dyDescent="0.3">
      <c r="A6535" s="45">
        <v>43658</v>
      </c>
      <c r="B6535" s="5" t="s">
        <v>2594</v>
      </c>
      <c r="C6535" s="5" t="s">
        <v>5157</v>
      </c>
      <c r="D6535" s="43">
        <v>20000</v>
      </c>
      <c r="E6535" s="43"/>
      <c r="F6535" s="48">
        <f t="shared" si="105"/>
        <v>172694</v>
      </c>
    </row>
    <row r="6536" spans="1:10" x14ac:dyDescent="0.3">
      <c r="A6536" s="45">
        <v>43658</v>
      </c>
      <c r="B6536" s="5" t="s">
        <v>5124</v>
      </c>
      <c r="C6536" s="5" t="s">
        <v>5156</v>
      </c>
      <c r="D6536" s="43">
        <f>720+120</f>
        <v>840</v>
      </c>
      <c r="E6536" s="43"/>
      <c r="F6536" s="48">
        <f t="shared" si="105"/>
        <v>171854</v>
      </c>
    </row>
    <row r="6537" spans="1:10" x14ac:dyDescent="0.3">
      <c r="A6537" s="45">
        <v>43658</v>
      </c>
      <c r="B6537" s="5" t="s">
        <v>25</v>
      </c>
      <c r="C6537" s="5" t="s">
        <v>2942</v>
      </c>
      <c r="D6537" s="43">
        <v>100</v>
      </c>
      <c r="E6537" s="43"/>
      <c r="F6537" s="48">
        <f t="shared" si="105"/>
        <v>171754</v>
      </c>
    </row>
    <row r="6538" spans="1:10" x14ac:dyDescent="0.3">
      <c r="A6538" s="45">
        <v>43659</v>
      </c>
      <c r="B6538" s="5" t="s">
        <v>2594</v>
      </c>
      <c r="C6538" s="5" t="s">
        <v>5164</v>
      </c>
      <c r="D6538" s="43">
        <v>5000</v>
      </c>
      <c r="E6538" s="43"/>
      <c r="F6538" s="48">
        <f t="shared" si="105"/>
        <v>166754</v>
      </c>
    </row>
    <row r="6539" spans="1:10" x14ac:dyDescent="0.3">
      <c r="A6539" s="45">
        <v>43659</v>
      </c>
      <c r="B6539" s="5" t="s">
        <v>1616</v>
      </c>
      <c r="C6539" s="5" t="s">
        <v>5158</v>
      </c>
      <c r="D6539" s="43">
        <v>550</v>
      </c>
      <c r="E6539" s="43"/>
      <c r="F6539" s="48">
        <f t="shared" si="105"/>
        <v>166204</v>
      </c>
    </row>
    <row r="6540" spans="1:10" x14ac:dyDescent="0.3">
      <c r="A6540" s="45">
        <v>43659</v>
      </c>
      <c r="B6540" s="5" t="s">
        <v>14</v>
      </c>
      <c r="C6540" s="5" t="s">
        <v>294</v>
      </c>
      <c r="D6540" s="43">
        <v>100</v>
      </c>
      <c r="E6540" s="43"/>
      <c r="F6540" s="48">
        <f t="shared" ref="F6540:F6560" si="106">F6539-D6540+E6540</f>
        <v>166104</v>
      </c>
    </row>
    <row r="6541" spans="1:10" x14ac:dyDescent="0.3">
      <c r="A6541" s="45">
        <v>43661</v>
      </c>
      <c r="B6541" s="5" t="s">
        <v>25</v>
      </c>
      <c r="C6541" s="5" t="s">
        <v>5159</v>
      </c>
      <c r="D6541" s="43">
        <v>450</v>
      </c>
      <c r="E6541" s="43"/>
      <c r="F6541" s="48">
        <f t="shared" si="106"/>
        <v>165654</v>
      </c>
    </row>
    <row r="6542" spans="1:10" x14ac:dyDescent="0.3">
      <c r="A6542" s="45">
        <v>43661</v>
      </c>
      <c r="B6542" s="5" t="s">
        <v>2948</v>
      </c>
      <c r="C6542" s="5" t="s">
        <v>64</v>
      </c>
      <c r="D6542" s="43">
        <v>2000</v>
      </c>
      <c r="E6542" s="43"/>
      <c r="F6542" s="48">
        <f t="shared" si="106"/>
        <v>163654</v>
      </c>
    </row>
    <row r="6543" spans="1:10" x14ac:dyDescent="0.3">
      <c r="A6543" s="45">
        <v>43661</v>
      </c>
      <c r="B6543" s="5" t="s">
        <v>5124</v>
      </c>
      <c r="C6543" s="5" t="s">
        <v>5160</v>
      </c>
      <c r="D6543" s="43">
        <v>200</v>
      </c>
      <c r="E6543" s="43"/>
      <c r="F6543" s="48">
        <f t="shared" si="106"/>
        <v>163454</v>
      </c>
    </row>
    <row r="6544" spans="1:10" x14ac:dyDescent="0.3">
      <c r="A6544" s="45">
        <v>43661</v>
      </c>
      <c r="B6544" s="5" t="s">
        <v>693</v>
      </c>
      <c r="C6544" s="5" t="s">
        <v>5160</v>
      </c>
      <c r="D6544" s="43">
        <v>540</v>
      </c>
      <c r="E6544" s="43"/>
      <c r="F6544" s="48">
        <f t="shared" si="106"/>
        <v>162914</v>
      </c>
    </row>
    <row r="6545" spans="1:6" ht="37.5" x14ac:dyDescent="0.3">
      <c r="A6545" s="45">
        <v>43661</v>
      </c>
      <c r="B6545" s="191" t="s">
        <v>14</v>
      </c>
      <c r="C6545" s="124" t="s">
        <v>5161</v>
      </c>
      <c r="D6545" s="192"/>
      <c r="E6545" s="141">
        <v>50000</v>
      </c>
      <c r="F6545" s="48">
        <f t="shared" si="106"/>
        <v>212914</v>
      </c>
    </row>
    <row r="6546" spans="1:6" x14ac:dyDescent="0.3">
      <c r="A6546" s="45">
        <v>43661</v>
      </c>
      <c r="B6546" s="5" t="s">
        <v>5162</v>
      </c>
      <c r="C6546" s="5" t="s">
        <v>1624</v>
      </c>
      <c r="D6546" s="43">
        <v>100</v>
      </c>
      <c r="E6546" s="43"/>
      <c r="F6546" s="48">
        <f t="shared" si="106"/>
        <v>212814</v>
      </c>
    </row>
    <row r="6547" spans="1:6" x14ac:dyDescent="0.3">
      <c r="A6547" s="45">
        <v>43661</v>
      </c>
      <c r="B6547" s="73" t="s">
        <v>4550</v>
      </c>
      <c r="C6547" s="73" t="s">
        <v>5163</v>
      </c>
      <c r="D6547" s="183">
        <v>10000</v>
      </c>
      <c r="E6547" s="43"/>
      <c r="F6547" s="48">
        <f t="shared" si="106"/>
        <v>202814</v>
      </c>
    </row>
    <row r="6548" spans="1:6" x14ac:dyDescent="0.3">
      <c r="A6548" s="45">
        <v>43661</v>
      </c>
      <c r="B6548" s="73" t="s">
        <v>2594</v>
      </c>
      <c r="C6548" s="73" t="s">
        <v>5166</v>
      </c>
      <c r="D6548" s="183">
        <v>35500</v>
      </c>
      <c r="E6548" s="43"/>
      <c r="F6548" s="48">
        <f t="shared" si="106"/>
        <v>167314</v>
      </c>
    </row>
    <row r="6549" spans="1:6" x14ac:dyDescent="0.3">
      <c r="A6549" s="45">
        <v>43662</v>
      </c>
      <c r="B6549" s="5" t="s">
        <v>16</v>
      </c>
      <c r="C6549" s="5" t="s">
        <v>4319</v>
      </c>
      <c r="D6549" s="43">
        <v>5000</v>
      </c>
      <c r="E6549" s="43"/>
      <c r="F6549" s="48">
        <f t="shared" si="106"/>
        <v>162314</v>
      </c>
    </row>
    <row r="6550" spans="1:6" x14ac:dyDescent="0.3">
      <c r="A6550" s="45">
        <v>43662</v>
      </c>
      <c r="B6550" s="5" t="s">
        <v>4550</v>
      </c>
      <c r="C6550" s="5" t="s">
        <v>4319</v>
      </c>
      <c r="D6550" s="43">
        <v>15000</v>
      </c>
      <c r="E6550" s="43"/>
      <c r="F6550" s="48">
        <f t="shared" si="106"/>
        <v>147314</v>
      </c>
    </row>
    <row r="6551" spans="1:6" x14ac:dyDescent="0.3">
      <c r="A6551" s="45">
        <v>43662</v>
      </c>
      <c r="B6551" s="5" t="s">
        <v>4915</v>
      </c>
      <c r="C6551" s="5" t="s">
        <v>40</v>
      </c>
      <c r="D6551" s="43">
        <v>10000</v>
      </c>
      <c r="E6551" s="43"/>
      <c r="F6551" s="48">
        <f t="shared" si="106"/>
        <v>137314</v>
      </c>
    </row>
    <row r="6552" spans="1:6" x14ac:dyDescent="0.3">
      <c r="A6552" s="45">
        <v>43662</v>
      </c>
      <c r="B6552" s="5" t="s">
        <v>4112</v>
      </c>
      <c r="C6552" s="5" t="s">
        <v>4319</v>
      </c>
      <c r="D6552" s="43">
        <v>3000</v>
      </c>
      <c r="E6552" s="43"/>
      <c r="F6552" s="48">
        <f t="shared" si="106"/>
        <v>134314</v>
      </c>
    </row>
    <row r="6553" spans="1:6" x14ac:dyDescent="0.3">
      <c r="A6553" s="45">
        <v>43662</v>
      </c>
      <c r="B6553" s="5" t="s">
        <v>1837</v>
      </c>
      <c r="C6553" s="5" t="s">
        <v>5165</v>
      </c>
      <c r="D6553" s="43">
        <v>2000</v>
      </c>
      <c r="E6553" s="43"/>
      <c r="F6553" s="48">
        <f t="shared" si="106"/>
        <v>132314</v>
      </c>
    </row>
    <row r="6554" spans="1:6" x14ac:dyDescent="0.3">
      <c r="A6554" s="45">
        <v>43662</v>
      </c>
      <c r="B6554" s="5" t="s">
        <v>3825</v>
      </c>
      <c r="C6554" s="5" t="s">
        <v>4591</v>
      </c>
      <c r="D6554" s="43">
        <v>3000</v>
      </c>
      <c r="E6554" s="43"/>
      <c r="F6554" s="48">
        <f t="shared" si="106"/>
        <v>129314</v>
      </c>
    </row>
    <row r="6555" spans="1:6" x14ac:dyDescent="0.3">
      <c r="A6555" s="45">
        <v>43662</v>
      </c>
      <c r="B6555" s="5" t="s">
        <v>2594</v>
      </c>
      <c r="C6555" s="5" t="s">
        <v>5184</v>
      </c>
      <c r="D6555" s="43">
        <v>13085</v>
      </c>
      <c r="E6555" s="43"/>
      <c r="F6555" s="48">
        <f t="shared" si="106"/>
        <v>116229</v>
      </c>
    </row>
    <row r="6556" spans="1:6" x14ac:dyDescent="0.3">
      <c r="A6556" s="45">
        <v>43662</v>
      </c>
      <c r="B6556" s="5" t="s">
        <v>5156</v>
      </c>
      <c r="C6556" s="5" t="s">
        <v>5167</v>
      </c>
      <c r="D6556" s="43">
        <v>120</v>
      </c>
      <c r="E6556" s="43"/>
      <c r="F6556" s="48">
        <f t="shared" si="106"/>
        <v>116109</v>
      </c>
    </row>
    <row r="6557" spans="1:6" x14ac:dyDescent="0.3">
      <c r="A6557" s="45">
        <v>43662</v>
      </c>
      <c r="B6557" s="5" t="s">
        <v>110</v>
      </c>
      <c r="C6557" s="5" t="s">
        <v>5168</v>
      </c>
      <c r="D6557" s="43">
        <v>17000</v>
      </c>
      <c r="E6557" s="43"/>
      <c r="F6557" s="48">
        <f t="shared" si="106"/>
        <v>99109</v>
      </c>
    </row>
    <row r="6558" spans="1:6" x14ac:dyDescent="0.3">
      <c r="A6558" s="45">
        <v>43662</v>
      </c>
      <c r="B6558" s="5" t="s">
        <v>84</v>
      </c>
      <c r="C6558" s="5" t="s">
        <v>5169</v>
      </c>
      <c r="D6558" s="43">
        <v>4000</v>
      </c>
      <c r="E6558" s="43"/>
      <c r="F6558" s="48">
        <f t="shared" si="106"/>
        <v>95109</v>
      </c>
    </row>
    <row r="6559" spans="1:6" x14ac:dyDescent="0.3">
      <c r="A6559" s="45">
        <v>43662</v>
      </c>
      <c r="B6559" s="5" t="s">
        <v>5124</v>
      </c>
      <c r="C6559" s="5" t="s">
        <v>5170</v>
      </c>
      <c r="D6559" s="43">
        <v>80000</v>
      </c>
      <c r="E6559" s="43"/>
      <c r="F6559" s="48">
        <f t="shared" si="106"/>
        <v>15109</v>
      </c>
    </row>
    <row r="6560" spans="1:6" x14ac:dyDescent="0.3">
      <c r="A6560" s="45">
        <v>43663</v>
      </c>
      <c r="B6560" s="5" t="s">
        <v>110</v>
      </c>
      <c r="C6560" s="5" t="s">
        <v>5171</v>
      </c>
      <c r="D6560" s="43">
        <v>330</v>
      </c>
      <c r="E6560" s="43"/>
      <c r="F6560" s="48">
        <f t="shared" si="106"/>
        <v>14779</v>
      </c>
    </row>
    <row r="6561" spans="1:6" x14ac:dyDescent="0.3">
      <c r="A6561" s="45">
        <v>43663</v>
      </c>
      <c r="B6561" s="191" t="s">
        <v>5124</v>
      </c>
      <c r="C6561" s="124" t="s">
        <v>5172</v>
      </c>
      <c r="D6561" s="192"/>
      <c r="E6561" s="141">
        <v>25000</v>
      </c>
      <c r="F6561" s="48">
        <f>F6560-D6561+E6561</f>
        <v>39779</v>
      </c>
    </row>
    <row r="6562" spans="1:6" x14ac:dyDescent="0.3">
      <c r="A6562" s="45">
        <v>43663</v>
      </c>
      <c r="B6562" s="5" t="s">
        <v>84</v>
      </c>
      <c r="C6562" s="5" t="s">
        <v>5173</v>
      </c>
      <c r="D6562" s="43">
        <v>10000</v>
      </c>
      <c r="E6562" s="43"/>
      <c r="F6562" s="48">
        <f t="shared" ref="F6562:F6571" si="107">F6561-D6562+E6562</f>
        <v>29779</v>
      </c>
    </row>
    <row r="6563" spans="1:6" x14ac:dyDescent="0.3">
      <c r="A6563" s="45">
        <v>43663</v>
      </c>
      <c r="B6563" s="5" t="s">
        <v>1837</v>
      </c>
      <c r="C6563" s="5" t="s">
        <v>5176</v>
      </c>
      <c r="D6563" s="43">
        <v>10000</v>
      </c>
      <c r="E6563" s="43"/>
      <c r="F6563" s="48">
        <f t="shared" si="107"/>
        <v>19779</v>
      </c>
    </row>
    <row r="6564" spans="1:6" x14ac:dyDescent="0.3">
      <c r="A6564" s="45">
        <v>43665</v>
      </c>
      <c r="B6564" s="5" t="s">
        <v>16</v>
      </c>
      <c r="C6564" s="5" t="s">
        <v>4319</v>
      </c>
      <c r="D6564" s="43">
        <v>3000</v>
      </c>
      <c r="E6564" s="43"/>
      <c r="F6564" s="48">
        <f t="shared" si="107"/>
        <v>16779</v>
      </c>
    </row>
    <row r="6565" spans="1:6" x14ac:dyDescent="0.3">
      <c r="A6565" s="45">
        <v>43665</v>
      </c>
      <c r="B6565" s="5" t="s">
        <v>5174</v>
      </c>
      <c r="C6565" s="5" t="s">
        <v>5175</v>
      </c>
      <c r="D6565" s="43">
        <v>2400</v>
      </c>
      <c r="E6565" s="43"/>
      <c r="F6565" s="48">
        <f t="shared" si="107"/>
        <v>14379</v>
      </c>
    </row>
    <row r="6566" spans="1:6" x14ac:dyDescent="0.3">
      <c r="A6566" s="45">
        <v>43665</v>
      </c>
      <c r="B6566" s="5" t="s">
        <v>5179</v>
      </c>
      <c r="C6566" s="5" t="s">
        <v>5180</v>
      </c>
      <c r="D6566" s="43">
        <v>2400</v>
      </c>
      <c r="E6566" s="43"/>
      <c r="F6566" s="48">
        <f t="shared" si="107"/>
        <v>11979</v>
      </c>
    </row>
    <row r="6567" spans="1:6" x14ac:dyDescent="0.3">
      <c r="A6567" s="45">
        <v>43665</v>
      </c>
      <c r="B6567" s="5" t="s">
        <v>25</v>
      </c>
      <c r="C6567" s="5" t="s">
        <v>5177</v>
      </c>
      <c r="D6567" s="43">
        <f>190+330+50+160+375+170+230+60+75+430+110+170+30+50+135+400+20+50+20-1</f>
        <v>3054</v>
      </c>
      <c r="E6567" s="43"/>
      <c r="F6567" s="48">
        <f t="shared" si="107"/>
        <v>8925</v>
      </c>
    </row>
    <row r="6568" spans="1:6" x14ac:dyDescent="0.3">
      <c r="A6568" s="45">
        <v>43665</v>
      </c>
      <c r="B6568" s="191" t="s">
        <v>5124</v>
      </c>
      <c r="C6568" s="124" t="s">
        <v>5172</v>
      </c>
      <c r="D6568" s="192"/>
      <c r="E6568" s="141">
        <v>25000</v>
      </c>
      <c r="F6568" s="48">
        <f t="shared" si="107"/>
        <v>33925</v>
      </c>
    </row>
    <row r="6569" spans="1:6" x14ac:dyDescent="0.3">
      <c r="A6569" s="45">
        <v>43665</v>
      </c>
      <c r="B6569" s="5" t="s">
        <v>84</v>
      </c>
      <c r="C6569" s="5" t="s">
        <v>5178</v>
      </c>
      <c r="D6569" s="43">
        <v>6000</v>
      </c>
      <c r="E6569" s="43"/>
      <c r="F6569" s="48">
        <f t="shared" si="107"/>
        <v>27925</v>
      </c>
    </row>
    <row r="6570" spans="1:6" x14ac:dyDescent="0.3">
      <c r="A6570" s="45">
        <v>43665</v>
      </c>
      <c r="B6570" s="5" t="s">
        <v>2594</v>
      </c>
      <c r="C6570" s="5" t="s">
        <v>5185</v>
      </c>
      <c r="D6570" s="43">
        <v>4850</v>
      </c>
      <c r="E6570" s="43"/>
      <c r="F6570" s="48">
        <f t="shared" si="107"/>
        <v>23075</v>
      </c>
    </row>
    <row r="6571" spans="1:6" x14ac:dyDescent="0.3">
      <c r="A6571" s="45">
        <v>43665</v>
      </c>
      <c r="B6571" s="5" t="s">
        <v>1837</v>
      </c>
      <c r="C6571" s="5" t="s">
        <v>294</v>
      </c>
      <c r="D6571" s="43">
        <v>1000</v>
      </c>
      <c r="E6571" s="43"/>
      <c r="F6571" s="48">
        <f t="shared" si="107"/>
        <v>22075</v>
      </c>
    </row>
    <row r="6572" spans="1:6" x14ac:dyDescent="0.3">
      <c r="A6572" s="45">
        <v>43665</v>
      </c>
      <c r="B6572" s="5" t="s">
        <v>84</v>
      </c>
      <c r="C6572" s="5" t="s">
        <v>5181</v>
      </c>
      <c r="D6572" s="43">
        <v>5000</v>
      </c>
      <c r="E6572" s="43"/>
      <c r="F6572" s="48">
        <f>F6571-D6572+E6572</f>
        <v>17075</v>
      </c>
    </row>
    <row r="6573" spans="1:6" x14ac:dyDescent="0.3">
      <c r="A6573" s="45">
        <v>43665</v>
      </c>
      <c r="B6573" s="5" t="s">
        <v>4112</v>
      </c>
      <c r="C6573" s="5" t="s">
        <v>294</v>
      </c>
      <c r="D6573" s="43">
        <v>1000</v>
      </c>
      <c r="E6573" s="43"/>
      <c r="F6573" s="48">
        <f>F6572-D6573+E6573</f>
        <v>16075</v>
      </c>
    </row>
    <row r="6574" spans="1:6" x14ac:dyDescent="0.3">
      <c r="A6574" s="45">
        <v>43665</v>
      </c>
      <c r="B6574" s="5" t="s">
        <v>18</v>
      </c>
      <c r="C6574" s="5" t="s">
        <v>294</v>
      </c>
      <c r="D6574" s="43">
        <v>2000</v>
      </c>
      <c r="E6574" s="43"/>
      <c r="F6574" s="48">
        <f>F6573-D6574+E6574</f>
        <v>14075</v>
      </c>
    </row>
    <row r="6575" spans="1:6" x14ac:dyDescent="0.3">
      <c r="A6575" s="45">
        <v>43666</v>
      </c>
      <c r="B6575" s="191"/>
      <c r="C6575" s="124" t="s">
        <v>2960</v>
      </c>
      <c r="D6575" s="192"/>
      <c r="E6575" s="141">
        <v>50000</v>
      </c>
      <c r="F6575" s="48">
        <f t="shared" ref="F6575:F6638" si="108">F6574-D6575+E6575</f>
        <v>64075</v>
      </c>
    </row>
    <row r="6576" spans="1:6" x14ac:dyDescent="0.3">
      <c r="A6576" s="45">
        <v>43666</v>
      </c>
      <c r="B6576" s="5" t="s">
        <v>4112</v>
      </c>
      <c r="C6576" s="5" t="s">
        <v>4319</v>
      </c>
      <c r="D6576" s="43">
        <f>30000-D6577</f>
        <v>3700</v>
      </c>
      <c r="E6576" s="43"/>
      <c r="F6576" s="48">
        <f t="shared" si="108"/>
        <v>60375</v>
      </c>
    </row>
    <row r="6577" spans="1:6" x14ac:dyDescent="0.3">
      <c r="A6577" s="45">
        <v>43666</v>
      </c>
      <c r="B6577" s="5" t="s">
        <v>5182</v>
      </c>
      <c r="C6577" s="5" t="s">
        <v>40</v>
      </c>
      <c r="D6577" s="43">
        <v>26300</v>
      </c>
      <c r="E6577" s="43"/>
      <c r="F6577" s="48">
        <f t="shared" si="108"/>
        <v>34075</v>
      </c>
    </row>
    <row r="6578" spans="1:6" x14ac:dyDescent="0.3">
      <c r="A6578" s="45">
        <v>43666</v>
      </c>
      <c r="B6578" s="5" t="s">
        <v>110</v>
      </c>
      <c r="C6578" s="5" t="s">
        <v>4799</v>
      </c>
      <c r="D6578" s="43">
        <v>12000</v>
      </c>
      <c r="E6578" s="43"/>
      <c r="F6578" s="48">
        <f t="shared" si="108"/>
        <v>22075</v>
      </c>
    </row>
    <row r="6579" spans="1:6" x14ac:dyDescent="0.3">
      <c r="A6579" s="45">
        <v>43666</v>
      </c>
      <c r="B6579" s="5" t="s">
        <v>4964</v>
      </c>
      <c r="C6579" s="5" t="s">
        <v>4529</v>
      </c>
      <c r="D6579" s="43">
        <v>1000</v>
      </c>
      <c r="E6579" s="43"/>
      <c r="F6579" s="48">
        <f t="shared" si="108"/>
        <v>21075</v>
      </c>
    </row>
    <row r="6580" spans="1:6" x14ac:dyDescent="0.3">
      <c r="A6580" s="45">
        <v>43666</v>
      </c>
      <c r="B6580" s="5" t="s">
        <v>84</v>
      </c>
      <c r="C6580" s="5" t="s">
        <v>5183</v>
      </c>
      <c r="D6580" s="43">
        <v>200</v>
      </c>
      <c r="E6580" s="43"/>
      <c r="F6580" s="48">
        <f t="shared" si="108"/>
        <v>20875</v>
      </c>
    </row>
    <row r="6581" spans="1:6" x14ac:dyDescent="0.3">
      <c r="A6581" s="45">
        <v>43666</v>
      </c>
      <c r="B6581" s="5" t="s">
        <v>2594</v>
      </c>
      <c r="C6581" s="5" t="s">
        <v>5139</v>
      </c>
      <c r="D6581" s="42">
        <v>4065</v>
      </c>
      <c r="E6581" s="43"/>
      <c r="F6581" s="48">
        <f t="shared" si="108"/>
        <v>16810</v>
      </c>
    </row>
    <row r="6582" spans="1:6" x14ac:dyDescent="0.3">
      <c r="A6582" s="45">
        <v>43668</v>
      </c>
      <c r="B6582" s="5" t="s">
        <v>14</v>
      </c>
      <c r="C6582" s="5" t="s">
        <v>294</v>
      </c>
      <c r="D6582" s="43">
        <v>5000</v>
      </c>
      <c r="E6582" s="43"/>
      <c r="F6582" s="48">
        <f t="shared" si="108"/>
        <v>11810</v>
      </c>
    </row>
    <row r="6583" spans="1:6" x14ac:dyDescent="0.3">
      <c r="A6583" s="45">
        <v>43668</v>
      </c>
      <c r="B6583" s="5" t="s">
        <v>541</v>
      </c>
      <c r="C6583" s="5" t="s">
        <v>2435</v>
      </c>
      <c r="D6583" s="43">
        <v>600</v>
      </c>
      <c r="E6583" s="43"/>
      <c r="F6583" s="48">
        <f t="shared" si="108"/>
        <v>11210</v>
      </c>
    </row>
    <row r="6584" spans="1:6" x14ac:dyDescent="0.3">
      <c r="A6584" s="45">
        <v>43668</v>
      </c>
      <c r="B6584" s="191" t="s">
        <v>5124</v>
      </c>
      <c r="C6584" s="124" t="s">
        <v>5172</v>
      </c>
      <c r="D6584" s="192"/>
      <c r="E6584" s="141">
        <v>25000</v>
      </c>
      <c r="F6584" s="48">
        <f t="shared" si="108"/>
        <v>36210</v>
      </c>
    </row>
    <row r="6585" spans="1:6" x14ac:dyDescent="0.3">
      <c r="A6585" s="45">
        <v>43668</v>
      </c>
      <c r="B6585" s="5" t="s">
        <v>5187</v>
      </c>
      <c r="C6585" s="5" t="s">
        <v>40</v>
      </c>
      <c r="D6585" s="43">
        <v>9000</v>
      </c>
      <c r="E6585" s="43"/>
      <c r="F6585" s="48">
        <f t="shared" si="108"/>
        <v>27210</v>
      </c>
    </row>
    <row r="6586" spans="1:6" x14ac:dyDescent="0.3">
      <c r="A6586" s="45">
        <v>43668</v>
      </c>
      <c r="B6586" s="5" t="s">
        <v>1679</v>
      </c>
      <c r="C6586" s="5" t="s">
        <v>5188</v>
      </c>
      <c r="D6586" s="43">
        <v>10000</v>
      </c>
      <c r="E6586" s="43"/>
      <c r="F6586" s="48">
        <f t="shared" si="108"/>
        <v>17210</v>
      </c>
    </row>
    <row r="6587" spans="1:6" x14ac:dyDescent="0.3">
      <c r="A6587" s="45">
        <v>43668</v>
      </c>
      <c r="B6587" s="5" t="s">
        <v>4550</v>
      </c>
      <c r="C6587" s="5" t="s">
        <v>4187</v>
      </c>
      <c r="D6587" s="43">
        <v>5000</v>
      </c>
      <c r="E6587" s="43"/>
      <c r="F6587" s="48">
        <f t="shared" si="108"/>
        <v>12210</v>
      </c>
    </row>
    <row r="6588" spans="1:6" x14ac:dyDescent="0.3">
      <c r="A6588" s="45">
        <v>43669</v>
      </c>
      <c r="B6588" s="5" t="s">
        <v>2263</v>
      </c>
      <c r="C6588" s="5" t="s">
        <v>5190</v>
      </c>
      <c r="D6588" s="43">
        <v>300</v>
      </c>
      <c r="E6588" s="43"/>
      <c r="F6588" s="48">
        <f t="shared" si="108"/>
        <v>11910</v>
      </c>
    </row>
    <row r="6589" spans="1:6" x14ac:dyDescent="0.3">
      <c r="A6589" s="45">
        <v>43669</v>
      </c>
      <c r="B6589" s="5" t="s">
        <v>5156</v>
      </c>
      <c r="C6589" s="5" t="s">
        <v>5191</v>
      </c>
      <c r="D6589" s="43">
        <v>360</v>
      </c>
      <c r="E6589" s="43"/>
      <c r="F6589" s="48">
        <f t="shared" si="108"/>
        <v>11550</v>
      </c>
    </row>
    <row r="6590" spans="1:6" x14ac:dyDescent="0.3">
      <c r="A6590" s="45">
        <v>43669</v>
      </c>
      <c r="B6590" s="5" t="s">
        <v>84</v>
      </c>
      <c r="C6590" s="5" t="s">
        <v>5192</v>
      </c>
      <c r="D6590" s="43">
        <v>1000</v>
      </c>
      <c r="E6590" s="43"/>
      <c r="F6590" s="48">
        <f t="shared" si="108"/>
        <v>10550</v>
      </c>
    </row>
    <row r="6591" spans="1:6" x14ac:dyDescent="0.3">
      <c r="A6591" s="45">
        <v>43669</v>
      </c>
      <c r="B6591" s="191" t="s">
        <v>5124</v>
      </c>
      <c r="C6591" s="124" t="s">
        <v>5193</v>
      </c>
      <c r="D6591" s="192"/>
      <c r="E6591" s="141">
        <v>50000</v>
      </c>
      <c r="F6591" s="48">
        <f t="shared" si="108"/>
        <v>60550</v>
      </c>
    </row>
    <row r="6592" spans="1:6" x14ac:dyDescent="0.3">
      <c r="A6592" s="45">
        <v>43669</v>
      </c>
      <c r="B6592" s="5" t="s">
        <v>2594</v>
      </c>
      <c r="C6592" s="5" t="s">
        <v>5120</v>
      </c>
      <c r="D6592" s="42">
        <v>4000</v>
      </c>
      <c r="E6592" s="43"/>
      <c r="F6592" s="48">
        <f t="shared" si="108"/>
        <v>56550</v>
      </c>
    </row>
    <row r="6593" spans="1:6" x14ac:dyDescent="0.3">
      <c r="A6593" s="45">
        <v>43669</v>
      </c>
      <c r="B6593" s="5" t="s">
        <v>14</v>
      </c>
      <c r="C6593" s="5" t="s">
        <v>294</v>
      </c>
      <c r="D6593" s="43">
        <v>5000</v>
      </c>
      <c r="E6593" s="43"/>
      <c r="F6593" s="48">
        <f t="shared" si="108"/>
        <v>51550</v>
      </c>
    </row>
    <row r="6594" spans="1:6" x14ac:dyDescent="0.3">
      <c r="A6594" s="45">
        <v>43669</v>
      </c>
      <c r="B6594" s="5" t="s">
        <v>84</v>
      </c>
      <c r="C6594" s="5" t="s">
        <v>5194</v>
      </c>
      <c r="D6594" s="43">
        <v>5000</v>
      </c>
      <c r="E6594" s="43"/>
      <c r="F6594" s="48">
        <f t="shared" si="108"/>
        <v>46550</v>
      </c>
    </row>
    <row r="6595" spans="1:6" x14ac:dyDescent="0.3">
      <c r="A6595" s="45">
        <v>43670</v>
      </c>
      <c r="B6595" s="5" t="s">
        <v>3559</v>
      </c>
      <c r="C6595" s="5" t="s">
        <v>3442</v>
      </c>
      <c r="D6595" s="43">
        <v>640</v>
      </c>
      <c r="E6595" s="43"/>
      <c r="F6595" s="48">
        <f t="shared" si="108"/>
        <v>45910</v>
      </c>
    </row>
    <row r="6596" spans="1:6" x14ac:dyDescent="0.3">
      <c r="A6596" s="45">
        <v>43670</v>
      </c>
      <c r="B6596" s="5" t="s">
        <v>84</v>
      </c>
      <c r="C6596" s="5" t="s">
        <v>5195</v>
      </c>
      <c r="D6596" s="43">
        <v>2000</v>
      </c>
      <c r="E6596" s="43"/>
      <c r="F6596" s="48">
        <f t="shared" si="108"/>
        <v>43910</v>
      </c>
    </row>
    <row r="6597" spans="1:6" x14ac:dyDescent="0.3">
      <c r="A6597" s="45">
        <v>43670</v>
      </c>
      <c r="B6597" s="5" t="s">
        <v>16</v>
      </c>
      <c r="C6597" s="5" t="s">
        <v>5196</v>
      </c>
      <c r="D6597" s="43">
        <v>20000</v>
      </c>
      <c r="E6597" s="43"/>
      <c r="F6597" s="48">
        <f t="shared" si="108"/>
        <v>23910</v>
      </c>
    </row>
    <row r="6598" spans="1:6" x14ac:dyDescent="0.3">
      <c r="A6598" s="45">
        <v>43671</v>
      </c>
      <c r="B6598" s="191" t="s">
        <v>5124</v>
      </c>
      <c r="C6598" s="124" t="s">
        <v>5172</v>
      </c>
      <c r="D6598" s="192"/>
      <c r="E6598" s="141">
        <v>25000</v>
      </c>
      <c r="F6598" s="48">
        <f t="shared" si="108"/>
        <v>48910</v>
      </c>
    </row>
    <row r="6599" spans="1:6" x14ac:dyDescent="0.3">
      <c r="A6599" s="45">
        <v>43671</v>
      </c>
      <c r="B6599" s="5" t="s">
        <v>14</v>
      </c>
      <c r="C6599" s="5" t="s">
        <v>5197</v>
      </c>
      <c r="D6599" s="43">
        <v>5800</v>
      </c>
      <c r="E6599" s="43"/>
      <c r="F6599" s="48">
        <f t="shared" si="108"/>
        <v>43110</v>
      </c>
    </row>
    <row r="6600" spans="1:6" x14ac:dyDescent="0.3">
      <c r="A6600" s="45">
        <v>43671</v>
      </c>
      <c r="B6600" s="5" t="s">
        <v>2594</v>
      </c>
      <c r="C6600" s="5" t="s">
        <v>5198</v>
      </c>
      <c r="D6600" s="43">
        <v>22000</v>
      </c>
      <c r="E6600" s="43"/>
      <c r="F6600" s="48">
        <f t="shared" si="108"/>
        <v>21110</v>
      </c>
    </row>
    <row r="6601" spans="1:6" x14ac:dyDescent="0.3">
      <c r="A6601" s="45">
        <v>43671</v>
      </c>
      <c r="B6601" s="5" t="s">
        <v>2594</v>
      </c>
      <c r="C6601" s="5" t="s">
        <v>5203</v>
      </c>
      <c r="D6601" s="43">
        <v>5000</v>
      </c>
      <c r="E6601" s="43"/>
      <c r="F6601" s="48">
        <f t="shared" si="108"/>
        <v>16110</v>
      </c>
    </row>
    <row r="6602" spans="1:6" x14ac:dyDescent="0.3">
      <c r="A6602" s="45">
        <v>43672</v>
      </c>
      <c r="B6602" s="5" t="s">
        <v>2594</v>
      </c>
      <c r="C6602" s="5" t="s">
        <v>5209</v>
      </c>
      <c r="D6602" s="43">
        <v>1220</v>
      </c>
      <c r="E6602" s="43"/>
      <c r="F6602" s="48">
        <f t="shared" si="108"/>
        <v>14890</v>
      </c>
    </row>
    <row r="6603" spans="1:6" x14ac:dyDescent="0.3">
      <c r="A6603" s="45">
        <v>43672</v>
      </c>
      <c r="B6603" s="5" t="s">
        <v>4550</v>
      </c>
      <c r="C6603" s="5" t="s">
        <v>5204</v>
      </c>
      <c r="D6603" s="43">
        <v>10000</v>
      </c>
      <c r="E6603" s="43"/>
      <c r="F6603" s="48">
        <f t="shared" si="108"/>
        <v>4890</v>
      </c>
    </row>
    <row r="6604" spans="1:6" x14ac:dyDescent="0.3">
      <c r="A6604" s="45">
        <v>43672</v>
      </c>
      <c r="B6604" s="5" t="s">
        <v>84</v>
      </c>
      <c r="C6604" s="5" t="s">
        <v>5205</v>
      </c>
      <c r="D6604" s="43">
        <v>2000</v>
      </c>
      <c r="E6604" s="43"/>
      <c r="F6604" s="48">
        <f t="shared" si="108"/>
        <v>2890</v>
      </c>
    </row>
    <row r="6605" spans="1:6" x14ac:dyDescent="0.3">
      <c r="A6605" s="45">
        <v>43673</v>
      </c>
      <c r="B6605" s="5" t="s">
        <v>4112</v>
      </c>
      <c r="C6605" s="5" t="s">
        <v>5206</v>
      </c>
      <c r="D6605" s="43">
        <v>2000</v>
      </c>
      <c r="E6605" s="43"/>
      <c r="F6605" s="48">
        <f t="shared" si="108"/>
        <v>890</v>
      </c>
    </row>
    <row r="6606" spans="1:6" x14ac:dyDescent="0.3">
      <c r="A6606" s="45">
        <v>43673</v>
      </c>
      <c r="B6606" s="191" t="s">
        <v>3444</v>
      </c>
      <c r="C6606" s="133">
        <v>1961970</v>
      </c>
      <c r="D6606" s="192"/>
      <c r="E6606" s="141">
        <v>50000</v>
      </c>
      <c r="F6606" s="48">
        <f t="shared" si="108"/>
        <v>50890</v>
      </c>
    </row>
    <row r="6607" spans="1:6" x14ac:dyDescent="0.3">
      <c r="A6607" s="45">
        <v>43673</v>
      </c>
      <c r="B6607" s="5" t="s">
        <v>25</v>
      </c>
      <c r="C6607" s="5" t="s">
        <v>5207</v>
      </c>
      <c r="D6607" s="43">
        <f>240+50+30+130+160+120+160+60+75+220+150+230+200+220+90+200+80+20+220+200</f>
        <v>2855</v>
      </c>
      <c r="E6607" s="43"/>
      <c r="F6607" s="48">
        <f t="shared" si="108"/>
        <v>48035</v>
      </c>
    </row>
    <row r="6608" spans="1:6" x14ac:dyDescent="0.3">
      <c r="A6608" s="45">
        <v>43673</v>
      </c>
      <c r="B6608" s="5" t="s">
        <v>693</v>
      </c>
      <c r="C6608" s="5" t="s">
        <v>5156</v>
      </c>
      <c r="D6608" s="43">
        <v>1080</v>
      </c>
      <c r="E6608" s="43"/>
      <c r="F6608" s="48">
        <f t="shared" si="108"/>
        <v>46955</v>
      </c>
    </row>
    <row r="6609" spans="1:6" x14ac:dyDescent="0.3">
      <c r="A6609" s="45">
        <v>43673</v>
      </c>
      <c r="B6609" s="5" t="s">
        <v>14</v>
      </c>
      <c r="C6609" s="5" t="s">
        <v>294</v>
      </c>
      <c r="D6609" s="43">
        <v>9000</v>
      </c>
      <c r="E6609" s="43"/>
      <c r="F6609" s="48">
        <f t="shared" si="108"/>
        <v>37955</v>
      </c>
    </row>
    <row r="6610" spans="1:6" x14ac:dyDescent="0.3">
      <c r="A6610" s="45">
        <v>43678</v>
      </c>
      <c r="B6610" s="191" t="s">
        <v>3444</v>
      </c>
      <c r="C6610" s="133"/>
      <c r="D6610" s="192"/>
      <c r="E6610" s="141">
        <v>100000</v>
      </c>
      <c r="F6610" s="48">
        <f t="shared" si="108"/>
        <v>137955</v>
      </c>
    </row>
    <row r="6611" spans="1:6" x14ac:dyDescent="0.3">
      <c r="A6611" s="45">
        <v>43673</v>
      </c>
      <c r="B6611" s="5" t="s">
        <v>2594</v>
      </c>
      <c r="C6611" s="5" t="s">
        <v>5208</v>
      </c>
      <c r="D6611" s="43">
        <v>49000</v>
      </c>
      <c r="E6611" s="43"/>
      <c r="F6611" s="48">
        <f t="shared" si="108"/>
        <v>88955</v>
      </c>
    </row>
    <row r="6612" spans="1:6" x14ac:dyDescent="0.3">
      <c r="A6612" s="45">
        <v>43673</v>
      </c>
      <c r="B6612" s="5" t="s">
        <v>2594</v>
      </c>
      <c r="C6612" s="5" t="s">
        <v>5219</v>
      </c>
      <c r="D6612" s="43">
        <f>5000+280</f>
        <v>5280</v>
      </c>
      <c r="E6612" s="43"/>
      <c r="F6612" s="48">
        <f t="shared" si="108"/>
        <v>83675</v>
      </c>
    </row>
    <row r="6613" spans="1:6" x14ac:dyDescent="0.3">
      <c r="A6613" s="45">
        <v>43673</v>
      </c>
      <c r="B6613" s="5" t="s">
        <v>3559</v>
      </c>
      <c r="C6613" s="5" t="s">
        <v>5210</v>
      </c>
      <c r="D6613" s="43">
        <v>1000</v>
      </c>
      <c r="E6613" s="43"/>
      <c r="F6613" s="48">
        <f t="shared" si="108"/>
        <v>82675</v>
      </c>
    </row>
    <row r="6614" spans="1:6" x14ac:dyDescent="0.3">
      <c r="A6614" s="45">
        <v>43676</v>
      </c>
      <c r="B6614" s="5" t="s">
        <v>5211</v>
      </c>
      <c r="C6614" s="5" t="s">
        <v>5212</v>
      </c>
      <c r="D6614" s="43">
        <v>10000</v>
      </c>
      <c r="E6614" s="43"/>
      <c r="F6614" s="48">
        <f t="shared" si="108"/>
        <v>72675</v>
      </c>
    </row>
    <row r="6615" spans="1:6" x14ac:dyDescent="0.3">
      <c r="A6615" s="45">
        <v>43676</v>
      </c>
      <c r="B6615" s="5" t="s">
        <v>14</v>
      </c>
      <c r="C6615" s="5" t="s">
        <v>640</v>
      </c>
      <c r="D6615" s="43">
        <v>1000</v>
      </c>
      <c r="E6615" s="43"/>
      <c r="F6615" s="48">
        <f t="shared" si="108"/>
        <v>71675</v>
      </c>
    </row>
    <row r="6616" spans="1:6" x14ac:dyDescent="0.3">
      <c r="A6616" s="45">
        <v>43678</v>
      </c>
      <c r="B6616" s="5" t="s">
        <v>84</v>
      </c>
      <c r="C6616" s="5" t="s">
        <v>5213</v>
      </c>
      <c r="D6616" s="43">
        <v>5000</v>
      </c>
      <c r="E6616" s="43"/>
      <c r="F6616" s="48">
        <f t="shared" si="108"/>
        <v>66675</v>
      </c>
    </row>
    <row r="6617" spans="1:6" x14ac:dyDescent="0.3">
      <c r="A6617" s="45">
        <v>43678</v>
      </c>
      <c r="B6617" s="5" t="s">
        <v>84</v>
      </c>
      <c r="C6617" s="5" t="s">
        <v>5216</v>
      </c>
      <c r="D6617" s="43">
        <v>10000</v>
      </c>
      <c r="E6617" s="43"/>
      <c r="F6617" s="48">
        <f t="shared" si="108"/>
        <v>56675</v>
      </c>
    </row>
    <row r="6618" spans="1:6" x14ac:dyDescent="0.3">
      <c r="A6618" s="45">
        <v>43678</v>
      </c>
      <c r="B6618" s="5" t="s">
        <v>54</v>
      </c>
      <c r="C6618" s="5" t="s">
        <v>5214</v>
      </c>
      <c r="D6618" s="43">
        <v>35000</v>
      </c>
      <c r="E6618" s="43"/>
      <c r="F6618" s="48">
        <f t="shared" si="108"/>
        <v>21675</v>
      </c>
    </row>
    <row r="6619" spans="1:6" x14ac:dyDescent="0.3">
      <c r="A6619" s="45">
        <v>43678</v>
      </c>
      <c r="B6619" s="5" t="s">
        <v>693</v>
      </c>
      <c r="C6619" s="5" t="s">
        <v>5215</v>
      </c>
      <c r="D6619" s="43">
        <v>1000</v>
      </c>
      <c r="E6619" s="43"/>
      <c r="F6619" s="48">
        <f t="shared" si="108"/>
        <v>20675</v>
      </c>
    </row>
    <row r="6620" spans="1:6" x14ac:dyDescent="0.3">
      <c r="A6620" s="45">
        <v>43678</v>
      </c>
      <c r="B6620" s="5" t="s">
        <v>4112</v>
      </c>
      <c r="C6620" s="5" t="s">
        <v>4319</v>
      </c>
      <c r="D6620" s="43">
        <v>2000</v>
      </c>
      <c r="E6620" s="43"/>
      <c r="F6620" s="48">
        <f t="shared" si="108"/>
        <v>18675</v>
      </c>
    </row>
    <row r="6621" spans="1:6" x14ac:dyDescent="0.3">
      <c r="A6621" s="45">
        <v>43678</v>
      </c>
      <c r="B6621" s="191" t="s">
        <v>3444</v>
      </c>
      <c r="C6621" s="133"/>
      <c r="D6621" s="192"/>
      <c r="E6621" s="141">
        <v>50000</v>
      </c>
      <c r="F6621" s="48">
        <f t="shared" si="108"/>
        <v>68675</v>
      </c>
    </row>
    <row r="6622" spans="1:6" x14ac:dyDescent="0.3">
      <c r="A6622" s="45">
        <v>43678</v>
      </c>
      <c r="B6622" s="5" t="s">
        <v>4925</v>
      </c>
      <c r="C6622" s="5" t="s">
        <v>294</v>
      </c>
      <c r="D6622" s="168">
        <v>20000</v>
      </c>
      <c r="E6622" s="43"/>
      <c r="F6622" s="48">
        <f t="shared" si="108"/>
        <v>48675</v>
      </c>
    </row>
    <row r="6623" spans="1:6" x14ac:dyDescent="0.3">
      <c r="A6623" s="45">
        <v>43678</v>
      </c>
      <c r="B6623" s="5" t="s">
        <v>4550</v>
      </c>
      <c r="C6623" s="5" t="s">
        <v>5218</v>
      </c>
      <c r="D6623" s="43">
        <f>14000-3000</f>
        <v>11000</v>
      </c>
      <c r="E6623" s="43"/>
      <c r="F6623" s="48">
        <f t="shared" si="108"/>
        <v>37675</v>
      </c>
    </row>
    <row r="6624" spans="1:6" x14ac:dyDescent="0.3">
      <c r="A6624" s="45">
        <v>43678</v>
      </c>
      <c r="B6624" s="5" t="s">
        <v>84</v>
      </c>
      <c r="C6624" s="5" t="s">
        <v>5236</v>
      </c>
      <c r="D6624" s="43">
        <v>3000</v>
      </c>
      <c r="E6624" s="43"/>
      <c r="F6624" s="48">
        <f t="shared" si="108"/>
        <v>34675</v>
      </c>
    </row>
    <row r="6625" spans="1:6" x14ac:dyDescent="0.3">
      <c r="A6625" s="45">
        <v>43678</v>
      </c>
      <c r="B6625" s="5" t="s">
        <v>1512</v>
      </c>
      <c r="C6625" s="5" t="s">
        <v>5217</v>
      </c>
      <c r="D6625" s="43">
        <v>6000</v>
      </c>
      <c r="E6625" s="43"/>
      <c r="F6625" s="48">
        <f t="shared" si="108"/>
        <v>28675</v>
      </c>
    </row>
    <row r="6626" spans="1:6" x14ac:dyDescent="0.3">
      <c r="A6626" s="45">
        <v>43678</v>
      </c>
      <c r="B6626" s="191" t="s">
        <v>5223</v>
      </c>
      <c r="C6626" s="133"/>
      <c r="D6626" s="192"/>
      <c r="E6626" s="141">
        <v>18000</v>
      </c>
      <c r="F6626" s="48">
        <f t="shared" si="108"/>
        <v>46675</v>
      </c>
    </row>
    <row r="6627" spans="1:6" x14ac:dyDescent="0.3">
      <c r="A6627" s="45">
        <v>43679</v>
      </c>
      <c r="B6627" s="5" t="s">
        <v>2594</v>
      </c>
      <c r="C6627" s="5" t="s">
        <v>4392</v>
      </c>
      <c r="D6627" s="43">
        <v>12350</v>
      </c>
      <c r="E6627" s="43"/>
      <c r="F6627" s="48">
        <f t="shared" si="108"/>
        <v>34325</v>
      </c>
    </row>
    <row r="6628" spans="1:6" x14ac:dyDescent="0.3">
      <c r="A6628" s="45">
        <v>43679</v>
      </c>
      <c r="B6628" s="5" t="s">
        <v>2594</v>
      </c>
      <c r="C6628" s="5" t="s">
        <v>4392</v>
      </c>
      <c r="D6628" s="43">
        <v>8465</v>
      </c>
      <c r="E6628" s="43"/>
      <c r="F6628" s="48">
        <f t="shared" si="108"/>
        <v>25860</v>
      </c>
    </row>
    <row r="6629" spans="1:6" x14ac:dyDescent="0.3">
      <c r="A6629" s="45">
        <v>43678</v>
      </c>
      <c r="B6629" s="5" t="s">
        <v>2594</v>
      </c>
      <c r="C6629" s="5" t="s">
        <v>3143</v>
      </c>
      <c r="D6629" s="43">
        <v>12000</v>
      </c>
      <c r="E6629" s="43"/>
      <c r="F6629" s="48">
        <f t="shared" si="108"/>
        <v>13860</v>
      </c>
    </row>
    <row r="6630" spans="1:6" x14ac:dyDescent="0.3">
      <c r="A6630" s="45">
        <v>43678</v>
      </c>
      <c r="B6630" s="5" t="s">
        <v>25</v>
      </c>
      <c r="C6630" s="5" t="s">
        <v>5220</v>
      </c>
      <c r="D6630" s="43">
        <v>2300</v>
      </c>
      <c r="E6630" s="43"/>
      <c r="F6630" s="48">
        <f t="shared" si="108"/>
        <v>11560</v>
      </c>
    </row>
    <row r="6631" spans="1:6" x14ac:dyDescent="0.3">
      <c r="A6631" s="45">
        <v>43679</v>
      </c>
      <c r="B6631" s="5" t="s">
        <v>16</v>
      </c>
      <c r="C6631" s="5" t="s">
        <v>294</v>
      </c>
      <c r="D6631" s="43">
        <v>10000</v>
      </c>
      <c r="E6631" s="43"/>
      <c r="F6631" s="48">
        <f t="shared" si="108"/>
        <v>1560</v>
      </c>
    </row>
    <row r="6632" spans="1:6" x14ac:dyDescent="0.3">
      <c r="A6632" s="45">
        <v>43679</v>
      </c>
      <c r="B6632" s="191" t="s">
        <v>5221</v>
      </c>
      <c r="C6632" s="133"/>
      <c r="D6632" s="192"/>
      <c r="E6632" s="141">
        <v>5000</v>
      </c>
      <c r="F6632" s="48">
        <f t="shared" si="108"/>
        <v>6560</v>
      </c>
    </row>
    <row r="6633" spans="1:6" x14ac:dyDescent="0.3">
      <c r="A6633" s="45">
        <v>43679</v>
      </c>
      <c r="B6633" s="5" t="s">
        <v>2594</v>
      </c>
      <c r="C6633" s="5" t="s">
        <v>5227</v>
      </c>
      <c r="D6633" s="43">
        <v>2663</v>
      </c>
      <c r="E6633" s="43"/>
      <c r="F6633" s="48">
        <f t="shared" si="108"/>
        <v>3897</v>
      </c>
    </row>
    <row r="6634" spans="1:6" x14ac:dyDescent="0.3">
      <c r="A6634" s="45">
        <v>43679</v>
      </c>
      <c r="B6634" s="5" t="s">
        <v>14</v>
      </c>
      <c r="C6634" s="5" t="s">
        <v>294</v>
      </c>
      <c r="D6634" s="43">
        <v>2000</v>
      </c>
      <c r="E6634" s="43"/>
      <c r="F6634" s="48">
        <f t="shared" si="108"/>
        <v>1897</v>
      </c>
    </row>
    <row r="6635" spans="1:6" x14ac:dyDescent="0.3">
      <c r="A6635" s="45">
        <v>43679</v>
      </c>
      <c r="B6635" s="5" t="s">
        <v>5124</v>
      </c>
      <c r="C6635" s="5" t="s">
        <v>5222</v>
      </c>
      <c r="D6635" s="43">
        <v>1000</v>
      </c>
      <c r="E6635" s="43"/>
      <c r="F6635" s="48">
        <f t="shared" si="108"/>
        <v>897</v>
      </c>
    </row>
    <row r="6636" spans="1:6" x14ac:dyDescent="0.3">
      <c r="A6636" s="45">
        <v>43682</v>
      </c>
      <c r="B6636" s="191" t="s">
        <v>5229</v>
      </c>
      <c r="C6636" s="133"/>
      <c r="D6636" s="192"/>
      <c r="E6636" s="141">
        <v>1000000</v>
      </c>
      <c r="F6636" s="48">
        <f t="shared" si="108"/>
        <v>1000897</v>
      </c>
    </row>
    <row r="6637" spans="1:6" x14ac:dyDescent="0.3">
      <c r="A6637" s="45">
        <v>43680</v>
      </c>
      <c r="B6637" s="5" t="s">
        <v>2594</v>
      </c>
      <c r="C6637" s="5" t="s">
        <v>5139</v>
      </c>
      <c r="D6637" s="43">
        <v>1000</v>
      </c>
      <c r="E6637" s="43"/>
      <c r="F6637" s="48">
        <f t="shared" si="108"/>
        <v>999897</v>
      </c>
    </row>
    <row r="6638" spans="1:6" x14ac:dyDescent="0.3">
      <c r="A6638" s="45">
        <v>43680</v>
      </c>
      <c r="B6638" s="5" t="s">
        <v>2594</v>
      </c>
      <c r="C6638" s="5" t="s">
        <v>5226</v>
      </c>
      <c r="D6638" s="43">
        <v>1500</v>
      </c>
      <c r="E6638" s="43"/>
      <c r="F6638" s="48">
        <f t="shared" si="108"/>
        <v>998397</v>
      </c>
    </row>
    <row r="6639" spans="1:6" x14ac:dyDescent="0.3">
      <c r="A6639" s="45">
        <v>43680</v>
      </c>
      <c r="B6639" s="5" t="s">
        <v>84</v>
      </c>
      <c r="C6639" s="5" t="s">
        <v>5224</v>
      </c>
      <c r="D6639" s="43">
        <v>1000</v>
      </c>
      <c r="E6639" s="43"/>
      <c r="F6639" s="48">
        <f t="shared" ref="F6639:F6702" si="109">F6638-D6639+E6639</f>
        <v>997397</v>
      </c>
    </row>
    <row r="6640" spans="1:6" x14ac:dyDescent="0.3">
      <c r="A6640" s="45">
        <v>43680</v>
      </c>
      <c r="B6640" s="5" t="s">
        <v>84</v>
      </c>
      <c r="C6640" s="5" t="s">
        <v>5225</v>
      </c>
      <c r="D6640" s="43">
        <v>1000</v>
      </c>
      <c r="E6640" s="43"/>
      <c r="F6640" s="48">
        <f t="shared" si="109"/>
        <v>996397</v>
      </c>
    </row>
    <row r="6641" spans="1:6" x14ac:dyDescent="0.3">
      <c r="A6641" s="45">
        <v>43680</v>
      </c>
      <c r="B6641" s="5" t="s">
        <v>2594</v>
      </c>
      <c r="C6641" s="5" t="s">
        <v>5228</v>
      </c>
      <c r="D6641" s="43">
        <v>4237</v>
      </c>
      <c r="E6641" s="43"/>
      <c r="F6641" s="48">
        <f t="shared" si="109"/>
        <v>992160</v>
      </c>
    </row>
    <row r="6642" spans="1:6" x14ac:dyDescent="0.3">
      <c r="A6642" s="45">
        <v>43682</v>
      </c>
      <c r="B6642" s="5" t="s">
        <v>14</v>
      </c>
      <c r="C6642" s="5" t="s">
        <v>5230</v>
      </c>
      <c r="D6642" s="43">
        <v>25000</v>
      </c>
      <c r="E6642" s="43"/>
      <c r="F6642" s="48">
        <f t="shared" si="109"/>
        <v>967160</v>
      </c>
    </row>
    <row r="6643" spans="1:6" x14ac:dyDescent="0.3">
      <c r="A6643" s="45">
        <v>43682</v>
      </c>
      <c r="B6643" s="5" t="s">
        <v>57</v>
      </c>
      <c r="C6643" s="5" t="s">
        <v>5247</v>
      </c>
      <c r="D6643" s="43">
        <v>7600</v>
      </c>
      <c r="E6643" s="43"/>
      <c r="F6643" s="48">
        <f t="shared" si="109"/>
        <v>959560</v>
      </c>
    </row>
    <row r="6644" spans="1:6" x14ac:dyDescent="0.3">
      <c r="A6644" s="45">
        <v>43682</v>
      </c>
      <c r="B6644" s="5" t="s">
        <v>4552</v>
      </c>
      <c r="C6644" s="5" t="s">
        <v>5231</v>
      </c>
      <c r="D6644" s="43">
        <v>10500</v>
      </c>
      <c r="E6644" s="43"/>
      <c r="F6644" s="48">
        <f t="shared" si="109"/>
        <v>949060</v>
      </c>
    </row>
    <row r="6645" spans="1:6" x14ac:dyDescent="0.3">
      <c r="A6645" s="45">
        <v>43682</v>
      </c>
      <c r="B6645" s="5" t="s">
        <v>0</v>
      </c>
      <c r="C6645" s="5" t="s">
        <v>2013</v>
      </c>
      <c r="D6645" s="43">
        <v>100</v>
      </c>
      <c r="E6645" s="43"/>
      <c r="F6645" s="48">
        <f t="shared" si="109"/>
        <v>948960</v>
      </c>
    </row>
    <row r="6646" spans="1:6" x14ac:dyDescent="0.3">
      <c r="A6646" s="45">
        <v>43682</v>
      </c>
      <c r="B6646" s="5" t="s">
        <v>693</v>
      </c>
      <c r="C6646" s="5" t="s">
        <v>5232</v>
      </c>
      <c r="D6646" s="43">
        <f>800*7-1000</f>
        <v>4600</v>
      </c>
      <c r="E6646" s="43"/>
      <c r="F6646" s="48">
        <f t="shared" si="109"/>
        <v>944360</v>
      </c>
    </row>
    <row r="6647" spans="1:6" x14ac:dyDescent="0.3">
      <c r="A6647" s="45">
        <v>43682</v>
      </c>
      <c r="B6647" s="5" t="s">
        <v>2594</v>
      </c>
      <c r="C6647" s="5" t="s">
        <v>2013</v>
      </c>
      <c r="D6647" s="43">
        <v>200</v>
      </c>
      <c r="E6647" s="43"/>
      <c r="F6647" s="48">
        <f t="shared" si="109"/>
        <v>944160</v>
      </c>
    </row>
    <row r="6648" spans="1:6" x14ac:dyDescent="0.3">
      <c r="A6648" s="45">
        <v>43682</v>
      </c>
      <c r="B6648" s="5" t="s">
        <v>47</v>
      </c>
      <c r="C6648" s="5" t="s">
        <v>5233</v>
      </c>
      <c r="D6648" s="43">
        <v>1000</v>
      </c>
      <c r="E6648" s="43"/>
      <c r="F6648" s="48">
        <f t="shared" si="109"/>
        <v>943160</v>
      </c>
    </row>
    <row r="6649" spans="1:6" x14ac:dyDescent="0.3">
      <c r="A6649" s="45">
        <v>43683</v>
      </c>
      <c r="B6649" s="5" t="s">
        <v>2594</v>
      </c>
      <c r="C6649" s="5" t="s">
        <v>5252</v>
      </c>
      <c r="D6649" s="43">
        <v>20642</v>
      </c>
      <c r="E6649" s="43"/>
      <c r="F6649" s="48">
        <f t="shared" si="109"/>
        <v>922518</v>
      </c>
    </row>
    <row r="6650" spans="1:6" x14ac:dyDescent="0.3">
      <c r="A6650" s="45">
        <v>43683</v>
      </c>
      <c r="B6650" s="5" t="s">
        <v>57</v>
      </c>
      <c r="C6650" s="5" t="s">
        <v>5234</v>
      </c>
      <c r="D6650" s="43">
        <v>1000</v>
      </c>
      <c r="E6650" s="43"/>
      <c r="F6650" s="48">
        <f t="shared" si="109"/>
        <v>921518</v>
      </c>
    </row>
    <row r="6651" spans="1:6" x14ac:dyDescent="0.3">
      <c r="A6651" s="45">
        <v>43683</v>
      </c>
      <c r="B6651" s="5" t="s">
        <v>1837</v>
      </c>
      <c r="C6651" s="5" t="s">
        <v>4187</v>
      </c>
      <c r="D6651" s="43">
        <v>1000</v>
      </c>
      <c r="E6651" s="43"/>
      <c r="F6651" s="48">
        <f t="shared" si="109"/>
        <v>920518</v>
      </c>
    </row>
    <row r="6652" spans="1:6" x14ac:dyDescent="0.3">
      <c r="A6652" s="45">
        <v>43683</v>
      </c>
      <c r="B6652" s="5" t="s">
        <v>105</v>
      </c>
      <c r="C6652" s="5" t="s">
        <v>5235</v>
      </c>
      <c r="D6652" s="43">
        <v>1000</v>
      </c>
      <c r="E6652" s="43"/>
      <c r="F6652" s="48">
        <f t="shared" si="109"/>
        <v>919518</v>
      </c>
    </row>
    <row r="6653" spans="1:6" x14ac:dyDescent="0.3">
      <c r="A6653" s="45">
        <v>43684</v>
      </c>
      <c r="B6653" s="5" t="s">
        <v>3138</v>
      </c>
      <c r="C6653" s="5" t="s">
        <v>5237</v>
      </c>
      <c r="D6653" s="43">
        <v>527</v>
      </c>
      <c r="E6653" s="43"/>
      <c r="F6653" s="48">
        <f t="shared" si="109"/>
        <v>918991</v>
      </c>
    </row>
    <row r="6654" spans="1:6" x14ac:dyDescent="0.3">
      <c r="A6654" s="45">
        <v>43684</v>
      </c>
      <c r="B6654" s="5" t="s">
        <v>4550</v>
      </c>
      <c r="C6654" s="5" t="s">
        <v>4187</v>
      </c>
      <c r="D6654" s="43">
        <v>15000</v>
      </c>
      <c r="E6654" s="43"/>
      <c r="F6654" s="48">
        <f t="shared" si="109"/>
        <v>903991</v>
      </c>
    </row>
    <row r="6655" spans="1:6" x14ac:dyDescent="0.3">
      <c r="A6655" s="45">
        <v>43684</v>
      </c>
      <c r="B6655" s="5" t="s">
        <v>2594</v>
      </c>
      <c r="C6655" s="5" t="s">
        <v>5238</v>
      </c>
      <c r="D6655" s="43">
        <v>220</v>
      </c>
      <c r="E6655" s="43"/>
      <c r="F6655" s="48">
        <f t="shared" si="109"/>
        <v>903771</v>
      </c>
    </row>
    <row r="6656" spans="1:6" x14ac:dyDescent="0.3">
      <c r="A6656" s="45">
        <v>43682</v>
      </c>
      <c r="B6656" s="191" t="s">
        <v>5240</v>
      </c>
      <c r="C6656" s="133"/>
      <c r="D6656" s="192"/>
      <c r="E6656" s="141">
        <v>600000</v>
      </c>
      <c r="F6656" s="48">
        <f t="shared" si="109"/>
        <v>1503771</v>
      </c>
    </row>
    <row r="6657" spans="1:6" x14ac:dyDescent="0.3">
      <c r="A6657" s="45">
        <v>43684</v>
      </c>
      <c r="B6657" s="5" t="s">
        <v>25</v>
      </c>
      <c r="C6657" s="5" t="s">
        <v>5239</v>
      </c>
      <c r="D6657" s="43">
        <f>2835+100</f>
        <v>2935</v>
      </c>
      <c r="E6657" s="43"/>
      <c r="F6657" s="48">
        <f t="shared" si="109"/>
        <v>1500836</v>
      </c>
    </row>
    <row r="6658" spans="1:6" x14ac:dyDescent="0.3">
      <c r="A6658" s="45">
        <v>43684</v>
      </c>
      <c r="B6658" s="5" t="s">
        <v>2594</v>
      </c>
      <c r="C6658" s="5" t="s">
        <v>5252</v>
      </c>
      <c r="D6658" s="43">
        <v>10540</v>
      </c>
      <c r="E6658" s="43"/>
      <c r="F6658" s="48">
        <f t="shared" si="109"/>
        <v>1490296</v>
      </c>
    </row>
    <row r="6659" spans="1:6" x14ac:dyDescent="0.3">
      <c r="A6659" s="45">
        <v>43684</v>
      </c>
      <c r="B6659" s="5" t="s">
        <v>5242</v>
      </c>
      <c r="C6659" s="5" t="s">
        <v>5241</v>
      </c>
      <c r="D6659" s="43">
        <v>1000</v>
      </c>
      <c r="E6659" s="43"/>
      <c r="F6659" s="48">
        <f t="shared" si="109"/>
        <v>1489296</v>
      </c>
    </row>
    <row r="6660" spans="1:6" x14ac:dyDescent="0.3">
      <c r="A6660" s="45">
        <v>43684</v>
      </c>
      <c r="B6660" s="5" t="s">
        <v>5243</v>
      </c>
      <c r="C6660" s="5" t="s">
        <v>5244</v>
      </c>
      <c r="D6660" s="43">
        <v>100000</v>
      </c>
      <c r="E6660" s="43"/>
      <c r="F6660" s="48">
        <f t="shared" si="109"/>
        <v>1389296</v>
      </c>
    </row>
    <row r="6661" spans="1:6" x14ac:dyDescent="0.3">
      <c r="A6661" s="45">
        <v>43684</v>
      </c>
      <c r="B6661" s="5" t="s">
        <v>4869</v>
      </c>
      <c r="C6661" s="5" t="s">
        <v>40</v>
      </c>
      <c r="D6661" s="43">
        <v>4200</v>
      </c>
      <c r="E6661" s="43"/>
      <c r="F6661" s="48">
        <f t="shared" si="109"/>
        <v>1385096</v>
      </c>
    </row>
    <row r="6662" spans="1:6" x14ac:dyDescent="0.3">
      <c r="A6662" s="45">
        <v>43684</v>
      </c>
      <c r="B6662" s="5" t="s">
        <v>1616</v>
      </c>
      <c r="C6662" s="5" t="s">
        <v>5245</v>
      </c>
      <c r="D6662" s="43">
        <v>2000</v>
      </c>
      <c r="E6662" s="43"/>
      <c r="F6662" s="48">
        <f t="shared" si="109"/>
        <v>1383096</v>
      </c>
    </row>
    <row r="6663" spans="1:6" x14ac:dyDescent="0.3">
      <c r="A6663" s="45">
        <v>43684</v>
      </c>
      <c r="B6663" s="5" t="s">
        <v>1512</v>
      </c>
      <c r="C6663" s="5" t="s">
        <v>5246</v>
      </c>
      <c r="D6663" s="43">
        <v>86000</v>
      </c>
      <c r="E6663" s="43"/>
      <c r="F6663" s="48">
        <f t="shared" si="109"/>
        <v>1297096</v>
      </c>
    </row>
    <row r="6664" spans="1:6" x14ac:dyDescent="0.3">
      <c r="A6664" s="45">
        <v>43684</v>
      </c>
      <c r="B6664" s="5" t="s">
        <v>57</v>
      </c>
      <c r="C6664" s="5" t="s">
        <v>5257</v>
      </c>
      <c r="D6664" s="43">
        <v>500</v>
      </c>
      <c r="E6664" s="43"/>
      <c r="F6664" s="48">
        <f t="shared" si="109"/>
        <v>1296596</v>
      </c>
    </row>
    <row r="6665" spans="1:6" x14ac:dyDescent="0.3">
      <c r="A6665" s="45">
        <v>43684</v>
      </c>
      <c r="B6665" s="5" t="s">
        <v>5248</v>
      </c>
      <c r="C6665" s="5" t="s">
        <v>5249</v>
      </c>
      <c r="D6665" s="43">
        <v>11000</v>
      </c>
      <c r="E6665" s="43"/>
      <c r="F6665" s="48">
        <f t="shared" si="109"/>
        <v>1285596</v>
      </c>
    </row>
    <row r="6666" spans="1:6" x14ac:dyDescent="0.3">
      <c r="A6666" s="45">
        <v>43684</v>
      </c>
      <c r="B6666" s="5" t="s">
        <v>247</v>
      </c>
      <c r="C6666" s="5" t="s">
        <v>2013</v>
      </c>
      <c r="D6666" s="43">
        <v>100</v>
      </c>
      <c r="E6666" s="43"/>
      <c r="F6666" s="48">
        <f t="shared" si="109"/>
        <v>1285496</v>
      </c>
    </row>
    <row r="6667" spans="1:6" x14ac:dyDescent="0.3">
      <c r="A6667" s="45">
        <v>43684</v>
      </c>
      <c r="B6667" s="5" t="s">
        <v>5162</v>
      </c>
      <c r="C6667" s="5" t="s">
        <v>5250</v>
      </c>
      <c r="D6667" s="43">
        <v>500</v>
      </c>
      <c r="E6667" s="43"/>
      <c r="F6667" s="48">
        <f t="shared" si="109"/>
        <v>1284996</v>
      </c>
    </row>
    <row r="6668" spans="1:6" x14ac:dyDescent="0.3">
      <c r="A6668" s="45">
        <v>43684</v>
      </c>
      <c r="B6668" s="5" t="s">
        <v>5106</v>
      </c>
      <c r="C6668" s="5" t="s">
        <v>5251</v>
      </c>
      <c r="D6668" s="43">
        <v>500</v>
      </c>
      <c r="E6668" s="43"/>
      <c r="F6668" s="48">
        <f t="shared" si="109"/>
        <v>1284496</v>
      </c>
    </row>
    <row r="6669" spans="1:6" x14ac:dyDescent="0.3">
      <c r="A6669" s="45">
        <v>43685</v>
      </c>
      <c r="B6669" s="5" t="s">
        <v>1410</v>
      </c>
      <c r="C6669" s="5" t="s">
        <v>3109</v>
      </c>
      <c r="D6669" s="43">
        <v>8000</v>
      </c>
      <c r="E6669" s="43"/>
      <c r="F6669" s="48">
        <f t="shared" si="109"/>
        <v>1276496</v>
      </c>
    </row>
    <row r="6670" spans="1:6" x14ac:dyDescent="0.3">
      <c r="A6670" s="45">
        <v>43685</v>
      </c>
      <c r="B6670" s="5" t="s">
        <v>2594</v>
      </c>
      <c r="C6670" s="5" t="s">
        <v>5266</v>
      </c>
      <c r="D6670" s="43">
        <v>25000</v>
      </c>
      <c r="E6670" s="43"/>
      <c r="F6670" s="48">
        <f t="shared" si="109"/>
        <v>1251496</v>
      </c>
    </row>
    <row r="6671" spans="1:6" x14ac:dyDescent="0.3">
      <c r="A6671" s="45">
        <v>43685</v>
      </c>
      <c r="B6671" s="191" t="s">
        <v>5253</v>
      </c>
      <c r="C6671" s="133"/>
      <c r="D6671" s="192"/>
      <c r="E6671" s="141">
        <v>300000</v>
      </c>
      <c r="F6671" s="48">
        <f t="shared" si="109"/>
        <v>1551496</v>
      </c>
    </row>
    <row r="6672" spans="1:6" x14ac:dyDescent="0.3">
      <c r="A6672" s="45">
        <v>43685</v>
      </c>
      <c r="B6672" s="5" t="s">
        <v>5256</v>
      </c>
      <c r="C6672" s="5"/>
      <c r="D6672" s="43">
        <v>1523829</v>
      </c>
      <c r="E6672" s="43"/>
      <c r="F6672" s="48">
        <f t="shared" si="109"/>
        <v>27667</v>
      </c>
    </row>
    <row r="6673" spans="1:6" x14ac:dyDescent="0.3">
      <c r="A6673" s="45">
        <v>43685</v>
      </c>
      <c r="B6673" s="5" t="s">
        <v>84</v>
      </c>
      <c r="C6673" s="5" t="s">
        <v>5254</v>
      </c>
      <c r="D6673" s="43">
        <v>10000</v>
      </c>
      <c r="E6673" s="43"/>
      <c r="F6673" s="48">
        <f t="shared" si="109"/>
        <v>17667</v>
      </c>
    </row>
    <row r="6674" spans="1:6" x14ac:dyDescent="0.3">
      <c r="A6674" s="45">
        <v>43686</v>
      </c>
      <c r="B6674" s="5" t="s">
        <v>14</v>
      </c>
      <c r="C6674" s="5" t="s">
        <v>294</v>
      </c>
      <c r="D6674" s="43">
        <v>100</v>
      </c>
      <c r="E6674" s="43"/>
      <c r="F6674" s="48">
        <f t="shared" si="109"/>
        <v>17567</v>
      </c>
    </row>
    <row r="6675" spans="1:6" x14ac:dyDescent="0.3">
      <c r="A6675" s="45">
        <v>43686</v>
      </c>
      <c r="B6675" s="5" t="s">
        <v>2594</v>
      </c>
      <c r="C6675" s="5" t="s">
        <v>5267</v>
      </c>
      <c r="D6675" s="43">
        <v>3000</v>
      </c>
      <c r="E6675" s="43"/>
      <c r="F6675" s="48">
        <f t="shared" si="109"/>
        <v>14567</v>
      </c>
    </row>
    <row r="6676" spans="1:6" x14ac:dyDescent="0.3">
      <c r="A6676" s="45">
        <v>43686</v>
      </c>
      <c r="B6676" s="5" t="s">
        <v>84</v>
      </c>
      <c r="C6676" s="5" t="s">
        <v>5254</v>
      </c>
      <c r="D6676" s="43">
        <v>10000</v>
      </c>
      <c r="E6676" s="43"/>
      <c r="F6676" s="48">
        <f t="shared" si="109"/>
        <v>4567</v>
      </c>
    </row>
    <row r="6677" spans="1:6" x14ac:dyDescent="0.3">
      <c r="A6677" s="45">
        <v>43686</v>
      </c>
      <c r="B6677" s="5" t="s">
        <v>14</v>
      </c>
      <c r="C6677" s="5" t="s">
        <v>294</v>
      </c>
      <c r="D6677" s="43">
        <v>1000</v>
      </c>
      <c r="E6677" s="43"/>
      <c r="F6677" s="48">
        <f t="shared" si="109"/>
        <v>3567</v>
      </c>
    </row>
    <row r="6678" spans="1:6" x14ac:dyDescent="0.3">
      <c r="A6678" s="45">
        <v>43686</v>
      </c>
      <c r="B6678" s="5" t="s">
        <v>84</v>
      </c>
      <c r="C6678" s="5" t="s">
        <v>5255</v>
      </c>
      <c r="D6678" s="43">
        <v>2000</v>
      </c>
      <c r="E6678" s="43"/>
      <c r="F6678" s="48">
        <f t="shared" si="109"/>
        <v>1567</v>
      </c>
    </row>
    <row r="6679" spans="1:6" x14ac:dyDescent="0.3">
      <c r="A6679" s="45">
        <v>43686</v>
      </c>
      <c r="B6679" s="5" t="s">
        <v>1458</v>
      </c>
      <c r="C6679" s="5" t="s">
        <v>4834</v>
      </c>
      <c r="D6679" s="43">
        <v>1000</v>
      </c>
      <c r="E6679" s="43"/>
      <c r="F6679" s="48">
        <f t="shared" si="109"/>
        <v>567</v>
      </c>
    </row>
    <row r="6680" spans="1:6" x14ac:dyDescent="0.3">
      <c r="A6680" s="45">
        <v>43693</v>
      </c>
      <c r="B6680" s="191" t="s">
        <v>5258</v>
      </c>
      <c r="C6680" s="133"/>
      <c r="D6680" s="192"/>
      <c r="E6680" s="141">
        <v>22000</v>
      </c>
      <c r="F6680" s="48">
        <f t="shared" si="109"/>
        <v>22567</v>
      </c>
    </row>
    <row r="6681" spans="1:6" x14ac:dyDescent="0.3">
      <c r="A6681" s="45">
        <v>43693</v>
      </c>
      <c r="B6681" s="5" t="s">
        <v>2948</v>
      </c>
      <c r="C6681" s="5" t="s">
        <v>64</v>
      </c>
      <c r="D6681" s="43">
        <v>3500</v>
      </c>
      <c r="E6681" s="43"/>
      <c r="F6681" s="48">
        <f t="shared" si="109"/>
        <v>19067</v>
      </c>
    </row>
    <row r="6682" spans="1:6" x14ac:dyDescent="0.3">
      <c r="A6682" s="45">
        <v>43693</v>
      </c>
      <c r="B6682" s="5" t="s">
        <v>4112</v>
      </c>
      <c r="C6682" s="5" t="s">
        <v>4319</v>
      </c>
      <c r="D6682" s="43">
        <v>1500</v>
      </c>
      <c r="E6682" s="43"/>
      <c r="F6682" s="48">
        <f t="shared" si="109"/>
        <v>17567</v>
      </c>
    </row>
    <row r="6683" spans="1:6" x14ac:dyDescent="0.3">
      <c r="A6683" s="45">
        <v>43693</v>
      </c>
      <c r="B6683" s="5" t="s">
        <v>2594</v>
      </c>
      <c r="C6683" s="5" t="s">
        <v>5267</v>
      </c>
      <c r="D6683" s="43">
        <v>2000</v>
      </c>
      <c r="E6683" s="43"/>
      <c r="F6683" s="48">
        <f t="shared" si="109"/>
        <v>15567</v>
      </c>
    </row>
    <row r="6684" spans="1:6" x14ac:dyDescent="0.3">
      <c r="A6684" s="45">
        <v>43693</v>
      </c>
      <c r="B6684" s="5" t="s">
        <v>5211</v>
      </c>
      <c r="C6684" s="5" t="s">
        <v>5259</v>
      </c>
      <c r="D6684" s="43">
        <v>10000</v>
      </c>
      <c r="E6684" s="43"/>
      <c r="F6684" s="48">
        <f t="shared" si="109"/>
        <v>5567</v>
      </c>
    </row>
    <row r="6685" spans="1:6" x14ac:dyDescent="0.3">
      <c r="A6685" s="45">
        <v>43693</v>
      </c>
      <c r="B6685" s="191" t="s">
        <v>3444</v>
      </c>
      <c r="C6685" s="133"/>
      <c r="D6685" s="192"/>
      <c r="E6685" s="141">
        <v>100000</v>
      </c>
      <c r="F6685" s="48">
        <f t="shared" si="109"/>
        <v>105567</v>
      </c>
    </row>
    <row r="6686" spans="1:6" x14ac:dyDescent="0.3">
      <c r="A6686" s="45">
        <v>43694</v>
      </c>
      <c r="B6686" s="5" t="s">
        <v>2594</v>
      </c>
      <c r="C6686" s="5" t="s">
        <v>5265</v>
      </c>
      <c r="D6686" s="43">
        <v>10000</v>
      </c>
      <c r="E6686" s="43"/>
      <c r="F6686" s="48">
        <f t="shared" si="109"/>
        <v>95567</v>
      </c>
    </row>
    <row r="6687" spans="1:6" x14ac:dyDescent="0.3">
      <c r="A6687" s="45">
        <v>43696</v>
      </c>
      <c r="B6687" s="5" t="s">
        <v>100</v>
      </c>
      <c r="C6687" s="5" t="s">
        <v>4319</v>
      </c>
      <c r="D6687" s="43">
        <v>2000</v>
      </c>
      <c r="E6687" s="43"/>
      <c r="F6687" s="48">
        <f t="shared" si="109"/>
        <v>93567</v>
      </c>
    </row>
    <row r="6688" spans="1:6" x14ac:dyDescent="0.3">
      <c r="A6688" s="45">
        <v>43696</v>
      </c>
      <c r="B6688" s="5" t="s">
        <v>2594</v>
      </c>
      <c r="C6688" s="5" t="s">
        <v>5263</v>
      </c>
      <c r="D6688" s="43">
        <v>66000</v>
      </c>
      <c r="E6688" s="43"/>
      <c r="F6688" s="48">
        <f t="shared" si="109"/>
        <v>27567</v>
      </c>
    </row>
    <row r="6689" spans="1:6" x14ac:dyDescent="0.3">
      <c r="A6689" s="45">
        <v>43696</v>
      </c>
      <c r="B6689" s="5" t="s">
        <v>14</v>
      </c>
      <c r="C6689" s="5" t="s">
        <v>640</v>
      </c>
      <c r="D6689" s="43">
        <v>1000</v>
      </c>
      <c r="E6689" s="43"/>
      <c r="F6689" s="48">
        <f t="shared" si="109"/>
        <v>26567</v>
      </c>
    </row>
    <row r="6690" spans="1:6" x14ac:dyDescent="0.3">
      <c r="A6690" s="45">
        <v>43696</v>
      </c>
      <c r="B6690" s="5" t="s">
        <v>5124</v>
      </c>
      <c r="C6690" s="5" t="s">
        <v>5260</v>
      </c>
      <c r="D6690" s="43">
        <v>1000</v>
      </c>
      <c r="E6690" s="43"/>
      <c r="F6690" s="48">
        <f t="shared" si="109"/>
        <v>25567</v>
      </c>
    </row>
    <row r="6691" spans="1:6" x14ac:dyDescent="0.3">
      <c r="A6691" s="45">
        <v>43696</v>
      </c>
      <c r="B6691" s="5" t="s">
        <v>84</v>
      </c>
      <c r="C6691" s="5" t="s">
        <v>5261</v>
      </c>
      <c r="D6691" s="43">
        <v>3000</v>
      </c>
      <c r="E6691" s="43"/>
      <c r="F6691" s="48">
        <f t="shared" si="109"/>
        <v>22567</v>
      </c>
    </row>
    <row r="6692" spans="1:6" x14ac:dyDescent="0.3">
      <c r="A6692" s="45">
        <v>43696</v>
      </c>
      <c r="B6692" s="5" t="s">
        <v>4112</v>
      </c>
      <c r="C6692" s="5" t="s">
        <v>1530</v>
      </c>
      <c r="D6692" s="43">
        <v>5000</v>
      </c>
      <c r="E6692" s="43"/>
      <c r="F6692" s="48">
        <f t="shared" si="109"/>
        <v>17567</v>
      </c>
    </row>
    <row r="6693" spans="1:6" x14ac:dyDescent="0.3">
      <c r="A6693" s="45">
        <v>43696</v>
      </c>
      <c r="B6693" s="5" t="s">
        <v>14</v>
      </c>
      <c r="C6693" s="5" t="s">
        <v>294</v>
      </c>
      <c r="D6693" s="43">
        <v>5000</v>
      </c>
      <c r="E6693" s="43"/>
      <c r="F6693" s="48">
        <f t="shared" si="109"/>
        <v>12567</v>
      </c>
    </row>
    <row r="6694" spans="1:6" x14ac:dyDescent="0.3">
      <c r="A6694" s="45">
        <v>43696</v>
      </c>
      <c r="B6694" s="5" t="s">
        <v>25</v>
      </c>
      <c r="C6694" s="5" t="s">
        <v>5262</v>
      </c>
      <c r="D6694" s="43">
        <f>345+150+150+60+240+460+440+460+180+90+240+220+60+50+50+200+275+200+200+130+160</f>
        <v>4360</v>
      </c>
      <c r="E6694" s="43"/>
      <c r="F6694" s="48">
        <f t="shared" si="109"/>
        <v>8207</v>
      </c>
    </row>
    <row r="6695" spans="1:6" x14ac:dyDescent="0.3">
      <c r="A6695" s="45">
        <v>43696</v>
      </c>
      <c r="B6695" s="191" t="s">
        <v>3444</v>
      </c>
      <c r="C6695" s="133"/>
      <c r="D6695" s="192"/>
      <c r="E6695" s="141">
        <v>50000</v>
      </c>
      <c r="F6695" s="48">
        <f t="shared" si="109"/>
        <v>58207</v>
      </c>
    </row>
    <row r="6696" spans="1:6" x14ac:dyDescent="0.3">
      <c r="A6696" s="45">
        <v>43697</v>
      </c>
      <c r="B6696" s="5" t="s">
        <v>16</v>
      </c>
      <c r="C6696" s="5" t="s">
        <v>5264</v>
      </c>
      <c r="D6696" s="43">
        <v>22000</v>
      </c>
      <c r="E6696" s="43"/>
      <c r="F6696" s="48">
        <f t="shared" si="109"/>
        <v>36207</v>
      </c>
    </row>
    <row r="6697" spans="1:6" x14ac:dyDescent="0.3">
      <c r="A6697" s="45">
        <v>43697</v>
      </c>
      <c r="B6697" s="5" t="s">
        <v>2594</v>
      </c>
      <c r="C6697" s="5" t="s">
        <v>5268</v>
      </c>
      <c r="D6697" s="43">
        <v>7970</v>
      </c>
      <c r="E6697" s="43"/>
      <c r="F6697" s="48">
        <f t="shared" si="109"/>
        <v>28237</v>
      </c>
    </row>
    <row r="6698" spans="1:6" x14ac:dyDescent="0.3">
      <c r="A6698" s="45">
        <v>43697</v>
      </c>
      <c r="B6698" s="5" t="s">
        <v>1837</v>
      </c>
      <c r="C6698" s="5" t="s">
        <v>5308</v>
      </c>
      <c r="D6698" s="43">
        <v>1000</v>
      </c>
      <c r="E6698" s="43"/>
      <c r="F6698" s="48">
        <f t="shared" si="109"/>
        <v>27237</v>
      </c>
    </row>
    <row r="6699" spans="1:6" x14ac:dyDescent="0.3">
      <c r="A6699" s="45">
        <v>43697</v>
      </c>
      <c r="B6699" s="5" t="s">
        <v>2594</v>
      </c>
      <c r="C6699" s="5" t="s">
        <v>5270</v>
      </c>
      <c r="D6699" s="43">
        <v>4500</v>
      </c>
      <c r="E6699" s="43"/>
      <c r="F6699" s="48">
        <f t="shared" si="109"/>
        <v>22737</v>
      </c>
    </row>
    <row r="6700" spans="1:6" x14ac:dyDescent="0.3">
      <c r="A6700" s="45">
        <v>43697</v>
      </c>
      <c r="B6700" s="5" t="s">
        <v>2594</v>
      </c>
      <c r="C6700" s="5" t="s">
        <v>5271</v>
      </c>
      <c r="D6700" s="43">
        <v>1000</v>
      </c>
      <c r="E6700" s="43"/>
      <c r="F6700" s="48">
        <f t="shared" si="109"/>
        <v>21737</v>
      </c>
    </row>
    <row r="6701" spans="1:6" x14ac:dyDescent="0.3">
      <c r="A6701" s="45">
        <v>43697</v>
      </c>
      <c r="B6701" s="5" t="s">
        <v>2594</v>
      </c>
      <c r="C6701" s="5" t="s">
        <v>5272</v>
      </c>
      <c r="D6701" s="43">
        <v>6510</v>
      </c>
      <c r="E6701" s="43"/>
      <c r="F6701" s="48">
        <f t="shared" si="109"/>
        <v>15227</v>
      </c>
    </row>
    <row r="6702" spans="1:6" x14ac:dyDescent="0.3">
      <c r="A6702" s="45">
        <v>43697</v>
      </c>
      <c r="B6702" s="5" t="s">
        <v>2263</v>
      </c>
      <c r="C6702" s="5" t="s">
        <v>5269</v>
      </c>
      <c r="D6702" s="43">
        <v>500</v>
      </c>
      <c r="E6702" s="43"/>
      <c r="F6702" s="48">
        <f t="shared" si="109"/>
        <v>14727</v>
      </c>
    </row>
    <row r="6703" spans="1:6" x14ac:dyDescent="0.3">
      <c r="A6703" s="45">
        <v>43698</v>
      </c>
      <c r="B6703" s="5" t="s">
        <v>4552</v>
      </c>
      <c r="C6703" s="5" t="s">
        <v>5282</v>
      </c>
      <c r="D6703" s="43">
        <v>10000</v>
      </c>
      <c r="E6703" s="43"/>
      <c r="F6703" s="48">
        <f t="shared" ref="F6703:F6766" si="110">F6702-D6703+E6703</f>
        <v>4727</v>
      </c>
    </row>
    <row r="6704" spans="1:6" x14ac:dyDescent="0.3">
      <c r="A6704" s="45">
        <v>43698</v>
      </c>
      <c r="B6704" s="191" t="s">
        <v>3444</v>
      </c>
      <c r="C6704" s="133"/>
      <c r="D6704" s="192"/>
      <c r="E6704" s="141">
        <v>50000</v>
      </c>
      <c r="F6704" s="48">
        <f t="shared" si="110"/>
        <v>54727</v>
      </c>
    </row>
    <row r="6705" spans="1:6" x14ac:dyDescent="0.3">
      <c r="A6705" s="45">
        <v>43698</v>
      </c>
      <c r="B6705" s="5" t="s">
        <v>4915</v>
      </c>
      <c r="C6705" s="5" t="s">
        <v>5273</v>
      </c>
      <c r="D6705" s="43">
        <v>8000</v>
      </c>
      <c r="E6705" s="43"/>
      <c r="F6705" s="48">
        <f t="shared" si="110"/>
        <v>46727</v>
      </c>
    </row>
    <row r="6706" spans="1:6" x14ac:dyDescent="0.3">
      <c r="A6706" s="45">
        <v>43698</v>
      </c>
      <c r="B6706" s="193"/>
      <c r="C6706" s="197" t="s">
        <v>5274</v>
      </c>
      <c r="D6706" s="198">
        <v>22000</v>
      </c>
      <c r="E6706" s="141"/>
      <c r="F6706" s="48">
        <f t="shared" si="110"/>
        <v>24727</v>
      </c>
    </row>
    <row r="6707" spans="1:6" x14ac:dyDescent="0.3">
      <c r="A6707" s="45">
        <v>43698</v>
      </c>
      <c r="B6707" s="5" t="s">
        <v>4552</v>
      </c>
      <c r="C6707" s="5" t="s">
        <v>5275</v>
      </c>
      <c r="D6707" s="43">
        <v>2000</v>
      </c>
      <c r="E6707" s="43"/>
      <c r="F6707" s="48">
        <f t="shared" si="110"/>
        <v>22727</v>
      </c>
    </row>
    <row r="6708" spans="1:6" x14ac:dyDescent="0.3">
      <c r="A6708" s="45">
        <v>43698</v>
      </c>
      <c r="B6708" s="5" t="s">
        <v>247</v>
      </c>
      <c r="C6708" s="5" t="s">
        <v>5276</v>
      </c>
      <c r="D6708" s="43">
        <v>720</v>
      </c>
      <c r="E6708" s="43"/>
      <c r="F6708" s="48">
        <f t="shared" si="110"/>
        <v>22007</v>
      </c>
    </row>
    <row r="6709" spans="1:6" x14ac:dyDescent="0.3">
      <c r="A6709" s="45">
        <v>43698</v>
      </c>
      <c r="B6709" s="5" t="s">
        <v>247</v>
      </c>
      <c r="C6709" s="5" t="s">
        <v>5284</v>
      </c>
      <c r="D6709" s="43">
        <v>250</v>
      </c>
      <c r="E6709" s="43"/>
      <c r="F6709" s="48">
        <f t="shared" si="110"/>
        <v>21757</v>
      </c>
    </row>
    <row r="6710" spans="1:6" x14ac:dyDescent="0.3">
      <c r="A6710" s="45">
        <v>43698</v>
      </c>
      <c r="B6710" s="5" t="s">
        <v>84</v>
      </c>
      <c r="C6710" s="5" t="s">
        <v>5277</v>
      </c>
      <c r="D6710" s="43">
        <v>15000</v>
      </c>
      <c r="E6710" s="43"/>
      <c r="F6710" s="48">
        <f t="shared" si="110"/>
        <v>6757</v>
      </c>
    </row>
    <row r="6711" spans="1:6" x14ac:dyDescent="0.3">
      <c r="A6711" s="45">
        <v>43699</v>
      </c>
      <c r="B6711" s="5" t="s">
        <v>84</v>
      </c>
      <c r="C6711" s="5" t="s">
        <v>5278</v>
      </c>
      <c r="D6711" s="43">
        <v>500</v>
      </c>
      <c r="E6711" s="43"/>
      <c r="F6711" s="48">
        <f t="shared" si="110"/>
        <v>6257</v>
      </c>
    </row>
    <row r="6712" spans="1:6" x14ac:dyDescent="0.3">
      <c r="A6712" s="45">
        <v>43699</v>
      </c>
      <c r="B6712" s="5" t="s">
        <v>4929</v>
      </c>
      <c r="C6712" s="5" t="s">
        <v>5279</v>
      </c>
      <c r="D6712" s="43">
        <v>3500</v>
      </c>
      <c r="E6712" s="43"/>
      <c r="F6712" s="48">
        <f t="shared" si="110"/>
        <v>2757</v>
      </c>
    </row>
    <row r="6713" spans="1:6" x14ac:dyDescent="0.3">
      <c r="A6713" s="45">
        <v>43699</v>
      </c>
      <c r="B6713" s="5" t="s">
        <v>5124</v>
      </c>
      <c r="C6713" s="5" t="s">
        <v>5280</v>
      </c>
      <c r="D6713" s="43">
        <v>930</v>
      </c>
      <c r="E6713" s="43"/>
      <c r="F6713" s="48">
        <f t="shared" si="110"/>
        <v>1827</v>
      </c>
    </row>
    <row r="6714" spans="1:6" x14ac:dyDescent="0.3">
      <c r="A6714" s="45">
        <v>43699</v>
      </c>
      <c r="B6714" s="5" t="s">
        <v>2948</v>
      </c>
      <c r="C6714" s="5" t="s">
        <v>1787</v>
      </c>
      <c r="D6714" s="43">
        <v>1300</v>
      </c>
      <c r="E6714" s="43"/>
      <c r="F6714" s="48">
        <f t="shared" si="110"/>
        <v>527</v>
      </c>
    </row>
    <row r="6715" spans="1:6" x14ac:dyDescent="0.3">
      <c r="A6715" s="45">
        <v>43698</v>
      </c>
      <c r="B6715" s="191" t="s">
        <v>3444</v>
      </c>
      <c r="C6715" s="133"/>
      <c r="D6715" s="192"/>
      <c r="E6715" s="141">
        <v>50000</v>
      </c>
      <c r="F6715" s="48">
        <f t="shared" si="110"/>
        <v>50527</v>
      </c>
    </row>
    <row r="6716" spans="1:6" x14ac:dyDescent="0.3">
      <c r="A6716" s="45">
        <v>43699</v>
      </c>
      <c r="B6716" s="5" t="s">
        <v>2594</v>
      </c>
      <c r="C6716" s="5" t="s">
        <v>5294</v>
      </c>
      <c r="D6716" s="43">
        <v>7440</v>
      </c>
      <c r="E6716" s="43"/>
      <c r="F6716" s="48">
        <f t="shared" si="110"/>
        <v>43087</v>
      </c>
    </row>
    <row r="6717" spans="1:6" x14ac:dyDescent="0.3">
      <c r="A6717" s="45">
        <v>43699</v>
      </c>
      <c r="B6717" s="5" t="s">
        <v>2594</v>
      </c>
      <c r="C6717" s="41" t="s">
        <v>5293</v>
      </c>
      <c r="D6717" s="43">
        <v>400</v>
      </c>
      <c r="E6717" s="43"/>
      <c r="F6717" s="48">
        <f t="shared" si="110"/>
        <v>42687</v>
      </c>
    </row>
    <row r="6718" spans="1:6" x14ac:dyDescent="0.3">
      <c r="A6718" s="45">
        <v>43699</v>
      </c>
      <c r="B6718" s="5" t="s">
        <v>4550</v>
      </c>
      <c r="C6718" s="5" t="s">
        <v>5281</v>
      </c>
      <c r="D6718" s="43">
        <v>10000</v>
      </c>
      <c r="E6718" s="43"/>
      <c r="F6718" s="48">
        <f t="shared" si="110"/>
        <v>32687</v>
      </c>
    </row>
    <row r="6719" spans="1:6" x14ac:dyDescent="0.3">
      <c r="A6719" s="45">
        <v>43699</v>
      </c>
      <c r="B6719" s="5" t="s">
        <v>14</v>
      </c>
      <c r="C6719" s="5" t="s">
        <v>294</v>
      </c>
      <c r="D6719" s="43">
        <v>5000</v>
      </c>
      <c r="E6719" s="43"/>
      <c r="F6719" s="48">
        <f t="shared" si="110"/>
        <v>27687</v>
      </c>
    </row>
    <row r="6720" spans="1:6" x14ac:dyDescent="0.3">
      <c r="A6720" s="45">
        <v>43699</v>
      </c>
      <c r="B6720" s="5" t="s">
        <v>693</v>
      </c>
      <c r="C6720" s="5" t="s">
        <v>5283</v>
      </c>
      <c r="D6720" s="43">
        <v>1200</v>
      </c>
      <c r="E6720" s="43"/>
      <c r="F6720" s="48">
        <f t="shared" si="110"/>
        <v>26487</v>
      </c>
    </row>
    <row r="6721" spans="1:6" x14ac:dyDescent="0.3">
      <c r="A6721" s="45">
        <v>43699</v>
      </c>
      <c r="B6721" s="5" t="s">
        <v>2263</v>
      </c>
      <c r="C6721" s="5" t="s">
        <v>5285</v>
      </c>
      <c r="D6721" s="43">
        <v>200</v>
      </c>
      <c r="E6721" s="43"/>
      <c r="F6721" s="48">
        <f t="shared" si="110"/>
        <v>26287</v>
      </c>
    </row>
    <row r="6722" spans="1:6" x14ac:dyDescent="0.3">
      <c r="A6722" s="45">
        <v>43699</v>
      </c>
      <c r="B6722" s="5" t="s">
        <v>3546</v>
      </c>
      <c r="C6722" s="5" t="s">
        <v>5286</v>
      </c>
      <c r="D6722" s="43">
        <v>20000</v>
      </c>
      <c r="E6722" s="43"/>
      <c r="F6722" s="48">
        <f t="shared" si="110"/>
        <v>6287</v>
      </c>
    </row>
    <row r="6723" spans="1:6" x14ac:dyDescent="0.3">
      <c r="A6723" s="45">
        <v>43699</v>
      </c>
      <c r="B6723" s="5" t="s">
        <v>5288</v>
      </c>
      <c r="C6723" s="5" t="s">
        <v>5287</v>
      </c>
      <c r="D6723" s="43">
        <v>2000</v>
      </c>
      <c r="E6723" s="43"/>
      <c r="F6723" s="48">
        <f t="shared" si="110"/>
        <v>4287</v>
      </c>
    </row>
    <row r="6724" spans="1:6" x14ac:dyDescent="0.3">
      <c r="A6724" s="45">
        <v>43699</v>
      </c>
      <c r="B6724" s="5" t="s">
        <v>5288</v>
      </c>
      <c r="C6724" s="5" t="s">
        <v>5289</v>
      </c>
      <c r="D6724" s="43">
        <v>1000</v>
      </c>
      <c r="E6724" s="43"/>
      <c r="F6724" s="48">
        <f t="shared" si="110"/>
        <v>3287</v>
      </c>
    </row>
    <row r="6725" spans="1:6" x14ac:dyDescent="0.3">
      <c r="A6725" s="45">
        <v>43700</v>
      </c>
      <c r="B6725" s="191" t="s">
        <v>3444</v>
      </c>
      <c r="C6725" s="133"/>
      <c r="D6725" s="192"/>
      <c r="E6725" s="141">
        <v>100000</v>
      </c>
      <c r="F6725" s="48">
        <f t="shared" si="110"/>
        <v>103287</v>
      </c>
    </row>
    <row r="6726" spans="1:6" x14ac:dyDescent="0.3">
      <c r="A6726" s="45">
        <v>43700</v>
      </c>
      <c r="B6726" s="5" t="s">
        <v>2594</v>
      </c>
      <c r="C6726" s="5" t="s">
        <v>5290</v>
      </c>
      <c r="D6726" s="43">
        <f>3400+2800+12000+17280+150</f>
        <v>35630</v>
      </c>
      <c r="E6726" s="43"/>
      <c r="F6726" s="48">
        <f t="shared" si="110"/>
        <v>67657</v>
      </c>
    </row>
    <row r="6727" spans="1:6" x14ac:dyDescent="0.3">
      <c r="A6727" s="45">
        <v>43700</v>
      </c>
      <c r="B6727" s="5" t="s">
        <v>100</v>
      </c>
      <c r="C6727" s="5" t="s">
        <v>5291</v>
      </c>
      <c r="D6727" s="43">
        <v>8000</v>
      </c>
      <c r="E6727" s="43"/>
      <c r="F6727" s="48">
        <f t="shared" si="110"/>
        <v>59657</v>
      </c>
    </row>
    <row r="6728" spans="1:6" x14ac:dyDescent="0.3">
      <c r="A6728" s="45">
        <v>43700</v>
      </c>
      <c r="B6728" s="5" t="s">
        <v>4552</v>
      </c>
      <c r="C6728" s="5" t="s">
        <v>5188</v>
      </c>
      <c r="D6728" s="43">
        <v>10000</v>
      </c>
      <c r="E6728" s="43"/>
      <c r="F6728" s="48">
        <f t="shared" si="110"/>
        <v>49657</v>
      </c>
    </row>
    <row r="6729" spans="1:6" x14ac:dyDescent="0.3">
      <c r="A6729" s="45">
        <v>43700</v>
      </c>
      <c r="B6729" s="5" t="s">
        <v>3559</v>
      </c>
      <c r="C6729" s="5" t="s">
        <v>3442</v>
      </c>
      <c r="D6729" s="43">
        <v>660</v>
      </c>
      <c r="E6729" s="43"/>
      <c r="F6729" s="48">
        <f t="shared" si="110"/>
        <v>48997</v>
      </c>
    </row>
    <row r="6730" spans="1:6" x14ac:dyDescent="0.3">
      <c r="A6730" s="45">
        <v>43700</v>
      </c>
      <c r="B6730" s="5" t="s">
        <v>84</v>
      </c>
      <c r="C6730" s="5" t="s">
        <v>5292</v>
      </c>
      <c r="D6730" s="43">
        <v>5000</v>
      </c>
      <c r="E6730" s="43"/>
      <c r="F6730" s="48">
        <f t="shared" si="110"/>
        <v>43997</v>
      </c>
    </row>
    <row r="6731" spans="1:6" x14ac:dyDescent="0.3">
      <c r="A6731" s="45">
        <v>43701</v>
      </c>
      <c r="B6731" s="5" t="s">
        <v>2594</v>
      </c>
      <c r="C6731" s="5" t="s">
        <v>5293</v>
      </c>
      <c r="D6731" s="43">
        <v>270</v>
      </c>
      <c r="E6731" s="43"/>
      <c r="F6731" s="48">
        <f t="shared" si="110"/>
        <v>43727</v>
      </c>
    </row>
    <row r="6732" spans="1:6" x14ac:dyDescent="0.3">
      <c r="A6732" s="45">
        <v>43701</v>
      </c>
      <c r="B6732" s="5" t="s">
        <v>2594</v>
      </c>
      <c r="C6732" s="5" t="s">
        <v>1530</v>
      </c>
      <c r="D6732" s="43">
        <v>26236</v>
      </c>
      <c r="E6732" s="43"/>
      <c r="F6732" s="48">
        <f t="shared" si="110"/>
        <v>17491</v>
      </c>
    </row>
    <row r="6733" spans="1:6" x14ac:dyDescent="0.3">
      <c r="A6733" s="45">
        <v>43701</v>
      </c>
      <c r="B6733" s="5" t="s">
        <v>14</v>
      </c>
      <c r="C6733" s="5" t="s">
        <v>294</v>
      </c>
      <c r="D6733" s="43">
        <v>5000</v>
      </c>
      <c r="E6733" s="43"/>
      <c r="F6733" s="48">
        <f t="shared" si="110"/>
        <v>12491</v>
      </c>
    </row>
    <row r="6734" spans="1:6" x14ac:dyDescent="0.3">
      <c r="A6734" s="45">
        <v>43701</v>
      </c>
      <c r="B6734" s="5" t="s">
        <v>100</v>
      </c>
      <c r="C6734" s="5" t="s">
        <v>5295</v>
      </c>
      <c r="D6734" s="43">
        <v>1000</v>
      </c>
      <c r="E6734" s="43"/>
      <c r="F6734" s="48">
        <f t="shared" si="110"/>
        <v>11491</v>
      </c>
    </row>
    <row r="6735" spans="1:6" x14ac:dyDescent="0.3">
      <c r="A6735" s="45">
        <v>43701</v>
      </c>
      <c r="B6735" s="5" t="s">
        <v>1787</v>
      </c>
      <c r="C6735" s="5" t="s">
        <v>5296</v>
      </c>
      <c r="D6735" s="43">
        <v>1500</v>
      </c>
      <c r="E6735" s="43"/>
      <c r="F6735" s="48">
        <f t="shared" si="110"/>
        <v>9991</v>
      </c>
    </row>
    <row r="6736" spans="1:6" x14ac:dyDescent="0.3">
      <c r="A6736" s="45">
        <v>43701</v>
      </c>
      <c r="B6736" s="5" t="s">
        <v>18</v>
      </c>
      <c r="C6736" s="5" t="s">
        <v>5297</v>
      </c>
      <c r="D6736" s="43">
        <v>5000</v>
      </c>
      <c r="E6736" s="43"/>
      <c r="F6736" s="48">
        <f t="shared" si="110"/>
        <v>4991</v>
      </c>
    </row>
    <row r="6737" spans="1:6" x14ac:dyDescent="0.3">
      <c r="A6737" s="45">
        <v>43703</v>
      </c>
      <c r="B6737" s="5" t="s">
        <v>14</v>
      </c>
      <c r="C6737" s="5" t="s">
        <v>294</v>
      </c>
      <c r="D6737" s="43">
        <v>1000</v>
      </c>
      <c r="E6737" s="43"/>
      <c r="F6737" s="48">
        <f t="shared" si="110"/>
        <v>3991</v>
      </c>
    </row>
    <row r="6738" spans="1:6" x14ac:dyDescent="0.3">
      <c r="A6738" s="45">
        <v>43703</v>
      </c>
      <c r="B6738" s="191" t="s">
        <v>3444</v>
      </c>
      <c r="C6738" s="133"/>
      <c r="D6738" s="192"/>
      <c r="E6738" s="141">
        <v>50000</v>
      </c>
      <c r="F6738" s="48">
        <f t="shared" si="110"/>
        <v>53991</v>
      </c>
    </row>
    <row r="6739" spans="1:6" x14ac:dyDescent="0.3">
      <c r="A6739" s="45">
        <v>43703</v>
      </c>
      <c r="B6739" s="5" t="s">
        <v>16</v>
      </c>
      <c r="C6739" s="5" t="s">
        <v>294</v>
      </c>
      <c r="D6739" s="43">
        <v>5000</v>
      </c>
      <c r="E6739" s="43"/>
      <c r="F6739" s="48">
        <f t="shared" si="110"/>
        <v>48991</v>
      </c>
    </row>
    <row r="6740" spans="1:6" x14ac:dyDescent="0.3">
      <c r="A6740" s="45">
        <v>43703</v>
      </c>
      <c r="B6740" s="5" t="s">
        <v>2594</v>
      </c>
      <c r="C6740" s="5" t="s">
        <v>5299</v>
      </c>
      <c r="D6740" s="43">
        <v>38385</v>
      </c>
      <c r="E6740" s="43"/>
      <c r="F6740" s="48">
        <f t="shared" si="110"/>
        <v>10606</v>
      </c>
    </row>
    <row r="6741" spans="1:6" x14ac:dyDescent="0.3">
      <c r="A6741" s="45">
        <v>43703</v>
      </c>
      <c r="B6741" s="5" t="s">
        <v>1787</v>
      </c>
      <c r="C6741" s="5" t="s">
        <v>5298</v>
      </c>
      <c r="D6741" s="43">
        <v>1000</v>
      </c>
      <c r="E6741" s="43"/>
      <c r="F6741" s="48">
        <f t="shared" si="110"/>
        <v>9606</v>
      </c>
    </row>
    <row r="6742" spans="1:6" x14ac:dyDescent="0.3">
      <c r="A6742" s="45">
        <v>43704</v>
      </c>
      <c r="B6742" s="5" t="s">
        <v>2594</v>
      </c>
      <c r="C6742" s="5" t="s">
        <v>5317</v>
      </c>
      <c r="D6742" s="43">
        <f>115+1400</f>
        <v>1515</v>
      </c>
      <c r="E6742" s="43"/>
      <c r="F6742" s="48">
        <f t="shared" si="110"/>
        <v>8091</v>
      </c>
    </row>
    <row r="6743" spans="1:6" x14ac:dyDescent="0.3">
      <c r="A6743" s="45">
        <v>43704</v>
      </c>
      <c r="B6743" s="5" t="s">
        <v>16</v>
      </c>
      <c r="C6743" s="5" t="s">
        <v>5300</v>
      </c>
      <c r="D6743" s="43">
        <v>600</v>
      </c>
      <c r="E6743" s="43"/>
      <c r="F6743" s="48">
        <f t="shared" si="110"/>
        <v>7491</v>
      </c>
    </row>
    <row r="6744" spans="1:6" x14ac:dyDescent="0.3">
      <c r="A6744" s="45">
        <v>43704</v>
      </c>
      <c r="B6744" s="191" t="s">
        <v>3444</v>
      </c>
      <c r="C6744" s="133"/>
      <c r="D6744" s="192"/>
      <c r="E6744" s="141">
        <v>100000</v>
      </c>
      <c r="F6744" s="48">
        <f t="shared" si="110"/>
        <v>107491</v>
      </c>
    </row>
    <row r="6745" spans="1:6" x14ac:dyDescent="0.3">
      <c r="A6745" s="45">
        <v>43704</v>
      </c>
      <c r="B6745" s="5" t="s">
        <v>2594</v>
      </c>
      <c r="C6745" s="5" t="s">
        <v>5305</v>
      </c>
      <c r="D6745" s="43">
        <v>27600</v>
      </c>
      <c r="E6745" s="43"/>
      <c r="F6745" s="48">
        <f t="shared" si="110"/>
        <v>79891</v>
      </c>
    </row>
    <row r="6746" spans="1:6" x14ac:dyDescent="0.3">
      <c r="A6746" s="45">
        <v>43704</v>
      </c>
      <c r="B6746" s="5" t="s">
        <v>2594</v>
      </c>
      <c r="C6746" s="5" t="s">
        <v>5301</v>
      </c>
      <c r="D6746" s="43">
        <v>44400</v>
      </c>
      <c r="E6746" s="43"/>
      <c r="F6746" s="48">
        <f t="shared" si="110"/>
        <v>35491</v>
      </c>
    </row>
    <row r="6747" spans="1:6" x14ac:dyDescent="0.3">
      <c r="A6747" s="45">
        <v>43704</v>
      </c>
      <c r="B6747" s="5" t="s">
        <v>2263</v>
      </c>
      <c r="C6747" s="5" t="s">
        <v>5302</v>
      </c>
      <c r="D6747" s="43">
        <v>1000</v>
      </c>
      <c r="E6747" s="43"/>
      <c r="F6747" s="48">
        <f t="shared" si="110"/>
        <v>34491</v>
      </c>
    </row>
    <row r="6748" spans="1:6" x14ac:dyDescent="0.3">
      <c r="A6748" s="45">
        <v>43704</v>
      </c>
      <c r="B6748" s="5" t="s">
        <v>84</v>
      </c>
      <c r="C6748" s="5" t="s">
        <v>5254</v>
      </c>
      <c r="D6748" s="43">
        <v>10000</v>
      </c>
      <c r="E6748" s="43"/>
      <c r="F6748" s="48">
        <f t="shared" si="110"/>
        <v>24491</v>
      </c>
    </row>
    <row r="6749" spans="1:6" x14ac:dyDescent="0.3">
      <c r="A6749" s="45">
        <v>43705</v>
      </c>
      <c r="B6749" s="5" t="s">
        <v>1458</v>
      </c>
      <c r="C6749" s="5" t="s">
        <v>5303</v>
      </c>
      <c r="D6749" s="43">
        <f>120+54+180+140+25+80+150+80+275+220+70+470+100+100+80+80+180+30+180+80+130+135+200+30+20+45+600+230+270+180+50+50+30+50</f>
        <v>4714</v>
      </c>
      <c r="E6749" s="43"/>
      <c r="F6749" s="48">
        <f t="shared" si="110"/>
        <v>19777</v>
      </c>
    </row>
    <row r="6750" spans="1:6" x14ac:dyDescent="0.3">
      <c r="A6750" s="45">
        <v>43705</v>
      </c>
      <c r="B6750" s="5" t="s">
        <v>57</v>
      </c>
      <c r="C6750" s="5" t="s">
        <v>5443</v>
      </c>
      <c r="D6750" s="43">
        <v>15000</v>
      </c>
      <c r="E6750" s="43"/>
      <c r="F6750" s="48">
        <f t="shared" si="110"/>
        <v>4777</v>
      </c>
    </row>
    <row r="6751" spans="1:6" x14ac:dyDescent="0.3">
      <c r="A6751" s="45">
        <v>43705</v>
      </c>
      <c r="B6751" s="191" t="s">
        <v>3444</v>
      </c>
      <c r="C6751" s="133"/>
      <c r="D6751" s="192"/>
      <c r="E6751" s="141">
        <v>50000</v>
      </c>
      <c r="F6751" s="48">
        <f t="shared" si="110"/>
        <v>54777</v>
      </c>
    </row>
    <row r="6752" spans="1:6" x14ac:dyDescent="0.3">
      <c r="A6752" s="45">
        <v>43705</v>
      </c>
      <c r="B6752" s="5" t="s">
        <v>2594</v>
      </c>
      <c r="C6752" s="5" t="s">
        <v>5307</v>
      </c>
      <c r="D6752" s="43">
        <v>7000</v>
      </c>
      <c r="E6752" s="43"/>
      <c r="F6752" s="48">
        <f t="shared" si="110"/>
        <v>47777</v>
      </c>
    </row>
    <row r="6753" spans="1:6" x14ac:dyDescent="0.3">
      <c r="A6753" s="45">
        <v>43705</v>
      </c>
      <c r="B6753" s="5" t="s">
        <v>84</v>
      </c>
      <c r="C6753" s="5" t="s">
        <v>5306</v>
      </c>
      <c r="D6753" s="43">
        <v>500</v>
      </c>
      <c r="E6753" s="43"/>
      <c r="F6753" s="48">
        <f t="shared" si="110"/>
        <v>47277</v>
      </c>
    </row>
    <row r="6754" spans="1:6" x14ac:dyDescent="0.3">
      <c r="A6754" s="45">
        <v>43708</v>
      </c>
      <c r="B6754" s="5" t="s">
        <v>110</v>
      </c>
      <c r="C6754" s="5" t="s">
        <v>640</v>
      </c>
      <c r="D6754" s="43">
        <v>3000</v>
      </c>
      <c r="E6754" s="43"/>
      <c r="F6754" s="48">
        <f t="shared" si="110"/>
        <v>44277</v>
      </c>
    </row>
    <row r="6755" spans="1:6" x14ac:dyDescent="0.3">
      <c r="A6755" s="45">
        <v>43708</v>
      </c>
      <c r="B6755" s="5" t="s">
        <v>16</v>
      </c>
      <c r="C6755" s="5" t="s">
        <v>5309</v>
      </c>
      <c r="D6755" s="43">
        <v>1000</v>
      </c>
      <c r="E6755" s="43"/>
      <c r="F6755" s="48">
        <f t="shared" si="110"/>
        <v>43277</v>
      </c>
    </row>
    <row r="6756" spans="1:6" x14ac:dyDescent="0.3">
      <c r="A6756" s="45">
        <v>43708</v>
      </c>
      <c r="B6756" s="5" t="s">
        <v>14</v>
      </c>
      <c r="C6756" s="5" t="s">
        <v>5310</v>
      </c>
      <c r="D6756" s="43">
        <v>500</v>
      </c>
      <c r="E6756" s="43"/>
      <c r="F6756" s="48">
        <f t="shared" si="110"/>
        <v>42777</v>
      </c>
    </row>
    <row r="6757" spans="1:6" x14ac:dyDescent="0.3">
      <c r="A6757" s="45">
        <v>43708</v>
      </c>
      <c r="B6757" s="5" t="s">
        <v>1837</v>
      </c>
      <c r="C6757" s="5" t="s">
        <v>5311</v>
      </c>
      <c r="D6757" s="43">
        <v>1000</v>
      </c>
      <c r="E6757" s="43"/>
      <c r="F6757" s="48">
        <f t="shared" si="110"/>
        <v>41777</v>
      </c>
    </row>
    <row r="6758" spans="1:6" x14ac:dyDescent="0.3">
      <c r="A6758" s="45">
        <v>43708</v>
      </c>
      <c r="B6758" s="191" t="s">
        <v>3444</v>
      </c>
      <c r="C6758" s="133"/>
      <c r="D6758" s="192"/>
      <c r="E6758" s="141">
        <v>200000</v>
      </c>
      <c r="F6758" s="48">
        <f t="shared" si="110"/>
        <v>241777</v>
      </c>
    </row>
    <row r="6759" spans="1:6" x14ac:dyDescent="0.3">
      <c r="A6759" s="45">
        <v>43708</v>
      </c>
      <c r="B6759" s="5" t="s">
        <v>2594</v>
      </c>
      <c r="C6759" s="5" t="s">
        <v>4615</v>
      </c>
      <c r="D6759" s="43">
        <v>42246</v>
      </c>
      <c r="E6759" s="43"/>
      <c r="F6759" s="48">
        <f t="shared" si="110"/>
        <v>199531</v>
      </c>
    </row>
    <row r="6760" spans="1:6" x14ac:dyDescent="0.3">
      <c r="A6760" s="45">
        <v>43708</v>
      </c>
      <c r="B6760" s="5" t="s">
        <v>5156</v>
      </c>
      <c r="C6760" s="5" t="s">
        <v>5125</v>
      </c>
      <c r="D6760" s="43">
        <v>600</v>
      </c>
      <c r="E6760" s="43"/>
      <c r="F6760" s="48">
        <f t="shared" si="110"/>
        <v>198931</v>
      </c>
    </row>
    <row r="6761" spans="1:6" x14ac:dyDescent="0.3">
      <c r="A6761" s="45">
        <v>43708</v>
      </c>
      <c r="B6761" s="5" t="s">
        <v>1458</v>
      </c>
      <c r="C6761" s="5" t="s">
        <v>5312</v>
      </c>
      <c r="D6761" s="43">
        <f>200+50+30+45+30+100+180+100</f>
        <v>735</v>
      </c>
      <c r="E6761" s="43"/>
      <c r="F6761" s="48">
        <f t="shared" si="110"/>
        <v>198196</v>
      </c>
    </row>
    <row r="6762" spans="1:6" x14ac:dyDescent="0.3">
      <c r="A6762" s="45">
        <v>43710</v>
      </c>
      <c r="B6762" s="5" t="s">
        <v>4112</v>
      </c>
      <c r="C6762" s="5" t="s">
        <v>1530</v>
      </c>
      <c r="D6762" s="43">
        <v>4000</v>
      </c>
      <c r="E6762" s="43"/>
      <c r="F6762" s="48">
        <f t="shared" si="110"/>
        <v>194196</v>
      </c>
    </row>
    <row r="6763" spans="1:6" x14ac:dyDescent="0.3">
      <c r="A6763" s="45">
        <v>43710</v>
      </c>
      <c r="B6763" s="5" t="s">
        <v>5313</v>
      </c>
      <c r="C6763" s="5" t="s">
        <v>5314</v>
      </c>
      <c r="D6763" s="43">
        <v>40000</v>
      </c>
      <c r="E6763" s="43"/>
      <c r="F6763" s="48">
        <f t="shared" si="110"/>
        <v>154196</v>
      </c>
    </row>
    <row r="6764" spans="1:6" x14ac:dyDescent="0.3">
      <c r="A6764" s="45">
        <v>43710</v>
      </c>
      <c r="B6764" s="5" t="s">
        <v>54</v>
      </c>
      <c r="C6764" s="5" t="s">
        <v>5315</v>
      </c>
      <c r="D6764" s="43">
        <v>50000</v>
      </c>
      <c r="E6764" s="43"/>
      <c r="F6764" s="48">
        <f t="shared" si="110"/>
        <v>104196</v>
      </c>
    </row>
    <row r="6765" spans="1:6" x14ac:dyDescent="0.3">
      <c r="A6765" s="45">
        <v>43710</v>
      </c>
      <c r="B6765" s="5" t="s">
        <v>93</v>
      </c>
      <c r="C6765" s="5" t="s">
        <v>5316</v>
      </c>
      <c r="D6765" s="43">
        <v>8000</v>
      </c>
      <c r="E6765" s="43"/>
      <c r="F6765" s="48">
        <f t="shared" si="110"/>
        <v>96196</v>
      </c>
    </row>
    <row r="6766" spans="1:6" x14ac:dyDescent="0.3">
      <c r="A6766" s="45">
        <v>43710</v>
      </c>
      <c r="B6766" s="5" t="s">
        <v>14</v>
      </c>
      <c r="C6766" s="5" t="s">
        <v>1531</v>
      </c>
      <c r="D6766" s="43">
        <v>22000</v>
      </c>
      <c r="E6766" s="43"/>
      <c r="F6766" s="48">
        <f t="shared" si="110"/>
        <v>74196</v>
      </c>
    </row>
    <row r="6767" spans="1:6" x14ac:dyDescent="0.3">
      <c r="A6767" s="45">
        <v>43710</v>
      </c>
      <c r="B6767" s="5" t="s">
        <v>1458</v>
      </c>
      <c r="C6767" s="5" t="s">
        <v>4834</v>
      </c>
      <c r="D6767" s="43">
        <v>1000</v>
      </c>
      <c r="E6767" s="43"/>
      <c r="F6767" s="48">
        <f t="shared" ref="F6767:F6830" si="111">F6766-D6767+E6767</f>
        <v>73196</v>
      </c>
    </row>
    <row r="6768" spans="1:6" x14ac:dyDescent="0.3">
      <c r="A6768" s="45">
        <v>43710</v>
      </c>
      <c r="B6768" s="5" t="s">
        <v>84</v>
      </c>
      <c r="C6768" s="5" t="s">
        <v>5318</v>
      </c>
      <c r="D6768" s="43">
        <v>1000</v>
      </c>
      <c r="E6768" s="43"/>
      <c r="F6768" s="48">
        <f t="shared" si="111"/>
        <v>72196</v>
      </c>
    </row>
    <row r="6769" spans="1:6" x14ac:dyDescent="0.3">
      <c r="A6769" s="45">
        <v>43710</v>
      </c>
      <c r="B6769" s="5" t="s">
        <v>2594</v>
      </c>
      <c r="C6769" s="5" t="s">
        <v>3143</v>
      </c>
      <c r="D6769" s="43">
        <v>1000</v>
      </c>
      <c r="E6769" s="43"/>
      <c r="F6769" s="48">
        <f t="shared" si="111"/>
        <v>71196</v>
      </c>
    </row>
    <row r="6770" spans="1:6" x14ac:dyDescent="0.3">
      <c r="A6770" s="45">
        <v>43711</v>
      </c>
      <c r="B6770" s="5" t="s">
        <v>4550</v>
      </c>
      <c r="C6770" s="5" t="s">
        <v>40</v>
      </c>
      <c r="D6770" s="43">
        <v>10000</v>
      </c>
      <c r="E6770" s="43"/>
      <c r="F6770" s="48">
        <f t="shared" si="111"/>
        <v>61196</v>
      </c>
    </row>
    <row r="6771" spans="1:6" x14ac:dyDescent="0.3">
      <c r="A6771" s="45">
        <v>43711</v>
      </c>
      <c r="B6771" s="5" t="s">
        <v>5321</v>
      </c>
      <c r="C6771" s="5" t="s">
        <v>5319</v>
      </c>
      <c r="D6771" s="43">
        <v>4000</v>
      </c>
      <c r="E6771" s="43"/>
      <c r="F6771" s="48">
        <f t="shared" si="111"/>
        <v>57196</v>
      </c>
    </row>
    <row r="6772" spans="1:6" x14ac:dyDescent="0.3">
      <c r="A6772" s="45">
        <v>43711</v>
      </c>
      <c r="B6772" s="5" t="s">
        <v>1616</v>
      </c>
      <c r="C6772" s="5" t="s">
        <v>3703</v>
      </c>
      <c r="D6772" s="43">
        <v>1500</v>
      </c>
      <c r="E6772" s="43"/>
      <c r="F6772" s="48">
        <f t="shared" si="111"/>
        <v>55696</v>
      </c>
    </row>
    <row r="6773" spans="1:6" x14ac:dyDescent="0.3">
      <c r="A6773" s="45">
        <v>43711</v>
      </c>
      <c r="B6773" s="5" t="s">
        <v>1616</v>
      </c>
      <c r="C6773" s="5" t="s">
        <v>5320</v>
      </c>
      <c r="D6773" s="43">
        <v>600</v>
      </c>
      <c r="E6773" s="43"/>
      <c r="F6773" s="48">
        <f t="shared" si="111"/>
        <v>55096</v>
      </c>
    </row>
    <row r="6774" spans="1:6" x14ac:dyDescent="0.3">
      <c r="A6774" s="45">
        <v>43711</v>
      </c>
      <c r="B6774" s="5" t="s">
        <v>247</v>
      </c>
      <c r="C6774" s="5" t="s">
        <v>5322</v>
      </c>
      <c r="D6774" s="43">
        <v>300</v>
      </c>
      <c r="E6774" s="43"/>
      <c r="F6774" s="48">
        <f t="shared" si="111"/>
        <v>54796</v>
      </c>
    </row>
    <row r="6775" spans="1:6" x14ac:dyDescent="0.3">
      <c r="A6775" s="45">
        <v>43711</v>
      </c>
      <c r="B6775" s="5" t="s">
        <v>247</v>
      </c>
      <c r="C6775" s="5" t="s">
        <v>2013</v>
      </c>
      <c r="D6775" s="43">
        <v>200</v>
      </c>
      <c r="E6775" s="43"/>
      <c r="F6775" s="48">
        <f t="shared" si="111"/>
        <v>54596</v>
      </c>
    </row>
    <row r="6776" spans="1:6" x14ac:dyDescent="0.3">
      <c r="A6776" s="45">
        <v>43711</v>
      </c>
      <c r="B6776" s="5" t="s">
        <v>1837</v>
      </c>
      <c r="C6776" s="5" t="s">
        <v>5350</v>
      </c>
      <c r="D6776" s="43">
        <v>6000</v>
      </c>
      <c r="E6776" s="43"/>
      <c r="F6776" s="48">
        <f t="shared" si="111"/>
        <v>48596</v>
      </c>
    </row>
    <row r="6777" spans="1:6" x14ac:dyDescent="0.3">
      <c r="A6777" s="45">
        <v>43711</v>
      </c>
      <c r="B6777" s="5" t="s">
        <v>1837</v>
      </c>
      <c r="C6777" s="5" t="s">
        <v>5349</v>
      </c>
      <c r="D6777" s="43">
        <v>3000</v>
      </c>
      <c r="E6777" s="43"/>
      <c r="F6777" s="48">
        <f t="shared" si="111"/>
        <v>45596</v>
      </c>
    </row>
    <row r="6778" spans="1:6" x14ac:dyDescent="0.3">
      <c r="A6778" s="45">
        <v>43711</v>
      </c>
      <c r="B6778" s="5" t="s">
        <v>54</v>
      </c>
      <c r="C6778" s="5" t="s">
        <v>5323</v>
      </c>
      <c r="D6778" s="43">
        <v>4250</v>
      </c>
      <c r="E6778" s="43"/>
      <c r="F6778" s="48">
        <f t="shared" si="111"/>
        <v>41346</v>
      </c>
    </row>
    <row r="6779" spans="1:6" x14ac:dyDescent="0.3">
      <c r="A6779" s="45">
        <v>43711</v>
      </c>
      <c r="B6779" s="5" t="s">
        <v>54</v>
      </c>
      <c r="C6779" s="5" t="s">
        <v>5324</v>
      </c>
      <c r="D6779" s="43">
        <v>2600</v>
      </c>
      <c r="E6779" s="43"/>
      <c r="F6779" s="48">
        <f t="shared" si="111"/>
        <v>38746</v>
      </c>
    </row>
    <row r="6780" spans="1:6" x14ac:dyDescent="0.3">
      <c r="A6780" s="45">
        <v>43711</v>
      </c>
      <c r="B6780" s="5" t="s">
        <v>2948</v>
      </c>
      <c r="C6780" s="5" t="s">
        <v>5325</v>
      </c>
      <c r="D6780" s="43">
        <v>1000</v>
      </c>
      <c r="E6780" s="43"/>
      <c r="F6780" s="48">
        <f t="shared" si="111"/>
        <v>37746</v>
      </c>
    </row>
    <row r="6781" spans="1:6" x14ac:dyDescent="0.3">
      <c r="A6781" s="45">
        <v>43711</v>
      </c>
      <c r="B6781" s="5" t="s">
        <v>14</v>
      </c>
      <c r="C6781" s="5" t="s">
        <v>640</v>
      </c>
      <c r="D6781" s="43">
        <v>1000</v>
      </c>
      <c r="E6781" s="43"/>
      <c r="F6781" s="48">
        <f t="shared" si="111"/>
        <v>36746</v>
      </c>
    </row>
    <row r="6782" spans="1:6" x14ac:dyDescent="0.3">
      <c r="A6782" s="45">
        <v>43711</v>
      </c>
      <c r="B6782" s="5" t="s">
        <v>4925</v>
      </c>
      <c r="C6782" s="5" t="s">
        <v>294</v>
      </c>
      <c r="D6782" s="168">
        <v>20000</v>
      </c>
      <c r="E6782" s="43"/>
      <c r="F6782" s="48">
        <f t="shared" si="111"/>
        <v>16746</v>
      </c>
    </row>
    <row r="6783" spans="1:6" x14ac:dyDescent="0.3">
      <c r="A6783" s="45">
        <v>43711</v>
      </c>
      <c r="B6783" s="5" t="s">
        <v>25</v>
      </c>
      <c r="C6783" s="5" t="s">
        <v>5326</v>
      </c>
      <c r="D6783" s="43">
        <v>300</v>
      </c>
      <c r="E6783" s="43"/>
      <c r="F6783" s="48">
        <f t="shared" si="111"/>
        <v>16446</v>
      </c>
    </row>
    <row r="6784" spans="1:6" x14ac:dyDescent="0.3">
      <c r="A6784" s="45">
        <v>43711</v>
      </c>
      <c r="B6784" s="5" t="s">
        <v>1512</v>
      </c>
      <c r="C6784" s="5" t="s">
        <v>5327</v>
      </c>
      <c r="D6784" s="43">
        <v>5000</v>
      </c>
      <c r="E6784" s="43"/>
      <c r="F6784" s="48">
        <f t="shared" si="111"/>
        <v>11446</v>
      </c>
    </row>
    <row r="6785" spans="1:6" x14ac:dyDescent="0.3">
      <c r="A6785" s="45">
        <v>43712</v>
      </c>
      <c r="B6785" s="5" t="s">
        <v>5329</v>
      </c>
      <c r="C6785" s="5" t="s">
        <v>5330</v>
      </c>
      <c r="D6785" s="43">
        <v>100</v>
      </c>
      <c r="E6785" s="43"/>
      <c r="F6785" s="48">
        <f t="shared" si="111"/>
        <v>11346</v>
      </c>
    </row>
    <row r="6786" spans="1:6" x14ac:dyDescent="0.3">
      <c r="A6786" s="45">
        <v>43712</v>
      </c>
      <c r="B6786" s="191" t="s">
        <v>4106</v>
      </c>
      <c r="C6786" s="133"/>
      <c r="D6786" s="192"/>
      <c r="E6786" s="141">
        <v>50000</v>
      </c>
      <c r="F6786" s="48">
        <f t="shared" si="111"/>
        <v>61346</v>
      </c>
    </row>
    <row r="6787" spans="1:6" x14ac:dyDescent="0.3">
      <c r="A6787" s="45">
        <v>43712</v>
      </c>
      <c r="B6787" s="5" t="s">
        <v>2594</v>
      </c>
      <c r="C6787" s="5" t="s">
        <v>294</v>
      </c>
      <c r="D6787" s="43">
        <v>14375</v>
      </c>
      <c r="E6787" s="43"/>
      <c r="F6787" s="48">
        <f t="shared" si="111"/>
        <v>46971</v>
      </c>
    </row>
    <row r="6788" spans="1:6" x14ac:dyDescent="0.3">
      <c r="A6788" s="45">
        <v>43712</v>
      </c>
      <c r="B6788" s="5" t="s">
        <v>1679</v>
      </c>
      <c r="C6788" s="5" t="s">
        <v>5331</v>
      </c>
      <c r="D6788" s="43">
        <v>200</v>
      </c>
      <c r="E6788" s="43"/>
      <c r="F6788" s="48">
        <f t="shared" si="111"/>
        <v>46771</v>
      </c>
    </row>
    <row r="6789" spans="1:6" x14ac:dyDescent="0.3">
      <c r="A6789" s="45">
        <v>43712</v>
      </c>
      <c r="B6789" s="5" t="s">
        <v>1679</v>
      </c>
      <c r="C6789" s="5" t="s">
        <v>5332</v>
      </c>
      <c r="D6789" s="43">
        <v>10000</v>
      </c>
      <c r="E6789" s="43"/>
      <c r="F6789" s="48">
        <f t="shared" si="111"/>
        <v>36771</v>
      </c>
    </row>
    <row r="6790" spans="1:6" x14ac:dyDescent="0.3">
      <c r="A6790" s="45">
        <v>43713</v>
      </c>
      <c r="B6790" s="5" t="s">
        <v>4869</v>
      </c>
      <c r="C6790" s="5" t="s">
        <v>40</v>
      </c>
      <c r="D6790" s="43">
        <v>4200</v>
      </c>
      <c r="E6790" s="43"/>
      <c r="F6790" s="48">
        <f t="shared" si="111"/>
        <v>32571</v>
      </c>
    </row>
    <row r="6791" spans="1:6" x14ac:dyDescent="0.3">
      <c r="A6791" s="45">
        <v>43713</v>
      </c>
      <c r="B6791" s="5" t="s">
        <v>2570</v>
      </c>
      <c r="C6791" s="5" t="s">
        <v>5333</v>
      </c>
      <c r="D6791" s="43">
        <v>1810</v>
      </c>
      <c r="E6791" s="43"/>
      <c r="F6791" s="48">
        <f t="shared" si="111"/>
        <v>30761</v>
      </c>
    </row>
    <row r="6792" spans="1:6" x14ac:dyDescent="0.3">
      <c r="A6792" s="45">
        <v>43713</v>
      </c>
      <c r="B6792" s="5" t="s">
        <v>5211</v>
      </c>
      <c r="C6792" s="5" t="s">
        <v>681</v>
      </c>
      <c r="D6792" s="43">
        <v>500</v>
      </c>
      <c r="E6792" s="43"/>
      <c r="F6792" s="48">
        <f t="shared" si="111"/>
        <v>30261</v>
      </c>
    </row>
    <row r="6793" spans="1:6" x14ac:dyDescent="0.3">
      <c r="A6793" s="45">
        <v>43713</v>
      </c>
      <c r="B6793" s="5" t="s">
        <v>84</v>
      </c>
      <c r="C6793" s="5" t="s">
        <v>5341</v>
      </c>
      <c r="D6793" s="43">
        <v>10000</v>
      </c>
      <c r="E6793" s="43"/>
      <c r="F6793" s="48">
        <f t="shared" si="111"/>
        <v>20261</v>
      </c>
    </row>
    <row r="6794" spans="1:6" x14ac:dyDescent="0.3">
      <c r="A6794" s="45">
        <v>43713</v>
      </c>
      <c r="B6794" s="5" t="s">
        <v>1458</v>
      </c>
      <c r="C6794" s="5" t="s">
        <v>5334</v>
      </c>
      <c r="D6794" s="43">
        <v>2220</v>
      </c>
      <c r="E6794" s="43"/>
      <c r="F6794" s="48">
        <f t="shared" si="111"/>
        <v>18041</v>
      </c>
    </row>
    <row r="6795" spans="1:6" x14ac:dyDescent="0.3">
      <c r="A6795" s="45">
        <v>43713</v>
      </c>
      <c r="B6795" s="757" t="s">
        <v>5335</v>
      </c>
      <c r="C6795" s="758"/>
      <c r="D6795" s="192"/>
      <c r="E6795" s="141">
        <v>500000</v>
      </c>
      <c r="F6795" s="48">
        <f t="shared" si="111"/>
        <v>518041</v>
      </c>
    </row>
    <row r="6796" spans="1:6" x14ac:dyDescent="0.3">
      <c r="A6796" s="45">
        <v>43713</v>
      </c>
      <c r="B6796" s="5" t="s">
        <v>2594</v>
      </c>
      <c r="C6796" s="5" t="s">
        <v>5373</v>
      </c>
      <c r="D6796" s="187">
        <v>34517</v>
      </c>
      <c r="E6796" s="43"/>
      <c r="F6796" s="48">
        <f t="shared" si="111"/>
        <v>483524</v>
      </c>
    </row>
    <row r="6797" spans="1:6" x14ac:dyDescent="0.3">
      <c r="A6797" s="45">
        <v>43713</v>
      </c>
      <c r="B6797" s="5" t="s">
        <v>4112</v>
      </c>
      <c r="C6797" s="5" t="s">
        <v>4319</v>
      </c>
      <c r="D6797" s="43">
        <v>2000</v>
      </c>
      <c r="E6797" s="43"/>
      <c r="F6797" s="48">
        <f t="shared" si="111"/>
        <v>481524</v>
      </c>
    </row>
    <row r="6798" spans="1:6" x14ac:dyDescent="0.3">
      <c r="A6798" s="45">
        <v>43713</v>
      </c>
      <c r="B6798" s="5" t="s">
        <v>541</v>
      </c>
      <c r="C6798" s="5" t="s">
        <v>5374</v>
      </c>
      <c r="D6798" s="187">
        <v>100000</v>
      </c>
      <c r="E6798" s="43"/>
      <c r="F6798" s="48">
        <f t="shared" si="111"/>
        <v>381524</v>
      </c>
    </row>
    <row r="6799" spans="1:6" x14ac:dyDescent="0.3">
      <c r="A6799" s="45">
        <v>43713</v>
      </c>
      <c r="B6799" s="5" t="s">
        <v>84</v>
      </c>
      <c r="C6799" s="5" t="s">
        <v>5336</v>
      </c>
      <c r="D6799" s="43">
        <v>5000</v>
      </c>
      <c r="E6799" s="43"/>
      <c r="F6799" s="48">
        <f t="shared" si="111"/>
        <v>376524</v>
      </c>
    </row>
    <row r="6800" spans="1:6" x14ac:dyDescent="0.3">
      <c r="A6800" s="45">
        <v>43713</v>
      </c>
      <c r="B6800" s="5" t="s">
        <v>84</v>
      </c>
      <c r="C6800" s="5" t="s">
        <v>5337</v>
      </c>
      <c r="D6800" s="43">
        <v>3000</v>
      </c>
      <c r="E6800" s="43"/>
      <c r="F6800" s="48">
        <f t="shared" si="111"/>
        <v>373524</v>
      </c>
    </row>
    <row r="6801" spans="1:6" x14ac:dyDescent="0.3">
      <c r="A6801" s="45">
        <v>43713</v>
      </c>
      <c r="B6801" s="5" t="s">
        <v>84</v>
      </c>
      <c r="C6801" s="5" t="s">
        <v>5338</v>
      </c>
      <c r="D6801" s="43">
        <v>5000</v>
      </c>
      <c r="E6801" s="43"/>
      <c r="F6801" s="48">
        <f t="shared" si="111"/>
        <v>368524</v>
      </c>
    </row>
    <row r="6802" spans="1:6" x14ac:dyDescent="0.3">
      <c r="A6802" s="45">
        <v>43713</v>
      </c>
      <c r="B6802" s="5" t="s">
        <v>84</v>
      </c>
      <c r="C6802" s="5" t="s">
        <v>5339</v>
      </c>
      <c r="D6802" s="187">
        <v>10000</v>
      </c>
      <c r="E6802" s="43"/>
      <c r="F6802" s="48">
        <f t="shared" si="111"/>
        <v>358524</v>
      </c>
    </row>
    <row r="6803" spans="1:6" x14ac:dyDescent="0.3">
      <c r="A6803" s="45">
        <v>43713</v>
      </c>
      <c r="B6803" s="5" t="s">
        <v>84</v>
      </c>
      <c r="C6803" s="5" t="s">
        <v>5254</v>
      </c>
      <c r="D6803" s="187">
        <v>10000</v>
      </c>
      <c r="E6803" s="43"/>
      <c r="F6803" s="48">
        <f t="shared" si="111"/>
        <v>348524</v>
      </c>
    </row>
    <row r="6804" spans="1:6" x14ac:dyDescent="0.3">
      <c r="A6804" s="45">
        <v>43713</v>
      </c>
      <c r="B6804" s="5" t="s">
        <v>84</v>
      </c>
      <c r="C6804" s="5" t="s">
        <v>5340</v>
      </c>
      <c r="D6804" s="43">
        <v>2000</v>
      </c>
      <c r="E6804" s="43"/>
      <c r="F6804" s="48">
        <f t="shared" si="111"/>
        <v>346524</v>
      </c>
    </row>
    <row r="6805" spans="1:6" x14ac:dyDescent="0.3">
      <c r="A6805" s="45">
        <v>43713</v>
      </c>
      <c r="B6805" s="5" t="s">
        <v>84</v>
      </c>
      <c r="C6805" s="5" t="s">
        <v>5292</v>
      </c>
      <c r="D6805" s="43">
        <v>2000</v>
      </c>
      <c r="E6805" s="43"/>
      <c r="F6805" s="48">
        <f t="shared" si="111"/>
        <v>344524</v>
      </c>
    </row>
    <row r="6806" spans="1:6" x14ac:dyDescent="0.3">
      <c r="A6806" s="45">
        <v>43713</v>
      </c>
      <c r="B6806" s="5" t="s">
        <v>5156</v>
      </c>
      <c r="C6806" s="5" t="s">
        <v>5342</v>
      </c>
      <c r="D6806" s="43">
        <v>850</v>
      </c>
      <c r="E6806" s="43"/>
      <c r="F6806" s="48">
        <f t="shared" si="111"/>
        <v>343674</v>
      </c>
    </row>
    <row r="6807" spans="1:6" x14ac:dyDescent="0.3">
      <c r="A6807" s="45">
        <v>43713</v>
      </c>
      <c r="B6807" s="5" t="s">
        <v>5343</v>
      </c>
      <c r="C6807" s="5" t="s">
        <v>5344</v>
      </c>
      <c r="D6807" s="43">
        <v>3000</v>
      </c>
      <c r="E6807" s="43"/>
      <c r="F6807" s="48">
        <f t="shared" si="111"/>
        <v>340674</v>
      </c>
    </row>
    <row r="6808" spans="1:6" x14ac:dyDescent="0.3">
      <c r="A6808" s="45">
        <v>43713</v>
      </c>
      <c r="B6808" s="5" t="s">
        <v>2594</v>
      </c>
      <c r="C6808" s="5" t="s">
        <v>5353</v>
      </c>
      <c r="D6808" s="43">
        <f>6483-1500-3440+340</f>
        <v>1883</v>
      </c>
      <c r="E6808" s="43"/>
      <c r="F6808" s="48">
        <f t="shared" si="111"/>
        <v>338791</v>
      </c>
    </row>
    <row r="6809" spans="1:6" x14ac:dyDescent="0.3">
      <c r="A6809" s="45">
        <v>43713</v>
      </c>
      <c r="B6809" s="5" t="s">
        <v>1787</v>
      </c>
      <c r="C6809" s="5" t="s">
        <v>5345</v>
      </c>
      <c r="D6809" s="43">
        <v>1500</v>
      </c>
      <c r="E6809" s="43"/>
      <c r="F6809" s="48">
        <f t="shared" si="111"/>
        <v>337291</v>
      </c>
    </row>
    <row r="6810" spans="1:6" x14ac:dyDescent="0.3">
      <c r="A6810" s="45">
        <v>43713</v>
      </c>
      <c r="B6810" s="5" t="s">
        <v>2594</v>
      </c>
      <c r="C6810" s="5" t="s">
        <v>5347</v>
      </c>
      <c r="D6810" s="43">
        <v>3440</v>
      </c>
      <c r="E6810" s="43"/>
      <c r="F6810" s="48">
        <f t="shared" si="111"/>
        <v>333851</v>
      </c>
    </row>
    <row r="6811" spans="1:6" x14ac:dyDescent="0.3">
      <c r="A6811" s="45">
        <v>43714</v>
      </c>
      <c r="B6811" s="5" t="s">
        <v>2594</v>
      </c>
      <c r="C6811" s="5" t="s">
        <v>5375</v>
      </c>
      <c r="D6811" s="187">
        <v>25421</v>
      </c>
      <c r="E6811" s="43"/>
      <c r="F6811" s="48">
        <f t="shared" si="111"/>
        <v>308430</v>
      </c>
    </row>
    <row r="6812" spans="1:6" x14ac:dyDescent="0.3">
      <c r="A6812" s="45">
        <v>43715</v>
      </c>
      <c r="B6812" s="5" t="s">
        <v>14</v>
      </c>
      <c r="C6812" s="5" t="s">
        <v>2544</v>
      </c>
      <c r="D6812" s="187">
        <v>60000</v>
      </c>
      <c r="E6812" s="43"/>
      <c r="F6812" s="48">
        <f t="shared" si="111"/>
        <v>248430</v>
      </c>
    </row>
    <row r="6813" spans="1:6" x14ac:dyDescent="0.3">
      <c r="A6813" s="45">
        <v>43715</v>
      </c>
      <c r="B6813" s="5" t="s">
        <v>1787</v>
      </c>
      <c r="C6813" s="5" t="s">
        <v>5346</v>
      </c>
      <c r="D6813" s="43">
        <v>1500</v>
      </c>
      <c r="E6813" s="43"/>
      <c r="F6813" s="48">
        <f t="shared" si="111"/>
        <v>246930</v>
      </c>
    </row>
    <row r="6814" spans="1:6" x14ac:dyDescent="0.3">
      <c r="A6814" s="45">
        <v>43715</v>
      </c>
      <c r="B6814" s="5" t="s">
        <v>84</v>
      </c>
      <c r="C6814" s="5" t="s">
        <v>5348</v>
      </c>
      <c r="D6814" s="187">
        <v>10000</v>
      </c>
      <c r="E6814" s="43"/>
      <c r="F6814" s="48">
        <f t="shared" si="111"/>
        <v>236930</v>
      </c>
    </row>
    <row r="6815" spans="1:6" x14ac:dyDescent="0.3">
      <c r="A6815" s="45">
        <v>43715</v>
      </c>
      <c r="B6815" s="5" t="s">
        <v>2594</v>
      </c>
      <c r="C6815" s="5" t="s">
        <v>5375</v>
      </c>
      <c r="D6815" s="187">
        <v>35270</v>
      </c>
      <c r="E6815" s="43"/>
      <c r="F6815" s="48">
        <f t="shared" si="111"/>
        <v>201660</v>
      </c>
    </row>
    <row r="6816" spans="1:6" x14ac:dyDescent="0.3">
      <c r="A6816" s="45">
        <v>43715</v>
      </c>
      <c r="B6816" s="5" t="s">
        <v>1837</v>
      </c>
      <c r="C6816" s="5" t="s">
        <v>5351</v>
      </c>
      <c r="D6816" s="43">
        <v>300</v>
      </c>
      <c r="E6816" s="43"/>
      <c r="F6816" s="48">
        <f t="shared" si="111"/>
        <v>201360</v>
      </c>
    </row>
    <row r="6817" spans="1:6" x14ac:dyDescent="0.3">
      <c r="A6817" s="45">
        <v>43715</v>
      </c>
      <c r="B6817" s="5" t="s">
        <v>25</v>
      </c>
      <c r="C6817" s="5" t="s">
        <v>64</v>
      </c>
      <c r="D6817" s="43">
        <v>1600</v>
      </c>
      <c r="E6817" s="43"/>
      <c r="F6817" s="48">
        <f t="shared" si="111"/>
        <v>199760</v>
      </c>
    </row>
    <row r="6818" spans="1:6" x14ac:dyDescent="0.3">
      <c r="A6818" s="45">
        <v>43715</v>
      </c>
      <c r="B6818" s="5" t="s">
        <v>0</v>
      </c>
      <c r="C6818" s="5" t="s">
        <v>4187</v>
      </c>
      <c r="D6818" s="43">
        <v>5000</v>
      </c>
      <c r="E6818" s="43"/>
      <c r="F6818" s="48">
        <f t="shared" si="111"/>
        <v>194760</v>
      </c>
    </row>
    <row r="6819" spans="1:6" x14ac:dyDescent="0.3">
      <c r="A6819" s="45">
        <v>43719</v>
      </c>
      <c r="B6819" s="5" t="s">
        <v>84</v>
      </c>
      <c r="C6819" s="5" t="s">
        <v>5356</v>
      </c>
      <c r="D6819" s="43">
        <v>2000</v>
      </c>
      <c r="E6819" s="43"/>
      <c r="F6819" s="48">
        <f t="shared" si="111"/>
        <v>192760</v>
      </c>
    </row>
    <row r="6820" spans="1:6" x14ac:dyDescent="0.3">
      <c r="A6820" s="45">
        <v>43719</v>
      </c>
      <c r="B6820" s="5" t="s">
        <v>25</v>
      </c>
      <c r="C6820" s="5" t="s">
        <v>5352</v>
      </c>
      <c r="D6820" s="43">
        <f>130+90+180+50+120+50+290+80+300+50+50+70+81+345+170+150+100+80+50+120</f>
        <v>2556</v>
      </c>
      <c r="E6820" s="43"/>
      <c r="F6820" s="48">
        <f t="shared" si="111"/>
        <v>190204</v>
      </c>
    </row>
    <row r="6821" spans="1:6" x14ac:dyDescent="0.3">
      <c r="A6821" s="45">
        <v>43719</v>
      </c>
      <c r="B6821" s="5" t="s">
        <v>2594</v>
      </c>
      <c r="C6821" s="5" t="s">
        <v>5354</v>
      </c>
      <c r="D6821" s="187">
        <v>10000</v>
      </c>
      <c r="E6821" s="43"/>
      <c r="F6821" s="48">
        <f t="shared" si="111"/>
        <v>180204</v>
      </c>
    </row>
    <row r="6822" spans="1:6" x14ac:dyDescent="0.3">
      <c r="A6822" s="45">
        <v>43719</v>
      </c>
      <c r="B6822" s="5" t="s">
        <v>2594</v>
      </c>
      <c r="C6822" s="5" t="s">
        <v>3143</v>
      </c>
      <c r="D6822" s="43">
        <v>1500</v>
      </c>
      <c r="E6822" s="43"/>
      <c r="F6822" s="48">
        <f t="shared" si="111"/>
        <v>178704</v>
      </c>
    </row>
    <row r="6823" spans="1:6" x14ac:dyDescent="0.3">
      <c r="A6823" s="45">
        <v>43719</v>
      </c>
      <c r="B6823" s="5" t="s">
        <v>4828</v>
      </c>
      <c r="C6823" s="5" t="s">
        <v>2013</v>
      </c>
      <c r="D6823" s="43">
        <v>100</v>
      </c>
      <c r="E6823" s="43"/>
      <c r="F6823" s="48">
        <f t="shared" si="111"/>
        <v>178604</v>
      </c>
    </row>
    <row r="6824" spans="1:6" x14ac:dyDescent="0.3">
      <c r="A6824" s="45">
        <v>43719</v>
      </c>
      <c r="B6824" s="5" t="s">
        <v>54</v>
      </c>
      <c r="C6824" s="5" t="s">
        <v>5355</v>
      </c>
      <c r="D6824" s="43">
        <v>2000</v>
      </c>
      <c r="E6824" s="43"/>
      <c r="F6824" s="48">
        <f t="shared" si="111"/>
        <v>176604</v>
      </c>
    </row>
    <row r="6825" spans="1:6" x14ac:dyDescent="0.3">
      <c r="A6825" s="45">
        <v>43719</v>
      </c>
      <c r="B6825" s="5" t="s">
        <v>14</v>
      </c>
      <c r="C6825" s="5" t="s">
        <v>5357</v>
      </c>
      <c r="D6825" s="43">
        <v>517</v>
      </c>
      <c r="E6825" s="43"/>
      <c r="F6825" s="48">
        <f t="shared" si="111"/>
        <v>176087</v>
      </c>
    </row>
    <row r="6826" spans="1:6" x14ac:dyDescent="0.3">
      <c r="A6826" s="45">
        <v>43719</v>
      </c>
      <c r="B6826" s="5" t="s">
        <v>2570</v>
      </c>
      <c r="C6826" s="5" t="s">
        <v>5358</v>
      </c>
      <c r="D6826" s="43">
        <v>650</v>
      </c>
      <c r="E6826" s="43"/>
      <c r="F6826" s="48">
        <f t="shared" si="111"/>
        <v>175437</v>
      </c>
    </row>
    <row r="6827" spans="1:6" x14ac:dyDescent="0.3">
      <c r="A6827" s="45">
        <v>43719</v>
      </c>
      <c r="B6827" s="759" t="s">
        <v>5229</v>
      </c>
      <c r="C6827" s="759"/>
      <c r="D6827" s="760"/>
      <c r="E6827" s="199">
        <v>500000</v>
      </c>
      <c r="F6827" s="48">
        <f t="shared" si="111"/>
        <v>675437</v>
      </c>
    </row>
    <row r="6828" spans="1:6" x14ac:dyDescent="0.3">
      <c r="A6828" s="45">
        <v>43720</v>
      </c>
      <c r="B6828" s="744" t="s">
        <v>5368</v>
      </c>
      <c r="C6828" s="744"/>
      <c r="D6828" s="745"/>
      <c r="E6828" s="200">
        <v>500000</v>
      </c>
      <c r="F6828" s="48">
        <f t="shared" si="111"/>
        <v>1175437</v>
      </c>
    </row>
    <row r="6829" spans="1:6" x14ac:dyDescent="0.3">
      <c r="A6829" s="45">
        <v>43720</v>
      </c>
      <c r="B6829" s="754" t="s">
        <v>5367</v>
      </c>
      <c r="C6829" s="754"/>
      <c r="D6829" s="755"/>
      <c r="E6829" s="201">
        <v>178000</v>
      </c>
      <c r="F6829" s="202">
        <f t="shared" si="111"/>
        <v>1353437</v>
      </c>
    </row>
    <row r="6830" spans="1:6" x14ac:dyDescent="0.3">
      <c r="A6830" s="45">
        <v>43719</v>
      </c>
      <c r="B6830" s="5"/>
      <c r="C6830" s="5" t="s">
        <v>5369</v>
      </c>
      <c r="D6830" s="187">
        <v>1216524</v>
      </c>
      <c r="E6830" s="77"/>
      <c r="F6830" s="48">
        <f t="shared" si="111"/>
        <v>136913</v>
      </c>
    </row>
    <row r="6831" spans="1:6" x14ac:dyDescent="0.3">
      <c r="A6831" s="45">
        <v>43720</v>
      </c>
      <c r="B6831" s="5" t="s">
        <v>5211</v>
      </c>
      <c r="C6831" s="5" t="s">
        <v>40</v>
      </c>
      <c r="D6831" s="43">
        <v>1000</v>
      </c>
      <c r="E6831" s="43"/>
      <c r="F6831" s="48">
        <f t="shared" ref="F6831:F6894" si="112">F6830-D6831+E6831</f>
        <v>135913</v>
      </c>
    </row>
    <row r="6832" spans="1:6" x14ac:dyDescent="0.3">
      <c r="A6832" s="45">
        <v>43720</v>
      </c>
      <c r="B6832" s="5" t="s">
        <v>1787</v>
      </c>
      <c r="C6832" s="5" t="s">
        <v>5359</v>
      </c>
      <c r="D6832" s="43">
        <v>1500</v>
      </c>
      <c r="E6832" s="43"/>
      <c r="F6832" s="48">
        <f t="shared" si="112"/>
        <v>134413</v>
      </c>
    </row>
    <row r="6833" spans="1:6" x14ac:dyDescent="0.3">
      <c r="A6833" s="45">
        <v>43720</v>
      </c>
      <c r="B6833" s="5" t="s">
        <v>1787</v>
      </c>
      <c r="C6833" s="5" t="s">
        <v>5360</v>
      </c>
      <c r="D6833" s="43">
        <v>2000</v>
      </c>
      <c r="E6833" s="43"/>
      <c r="F6833" s="48">
        <f t="shared" si="112"/>
        <v>132413</v>
      </c>
    </row>
    <row r="6834" spans="1:6" x14ac:dyDescent="0.3">
      <c r="A6834" s="45">
        <v>43720</v>
      </c>
      <c r="B6834" s="749" t="s">
        <v>5371</v>
      </c>
      <c r="C6834" s="750"/>
      <c r="D6834" s="751"/>
      <c r="E6834" s="141">
        <v>150000</v>
      </c>
      <c r="F6834" s="48">
        <f t="shared" si="112"/>
        <v>282413</v>
      </c>
    </row>
    <row r="6835" spans="1:6" x14ac:dyDescent="0.3">
      <c r="A6835" s="45">
        <v>43720</v>
      </c>
      <c r="B6835" s="5" t="s">
        <v>2219</v>
      </c>
      <c r="C6835" s="5" t="s">
        <v>40</v>
      </c>
      <c r="D6835" s="187">
        <v>136623</v>
      </c>
      <c r="E6835" s="43"/>
      <c r="F6835" s="48">
        <f t="shared" si="112"/>
        <v>145790</v>
      </c>
    </row>
    <row r="6836" spans="1:6" x14ac:dyDescent="0.3">
      <c r="A6836" s="45">
        <v>43720</v>
      </c>
      <c r="B6836" s="5" t="s">
        <v>247</v>
      </c>
      <c r="C6836" s="5" t="s">
        <v>2013</v>
      </c>
      <c r="D6836" s="43">
        <v>100</v>
      </c>
      <c r="E6836" s="43"/>
      <c r="F6836" s="48">
        <f t="shared" si="112"/>
        <v>145690</v>
      </c>
    </row>
    <row r="6837" spans="1:6" x14ac:dyDescent="0.3">
      <c r="A6837" s="45">
        <v>43720</v>
      </c>
      <c r="B6837" s="5" t="s">
        <v>2594</v>
      </c>
      <c r="C6837" s="5" t="s">
        <v>5365</v>
      </c>
      <c r="D6837" s="43">
        <v>3000</v>
      </c>
      <c r="E6837" s="43"/>
      <c r="F6837" s="48">
        <f t="shared" si="112"/>
        <v>142690</v>
      </c>
    </row>
    <row r="6838" spans="1:6" x14ac:dyDescent="0.3">
      <c r="A6838" s="45">
        <v>43720</v>
      </c>
      <c r="B6838" s="5" t="s">
        <v>5211</v>
      </c>
      <c r="C6838" s="5" t="s">
        <v>5361</v>
      </c>
      <c r="D6838" s="43">
        <v>750</v>
      </c>
      <c r="E6838" s="43"/>
      <c r="F6838" s="48">
        <f t="shared" si="112"/>
        <v>141940</v>
      </c>
    </row>
    <row r="6839" spans="1:6" x14ac:dyDescent="0.3">
      <c r="A6839" s="45">
        <v>43720</v>
      </c>
      <c r="B6839" s="5" t="s">
        <v>5211</v>
      </c>
      <c r="C6839" s="5" t="s">
        <v>1624</v>
      </c>
      <c r="D6839" s="43">
        <v>200</v>
      </c>
      <c r="E6839" s="43"/>
      <c r="F6839" s="48">
        <f t="shared" si="112"/>
        <v>141740</v>
      </c>
    </row>
    <row r="6840" spans="1:6" x14ac:dyDescent="0.3">
      <c r="A6840" s="45">
        <v>43720</v>
      </c>
      <c r="B6840" s="5" t="s">
        <v>84</v>
      </c>
      <c r="C6840" s="5" t="s">
        <v>5362</v>
      </c>
      <c r="D6840" s="203">
        <v>10000</v>
      </c>
      <c r="E6840" s="43"/>
      <c r="F6840" s="48">
        <f t="shared" si="112"/>
        <v>131740</v>
      </c>
    </row>
    <row r="6841" spans="1:6" x14ac:dyDescent="0.3">
      <c r="A6841" s="45">
        <v>43720</v>
      </c>
      <c r="B6841" s="5" t="s">
        <v>2594</v>
      </c>
      <c r="C6841" s="5" t="s">
        <v>5364</v>
      </c>
      <c r="D6841" s="43">
        <v>2000</v>
      </c>
      <c r="E6841" s="43"/>
      <c r="F6841" s="48">
        <f t="shared" si="112"/>
        <v>129740</v>
      </c>
    </row>
    <row r="6842" spans="1:6" x14ac:dyDescent="0.3">
      <c r="A6842" s="45">
        <v>43720</v>
      </c>
      <c r="B6842" s="5" t="s">
        <v>1679</v>
      </c>
      <c r="C6842" s="5" t="s">
        <v>3611</v>
      </c>
      <c r="D6842" s="43">
        <v>3000</v>
      </c>
      <c r="E6842" s="43"/>
      <c r="F6842" s="48">
        <f t="shared" si="112"/>
        <v>126740</v>
      </c>
    </row>
    <row r="6843" spans="1:6" x14ac:dyDescent="0.3">
      <c r="A6843" s="45">
        <v>43721</v>
      </c>
      <c r="B6843" s="5" t="s">
        <v>1787</v>
      </c>
      <c r="C6843" s="5" t="s">
        <v>5359</v>
      </c>
      <c r="D6843" s="43">
        <v>1500</v>
      </c>
      <c r="E6843" s="43"/>
      <c r="F6843" s="48">
        <f t="shared" si="112"/>
        <v>125240</v>
      </c>
    </row>
    <row r="6844" spans="1:6" x14ac:dyDescent="0.3">
      <c r="A6844" s="45">
        <v>43721</v>
      </c>
      <c r="B6844" s="5" t="s">
        <v>2594</v>
      </c>
      <c r="C6844" s="5" t="s">
        <v>5363</v>
      </c>
      <c r="D6844" s="43">
        <v>4760</v>
      </c>
      <c r="E6844" s="43"/>
      <c r="F6844" s="48">
        <f t="shared" si="112"/>
        <v>120480</v>
      </c>
    </row>
    <row r="6845" spans="1:6" x14ac:dyDescent="0.3">
      <c r="A6845" s="45">
        <v>43721</v>
      </c>
      <c r="B6845" s="5" t="s">
        <v>5366</v>
      </c>
      <c r="C6845" s="5" t="s">
        <v>5372</v>
      </c>
      <c r="D6845" s="187">
        <v>23000</v>
      </c>
      <c r="E6845" s="43"/>
      <c r="F6845" s="48">
        <f t="shared" si="112"/>
        <v>97480</v>
      </c>
    </row>
    <row r="6846" spans="1:6" x14ac:dyDescent="0.3">
      <c r="A6846" s="45">
        <v>43721</v>
      </c>
      <c r="B6846" s="5" t="s">
        <v>1679</v>
      </c>
      <c r="C6846" s="5" t="s">
        <v>5370</v>
      </c>
      <c r="D6846" s="204">
        <v>44275</v>
      </c>
      <c r="E6846" s="43"/>
      <c r="F6846" s="48">
        <f t="shared" si="112"/>
        <v>53205</v>
      </c>
    </row>
    <row r="6847" spans="1:6" x14ac:dyDescent="0.3">
      <c r="A6847" s="45">
        <v>43721</v>
      </c>
      <c r="B6847" s="5" t="s">
        <v>2594</v>
      </c>
      <c r="C6847" s="5" t="s">
        <v>5380</v>
      </c>
      <c r="D6847" s="65">
        <v>5945</v>
      </c>
      <c r="E6847" s="43"/>
      <c r="F6847" s="48">
        <f t="shared" si="112"/>
        <v>47260</v>
      </c>
    </row>
    <row r="6848" spans="1:6" ht="37.5" x14ac:dyDescent="0.3">
      <c r="A6848" s="45">
        <v>43724</v>
      </c>
      <c r="B6848" s="5" t="s">
        <v>18</v>
      </c>
      <c r="C6848" s="92" t="s">
        <v>5438</v>
      </c>
      <c r="D6848" s="65">
        <v>5000</v>
      </c>
      <c r="E6848" s="43"/>
      <c r="F6848" s="48">
        <f t="shared" si="112"/>
        <v>42260</v>
      </c>
    </row>
    <row r="6849" spans="1:6" x14ac:dyDescent="0.3">
      <c r="A6849" s="45">
        <v>43724</v>
      </c>
      <c r="B6849" s="5" t="s">
        <v>25</v>
      </c>
      <c r="C6849" s="5" t="s">
        <v>5376</v>
      </c>
      <c r="D6849" s="65">
        <f>45+100+100+450+250+400+200+60+50+30+40</f>
        <v>1725</v>
      </c>
      <c r="E6849" s="43"/>
      <c r="F6849" s="48">
        <f t="shared" si="112"/>
        <v>40535</v>
      </c>
    </row>
    <row r="6850" spans="1:6" x14ac:dyDescent="0.3">
      <c r="A6850" s="45">
        <v>43724</v>
      </c>
      <c r="B6850" s="5" t="s">
        <v>541</v>
      </c>
      <c r="C6850" s="5" t="s">
        <v>5377</v>
      </c>
      <c r="D6850" s="65">
        <v>600</v>
      </c>
      <c r="E6850" s="43"/>
      <c r="F6850" s="48">
        <f t="shared" si="112"/>
        <v>39935</v>
      </c>
    </row>
    <row r="6851" spans="1:6" x14ac:dyDescent="0.3">
      <c r="A6851" s="45">
        <v>43724</v>
      </c>
      <c r="B6851" s="5" t="s">
        <v>2594</v>
      </c>
      <c r="C6851" s="5" t="s">
        <v>5382</v>
      </c>
      <c r="D6851" s="65">
        <v>18396</v>
      </c>
      <c r="E6851" s="43"/>
      <c r="F6851" s="48">
        <f t="shared" si="112"/>
        <v>21539</v>
      </c>
    </row>
    <row r="6852" spans="1:6" x14ac:dyDescent="0.3">
      <c r="A6852" s="45">
        <v>43724</v>
      </c>
      <c r="B6852" s="5" t="s">
        <v>541</v>
      </c>
      <c r="C6852" s="5" t="s">
        <v>294</v>
      </c>
      <c r="D6852" s="65">
        <v>5000</v>
      </c>
      <c r="E6852" s="43"/>
      <c r="F6852" s="48">
        <f t="shared" si="112"/>
        <v>16539</v>
      </c>
    </row>
    <row r="6853" spans="1:6" x14ac:dyDescent="0.3">
      <c r="A6853" s="45">
        <v>43724</v>
      </c>
      <c r="B6853" s="74" t="s">
        <v>2948</v>
      </c>
      <c r="C6853" s="76" t="s">
        <v>50</v>
      </c>
      <c r="D6853" s="205">
        <v>1760</v>
      </c>
      <c r="E6853" s="43"/>
      <c r="F6853" s="48">
        <f t="shared" si="112"/>
        <v>14779</v>
      </c>
    </row>
    <row r="6854" spans="1:6" x14ac:dyDescent="0.3">
      <c r="A6854" s="45">
        <v>43724</v>
      </c>
      <c r="B6854" s="749" t="s">
        <v>5379</v>
      </c>
      <c r="C6854" s="750"/>
      <c r="D6854" s="751"/>
      <c r="E6854" s="141">
        <v>100000</v>
      </c>
      <c r="F6854" s="48">
        <f t="shared" si="112"/>
        <v>114779</v>
      </c>
    </row>
    <row r="6855" spans="1:6" x14ac:dyDescent="0.3">
      <c r="A6855" s="45">
        <v>43724</v>
      </c>
      <c r="B6855" s="749" t="s">
        <v>5379</v>
      </c>
      <c r="C6855" s="750"/>
      <c r="D6855" s="751"/>
      <c r="E6855" s="141">
        <v>50000</v>
      </c>
      <c r="F6855" s="48">
        <f t="shared" si="112"/>
        <v>164779</v>
      </c>
    </row>
    <row r="6856" spans="1:6" x14ac:dyDescent="0.3">
      <c r="A6856" s="45">
        <v>43724</v>
      </c>
      <c r="B6856" s="5" t="s">
        <v>2594</v>
      </c>
      <c r="C6856" s="5" t="s">
        <v>5378</v>
      </c>
      <c r="D6856" s="65">
        <v>30100</v>
      </c>
      <c r="E6856" s="43"/>
      <c r="F6856" s="48">
        <f t="shared" si="112"/>
        <v>134679</v>
      </c>
    </row>
    <row r="6857" spans="1:6" x14ac:dyDescent="0.3">
      <c r="A6857" s="45">
        <v>43724</v>
      </c>
      <c r="B6857" s="5" t="s">
        <v>0</v>
      </c>
      <c r="C6857" s="5" t="s">
        <v>5381</v>
      </c>
      <c r="D6857" s="65">
        <v>110000</v>
      </c>
      <c r="E6857" s="43"/>
      <c r="F6857" s="48">
        <f t="shared" si="112"/>
        <v>24679</v>
      </c>
    </row>
    <row r="6858" spans="1:6" x14ac:dyDescent="0.3">
      <c r="A6858" s="45">
        <v>43725</v>
      </c>
      <c r="B6858" s="5" t="s">
        <v>2346</v>
      </c>
      <c r="C6858" s="5" t="s">
        <v>5383</v>
      </c>
      <c r="D6858" s="65">
        <v>3000</v>
      </c>
      <c r="E6858" s="43"/>
      <c r="F6858" s="48">
        <f t="shared" si="112"/>
        <v>21679</v>
      </c>
    </row>
    <row r="6859" spans="1:6" x14ac:dyDescent="0.3">
      <c r="A6859" s="45">
        <v>43725</v>
      </c>
      <c r="B6859" s="5" t="s">
        <v>2594</v>
      </c>
      <c r="C6859" s="5" t="s">
        <v>2544</v>
      </c>
      <c r="D6859" s="65">
        <v>18450</v>
      </c>
      <c r="E6859" s="43"/>
      <c r="F6859" s="48">
        <f t="shared" si="112"/>
        <v>3229</v>
      </c>
    </row>
    <row r="6860" spans="1:6" x14ac:dyDescent="0.3">
      <c r="A6860" s="45">
        <v>43725</v>
      </c>
      <c r="B6860" s="749" t="s">
        <v>5379</v>
      </c>
      <c r="C6860" s="750"/>
      <c r="D6860" s="751"/>
      <c r="E6860" s="141">
        <v>93000</v>
      </c>
      <c r="F6860" s="48">
        <f t="shared" si="112"/>
        <v>96229</v>
      </c>
    </row>
    <row r="6861" spans="1:6" x14ac:dyDescent="0.3">
      <c r="A6861" s="45">
        <v>43725</v>
      </c>
      <c r="B6861" s="5" t="s">
        <v>54</v>
      </c>
      <c r="C6861" s="5" t="s">
        <v>5384</v>
      </c>
      <c r="D6861" s="65">
        <v>93758</v>
      </c>
      <c r="E6861" s="43"/>
      <c r="F6861" s="48">
        <f t="shared" si="112"/>
        <v>2471</v>
      </c>
    </row>
    <row r="6862" spans="1:6" x14ac:dyDescent="0.3">
      <c r="A6862" s="45">
        <v>43725</v>
      </c>
      <c r="B6862" s="749" t="s">
        <v>5385</v>
      </c>
      <c r="C6862" s="750"/>
      <c r="D6862" s="751"/>
      <c r="E6862" s="141">
        <v>22180</v>
      </c>
      <c r="F6862" s="48">
        <f t="shared" si="112"/>
        <v>24651</v>
      </c>
    </row>
    <row r="6863" spans="1:6" x14ac:dyDescent="0.3">
      <c r="A6863" s="45">
        <v>43725</v>
      </c>
      <c r="B6863" s="5" t="s">
        <v>4552</v>
      </c>
      <c r="C6863" s="5" t="s">
        <v>5386</v>
      </c>
      <c r="D6863" s="65">
        <v>10000</v>
      </c>
      <c r="E6863" s="43"/>
      <c r="F6863" s="48">
        <f t="shared" si="112"/>
        <v>14651</v>
      </c>
    </row>
    <row r="6864" spans="1:6" x14ac:dyDescent="0.3">
      <c r="A6864" s="45">
        <v>43725</v>
      </c>
      <c r="B6864" s="5" t="s">
        <v>5393</v>
      </c>
      <c r="C6864" s="5" t="s">
        <v>5387</v>
      </c>
      <c r="D6864" s="65">
        <v>300</v>
      </c>
      <c r="E6864" s="43"/>
      <c r="F6864" s="48">
        <f t="shared" si="112"/>
        <v>14351</v>
      </c>
    </row>
    <row r="6865" spans="1:6" x14ac:dyDescent="0.3">
      <c r="A6865" s="45">
        <v>43725</v>
      </c>
      <c r="B6865" s="5" t="s">
        <v>247</v>
      </c>
      <c r="C6865" s="5" t="s">
        <v>5388</v>
      </c>
      <c r="D6865" s="65">
        <v>800</v>
      </c>
      <c r="E6865" s="43"/>
      <c r="F6865" s="48">
        <f t="shared" si="112"/>
        <v>13551</v>
      </c>
    </row>
    <row r="6866" spans="1:6" x14ac:dyDescent="0.3">
      <c r="A6866" s="45">
        <v>43726</v>
      </c>
      <c r="B6866" s="5" t="s">
        <v>4550</v>
      </c>
      <c r="C6866" s="5" t="s">
        <v>4902</v>
      </c>
      <c r="D6866" s="65">
        <v>10000</v>
      </c>
      <c r="E6866" s="43"/>
      <c r="F6866" s="48">
        <f t="shared" si="112"/>
        <v>3551</v>
      </c>
    </row>
    <row r="6867" spans="1:6" x14ac:dyDescent="0.3">
      <c r="A6867" s="45">
        <v>43726</v>
      </c>
      <c r="B6867" s="5" t="s">
        <v>16</v>
      </c>
      <c r="C6867" s="5" t="s">
        <v>5389</v>
      </c>
      <c r="D6867" s="65">
        <v>1000</v>
      </c>
      <c r="E6867" s="43"/>
      <c r="F6867" s="48">
        <f t="shared" si="112"/>
        <v>2551</v>
      </c>
    </row>
    <row r="6868" spans="1:6" x14ac:dyDescent="0.3">
      <c r="A6868" s="45">
        <v>43726</v>
      </c>
      <c r="B6868" s="749" t="s">
        <v>5379</v>
      </c>
      <c r="C6868" s="750"/>
      <c r="D6868" s="751"/>
      <c r="E6868" s="141">
        <v>100000</v>
      </c>
      <c r="F6868" s="48">
        <f t="shared" si="112"/>
        <v>102551</v>
      </c>
    </row>
    <row r="6869" spans="1:6" x14ac:dyDescent="0.3">
      <c r="A6869" s="45">
        <v>43726</v>
      </c>
      <c r="B6869" s="5" t="s">
        <v>2594</v>
      </c>
      <c r="C6869" s="5" t="s">
        <v>5390</v>
      </c>
      <c r="D6869" s="65">
        <v>43000</v>
      </c>
      <c r="E6869" s="43"/>
      <c r="F6869" s="48">
        <f t="shared" si="112"/>
        <v>59551</v>
      </c>
    </row>
    <row r="6870" spans="1:6" x14ac:dyDescent="0.3">
      <c r="A6870" s="45">
        <v>43726</v>
      </c>
      <c r="B6870" s="5" t="s">
        <v>2594</v>
      </c>
      <c r="C6870" s="5" t="s">
        <v>5395</v>
      </c>
      <c r="D6870" s="65">
        <v>5610</v>
      </c>
      <c r="E6870" s="43"/>
      <c r="F6870" s="48">
        <f t="shared" si="112"/>
        <v>53941</v>
      </c>
    </row>
    <row r="6871" spans="1:6" x14ac:dyDescent="0.3">
      <c r="A6871" s="45">
        <v>43726</v>
      </c>
      <c r="B6871" s="5" t="s">
        <v>0</v>
      </c>
      <c r="C6871" s="5" t="s">
        <v>5391</v>
      </c>
      <c r="D6871" s="65">
        <v>650</v>
      </c>
      <c r="E6871" s="43"/>
      <c r="F6871" s="48">
        <f t="shared" si="112"/>
        <v>53291</v>
      </c>
    </row>
    <row r="6872" spans="1:6" x14ac:dyDescent="0.3">
      <c r="A6872" s="45">
        <v>43727</v>
      </c>
      <c r="B6872" s="5" t="s">
        <v>2594</v>
      </c>
      <c r="C6872" s="5" t="s">
        <v>5396</v>
      </c>
      <c r="D6872" s="65">
        <v>39600</v>
      </c>
      <c r="E6872" s="43"/>
      <c r="F6872" s="48">
        <f t="shared" si="112"/>
        <v>13691</v>
      </c>
    </row>
    <row r="6873" spans="1:6" x14ac:dyDescent="0.3">
      <c r="A6873" s="45">
        <v>43727</v>
      </c>
      <c r="B6873" s="5" t="s">
        <v>57</v>
      </c>
      <c r="C6873" s="5" t="s">
        <v>5397</v>
      </c>
      <c r="D6873" s="65">
        <v>350</v>
      </c>
      <c r="E6873" s="43"/>
      <c r="F6873" s="48">
        <f t="shared" si="112"/>
        <v>13341</v>
      </c>
    </row>
    <row r="6874" spans="1:6" x14ac:dyDescent="0.3">
      <c r="A6874" s="45">
        <v>43727</v>
      </c>
      <c r="B6874" s="5" t="s">
        <v>2594</v>
      </c>
      <c r="C6874" s="5" t="s">
        <v>5392</v>
      </c>
      <c r="D6874" s="65">
        <v>5000</v>
      </c>
      <c r="E6874" s="43"/>
      <c r="F6874" s="48">
        <f t="shared" si="112"/>
        <v>8341</v>
      </c>
    </row>
    <row r="6875" spans="1:6" x14ac:dyDescent="0.3">
      <c r="A6875" s="45">
        <v>43727</v>
      </c>
      <c r="B6875" s="749" t="s">
        <v>5399</v>
      </c>
      <c r="C6875" s="750"/>
      <c r="D6875" s="751"/>
      <c r="E6875" s="141">
        <v>25000</v>
      </c>
      <c r="F6875" s="48">
        <f t="shared" si="112"/>
        <v>33341</v>
      </c>
    </row>
    <row r="6876" spans="1:6" x14ac:dyDescent="0.3">
      <c r="A6876" s="45">
        <v>43727</v>
      </c>
      <c r="B6876" s="5" t="s">
        <v>2594</v>
      </c>
      <c r="C6876" s="5" t="s">
        <v>5400</v>
      </c>
      <c r="D6876" s="65">
        <v>29187</v>
      </c>
      <c r="E6876" s="43"/>
      <c r="F6876" s="48">
        <f t="shared" si="112"/>
        <v>4154</v>
      </c>
    </row>
    <row r="6877" spans="1:6" x14ac:dyDescent="0.3">
      <c r="A6877" s="45">
        <v>43727</v>
      </c>
      <c r="B6877" s="749" t="s">
        <v>3717</v>
      </c>
      <c r="C6877" s="750"/>
      <c r="D6877" s="751"/>
      <c r="E6877" s="141">
        <v>100000</v>
      </c>
      <c r="F6877" s="48">
        <f t="shared" si="112"/>
        <v>104154</v>
      </c>
    </row>
    <row r="6878" spans="1:6" x14ac:dyDescent="0.3">
      <c r="A6878" s="45">
        <v>43727</v>
      </c>
      <c r="B6878" s="5" t="s">
        <v>4550</v>
      </c>
      <c r="C6878" s="5" t="s">
        <v>5398</v>
      </c>
      <c r="D6878" s="65">
        <v>100000</v>
      </c>
      <c r="E6878" s="43"/>
      <c r="F6878" s="48">
        <f t="shared" si="112"/>
        <v>4154</v>
      </c>
    </row>
    <row r="6879" spans="1:6" x14ac:dyDescent="0.3">
      <c r="A6879" s="45">
        <v>43727</v>
      </c>
      <c r="B6879" s="5" t="s">
        <v>25</v>
      </c>
      <c r="C6879" s="5" t="s">
        <v>5394</v>
      </c>
      <c r="D6879" s="65">
        <f>50+180+80+250+150+45+50+30+20+20+250+115+150+45+70+20+100</f>
        <v>1625</v>
      </c>
      <c r="E6879" s="43"/>
      <c r="F6879" s="48">
        <f t="shared" si="112"/>
        <v>2529</v>
      </c>
    </row>
    <row r="6880" spans="1:6" x14ac:dyDescent="0.3">
      <c r="A6880" s="45">
        <v>43728</v>
      </c>
      <c r="B6880" s="5" t="s">
        <v>2594</v>
      </c>
      <c r="C6880" s="41" t="s">
        <v>5388</v>
      </c>
      <c r="D6880" s="65">
        <v>100</v>
      </c>
      <c r="E6880" s="43"/>
      <c r="F6880" s="48">
        <f t="shared" si="112"/>
        <v>2429</v>
      </c>
    </row>
    <row r="6881" spans="1:6" x14ac:dyDescent="0.3">
      <c r="A6881" s="45">
        <v>43728</v>
      </c>
      <c r="B6881" s="5" t="s">
        <v>247</v>
      </c>
      <c r="C6881" s="5" t="s">
        <v>5241</v>
      </c>
      <c r="D6881" s="65">
        <v>1120</v>
      </c>
      <c r="E6881" s="43"/>
      <c r="F6881" s="48">
        <f t="shared" si="112"/>
        <v>1309</v>
      </c>
    </row>
    <row r="6882" spans="1:6" x14ac:dyDescent="0.3">
      <c r="A6882" s="45">
        <v>43728</v>
      </c>
      <c r="B6882" s="5" t="s">
        <v>247</v>
      </c>
      <c r="C6882" s="5" t="s">
        <v>5241</v>
      </c>
      <c r="D6882" s="205">
        <v>720</v>
      </c>
      <c r="E6882" s="43"/>
      <c r="F6882" s="48">
        <f t="shared" si="112"/>
        <v>589</v>
      </c>
    </row>
    <row r="6883" spans="1:6" x14ac:dyDescent="0.3">
      <c r="A6883" s="45">
        <v>43728</v>
      </c>
      <c r="B6883" s="5" t="s">
        <v>247</v>
      </c>
      <c r="C6883" s="5" t="s">
        <v>5241</v>
      </c>
      <c r="D6883" s="205">
        <v>400</v>
      </c>
      <c r="E6883" s="43"/>
      <c r="F6883" s="48">
        <f t="shared" si="112"/>
        <v>189</v>
      </c>
    </row>
    <row r="6884" spans="1:6" x14ac:dyDescent="0.3">
      <c r="A6884" s="45">
        <v>43728</v>
      </c>
      <c r="B6884" s="5" t="s">
        <v>247</v>
      </c>
      <c r="C6884" s="5" t="s">
        <v>5241</v>
      </c>
      <c r="D6884" s="205">
        <v>450</v>
      </c>
      <c r="E6884" s="43"/>
      <c r="F6884" s="48">
        <f t="shared" si="112"/>
        <v>-261</v>
      </c>
    </row>
    <row r="6885" spans="1:6" x14ac:dyDescent="0.3">
      <c r="A6885" s="45">
        <v>43728</v>
      </c>
      <c r="B6885" s="5" t="s">
        <v>247</v>
      </c>
      <c r="C6885" s="5" t="s">
        <v>5241</v>
      </c>
      <c r="D6885" s="205">
        <v>720</v>
      </c>
      <c r="E6885" s="43"/>
      <c r="F6885" s="48">
        <f t="shared" si="112"/>
        <v>-981</v>
      </c>
    </row>
    <row r="6886" spans="1:6" x14ac:dyDescent="0.3">
      <c r="A6886" s="45">
        <v>43728</v>
      </c>
      <c r="B6886" s="749" t="s">
        <v>3717</v>
      </c>
      <c r="C6886" s="750"/>
      <c r="D6886" s="751"/>
      <c r="E6886" s="141">
        <v>100000</v>
      </c>
      <c r="F6886" s="48">
        <f t="shared" si="112"/>
        <v>99019</v>
      </c>
    </row>
    <row r="6887" spans="1:6" x14ac:dyDescent="0.3">
      <c r="A6887" s="45">
        <v>43728</v>
      </c>
      <c r="B6887" s="5" t="s">
        <v>2594</v>
      </c>
      <c r="C6887" s="5" t="s">
        <v>5403</v>
      </c>
      <c r="D6887" s="65">
        <v>13660</v>
      </c>
      <c r="E6887" s="43"/>
      <c r="F6887" s="48">
        <f t="shared" si="112"/>
        <v>85359</v>
      </c>
    </row>
    <row r="6888" spans="1:6" x14ac:dyDescent="0.3">
      <c r="A6888" s="45">
        <v>43728</v>
      </c>
      <c r="B6888" s="5" t="s">
        <v>2594</v>
      </c>
      <c r="C6888" s="5" t="s">
        <v>5403</v>
      </c>
      <c r="D6888" s="65">
        <v>19643</v>
      </c>
      <c r="E6888" s="43"/>
      <c r="F6888" s="48">
        <f t="shared" si="112"/>
        <v>65716</v>
      </c>
    </row>
    <row r="6889" spans="1:6" x14ac:dyDescent="0.3">
      <c r="A6889" s="45">
        <v>43728</v>
      </c>
      <c r="B6889" s="5" t="s">
        <v>2594</v>
      </c>
      <c r="C6889" s="5" t="s">
        <v>5401</v>
      </c>
      <c r="D6889" s="65">
        <v>3000</v>
      </c>
      <c r="E6889" s="43"/>
      <c r="F6889" s="48">
        <f t="shared" si="112"/>
        <v>62716</v>
      </c>
    </row>
    <row r="6890" spans="1:6" x14ac:dyDescent="0.3">
      <c r="A6890" s="45">
        <v>43728</v>
      </c>
      <c r="B6890" s="206" t="s">
        <v>2594</v>
      </c>
      <c r="C6890" s="207" t="s">
        <v>5139</v>
      </c>
      <c r="D6890" s="208">
        <f>43000-13660-19643-4000-3000-420-406-110-495-413-340</f>
        <v>513</v>
      </c>
      <c r="E6890" s="43"/>
      <c r="F6890" s="48">
        <f t="shared" si="112"/>
        <v>62203</v>
      </c>
    </row>
    <row r="6891" spans="1:6" x14ac:dyDescent="0.3">
      <c r="A6891" s="45">
        <v>43728</v>
      </c>
      <c r="B6891" s="5" t="s">
        <v>5329</v>
      </c>
      <c r="C6891" s="5" t="s">
        <v>1624</v>
      </c>
      <c r="D6891" s="65">
        <v>100</v>
      </c>
      <c r="E6891" s="43"/>
      <c r="F6891" s="48">
        <f t="shared" si="112"/>
        <v>62103</v>
      </c>
    </row>
    <row r="6892" spans="1:6" x14ac:dyDescent="0.3">
      <c r="A6892" s="45">
        <v>43729</v>
      </c>
      <c r="B6892" s="5" t="s">
        <v>1787</v>
      </c>
      <c r="C6892" s="5" t="s">
        <v>5402</v>
      </c>
      <c r="D6892" s="65">
        <v>1300</v>
      </c>
      <c r="E6892" s="43"/>
      <c r="F6892" s="48">
        <f t="shared" si="112"/>
        <v>60803</v>
      </c>
    </row>
    <row r="6893" spans="1:6" x14ac:dyDescent="0.3">
      <c r="A6893" s="45">
        <v>43731</v>
      </c>
      <c r="B6893" s="5" t="s">
        <v>84</v>
      </c>
      <c r="C6893" s="5" t="s">
        <v>5404</v>
      </c>
      <c r="D6893" s="65">
        <v>5000</v>
      </c>
      <c r="E6893" s="43"/>
      <c r="F6893" s="48">
        <f t="shared" si="112"/>
        <v>55803</v>
      </c>
    </row>
    <row r="6894" spans="1:6" x14ac:dyDescent="0.3">
      <c r="A6894" s="45">
        <v>43731</v>
      </c>
      <c r="B6894" s="5" t="s">
        <v>25</v>
      </c>
      <c r="C6894" s="5" t="s">
        <v>5405</v>
      </c>
      <c r="D6894" s="65">
        <f>180+60+75+240+250+160+360+240+210+250+120+30+350+50+50</f>
        <v>2625</v>
      </c>
      <c r="E6894" s="43"/>
      <c r="F6894" s="48">
        <f t="shared" si="112"/>
        <v>53178</v>
      </c>
    </row>
    <row r="6895" spans="1:6" x14ac:dyDescent="0.3">
      <c r="A6895" s="45">
        <v>43731</v>
      </c>
      <c r="B6895" s="5" t="s">
        <v>25</v>
      </c>
      <c r="C6895" s="5" t="s">
        <v>5406</v>
      </c>
      <c r="D6895" s="65">
        <v>800</v>
      </c>
      <c r="E6895" s="43"/>
      <c r="F6895" s="48">
        <f t="shared" ref="F6895:F6958" si="113">F6894-D6895+E6895</f>
        <v>52378</v>
      </c>
    </row>
    <row r="6896" spans="1:6" x14ac:dyDescent="0.3">
      <c r="A6896" s="45">
        <v>43731</v>
      </c>
      <c r="B6896" s="5" t="s">
        <v>84</v>
      </c>
      <c r="C6896" s="5" t="s">
        <v>5407</v>
      </c>
      <c r="D6896" s="65">
        <v>2000</v>
      </c>
      <c r="E6896" s="43"/>
      <c r="F6896" s="48">
        <f t="shared" si="113"/>
        <v>50378</v>
      </c>
    </row>
    <row r="6897" spans="1:6" x14ac:dyDescent="0.3">
      <c r="A6897" s="45">
        <v>43731</v>
      </c>
      <c r="B6897" s="5" t="s">
        <v>4112</v>
      </c>
      <c r="C6897" s="5" t="s">
        <v>78</v>
      </c>
      <c r="D6897" s="65">
        <v>200</v>
      </c>
      <c r="E6897" s="43"/>
      <c r="F6897" s="48">
        <f t="shared" si="113"/>
        <v>50178</v>
      </c>
    </row>
    <row r="6898" spans="1:6" x14ac:dyDescent="0.3">
      <c r="A6898" s="45">
        <v>43731</v>
      </c>
      <c r="B6898" s="5" t="s">
        <v>100</v>
      </c>
      <c r="C6898" s="5" t="s">
        <v>5408</v>
      </c>
      <c r="D6898" s="65">
        <v>1000</v>
      </c>
      <c r="E6898" s="43"/>
      <c r="F6898" s="48">
        <f t="shared" si="113"/>
        <v>49178</v>
      </c>
    </row>
    <row r="6899" spans="1:6" x14ac:dyDescent="0.3">
      <c r="A6899" s="45">
        <v>43731</v>
      </c>
      <c r="B6899" s="5" t="s">
        <v>14</v>
      </c>
      <c r="C6899" s="5" t="s">
        <v>5409</v>
      </c>
      <c r="D6899" s="168">
        <v>13220</v>
      </c>
      <c r="E6899" s="43"/>
      <c r="F6899" s="48">
        <f t="shared" si="113"/>
        <v>35958</v>
      </c>
    </row>
    <row r="6900" spans="1:6" x14ac:dyDescent="0.3">
      <c r="A6900" s="45">
        <v>43732</v>
      </c>
      <c r="B6900" s="5" t="s">
        <v>1012</v>
      </c>
      <c r="C6900" s="5" t="s">
        <v>5410</v>
      </c>
      <c r="D6900" s="65">
        <v>2000</v>
      </c>
      <c r="E6900" s="43"/>
      <c r="F6900" s="48">
        <f t="shared" si="113"/>
        <v>33958</v>
      </c>
    </row>
    <row r="6901" spans="1:6" x14ac:dyDescent="0.3">
      <c r="A6901" s="45">
        <v>43732</v>
      </c>
      <c r="B6901" s="5" t="s">
        <v>2263</v>
      </c>
      <c r="C6901" s="5" t="s">
        <v>5411</v>
      </c>
      <c r="D6901" s="65">
        <v>440</v>
      </c>
      <c r="E6901" s="43"/>
      <c r="F6901" s="48">
        <f t="shared" si="113"/>
        <v>33518</v>
      </c>
    </row>
    <row r="6902" spans="1:6" x14ac:dyDescent="0.3">
      <c r="A6902" s="45">
        <v>43732</v>
      </c>
      <c r="B6902" s="5" t="s">
        <v>5412</v>
      </c>
      <c r="C6902" s="5" t="s">
        <v>5413</v>
      </c>
      <c r="D6902" s="43">
        <v>12000</v>
      </c>
      <c r="E6902" s="43"/>
      <c r="F6902" s="48">
        <f t="shared" si="113"/>
        <v>21518</v>
      </c>
    </row>
    <row r="6903" spans="1:6" x14ac:dyDescent="0.3">
      <c r="A6903" s="45">
        <v>43732</v>
      </c>
      <c r="B6903" s="5" t="s">
        <v>16</v>
      </c>
      <c r="C6903" s="5" t="s">
        <v>4376</v>
      </c>
      <c r="D6903" s="43">
        <v>650</v>
      </c>
      <c r="E6903" s="43"/>
      <c r="F6903" s="48">
        <f t="shared" si="113"/>
        <v>20868</v>
      </c>
    </row>
    <row r="6904" spans="1:6" x14ac:dyDescent="0.3">
      <c r="A6904" s="45">
        <v>43732</v>
      </c>
      <c r="B6904" s="5" t="s">
        <v>3559</v>
      </c>
      <c r="C6904" s="5" t="s">
        <v>3172</v>
      </c>
      <c r="D6904" s="43">
        <v>11360</v>
      </c>
      <c r="E6904" s="43"/>
      <c r="F6904" s="48">
        <f t="shared" si="113"/>
        <v>9508</v>
      </c>
    </row>
    <row r="6905" spans="1:6" x14ac:dyDescent="0.3">
      <c r="A6905" s="45">
        <v>43733</v>
      </c>
      <c r="B6905" s="5" t="s">
        <v>47</v>
      </c>
      <c r="C6905" s="5" t="s">
        <v>5414</v>
      </c>
      <c r="D6905" s="43">
        <v>1000</v>
      </c>
      <c r="E6905" s="43"/>
      <c r="F6905" s="48">
        <f t="shared" si="113"/>
        <v>8508</v>
      </c>
    </row>
    <row r="6906" spans="1:6" x14ac:dyDescent="0.3">
      <c r="A6906" s="45">
        <v>43733</v>
      </c>
      <c r="B6906" s="5" t="s">
        <v>14</v>
      </c>
      <c r="C6906" s="5" t="s">
        <v>294</v>
      </c>
      <c r="D6906" s="43">
        <v>4000</v>
      </c>
      <c r="E6906" s="43"/>
      <c r="F6906" s="48">
        <f t="shared" si="113"/>
        <v>4508</v>
      </c>
    </row>
    <row r="6907" spans="1:6" x14ac:dyDescent="0.3">
      <c r="A6907" s="45">
        <v>43733</v>
      </c>
      <c r="B6907" s="749" t="s">
        <v>861</v>
      </c>
      <c r="C6907" s="750"/>
      <c r="D6907" s="751"/>
      <c r="E6907" s="141">
        <v>60000</v>
      </c>
      <c r="F6907" s="48">
        <f t="shared" si="113"/>
        <v>64508</v>
      </c>
    </row>
    <row r="6908" spans="1:6" x14ac:dyDescent="0.3">
      <c r="A6908" s="45">
        <v>43733</v>
      </c>
      <c r="B6908" s="5" t="s">
        <v>2594</v>
      </c>
      <c r="C6908" s="5" t="s">
        <v>3143</v>
      </c>
      <c r="D6908" s="43">
        <v>48078</v>
      </c>
      <c r="E6908" s="43"/>
      <c r="F6908" s="48">
        <f t="shared" si="113"/>
        <v>16430</v>
      </c>
    </row>
    <row r="6909" spans="1:6" x14ac:dyDescent="0.3">
      <c r="A6909" s="45">
        <v>43733</v>
      </c>
      <c r="B6909" s="5" t="s">
        <v>2594</v>
      </c>
      <c r="C6909" s="5" t="s">
        <v>5395</v>
      </c>
      <c r="D6909" s="43">
        <v>15420</v>
      </c>
      <c r="E6909" s="43"/>
      <c r="F6909" s="48">
        <f t="shared" si="113"/>
        <v>1010</v>
      </c>
    </row>
    <row r="6910" spans="1:6" x14ac:dyDescent="0.3">
      <c r="A6910" s="45">
        <v>43733</v>
      </c>
      <c r="B6910" s="5" t="s">
        <v>25</v>
      </c>
      <c r="C6910" s="5" t="s">
        <v>5415</v>
      </c>
      <c r="D6910" s="43">
        <v>150</v>
      </c>
      <c r="E6910" s="43"/>
      <c r="F6910" s="48">
        <f t="shared" si="113"/>
        <v>860</v>
      </c>
    </row>
    <row r="6911" spans="1:6" x14ac:dyDescent="0.3">
      <c r="A6911" s="45">
        <v>43734</v>
      </c>
      <c r="B6911" s="749" t="s">
        <v>4329</v>
      </c>
      <c r="C6911" s="750"/>
      <c r="D6911" s="751"/>
      <c r="E6911" s="141">
        <v>100000</v>
      </c>
      <c r="F6911" s="48">
        <f t="shared" si="113"/>
        <v>100860</v>
      </c>
    </row>
    <row r="6912" spans="1:6" x14ac:dyDescent="0.3">
      <c r="A6912" s="45">
        <v>43734</v>
      </c>
      <c r="B6912" s="5" t="s">
        <v>2594</v>
      </c>
      <c r="C6912" s="5" t="s">
        <v>5416</v>
      </c>
      <c r="D6912" s="43">
        <v>88000</v>
      </c>
      <c r="E6912" s="43"/>
      <c r="F6912" s="48">
        <f t="shared" si="113"/>
        <v>12860</v>
      </c>
    </row>
    <row r="6913" spans="1:6" x14ac:dyDescent="0.3">
      <c r="A6913" s="45">
        <v>43734</v>
      </c>
      <c r="B6913" s="5" t="s">
        <v>4246</v>
      </c>
      <c r="C6913" s="5" t="s">
        <v>4319</v>
      </c>
      <c r="D6913" s="43">
        <v>2000</v>
      </c>
      <c r="E6913" s="43"/>
      <c r="F6913" s="48">
        <f t="shared" si="113"/>
        <v>10860</v>
      </c>
    </row>
    <row r="6914" spans="1:6" x14ac:dyDescent="0.3">
      <c r="A6914" s="45">
        <v>43734</v>
      </c>
      <c r="B6914" s="5" t="s">
        <v>84</v>
      </c>
      <c r="C6914" s="5" t="s">
        <v>5417</v>
      </c>
      <c r="D6914" s="65">
        <v>1000</v>
      </c>
      <c r="E6914" s="43"/>
      <c r="F6914" s="48">
        <f t="shared" si="113"/>
        <v>9860</v>
      </c>
    </row>
    <row r="6915" spans="1:6" x14ac:dyDescent="0.3">
      <c r="A6915" s="45">
        <v>43735</v>
      </c>
      <c r="B6915" s="5" t="s">
        <v>25</v>
      </c>
      <c r="C6915" s="5" t="s">
        <v>5418</v>
      </c>
      <c r="D6915" s="65">
        <f>335+9+650+24+120+190+125+500+80+110+160+50+100</f>
        <v>2453</v>
      </c>
      <c r="E6915" s="43"/>
      <c r="F6915" s="48">
        <f t="shared" si="113"/>
        <v>7407</v>
      </c>
    </row>
    <row r="6916" spans="1:6" x14ac:dyDescent="0.3">
      <c r="A6916" s="45">
        <v>43735</v>
      </c>
      <c r="B6916" s="5" t="s">
        <v>25</v>
      </c>
      <c r="C6916" s="5" t="s">
        <v>5427</v>
      </c>
      <c r="D6916" s="65">
        <v>2500</v>
      </c>
      <c r="E6916" s="43"/>
      <c r="F6916" s="48">
        <f t="shared" si="113"/>
        <v>4907</v>
      </c>
    </row>
    <row r="6917" spans="1:6" x14ac:dyDescent="0.3">
      <c r="A6917" s="45">
        <v>43735</v>
      </c>
      <c r="B6917" s="5" t="s">
        <v>5156</v>
      </c>
      <c r="C6917" s="5" t="s">
        <v>5191</v>
      </c>
      <c r="D6917" s="43">
        <v>240</v>
      </c>
      <c r="E6917" s="43"/>
      <c r="F6917" s="48">
        <f t="shared" si="113"/>
        <v>4667</v>
      </c>
    </row>
    <row r="6918" spans="1:6" x14ac:dyDescent="0.3">
      <c r="A6918" s="45">
        <v>43735</v>
      </c>
      <c r="B6918" s="5" t="s">
        <v>25</v>
      </c>
      <c r="C6918" s="5" t="s">
        <v>5419</v>
      </c>
      <c r="D6918" s="43">
        <v>1380</v>
      </c>
      <c r="E6918" s="43"/>
      <c r="F6918" s="48">
        <f t="shared" si="113"/>
        <v>3287</v>
      </c>
    </row>
    <row r="6919" spans="1:6" x14ac:dyDescent="0.3">
      <c r="A6919" s="45">
        <v>43738</v>
      </c>
      <c r="B6919" s="749" t="s">
        <v>4329</v>
      </c>
      <c r="C6919" s="750"/>
      <c r="D6919" s="751"/>
      <c r="E6919" s="141">
        <v>100000</v>
      </c>
      <c r="F6919" s="48">
        <f t="shared" si="113"/>
        <v>103287</v>
      </c>
    </row>
    <row r="6920" spans="1:6" x14ac:dyDescent="0.3">
      <c r="A6920" s="45">
        <v>43738</v>
      </c>
      <c r="B6920" s="5" t="s">
        <v>541</v>
      </c>
      <c r="C6920" s="5" t="s">
        <v>2435</v>
      </c>
      <c r="D6920" s="43">
        <v>300</v>
      </c>
      <c r="E6920" s="43"/>
      <c r="F6920" s="48">
        <f t="shared" si="113"/>
        <v>102987</v>
      </c>
    </row>
    <row r="6921" spans="1:6" x14ac:dyDescent="0.3">
      <c r="A6921" s="45">
        <v>43738</v>
      </c>
      <c r="B6921" s="5" t="s">
        <v>541</v>
      </c>
      <c r="C6921" s="5" t="s">
        <v>3703</v>
      </c>
      <c r="D6921" s="43">
        <v>6000</v>
      </c>
      <c r="E6921" s="43"/>
      <c r="F6921" s="48">
        <f t="shared" si="113"/>
        <v>96987</v>
      </c>
    </row>
    <row r="6922" spans="1:6" x14ac:dyDescent="0.3">
      <c r="A6922" s="45">
        <v>43738</v>
      </c>
      <c r="B6922" s="5" t="s">
        <v>541</v>
      </c>
      <c r="C6922" s="5" t="s">
        <v>2435</v>
      </c>
      <c r="D6922" s="43">
        <v>650</v>
      </c>
      <c r="E6922" s="43"/>
      <c r="F6922" s="48">
        <f t="shared" si="113"/>
        <v>96337</v>
      </c>
    </row>
    <row r="6923" spans="1:6" x14ac:dyDescent="0.3">
      <c r="A6923" s="45">
        <v>43738</v>
      </c>
      <c r="B6923" s="5" t="s">
        <v>25</v>
      </c>
      <c r="C6923" s="5" t="s">
        <v>5422</v>
      </c>
      <c r="D6923" s="65">
        <f>120+75+120+250+50+40+50</f>
        <v>705</v>
      </c>
      <c r="E6923" s="43"/>
      <c r="F6923" s="48">
        <f t="shared" si="113"/>
        <v>95632</v>
      </c>
    </row>
    <row r="6924" spans="1:6" x14ac:dyDescent="0.3">
      <c r="A6924" s="45">
        <v>43738</v>
      </c>
      <c r="B6924" s="5" t="s">
        <v>5156</v>
      </c>
      <c r="C6924" s="5" t="s">
        <v>5276</v>
      </c>
      <c r="D6924" s="43">
        <v>450</v>
      </c>
      <c r="E6924" s="43"/>
      <c r="F6924" s="48">
        <f t="shared" si="113"/>
        <v>95182</v>
      </c>
    </row>
    <row r="6925" spans="1:6" x14ac:dyDescent="0.3">
      <c r="A6925" s="45">
        <v>43738</v>
      </c>
      <c r="B6925" s="5" t="s">
        <v>247</v>
      </c>
      <c r="C6925" s="5" t="s">
        <v>2013</v>
      </c>
      <c r="D6925" s="43">
        <v>100</v>
      </c>
      <c r="E6925" s="43"/>
      <c r="F6925" s="48">
        <f t="shared" si="113"/>
        <v>95082</v>
      </c>
    </row>
    <row r="6926" spans="1:6" x14ac:dyDescent="0.3">
      <c r="A6926" s="45">
        <v>43738</v>
      </c>
      <c r="B6926" s="5" t="s">
        <v>14</v>
      </c>
      <c r="C6926" s="5" t="s">
        <v>294</v>
      </c>
      <c r="D6926" s="43">
        <v>50000</v>
      </c>
      <c r="E6926" s="43"/>
      <c r="F6926" s="48">
        <f t="shared" si="113"/>
        <v>45082</v>
      </c>
    </row>
    <row r="6927" spans="1:6" x14ac:dyDescent="0.3">
      <c r="A6927" s="45">
        <v>43738</v>
      </c>
      <c r="B6927" s="5" t="s">
        <v>2594</v>
      </c>
      <c r="C6927" s="5" t="s">
        <v>5403</v>
      </c>
      <c r="D6927" s="43">
        <v>6406</v>
      </c>
      <c r="E6927" s="43"/>
      <c r="F6927" s="48">
        <f t="shared" si="113"/>
        <v>38676</v>
      </c>
    </row>
    <row r="6928" spans="1:6" x14ac:dyDescent="0.3">
      <c r="A6928" s="45">
        <v>43738</v>
      </c>
      <c r="B6928" s="5" t="s">
        <v>4112</v>
      </c>
      <c r="C6928" s="5" t="s">
        <v>5423</v>
      </c>
      <c r="D6928" s="43">
        <v>2000</v>
      </c>
      <c r="E6928" s="43"/>
      <c r="F6928" s="48">
        <f t="shared" si="113"/>
        <v>36676</v>
      </c>
    </row>
    <row r="6929" spans="1:6" x14ac:dyDescent="0.3">
      <c r="A6929" s="45">
        <v>43738</v>
      </c>
      <c r="B6929" s="5" t="s">
        <v>3559</v>
      </c>
      <c r="C6929" s="5" t="s">
        <v>5424</v>
      </c>
      <c r="D6929" s="43">
        <v>600</v>
      </c>
      <c r="E6929" s="43"/>
      <c r="F6929" s="48">
        <f t="shared" si="113"/>
        <v>36076</v>
      </c>
    </row>
    <row r="6930" spans="1:6" x14ac:dyDescent="0.3">
      <c r="A6930" s="45">
        <v>43738</v>
      </c>
      <c r="B6930" s="5" t="s">
        <v>14</v>
      </c>
      <c r="C6930" s="5" t="s">
        <v>5425</v>
      </c>
      <c r="D6930" s="168">
        <v>16250</v>
      </c>
      <c r="E6930" s="43"/>
      <c r="F6930" s="48">
        <f t="shared" si="113"/>
        <v>19826</v>
      </c>
    </row>
    <row r="6931" spans="1:6" ht="56.25" x14ac:dyDescent="0.3">
      <c r="A6931" s="45">
        <v>43738</v>
      </c>
      <c r="B6931" s="5" t="s">
        <v>1837</v>
      </c>
      <c r="C6931" s="92" t="s">
        <v>5436</v>
      </c>
      <c r="D6931" s="43">
        <v>500</v>
      </c>
      <c r="E6931" s="43"/>
      <c r="F6931" s="48">
        <f t="shared" si="113"/>
        <v>19326</v>
      </c>
    </row>
    <row r="6932" spans="1:6" x14ac:dyDescent="0.3">
      <c r="A6932" s="45">
        <v>43739</v>
      </c>
      <c r="B6932" s="739" t="s">
        <v>4329</v>
      </c>
      <c r="C6932" s="739"/>
      <c r="D6932" s="739"/>
      <c r="E6932" s="141">
        <v>75000</v>
      </c>
      <c r="F6932" s="48">
        <f>F6930-D6932+E6932</f>
        <v>94826</v>
      </c>
    </row>
    <row r="6933" spans="1:6" x14ac:dyDescent="0.3">
      <c r="A6933" s="45">
        <v>43739</v>
      </c>
      <c r="B6933" s="739" t="s">
        <v>861</v>
      </c>
      <c r="C6933" s="739"/>
      <c r="D6933" s="739"/>
      <c r="E6933" s="141">
        <v>50000</v>
      </c>
      <c r="F6933" s="48">
        <f t="shared" si="113"/>
        <v>144826</v>
      </c>
    </row>
    <row r="6934" spans="1:6" x14ac:dyDescent="0.3">
      <c r="A6934" s="45">
        <v>43739</v>
      </c>
      <c r="B6934" s="5" t="s">
        <v>1787</v>
      </c>
      <c r="C6934" s="5" t="s">
        <v>5426</v>
      </c>
      <c r="D6934" s="43">
        <v>3500</v>
      </c>
      <c r="E6934" s="43"/>
      <c r="F6934" s="48">
        <f t="shared" si="113"/>
        <v>141326</v>
      </c>
    </row>
    <row r="6935" spans="1:6" x14ac:dyDescent="0.3">
      <c r="A6935" s="45">
        <v>43739</v>
      </c>
      <c r="B6935" s="5" t="s">
        <v>5162</v>
      </c>
      <c r="C6935" s="5" t="s">
        <v>5250</v>
      </c>
      <c r="D6935" s="43">
        <v>500</v>
      </c>
      <c r="E6935" s="43"/>
      <c r="F6935" s="48">
        <f t="shared" si="113"/>
        <v>140826</v>
      </c>
    </row>
    <row r="6936" spans="1:6" x14ac:dyDescent="0.3">
      <c r="A6936" s="45">
        <v>43739</v>
      </c>
      <c r="B6936" s="5" t="s">
        <v>16</v>
      </c>
      <c r="C6936" s="5" t="s">
        <v>3910</v>
      </c>
      <c r="D6936" s="43">
        <v>500</v>
      </c>
      <c r="E6936" s="43"/>
      <c r="F6936" s="48">
        <f t="shared" si="113"/>
        <v>140326</v>
      </c>
    </row>
    <row r="6937" spans="1:6" x14ac:dyDescent="0.3">
      <c r="A6937" s="45">
        <v>43739</v>
      </c>
      <c r="B6937" s="5" t="s">
        <v>0</v>
      </c>
      <c r="C6937" s="5" t="s">
        <v>3910</v>
      </c>
      <c r="D6937" s="43">
        <v>40000</v>
      </c>
      <c r="E6937" s="43"/>
      <c r="F6937" s="48">
        <f t="shared" si="113"/>
        <v>100326</v>
      </c>
    </row>
    <row r="6938" spans="1:6" x14ac:dyDescent="0.3">
      <c r="A6938" s="45">
        <v>43739</v>
      </c>
      <c r="B6938" s="5" t="s">
        <v>5156</v>
      </c>
      <c r="C6938" s="5" t="s">
        <v>5430</v>
      </c>
      <c r="D6938" s="43">
        <v>1500</v>
      </c>
      <c r="E6938" s="43"/>
      <c r="F6938" s="48">
        <f t="shared" si="113"/>
        <v>98826</v>
      </c>
    </row>
    <row r="6939" spans="1:6" x14ac:dyDescent="0.3">
      <c r="A6939" s="45">
        <v>43739</v>
      </c>
      <c r="B6939" s="5" t="s">
        <v>2594</v>
      </c>
      <c r="C6939" s="5" t="s">
        <v>5456</v>
      </c>
      <c r="D6939" s="65">
        <v>9233</v>
      </c>
      <c r="E6939" s="43"/>
      <c r="F6939" s="48">
        <f t="shared" si="113"/>
        <v>89593</v>
      </c>
    </row>
    <row r="6940" spans="1:6" x14ac:dyDescent="0.3">
      <c r="A6940" s="45">
        <v>43739</v>
      </c>
      <c r="B6940" s="5" t="s">
        <v>2594</v>
      </c>
      <c r="C6940" s="5" t="s">
        <v>7822</v>
      </c>
      <c r="D6940" s="209">
        <v>62900</v>
      </c>
      <c r="E6940" s="43"/>
      <c r="F6940" s="48">
        <f t="shared" si="113"/>
        <v>26693</v>
      </c>
    </row>
    <row r="6941" spans="1:6" x14ac:dyDescent="0.3">
      <c r="A6941" s="45">
        <v>43739</v>
      </c>
      <c r="B6941" s="5" t="s">
        <v>4112</v>
      </c>
      <c r="C6941" s="5" t="s">
        <v>4319</v>
      </c>
      <c r="D6941" s="43">
        <v>5000</v>
      </c>
      <c r="E6941" s="43"/>
      <c r="F6941" s="48">
        <f t="shared" si="113"/>
        <v>21693</v>
      </c>
    </row>
    <row r="6942" spans="1:6" x14ac:dyDescent="0.3">
      <c r="A6942" s="45">
        <v>43740</v>
      </c>
      <c r="B6942" s="5" t="s">
        <v>4112</v>
      </c>
      <c r="C6942" s="5" t="s">
        <v>4319</v>
      </c>
      <c r="D6942" s="43">
        <v>1000</v>
      </c>
      <c r="E6942" s="43"/>
      <c r="F6942" s="48">
        <f t="shared" si="113"/>
        <v>20693</v>
      </c>
    </row>
    <row r="6943" spans="1:6" x14ac:dyDescent="0.3">
      <c r="A6943" s="45">
        <v>43740</v>
      </c>
      <c r="B6943" s="5" t="s">
        <v>2570</v>
      </c>
      <c r="C6943" s="5" t="s">
        <v>40</v>
      </c>
      <c r="D6943" s="43">
        <v>720</v>
      </c>
      <c r="E6943" s="43"/>
      <c r="F6943" s="48">
        <f t="shared" si="113"/>
        <v>19973</v>
      </c>
    </row>
    <row r="6944" spans="1:6" x14ac:dyDescent="0.3">
      <c r="A6944" s="45">
        <v>43740</v>
      </c>
      <c r="B6944" s="5" t="s">
        <v>4869</v>
      </c>
      <c r="C6944" s="5" t="s">
        <v>40</v>
      </c>
      <c r="D6944" s="43">
        <v>4200</v>
      </c>
      <c r="E6944" s="43"/>
      <c r="F6944" s="48">
        <f t="shared" si="113"/>
        <v>15773</v>
      </c>
    </row>
    <row r="6945" spans="1:7" x14ac:dyDescent="0.3">
      <c r="A6945" s="45">
        <v>43740</v>
      </c>
      <c r="B6945" s="5" t="s">
        <v>5428</v>
      </c>
      <c r="C6945" s="5" t="s">
        <v>5429</v>
      </c>
      <c r="D6945" s="43">
        <v>1000</v>
      </c>
      <c r="E6945" s="43"/>
      <c r="F6945" s="48">
        <f t="shared" si="113"/>
        <v>14773</v>
      </c>
    </row>
    <row r="6946" spans="1:7" x14ac:dyDescent="0.3">
      <c r="A6946" s="45">
        <v>43740</v>
      </c>
      <c r="B6946" s="739" t="s">
        <v>4329</v>
      </c>
      <c r="C6946" s="739"/>
      <c r="D6946" s="739"/>
      <c r="E6946" s="141">
        <v>50000</v>
      </c>
      <c r="F6946" s="48">
        <f t="shared" si="113"/>
        <v>64773</v>
      </c>
    </row>
    <row r="6947" spans="1:7" x14ac:dyDescent="0.3">
      <c r="A6947" s="45">
        <v>43740</v>
      </c>
      <c r="B6947" s="5" t="s">
        <v>4915</v>
      </c>
      <c r="C6947" s="5" t="s">
        <v>4157</v>
      </c>
      <c r="D6947" s="43">
        <v>7000</v>
      </c>
      <c r="E6947" s="43"/>
      <c r="F6947" s="48">
        <f t="shared" si="113"/>
        <v>57773</v>
      </c>
    </row>
    <row r="6948" spans="1:7" x14ac:dyDescent="0.3">
      <c r="A6948" s="45">
        <v>43740</v>
      </c>
      <c r="B6948" s="5" t="s">
        <v>4915</v>
      </c>
      <c r="C6948" s="5" t="s">
        <v>3194</v>
      </c>
      <c r="D6948" s="43">
        <v>17000</v>
      </c>
      <c r="E6948" s="43"/>
      <c r="F6948" s="48">
        <f t="shared" si="113"/>
        <v>40773</v>
      </c>
    </row>
    <row r="6949" spans="1:7" x14ac:dyDescent="0.3">
      <c r="A6949" s="45">
        <v>43740</v>
      </c>
      <c r="B6949" s="5" t="s">
        <v>84</v>
      </c>
      <c r="C6949" s="5" t="s">
        <v>5435</v>
      </c>
      <c r="D6949" s="65">
        <v>2000</v>
      </c>
      <c r="E6949" s="43"/>
      <c r="F6949" s="48">
        <f t="shared" si="113"/>
        <v>38773</v>
      </c>
    </row>
    <row r="6950" spans="1:7" x14ac:dyDescent="0.3">
      <c r="A6950" s="45">
        <v>43741</v>
      </c>
      <c r="B6950" s="5" t="s">
        <v>5428</v>
      </c>
      <c r="C6950" s="5" t="s">
        <v>40</v>
      </c>
      <c r="D6950" s="43">
        <v>500</v>
      </c>
      <c r="E6950" s="43"/>
      <c r="F6950" s="48">
        <f t="shared" si="113"/>
        <v>38273</v>
      </c>
    </row>
    <row r="6951" spans="1:7" x14ac:dyDescent="0.3">
      <c r="A6951" s="184">
        <v>43741</v>
      </c>
      <c r="B6951" s="753" t="s">
        <v>5431</v>
      </c>
      <c r="C6951" s="753"/>
      <c r="D6951" s="753"/>
      <c r="E6951" s="210">
        <v>20000</v>
      </c>
      <c r="F6951" s="48">
        <f t="shared" si="113"/>
        <v>58273</v>
      </c>
    </row>
    <row r="6952" spans="1:7" x14ac:dyDescent="0.3">
      <c r="A6952" s="45">
        <v>43741</v>
      </c>
      <c r="B6952" s="5" t="s">
        <v>5432</v>
      </c>
      <c r="C6952" s="5" t="s">
        <v>5433</v>
      </c>
      <c r="D6952" s="43">
        <v>15000</v>
      </c>
      <c r="E6952" s="43"/>
      <c r="F6952" s="48">
        <f t="shared" si="113"/>
        <v>43273</v>
      </c>
      <c r="G6952" s="43"/>
    </row>
    <row r="6953" spans="1:7" x14ac:dyDescent="0.3">
      <c r="A6953" s="45">
        <v>43741</v>
      </c>
      <c r="B6953" s="5" t="s">
        <v>4112</v>
      </c>
      <c r="C6953" s="5" t="s">
        <v>5434</v>
      </c>
      <c r="D6953" s="43">
        <v>2000</v>
      </c>
      <c r="E6953" s="43"/>
      <c r="F6953" s="48">
        <f t="shared" si="113"/>
        <v>41273</v>
      </c>
      <c r="G6953" s="43"/>
    </row>
    <row r="6954" spans="1:7" x14ac:dyDescent="0.3">
      <c r="A6954" s="45">
        <v>43741</v>
      </c>
      <c r="B6954" s="73" t="s">
        <v>2594</v>
      </c>
      <c r="C6954" s="73" t="s">
        <v>5452</v>
      </c>
      <c r="D6954" s="183">
        <v>16110</v>
      </c>
      <c r="E6954" s="43"/>
      <c r="F6954" s="48">
        <f t="shared" si="113"/>
        <v>25163</v>
      </c>
      <c r="G6954" s="43"/>
    </row>
    <row r="6955" spans="1:7" x14ac:dyDescent="0.3">
      <c r="A6955" s="45">
        <v>43741</v>
      </c>
      <c r="B6955" s="5" t="s">
        <v>84</v>
      </c>
      <c r="C6955" s="5" t="s">
        <v>5437</v>
      </c>
      <c r="D6955" s="43">
        <v>5000</v>
      </c>
      <c r="E6955" s="43"/>
      <c r="F6955" s="48">
        <f t="shared" si="113"/>
        <v>20163</v>
      </c>
      <c r="G6955" s="43"/>
    </row>
    <row r="6956" spans="1:7" x14ac:dyDescent="0.3">
      <c r="A6956" s="45">
        <v>43741</v>
      </c>
      <c r="B6956" s="5" t="s">
        <v>5156</v>
      </c>
      <c r="C6956" s="5" t="s">
        <v>2948</v>
      </c>
      <c r="D6956" s="43">
        <v>750</v>
      </c>
      <c r="E6956" s="43"/>
      <c r="F6956" s="48">
        <f t="shared" si="113"/>
        <v>19413</v>
      </c>
      <c r="G6956" s="43"/>
    </row>
    <row r="6957" spans="1:7" x14ac:dyDescent="0.3">
      <c r="A6957" s="45">
        <v>43741</v>
      </c>
      <c r="B6957" s="5" t="s">
        <v>5156</v>
      </c>
      <c r="C6957" s="5" t="s">
        <v>5167</v>
      </c>
      <c r="D6957" s="43">
        <v>4200</v>
      </c>
      <c r="E6957" s="43"/>
      <c r="F6957" s="48">
        <f t="shared" si="113"/>
        <v>15213</v>
      </c>
      <c r="G6957" s="43"/>
    </row>
    <row r="6958" spans="1:7" x14ac:dyDescent="0.3">
      <c r="A6958" s="45">
        <v>43741</v>
      </c>
      <c r="B6958" s="5" t="s">
        <v>16</v>
      </c>
      <c r="C6958" s="5" t="s">
        <v>4376</v>
      </c>
      <c r="D6958" s="43">
        <v>600</v>
      </c>
      <c r="E6958" s="43"/>
      <c r="F6958" s="48">
        <f t="shared" si="113"/>
        <v>14613</v>
      </c>
      <c r="G6958" s="43"/>
    </row>
    <row r="6959" spans="1:7" x14ac:dyDescent="0.3">
      <c r="A6959" s="45">
        <v>43741</v>
      </c>
      <c r="B6959" s="5" t="s">
        <v>18</v>
      </c>
      <c r="C6959" s="5" t="s">
        <v>5439</v>
      </c>
      <c r="D6959" s="43">
        <v>3000</v>
      </c>
      <c r="E6959" s="43"/>
      <c r="F6959" s="48">
        <f t="shared" ref="F6959:F7022" si="114">F6958-D6959+E6959</f>
        <v>11613</v>
      </c>
      <c r="G6959" s="43"/>
    </row>
    <row r="6960" spans="1:7" x14ac:dyDescent="0.3">
      <c r="A6960" s="45">
        <v>43741</v>
      </c>
      <c r="B6960" s="5" t="s">
        <v>2594</v>
      </c>
      <c r="C6960" s="5" t="s">
        <v>5440</v>
      </c>
      <c r="D6960" s="43">
        <v>500</v>
      </c>
      <c r="E6960" s="43"/>
      <c r="F6960" s="48">
        <f t="shared" si="114"/>
        <v>11113</v>
      </c>
      <c r="G6960" s="43"/>
    </row>
    <row r="6961" spans="1:7" x14ac:dyDescent="0.3">
      <c r="A6961" s="45">
        <v>43741</v>
      </c>
      <c r="B6961" s="5" t="s">
        <v>25</v>
      </c>
      <c r="C6961" s="5" t="s">
        <v>5447</v>
      </c>
      <c r="D6961" s="43">
        <v>320</v>
      </c>
      <c r="E6961" s="43"/>
      <c r="F6961" s="48">
        <f t="shared" si="114"/>
        <v>10793</v>
      </c>
      <c r="G6961" s="43"/>
    </row>
    <row r="6962" spans="1:7" x14ac:dyDescent="0.3">
      <c r="A6962" s="45">
        <v>43742</v>
      </c>
      <c r="B6962" s="123" t="s">
        <v>25</v>
      </c>
      <c r="C6962" s="123" t="s">
        <v>5441</v>
      </c>
      <c r="D6962" s="52">
        <v>100</v>
      </c>
      <c r="F6962" s="48">
        <f t="shared" si="114"/>
        <v>10693</v>
      </c>
    </row>
    <row r="6963" spans="1:7" x14ac:dyDescent="0.3">
      <c r="A6963" s="45">
        <v>43742</v>
      </c>
      <c r="B6963" s="123" t="s">
        <v>1616</v>
      </c>
      <c r="C6963" s="123" t="s">
        <v>5442</v>
      </c>
      <c r="D6963" s="52">
        <v>550</v>
      </c>
      <c r="F6963" s="48">
        <f t="shared" si="114"/>
        <v>10143</v>
      </c>
    </row>
    <row r="6964" spans="1:7" x14ac:dyDescent="0.3">
      <c r="A6964" s="45">
        <v>43742</v>
      </c>
      <c r="B6964" s="123" t="s">
        <v>5329</v>
      </c>
      <c r="C6964" s="123" t="s">
        <v>5445</v>
      </c>
      <c r="D6964" s="52">
        <v>750</v>
      </c>
      <c r="F6964" s="48">
        <f t="shared" si="114"/>
        <v>9393</v>
      </c>
    </row>
    <row r="6965" spans="1:7" x14ac:dyDescent="0.3">
      <c r="A6965" s="45">
        <v>43742</v>
      </c>
      <c r="B6965" s="753" t="s">
        <v>5444</v>
      </c>
      <c r="C6965" s="753"/>
      <c r="D6965" s="753"/>
      <c r="E6965" s="210">
        <v>500</v>
      </c>
      <c r="F6965" s="48">
        <f t="shared" si="114"/>
        <v>9893</v>
      </c>
    </row>
    <row r="6966" spans="1:7" x14ac:dyDescent="0.3">
      <c r="A6966" s="45">
        <v>43742</v>
      </c>
      <c r="B6966" s="4" t="s">
        <v>25</v>
      </c>
      <c r="C6966" s="4" t="s">
        <v>5441</v>
      </c>
      <c r="D6966" s="52">
        <v>80</v>
      </c>
      <c r="F6966" s="48">
        <f t="shared" si="114"/>
        <v>9813</v>
      </c>
    </row>
    <row r="6967" spans="1:7" x14ac:dyDescent="0.3">
      <c r="A6967" s="184">
        <v>43742</v>
      </c>
      <c r="B6967" s="753" t="s">
        <v>5448</v>
      </c>
      <c r="C6967" s="753"/>
      <c r="D6967" s="753"/>
      <c r="E6967" s="210">
        <f>700000+800000</f>
        <v>1500000</v>
      </c>
      <c r="F6967" s="48">
        <f t="shared" si="114"/>
        <v>1509813</v>
      </c>
    </row>
    <row r="6968" spans="1:7" x14ac:dyDescent="0.3">
      <c r="A6968" s="45">
        <v>43743</v>
      </c>
      <c r="B6968" s="5" t="s">
        <v>5449</v>
      </c>
      <c r="C6968" s="5"/>
      <c r="D6968" s="43">
        <v>1456444</v>
      </c>
      <c r="E6968" s="43"/>
      <c r="F6968" s="48">
        <f t="shared" si="114"/>
        <v>53369</v>
      </c>
      <c r="G6968" s="43"/>
    </row>
    <row r="6969" spans="1:7" x14ac:dyDescent="0.3">
      <c r="A6969" s="45">
        <v>43742</v>
      </c>
      <c r="B6969" s="5" t="s">
        <v>5321</v>
      </c>
      <c r="C6969" s="5" t="s">
        <v>5446</v>
      </c>
      <c r="D6969" s="43">
        <v>2000</v>
      </c>
      <c r="E6969" s="43"/>
      <c r="F6969" s="48">
        <f t="shared" si="114"/>
        <v>51369</v>
      </c>
      <c r="G6969" s="43"/>
    </row>
    <row r="6970" spans="1:7" x14ac:dyDescent="0.3">
      <c r="A6970" s="45">
        <v>43743</v>
      </c>
      <c r="B6970" s="5" t="s">
        <v>14</v>
      </c>
      <c r="C6970" s="5" t="s">
        <v>294</v>
      </c>
      <c r="D6970" s="43">
        <v>10000</v>
      </c>
      <c r="E6970" s="43"/>
      <c r="F6970" s="48">
        <f t="shared" si="114"/>
        <v>41369</v>
      </c>
      <c r="G6970" s="249"/>
    </row>
    <row r="6971" spans="1:7" x14ac:dyDescent="0.3">
      <c r="A6971" s="184">
        <v>43743</v>
      </c>
      <c r="B6971" s="66" t="s">
        <v>1458</v>
      </c>
      <c r="C6971" s="66" t="s">
        <v>4834</v>
      </c>
      <c r="D6971" s="67">
        <v>1000</v>
      </c>
      <c r="E6971" s="67"/>
      <c r="F6971" s="48">
        <f t="shared" si="114"/>
        <v>40369</v>
      </c>
      <c r="G6971" s="249"/>
    </row>
    <row r="6972" spans="1:7" x14ac:dyDescent="0.3">
      <c r="A6972" s="184">
        <v>43743</v>
      </c>
      <c r="B6972" s="66" t="s">
        <v>14</v>
      </c>
      <c r="C6972" s="66" t="s">
        <v>640</v>
      </c>
      <c r="D6972" s="67">
        <v>1000</v>
      </c>
      <c r="E6972" s="67"/>
      <c r="F6972" s="48">
        <f t="shared" si="114"/>
        <v>39369</v>
      </c>
      <c r="G6972" s="249"/>
    </row>
    <row r="6973" spans="1:7" x14ac:dyDescent="0.3">
      <c r="A6973" s="45">
        <v>43743</v>
      </c>
      <c r="B6973" s="5" t="s">
        <v>1458</v>
      </c>
      <c r="C6973" s="5" t="s">
        <v>5450</v>
      </c>
      <c r="D6973" s="43">
        <f>80+160+50+45+130+50+50+30+270+50+130+50+30+30+30+100+50+30+27+40+444+33+100+50+50+270+30+30+100+500</f>
        <v>3039</v>
      </c>
      <c r="E6973" s="43"/>
      <c r="F6973" s="48">
        <f t="shared" si="114"/>
        <v>36330</v>
      </c>
      <c r="G6973" s="249"/>
    </row>
    <row r="6974" spans="1:7" x14ac:dyDescent="0.3">
      <c r="A6974" s="45">
        <v>43746</v>
      </c>
      <c r="B6974" s="739" t="s">
        <v>5462</v>
      </c>
      <c r="C6974" s="739"/>
      <c r="D6974" s="739"/>
      <c r="E6974" s="141">
        <v>10778</v>
      </c>
      <c r="F6974" s="48">
        <f t="shared" si="114"/>
        <v>47108</v>
      </c>
    </row>
    <row r="6975" spans="1:7" x14ac:dyDescent="0.3">
      <c r="A6975" s="45">
        <v>43742</v>
      </c>
      <c r="B6975" s="73" t="s">
        <v>2594</v>
      </c>
      <c r="C6975" s="73" t="s">
        <v>5451</v>
      </c>
      <c r="D6975" s="58">
        <v>28755</v>
      </c>
      <c r="E6975" s="43"/>
      <c r="F6975" s="48">
        <f t="shared" si="114"/>
        <v>18353</v>
      </c>
      <c r="G6975" s="249"/>
    </row>
    <row r="6976" spans="1:7" x14ac:dyDescent="0.3">
      <c r="A6976" s="45">
        <v>43745</v>
      </c>
      <c r="B6976" s="5" t="s">
        <v>5211</v>
      </c>
      <c r="C6976" s="5" t="s">
        <v>5454</v>
      </c>
      <c r="D6976" s="43">
        <v>1300</v>
      </c>
      <c r="E6976" s="43"/>
      <c r="F6976" s="48">
        <f t="shared" si="114"/>
        <v>17053</v>
      </c>
      <c r="G6976" s="249"/>
    </row>
    <row r="6977" spans="1:7" x14ac:dyDescent="0.3">
      <c r="A6977" s="45">
        <v>43746</v>
      </c>
      <c r="B6977" s="739" t="s">
        <v>861</v>
      </c>
      <c r="C6977" s="739"/>
      <c r="D6977" s="739"/>
      <c r="E6977" s="141">
        <v>32500</v>
      </c>
      <c r="F6977" s="48">
        <f t="shared" si="114"/>
        <v>49553</v>
      </c>
    </row>
    <row r="6978" spans="1:7" x14ac:dyDescent="0.3">
      <c r="A6978" s="45">
        <v>43746</v>
      </c>
      <c r="B6978" s="5" t="s">
        <v>693</v>
      </c>
      <c r="C6978" s="5" t="s">
        <v>5455</v>
      </c>
      <c r="D6978" s="43">
        <v>15000</v>
      </c>
      <c r="E6978" s="43"/>
      <c r="F6978" s="48">
        <f t="shared" si="114"/>
        <v>34553</v>
      </c>
    </row>
    <row r="6979" spans="1:7" x14ac:dyDescent="0.3">
      <c r="A6979" s="45">
        <v>43746</v>
      </c>
      <c r="B6979" s="5" t="s">
        <v>84</v>
      </c>
      <c r="C6979" s="5" t="s">
        <v>5457</v>
      </c>
      <c r="D6979" s="43">
        <v>5000</v>
      </c>
      <c r="E6979" s="43"/>
      <c r="F6979" s="48">
        <f t="shared" si="114"/>
        <v>29553</v>
      </c>
      <c r="G6979" s="249"/>
    </row>
    <row r="6980" spans="1:7" x14ac:dyDescent="0.3">
      <c r="A6980" s="45">
        <v>43746</v>
      </c>
      <c r="B6980" s="5" t="s">
        <v>14</v>
      </c>
      <c r="C6980" s="5" t="s">
        <v>294</v>
      </c>
      <c r="D6980" s="43">
        <v>9000</v>
      </c>
      <c r="E6980" s="43"/>
      <c r="F6980" s="48">
        <f t="shared" si="114"/>
        <v>20553</v>
      </c>
    </row>
    <row r="6981" spans="1:7" x14ac:dyDescent="0.3">
      <c r="A6981" s="45">
        <v>43746</v>
      </c>
      <c r="B6981" s="5" t="s">
        <v>5162</v>
      </c>
      <c r="C6981" s="5" t="s">
        <v>5459</v>
      </c>
      <c r="D6981" s="43">
        <v>3400</v>
      </c>
      <c r="E6981" s="43"/>
      <c r="F6981" s="48">
        <f t="shared" si="114"/>
        <v>17153</v>
      </c>
    </row>
    <row r="6982" spans="1:7" x14ac:dyDescent="0.3">
      <c r="A6982" s="45">
        <v>43746</v>
      </c>
      <c r="B6982" s="739" t="s">
        <v>861</v>
      </c>
      <c r="C6982" s="739"/>
      <c r="D6982" s="739"/>
      <c r="E6982" s="141">
        <v>100000</v>
      </c>
      <c r="F6982" s="48">
        <f t="shared" si="114"/>
        <v>117153</v>
      </c>
    </row>
    <row r="6983" spans="1:7" x14ac:dyDescent="0.3">
      <c r="A6983" s="45">
        <v>43746</v>
      </c>
      <c r="B6983" s="5" t="s">
        <v>2594</v>
      </c>
      <c r="C6983" s="5" t="s">
        <v>5466</v>
      </c>
      <c r="D6983" s="43">
        <v>52500</v>
      </c>
      <c r="E6983" s="43"/>
      <c r="F6983" s="48">
        <f t="shared" si="114"/>
        <v>64653</v>
      </c>
    </row>
    <row r="6984" spans="1:7" x14ac:dyDescent="0.3">
      <c r="A6984" s="45">
        <v>43746</v>
      </c>
      <c r="B6984" s="5" t="s">
        <v>4550</v>
      </c>
      <c r="C6984" s="5" t="s">
        <v>5463</v>
      </c>
      <c r="D6984" s="43">
        <v>20000</v>
      </c>
      <c r="E6984" s="43"/>
      <c r="F6984" s="48">
        <f t="shared" si="114"/>
        <v>44653</v>
      </c>
    </row>
    <row r="6985" spans="1:7" x14ac:dyDescent="0.3">
      <c r="A6985" s="45">
        <v>43746</v>
      </c>
      <c r="B6985" s="5" t="s">
        <v>25</v>
      </c>
      <c r="C6985" s="5" t="s">
        <v>5460</v>
      </c>
      <c r="D6985" s="43">
        <v>5300</v>
      </c>
      <c r="E6985" s="43"/>
      <c r="F6985" s="48">
        <f t="shared" si="114"/>
        <v>39353</v>
      </c>
    </row>
    <row r="6986" spans="1:7" x14ac:dyDescent="0.3">
      <c r="A6986" s="45">
        <v>43747</v>
      </c>
      <c r="B6986" s="5" t="s">
        <v>54</v>
      </c>
      <c r="C6986" s="5" t="s">
        <v>5464</v>
      </c>
      <c r="D6986" s="43">
        <f>1000+1600</f>
        <v>2600</v>
      </c>
      <c r="E6986" s="43"/>
      <c r="F6986" s="48">
        <f t="shared" si="114"/>
        <v>36753</v>
      </c>
    </row>
    <row r="6987" spans="1:7" x14ac:dyDescent="0.3">
      <c r="A6987" s="45">
        <v>43747</v>
      </c>
      <c r="B6987" s="5" t="s">
        <v>14</v>
      </c>
      <c r="C6987" s="5" t="s">
        <v>5465</v>
      </c>
      <c r="D6987" s="43">
        <v>12000</v>
      </c>
      <c r="E6987" s="43"/>
      <c r="F6987" s="48">
        <f t="shared" si="114"/>
        <v>24753</v>
      </c>
    </row>
    <row r="6988" spans="1:7" x14ac:dyDescent="0.3">
      <c r="A6988" s="45">
        <v>43747</v>
      </c>
      <c r="B6988" s="739" t="s">
        <v>861</v>
      </c>
      <c r="C6988" s="739"/>
      <c r="D6988" s="739"/>
      <c r="E6988" s="141">
        <v>30000</v>
      </c>
      <c r="F6988" s="48">
        <f t="shared" si="114"/>
        <v>54753</v>
      </c>
    </row>
    <row r="6989" spans="1:7" x14ac:dyDescent="0.3">
      <c r="A6989" s="45">
        <v>43747</v>
      </c>
      <c r="B6989" s="5" t="s">
        <v>25</v>
      </c>
      <c r="C6989" s="5" t="s">
        <v>5467</v>
      </c>
      <c r="D6989" s="43">
        <f>220+10+50+50+50+30+45+50+160+100+30+70+527+20+40+10+550</f>
        <v>2012</v>
      </c>
      <c r="E6989" s="43"/>
      <c r="F6989" s="48">
        <f t="shared" si="114"/>
        <v>52741</v>
      </c>
    </row>
    <row r="6990" spans="1:7" x14ac:dyDescent="0.3">
      <c r="A6990" s="45">
        <v>43747</v>
      </c>
      <c r="B6990" s="5" t="s">
        <v>5156</v>
      </c>
      <c r="C6990" s="5" t="s">
        <v>693</v>
      </c>
      <c r="D6990" s="43">
        <v>240</v>
      </c>
      <c r="E6990" s="43"/>
      <c r="F6990" s="48">
        <f t="shared" si="114"/>
        <v>52501</v>
      </c>
    </row>
    <row r="6991" spans="1:7" x14ac:dyDescent="0.3">
      <c r="A6991" s="45">
        <v>43747</v>
      </c>
      <c r="B6991" s="5" t="s">
        <v>25</v>
      </c>
      <c r="C6991" s="5" t="s">
        <v>5200</v>
      </c>
      <c r="D6991" s="43">
        <v>100</v>
      </c>
      <c r="E6991" s="43"/>
      <c r="F6991" s="48">
        <f t="shared" si="114"/>
        <v>52401</v>
      </c>
    </row>
    <row r="6992" spans="1:7" x14ac:dyDescent="0.3">
      <c r="A6992" s="45">
        <v>43747</v>
      </c>
      <c r="B6992" s="5" t="s">
        <v>100</v>
      </c>
      <c r="C6992" s="5" t="s">
        <v>5468</v>
      </c>
      <c r="D6992" s="43">
        <v>900</v>
      </c>
      <c r="E6992" s="43"/>
      <c r="F6992" s="48">
        <f t="shared" si="114"/>
        <v>51501</v>
      </c>
    </row>
    <row r="6993" spans="1:6" x14ac:dyDescent="0.3">
      <c r="A6993" s="45">
        <v>43747</v>
      </c>
      <c r="B6993" s="5" t="s">
        <v>25</v>
      </c>
      <c r="C6993" s="5" t="s">
        <v>5469</v>
      </c>
      <c r="D6993" s="43">
        <v>7000</v>
      </c>
      <c r="E6993" s="43"/>
      <c r="F6993" s="48">
        <f t="shared" si="114"/>
        <v>44501</v>
      </c>
    </row>
    <row r="6994" spans="1:6" x14ac:dyDescent="0.3">
      <c r="A6994" s="45">
        <v>43747</v>
      </c>
      <c r="B6994" s="5" t="s">
        <v>3982</v>
      </c>
      <c r="C6994" s="5" t="s">
        <v>5470</v>
      </c>
      <c r="D6994" s="43">
        <v>20000</v>
      </c>
      <c r="E6994" s="43"/>
      <c r="F6994" s="48">
        <f t="shared" si="114"/>
        <v>24501</v>
      </c>
    </row>
    <row r="6995" spans="1:6" x14ac:dyDescent="0.3">
      <c r="A6995" s="45">
        <v>43747</v>
      </c>
      <c r="B6995" s="5" t="s">
        <v>1616</v>
      </c>
      <c r="C6995" s="5" t="s">
        <v>3703</v>
      </c>
      <c r="D6995" s="43">
        <v>1500</v>
      </c>
      <c r="E6995" s="43"/>
      <c r="F6995" s="48">
        <f t="shared" si="114"/>
        <v>23001</v>
      </c>
    </row>
    <row r="6996" spans="1:6" x14ac:dyDescent="0.3">
      <c r="A6996" s="45">
        <v>43747</v>
      </c>
      <c r="B6996" s="5" t="s">
        <v>25</v>
      </c>
      <c r="C6996" s="5" t="s">
        <v>5471</v>
      </c>
      <c r="D6996" s="43">
        <f>45+150+50+30+30+220</f>
        <v>525</v>
      </c>
      <c r="E6996" s="43"/>
      <c r="F6996" s="48">
        <f t="shared" si="114"/>
        <v>22476</v>
      </c>
    </row>
    <row r="6997" spans="1:6" x14ac:dyDescent="0.3">
      <c r="A6997" s="45">
        <v>43748</v>
      </c>
      <c r="B6997" s="739" t="s">
        <v>4362</v>
      </c>
      <c r="C6997" s="739"/>
      <c r="D6997" s="739"/>
      <c r="E6997" s="141">
        <v>10000</v>
      </c>
      <c r="F6997" s="48">
        <f t="shared" si="114"/>
        <v>32476</v>
      </c>
    </row>
    <row r="6998" spans="1:6" x14ac:dyDescent="0.3">
      <c r="A6998" s="45">
        <v>43747</v>
      </c>
      <c r="B6998" s="5" t="s">
        <v>2594</v>
      </c>
      <c r="C6998" s="5" t="s">
        <v>5474</v>
      </c>
      <c r="D6998" s="43">
        <v>17470</v>
      </c>
      <c r="E6998" s="43"/>
      <c r="F6998" s="48">
        <f t="shared" si="114"/>
        <v>15006</v>
      </c>
    </row>
    <row r="6999" spans="1:6" x14ac:dyDescent="0.3">
      <c r="A6999" s="45">
        <v>43748</v>
      </c>
      <c r="B6999" s="5" t="s">
        <v>2570</v>
      </c>
      <c r="C6999" s="5" t="s">
        <v>40</v>
      </c>
      <c r="D6999" s="43">
        <v>250</v>
      </c>
      <c r="E6999" s="43"/>
      <c r="F6999" s="48">
        <f t="shared" si="114"/>
        <v>14756</v>
      </c>
    </row>
    <row r="7000" spans="1:6" x14ac:dyDescent="0.3">
      <c r="A7000" s="45">
        <v>43748</v>
      </c>
      <c r="B7000" s="739" t="s">
        <v>861</v>
      </c>
      <c r="C7000" s="739"/>
      <c r="D7000" s="739"/>
      <c r="E7000" s="141">
        <v>50000</v>
      </c>
      <c r="F7000" s="48">
        <f t="shared" si="114"/>
        <v>64756</v>
      </c>
    </row>
    <row r="7001" spans="1:6" x14ac:dyDescent="0.3">
      <c r="A7001" s="45">
        <v>43749</v>
      </c>
      <c r="B7001" s="5" t="s">
        <v>14</v>
      </c>
      <c r="C7001" s="5" t="s">
        <v>294</v>
      </c>
      <c r="D7001" s="43">
        <v>35000</v>
      </c>
      <c r="E7001" s="43"/>
      <c r="F7001" s="48">
        <f t="shared" si="114"/>
        <v>29756</v>
      </c>
    </row>
    <row r="7002" spans="1:6" x14ac:dyDescent="0.3">
      <c r="A7002" s="45">
        <v>43749</v>
      </c>
      <c r="B7002" s="5" t="s">
        <v>4112</v>
      </c>
      <c r="C7002" s="5" t="s">
        <v>294</v>
      </c>
      <c r="D7002" s="43">
        <v>1000</v>
      </c>
      <c r="E7002" s="43"/>
      <c r="F7002" s="48">
        <f t="shared" si="114"/>
        <v>28756</v>
      </c>
    </row>
    <row r="7003" spans="1:6" x14ac:dyDescent="0.3">
      <c r="A7003" s="45">
        <v>43749</v>
      </c>
      <c r="B7003" s="5" t="s">
        <v>54</v>
      </c>
      <c r="C7003" s="5" t="s">
        <v>5473</v>
      </c>
      <c r="D7003" s="43">
        <v>11625</v>
      </c>
      <c r="E7003" s="43"/>
      <c r="F7003" s="48">
        <f t="shared" si="114"/>
        <v>17131</v>
      </c>
    </row>
    <row r="7004" spans="1:6" x14ac:dyDescent="0.3">
      <c r="A7004" s="45">
        <v>43749</v>
      </c>
      <c r="B7004" s="739" t="s">
        <v>4329</v>
      </c>
      <c r="C7004" s="739"/>
      <c r="D7004" s="739"/>
      <c r="E7004" s="141">
        <v>150000</v>
      </c>
      <c r="F7004" s="48">
        <f t="shared" si="114"/>
        <v>167131</v>
      </c>
    </row>
    <row r="7005" spans="1:6" x14ac:dyDescent="0.3">
      <c r="A7005" s="45">
        <v>43750</v>
      </c>
      <c r="B7005" s="5" t="s">
        <v>16</v>
      </c>
      <c r="C7005" s="5" t="s">
        <v>3910</v>
      </c>
      <c r="D7005" s="43">
        <v>10000</v>
      </c>
      <c r="E7005" s="43"/>
      <c r="F7005" s="48">
        <f t="shared" si="114"/>
        <v>157131</v>
      </c>
    </row>
    <row r="7006" spans="1:6" x14ac:dyDescent="0.3">
      <c r="A7006" s="45">
        <v>43750</v>
      </c>
      <c r="B7006" s="5" t="s">
        <v>2594</v>
      </c>
      <c r="C7006" s="5" t="s">
        <v>5474</v>
      </c>
      <c r="D7006" s="43">
        <v>27117</v>
      </c>
      <c r="E7006" s="43"/>
      <c r="F7006" s="48">
        <f t="shared" si="114"/>
        <v>130014</v>
      </c>
    </row>
    <row r="7007" spans="1:6" x14ac:dyDescent="0.3">
      <c r="A7007" s="45">
        <v>43750</v>
      </c>
      <c r="B7007" s="5" t="s">
        <v>0</v>
      </c>
      <c r="C7007" s="5" t="s">
        <v>5475</v>
      </c>
      <c r="D7007" s="43">
        <v>5000</v>
      </c>
      <c r="E7007" s="43"/>
      <c r="F7007" s="48">
        <f t="shared" si="114"/>
        <v>125014</v>
      </c>
    </row>
    <row r="7008" spans="1:6" x14ac:dyDescent="0.3">
      <c r="A7008" s="45">
        <v>43750</v>
      </c>
      <c r="B7008" s="5" t="s">
        <v>2594</v>
      </c>
      <c r="C7008" s="5" t="s">
        <v>5476</v>
      </c>
      <c r="D7008" s="43">
        <v>5750</v>
      </c>
      <c r="E7008" s="43"/>
      <c r="F7008" s="48">
        <f t="shared" si="114"/>
        <v>119264</v>
      </c>
    </row>
    <row r="7009" spans="1:6" x14ac:dyDescent="0.3">
      <c r="A7009" s="45">
        <v>43750</v>
      </c>
      <c r="B7009" s="5" t="s">
        <v>2594</v>
      </c>
      <c r="C7009" s="39" t="s">
        <v>5388</v>
      </c>
      <c r="D7009" s="40">
        <v>250</v>
      </c>
      <c r="E7009" s="43"/>
      <c r="F7009" s="48">
        <f t="shared" si="114"/>
        <v>119014</v>
      </c>
    </row>
    <row r="7010" spans="1:6" x14ac:dyDescent="0.3">
      <c r="A7010" s="45">
        <v>43750</v>
      </c>
      <c r="B7010" s="5" t="s">
        <v>3559</v>
      </c>
      <c r="C7010" s="5" t="s">
        <v>5060</v>
      </c>
      <c r="D7010" s="43">
        <v>7860</v>
      </c>
      <c r="E7010" s="43"/>
      <c r="F7010" s="48">
        <f t="shared" si="114"/>
        <v>111154</v>
      </c>
    </row>
    <row r="7011" spans="1:6" x14ac:dyDescent="0.3">
      <c r="A7011" s="45">
        <v>43750</v>
      </c>
      <c r="B7011" s="5" t="s">
        <v>3205</v>
      </c>
      <c r="C7011" s="5" t="s">
        <v>5477</v>
      </c>
      <c r="D7011" s="43">
        <v>500</v>
      </c>
      <c r="E7011" s="43"/>
      <c r="F7011" s="48">
        <f t="shared" si="114"/>
        <v>110654</v>
      </c>
    </row>
    <row r="7012" spans="1:6" x14ac:dyDescent="0.3">
      <c r="A7012" s="45">
        <v>43752</v>
      </c>
      <c r="B7012" s="5" t="s">
        <v>14</v>
      </c>
      <c r="C7012" s="5" t="s">
        <v>294</v>
      </c>
      <c r="D7012" s="43">
        <v>100000</v>
      </c>
      <c r="E7012" s="43"/>
      <c r="F7012" s="48">
        <f t="shared" si="114"/>
        <v>10654</v>
      </c>
    </row>
    <row r="7013" spans="1:6" x14ac:dyDescent="0.3">
      <c r="A7013" s="45">
        <v>43752</v>
      </c>
      <c r="B7013" s="5" t="s">
        <v>0</v>
      </c>
      <c r="C7013" s="5" t="s">
        <v>3910</v>
      </c>
      <c r="D7013" s="43">
        <v>1000</v>
      </c>
      <c r="E7013" s="43"/>
      <c r="F7013" s="48">
        <f t="shared" si="114"/>
        <v>9654</v>
      </c>
    </row>
    <row r="7014" spans="1:6" x14ac:dyDescent="0.3">
      <c r="A7014" s="45">
        <v>43752</v>
      </c>
      <c r="B7014" s="5" t="s">
        <v>25</v>
      </c>
      <c r="C7014" s="5" t="s">
        <v>5478</v>
      </c>
      <c r="D7014" s="43">
        <f>320+250+240+160+250+220+50+50+100+50+250+30+45</f>
        <v>2015</v>
      </c>
      <c r="E7014" s="43"/>
      <c r="F7014" s="48">
        <f t="shared" si="114"/>
        <v>7639</v>
      </c>
    </row>
    <row r="7015" spans="1:6" x14ac:dyDescent="0.3">
      <c r="A7015" s="45">
        <v>43752</v>
      </c>
      <c r="B7015" s="739" t="s">
        <v>4329</v>
      </c>
      <c r="C7015" s="739"/>
      <c r="D7015" s="739"/>
      <c r="E7015" s="141">
        <v>50000</v>
      </c>
      <c r="F7015" s="48">
        <f t="shared" si="114"/>
        <v>57639</v>
      </c>
    </row>
    <row r="7016" spans="1:6" x14ac:dyDescent="0.3">
      <c r="A7016" s="45">
        <v>43752</v>
      </c>
      <c r="B7016" s="5" t="s">
        <v>4550</v>
      </c>
      <c r="C7016" s="5" t="s">
        <v>3910</v>
      </c>
      <c r="D7016" s="43">
        <v>10000</v>
      </c>
      <c r="E7016" s="43"/>
      <c r="F7016" s="48">
        <f t="shared" si="114"/>
        <v>47639</v>
      </c>
    </row>
    <row r="7017" spans="1:6" x14ac:dyDescent="0.3">
      <c r="A7017" s="45">
        <v>43752</v>
      </c>
      <c r="B7017" s="5" t="s">
        <v>2594</v>
      </c>
      <c r="C7017" s="5" t="s">
        <v>5491</v>
      </c>
      <c r="D7017" s="43">
        <v>13354</v>
      </c>
      <c r="E7017" s="43"/>
      <c r="F7017" s="48">
        <f t="shared" si="114"/>
        <v>34285</v>
      </c>
    </row>
    <row r="7018" spans="1:6" x14ac:dyDescent="0.3">
      <c r="A7018" s="45">
        <v>43753</v>
      </c>
      <c r="B7018" s="5" t="s">
        <v>3982</v>
      </c>
      <c r="C7018" s="5" t="s">
        <v>5479</v>
      </c>
      <c r="D7018" s="43">
        <v>12500</v>
      </c>
      <c r="E7018" s="43"/>
      <c r="F7018" s="48">
        <f t="shared" si="114"/>
        <v>21785</v>
      </c>
    </row>
    <row r="7019" spans="1:6" x14ac:dyDescent="0.3">
      <c r="A7019" s="45">
        <v>43753</v>
      </c>
      <c r="B7019" s="5" t="s">
        <v>14</v>
      </c>
      <c r="C7019" s="5" t="s">
        <v>640</v>
      </c>
      <c r="D7019" s="43">
        <v>1000</v>
      </c>
      <c r="E7019" s="43"/>
      <c r="F7019" s="48">
        <f t="shared" si="114"/>
        <v>20785</v>
      </c>
    </row>
    <row r="7020" spans="1:6" x14ac:dyDescent="0.3">
      <c r="A7020" s="45">
        <v>43753</v>
      </c>
      <c r="B7020" s="5" t="s">
        <v>25</v>
      </c>
      <c r="C7020" s="5" t="s">
        <v>64</v>
      </c>
      <c r="D7020" s="43">
        <v>3600</v>
      </c>
      <c r="E7020" s="43"/>
      <c r="F7020" s="48">
        <f t="shared" si="114"/>
        <v>17185</v>
      </c>
    </row>
    <row r="7021" spans="1:6" x14ac:dyDescent="0.3">
      <c r="A7021" s="45">
        <v>43753</v>
      </c>
      <c r="B7021" s="739"/>
      <c r="C7021" s="739"/>
      <c r="D7021" s="739"/>
      <c r="E7021" s="141">
        <v>3000</v>
      </c>
      <c r="F7021" s="48">
        <f t="shared" si="114"/>
        <v>20185</v>
      </c>
    </row>
    <row r="7022" spans="1:6" x14ac:dyDescent="0.3">
      <c r="A7022" s="45">
        <v>43753</v>
      </c>
      <c r="B7022" s="5" t="s">
        <v>84</v>
      </c>
      <c r="C7022" s="5" t="s">
        <v>5480</v>
      </c>
      <c r="D7022" s="43">
        <v>3000</v>
      </c>
      <c r="E7022" s="43"/>
      <c r="F7022" s="48">
        <f t="shared" si="114"/>
        <v>17185</v>
      </c>
    </row>
    <row r="7023" spans="1:6" x14ac:dyDescent="0.3">
      <c r="A7023" s="45">
        <v>43753</v>
      </c>
      <c r="B7023" s="5" t="s">
        <v>2594</v>
      </c>
      <c r="C7023" s="5" t="s">
        <v>4293</v>
      </c>
      <c r="D7023" s="43">
        <v>4070</v>
      </c>
      <c r="E7023" s="43"/>
      <c r="F7023" s="48">
        <f t="shared" ref="F7023:F7086" si="115">F7022-D7023+E7023</f>
        <v>13115</v>
      </c>
    </row>
    <row r="7024" spans="1:6" x14ac:dyDescent="0.3">
      <c r="A7024" s="45">
        <v>43753</v>
      </c>
      <c r="B7024" s="739" t="s">
        <v>861</v>
      </c>
      <c r="C7024" s="739"/>
      <c r="D7024" s="739"/>
      <c r="E7024" s="141">
        <v>50000</v>
      </c>
      <c r="F7024" s="48">
        <f t="shared" si="115"/>
        <v>63115</v>
      </c>
    </row>
    <row r="7025" spans="1:6" x14ac:dyDescent="0.3">
      <c r="A7025" s="45">
        <v>43753</v>
      </c>
      <c r="B7025" s="5" t="s">
        <v>2594</v>
      </c>
      <c r="C7025" s="5" t="s">
        <v>4293</v>
      </c>
      <c r="D7025" s="43">
        <v>12642</v>
      </c>
      <c r="E7025" s="43"/>
      <c r="F7025" s="48">
        <f t="shared" si="115"/>
        <v>50473</v>
      </c>
    </row>
    <row r="7026" spans="1:6" x14ac:dyDescent="0.3">
      <c r="A7026" s="45">
        <v>43753</v>
      </c>
      <c r="B7026" s="5" t="s">
        <v>0</v>
      </c>
      <c r="C7026" s="5" t="s">
        <v>3910</v>
      </c>
      <c r="D7026" s="43">
        <v>5000</v>
      </c>
      <c r="E7026" s="43"/>
      <c r="F7026" s="48">
        <f t="shared" si="115"/>
        <v>45473</v>
      </c>
    </row>
    <row r="7027" spans="1:6" x14ac:dyDescent="0.3">
      <c r="A7027" s="45">
        <v>43754</v>
      </c>
      <c r="B7027" s="5" t="s">
        <v>4550</v>
      </c>
      <c r="C7027" s="5" t="s">
        <v>5481</v>
      </c>
      <c r="D7027" s="43">
        <v>20000</v>
      </c>
      <c r="E7027" s="43"/>
      <c r="F7027" s="48">
        <f t="shared" si="115"/>
        <v>25473</v>
      </c>
    </row>
    <row r="7028" spans="1:6" x14ac:dyDescent="0.3">
      <c r="A7028" s="45">
        <v>43754</v>
      </c>
      <c r="B7028" s="5" t="s">
        <v>5482</v>
      </c>
      <c r="C7028" s="5" t="s">
        <v>5483</v>
      </c>
      <c r="D7028" s="43">
        <v>8000</v>
      </c>
      <c r="E7028" s="43"/>
      <c r="F7028" s="48">
        <f t="shared" si="115"/>
        <v>17473</v>
      </c>
    </row>
    <row r="7029" spans="1:6" x14ac:dyDescent="0.3">
      <c r="A7029" s="45">
        <v>43754</v>
      </c>
      <c r="B7029" s="5" t="s">
        <v>5156</v>
      </c>
      <c r="C7029" s="5" t="s">
        <v>2948</v>
      </c>
      <c r="D7029" s="43">
        <v>64</v>
      </c>
      <c r="E7029" s="43"/>
      <c r="F7029" s="48">
        <f t="shared" si="115"/>
        <v>17409</v>
      </c>
    </row>
    <row r="7030" spans="1:6" x14ac:dyDescent="0.3">
      <c r="A7030" s="45">
        <v>43754</v>
      </c>
      <c r="B7030" s="739" t="s">
        <v>861</v>
      </c>
      <c r="C7030" s="739"/>
      <c r="D7030" s="739"/>
      <c r="E7030" s="141">
        <v>100000</v>
      </c>
      <c r="F7030" s="48">
        <f t="shared" si="115"/>
        <v>117409</v>
      </c>
    </row>
    <row r="7031" spans="1:6" x14ac:dyDescent="0.3">
      <c r="A7031" s="45">
        <v>43755</v>
      </c>
      <c r="B7031" s="5" t="s">
        <v>84</v>
      </c>
      <c r="C7031" s="5" t="s">
        <v>5484</v>
      </c>
      <c r="D7031" s="43">
        <v>12000</v>
      </c>
      <c r="E7031" s="43"/>
      <c r="F7031" s="48">
        <f t="shared" si="115"/>
        <v>105409</v>
      </c>
    </row>
    <row r="7032" spans="1:6" x14ac:dyDescent="0.3">
      <c r="A7032" s="45">
        <v>43755</v>
      </c>
      <c r="B7032" s="5" t="s">
        <v>0</v>
      </c>
      <c r="C7032" s="5" t="s">
        <v>5485</v>
      </c>
      <c r="D7032" s="43">
        <v>95000</v>
      </c>
      <c r="E7032" s="43"/>
      <c r="F7032" s="48">
        <f t="shared" si="115"/>
        <v>10409</v>
      </c>
    </row>
    <row r="7033" spans="1:6" x14ac:dyDescent="0.3">
      <c r="A7033" s="45">
        <v>43755</v>
      </c>
      <c r="B7033" s="739" t="s">
        <v>4329</v>
      </c>
      <c r="C7033" s="739"/>
      <c r="D7033" s="739"/>
      <c r="E7033" s="141">
        <v>50000</v>
      </c>
      <c r="F7033" s="48">
        <f t="shared" si="115"/>
        <v>60409</v>
      </c>
    </row>
    <row r="7034" spans="1:6" x14ac:dyDescent="0.3">
      <c r="A7034" s="45">
        <v>43755</v>
      </c>
      <c r="B7034" s="73" t="s">
        <v>2594</v>
      </c>
      <c r="C7034" s="73" t="s">
        <v>5497</v>
      </c>
      <c r="D7034" s="183">
        <v>25000</v>
      </c>
      <c r="E7034" s="183"/>
      <c r="F7034" s="48">
        <f t="shared" si="115"/>
        <v>35409</v>
      </c>
    </row>
    <row r="7035" spans="1:6" x14ac:dyDescent="0.3">
      <c r="A7035" s="45">
        <v>43755</v>
      </c>
      <c r="B7035" s="73" t="s">
        <v>2594</v>
      </c>
      <c r="C7035" s="73" t="s">
        <v>5492</v>
      </c>
      <c r="D7035" s="183">
        <v>3000</v>
      </c>
      <c r="E7035" s="183"/>
      <c r="F7035" s="48">
        <f t="shared" si="115"/>
        <v>32409</v>
      </c>
    </row>
    <row r="7036" spans="1:6" x14ac:dyDescent="0.3">
      <c r="A7036" s="45">
        <v>43756</v>
      </c>
      <c r="B7036" s="73" t="s">
        <v>247</v>
      </c>
      <c r="C7036" s="73" t="s">
        <v>2013</v>
      </c>
      <c r="D7036" s="183">
        <v>100</v>
      </c>
      <c r="E7036" s="183"/>
      <c r="F7036" s="48">
        <f t="shared" si="115"/>
        <v>32309</v>
      </c>
    </row>
    <row r="7037" spans="1:6" x14ac:dyDescent="0.3">
      <c r="A7037" s="45">
        <v>43756</v>
      </c>
      <c r="B7037" s="73" t="s">
        <v>2594</v>
      </c>
      <c r="C7037" s="73" t="s">
        <v>5489</v>
      </c>
      <c r="D7037" s="183">
        <f>8000+2000</f>
        <v>10000</v>
      </c>
      <c r="E7037" s="183"/>
      <c r="F7037" s="48">
        <f t="shared" si="115"/>
        <v>22309</v>
      </c>
    </row>
    <row r="7038" spans="1:6" x14ac:dyDescent="0.3">
      <c r="A7038" s="45">
        <v>43756</v>
      </c>
      <c r="B7038" s="73" t="s">
        <v>84</v>
      </c>
      <c r="C7038" s="73" t="s">
        <v>5490</v>
      </c>
      <c r="D7038" s="183">
        <v>2000</v>
      </c>
      <c r="E7038" s="183"/>
      <c r="F7038" s="48">
        <f t="shared" si="115"/>
        <v>20309</v>
      </c>
    </row>
    <row r="7039" spans="1:6" x14ac:dyDescent="0.3">
      <c r="A7039" s="45">
        <v>43756</v>
      </c>
      <c r="B7039" s="73" t="s">
        <v>100</v>
      </c>
      <c r="C7039" s="73" t="s">
        <v>4187</v>
      </c>
      <c r="D7039" s="183">
        <v>2000</v>
      </c>
      <c r="E7039" s="183"/>
      <c r="F7039" s="48">
        <f t="shared" si="115"/>
        <v>18309</v>
      </c>
    </row>
    <row r="7040" spans="1:6" x14ac:dyDescent="0.3">
      <c r="A7040" s="45">
        <v>43756</v>
      </c>
      <c r="B7040" s="73" t="s">
        <v>5156</v>
      </c>
      <c r="C7040" s="73" t="s">
        <v>5493</v>
      </c>
      <c r="D7040" s="183">
        <v>1200</v>
      </c>
      <c r="E7040" s="183"/>
      <c r="F7040" s="48">
        <f t="shared" si="115"/>
        <v>17109</v>
      </c>
    </row>
    <row r="7041" spans="1:6" x14ac:dyDescent="0.3">
      <c r="A7041" s="45">
        <v>43756</v>
      </c>
      <c r="B7041" s="73" t="s">
        <v>5156</v>
      </c>
      <c r="C7041" s="73" t="s">
        <v>5494</v>
      </c>
      <c r="D7041" s="183">
        <v>400</v>
      </c>
      <c r="E7041" s="183"/>
      <c r="F7041" s="48">
        <f t="shared" si="115"/>
        <v>16709</v>
      </c>
    </row>
    <row r="7042" spans="1:6" x14ac:dyDescent="0.3">
      <c r="A7042" s="45">
        <v>43757</v>
      </c>
      <c r="B7042" s="73" t="s">
        <v>2594</v>
      </c>
      <c r="C7042" s="73" t="s">
        <v>5495</v>
      </c>
      <c r="D7042" s="183">
        <v>1000</v>
      </c>
      <c r="E7042" s="183"/>
      <c r="F7042" s="48">
        <f t="shared" si="115"/>
        <v>15709</v>
      </c>
    </row>
    <row r="7043" spans="1:6" x14ac:dyDescent="0.3">
      <c r="A7043" s="45">
        <v>43757</v>
      </c>
      <c r="B7043" s="5" t="s">
        <v>4112</v>
      </c>
      <c r="C7043" s="5" t="s">
        <v>294</v>
      </c>
      <c r="D7043" s="43">
        <v>3000</v>
      </c>
      <c r="E7043" s="43"/>
      <c r="F7043" s="48">
        <f t="shared" si="115"/>
        <v>12709</v>
      </c>
    </row>
    <row r="7044" spans="1:6" x14ac:dyDescent="0.3">
      <c r="A7044" s="45">
        <v>43755</v>
      </c>
      <c r="B7044" s="739" t="s">
        <v>5499</v>
      </c>
      <c r="C7044" s="739"/>
      <c r="D7044" s="739"/>
      <c r="E7044" s="141">
        <v>660160</v>
      </c>
      <c r="F7044" s="48">
        <f t="shared" si="115"/>
        <v>672869</v>
      </c>
    </row>
    <row r="7045" spans="1:6" x14ac:dyDescent="0.3">
      <c r="A7045" s="45">
        <v>43757</v>
      </c>
      <c r="B7045" s="73" t="s">
        <v>5156</v>
      </c>
      <c r="C7045" s="73" t="s">
        <v>5496</v>
      </c>
      <c r="D7045" s="43">
        <v>1560</v>
      </c>
      <c r="E7045" s="43"/>
      <c r="F7045" s="48">
        <f t="shared" si="115"/>
        <v>671309</v>
      </c>
    </row>
    <row r="7046" spans="1:6" x14ac:dyDescent="0.3">
      <c r="A7046" s="45">
        <v>43759</v>
      </c>
      <c r="B7046" s="73" t="s">
        <v>25</v>
      </c>
      <c r="C7046" s="5" t="s">
        <v>5498</v>
      </c>
      <c r="D7046" s="43">
        <f>20+300+260+180+145+270+70+200+280+100+50</f>
        <v>1875</v>
      </c>
      <c r="E7046" s="43"/>
      <c r="F7046" s="48">
        <f t="shared" si="115"/>
        <v>669434</v>
      </c>
    </row>
    <row r="7047" spans="1:6" x14ac:dyDescent="0.3">
      <c r="A7047" s="45">
        <v>43759</v>
      </c>
      <c r="B7047" s="5" t="s">
        <v>14</v>
      </c>
      <c r="C7047" s="5" t="s">
        <v>3183</v>
      </c>
      <c r="D7047" s="43">
        <v>100000</v>
      </c>
      <c r="E7047" s="43"/>
      <c r="F7047" s="48">
        <f t="shared" si="115"/>
        <v>569434</v>
      </c>
    </row>
    <row r="7048" spans="1:6" x14ac:dyDescent="0.3">
      <c r="A7048" s="45">
        <v>43759</v>
      </c>
      <c r="B7048" s="5" t="s">
        <v>5500</v>
      </c>
      <c r="C7048" s="5" t="s">
        <v>5501</v>
      </c>
      <c r="D7048" s="43">
        <v>40000</v>
      </c>
      <c r="E7048" s="43"/>
      <c r="F7048" s="48">
        <f t="shared" si="115"/>
        <v>529434</v>
      </c>
    </row>
    <row r="7049" spans="1:6" x14ac:dyDescent="0.3">
      <c r="A7049" s="45">
        <v>43759</v>
      </c>
      <c r="B7049" s="5" t="s">
        <v>5518</v>
      </c>
      <c r="C7049" s="5" t="s">
        <v>5519</v>
      </c>
      <c r="D7049" s="43">
        <v>20000</v>
      </c>
      <c r="E7049" s="43"/>
      <c r="F7049" s="48">
        <f t="shared" si="115"/>
        <v>509434</v>
      </c>
    </row>
    <row r="7050" spans="1:6" x14ac:dyDescent="0.3">
      <c r="A7050" s="45">
        <v>43759</v>
      </c>
      <c r="B7050" s="5" t="s">
        <v>3570</v>
      </c>
      <c r="C7050" s="5" t="s">
        <v>5502</v>
      </c>
      <c r="D7050" s="43">
        <v>50000</v>
      </c>
      <c r="E7050" s="43"/>
      <c r="F7050" s="48">
        <f t="shared" si="115"/>
        <v>459434</v>
      </c>
    </row>
    <row r="7051" spans="1:6" x14ac:dyDescent="0.3">
      <c r="A7051" s="45">
        <v>43759</v>
      </c>
      <c r="B7051" s="5" t="s">
        <v>3138</v>
      </c>
      <c r="C7051" s="5" t="s">
        <v>5503</v>
      </c>
      <c r="D7051" s="43">
        <v>36165</v>
      </c>
      <c r="E7051" s="43"/>
      <c r="F7051" s="48">
        <f t="shared" si="115"/>
        <v>423269</v>
      </c>
    </row>
    <row r="7052" spans="1:6" x14ac:dyDescent="0.3">
      <c r="A7052" s="45">
        <v>43759</v>
      </c>
      <c r="B7052" s="5" t="s">
        <v>247</v>
      </c>
      <c r="C7052" s="5" t="s">
        <v>2013</v>
      </c>
      <c r="D7052" s="43">
        <v>100</v>
      </c>
      <c r="E7052" s="43"/>
      <c r="F7052" s="48">
        <f t="shared" si="115"/>
        <v>423169</v>
      </c>
    </row>
    <row r="7053" spans="1:6" x14ac:dyDescent="0.3">
      <c r="A7053" s="45">
        <v>43759</v>
      </c>
      <c r="B7053" s="5" t="s">
        <v>18</v>
      </c>
      <c r="C7053" s="5" t="s">
        <v>294</v>
      </c>
      <c r="D7053" s="43">
        <v>4000</v>
      </c>
      <c r="E7053" s="43"/>
      <c r="F7053" s="48">
        <f t="shared" si="115"/>
        <v>419169</v>
      </c>
    </row>
    <row r="7054" spans="1:6" x14ac:dyDescent="0.3">
      <c r="A7054" s="45">
        <v>43760</v>
      </c>
      <c r="B7054" s="5" t="s">
        <v>4246</v>
      </c>
      <c r="C7054" s="5" t="s">
        <v>5504</v>
      </c>
      <c r="D7054" s="43">
        <v>1500</v>
      </c>
      <c r="E7054" s="43"/>
      <c r="F7054" s="48">
        <f t="shared" si="115"/>
        <v>417669</v>
      </c>
    </row>
    <row r="7055" spans="1:6" x14ac:dyDescent="0.3">
      <c r="A7055" s="45">
        <v>43760</v>
      </c>
      <c r="B7055" s="5" t="s">
        <v>2594</v>
      </c>
      <c r="C7055" s="133" t="s">
        <v>5505</v>
      </c>
      <c r="D7055" s="43">
        <v>10000</v>
      </c>
      <c r="E7055" s="43"/>
      <c r="F7055" s="48">
        <f t="shared" si="115"/>
        <v>407669</v>
      </c>
    </row>
    <row r="7056" spans="1:6" x14ac:dyDescent="0.3">
      <c r="A7056" s="45">
        <v>43760</v>
      </c>
      <c r="B7056" s="5" t="s">
        <v>1837</v>
      </c>
      <c r="C7056" s="5" t="s">
        <v>5506</v>
      </c>
      <c r="D7056" s="43">
        <v>4000</v>
      </c>
      <c r="E7056" s="43"/>
      <c r="F7056" s="48">
        <f t="shared" si="115"/>
        <v>403669</v>
      </c>
    </row>
    <row r="7057" spans="1:11" x14ac:dyDescent="0.3">
      <c r="A7057" s="45">
        <v>43760</v>
      </c>
      <c r="B7057" s="5" t="s">
        <v>4156</v>
      </c>
      <c r="C7057" s="5" t="s">
        <v>5509</v>
      </c>
      <c r="D7057" s="43">
        <v>35000</v>
      </c>
      <c r="E7057" s="43"/>
      <c r="F7057" s="48">
        <f t="shared" si="115"/>
        <v>368669</v>
      </c>
    </row>
    <row r="7058" spans="1:11" x14ac:dyDescent="0.3">
      <c r="A7058" s="45">
        <v>43761</v>
      </c>
      <c r="B7058" s="739" t="s">
        <v>5511</v>
      </c>
      <c r="C7058" s="739"/>
      <c r="D7058" s="739"/>
      <c r="E7058" s="141">
        <v>120000</v>
      </c>
      <c r="F7058" s="48">
        <f t="shared" si="115"/>
        <v>488669</v>
      </c>
    </row>
    <row r="7059" spans="1:11" x14ac:dyDescent="0.3">
      <c r="A7059" s="45">
        <v>43761</v>
      </c>
      <c r="B7059" s="5" t="s">
        <v>14</v>
      </c>
      <c r="C7059" s="5" t="s">
        <v>5512</v>
      </c>
      <c r="D7059" s="43">
        <v>64000</v>
      </c>
      <c r="E7059" s="43"/>
      <c r="F7059" s="48">
        <f t="shared" si="115"/>
        <v>424669</v>
      </c>
    </row>
    <row r="7060" spans="1:11" x14ac:dyDescent="0.3">
      <c r="A7060" s="45">
        <v>43761</v>
      </c>
      <c r="B7060" s="5" t="s">
        <v>16</v>
      </c>
      <c r="C7060" s="5" t="s">
        <v>5513</v>
      </c>
      <c r="D7060" s="43">
        <v>600</v>
      </c>
      <c r="E7060" s="43"/>
      <c r="F7060" s="48">
        <f t="shared" si="115"/>
        <v>424069</v>
      </c>
    </row>
    <row r="7061" spans="1:11" x14ac:dyDescent="0.3">
      <c r="A7061" s="45">
        <v>43761</v>
      </c>
      <c r="B7061" s="5" t="s">
        <v>247</v>
      </c>
      <c r="C7061" s="5" t="s">
        <v>2013</v>
      </c>
      <c r="D7061" s="43">
        <v>100</v>
      </c>
      <c r="E7061" s="43"/>
      <c r="F7061" s="48">
        <f t="shared" si="115"/>
        <v>423969</v>
      </c>
    </row>
    <row r="7062" spans="1:11" x14ac:dyDescent="0.3">
      <c r="A7062" s="45">
        <v>43761</v>
      </c>
      <c r="B7062" s="5" t="s">
        <v>1837</v>
      </c>
      <c r="C7062" s="5" t="s">
        <v>5542</v>
      </c>
      <c r="D7062" s="43">
        <v>3000</v>
      </c>
      <c r="E7062" s="43"/>
      <c r="F7062" s="48">
        <f t="shared" si="115"/>
        <v>420969</v>
      </c>
    </row>
    <row r="7063" spans="1:11" x14ac:dyDescent="0.3">
      <c r="A7063" s="45">
        <v>43761</v>
      </c>
      <c r="B7063" s="5" t="s">
        <v>3138</v>
      </c>
      <c r="C7063" s="5" t="s">
        <v>5514</v>
      </c>
      <c r="D7063" s="43">
        <v>6092</v>
      </c>
      <c r="E7063" s="43"/>
      <c r="F7063" s="48">
        <f t="shared" si="115"/>
        <v>414877</v>
      </c>
    </row>
    <row r="7064" spans="1:11" x14ac:dyDescent="0.3">
      <c r="A7064" s="45">
        <v>43761</v>
      </c>
      <c r="B7064" s="5" t="s">
        <v>1512</v>
      </c>
      <c r="C7064" s="5" t="s">
        <v>5515</v>
      </c>
      <c r="D7064" s="43">
        <v>10700</v>
      </c>
      <c r="E7064" s="43"/>
      <c r="F7064" s="48">
        <f t="shared" si="115"/>
        <v>404177</v>
      </c>
      <c r="K7064" s="93"/>
    </row>
    <row r="7065" spans="1:11" x14ac:dyDescent="0.3">
      <c r="A7065" s="45">
        <v>43761</v>
      </c>
      <c r="B7065" s="5" t="s">
        <v>84</v>
      </c>
      <c r="C7065" s="5" t="s">
        <v>5516</v>
      </c>
      <c r="D7065" s="43">
        <v>1000</v>
      </c>
      <c r="E7065" s="43"/>
      <c r="F7065" s="48">
        <f t="shared" si="115"/>
        <v>403177</v>
      </c>
    </row>
    <row r="7066" spans="1:11" x14ac:dyDescent="0.3">
      <c r="A7066" s="45">
        <v>43761</v>
      </c>
      <c r="B7066" s="5" t="s">
        <v>541</v>
      </c>
      <c r="C7066" s="5" t="s">
        <v>5517</v>
      </c>
      <c r="D7066" s="43">
        <v>10500</v>
      </c>
      <c r="E7066" s="43"/>
      <c r="F7066" s="48">
        <f t="shared" si="115"/>
        <v>392677</v>
      </c>
    </row>
    <row r="7067" spans="1:11" x14ac:dyDescent="0.3">
      <c r="A7067" s="45">
        <v>43762</v>
      </c>
      <c r="B7067" s="5" t="s">
        <v>16</v>
      </c>
      <c r="C7067" s="5" t="s">
        <v>294</v>
      </c>
      <c r="D7067" s="43">
        <v>20000</v>
      </c>
      <c r="E7067" s="43"/>
      <c r="F7067" s="48">
        <f t="shared" si="115"/>
        <v>372677</v>
      </c>
    </row>
    <row r="7068" spans="1:11" x14ac:dyDescent="0.3">
      <c r="A7068" s="45">
        <v>43762</v>
      </c>
      <c r="B7068" s="5" t="s">
        <v>3559</v>
      </c>
      <c r="C7068" s="5" t="s">
        <v>5520</v>
      </c>
      <c r="D7068" s="43">
        <v>650</v>
      </c>
      <c r="E7068" s="43"/>
      <c r="F7068" s="48">
        <f t="shared" si="115"/>
        <v>372027</v>
      </c>
    </row>
    <row r="7069" spans="1:11" x14ac:dyDescent="0.3">
      <c r="A7069" s="45">
        <v>43762</v>
      </c>
      <c r="B7069" s="5" t="s">
        <v>541</v>
      </c>
      <c r="C7069" s="41" t="s">
        <v>5521</v>
      </c>
      <c r="D7069" s="43">
        <v>20000</v>
      </c>
      <c r="E7069" s="43"/>
      <c r="F7069" s="48">
        <f t="shared" si="115"/>
        <v>352027</v>
      </c>
    </row>
    <row r="7070" spans="1:11" x14ac:dyDescent="0.3">
      <c r="A7070" s="45">
        <v>43762</v>
      </c>
      <c r="B7070" s="5" t="s">
        <v>57</v>
      </c>
      <c r="C7070" s="5" t="s">
        <v>5522</v>
      </c>
      <c r="D7070" s="43">
        <v>50</v>
      </c>
      <c r="E7070" s="43"/>
      <c r="F7070" s="48">
        <f t="shared" si="115"/>
        <v>351977</v>
      </c>
    </row>
    <row r="7071" spans="1:11" x14ac:dyDescent="0.3">
      <c r="A7071" s="45">
        <v>43762</v>
      </c>
      <c r="B7071" s="5" t="s">
        <v>57</v>
      </c>
      <c r="C7071" s="5" t="s">
        <v>78</v>
      </c>
      <c r="D7071" s="43">
        <v>50</v>
      </c>
      <c r="E7071" s="43"/>
      <c r="F7071" s="48">
        <f t="shared" si="115"/>
        <v>351927</v>
      </c>
    </row>
    <row r="7072" spans="1:11" x14ac:dyDescent="0.3">
      <c r="A7072" s="45">
        <v>43762</v>
      </c>
      <c r="B7072" s="5" t="s">
        <v>0</v>
      </c>
      <c r="C7072" s="5" t="s">
        <v>5523</v>
      </c>
      <c r="D7072" s="43">
        <v>3000</v>
      </c>
      <c r="E7072" s="43"/>
      <c r="F7072" s="48">
        <f t="shared" si="115"/>
        <v>348927</v>
      </c>
    </row>
    <row r="7073" spans="1:6" x14ac:dyDescent="0.3">
      <c r="A7073" s="45">
        <v>43762</v>
      </c>
      <c r="B7073" s="41" t="s">
        <v>5288</v>
      </c>
      <c r="C7073" s="41" t="s">
        <v>5549</v>
      </c>
      <c r="D7073" s="42">
        <v>15000</v>
      </c>
      <c r="E7073" s="43"/>
      <c r="F7073" s="48">
        <f t="shared" si="115"/>
        <v>333927</v>
      </c>
    </row>
    <row r="7074" spans="1:6" x14ac:dyDescent="0.3">
      <c r="A7074" s="45">
        <v>43762</v>
      </c>
      <c r="B7074" s="5" t="s">
        <v>0</v>
      </c>
      <c r="C7074" s="5" t="s">
        <v>5524</v>
      </c>
      <c r="D7074" s="43">
        <v>5000</v>
      </c>
      <c r="E7074" s="43"/>
      <c r="F7074" s="48">
        <f t="shared" si="115"/>
        <v>328927</v>
      </c>
    </row>
    <row r="7075" spans="1:6" x14ac:dyDescent="0.3">
      <c r="A7075" s="45">
        <v>43762</v>
      </c>
      <c r="B7075" s="5" t="s">
        <v>14</v>
      </c>
      <c r="C7075" s="5" t="s">
        <v>294</v>
      </c>
      <c r="D7075" s="43">
        <v>15000</v>
      </c>
      <c r="E7075" s="43"/>
      <c r="F7075" s="48">
        <f t="shared" si="115"/>
        <v>313927</v>
      </c>
    </row>
    <row r="7076" spans="1:6" x14ac:dyDescent="0.3">
      <c r="A7076" s="45">
        <v>43762</v>
      </c>
      <c r="B7076" s="5" t="s">
        <v>5343</v>
      </c>
      <c r="C7076" s="172" t="s">
        <v>5526</v>
      </c>
      <c r="D7076" s="43">
        <v>7500</v>
      </c>
      <c r="E7076" s="43"/>
      <c r="F7076" s="48">
        <f t="shared" si="115"/>
        <v>306427</v>
      </c>
    </row>
    <row r="7077" spans="1:6" x14ac:dyDescent="0.3">
      <c r="A7077" s="45">
        <v>43763</v>
      </c>
      <c r="B7077" s="739" t="s">
        <v>5527</v>
      </c>
      <c r="C7077" s="739"/>
      <c r="D7077" s="739"/>
      <c r="E7077" s="141">
        <v>2100</v>
      </c>
      <c r="F7077" s="48">
        <f t="shared" si="115"/>
        <v>308527</v>
      </c>
    </row>
    <row r="7078" spans="1:6" x14ac:dyDescent="0.3">
      <c r="A7078" s="45">
        <v>43763</v>
      </c>
      <c r="B7078" s="5" t="s">
        <v>5528</v>
      </c>
      <c r="C7078" s="5" t="s">
        <v>5529</v>
      </c>
      <c r="D7078" s="43">
        <v>8000</v>
      </c>
      <c r="E7078" s="43"/>
      <c r="F7078" s="48">
        <f t="shared" si="115"/>
        <v>300527</v>
      </c>
    </row>
    <row r="7079" spans="1:6" x14ac:dyDescent="0.3">
      <c r="A7079" s="45">
        <v>43763</v>
      </c>
      <c r="B7079" s="5" t="s">
        <v>2594</v>
      </c>
      <c r="C7079" s="5" t="s">
        <v>4293</v>
      </c>
      <c r="D7079" s="43">
        <v>12000</v>
      </c>
      <c r="E7079" s="43"/>
      <c r="F7079" s="48">
        <f t="shared" si="115"/>
        <v>288527</v>
      </c>
    </row>
    <row r="7080" spans="1:6" x14ac:dyDescent="0.3">
      <c r="A7080" s="45">
        <v>43763</v>
      </c>
      <c r="B7080" s="5" t="s">
        <v>5530</v>
      </c>
      <c r="C7080" s="5" t="s">
        <v>438</v>
      </c>
      <c r="D7080" s="43">
        <v>75000</v>
      </c>
      <c r="E7080" s="43"/>
      <c r="F7080" s="48">
        <f t="shared" si="115"/>
        <v>213527</v>
      </c>
    </row>
    <row r="7081" spans="1:6" x14ac:dyDescent="0.3">
      <c r="A7081" s="45">
        <v>43763</v>
      </c>
      <c r="B7081" s="5" t="s">
        <v>3138</v>
      </c>
      <c r="C7081" s="5" t="s">
        <v>5531</v>
      </c>
      <c r="D7081" s="43">
        <v>6850</v>
      </c>
      <c r="E7081" s="43"/>
      <c r="F7081" s="48">
        <f t="shared" si="115"/>
        <v>206677</v>
      </c>
    </row>
    <row r="7082" spans="1:6" x14ac:dyDescent="0.3">
      <c r="A7082" s="45">
        <v>43763</v>
      </c>
      <c r="B7082" s="5" t="s">
        <v>25</v>
      </c>
      <c r="C7082" s="5" t="s">
        <v>5533</v>
      </c>
      <c r="D7082" s="43">
        <f>400+40+40+270+93+300+110+310+115+310+220+50+180+210+80+250+90+45+90</f>
        <v>3203</v>
      </c>
      <c r="E7082" s="43"/>
      <c r="F7082" s="48">
        <f t="shared" si="115"/>
        <v>203474</v>
      </c>
    </row>
    <row r="7083" spans="1:6" x14ac:dyDescent="0.3">
      <c r="A7083" s="45">
        <v>43764</v>
      </c>
      <c r="B7083" s="5" t="s">
        <v>4550</v>
      </c>
      <c r="C7083" s="5" t="s">
        <v>294</v>
      </c>
      <c r="D7083" s="43">
        <v>25000</v>
      </c>
      <c r="E7083" s="43"/>
      <c r="F7083" s="48">
        <f t="shared" si="115"/>
        <v>178474</v>
      </c>
    </row>
    <row r="7084" spans="1:6" x14ac:dyDescent="0.3">
      <c r="A7084" s="45">
        <v>43764</v>
      </c>
      <c r="B7084" s="5" t="s">
        <v>2594</v>
      </c>
      <c r="C7084" s="5" t="s">
        <v>294</v>
      </c>
      <c r="D7084" s="43">
        <v>20000</v>
      </c>
      <c r="E7084" s="43"/>
      <c r="F7084" s="48">
        <f t="shared" si="115"/>
        <v>158474</v>
      </c>
    </row>
    <row r="7085" spans="1:6" x14ac:dyDescent="0.3">
      <c r="A7085" s="45">
        <v>43764</v>
      </c>
      <c r="B7085" s="5" t="s">
        <v>5428</v>
      </c>
      <c r="C7085" s="5" t="s">
        <v>5534</v>
      </c>
      <c r="D7085" s="43">
        <v>1000</v>
      </c>
      <c r="E7085" s="43"/>
      <c r="F7085" s="48">
        <f t="shared" si="115"/>
        <v>157474</v>
      </c>
    </row>
    <row r="7086" spans="1:6" x14ac:dyDescent="0.3">
      <c r="A7086" s="45">
        <v>43764</v>
      </c>
      <c r="B7086" s="5" t="s">
        <v>84</v>
      </c>
      <c r="C7086" s="5" t="s">
        <v>5535</v>
      </c>
      <c r="D7086" s="43">
        <v>1000</v>
      </c>
      <c r="E7086" s="43"/>
      <c r="F7086" s="48">
        <f t="shared" si="115"/>
        <v>156474</v>
      </c>
    </row>
    <row r="7087" spans="1:6" x14ac:dyDescent="0.3">
      <c r="A7087" s="45">
        <v>43766</v>
      </c>
      <c r="B7087" s="5" t="s">
        <v>5428</v>
      </c>
      <c r="C7087" s="5" t="s">
        <v>4187</v>
      </c>
      <c r="D7087" s="43">
        <v>350</v>
      </c>
      <c r="E7087" s="43"/>
      <c r="F7087" s="48">
        <f t="shared" ref="F7087:F7150" si="116">F7086-D7087+E7087</f>
        <v>156124</v>
      </c>
    </row>
    <row r="7088" spans="1:6" x14ac:dyDescent="0.3">
      <c r="A7088" s="45">
        <v>43766</v>
      </c>
      <c r="B7088" s="5" t="s">
        <v>16</v>
      </c>
      <c r="C7088" s="5" t="s">
        <v>5536</v>
      </c>
      <c r="D7088" s="43">
        <v>25000</v>
      </c>
      <c r="E7088" s="43"/>
      <c r="F7088" s="48">
        <f t="shared" si="116"/>
        <v>131124</v>
      </c>
    </row>
    <row r="7089" spans="1:6" x14ac:dyDescent="0.3">
      <c r="A7089" s="45">
        <v>43766</v>
      </c>
      <c r="B7089" s="5" t="s">
        <v>0</v>
      </c>
      <c r="C7089" s="5" t="s">
        <v>3183</v>
      </c>
      <c r="D7089" s="43">
        <f>15000-7650</f>
        <v>7350</v>
      </c>
      <c r="E7089" s="43"/>
      <c r="F7089" s="48">
        <f t="shared" si="116"/>
        <v>123774</v>
      </c>
    </row>
    <row r="7090" spans="1:6" x14ac:dyDescent="0.3">
      <c r="A7090" s="45">
        <v>43766</v>
      </c>
      <c r="B7090" s="5" t="s">
        <v>84</v>
      </c>
      <c r="C7090" s="5" t="s">
        <v>5537</v>
      </c>
      <c r="D7090" s="43">
        <v>1000</v>
      </c>
      <c r="E7090" s="43"/>
      <c r="F7090" s="48">
        <f t="shared" si="116"/>
        <v>122774</v>
      </c>
    </row>
    <row r="7091" spans="1:6" x14ac:dyDescent="0.3">
      <c r="A7091" s="45">
        <v>43767</v>
      </c>
      <c r="B7091" s="5" t="s">
        <v>84</v>
      </c>
      <c r="C7091" s="5" t="s">
        <v>5538</v>
      </c>
      <c r="D7091" s="43">
        <v>2000</v>
      </c>
      <c r="E7091" s="43"/>
      <c r="F7091" s="48">
        <f t="shared" si="116"/>
        <v>120774</v>
      </c>
    </row>
    <row r="7092" spans="1:6" x14ac:dyDescent="0.3">
      <c r="A7092" s="45">
        <v>43767</v>
      </c>
      <c r="B7092" s="41" t="s">
        <v>5539</v>
      </c>
      <c r="C7092" s="41" t="s">
        <v>5540</v>
      </c>
      <c r="D7092" s="43">
        <v>15000</v>
      </c>
      <c r="E7092" s="43"/>
      <c r="F7092" s="48">
        <f t="shared" si="116"/>
        <v>105774</v>
      </c>
    </row>
    <row r="7093" spans="1:6" x14ac:dyDescent="0.3">
      <c r="A7093" s="45">
        <v>43767</v>
      </c>
      <c r="B7093" s="5" t="s">
        <v>54</v>
      </c>
      <c r="C7093" s="5" t="s">
        <v>5541</v>
      </c>
      <c r="D7093" s="43">
        <v>15000</v>
      </c>
      <c r="E7093" s="43"/>
      <c r="F7093" s="48">
        <f t="shared" si="116"/>
        <v>90774</v>
      </c>
    </row>
    <row r="7094" spans="1:6" x14ac:dyDescent="0.3">
      <c r="A7094" s="45">
        <v>43767</v>
      </c>
      <c r="B7094" s="5" t="s">
        <v>16</v>
      </c>
      <c r="C7094" s="41" t="s">
        <v>5543</v>
      </c>
      <c r="D7094" s="43">
        <v>5000</v>
      </c>
      <c r="E7094" s="43"/>
      <c r="F7094" s="48">
        <f t="shared" si="116"/>
        <v>85774</v>
      </c>
    </row>
    <row r="7095" spans="1:6" x14ac:dyDescent="0.3">
      <c r="A7095" s="45">
        <v>43767</v>
      </c>
      <c r="B7095" s="5" t="s">
        <v>2594</v>
      </c>
      <c r="C7095" s="5" t="s">
        <v>5544</v>
      </c>
      <c r="D7095" s="43">
        <v>2000</v>
      </c>
      <c r="E7095" s="43"/>
      <c r="F7095" s="48">
        <f t="shared" si="116"/>
        <v>83774</v>
      </c>
    </row>
    <row r="7096" spans="1:6" x14ac:dyDescent="0.3">
      <c r="A7096" s="45">
        <v>43767</v>
      </c>
      <c r="B7096" s="5" t="s">
        <v>2263</v>
      </c>
      <c r="C7096" s="5" t="s">
        <v>5545</v>
      </c>
      <c r="D7096" s="43">
        <v>450</v>
      </c>
      <c r="E7096" s="43"/>
      <c r="F7096" s="48">
        <f t="shared" si="116"/>
        <v>83324</v>
      </c>
    </row>
    <row r="7097" spans="1:6" x14ac:dyDescent="0.3">
      <c r="A7097" s="45">
        <v>43767</v>
      </c>
      <c r="B7097" s="5" t="s">
        <v>1616</v>
      </c>
      <c r="C7097" s="5" t="s">
        <v>5546</v>
      </c>
      <c r="D7097" s="43">
        <v>550</v>
      </c>
      <c r="E7097" s="43"/>
      <c r="F7097" s="48">
        <f t="shared" si="116"/>
        <v>82774</v>
      </c>
    </row>
    <row r="7098" spans="1:6" x14ac:dyDescent="0.3">
      <c r="A7098" s="45">
        <v>43767</v>
      </c>
      <c r="B7098" s="5" t="s">
        <v>4552</v>
      </c>
      <c r="C7098" s="5" t="s">
        <v>294</v>
      </c>
      <c r="D7098" s="43">
        <v>11300</v>
      </c>
      <c r="E7098" s="43"/>
      <c r="F7098" s="48">
        <f t="shared" si="116"/>
        <v>71474</v>
      </c>
    </row>
    <row r="7099" spans="1:6" x14ac:dyDescent="0.3">
      <c r="A7099" s="45">
        <v>43767</v>
      </c>
      <c r="B7099" s="73" t="s">
        <v>693</v>
      </c>
      <c r="C7099" s="73" t="s">
        <v>5551</v>
      </c>
      <c r="D7099" s="183">
        <v>860</v>
      </c>
      <c r="E7099" s="43"/>
      <c r="F7099" s="48">
        <f t="shared" si="116"/>
        <v>70614</v>
      </c>
    </row>
    <row r="7100" spans="1:6" x14ac:dyDescent="0.3">
      <c r="A7100" s="45">
        <v>43767</v>
      </c>
      <c r="B7100" s="73" t="s">
        <v>5547</v>
      </c>
      <c r="C7100" s="73" t="s">
        <v>30</v>
      </c>
      <c r="D7100" s="183">
        <v>50</v>
      </c>
      <c r="E7100" s="43"/>
      <c r="F7100" s="48">
        <f t="shared" si="116"/>
        <v>70564</v>
      </c>
    </row>
    <row r="7101" spans="1:6" x14ac:dyDescent="0.3">
      <c r="A7101" s="45">
        <v>43767</v>
      </c>
      <c r="B7101" s="73" t="s">
        <v>247</v>
      </c>
      <c r="C7101" s="73" t="s">
        <v>30</v>
      </c>
      <c r="D7101" s="183">
        <v>100</v>
      </c>
      <c r="E7101" s="43"/>
      <c r="F7101" s="48">
        <f t="shared" si="116"/>
        <v>70464</v>
      </c>
    </row>
    <row r="7102" spans="1:6" x14ac:dyDescent="0.3">
      <c r="A7102" s="45">
        <v>43768</v>
      </c>
      <c r="B7102" s="5" t="s">
        <v>84</v>
      </c>
      <c r="C7102" s="5" t="s">
        <v>5548</v>
      </c>
      <c r="D7102" s="43">
        <v>1000</v>
      </c>
      <c r="E7102" s="43"/>
      <c r="F7102" s="48">
        <f t="shared" si="116"/>
        <v>69464</v>
      </c>
    </row>
    <row r="7103" spans="1:6" x14ac:dyDescent="0.3">
      <c r="A7103" s="45">
        <v>43768</v>
      </c>
      <c r="B7103" s="739" t="s">
        <v>5527</v>
      </c>
      <c r="C7103" s="739"/>
      <c r="D7103" s="739"/>
      <c r="E7103" s="141">
        <v>1500</v>
      </c>
      <c r="F7103" s="48">
        <f t="shared" si="116"/>
        <v>70964</v>
      </c>
    </row>
    <row r="7104" spans="1:6" x14ac:dyDescent="0.3">
      <c r="A7104" s="45">
        <v>43768</v>
      </c>
      <c r="B7104" s="73" t="s">
        <v>2594</v>
      </c>
      <c r="C7104" s="73" t="s">
        <v>5552</v>
      </c>
      <c r="D7104" s="43">
        <v>35000</v>
      </c>
      <c r="E7104" s="43"/>
      <c r="F7104" s="48">
        <f t="shared" si="116"/>
        <v>35964</v>
      </c>
    </row>
    <row r="7105" spans="1:6" x14ac:dyDescent="0.3">
      <c r="A7105" s="45">
        <v>43769</v>
      </c>
      <c r="B7105" s="5" t="s">
        <v>25</v>
      </c>
      <c r="C7105" s="5" t="s">
        <v>5553</v>
      </c>
      <c r="D7105" s="43">
        <f>34+400+90+80+230+30+250+50+270+100+120+160+260+220+90+270</f>
        <v>2654</v>
      </c>
      <c r="E7105" s="43"/>
      <c r="F7105" s="48">
        <f t="shared" si="116"/>
        <v>33310</v>
      </c>
    </row>
    <row r="7106" spans="1:6" x14ac:dyDescent="0.3">
      <c r="A7106" s="45">
        <v>43769</v>
      </c>
      <c r="B7106" s="5" t="s">
        <v>84</v>
      </c>
      <c r="C7106" s="5" t="s">
        <v>5554</v>
      </c>
      <c r="D7106" s="43">
        <v>1100</v>
      </c>
      <c r="E7106" s="43"/>
      <c r="F7106" s="48">
        <f t="shared" si="116"/>
        <v>32210</v>
      </c>
    </row>
    <row r="7107" spans="1:6" x14ac:dyDescent="0.3">
      <c r="A7107" s="45">
        <v>43769</v>
      </c>
      <c r="B7107" s="5" t="s">
        <v>247</v>
      </c>
      <c r="C7107" s="5" t="s">
        <v>5560</v>
      </c>
      <c r="D7107" s="43">
        <v>100</v>
      </c>
      <c r="E7107" s="43"/>
      <c r="F7107" s="48">
        <f t="shared" si="116"/>
        <v>32110</v>
      </c>
    </row>
    <row r="7108" spans="1:6" x14ac:dyDescent="0.3">
      <c r="A7108" s="45">
        <v>43769</v>
      </c>
      <c r="B7108" s="5" t="s">
        <v>247</v>
      </c>
      <c r="C7108" s="5" t="s">
        <v>5561</v>
      </c>
      <c r="D7108" s="43">
        <v>200</v>
      </c>
      <c r="E7108" s="43"/>
      <c r="F7108" s="48">
        <f t="shared" si="116"/>
        <v>31910</v>
      </c>
    </row>
    <row r="7109" spans="1:6" x14ac:dyDescent="0.3">
      <c r="A7109" s="45">
        <v>43769</v>
      </c>
      <c r="B7109" s="5" t="s">
        <v>5556</v>
      </c>
      <c r="C7109" s="5" t="s">
        <v>5557</v>
      </c>
      <c r="D7109" s="43">
        <v>5000</v>
      </c>
      <c r="E7109" s="43"/>
      <c r="F7109" s="48">
        <f t="shared" si="116"/>
        <v>26910</v>
      </c>
    </row>
    <row r="7110" spans="1:6" x14ac:dyDescent="0.3">
      <c r="A7110" s="45">
        <v>43769</v>
      </c>
      <c r="B7110" s="5" t="s">
        <v>4550</v>
      </c>
      <c r="C7110" s="5" t="s">
        <v>5558</v>
      </c>
      <c r="D7110" s="43">
        <v>19000</v>
      </c>
      <c r="E7110" s="43"/>
      <c r="F7110" s="48">
        <f t="shared" si="116"/>
        <v>7910</v>
      </c>
    </row>
    <row r="7111" spans="1:6" x14ac:dyDescent="0.3">
      <c r="A7111" s="45">
        <v>43768</v>
      </c>
      <c r="B7111" s="739" t="s">
        <v>5559</v>
      </c>
      <c r="C7111" s="739"/>
      <c r="D7111" s="739"/>
      <c r="E7111" s="141">
        <v>200000</v>
      </c>
      <c r="F7111" s="48">
        <f t="shared" si="116"/>
        <v>207910</v>
      </c>
    </row>
    <row r="7112" spans="1:6" x14ac:dyDescent="0.3">
      <c r="A7112" s="45">
        <v>43769</v>
      </c>
      <c r="B7112" s="5" t="s">
        <v>2594</v>
      </c>
      <c r="C7112" s="5" t="s">
        <v>5562</v>
      </c>
      <c r="D7112" s="43">
        <v>100000</v>
      </c>
      <c r="E7112" s="43"/>
      <c r="F7112" s="48">
        <f t="shared" si="116"/>
        <v>107910</v>
      </c>
    </row>
    <row r="7113" spans="1:6" x14ac:dyDescent="0.3">
      <c r="A7113" s="45">
        <v>43769</v>
      </c>
      <c r="B7113" s="5" t="s">
        <v>1616</v>
      </c>
      <c r="C7113" s="5" t="s">
        <v>5563</v>
      </c>
      <c r="D7113" s="43">
        <v>3000</v>
      </c>
      <c r="E7113" s="43"/>
      <c r="F7113" s="48">
        <f t="shared" si="116"/>
        <v>104910</v>
      </c>
    </row>
    <row r="7114" spans="1:6" x14ac:dyDescent="0.3">
      <c r="A7114" s="45">
        <v>43769</v>
      </c>
      <c r="B7114" s="5" t="s">
        <v>2570</v>
      </c>
      <c r="C7114" s="5" t="s">
        <v>5564</v>
      </c>
      <c r="D7114" s="43">
        <v>580</v>
      </c>
      <c r="E7114" s="43"/>
      <c r="F7114" s="48">
        <f t="shared" si="116"/>
        <v>104330</v>
      </c>
    </row>
    <row r="7115" spans="1:6" x14ac:dyDescent="0.3">
      <c r="A7115" s="45">
        <v>43769</v>
      </c>
      <c r="B7115" s="41" t="s">
        <v>5569</v>
      </c>
      <c r="C7115" s="41" t="s">
        <v>5570</v>
      </c>
      <c r="D7115" s="43">
        <v>13000</v>
      </c>
      <c r="E7115" s="43"/>
      <c r="F7115" s="48">
        <f t="shared" si="116"/>
        <v>91330</v>
      </c>
    </row>
    <row r="7116" spans="1:6" x14ac:dyDescent="0.3">
      <c r="A7116" s="45">
        <v>43770</v>
      </c>
      <c r="B7116" s="5" t="s">
        <v>2594</v>
      </c>
      <c r="C7116" s="5" t="s">
        <v>5562</v>
      </c>
      <c r="D7116" s="43">
        <v>1500</v>
      </c>
      <c r="E7116" s="43"/>
      <c r="F7116" s="48">
        <f t="shared" si="116"/>
        <v>89830</v>
      </c>
    </row>
    <row r="7117" spans="1:6" x14ac:dyDescent="0.3">
      <c r="A7117" s="45">
        <v>43770</v>
      </c>
      <c r="B7117" s="5" t="s">
        <v>54</v>
      </c>
      <c r="C7117" s="5" t="s">
        <v>5565</v>
      </c>
      <c r="D7117" s="43">
        <v>15750</v>
      </c>
      <c r="E7117" s="43"/>
      <c r="F7117" s="48">
        <f t="shared" si="116"/>
        <v>74080</v>
      </c>
    </row>
    <row r="7118" spans="1:6" x14ac:dyDescent="0.3">
      <c r="A7118" s="45">
        <v>43770</v>
      </c>
      <c r="B7118" s="5" t="s">
        <v>1410</v>
      </c>
      <c r="C7118" s="5" t="s">
        <v>5566</v>
      </c>
      <c r="D7118" s="43">
        <v>12000</v>
      </c>
      <c r="E7118" s="43"/>
      <c r="F7118" s="48">
        <f t="shared" si="116"/>
        <v>62080</v>
      </c>
    </row>
    <row r="7119" spans="1:6" x14ac:dyDescent="0.3">
      <c r="A7119" s="45">
        <v>43770</v>
      </c>
      <c r="B7119" s="5" t="s">
        <v>84</v>
      </c>
      <c r="C7119" s="5" t="s">
        <v>5567</v>
      </c>
      <c r="D7119" s="43">
        <v>10000</v>
      </c>
      <c r="E7119" s="43"/>
      <c r="F7119" s="48">
        <f t="shared" si="116"/>
        <v>52080</v>
      </c>
    </row>
    <row r="7120" spans="1:6" x14ac:dyDescent="0.3">
      <c r="A7120" s="45">
        <v>43771</v>
      </c>
      <c r="B7120" s="5" t="s">
        <v>4869</v>
      </c>
      <c r="C7120" s="5" t="s">
        <v>5568</v>
      </c>
      <c r="D7120" s="43">
        <v>4200</v>
      </c>
      <c r="E7120" s="43"/>
      <c r="F7120" s="48">
        <f t="shared" si="116"/>
        <v>47880</v>
      </c>
    </row>
    <row r="7121" spans="1:6" x14ac:dyDescent="0.3">
      <c r="A7121" s="45">
        <v>43771</v>
      </c>
      <c r="B7121" s="5" t="s">
        <v>14</v>
      </c>
      <c r="C7121" s="5" t="s">
        <v>294</v>
      </c>
      <c r="D7121" s="43">
        <v>40000</v>
      </c>
      <c r="E7121" s="43"/>
      <c r="F7121" s="48">
        <f t="shared" si="116"/>
        <v>7880</v>
      </c>
    </row>
    <row r="7122" spans="1:6" x14ac:dyDescent="0.3">
      <c r="A7122" s="45">
        <v>43771</v>
      </c>
      <c r="B7122" s="5" t="s">
        <v>25</v>
      </c>
      <c r="C7122" s="5" t="s">
        <v>5576</v>
      </c>
      <c r="D7122" s="43">
        <v>100</v>
      </c>
      <c r="E7122" s="43"/>
      <c r="F7122" s="48">
        <f t="shared" si="116"/>
        <v>7780</v>
      </c>
    </row>
    <row r="7123" spans="1:6" x14ac:dyDescent="0.3">
      <c r="A7123" s="45">
        <v>43771</v>
      </c>
      <c r="B7123" s="5" t="s">
        <v>1512</v>
      </c>
      <c r="C7123" s="5" t="s">
        <v>5571</v>
      </c>
      <c r="D7123" s="43">
        <v>3000</v>
      </c>
      <c r="E7123" s="43"/>
      <c r="F7123" s="48">
        <f t="shared" si="116"/>
        <v>4780</v>
      </c>
    </row>
    <row r="7124" spans="1:6" x14ac:dyDescent="0.3">
      <c r="A7124" s="45">
        <v>43773</v>
      </c>
      <c r="B7124" s="739" t="s">
        <v>4329</v>
      </c>
      <c r="C7124" s="739"/>
      <c r="D7124" s="739"/>
      <c r="E7124" s="141">
        <v>30000</v>
      </c>
      <c r="F7124" s="48">
        <f t="shared" si="116"/>
        <v>34780</v>
      </c>
    </row>
    <row r="7125" spans="1:6" x14ac:dyDescent="0.3">
      <c r="A7125" s="45">
        <v>43773</v>
      </c>
      <c r="B7125" s="739" t="s">
        <v>4329</v>
      </c>
      <c r="C7125" s="739"/>
      <c r="D7125" s="739"/>
      <c r="E7125" s="141">
        <v>35000</v>
      </c>
      <c r="F7125" s="48">
        <f t="shared" si="116"/>
        <v>69780</v>
      </c>
    </row>
    <row r="7126" spans="1:6" x14ac:dyDescent="0.3">
      <c r="A7126" s="45">
        <v>43773</v>
      </c>
      <c r="B7126" s="5" t="s">
        <v>2594</v>
      </c>
      <c r="C7126" s="5" t="s">
        <v>5572</v>
      </c>
      <c r="D7126" s="43">
        <v>65000</v>
      </c>
      <c r="E7126" s="43"/>
      <c r="F7126" s="48">
        <f t="shared" si="116"/>
        <v>4780</v>
      </c>
    </row>
    <row r="7127" spans="1:6" x14ac:dyDescent="0.3">
      <c r="A7127" s="45">
        <v>43774</v>
      </c>
      <c r="B7127" s="5" t="s">
        <v>25</v>
      </c>
      <c r="C7127" s="5" t="s">
        <v>5573</v>
      </c>
      <c r="D7127" s="43">
        <v>180</v>
      </c>
      <c r="E7127" s="43"/>
      <c r="F7127" s="48">
        <f t="shared" si="116"/>
        <v>4600</v>
      </c>
    </row>
    <row r="7128" spans="1:6" x14ac:dyDescent="0.3">
      <c r="A7128" s="45">
        <v>43774</v>
      </c>
      <c r="B7128" s="5" t="s">
        <v>25</v>
      </c>
      <c r="C7128" s="5" t="s">
        <v>5574</v>
      </c>
      <c r="D7128" s="43">
        <f>310+20</f>
        <v>330</v>
      </c>
      <c r="E7128" s="43"/>
      <c r="F7128" s="48">
        <f t="shared" si="116"/>
        <v>4270</v>
      </c>
    </row>
    <row r="7129" spans="1:6" x14ac:dyDescent="0.3">
      <c r="A7129" s="45">
        <v>43774</v>
      </c>
      <c r="B7129" s="739" t="s">
        <v>5579</v>
      </c>
      <c r="C7129" s="739"/>
      <c r="D7129" s="739"/>
      <c r="E7129" s="141">
        <v>800000</v>
      </c>
      <c r="F7129" s="48">
        <f t="shared" si="116"/>
        <v>804270</v>
      </c>
    </row>
    <row r="7130" spans="1:6" x14ac:dyDescent="0.3">
      <c r="A7130" s="45">
        <v>43774</v>
      </c>
      <c r="B7130" s="739" t="s">
        <v>5579</v>
      </c>
      <c r="C7130" s="739"/>
      <c r="D7130" s="739"/>
      <c r="E7130" s="141">
        <v>300000</v>
      </c>
      <c r="F7130" s="48">
        <f t="shared" si="116"/>
        <v>1104270</v>
      </c>
    </row>
    <row r="7131" spans="1:6" x14ac:dyDescent="0.3">
      <c r="A7131" s="45">
        <v>43774</v>
      </c>
      <c r="B7131" s="739" t="s">
        <v>5579</v>
      </c>
      <c r="C7131" s="739"/>
      <c r="D7131" s="739"/>
      <c r="E7131" s="141">
        <v>330000</v>
      </c>
      <c r="F7131" s="48">
        <f t="shared" si="116"/>
        <v>1434270</v>
      </c>
    </row>
    <row r="7132" spans="1:6" x14ac:dyDescent="0.3">
      <c r="A7132" s="45">
        <v>43774</v>
      </c>
      <c r="B7132" s="5" t="s">
        <v>84</v>
      </c>
      <c r="C7132" s="5" t="s">
        <v>5575</v>
      </c>
      <c r="D7132" s="43">
        <v>2000</v>
      </c>
      <c r="E7132" s="43"/>
      <c r="F7132" s="48">
        <f t="shared" si="116"/>
        <v>1432270</v>
      </c>
    </row>
    <row r="7133" spans="1:6" x14ac:dyDescent="0.3">
      <c r="A7133" s="45">
        <v>43774</v>
      </c>
      <c r="B7133" s="5" t="s">
        <v>84</v>
      </c>
      <c r="C7133" s="5" t="s">
        <v>5577</v>
      </c>
      <c r="D7133" s="43">
        <v>10000</v>
      </c>
      <c r="E7133" s="43"/>
      <c r="F7133" s="48">
        <f t="shared" si="116"/>
        <v>1422270</v>
      </c>
    </row>
    <row r="7134" spans="1:6" x14ac:dyDescent="0.3">
      <c r="A7134" s="45">
        <v>43775</v>
      </c>
      <c r="B7134" s="5" t="s">
        <v>25</v>
      </c>
      <c r="C7134" s="5" t="s">
        <v>5578</v>
      </c>
      <c r="D7134" s="43">
        <f>400+170+180+110+54+300+50</f>
        <v>1264</v>
      </c>
      <c r="E7134" s="43"/>
      <c r="F7134" s="48">
        <f t="shared" si="116"/>
        <v>1421006</v>
      </c>
    </row>
    <row r="7135" spans="1:6" x14ac:dyDescent="0.3">
      <c r="A7135" s="45">
        <v>43775</v>
      </c>
      <c r="B7135" s="5" t="s">
        <v>5156</v>
      </c>
      <c r="C7135" s="5" t="s">
        <v>5167</v>
      </c>
      <c r="D7135" s="43">
        <v>450</v>
      </c>
      <c r="E7135" s="43"/>
      <c r="F7135" s="48">
        <f t="shared" si="116"/>
        <v>1420556</v>
      </c>
    </row>
    <row r="7136" spans="1:6" x14ac:dyDescent="0.3">
      <c r="A7136" s="45">
        <v>43775</v>
      </c>
      <c r="B7136" s="5" t="s">
        <v>5156</v>
      </c>
      <c r="C7136" s="5" t="s">
        <v>5167</v>
      </c>
      <c r="D7136" s="43">
        <v>450</v>
      </c>
      <c r="E7136" s="43"/>
      <c r="F7136" s="48">
        <f t="shared" si="116"/>
        <v>1420106</v>
      </c>
    </row>
    <row r="7137" spans="1:6" x14ac:dyDescent="0.3">
      <c r="A7137" s="45">
        <v>43774</v>
      </c>
      <c r="B7137" s="749" t="s">
        <v>5592</v>
      </c>
      <c r="C7137" s="750"/>
      <c r="D7137" s="751"/>
      <c r="E7137" s="141">
        <v>178624</v>
      </c>
      <c r="F7137" s="48">
        <f t="shared" si="116"/>
        <v>1598730</v>
      </c>
    </row>
    <row r="7138" spans="1:6" x14ac:dyDescent="0.3">
      <c r="A7138" s="45">
        <v>43775</v>
      </c>
      <c r="B7138" s="5" t="s">
        <v>5256</v>
      </c>
      <c r="C7138" s="5" t="s">
        <v>3332</v>
      </c>
      <c r="D7138" s="43">
        <v>1380872</v>
      </c>
      <c r="E7138" s="43"/>
      <c r="F7138" s="48">
        <f t="shared" si="116"/>
        <v>217858</v>
      </c>
    </row>
    <row r="7139" spans="1:6" x14ac:dyDescent="0.3">
      <c r="A7139" s="45">
        <v>43775</v>
      </c>
      <c r="B7139" s="5" t="s">
        <v>54</v>
      </c>
      <c r="C7139" s="5" t="s">
        <v>5580</v>
      </c>
      <c r="D7139" s="43">
        <v>20000</v>
      </c>
      <c r="E7139" s="43"/>
      <c r="F7139" s="48">
        <f t="shared" si="116"/>
        <v>197858</v>
      </c>
    </row>
    <row r="7140" spans="1:6" x14ac:dyDescent="0.3">
      <c r="A7140" s="45">
        <v>43775</v>
      </c>
      <c r="B7140" s="5" t="s">
        <v>25</v>
      </c>
      <c r="C7140" s="5" t="s">
        <v>5581</v>
      </c>
      <c r="D7140" s="43">
        <v>1000</v>
      </c>
      <c r="E7140" s="43"/>
      <c r="F7140" s="48">
        <f t="shared" si="116"/>
        <v>196858</v>
      </c>
    </row>
    <row r="7141" spans="1:6" x14ac:dyDescent="0.3">
      <c r="A7141" s="45">
        <v>43775</v>
      </c>
      <c r="B7141" s="5" t="s">
        <v>25</v>
      </c>
      <c r="C7141" s="5" t="s">
        <v>5578</v>
      </c>
      <c r="D7141" s="43">
        <v>500</v>
      </c>
      <c r="E7141" s="43"/>
      <c r="F7141" s="48">
        <f t="shared" si="116"/>
        <v>196358</v>
      </c>
    </row>
    <row r="7142" spans="1:6" x14ac:dyDescent="0.3">
      <c r="A7142" s="45">
        <v>43775</v>
      </c>
      <c r="B7142" s="5" t="s">
        <v>0</v>
      </c>
      <c r="C7142" s="5" t="s">
        <v>5110</v>
      </c>
      <c r="D7142" s="43">
        <v>10000</v>
      </c>
      <c r="E7142" s="43"/>
      <c r="F7142" s="48">
        <f t="shared" si="116"/>
        <v>186358</v>
      </c>
    </row>
    <row r="7143" spans="1:6" x14ac:dyDescent="0.3">
      <c r="A7143" s="45">
        <v>43775</v>
      </c>
      <c r="B7143" s="5" t="s">
        <v>84</v>
      </c>
      <c r="C7143" s="5" t="s">
        <v>5582</v>
      </c>
      <c r="D7143" s="43">
        <v>5000</v>
      </c>
      <c r="E7143" s="43"/>
      <c r="F7143" s="48">
        <f t="shared" si="116"/>
        <v>181358</v>
      </c>
    </row>
    <row r="7144" spans="1:6" x14ac:dyDescent="0.3">
      <c r="A7144" s="45">
        <v>43775</v>
      </c>
      <c r="B7144" s="5" t="s">
        <v>25</v>
      </c>
      <c r="C7144" s="5" t="s">
        <v>4840</v>
      </c>
      <c r="D7144" s="43">
        <v>2500</v>
      </c>
      <c r="E7144" s="43"/>
      <c r="F7144" s="48">
        <f t="shared" si="116"/>
        <v>178858</v>
      </c>
    </row>
    <row r="7145" spans="1:6" x14ac:dyDescent="0.3">
      <c r="A7145" s="45">
        <v>43775</v>
      </c>
      <c r="B7145" s="5" t="s">
        <v>25</v>
      </c>
      <c r="C7145" s="5" t="s">
        <v>5583</v>
      </c>
      <c r="D7145" s="43">
        <v>2000</v>
      </c>
      <c r="E7145" s="43"/>
      <c r="F7145" s="48">
        <f t="shared" si="116"/>
        <v>176858</v>
      </c>
    </row>
    <row r="7146" spans="1:6" x14ac:dyDescent="0.3">
      <c r="A7146" s="45">
        <v>43775</v>
      </c>
      <c r="B7146" s="5" t="s">
        <v>5518</v>
      </c>
      <c r="C7146" s="5" t="s">
        <v>5584</v>
      </c>
      <c r="D7146" s="43">
        <v>20000</v>
      </c>
      <c r="E7146" s="43"/>
      <c r="F7146" s="48">
        <f t="shared" si="116"/>
        <v>156858</v>
      </c>
    </row>
    <row r="7147" spans="1:6" x14ac:dyDescent="0.3">
      <c r="A7147" s="45">
        <v>43775</v>
      </c>
      <c r="B7147" s="5" t="s">
        <v>84</v>
      </c>
      <c r="C7147" s="5" t="s">
        <v>5585</v>
      </c>
      <c r="D7147" s="43">
        <v>5000</v>
      </c>
      <c r="E7147" s="43"/>
      <c r="F7147" s="48">
        <f t="shared" si="116"/>
        <v>151858</v>
      </c>
    </row>
    <row r="7148" spans="1:6" x14ac:dyDescent="0.3">
      <c r="A7148" s="45">
        <v>43775</v>
      </c>
      <c r="B7148" s="5" t="s">
        <v>2594</v>
      </c>
      <c r="C7148" s="5" t="s">
        <v>294</v>
      </c>
      <c r="D7148" s="43">
        <v>10000</v>
      </c>
      <c r="E7148" s="43"/>
      <c r="F7148" s="48">
        <f t="shared" si="116"/>
        <v>141858</v>
      </c>
    </row>
    <row r="7149" spans="1:6" x14ac:dyDescent="0.3">
      <c r="A7149" s="45">
        <v>43775</v>
      </c>
      <c r="B7149" s="5" t="s">
        <v>25</v>
      </c>
      <c r="C7149" s="5" t="s">
        <v>5586</v>
      </c>
      <c r="D7149" s="43">
        <v>600</v>
      </c>
      <c r="E7149" s="43"/>
      <c r="F7149" s="48">
        <f t="shared" si="116"/>
        <v>141258</v>
      </c>
    </row>
    <row r="7150" spans="1:6" x14ac:dyDescent="0.3">
      <c r="A7150" s="45">
        <v>43776</v>
      </c>
      <c r="B7150" s="5" t="s">
        <v>25</v>
      </c>
      <c r="C7150" s="5" t="s">
        <v>5469</v>
      </c>
      <c r="D7150" s="43">
        <v>7000</v>
      </c>
      <c r="E7150" s="43"/>
      <c r="F7150" s="48">
        <f t="shared" si="116"/>
        <v>134258</v>
      </c>
    </row>
    <row r="7151" spans="1:6" x14ac:dyDescent="0.3">
      <c r="A7151" s="45">
        <v>43778</v>
      </c>
      <c r="B7151" s="5" t="s">
        <v>25</v>
      </c>
      <c r="C7151" s="5" t="s">
        <v>5587</v>
      </c>
      <c r="D7151" s="43">
        <f>100+270+180+100+45+150+80+420+270+270+120+60+50+50+30+40</f>
        <v>2235</v>
      </c>
      <c r="E7151" s="43"/>
      <c r="F7151" s="48">
        <f t="shared" ref="F7151:F7198" si="117">F7150-D7151+E7151</f>
        <v>132023</v>
      </c>
    </row>
    <row r="7152" spans="1:6" x14ac:dyDescent="0.3">
      <c r="A7152" s="45">
        <v>43778</v>
      </c>
      <c r="B7152" s="5" t="s">
        <v>2594</v>
      </c>
      <c r="C7152" s="5" t="s">
        <v>3183</v>
      </c>
      <c r="D7152" s="43">
        <f>38000-11000</f>
        <v>27000</v>
      </c>
      <c r="E7152" s="43"/>
      <c r="F7152" s="48">
        <f t="shared" si="117"/>
        <v>105023</v>
      </c>
    </row>
    <row r="7153" spans="1:6" x14ac:dyDescent="0.3">
      <c r="A7153" s="45">
        <v>43778</v>
      </c>
      <c r="B7153" s="5" t="s">
        <v>4552</v>
      </c>
      <c r="C7153" s="5" t="s">
        <v>3332</v>
      </c>
      <c r="D7153" s="43">
        <v>10000</v>
      </c>
      <c r="E7153" s="43"/>
      <c r="F7153" s="48">
        <f t="shared" si="117"/>
        <v>95023</v>
      </c>
    </row>
    <row r="7154" spans="1:6" x14ac:dyDescent="0.3">
      <c r="A7154" s="45">
        <v>43780</v>
      </c>
      <c r="B7154" s="5" t="s">
        <v>2594</v>
      </c>
      <c r="C7154" s="5" t="s">
        <v>5588</v>
      </c>
      <c r="D7154" s="43">
        <v>10000</v>
      </c>
      <c r="E7154" s="43"/>
      <c r="F7154" s="48">
        <f t="shared" si="117"/>
        <v>85023</v>
      </c>
    </row>
    <row r="7155" spans="1:6" x14ac:dyDescent="0.3">
      <c r="A7155" s="45">
        <v>43780</v>
      </c>
      <c r="B7155" s="5" t="s">
        <v>0</v>
      </c>
      <c r="C7155" s="5" t="s">
        <v>5589</v>
      </c>
      <c r="D7155" s="43">
        <v>23000</v>
      </c>
      <c r="E7155" s="43"/>
      <c r="F7155" s="48">
        <f t="shared" si="117"/>
        <v>62023</v>
      </c>
    </row>
    <row r="7156" spans="1:6" x14ac:dyDescent="0.3">
      <c r="A7156" s="45">
        <v>43780</v>
      </c>
      <c r="B7156" s="5" t="s">
        <v>1410</v>
      </c>
      <c r="C7156" s="5" t="s">
        <v>5590</v>
      </c>
      <c r="D7156" s="43">
        <v>4000</v>
      </c>
      <c r="E7156" s="43"/>
      <c r="F7156" s="48">
        <f t="shared" si="117"/>
        <v>58023</v>
      </c>
    </row>
    <row r="7157" spans="1:6" x14ac:dyDescent="0.3">
      <c r="A7157" s="45">
        <v>43780</v>
      </c>
      <c r="B7157" s="5" t="s">
        <v>1837</v>
      </c>
      <c r="C7157" s="5" t="s">
        <v>5591</v>
      </c>
      <c r="D7157" s="43">
        <v>3000</v>
      </c>
      <c r="E7157" s="43"/>
      <c r="F7157" s="48">
        <f t="shared" si="117"/>
        <v>55023</v>
      </c>
    </row>
    <row r="7158" spans="1:6" x14ac:dyDescent="0.3">
      <c r="A7158" s="45">
        <v>43780</v>
      </c>
      <c r="B7158" s="5" t="s">
        <v>25</v>
      </c>
      <c r="C7158" s="5" t="s">
        <v>5593</v>
      </c>
      <c r="D7158" s="43">
        <v>550</v>
      </c>
      <c r="E7158" s="43"/>
      <c r="F7158" s="48">
        <f t="shared" si="117"/>
        <v>54473</v>
      </c>
    </row>
    <row r="7159" spans="1:6" x14ac:dyDescent="0.3">
      <c r="A7159" s="45">
        <v>43781</v>
      </c>
      <c r="B7159" s="5" t="s">
        <v>541</v>
      </c>
      <c r="C7159" s="5" t="s">
        <v>5594</v>
      </c>
      <c r="D7159" s="43">
        <v>8700</v>
      </c>
      <c r="E7159" s="43"/>
      <c r="F7159" s="48">
        <f t="shared" si="117"/>
        <v>45773</v>
      </c>
    </row>
    <row r="7160" spans="1:6" x14ac:dyDescent="0.3">
      <c r="A7160" s="45">
        <v>43781</v>
      </c>
      <c r="B7160" s="5" t="s">
        <v>5428</v>
      </c>
      <c r="C7160" s="5" t="s">
        <v>5595</v>
      </c>
      <c r="D7160" s="43">
        <v>1000</v>
      </c>
      <c r="E7160" s="43"/>
      <c r="F7160" s="48">
        <f t="shared" si="117"/>
        <v>44773</v>
      </c>
    </row>
    <row r="7161" spans="1:6" x14ac:dyDescent="0.3">
      <c r="A7161" s="45">
        <v>43781</v>
      </c>
      <c r="B7161" s="5" t="s">
        <v>2594</v>
      </c>
      <c r="C7161" s="5" t="s">
        <v>5600</v>
      </c>
      <c r="D7161" s="43">
        <v>2600</v>
      </c>
      <c r="E7161" s="43"/>
      <c r="F7161" s="48">
        <f t="shared" si="117"/>
        <v>42173</v>
      </c>
    </row>
    <row r="7162" spans="1:6" x14ac:dyDescent="0.3">
      <c r="A7162" s="45">
        <v>43781</v>
      </c>
      <c r="B7162" s="5" t="s">
        <v>25</v>
      </c>
      <c r="C7162" s="5" t="s">
        <v>5596</v>
      </c>
      <c r="D7162" s="43">
        <v>1000</v>
      </c>
      <c r="E7162" s="43"/>
      <c r="F7162" s="48">
        <f t="shared" si="117"/>
        <v>41173</v>
      </c>
    </row>
    <row r="7163" spans="1:6" x14ac:dyDescent="0.3">
      <c r="A7163" s="45">
        <v>43781</v>
      </c>
      <c r="B7163" s="5" t="s">
        <v>3559</v>
      </c>
      <c r="C7163" s="5" t="s">
        <v>3172</v>
      </c>
      <c r="D7163" s="43">
        <v>6250</v>
      </c>
      <c r="E7163" s="43"/>
      <c r="F7163" s="48">
        <f t="shared" si="117"/>
        <v>34923</v>
      </c>
    </row>
    <row r="7164" spans="1:6" x14ac:dyDescent="0.3">
      <c r="A7164" s="45">
        <v>43781</v>
      </c>
      <c r="B7164" s="5" t="s">
        <v>25</v>
      </c>
      <c r="C7164" s="5" t="s">
        <v>5597</v>
      </c>
      <c r="D7164" s="43">
        <v>200</v>
      </c>
      <c r="E7164" s="43"/>
      <c r="F7164" s="48">
        <f t="shared" si="117"/>
        <v>34723</v>
      </c>
    </row>
    <row r="7165" spans="1:6" ht="37.5" x14ac:dyDescent="0.3">
      <c r="A7165" s="45">
        <v>43781</v>
      </c>
      <c r="B7165" s="5" t="s">
        <v>5482</v>
      </c>
      <c r="C7165" s="92" t="s">
        <v>5598</v>
      </c>
      <c r="D7165" s="43">
        <v>20000</v>
      </c>
      <c r="E7165" s="43"/>
      <c r="F7165" s="48">
        <f t="shared" si="117"/>
        <v>14723</v>
      </c>
    </row>
    <row r="7166" spans="1:6" x14ac:dyDescent="0.3">
      <c r="A7166" s="45">
        <v>43782</v>
      </c>
      <c r="B7166" s="5" t="s">
        <v>25</v>
      </c>
      <c r="C7166" s="5" t="s">
        <v>5599</v>
      </c>
      <c r="D7166" s="43">
        <f>230+80+180+100+210+150+120+270+70+45+90+270+90+50+50+45+60+400+550+720</f>
        <v>3780</v>
      </c>
      <c r="E7166" s="43"/>
      <c r="F7166" s="48">
        <f t="shared" si="117"/>
        <v>10943</v>
      </c>
    </row>
    <row r="7167" spans="1:6" x14ac:dyDescent="0.3">
      <c r="A7167" s="45">
        <v>43782</v>
      </c>
      <c r="B7167" s="5" t="s">
        <v>25</v>
      </c>
      <c r="C7167" s="5" t="s">
        <v>5601</v>
      </c>
      <c r="D7167" s="43">
        <v>1400</v>
      </c>
      <c r="E7167" s="43"/>
      <c r="F7167" s="48">
        <f t="shared" si="117"/>
        <v>9543</v>
      </c>
    </row>
    <row r="7168" spans="1:6" x14ac:dyDescent="0.3">
      <c r="A7168" s="45">
        <v>43783</v>
      </c>
      <c r="B7168" s="749" t="s">
        <v>5602</v>
      </c>
      <c r="C7168" s="750"/>
      <c r="D7168" s="751"/>
      <c r="E7168" s="141">
        <v>265000</v>
      </c>
      <c r="F7168" s="48">
        <f t="shared" si="117"/>
        <v>274543</v>
      </c>
    </row>
    <row r="7169" spans="1:11" x14ac:dyDescent="0.3">
      <c r="A7169" s="45">
        <v>43783</v>
      </c>
      <c r="B7169" s="5" t="s">
        <v>4550</v>
      </c>
      <c r="C7169" s="5" t="s">
        <v>4187</v>
      </c>
      <c r="D7169" s="43">
        <v>30000</v>
      </c>
      <c r="E7169" s="43"/>
      <c r="F7169" s="48">
        <f t="shared" si="117"/>
        <v>244543</v>
      </c>
    </row>
    <row r="7170" spans="1:11" x14ac:dyDescent="0.3">
      <c r="A7170" s="45">
        <v>43783</v>
      </c>
      <c r="B7170" s="5" t="s">
        <v>54</v>
      </c>
      <c r="C7170" s="5" t="s">
        <v>5603</v>
      </c>
      <c r="D7170" s="43">
        <v>50000</v>
      </c>
      <c r="E7170" s="43"/>
      <c r="F7170" s="48">
        <f t="shared" si="117"/>
        <v>194543</v>
      </c>
    </row>
    <row r="7171" spans="1:11" x14ac:dyDescent="0.3">
      <c r="A7171" s="45">
        <v>43783</v>
      </c>
      <c r="B7171" s="5" t="s">
        <v>54</v>
      </c>
      <c r="C7171" s="5" t="s">
        <v>5608</v>
      </c>
      <c r="D7171" s="43">
        <v>40000</v>
      </c>
      <c r="E7171" s="43"/>
      <c r="F7171" s="48">
        <f t="shared" si="117"/>
        <v>154543</v>
      </c>
    </row>
    <row r="7172" spans="1:11" x14ac:dyDescent="0.3">
      <c r="A7172" s="45">
        <v>43783</v>
      </c>
      <c r="B7172" s="5" t="s">
        <v>4246</v>
      </c>
      <c r="C7172" s="5" t="s">
        <v>4187</v>
      </c>
      <c r="D7172" s="43">
        <v>10000</v>
      </c>
      <c r="E7172" s="43"/>
      <c r="F7172" s="48">
        <f t="shared" si="117"/>
        <v>144543</v>
      </c>
    </row>
    <row r="7173" spans="1:11" x14ac:dyDescent="0.3">
      <c r="A7173" s="45">
        <v>43783</v>
      </c>
      <c r="B7173" s="5" t="s">
        <v>1512</v>
      </c>
      <c r="C7173" s="5" t="s">
        <v>5619</v>
      </c>
      <c r="D7173" s="43">
        <v>15000</v>
      </c>
      <c r="E7173" s="43"/>
      <c r="F7173" s="48">
        <f t="shared" si="117"/>
        <v>129543</v>
      </c>
    </row>
    <row r="7174" spans="1:11" x14ac:dyDescent="0.3">
      <c r="A7174" s="45">
        <v>43784</v>
      </c>
      <c r="B7174" s="5" t="s">
        <v>64</v>
      </c>
      <c r="C7174" s="5" t="s">
        <v>40</v>
      </c>
      <c r="D7174" s="43">
        <v>4000</v>
      </c>
      <c r="E7174" s="43"/>
      <c r="F7174" s="48">
        <f t="shared" si="117"/>
        <v>125543</v>
      </c>
    </row>
    <row r="7175" spans="1:11" x14ac:dyDescent="0.3">
      <c r="A7175" s="45">
        <v>43784</v>
      </c>
      <c r="B7175" s="5" t="s">
        <v>5614</v>
      </c>
      <c r="C7175" s="5" t="s">
        <v>5125</v>
      </c>
      <c r="D7175" s="43">
        <v>1800</v>
      </c>
      <c r="E7175" s="43"/>
      <c r="F7175" s="48">
        <f t="shared" si="117"/>
        <v>123743</v>
      </c>
    </row>
    <row r="7176" spans="1:11" x14ac:dyDescent="0.3">
      <c r="A7176" s="45">
        <v>43785</v>
      </c>
      <c r="B7176" s="5" t="s">
        <v>5604</v>
      </c>
      <c r="C7176" s="5" t="s">
        <v>5605</v>
      </c>
      <c r="D7176" s="43">
        <v>10000</v>
      </c>
      <c r="E7176" s="43"/>
      <c r="F7176" s="48">
        <f t="shared" si="117"/>
        <v>113743</v>
      </c>
    </row>
    <row r="7177" spans="1:11" x14ac:dyDescent="0.3">
      <c r="A7177" s="45">
        <v>43785</v>
      </c>
      <c r="B7177" s="5" t="s">
        <v>84</v>
      </c>
      <c r="C7177" s="5" t="s">
        <v>5606</v>
      </c>
      <c r="D7177" s="43">
        <v>2000</v>
      </c>
      <c r="E7177" s="43"/>
      <c r="F7177" s="48">
        <f t="shared" si="117"/>
        <v>111743</v>
      </c>
    </row>
    <row r="7178" spans="1:11" x14ac:dyDescent="0.3">
      <c r="A7178" s="45">
        <v>43785</v>
      </c>
      <c r="B7178" s="5" t="s">
        <v>84</v>
      </c>
      <c r="C7178" s="5" t="s">
        <v>5607</v>
      </c>
      <c r="D7178" s="43">
        <v>10000</v>
      </c>
      <c r="E7178" s="43"/>
      <c r="F7178" s="48">
        <f t="shared" si="117"/>
        <v>101743</v>
      </c>
    </row>
    <row r="7179" spans="1:11" x14ac:dyDescent="0.3">
      <c r="A7179" s="45">
        <v>43787</v>
      </c>
      <c r="B7179" s="5" t="s">
        <v>4550</v>
      </c>
      <c r="C7179" s="5" t="s">
        <v>294</v>
      </c>
      <c r="D7179" s="43">
        <v>40000</v>
      </c>
      <c r="E7179" s="43"/>
      <c r="F7179" s="48">
        <f t="shared" si="117"/>
        <v>61743</v>
      </c>
    </row>
    <row r="7180" spans="1:11" x14ac:dyDescent="0.3">
      <c r="A7180" s="45">
        <v>43787</v>
      </c>
      <c r="B7180" s="5" t="s">
        <v>25</v>
      </c>
      <c r="C7180" s="5" t="s">
        <v>5610</v>
      </c>
      <c r="D7180" s="43">
        <v>1500</v>
      </c>
      <c r="E7180" s="43"/>
      <c r="F7180" s="48">
        <f t="shared" si="117"/>
        <v>60243</v>
      </c>
    </row>
    <row r="7181" spans="1:11" x14ac:dyDescent="0.3">
      <c r="A7181" s="45">
        <v>43787</v>
      </c>
      <c r="B7181" s="5" t="s">
        <v>25</v>
      </c>
      <c r="C7181" s="5" t="s">
        <v>5611</v>
      </c>
      <c r="D7181" s="43">
        <v>4500</v>
      </c>
      <c r="E7181" s="43"/>
      <c r="F7181" s="48">
        <f t="shared" si="117"/>
        <v>55743</v>
      </c>
    </row>
    <row r="7182" spans="1:11" x14ac:dyDescent="0.3">
      <c r="A7182" s="45">
        <v>43787</v>
      </c>
      <c r="B7182" s="5" t="s">
        <v>25</v>
      </c>
      <c r="C7182" s="5" t="s">
        <v>2025</v>
      </c>
      <c r="D7182" s="43">
        <v>50</v>
      </c>
      <c r="E7182" s="43"/>
      <c r="F7182" s="48">
        <f t="shared" si="117"/>
        <v>55693</v>
      </c>
      <c r="K7182" s="52"/>
    </row>
    <row r="7183" spans="1:11" x14ac:dyDescent="0.3">
      <c r="A7183" s="45">
        <v>43787</v>
      </c>
      <c r="B7183" s="5" t="s">
        <v>4915</v>
      </c>
      <c r="C7183" s="5" t="s">
        <v>5612</v>
      </c>
      <c r="D7183" s="43">
        <v>40000</v>
      </c>
      <c r="E7183" s="43"/>
      <c r="F7183" s="48">
        <f t="shared" si="117"/>
        <v>15693</v>
      </c>
    </row>
    <row r="7184" spans="1:11" x14ac:dyDescent="0.3">
      <c r="A7184" s="45">
        <v>43787</v>
      </c>
      <c r="B7184" s="5" t="s">
        <v>0</v>
      </c>
      <c r="C7184" s="5" t="s">
        <v>3910</v>
      </c>
      <c r="D7184" s="43">
        <v>5000</v>
      </c>
      <c r="E7184" s="43"/>
      <c r="F7184" s="48">
        <f t="shared" si="117"/>
        <v>10693</v>
      </c>
      <c r="K7184" s="52"/>
    </row>
    <row r="7185" spans="1:11" x14ac:dyDescent="0.3">
      <c r="A7185" s="45">
        <v>43787</v>
      </c>
      <c r="B7185" s="5" t="s">
        <v>4246</v>
      </c>
      <c r="C7185" s="5" t="s">
        <v>3910</v>
      </c>
      <c r="D7185" s="43">
        <v>5000</v>
      </c>
      <c r="E7185" s="43"/>
      <c r="F7185" s="48">
        <f t="shared" si="117"/>
        <v>5693</v>
      </c>
      <c r="K7185" s="52"/>
    </row>
    <row r="7186" spans="1:11" x14ac:dyDescent="0.3">
      <c r="A7186" s="45">
        <v>43787</v>
      </c>
      <c r="B7186" s="5" t="s">
        <v>84</v>
      </c>
      <c r="C7186" s="5" t="s">
        <v>5615</v>
      </c>
      <c r="D7186" s="43">
        <v>10000</v>
      </c>
      <c r="E7186" s="43"/>
      <c r="F7186" s="48">
        <f t="shared" si="117"/>
        <v>-4307</v>
      </c>
      <c r="K7186" s="52"/>
    </row>
    <row r="7187" spans="1:11" x14ac:dyDescent="0.3">
      <c r="A7187" s="45">
        <v>43787</v>
      </c>
      <c r="B7187" s="739" t="s">
        <v>5602</v>
      </c>
      <c r="C7187" s="739"/>
      <c r="D7187" s="739"/>
      <c r="E7187" s="141">
        <v>200000</v>
      </c>
      <c r="F7187" s="48">
        <f t="shared" si="117"/>
        <v>195693</v>
      </c>
      <c r="K7187" s="52"/>
    </row>
    <row r="7188" spans="1:11" x14ac:dyDescent="0.3">
      <c r="A7188" s="45">
        <v>43788</v>
      </c>
      <c r="B7188" s="5" t="s">
        <v>3138</v>
      </c>
      <c r="C7188" s="5" t="s">
        <v>5609</v>
      </c>
      <c r="D7188" s="43">
        <f>33227-568</f>
        <v>32659</v>
      </c>
      <c r="E7188" s="43"/>
      <c r="F7188" s="48">
        <f t="shared" si="117"/>
        <v>163034</v>
      </c>
      <c r="K7188" s="52"/>
    </row>
    <row r="7189" spans="1:11" x14ac:dyDescent="0.3">
      <c r="A7189" s="45">
        <v>43788</v>
      </c>
      <c r="B7189" s="5" t="s">
        <v>2926</v>
      </c>
      <c r="C7189" s="5" t="s">
        <v>5613</v>
      </c>
      <c r="D7189" s="43">
        <v>3550</v>
      </c>
      <c r="E7189" s="43"/>
      <c r="F7189" s="48">
        <f t="shared" si="117"/>
        <v>159484</v>
      </c>
      <c r="K7189" s="52"/>
    </row>
    <row r="7190" spans="1:11" x14ac:dyDescent="0.3">
      <c r="A7190" s="45">
        <v>43788</v>
      </c>
      <c r="B7190" s="5" t="s">
        <v>247</v>
      </c>
      <c r="C7190" s="41" t="s">
        <v>5616</v>
      </c>
      <c r="D7190" s="42">
        <v>1000</v>
      </c>
      <c r="E7190" s="43"/>
      <c r="F7190" s="48">
        <f t="shared" si="117"/>
        <v>158484</v>
      </c>
      <c r="K7190" s="52"/>
    </row>
    <row r="7191" spans="1:11" x14ac:dyDescent="0.3">
      <c r="A7191" s="45">
        <v>43788</v>
      </c>
      <c r="B7191" s="5" t="s">
        <v>4915</v>
      </c>
      <c r="C7191" s="5" t="s">
        <v>5617</v>
      </c>
      <c r="D7191" s="43">
        <v>15000</v>
      </c>
      <c r="E7191" s="43"/>
      <c r="F7191" s="48">
        <f t="shared" si="117"/>
        <v>143484</v>
      </c>
      <c r="K7191" s="52"/>
    </row>
    <row r="7192" spans="1:11" x14ac:dyDescent="0.3">
      <c r="A7192" s="45">
        <v>43788</v>
      </c>
      <c r="B7192" s="5" t="s">
        <v>25</v>
      </c>
      <c r="C7192" s="5" t="s">
        <v>5620</v>
      </c>
      <c r="D7192" s="43">
        <f>3558+120+120+50+50+100</f>
        <v>3998</v>
      </c>
      <c r="E7192" s="43"/>
      <c r="F7192" s="48">
        <f t="shared" si="117"/>
        <v>139486</v>
      </c>
      <c r="K7192" s="93"/>
    </row>
    <row r="7193" spans="1:11" x14ac:dyDescent="0.3">
      <c r="A7193" s="45">
        <v>43788</v>
      </c>
      <c r="B7193" s="5" t="s">
        <v>3559</v>
      </c>
      <c r="C7193" s="5" t="s">
        <v>5621</v>
      </c>
      <c r="D7193" s="43">
        <v>650</v>
      </c>
      <c r="E7193" s="43"/>
      <c r="F7193" s="48">
        <f t="shared" si="117"/>
        <v>138836</v>
      </c>
    </row>
    <row r="7194" spans="1:11" x14ac:dyDescent="0.3">
      <c r="A7194" s="45">
        <v>43788</v>
      </c>
      <c r="B7194" s="5" t="s">
        <v>5156</v>
      </c>
      <c r="C7194" s="5" t="s">
        <v>5167</v>
      </c>
      <c r="D7194" s="43">
        <v>150</v>
      </c>
      <c r="E7194" s="43"/>
      <c r="F7194" s="48">
        <f t="shared" si="117"/>
        <v>138686</v>
      </c>
    </row>
    <row r="7195" spans="1:11" x14ac:dyDescent="0.3">
      <c r="A7195" s="45">
        <v>43788</v>
      </c>
      <c r="B7195" s="5" t="s">
        <v>25</v>
      </c>
      <c r="C7195" s="5" t="s">
        <v>5639</v>
      </c>
      <c r="D7195" s="43">
        <v>9425</v>
      </c>
      <c r="E7195" s="43"/>
      <c r="F7195" s="48">
        <f t="shared" si="117"/>
        <v>129261</v>
      </c>
    </row>
    <row r="7196" spans="1:11" x14ac:dyDescent="0.3">
      <c r="A7196" s="45">
        <v>43788</v>
      </c>
      <c r="B7196" s="5" t="s">
        <v>25</v>
      </c>
      <c r="C7196" s="5" t="s">
        <v>5641</v>
      </c>
      <c r="D7196" s="43">
        <v>600</v>
      </c>
      <c r="E7196" s="43"/>
      <c r="F7196" s="48">
        <f t="shared" si="117"/>
        <v>128661</v>
      </c>
    </row>
    <row r="7197" spans="1:11" x14ac:dyDescent="0.3">
      <c r="A7197" s="45">
        <v>43788</v>
      </c>
      <c r="B7197" s="5" t="s">
        <v>25</v>
      </c>
      <c r="C7197" s="5" t="s">
        <v>5642</v>
      </c>
      <c r="D7197" s="43">
        <v>500</v>
      </c>
      <c r="E7197" s="43"/>
      <c r="F7197" s="48">
        <f t="shared" si="117"/>
        <v>128161</v>
      </c>
    </row>
    <row r="7198" spans="1:11" x14ac:dyDescent="0.3">
      <c r="A7198" s="45">
        <v>43788</v>
      </c>
      <c r="B7198" s="5" t="s">
        <v>25</v>
      </c>
      <c r="C7198" s="5" t="s">
        <v>5643</v>
      </c>
      <c r="D7198" s="43">
        <v>1020</v>
      </c>
      <c r="E7198" s="43"/>
      <c r="F7198" s="48">
        <f t="shared" si="117"/>
        <v>127141</v>
      </c>
    </row>
    <row r="7199" spans="1:11" x14ac:dyDescent="0.3">
      <c r="A7199" s="45"/>
      <c r="B7199" s="5"/>
      <c r="C7199" s="5"/>
      <c r="D7199" s="43"/>
      <c r="E7199" s="43"/>
      <c r="F7199" s="48"/>
    </row>
    <row r="7200" spans="1:11" x14ac:dyDescent="0.3">
      <c r="A7200" s="45">
        <v>43788</v>
      </c>
      <c r="B7200" s="739" t="s">
        <v>5632</v>
      </c>
      <c r="C7200" s="739"/>
      <c r="D7200" s="739"/>
      <c r="E7200" s="43"/>
      <c r="F7200" s="48">
        <v>0</v>
      </c>
    </row>
    <row r="7201" spans="1:11" x14ac:dyDescent="0.3">
      <c r="A7201" s="45">
        <v>43788</v>
      </c>
      <c r="B7201" s="739" t="s">
        <v>5633</v>
      </c>
      <c r="C7201" s="739"/>
      <c r="D7201" s="739"/>
      <c r="E7201" s="43">
        <v>1000000</v>
      </c>
      <c r="F7201" s="48">
        <f>E7201</f>
        <v>1000000</v>
      </c>
    </row>
    <row r="7202" spans="1:11" x14ac:dyDescent="0.3">
      <c r="A7202" s="45">
        <v>43788</v>
      </c>
      <c r="B7202" s="739" t="s">
        <v>5634</v>
      </c>
      <c r="C7202" s="739"/>
      <c r="D7202" s="739"/>
      <c r="E7202" s="43">
        <v>300000</v>
      </c>
      <c r="F7202" s="48">
        <f>F7201+E7202</f>
        <v>1300000</v>
      </c>
    </row>
    <row r="7203" spans="1:11" x14ac:dyDescent="0.3">
      <c r="A7203" s="45">
        <v>43809</v>
      </c>
      <c r="B7203" s="5" t="s">
        <v>25</v>
      </c>
      <c r="C7203" s="5" t="s">
        <v>5624</v>
      </c>
      <c r="D7203" s="43">
        <f>220+180</f>
        <v>400</v>
      </c>
      <c r="E7203" s="43"/>
      <c r="F7203" s="48">
        <f>F7202+E7203-D7203</f>
        <v>1299600</v>
      </c>
    </row>
    <row r="7204" spans="1:11" x14ac:dyDescent="0.3">
      <c r="A7204" s="45">
        <v>43809</v>
      </c>
      <c r="B7204" s="5" t="s">
        <v>25</v>
      </c>
      <c r="C7204" s="5" t="s">
        <v>5625</v>
      </c>
      <c r="D7204" s="43">
        <v>1500</v>
      </c>
      <c r="E7204" s="43"/>
      <c r="F7204" s="48">
        <f t="shared" ref="F7204:F7242" si="118">F7203+E7204-D7204</f>
        <v>1298100</v>
      </c>
      <c r="K7204" s="93"/>
    </row>
    <row r="7205" spans="1:11" x14ac:dyDescent="0.3">
      <c r="A7205" s="45">
        <v>43809</v>
      </c>
      <c r="B7205" s="5" t="s">
        <v>25</v>
      </c>
      <c r="C7205" s="5" t="s">
        <v>5626</v>
      </c>
      <c r="D7205" s="43">
        <v>1000</v>
      </c>
      <c r="E7205" s="43"/>
      <c r="F7205" s="48">
        <f t="shared" si="118"/>
        <v>1297100</v>
      </c>
    </row>
    <row r="7206" spans="1:11" x14ac:dyDescent="0.3">
      <c r="A7206" s="45">
        <v>43809</v>
      </c>
      <c r="B7206" s="5" t="s">
        <v>14</v>
      </c>
      <c r="C7206" s="5" t="s">
        <v>294</v>
      </c>
      <c r="D7206" s="43">
        <v>5000</v>
      </c>
      <c r="E7206" s="43"/>
      <c r="F7206" s="48">
        <f t="shared" si="118"/>
        <v>1292100</v>
      </c>
      <c r="K7206" s="93"/>
    </row>
    <row r="7207" spans="1:11" x14ac:dyDescent="0.3">
      <c r="A7207" s="45">
        <v>43809</v>
      </c>
      <c r="B7207" s="5" t="s">
        <v>2570</v>
      </c>
      <c r="C7207" s="5" t="s">
        <v>5627</v>
      </c>
      <c r="D7207" s="43">
        <v>4200</v>
      </c>
      <c r="E7207" s="43"/>
      <c r="F7207" s="48">
        <f t="shared" si="118"/>
        <v>1287900</v>
      </c>
    </row>
    <row r="7208" spans="1:11" x14ac:dyDescent="0.3">
      <c r="A7208" s="45">
        <v>43809</v>
      </c>
      <c r="B7208" s="5" t="s">
        <v>25</v>
      </c>
      <c r="C7208" s="5" t="s">
        <v>5628</v>
      </c>
      <c r="D7208" s="43">
        <v>300</v>
      </c>
      <c r="E7208" s="43"/>
      <c r="F7208" s="48">
        <f t="shared" si="118"/>
        <v>1287600</v>
      </c>
    </row>
    <row r="7209" spans="1:11" x14ac:dyDescent="0.3">
      <c r="A7209" s="45">
        <v>43809</v>
      </c>
      <c r="B7209" s="739" t="s">
        <v>5636</v>
      </c>
      <c r="C7209" s="739"/>
      <c r="D7209" s="739"/>
      <c r="E7209" s="43">
        <v>35000</v>
      </c>
      <c r="F7209" s="48">
        <f t="shared" si="118"/>
        <v>1322600</v>
      </c>
    </row>
    <row r="7210" spans="1:11" x14ac:dyDescent="0.3">
      <c r="A7210" s="45">
        <v>43809</v>
      </c>
      <c r="B7210" s="5" t="s">
        <v>25</v>
      </c>
      <c r="C7210" s="5" t="s">
        <v>2025</v>
      </c>
      <c r="D7210" s="43">
        <v>100</v>
      </c>
      <c r="E7210" s="43"/>
      <c r="F7210" s="48">
        <f t="shared" si="118"/>
        <v>1322500</v>
      </c>
    </row>
    <row r="7211" spans="1:11" x14ac:dyDescent="0.3">
      <c r="A7211" s="45">
        <v>43809</v>
      </c>
      <c r="B7211" s="5" t="s">
        <v>5288</v>
      </c>
      <c r="C7211" s="5" t="s">
        <v>4351</v>
      </c>
      <c r="D7211" s="43">
        <v>13250</v>
      </c>
      <c r="E7211" s="43"/>
      <c r="F7211" s="48">
        <f t="shared" si="118"/>
        <v>1309250</v>
      </c>
    </row>
    <row r="7212" spans="1:11" x14ac:dyDescent="0.3">
      <c r="A7212" s="45">
        <v>43809</v>
      </c>
      <c r="B7212" s="5" t="s">
        <v>2594</v>
      </c>
      <c r="C7212" s="5" t="s">
        <v>5629</v>
      </c>
      <c r="D7212" s="43">
        <v>10283</v>
      </c>
      <c r="E7212" s="43"/>
      <c r="F7212" s="48">
        <f t="shared" si="118"/>
        <v>1298967</v>
      </c>
    </row>
    <row r="7213" spans="1:11" x14ac:dyDescent="0.3">
      <c r="A7213" s="45">
        <v>43809</v>
      </c>
      <c r="B7213" s="5" t="s">
        <v>2594</v>
      </c>
      <c r="C7213" s="5" t="s">
        <v>5629</v>
      </c>
      <c r="D7213" s="43">
        <v>860</v>
      </c>
      <c r="E7213" s="43"/>
      <c r="F7213" s="48">
        <f t="shared" si="118"/>
        <v>1298107</v>
      </c>
    </row>
    <row r="7214" spans="1:11" x14ac:dyDescent="0.3">
      <c r="A7214" s="45">
        <v>43809</v>
      </c>
      <c r="B7214" s="5" t="s">
        <v>4915</v>
      </c>
      <c r="C7214" s="5" t="s">
        <v>5630</v>
      </c>
      <c r="D7214" s="43">
        <v>10000</v>
      </c>
      <c r="E7214" s="43"/>
      <c r="F7214" s="48">
        <f t="shared" si="118"/>
        <v>1288107</v>
      </c>
    </row>
    <row r="7215" spans="1:11" x14ac:dyDescent="0.3">
      <c r="A7215" s="45">
        <v>43809</v>
      </c>
      <c r="B7215" s="5" t="s">
        <v>4915</v>
      </c>
      <c r="C7215" s="5" t="s">
        <v>5631</v>
      </c>
      <c r="D7215" s="43">
        <v>15000</v>
      </c>
      <c r="E7215" s="43"/>
      <c r="F7215" s="48">
        <f t="shared" si="118"/>
        <v>1273107</v>
      </c>
    </row>
    <row r="7216" spans="1:11" x14ac:dyDescent="0.3">
      <c r="A7216" s="45">
        <v>43809</v>
      </c>
      <c r="B7216" s="5" t="s">
        <v>14</v>
      </c>
      <c r="C7216" s="5" t="s">
        <v>294</v>
      </c>
      <c r="D7216" s="43">
        <v>10000</v>
      </c>
      <c r="E7216" s="43"/>
      <c r="F7216" s="48">
        <f t="shared" si="118"/>
        <v>1263107</v>
      </c>
    </row>
    <row r="7217" spans="1:6" x14ac:dyDescent="0.3">
      <c r="A7217" s="45">
        <v>43809</v>
      </c>
      <c r="B7217" s="5" t="s">
        <v>54</v>
      </c>
      <c r="C7217" s="5" t="s">
        <v>5638</v>
      </c>
      <c r="D7217" s="43">
        <v>1000</v>
      </c>
      <c r="E7217" s="43"/>
      <c r="F7217" s="48">
        <f t="shared" si="118"/>
        <v>1262107</v>
      </c>
    </row>
    <row r="7218" spans="1:6" x14ac:dyDescent="0.3">
      <c r="A7218" s="45">
        <v>43809</v>
      </c>
      <c r="B7218" s="5" t="s">
        <v>5635</v>
      </c>
      <c r="C7218" s="5"/>
      <c r="D7218" s="43">
        <v>1457136</v>
      </c>
      <c r="E7218" s="43"/>
      <c r="F7218" s="48">
        <f t="shared" si="118"/>
        <v>-195029</v>
      </c>
    </row>
    <row r="7219" spans="1:6" x14ac:dyDescent="0.3">
      <c r="A7219" s="45">
        <v>43788</v>
      </c>
      <c r="B7219" s="739" t="s">
        <v>5634</v>
      </c>
      <c r="C7219" s="739"/>
      <c r="D7219" s="739"/>
      <c r="E7219" s="43">
        <v>300000</v>
      </c>
      <c r="F7219" s="48">
        <f t="shared" si="118"/>
        <v>104971</v>
      </c>
    </row>
    <row r="7220" spans="1:6" x14ac:dyDescent="0.3">
      <c r="A7220" s="45">
        <v>43810</v>
      </c>
      <c r="B7220" s="5" t="s">
        <v>84</v>
      </c>
      <c r="C7220" s="5" t="s">
        <v>5697</v>
      </c>
      <c r="D7220" s="43">
        <v>7000</v>
      </c>
      <c r="E7220" s="43"/>
      <c r="F7220" s="48">
        <f t="shared" si="118"/>
        <v>97971</v>
      </c>
    </row>
    <row r="7221" spans="1:6" x14ac:dyDescent="0.3">
      <c r="A7221" s="45">
        <v>43810</v>
      </c>
      <c r="B7221" s="5" t="s">
        <v>25</v>
      </c>
      <c r="C7221" s="5" t="s">
        <v>5640</v>
      </c>
      <c r="D7221" s="43">
        <v>200</v>
      </c>
      <c r="E7221" s="43"/>
      <c r="F7221" s="48">
        <f t="shared" si="118"/>
        <v>97771</v>
      </c>
    </row>
    <row r="7222" spans="1:6" x14ac:dyDescent="0.3">
      <c r="A7222" s="45">
        <v>43810</v>
      </c>
      <c r="B7222" s="5" t="s">
        <v>110</v>
      </c>
      <c r="C7222" s="5" t="s">
        <v>5644</v>
      </c>
      <c r="D7222" s="43">
        <v>650</v>
      </c>
      <c r="E7222" s="43"/>
      <c r="F7222" s="48">
        <f t="shared" si="118"/>
        <v>97121</v>
      </c>
    </row>
    <row r="7223" spans="1:6" x14ac:dyDescent="0.3">
      <c r="A7223" s="45">
        <v>43810</v>
      </c>
      <c r="B7223" s="5" t="s">
        <v>1837</v>
      </c>
      <c r="C7223" s="5" t="s">
        <v>5645</v>
      </c>
      <c r="D7223" s="43">
        <v>1000</v>
      </c>
      <c r="E7223" s="43"/>
      <c r="F7223" s="48">
        <f t="shared" si="118"/>
        <v>96121</v>
      </c>
    </row>
    <row r="7224" spans="1:6" x14ac:dyDescent="0.3">
      <c r="A7224" s="45">
        <v>43810</v>
      </c>
      <c r="B7224" s="5" t="s">
        <v>5646</v>
      </c>
      <c r="C7224" s="5" t="s">
        <v>4591</v>
      </c>
      <c r="D7224" s="43">
        <v>2000</v>
      </c>
      <c r="E7224" s="43"/>
      <c r="F7224" s="48">
        <f t="shared" si="118"/>
        <v>94121</v>
      </c>
    </row>
    <row r="7225" spans="1:6" x14ac:dyDescent="0.3">
      <c r="A7225" s="45">
        <v>43810</v>
      </c>
      <c r="B7225" s="5" t="s">
        <v>2594</v>
      </c>
      <c r="C7225" s="5" t="s">
        <v>5647</v>
      </c>
      <c r="D7225" s="43">
        <v>42605</v>
      </c>
      <c r="E7225" s="43"/>
      <c r="F7225" s="48">
        <f t="shared" si="118"/>
        <v>51516</v>
      </c>
    </row>
    <row r="7226" spans="1:6" x14ac:dyDescent="0.3">
      <c r="A7226" s="45">
        <v>43810</v>
      </c>
      <c r="B7226" s="5" t="s">
        <v>4550</v>
      </c>
      <c r="C7226" s="5" t="s">
        <v>294</v>
      </c>
      <c r="D7226" s="43">
        <v>10000</v>
      </c>
      <c r="E7226" s="43"/>
      <c r="F7226" s="48">
        <f t="shared" si="118"/>
        <v>41516</v>
      </c>
    </row>
    <row r="7227" spans="1:6" x14ac:dyDescent="0.3">
      <c r="A7227" s="45">
        <v>43810</v>
      </c>
      <c r="B7227" s="5" t="s">
        <v>16</v>
      </c>
      <c r="C7227" s="5" t="s">
        <v>4187</v>
      </c>
      <c r="D7227" s="43">
        <v>20000</v>
      </c>
      <c r="E7227" s="43"/>
      <c r="F7227" s="48">
        <f t="shared" si="118"/>
        <v>21516</v>
      </c>
    </row>
    <row r="7228" spans="1:6" x14ac:dyDescent="0.3">
      <c r="A7228" s="45">
        <v>43810</v>
      </c>
      <c r="B7228" s="5" t="s">
        <v>5648</v>
      </c>
      <c r="C7228" s="5" t="s">
        <v>5649</v>
      </c>
      <c r="D7228" s="43">
        <v>15000</v>
      </c>
      <c r="E7228" s="43"/>
      <c r="F7228" s="48">
        <f t="shared" si="118"/>
        <v>6516</v>
      </c>
    </row>
    <row r="7229" spans="1:6" x14ac:dyDescent="0.3">
      <c r="A7229" s="45">
        <v>43810</v>
      </c>
      <c r="B7229" s="739" t="s">
        <v>5774</v>
      </c>
      <c r="C7229" s="739"/>
      <c r="D7229" s="739"/>
      <c r="E7229" s="43">
        <v>45000</v>
      </c>
      <c r="F7229" s="48">
        <f t="shared" si="118"/>
        <v>51516</v>
      </c>
    </row>
    <row r="7230" spans="1:6" x14ac:dyDescent="0.3">
      <c r="A7230" s="45">
        <v>43810</v>
      </c>
      <c r="B7230" s="739" t="s">
        <v>5653</v>
      </c>
      <c r="C7230" s="739"/>
      <c r="D7230" s="739"/>
      <c r="E7230" s="43">
        <v>45000</v>
      </c>
      <c r="F7230" s="48">
        <f t="shared" si="118"/>
        <v>96516</v>
      </c>
    </row>
    <row r="7231" spans="1:6" x14ac:dyDescent="0.3">
      <c r="A7231" s="45">
        <v>43810</v>
      </c>
      <c r="B7231" s="5" t="s">
        <v>4550</v>
      </c>
      <c r="C7231" s="5" t="s">
        <v>4187</v>
      </c>
      <c r="D7231" s="43">
        <v>20000</v>
      </c>
      <c r="E7231" s="43"/>
      <c r="F7231" s="48">
        <f t="shared" si="118"/>
        <v>76516</v>
      </c>
    </row>
    <row r="7232" spans="1:6" x14ac:dyDescent="0.3">
      <c r="A7232" s="45">
        <v>43810</v>
      </c>
      <c r="B7232" s="5" t="s">
        <v>4550</v>
      </c>
      <c r="C7232" s="5" t="s">
        <v>5654</v>
      </c>
      <c r="D7232" s="43">
        <v>25000</v>
      </c>
      <c r="E7232" s="43"/>
      <c r="F7232" s="48">
        <f t="shared" si="118"/>
        <v>51516</v>
      </c>
    </row>
    <row r="7233" spans="1:6" x14ac:dyDescent="0.3">
      <c r="A7233" s="45">
        <v>43813</v>
      </c>
      <c r="B7233" s="5" t="s">
        <v>1679</v>
      </c>
      <c r="C7233" s="5" t="s">
        <v>5650</v>
      </c>
      <c r="D7233" s="43">
        <v>600</v>
      </c>
      <c r="E7233" s="43"/>
      <c r="F7233" s="48">
        <f t="shared" si="118"/>
        <v>50916</v>
      </c>
    </row>
    <row r="7234" spans="1:6" x14ac:dyDescent="0.3">
      <c r="A7234" s="45">
        <v>43815</v>
      </c>
      <c r="B7234" s="5" t="s">
        <v>25</v>
      </c>
      <c r="C7234" s="5" t="s">
        <v>5651</v>
      </c>
      <c r="D7234" s="43">
        <v>1000</v>
      </c>
      <c r="E7234" s="43"/>
      <c r="F7234" s="48">
        <f t="shared" si="118"/>
        <v>49916</v>
      </c>
    </row>
    <row r="7235" spans="1:6" x14ac:dyDescent="0.3">
      <c r="A7235" s="45">
        <v>43815</v>
      </c>
      <c r="B7235" s="5" t="s">
        <v>64</v>
      </c>
      <c r="C7235" s="5" t="s">
        <v>5652</v>
      </c>
      <c r="D7235" s="43">
        <v>2700</v>
      </c>
      <c r="E7235" s="43"/>
      <c r="F7235" s="48">
        <f t="shared" si="118"/>
        <v>47216</v>
      </c>
    </row>
    <row r="7236" spans="1:6" x14ac:dyDescent="0.3">
      <c r="A7236" s="45">
        <v>43815</v>
      </c>
      <c r="B7236" s="5" t="s">
        <v>2594</v>
      </c>
      <c r="C7236" s="5" t="s">
        <v>4187</v>
      </c>
      <c r="D7236" s="43">
        <v>13480</v>
      </c>
      <c r="E7236" s="43"/>
      <c r="F7236" s="48">
        <f t="shared" si="118"/>
        <v>33736</v>
      </c>
    </row>
    <row r="7237" spans="1:6" x14ac:dyDescent="0.3">
      <c r="A7237" s="45">
        <v>43816</v>
      </c>
      <c r="B7237" s="5" t="s">
        <v>54</v>
      </c>
      <c r="C7237" s="5" t="s">
        <v>5655</v>
      </c>
      <c r="D7237" s="43">
        <v>1000</v>
      </c>
      <c r="E7237" s="43"/>
      <c r="F7237" s="48">
        <f t="shared" si="118"/>
        <v>32736</v>
      </c>
    </row>
    <row r="7238" spans="1:6" x14ac:dyDescent="0.3">
      <c r="A7238" s="45">
        <v>43816</v>
      </c>
      <c r="B7238" s="5" t="s">
        <v>54</v>
      </c>
      <c r="C7238" s="5" t="s">
        <v>5656</v>
      </c>
      <c r="D7238" s="43">
        <v>1000</v>
      </c>
      <c r="E7238" s="43"/>
      <c r="F7238" s="48">
        <f t="shared" si="118"/>
        <v>31736</v>
      </c>
    </row>
    <row r="7239" spans="1:6" x14ac:dyDescent="0.3">
      <c r="A7239" s="45">
        <v>43816</v>
      </c>
      <c r="B7239" s="5" t="s">
        <v>2594</v>
      </c>
      <c r="C7239" s="5" t="s">
        <v>5657</v>
      </c>
      <c r="D7239" s="43">
        <v>12350</v>
      </c>
      <c r="E7239" s="43"/>
      <c r="F7239" s="48">
        <f t="shared" si="118"/>
        <v>19386</v>
      </c>
    </row>
    <row r="7240" spans="1:6" x14ac:dyDescent="0.3">
      <c r="A7240" s="45">
        <v>43816</v>
      </c>
      <c r="B7240" s="5" t="s">
        <v>5156</v>
      </c>
      <c r="C7240" s="5"/>
      <c r="D7240" s="43">
        <v>5070</v>
      </c>
      <c r="E7240" s="43"/>
      <c r="F7240" s="48">
        <f t="shared" si="118"/>
        <v>14316</v>
      </c>
    </row>
    <row r="7241" spans="1:6" x14ac:dyDescent="0.3">
      <c r="A7241" s="45">
        <v>43816</v>
      </c>
      <c r="B7241" s="5" t="s">
        <v>4552</v>
      </c>
      <c r="C7241" s="5" t="s">
        <v>3611</v>
      </c>
      <c r="D7241" s="43">
        <v>10000</v>
      </c>
      <c r="E7241" s="43"/>
      <c r="F7241" s="48">
        <f t="shared" si="118"/>
        <v>4316</v>
      </c>
    </row>
    <row r="7242" spans="1:6" x14ac:dyDescent="0.3">
      <c r="A7242" s="45">
        <v>43817</v>
      </c>
      <c r="B7242" s="5" t="s">
        <v>2594</v>
      </c>
      <c r="C7242" s="5" t="s">
        <v>5658</v>
      </c>
      <c r="D7242" s="43">
        <v>750</v>
      </c>
      <c r="E7242" s="43"/>
      <c r="F7242" s="48">
        <f t="shared" si="118"/>
        <v>3566</v>
      </c>
    </row>
    <row r="7243" spans="1:6" x14ac:dyDescent="0.3">
      <c r="A7243" s="45">
        <v>43820</v>
      </c>
      <c r="B7243" s="739" t="s">
        <v>3717</v>
      </c>
      <c r="C7243" s="739"/>
      <c r="D7243" s="739"/>
      <c r="E7243" s="43">
        <v>50000</v>
      </c>
      <c r="F7243" s="48">
        <f>F7242+E7243-D7243</f>
        <v>53566</v>
      </c>
    </row>
    <row r="7244" spans="1:6" x14ac:dyDescent="0.3">
      <c r="A7244" s="45">
        <v>43820</v>
      </c>
      <c r="B7244" s="5" t="s">
        <v>2594</v>
      </c>
      <c r="C7244" s="5" t="s">
        <v>5660</v>
      </c>
      <c r="D7244" s="43">
        <v>47621</v>
      </c>
      <c r="E7244" s="43"/>
      <c r="F7244" s="48">
        <f>F7243+E7244-D7244</f>
        <v>5945</v>
      </c>
    </row>
    <row r="7245" spans="1:6" x14ac:dyDescent="0.3">
      <c r="A7245" s="45">
        <v>43820</v>
      </c>
      <c r="B7245" s="739" t="s">
        <v>3717</v>
      </c>
      <c r="C7245" s="739"/>
      <c r="D7245" s="739"/>
      <c r="E7245" s="43">
        <v>25000</v>
      </c>
      <c r="F7245" s="48">
        <f t="shared" ref="F7245:F7308" si="119">F7244+E7245-D7245</f>
        <v>30945</v>
      </c>
    </row>
    <row r="7246" spans="1:6" x14ac:dyDescent="0.3">
      <c r="A7246" s="45">
        <v>43820</v>
      </c>
      <c r="B7246" s="5" t="s">
        <v>25</v>
      </c>
      <c r="C7246" s="5" t="s">
        <v>5661</v>
      </c>
      <c r="D7246" s="43">
        <v>600</v>
      </c>
      <c r="E7246" s="43"/>
      <c r="F7246" s="48">
        <f t="shared" si="119"/>
        <v>30345</v>
      </c>
    </row>
    <row r="7247" spans="1:6" x14ac:dyDescent="0.3">
      <c r="A7247" s="45">
        <v>43820</v>
      </c>
      <c r="B7247" s="5" t="s">
        <v>2594</v>
      </c>
      <c r="C7247" s="5" t="s">
        <v>5664</v>
      </c>
      <c r="D7247" s="43">
        <v>13900</v>
      </c>
      <c r="E7247" s="43"/>
      <c r="F7247" s="48">
        <f t="shared" si="119"/>
        <v>16445</v>
      </c>
    </row>
    <row r="7248" spans="1:6" x14ac:dyDescent="0.3">
      <c r="A7248" s="45">
        <v>43822</v>
      </c>
      <c r="B7248" s="739" t="s">
        <v>3717</v>
      </c>
      <c r="C7248" s="739"/>
      <c r="D7248" s="739"/>
      <c r="E7248" s="43">
        <v>150000</v>
      </c>
      <c r="F7248" s="48">
        <f t="shared" si="119"/>
        <v>166445</v>
      </c>
    </row>
    <row r="7249" spans="1:12" x14ac:dyDescent="0.3">
      <c r="A7249" s="45">
        <v>43822</v>
      </c>
      <c r="B7249" s="5" t="s">
        <v>4550</v>
      </c>
      <c r="C7249" s="5" t="s">
        <v>5663</v>
      </c>
      <c r="D7249" s="43">
        <v>35000</v>
      </c>
      <c r="E7249" s="43"/>
      <c r="F7249" s="48">
        <f t="shared" si="119"/>
        <v>131445</v>
      </c>
    </row>
    <row r="7250" spans="1:12" x14ac:dyDescent="0.3">
      <c r="A7250" s="45">
        <v>43822</v>
      </c>
      <c r="B7250" s="5" t="s">
        <v>4550</v>
      </c>
      <c r="C7250" s="5" t="s">
        <v>5663</v>
      </c>
      <c r="D7250" s="43">
        <v>15000</v>
      </c>
      <c r="E7250" s="43"/>
      <c r="F7250" s="48">
        <f t="shared" si="119"/>
        <v>116445</v>
      </c>
    </row>
    <row r="7251" spans="1:12" x14ac:dyDescent="0.3">
      <c r="A7251" s="45">
        <v>43822</v>
      </c>
      <c r="B7251" s="5" t="s">
        <v>2594</v>
      </c>
      <c r="C7251" s="5" t="s">
        <v>5664</v>
      </c>
      <c r="D7251" s="43">
        <v>13800</v>
      </c>
      <c r="E7251" s="43"/>
      <c r="F7251" s="48">
        <f t="shared" si="119"/>
        <v>102645</v>
      </c>
      <c r="K7251" s="52"/>
      <c r="L7251" s="52"/>
    </row>
    <row r="7252" spans="1:12" x14ac:dyDescent="0.3">
      <c r="A7252" s="45">
        <v>43822</v>
      </c>
      <c r="B7252" s="5" t="s">
        <v>5665</v>
      </c>
      <c r="C7252" s="5" t="s">
        <v>5666</v>
      </c>
      <c r="D7252" s="43">
        <v>10000</v>
      </c>
      <c r="E7252" s="43"/>
      <c r="F7252" s="48">
        <f t="shared" si="119"/>
        <v>92645</v>
      </c>
      <c r="K7252" s="52"/>
      <c r="L7252" s="52"/>
    </row>
    <row r="7253" spans="1:12" x14ac:dyDescent="0.3">
      <c r="A7253" s="45">
        <v>43822</v>
      </c>
      <c r="B7253" s="5" t="s">
        <v>2594</v>
      </c>
      <c r="C7253" s="5" t="s">
        <v>5667</v>
      </c>
      <c r="D7253" s="43">
        <v>11432</v>
      </c>
      <c r="E7253" s="43"/>
      <c r="F7253" s="48">
        <f t="shared" si="119"/>
        <v>81213</v>
      </c>
      <c r="K7253" s="52"/>
      <c r="L7253" s="52"/>
    </row>
    <row r="7254" spans="1:12" x14ac:dyDescent="0.3">
      <c r="A7254" s="45">
        <v>43822</v>
      </c>
      <c r="B7254" s="5" t="s">
        <v>1512</v>
      </c>
      <c r="C7254" s="5" t="s">
        <v>5668</v>
      </c>
      <c r="D7254" s="43">
        <v>27000</v>
      </c>
      <c r="E7254" s="43"/>
      <c r="F7254" s="48">
        <f t="shared" si="119"/>
        <v>54213</v>
      </c>
      <c r="K7254" s="52"/>
      <c r="L7254" s="52"/>
    </row>
    <row r="7255" spans="1:12" x14ac:dyDescent="0.3">
      <c r="A7255" s="45">
        <v>43822</v>
      </c>
      <c r="B7255" s="5" t="s">
        <v>5662</v>
      </c>
      <c r="C7255" s="5" t="s">
        <v>4551</v>
      </c>
      <c r="D7255" s="43">
        <v>10000</v>
      </c>
      <c r="E7255" s="43"/>
      <c r="F7255" s="48">
        <f t="shared" si="119"/>
        <v>44213</v>
      </c>
      <c r="K7255" s="52"/>
      <c r="L7255" s="52"/>
    </row>
    <row r="7256" spans="1:12" x14ac:dyDescent="0.3">
      <c r="A7256" s="45">
        <v>43822</v>
      </c>
      <c r="B7256" s="5" t="s">
        <v>14</v>
      </c>
      <c r="C7256" s="5" t="s">
        <v>294</v>
      </c>
      <c r="D7256" s="43">
        <v>5000</v>
      </c>
      <c r="E7256" s="43"/>
      <c r="F7256" s="48">
        <f t="shared" si="119"/>
        <v>39213</v>
      </c>
      <c r="K7256" s="52"/>
      <c r="L7256" s="52"/>
    </row>
    <row r="7257" spans="1:12" x14ac:dyDescent="0.3">
      <c r="A7257" s="45">
        <v>43822</v>
      </c>
      <c r="B7257" s="5" t="s">
        <v>84</v>
      </c>
      <c r="C7257" s="5" t="s">
        <v>5669</v>
      </c>
      <c r="D7257" s="43">
        <v>15000</v>
      </c>
      <c r="E7257" s="43"/>
      <c r="F7257" s="48">
        <f t="shared" si="119"/>
        <v>24213</v>
      </c>
      <c r="K7257" s="52"/>
      <c r="L7257" s="52"/>
    </row>
    <row r="7258" spans="1:12" x14ac:dyDescent="0.3">
      <c r="A7258" s="45">
        <v>43822</v>
      </c>
      <c r="B7258" s="5" t="s">
        <v>84</v>
      </c>
      <c r="C7258" s="41" t="s">
        <v>5670</v>
      </c>
      <c r="D7258" s="211">
        <v>15000</v>
      </c>
      <c r="E7258" s="43"/>
      <c r="F7258" s="48">
        <f t="shared" si="119"/>
        <v>9213</v>
      </c>
      <c r="K7258" s="52"/>
      <c r="L7258" s="52"/>
    </row>
    <row r="7259" spans="1:12" x14ac:dyDescent="0.3">
      <c r="A7259" s="45">
        <v>43822</v>
      </c>
      <c r="B7259" s="5" t="s">
        <v>84</v>
      </c>
      <c r="C7259" s="5" t="s">
        <v>5671</v>
      </c>
      <c r="D7259" s="43">
        <v>1000</v>
      </c>
      <c r="E7259" s="43"/>
      <c r="F7259" s="48">
        <f t="shared" si="119"/>
        <v>8213</v>
      </c>
      <c r="K7259" s="52"/>
      <c r="L7259" s="52"/>
    </row>
    <row r="7260" spans="1:12" x14ac:dyDescent="0.3">
      <c r="A7260" s="45">
        <v>43822</v>
      </c>
      <c r="B7260" s="739" t="s">
        <v>5672</v>
      </c>
      <c r="C7260" s="739"/>
      <c r="D7260" s="739"/>
      <c r="E7260" s="43">
        <v>3000</v>
      </c>
      <c r="F7260" s="48">
        <f t="shared" si="119"/>
        <v>11213</v>
      </c>
    </row>
    <row r="7261" spans="1:12" x14ac:dyDescent="0.3">
      <c r="A7261" s="45">
        <v>43822</v>
      </c>
      <c r="B7261" s="5" t="s">
        <v>110</v>
      </c>
      <c r="C7261" s="5" t="s">
        <v>5673</v>
      </c>
      <c r="D7261" s="43">
        <v>11000</v>
      </c>
      <c r="E7261" s="43"/>
      <c r="F7261" s="48">
        <f t="shared" si="119"/>
        <v>213</v>
      </c>
    </row>
    <row r="7262" spans="1:12" x14ac:dyDescent="0.3">
      <c r="A7262" s="45">
        <v>43823</v>
      </c>
      <c r="B7262" s="5" t="s">
        <v>25</v>
      </c>
      <c r="C7262" s="5" t="s">
        <v>5674</v>
      </c>
      <c r="D7262" s="43">
        <v>100</v>
      </c>
      <c r="E7262" s="43"/>
      <c r="F7262" s="48">
        <f t="shared" si="119"/>
        <v>113</v>
      </c>
    </row>
    <row r="7263" spans="1:12" x14ac:dyDescent="0.3">
      <c r="A7263" s="45">
        <v>43823</v>
      </c>
      <c r="B7263" s="5" t="s">
        <v>25</v>
      </c>
      <c r="C7263" s="5" t="s">
        <v>5675</v>
      </c>
      <c r="D7263" s="43">
        <v>200</v>
      </c>
      <c r="E7263" s="43"/>
      <c r="F7263" s="48">
        <f t="shared" si="119"/>
        <v>-87</v>
      </c>
      <c r="K7263" s="52"/>
      <c r="L7263" s="52"/>
    </row>
    <row r="7264" spans="1:12" x14ac:dyDescent="0.3">
      <c r="A7264" s="45">
        <v>43823</v>
      </c>
      <c r="B7264" s="5" t="s">
        <v>25</v>
      </c>
      <c r="C7264" s="5" t="s">
        <v>5676</v>
      </c>
      <c r="D7264" s="43">
        <v>200</v>
      </c>
      <c r="E7264" s="43"/>
      <c r="F7264" s="48">
        <f t="shared" si="119"/>
        <v>-287</v>
      </c>
      <c r="K7264" s="52"/>
      <c r="L7264" s="52"/>
    </row>
    <row r="7265" spans="1:12" x14ac:dyDescent="0.3">
      <c r="A7265" s="45">
        <v>43823</v>
      </c>
      <c r="B7265" s="739" t="s">
        <v>5672</v>
      </c>
      <c r="C7265" s="739"/>
      <c r="D7265" s="739"/>
      <c r="E7265" s="43">
        <v>10000</v>
      </c>
      <c r="F7265" s="48">
        <f t="shared" si="119"/>
        <v>9713</v>
      </c>
      <c r="K7265" s="52"/>
      <c r="L7265" s="52"/>
    </row>
    <row r="7266" spans="1:12" x14ac:dyDescent="0.3">
      <c r="A7266" s="45">
        <v>43823</v>
      </c>
      <c r="B7266" s="5" t="s">
        <v>2594</v>
      </c>
      <c r="C7266" s="5" t="s">
        <v>5677</v>
      </c>
      <c r="D7266" s="43">
        <v>7403</v>
      </c>
      <c r="E7266" s="43"/>
      <c r="F7266" s="48">
        <f t="shared" si="119"/>
        <v>2310</v>
      </c>
      <c r="K7266" s="52"/>
      <c r="L7266" s="52"/>
    </row>
    <row r="7267" spans="1:12" x14ac:dyDescent="0.3">
      <c r="A7267" s="45">
        <v>43825</v>
      </c>
      <c r="B7267" s="5" t="s">
        <v>25</v>
      </c>
      <c r="C7267" s="5" t="s">
        <v>5641</v>
      </c>
      <c r="D7267" s="43">
        <v>600</v>
      </c>
      <c r="E7267" s="43"/>
      <c r="F7267" s="48">
        <f t="shared" si="119"/>
        <v>1710</v>
      </c>
      <c r="K7267" s="52"/>
      <c r="L7267" s="52"/>
    </row>
    <row r="7268" spans="1:12" x14ac:dyDescent="0.3">
      <c r="A7268" s="45">
        <v>43825</v>
      </c>
      <c r="B7268" s="739" t="s">
        <v>4329</v>
      </c>
      <c r="C7268" s="739"/>
      <c r="D7268" s="739"/>
      <c r="E7268" s="43">
        <v>100000</v>
      </c>
      <c r="F7268" s="48">
        <f t="shared" si="119"/>
        <v>101710</v>
      </c>
      <c r="K7268" s="52"/>
      <c r="L7268" s="52"/>
    </row>
    <row r="7269" spans="1:12" x14ac:dyDescent="0.3">
      <c r="A7269" s="45">
        <v>43825</v>
      </c>
      <c r="B7269" s="5" t="s">
        <v>5683</v>
      </c>
      <c r="C7269" s="5" t="s">
        <v>5684</v>
      </c>
      <c r="D7269" s="43">
        <v>42000</v>
      </c>
      <c r="E7269" s="43"/>
      <c r="F7269" s="48">
        <f t="shared" si="119"/>
        <v>59710</v>
      </c>
      <c r="K7269" s="52"/>
      <c r="L7269" s="52"/>
    </row>
    <row r="7270" spans="1:12" x14ac:dyDescent="0.3">
      <c r="A7270" s="45">
        <v>43825</v>
      </c>
      <c r="B7270" s="5" t="s">
        <v>84</v>
      </c>
      <c r="C7270" s="5" t="s">
        <v>5679</v>
      </c>
      <c r="D7270" s="43">
        <v>1000</v>
      </c>
      <c r="E7270" s="43"/>
      <c r="F7270" s="48">
        <f t="shared" si="119"/>
        <v>58710</v>
      </c>
      <c r="K7270" s="52"/>
      <c r="L7270" s="52"/>
    </row>
    <row r="7271" spans="1:12" x14ac:dyDescent="0.3">
      <c r="A7271" s="45">
        <v>43825</v>
      </c>
      <c r="B7271" s="5" t="s">
        <v>14</v>
      </c>
      <c r="C7271" s="5" t="s">
        <v>294</v>
      </c>
      <c r="D7271" s="43">
        <v>1000</v>
      </c>
      <c r="E7271" s="43"/>
      <c r="F7271" s="48">
        <f t="shared" si="119"/>
        <v>57710</v>
      </c>
      <c r="K7271" s="52"/>
      <c r="L7271" s="52"/>
    </row>
    <row r="7272" spans="1:12" x14ac:dyDescent="0.3">
      <c r="A7272" s="45">
        <v>43825</v>
      </c>
      <c r="B7272" s="739" t="s">
        <v>4329</v>
      </c>
      <c r="C7272" s="739"/>
      <c r="D7272" s="739"/>
      <c r="E7272" s="43">
        <v>100000</v>
      </c>
      <c r="F7272" s="48">
        <f t="shared" si="119"/>
        <v>157710</v>
      </c>
      <c r="K7272" s="52"/>
      <c r="L7272" s="52"/>
    </row>
    <row r="7273" spans="1:12" x14ac:dyDescent="0.3">
      <c r="A7273" s="45">
        <v>43825</v>
      </c>
      <c r="B7273" s="5" t="s">
        <v>14</v>
      </c>
      <c r="C7273" s="5" t="s">
        <v>5678</v>
      </c>
      <c r="D7273" s="43">
        <v>55000</v>
      </c>
      <c r="E7273" s="43"/>
      <c r="F7273" s="48">
        <f t="shared" si="119"/>
        <v>102710</v>
      </c>
    </row>
    <row r="7274" spans="1:12" x14ac:dyDescent="0.3">
      <c r="A7274" s="45">
        <v>43825</v>
      </c>
      <c r="B7274" s="5" t="s">
        <v>25</v>
      </c>
      <c r="C7274" s="5" t="s">
        <v>5680</v>
      </c>
      <c r="D7274" s="43">
        <f>280+230+120+45+230+180+270+100+100+110+50+105+100+440+250+70+280+100</f>
        <v>3060</v>
      </c>
      <c r="E7274" s="43"/>
      <c r="F7274" s="48">
        <f t="shared" si="119"/>
        <v>99650</v>
      </c>
    </row>
    <row r="7275" spans="1:12" x14ac:dyDescent="0.3">
      <c r="A7275" s="45">
        <v>43825</v>
      </c>
      <c r="B7275" s="5" t="s">
        <v>84</v>
      </c>
      <c r="C7275" s="5" t="s">
        <v>5681</v>
      </c>
      <c r="D7275" s="43">
        <v>3000</v>
      </c>
      <c r="E7275" s="43"/>
      <c r="F7275" s="48">
        <f t="shared" si="119"/>
        <v>96650</v>
      </c>
    </row>
    <row r="7276" spans="1:12" x14ac:dyDescent="0.3">
      <c r="A7276" s="45">
        <v>43825</v>
      </c>
      <c r="B7276" s="5" t="s">
        <v>84</v>
      </c>
      <c r="C7276" s="5" t="s">
        <v>5682</v>
      </c>
      <c r="D7276" s="43">
        <v>3000</v>
      </c>
      <c r="E7276" s="43"/>
      <c r="F7276" s="48">
        <f t="shared" si="119"/>
        <v>93650</v>
      </c>
    </row>
    <row r="7277" spans="1:12" x14ac:dyDescent="0.3">
      <c r="A7277" s="45">
        <v>43825</v>
      </c>
      <c r="B7277" s="5" t="s">
        <v>84</v>
      </c>
      <c r="C7277" s="5" t="s">
        <v>5698</v>
      </c>
      <c r="D7277" s="43">
        <v>500</v>
      </c>
      <c r="E7277" s="43"/>
      <c r="F7277" s="48">
        <f t="shared" si="119"/>
        <v>93150</v>
      </c>
    </row>
    <row r="7278" spans="1:12" x14ac:dyDescent="0.3">
      <c r="A7278" s="45">
        <v>43825</v>
      </c>
      <c r="B7278" s="5" t="s">
        <v>25</v>
      </c>
      <c r="C7278" s="5" t="s">
        <v>5691</v>
      </c>
      <c r="D7278" s="43">
        <v>1170</v>
      </c>
      <c r="E7278" s="43"/>
      <c r="F7278" s="48">
        <f t="shared" si="119"/>
        <v>91980</v>
      </c>
    </row>
    <row r="7279" spans="1:12" x14ac:dyDescent="0.3">
      <c r="A7279" s="45">
        <v>43825</v>
      </c>
      <c r="B7279" s="5" t="s">
        <v>25</v>
      </c>
      <c r="C7279" s="5" t="s">
        <v>3693</v>
      </c>
      <c r="D7279" s="43">
        <v>1510</v>
      </c>
      <c r="E7279" s="43"/>
      <c r="F7279" s="48">
        <f t="shared" si="119"/>
        <v>90470</v>
      </c>
    </row>
    <row r="7280" spans="1:12" x14ac:dyDescent="0.3">
      <c r="A7280" s="45">
        <v>43825</v>
      </c>
      <c r="B7280" s="5" t="s">
        <v>25</v>
      </c>
      <c r="C7280" s="5" t="s">
        <v>5687</v>
      </c>
      <c r="D7280" s="43">
        <v>400</v>
      </c>
      <c r="E7280" s="43"/>
      <c r="F7280" s="48">
        <f t="shared" si="119"/>
        <v>90070</v>
      </c>
    </row>
    <row r="7281" spans="1:6" x14ac:dyDescent="0.3">
      <c r="A7281" s="45">
        <v>43826</v>
      </c>
      <c r="B7281" s="5" t="s">
        <v>5665</v>
      </c>
      <c r="C7281" s="5" t="s">
        <v>5685</v>
      </c>
      <c r="D7281" s="43">
        <v>50000</v>
      </c>
      <c r="E7281" s="43"/>
      <c r="F7281" s="48">
        <f t="shared" si="119"/>
        <v>40070</v>
      </c>
    </row>
    <row r="7282" spans="1:6" x14ac:dyDescent="0.3">
      <c r="A7282" s="45">
        <v>43826</v>
      </c>
      <c r="B7282" s="5" t="s">
        <v>4915</v>
      </c>
      <c r="C7282" s="5" t="s">
        <v>5686</v>
      </c>
      <c r="D7282" s="43">
        <v>20000</v>
      </c>
      <c r="E7282" s="43"/>
      <c r="F7282" s="48">
        <f t="shared" si="119"/>
        <v>20070</v>
      </c>
    </row>
    <row r="7283" spans="1:6" x14ac:dyDescent="0.3">
      <c r="A7283" s="45">
        <v>43826</v>
      </c>
      <c r="B7283" s="5" t="s">
        <v>25</v>
      </c>
      <c r="C7283" s="5" t="s">
        <v>5688</v>
      </c>
      <c r="D7283" s="43">
        <v>1500</v>
      </c>
      <c r="E7283" s="43"/>
      <c r="F7283" s="48">
        <f t="shared" si="119"/>
        <v>18570</v>
      </c>
    </row>
    <row r="7284" spans="1:6" x14ac:dyDescent="0.3">
      <c r="A7284" s="45">
        <v>43826</v>
      </c>
      <c r="B7284" s="5" t="s">
        <v>84</v>
      </c>
      <c r="C7284" s="5" t="s">
        <v>5689</v>
      </c>
      <c r="D7284" s="43">
        <v>5000</v>
      </c>
      <c r="E7284" s="43"/>
      <c r="F7284" s="48">
        <f t="shared" si="119"/>
        <v>13570</v>
      </c>
    </row>
    <row r="7285" spans="1:6" x14ac:dyDescent="0.3">
      <c r="A7285" s="45">
        <v>43826</v>
      </c>
      <c r="B7285" s="5" t="s">
        <v>2594</v>
      </c>
      <c r="C7285" s="5" t="s">
        <v>5690</v>
      </c>
      <c r="D7285" s="43">
        <v>1800</v>
      </c>
      <c r="E7285" s="43"/>
      <c r="F7285" s="48">
        <f t="shared" si="119"/>
        <v>11770</v>
      </c>
    </row>
    <row r="7286" spans="1:6" x14ac:dyDescent="0.3">
      <c r="A7286" s="45">
        <v>43826</v>
      </c>
      <c r="B7286" s="5" t="s">
        <v>84</v>
      </c>
      <c r="C7286" s="5" t="s">
        <v>5696</v>
      </c>
      <c r="D7286" s="43">
        <v>1000</v>
      </c>
      <c r="E7286" s="43"/>
      <c r="F7286" s="48">
        <f t="shared" si="119"/>
        <v>10770</v>
      </c>
    </row>
    <row r="7287" spans="1:6" x14ac:dyDescent="0.3">
      <c r="A7287" s="45">
        <v>43826</v>
      </c>
      <c r="B7287" s="5" t="s">
        <v>25</v>
      </c>
      <c r="C7287" s="5" t="s">
        <v>5692</v>
      </c>
      <c r="D7287" s="43">
        <v>1700</v>
      </c>
      <c r="E7287" s="43"/>
      <c r="F7287" s="48">
        <f t="shared" si="119"/>
        <v>9070</v>
      </c>
    </row>
    <row r="7288" spans="1:6" x14ac:dyDescent="0.3">
      <c r="A7288" s="45">
        <v>43826</v>
      </c>
      <c r="B7288" s="5" t="s">
        <v>84</v>
      </c>
      <c r="C7288" s="5" t="s">
        <v>5693</v>
      </c>
      <c r="D7288" s="43">
        <v>2000</v>
      </c>
      <c r="E7288" s="43"/>
      <c r="F7288" s="48">
        <f t="shared" si="119"/>
        <v>7070</v>
      </c>
    </row>
    <row r="7289" spans="1:6" x14ac:dyDescent="0.3">
      <c r="A7289" s="45">
        <v>43826</v>
      </c>
      <c r="B7289" s="5" t="s">
        <v>25</v>
      </c>
      <c r="C7289" s="5" t="s">
        <v>5694</v>
      </c>
      <c r="D7289" s="43">
        <v>1100</v>
      </c>
      <c r="E7289" s="43"/>
      <c r="F7289" s="48">
        <f t="shared" si="119"/>
        <v>5970</v>
      </c>
    </row>
    <row r="7290" spans="1:6" x14ac:dyDescent="0.3">
      <c r="A7290" s="45">
        <v>43826</v>
      </c>
      <c r="B7290" s="5" t="s">
        <v>1837</v>
      </c>
      <c r="C7290" s="5" t="s">
        <v>5695</v>
      </c>
      <c r="D7290" s="43">
        <v>1200</v>
      </c>
      <c r="E7290" s="43"/>
      <c r="F7290" s="48">
        <f t="shared" si="119"/>
        <v>4770</v>
      </c>
    </row>
    <row r="7291" spans="1:6" x14ac:dyDescent="0.3">
      <c r="A7291" s="45">
        <v>43830</v>
      </c>
      <c r="B7291" s="5" t="s">
        <v>110</v>
      </c>
      <c r="C7291" s="5" t="s">
        <v>91</v>
      </c>
      <c r="D7291" s="43">
        <v>600</v>
      </c>
      <c r="E7291" s="43"/>
      <c r="F7291" s="48">
        <f t="shared" si="119"/>
        <v>4170</v>
      </c>
    </row>
    <row r="7292" spans="1:6" x14ac:dyDescent="0.3">
      <c r="A7292" s="45">
        <v>43832</v>
      </c>
      <c r="B7292" s="739" t="s">
        <v>4329</v>
      </c>
      <c r="C7292" s="739"/>
      <c r="D7292" s="739"/>
      <c r="E7292" s="43">
        <v>50000</v>
      </c>
      <c r="F7292" s="48">
        <f t="shared" si="119"/>
        <v>54170</v>
      </c>
    </row>
    <row r="7293" spans="1:6" x14ac:dyDescent="0.3">
      <c r="A7293" s="45">
        <v>43832</v>
      </c>
      <c r="B7293" s="5" t="s">
        <v>2594</v>
      </c>
      <c r="C7293" s="5" t="s">
        <v>4615</v>
      </c>
      <c r="D7293" s="43">
        <v>5050</v>
      </c>
      <c r="E7293" s="43"/>
      <c r="F7293" s="48">
        <f t="shared" si="119"/>
        <v>49120</v>
      </c>
    </row>
    <row r="7294" spans="1:6" x14ac:dyDescent="0.3">
      <c r="A7294" s="45">
        <v>43832</v>
      </c>
      <c r="B7294" s="5" t="s">
        <v>10</v>
      </c>
      <c r="C7294" s="5" t="s">
        <v>5702</v>
      </c>
      <c r="D7294" s="43">
        <v>4000</v>
      </c>
      <c r="E7294" s="43"/>
      <c r="F7294" s="48">
        <f t="shared" si="119"/>
        <v>45120</v>
      </c>
    </row>
    <row r="7295" spans="1:6" x14ac:dyDescent="0.3">
      <c r="A7295" s="45">
        <v>43832</v>
      </c>
      <c r="B7295" s="5" t="s">
        <v>84</v>
      </c>
      <c r="C7295" s="5" t="s">
        <v>5703</v>
      </c>
      <c r="D7295" s="43">
        <v>1000</v>
      </c>
      <c r="E7295" s="43"/>
      <c r="F7295" s="48">
        <f t="shared" si="119"/>
        <v>44120</v>
      </c>
    </row>
    <row r="7296" spans="1:6" x14ac:dyDescent="0.3">
      <c r="A7296" s="45">
        <v>43832</v>
      </c>
      <c r="B7296" s="5" t="s">
        <v>110</v>
      </c>
      <c r="C7296" s="5" t="s">
        <v>3172</v>
      </c>
      <c r="D7296" s="43">
        <v>12000</v>
      </c>
      <c r="E7296" s="43"/>
      <c r="F7296" s="48">
        <f t="shared" si="119"/>
        <v>32120</v>
      </c>
    </row>
    <row r="7297" spans="1:12" x14ac:dyDescent="0.3">
      <c r="A7297" s="45">
        <v>43833</v>
      </c>
      <c r="B7297" s="5" t="s">
        <v>1512</v>
      </c>
      <c r="C7297" s="5" t="s">
        <v>5671</v>
      </c>
      <c r="D7297" s="43">
        <v>5000</v>
      </c>
      <c r="E7297" s="43"/>
      <c r="F7297" s="48">
        <f t="shared" si="119"/>
        <v>27120</v>
      </c>
    </row>
    <row r="7298" spans="1:12" x14ac:dyDescent="0.3">
      <c r="A7298" s="45">
        <v>43833</v>
      </c>
      <c r="B7298" s="5" t="s">
        <v>995</v>
      </c>
      <c r="C7298" s="5" t="s">
        <v>5704</v>
      </c>
      <c r="D7298" s="43">
        <v>660</v>
      </c>
      <c r="E7298" s="43"/>
      <c r="F7298" s="48">
        <f t="shared" si="119"/>
        <v>26460</v>
      </c>
    </row>
    <row r="7299" spans="1:12" x14ac:dyDescent="0.3">
      <c r="A7299" s="45">
        <v>43833</v>
      </c>
      <c r="B7299" s="5" t="s">
        <v>25</v>
      </c>
      <c r="C7299" s="5" t="s">
        <v>5705</v>
      </c>
      <c r="D7299" s="43">
        <v>400</v>
      </c>
      <c r="E7299" s="43"/>
      <c r="F7299" s="48">
        <f t="shared" si="119"/>
        <v>26060</v>
      </c>
    </row>
    <row r="7300" spans="1:12" x14ac:dyDescent="0.3">
      <c r="A7300" s="45">
        <v>43834</v>
      </c>
      <c r="B7300" s="5" t="s">
        <v>25</v>
      </c>
      <c r="C7300" s="41" t="s">
        <v>5706</v>
      </c>
      <c r="D7300" s="42">
        <v>1500</v>
      </c>
      <c r="E7300" s="43"/>
      <c r="F7300" s="48">
        <f t="shared" si="119"/>
        <v>24560</v>
      </c>
    </row>
    <row r="7301" spans="1:12" x14ac:dyDescent="0.3">
      <c r="A7301" s="45">
        <v>43834</v>
      </c>
      <c r="B7301" s="5" t="s">
        <v>2594</v>
      </c>
      <c r="C7301" s="5" t="s">
        <v>3143</v>
      </c>
      <c r="D7301" s="43">
        <v>16082</v>
      </c>
      <c r="E7301" s="43"/>
      <c r="F7301" s="48">
        <f t="shared" si="119"/>
        <v>8478</v>
      </c>
    </row>
    <row r="7302" spans="1:12" x14ac:dyDescent="0.3">
      <c r="A7302" s="45">
        <v>43834</v>
      </c>
      <c r="B7302" s="5" t="s">
        <v>2594</v>
      </c>
      <c r="C7302" s="73" t="s">
        <v>5707</v>
      </c>
      <c r="D7302" s="183">
        <v>3250</v>
      </c>
      <c r="E7302" s="43"/>
      <c r="F7302" s="48">
        <f t="shared" si="119"/>
        <v>5228</v>
      </c>
    </row>
    <row r="7303" spans="1:12" x14ac:dyDescent="0.3">
      <c r="A7303" s="45">
        <v>43834</v>
      </c>
      <c r="B7303" s="5" t="s">
        <v>84</v>
      </c>
      <c r="C7303" s="5" t="s">
        <v>5681</v>
      </c>
      <c r="D7303" s="43">
        <v>450</v>
      </c>
      <c r="E7303" s="43"/>
      <c r="F7303" s="48">
        <f t="shared" si="119"/>
        <v>4778</v>
      </c>
    </row>
    <row r="7304" spans="1:12" x14ac:dyDescent="0.3">
      <c r="A7304" s="45">
        <v>43834</v>
      </c>
      <c r="B7304" s="5" t="s">
        <v>84</v>
      </c>
      <c r="C7304" s="5" t="s">
        <v>5696</v>
      </c>
      <c r="D7304" s="43">
        <v>1000</v>
      </c>
      <c r="E7304" s="43"/>
      <c r="F7304" s="48">
        <f t="shared" si="119"/>
        <v>3778</v>
      </c>
    </row>
    <row r="7305" spans="1:12" x14ac:dyDescent="0.3">
      <c r="A7305" s="45">
        <v>43837</v>
      </c>
      <c r="B7305" s="5" t="s">
        <v>25</v>
      </c>
      <c r="C7305" s="5" t="s">
        <v>3372</v>
      </c>
      <c r="D7305" s="43">
        <v>1000</v>
      </c>
      <c r="E7305" s="43"/>
      <c r="F7305" s="48">
        <f t="shared" si="119"/>
        <v>2778</v>
      </c>
    </row>
    <row r="7306" spans="1:12" x14ac:dyDescent="0.3">
      <c r="A7306" s="45">
        <v>43837</v>
      </c>
      <c r="B7306" s="5" t="s">
        <v>2594</v>
      </c>
      <c r="C7306" s="41" t="s">
        <v>294</v>
      </c>
      <c r="D7306" s="42">
        <v>250</v>
      </c>
      <c r="E7306" s="43"/>
      <c r="F7306" s="48">
        <f t="shared" si="119"/>
        <v>2528</v>
      </c>
    </row>
    <row r="7307" spans="1:12" x14ac:dyDescent="0.3">
      <c r="A7307" s="45">
        <v>43837</v>
      </c>
      <c r="B7307" s="5" t="s">
        <v>25</v>
      </c>
      <c r="C7307" s="5" t="s">
        <v>5714</v>
      </c>
      <c r="D7307" s="43">
        <f>280+220+50+170+280+290+270+160+130</f>
        <v>1850</v>
      </c>
      <c r="E7307" s="43"/>
      <c r="F7307" s="48">
        <f t="shared" si="119"/>
        <v>678</v>
      </c>
    </row>
    <row r="7308" spans="1:12" x14ac:dyDescent="0.3">
      <c r="A7308" s="45">
        <v>43837</v>
      </c>
      <c r="B7308" s="739" t="s">
        <v>5672</v>
      </c>
      <c r="C7308" s="739"/>
      <c r="D7308" s="739"/>
      <c r="E7308" s="43">
        <v>750000</v>
      </c>
      <c r="F7308" s="48">
        <f t="shared" si="119"/>
        <v>750678</v>
      </c>
      <c r="K7308" s="52"/>
      <c r="L7308" s="52"/>
    </row>
    <row r="7309" spans="1:12" x14ac:dyDescent="0.3">
      <c r="A7309" s="45">
        <v>43837</v>
      </c>
      <c r="B7309" s="739" t="s">
        <v>5672</v>
      </c>
      <c r="C7309" s="739"/>
      <c r="D7309" s="739"/>
      <c r="E7309" s="43">
        <v>200000</v>
      </c>
      <c r="F7309" s="48">
        <f t="shared" ref="F7309:F7372" si="120">F7308+E7309-D7309</f>
        <v>950678</v>
      </c>
      <c r="K7309" s="52"/>
      <c r="L7309" s="52"/>
    </row>
    <row r="7310" spans="1:12" x14ac:dyDescent="0.3">
      <c r="A7310" s="45">
        <v>43837</v>
      </c>
      <c r="B7310" s="739" t="s">
        <v>5672</v>
      </c>
      <c r="C7310" s="739"/>
      <c r="D7310" s="739"/>
      <c r="E7310" s="43">
        <v>496000</v>
      </c>
      <c r="F7310" s="48">
        <f t="shared" si="120"/>
        <v>1446678</v>
      </c>
      <c r="K7310" s="52"/>
      <c r="L7310" s="52"/>
    </row>
    <row r="7311" spans="1:12" x14ac:dyDescent="0.3">
      <c r="A7311" s="45">
        <v>43837</v>
      </c>
      <c r="B7311" s="739" t="s">
        <v>4329</v>
      </c>
      <c r="C7311" s="739"/>
      <c r="D7311" s="739"/>
      <c r="E7311" s="43">
        <v>150000</v>
      </c>
      <c r="F7311" s="48">
        <f>F7310+E7311-D7311</f>
        <v>1596678</v>
      </c>
    </row>
    <row r="7312" spans="1:12" x14ac:dyDescent="0.3">
      <c r="A7312" s="45">
        <v>43839</v>
      </c>
      <c r="B7312" s="5" t="s">
        <v>4869</v>
      </c>
      <c r="C7312" s="5" t="s">
        <v>40</v>
      </c>
      <c r="D7312" s="43">
        <v>4200</v>
      </c>
      <c r="E7312" s="43"/>
      <c r="F7312" s="48">
        <f>F7311+E7312-D7312</f>
        <v>1592478</v>
      </c>
    </row>
    <row r="7313" spans="1:12" x14ac:dyDescent="0.3">
      <c r="A7313" s="45">
        <v>43839</v>
      </c>
      <c r="B7313" s="5" t="s">
        <v>4552</v>
      </c>
      <c r="C7313" s="5" t="s">
        <v>294</v>
      </c>
      <c r="D7313" s="43">
        <v>5000</v>
      </c>
      <c r="E7313" s="43"/>
      <c r="F7313" s="48">
        <f t="shared" si="120"/>
        <v>1587478</v>
      </c>
    </row>
    <row r="7314" spans="1:12" x14ac:dyDescent="0.3">
      <c r="A7314" s="45">
        <v>43839</v>
      </c>
      <c r="B7314" s="5" t="s">
        <v>4552</v>
      </c>
      <c r="C7314" s="5" t="s">
        <v>294</v>
      </c>
      <c r="D7314" s="43">
        <v>10000</v>
      </c>
      <c r="E7314" s="43"/>
      <c r="F7314" s="48">
        <f t="shared" si="120"/>
        <v>1577478</v>
      </c>
    </row>
    <row r="7315" spans="1:12" x14ac:dyDescent="0.3">
      <c r="A7315" s="45">
        <v>43841</v>
      </c>
      <c r="B7315" s="5" t="s">
        <v>4308</v>
      </c>
      <c r="C7315" s="5" t="s">
        <v>40</v>
      </c>
      <c r="D7315" s="43">
        <v>20000</v>
      </c>
      <c r="E7315" s="43"/>
      <c r="F7315" s="48">
        <f t="shared" si="120"/>
        <v>1557478</v>
      </c>
    </row>
    <row r="7316" spans="1:12" x14ac:dyDescent="0.3">
      <c r="A7316" s="45">
        <v>43841</v>
      </c>
      <c r="B7316" s="5" t="s">
        <v>1512</v>
      </c>
      <c r="C7316" s="5" t="s">
        <v>5708</v>
      </c>
      <c r="D7316" s="43">
        <v>300</v>
      </c>
      <c r="E7316" s="43"/>
      <c r="F7316" s="48">
        <f t="shared" si="120"/>
        <v>1557178</v>
      </c>
    </row>
    <row r="7317" spans="1:12" x14ac:dyDescent="0.3">
      <c r="A7317" s="45">
        <v>43841</v>
      </c>
      <c r="B7317" s="5" t="s">
        <v>2594</v>
      </c>
      <c r="C7317" s="5" t="s">
        <v>4192</v>
      </c>
      <c r="D7317" s="43">
        <v>20000</v>
      </c>
      <c r="E7317" s="43"/>
      <c r="F7317" s="48">
        <f t="shared" si="120"/>
        <v>1537178</v>
      </c>
    </row>
    <row r="7318" spans="1:12" x14ac:dyDescent="0.3">
      <c r="A7318" s="45">
        <v>43841</v>
      </c>
      <c r="B7318" s="5" t="s">
        <v>5709</v>
      </c>
      <c r="C7318" s="5" t="s">
        <v>5710</v>
      </c>
      <c r="D7318" s="43">
        <v>10000</v>
      </c>
      <c r="E7318" s="43"/>
      <c r="F7318" s="48">
        <f t="shared" si="120"/>
        <v>1527178</v>
      </c>
    </row>
    <row r="7319" spans="1:12" x14ac:dyDescent="0.3">
      <c r="A7319" s="45">
        <v>43841</v>
      </c>
      <c r="B7319" s="5" t="s">
        <v>4246</v>
      </c>
      <c r="C7319" s="5" t="s">
        <v>5711</v>
      </c>
      <c r="D7319" s="43">
        <v>5000</v>
      </c>
      <c r="E7319" s="43"/>
      <c r="F7319" s="48">
        <f t="shared" si="120"/>
        <v>1522178</v>
      </c>
    </row>
    <row r="7320" spans="1:12" x14ac:dyDescent="0.3">
      <c r="A7320" s="45">
        <v>43841</v>
      </c>
      <c r="B7320" s="5" t="s">
        <v>54</v>
      </c>
      <c r="C7320" s="5" t="s">
        <v>5712</v>
      </c>
      <c r="D7320" s="43">
        <v>1447198</v>
      </c>
      <c r="E7320" s="43"/>
      <c r="F7320" s="48">
        <f t="shared" si="120"/>
        <v>74980</v>
      </c>
    </row>
    <row r="7321" spans="1:12" x14ac:dyDescent="0.3">
      <c r="A7321" s="45">
        <v>43841</v>
      </c>
      <c r="B7321" s="5" t="s">
        <v>25</v>
      </c>
      <c r="C7321" s="5" t="s">
        <v>5713</v>
      </c>
      <c r="D7321" s="43">
        <v>23625</v>
      </c>
      <c r="E7321" s="43"/>
      <c r="F7321" s="48">
        <f t="shared" si="120"/>
        <v>51355</v>
      </c>
    </row>
    <row r="7322" spans="1:12" x14ac:dyDescent="0.3">
      <c r="A7322" s="45">
        <v>43843</v>
      </c>
      <c r="B7322" s="5" t="s">
        <v>3546</v>
      </c>
      <c r="C7322" s="5" t="s">
        <v>438</v>
      </c>
      <c r="D7322" s="43">
        <v>14100</v>
      </c>
      <c r="E7322" s="43"/>
      <c r="F7322" s="48">
        <f t="shared" si="120"/>
        <v>37255</v>
      </c>
    </row>
    <row r="7323" spans="1:12" x14ac:dyDescent="0.3">
      <c r="A7323" s="45">
        <v>43843</v>
      </c>
      <c r="B7323" s="5" t="s">
        <v>2594</v>
      </c>
      <c r="C7323" s="5" t="s">
        <v>5715</v>
      </c>
      <c r="D7323" s="43">
        <v>870</v>
      </c>
      <c r="E7323" s="43"/>
      <c r="F7323" s="48">
        <f t="shared" si="120"/>
        <v>36385</v>
      </c>
    </row>
    <row r="7324" spans="1:12" x14ac:dyDescent="0.3">
      <c r="A7324" s="45">
        <v>43844</v>
      </c>
      <c r="B7324" s="5" t="s">
        <v>2594</v>
      </c>
      <c r="C7324" s="5" t="s">
        <v>5716</v>
      </c>
      <c r="D7324" s="43">
        <v>7008</v>
      </c>
      <c r="E7324" s="43"/>
      <c r="F7324" s="48">
        <f t="shared" si="120"/>
        <v>29377</v>
      </c>
    </row>
    <row r="7325" spans="1:12" x14ac:dyDescent="0.3">
      <c r="A7325" s="45">
        <v>43844</v>
      </c>
      <c r="B7325" s="5" t="s">
        <v>4550</v>
      </c>
      <c r="C7325" s="5" t="s">
        <v>5722</v>
      </c>
      <c r="D7325" s="43">
        <v>5000</v>
      </c>
      <c r="E7325" s="43"/>
      <c r="F7325" s="48">
        <f t="shared" si="120"/>
        <v>24377</v>
      </c>
    </row>
    <row r="7326" spans="1:12" x14ac:dyDescent="0.3">
      <c r="A7326" s="45">
        <v>43845</v>
      </c>
      <c r="B7326" s="5" t="s">
        <v>14</v>
      </c>
      <c r="C7326" s="5" t="s">
        <v>294</v>
      </c>
      <c r="D7326" s="43">
        <v>5000</v>
      </c>
      <c r="E7326" s="43"/>
      <c r="F7326" s="48">
        <f t="shared" si="120"/>
        <v>19377</v>
      </c>
    </row>
    <row r="7327" spans="1:12" x14ac:dyDescent="0.3">
      <c r="A7327" s="45">
        <v>43845</v>
      </c>
      <c r="B7327" s="739" t="s">
        <v>5717</v>
      </c>
      <c r="C7327" s="739"/>
      <c r="D7327" s="739"/>
      <c r="E7327" s="43">
        <v>8000</v>
      </c>
      <c r="F7327" s="48">
        <f t="shared" si="120"/>
        <v>27377</v>
      </c>
      <c r="K7327" s="52"/>
      <c r="L7327" s="52"/>
    </row>
    <row r="7328" spans="1:12" x14ac:dyDescent="0.3">
      <c r="A7328" s="45">
        <v>43845</v>
      </c>
      <c r="B7328" s="73" t="s">
        <v>2594</v>
      </c>
      <c r="C7328" s="73" t="s">
        <v>2544</v>
      </c>
      <c r="D7328" s="183">
        <v>8422</v>
      </c>
      <c r="E7328" s="43"/>
      <c r="F7328" s="48">
        <f t="shared" si="120"/>
        <v>18955</v>
      </c>
    </row>
    <row r="7329" spans="1:12" x14ac:dyDescent="0.3">
      <c r="A7329" s="45">
        <v>43845</v>
      </c>
      <c r="B7329" s="73" t="s">
        <v>1787</v>
      </c>
      <c r="C7329" s="73" t="s">
        <v>40</v>
      </c>
      <c r="D7329" s="183">
        <v>3000</v>
      </c>
      <c r="E7329" s="43"/>
      <c r="F7329" s="48">
        <f t="shared" si="120"/>
        <v>15955</v>
      </c>
    </row>
    <row r="7330" spans="1:12" x14ac:dyDescent="0.3">
      <c r="A7330" s="45">
        <v>43846</v>
      </c>
      <c r="B7330" s="73" t="s">
        <v>2594</v>
      </c>
      <c r="C7330" s="73" t="s">
        <v>2544</v>
      </c>
      <c r="D7330" s="183">
        <v>8900</v>
      </c>
      <c r="E7330" s="43"/>
      <c r="F7330" s="48">
        <f t="shared" si="120"/>
        <v>7055</v>
      </c>
    </row>
    <row r="7331" spans="1:12" x14ac:dyDescent="0.3">
      <c r="A7331" s="45">
        <v>43846</v>
      </c>
      <c r="B7331" s="739" t="s">
        <v>5672</v>
      </c>
      <c r="C7331" s="739"/>
      <c r="D7331" s="739"/>
      <c r="E7331" s="43">
        <v>100000</v>
      </c>
      <c r="F7331" s="48">
        <f t="shared" si="120"/>
        <v>107055</v>
      </c>
      <c r="K7331" s="52"/>
      <c r="L7331" s="52"/>
    </row>
    <row r="7332" spans="1:12" x14ac:dyDescent="0.3">
      <c r="A7332" s="45">
        <v>43846</v>
      </c>
      <c r="B7332" s="5" t="s">
        <v>14</v>
      </c>
      <c r="C7332" s="5" t="s">
        <v>294</v>
      </c>
      <c r="D7332" s="43">
        <v>30000</v>
      </c>
      <c r="E7332" s="43"/>
      <c r="F7332" s="48">
        <f t="shared" si="120"/>
        <v>77055</v>
      </c>
    </row>
    <row r="7333" spans="1:12" x14ac:dyDescent="0.3">
      <c r="A7333" s="45">
        <v>43846</v>
      </c>
      <c r="B7333" s="5" t="s">
        <v>5718</v>
      </c>
      <c r="C7333" s="5" t="s">
        <v>40</v>
      </c>
      <c r="D7333" s="43">
        <v>70000</v>
      </c>
      <c r="E7333" s="43"/>
      <c r="F7333" s="48">
        <f t="shared" si="120"/>
        <v>7055</v>
      </c>
    </row>
    <row r="7334" spans="1:12" x14ac:dyDescent="0.3">
      <c r="A7334" s="45">
        <v>43848</v>
      </c>
      <c r="B7334" s="5" t="s">
        <v>93</v>
      </c>
      <c r="C7334" s="5" t="s">
        <v>5719</v>
      </c>
      <c r="D7334" s="43">
        <v>2000</v>
      </c>
      <c r="E7334" s="43"/>
      <c r="F7334" s="48">
        <f t="shared" si="120"/>
        <v>5055</v>
      </c>
    </row>
    <row r="7335" spans="1:12" x14ac:dyDescent="0.3">
      <c r="A7335" s="45">
        <v>43851</v>
      </c>
      <c r="B7335" s="5" t="s">
        <v>25</v>
      </c>
      <c r="C7335" s="5" t="s">
        <v>5723</v>
      </c>
      <c r="D7335" s="43">
        <f>280+280+30+220+90+130+240+60+170+170+240+260+1000+170+200</f>
        <v>3540</v>
      </c>
      <c r="E7335" s="43"/>
      <c r="F7335" s="48">
        <f t="shared" si="120"/>
        <v>1515</v>
      </c>
    </row>
    <row r="7336" spans="1:12" x14ac:dyDescent="0.3">
      <c r="A7336" s="45">
        <v>43852</v>
      </c>
      <c r="B7336" s="739" t="s">
        <v>5672</v>
      </c>
      <c r="C7336" s="739"/>
      <c r="D7336" s="739"/>
      <c r="E7336" s="43">
        <v>100000</v>
      </c>
      <c r="F7336" s="48">
        <f t="shared" si="120"/>
        <v>101515</v>
      </c>
      <c r="K7336" s="52"/>
      <c r="L7336" s="52"/>
    </row>
    <row r="7337" spans="1:12" x14ac:dyDescent="0.3">
      <c r="A7337" s="45">
        <v>43852</v>
      </c>
      <c r="B7337" s="5" t="s">
        <v>2594</v>
      </c>
      <c r="C7337" s="5" t="s">
        <v>5724</v>
      </c>
      <c r="D7337" s="43">
        <v>9750</v>
      </c>
      <c r="E7337" s="43"/>
      <c r="F7337" s="48">
        <f t="shared" si="120"/>
        <v>91765</v>
      </c>
    </row>
    <row r="7338" spans="1:12" x14ac:dyDescent="0.3">
      <c r="A7338" s="45">
        <v>43852</v>
      </c>
      <c r="B7338" s="5" t="s">
        <v>1074</v>
      </c>
      <c r="C7338" s="5" t="s">
        <v>5725</v>
      </c>
      <c r="D7338" s="43">
        <v>24088</v>
      </c>
      <c r="E7338" s="43"/>
      <c r="F7338" s="48">
        <f t="shared" si="120"/>
        <v>67677</v>
      </c>
    </row>
    <row r="7339" spans="1:12" x14ac:dyDescent="0.3">
      <c r="A7339" s="45">
        <v>43852</v>
      </c>
      <c r="B7339" s="5" t="s">
        <v>84</v>
      </c>
      <c r="C7339" s="5" t="s">
        <v>5726</v>
      </c>
      <c r="D7339" s="43">
        <v>3000</v>
      </c>
      <c r="E7339" s="43"/>
      <c r="F7339" s="48">
        <f t="shared" si="120"/>
        <v>64677</v>
      </c>
    </row>
    <row r="7340" spans="1:12" x14ac:dyDescent="0.3">
      <c r="A7340" s="45">
        <v>43852</v>
      </c>
      <c r="B7340" s="5" t="s">
        <v>0</v>
      </c>
      <c r="C7340" s="5" t="s">
        <v>5727</v>
      </c>
      <c r="D7340" s="43">
        <v>5000</v>
      </c>
      <c r="E7340" s="43"/>
      <c r="F7340" s="48">
        <f t="shared" si="120"/>
        <v>59677</v>
      </c>
    </row>
    <row r="7341" spans="1:12" x14ac:dyDescent="0.3">
      <c r="A7341" s="45">
        <v>43852</v>
      </c>
      <c r="B7341" s="5" t="s">
        <v>25</v>
      </c>
      <c r="C7341" s="5" t="s">
        <v>5738</v>
      </c>
      <c r="D7341" s="43">
        <v>450</v>
      </c>
      <c r="E7341" s="43"/>
      <c r="F7341" s="48">
        <f t="shared" si="120"/>
        <v>59227</v>
      </c>
    </row>
    <row r="7342" spans="1:12" x14ac:dyDescent="0.3">
      <c r="A7342" s="45">
        <v>43852</v>
      </c>
      <c r="B7342" s="5" t="s">
        <v>5709</v>
      </c>
      <c r="C7342" s="5" t="s">
        <v>5728</v>
      </c>
      <c r="D7342" s="43">
        <v>1730</v>
      </c>
      <c r="E7342" s="43"/>
      <c r="F7342" s="48">
        <f t="shared" si="120"/>
        <v>57497</v>
      </c>
    </row>
    <row r="7343" spans="1:12" x14ac:dyDescent="0.3">
      <c r="A7343" s="45">
        <v>43852</v>
      </c>
      <c r="B7343" s="5" t="s">
        <v>5709</v>
      </c>
      <c r="C7343" s="5" t="s">
        <v>4187</v>
      </c>
      <c r="D7343" s="43">
        <v>1000</v>
      </c>
      <c r="E7343" s="43"/>
      <c r="F7343" s="48">
        <f t="shared" si="120"/>
        <v>56497</v>
      </c>
    </row>
    <row r="7344" spans="1:12" x14ac:dyDescent="0.3">
      <c r="A7344" s="45">
        <v>43853</v>
      </c>
      <c r="B7344" s="5" t="s">
        <v>2594</v>
      </c>
      <c r="C7344" s="41" t="s">
        <v>5732</v>
      </c>
      <c r="D7344" s="42">
        <v>5000</v>
      </c>
      <c r="E7344" s="43"/>
      <c r="F7344" s="48">
        <f t="shared" si="120"/>
        <v>51497</v>
      </c>
    </row>
    <row r="7345" spans="1:12" x14ac:dyDescent="0.3">
      <c r="A7345" s="45">
        <v>43853</v>
      </c>
      <c r="B7345" s="5" t="s">
        <v>25</v>
      </c>
      <c r="C7345" s="5" t="s">
        <v>5729</v>
      </c>
      <c r="D7345" s="43">
        <v>3670</v>
      </c>
      <c r="E7345" s="43"/>
      <c r="F7345" s="48">
        <f t="shared" si="120"/>
        <v>47827</v>
      </c>
    </row>
    <row r="7346" spans="1:12" x14ac:dyDescent="0.3">
      <c r="A7346" s="45">
        <v>43853</v>
      </c>
      <c r="B7346" s="5" t="s">
        <v>14</v>
      </c>
      <c r="C7346" s="5" t="s">
        <v>5730</v>
      </c>
      <c r="D7346" s="43">
        <v>3281</v>
      </c>
      <c r="E7346" s="43"/>
      <c r="F7346" s="48">
        <f t="shared" si="120"/>
        <v>44546</v>
      </c>
    </row>
    <row r="7347" spans="1:12" x14ac:dyDescent="0.3">
      <c r="A7347" s="45">
        <v>43853</v>
      </c>
      <c r="B7347" s="5" t="s">
        <v>3559</v>
      </c>
      <c r="C7347" s="5" t="s">
        <v>91</v>
      </c>
      <c r="D7347" s="43">
        <v>650</v>
      </c>
      <c r="E7347" s="43"/>
      <c r="F7347" s="48">
        <f t="shared" si="120"/>
        <v>43896</v>
      </c>
    </row>
    <row r="7348" spans="1:12" x14ac:dyDescent="0.3">
      <c r="A7348" s="45">
        <v>43853</v>
      </c>
      <c r="B7348" s="5" t="s">
        <v>2594</v>
      </c>
      <c r="C7348" s="5" t="s">
        <v>294</v>
      </c>
      <c r="D7348" s="43">
        <v>8229</v>
      </c>
      <c r="E7348" s="43"/>
      <c r="F7348" s="48">
        <f t="shared" si="120"/>
        <v>35667</v>
      </c>
    </row>
    <row r="7349" spans="1:12" x14ac:dyDescent="0.3">
      <c r="A7349" s="45">
        <v>43854</v>
      </c>
      <c r="B7349" s="5" t="s">
        <v>2594</v>
      </c>
      <c r="C7349" s="5" t="s">
        <v>5733</v>
      </c>
      <c r="D7349" s="43">
        <v>15000</v>
      </c>
      <c r="E7349" s="43"/>
      <c r="F7349" s="48">
        <f t="shared" si="120"/>
        <v>20667</v>
      </c>
    </row>
    <row r="7350" spans="1:12" x14ac:dyDescent="0.3">
      <c r="A7350" s="45">
        <v>43854</v>
      </c>
      <c r="B7350" s="5" t="s">
        <v>541</v>
      </c>
      <c r="C7350" s="5" t="s">
        <v>5734</v>
      </c>
      <c r="D7350" s="43">
        <v>5000</v>
      </c>
      <c r="E7350" s="43"/>
      <c r="F7350" s="48">
        <f t="shared" si="120"/>
        <v>15667</v>
      </c>
    </row>
    <row r="7351" spans="1:12" x14ac:dyDescent="0.3">
      <c r="A7351" s="45">
        <v>43854</v>
      </c>
      <c r="B7351" s="5" t="s">
        <v>5646</v>
      </c>
      <c r="C7351" s="5" t="s">
        <v>5735</v>
      </c>
      <c r="D7351" s="43">
        <v>19000</v>
      </c>
      <c r="E7351" s="43"/>
      <c r="F7351" s="48">
        <f t="shared" si="120"/>
        <v>-3333</v>
      </c>
    </row>
    <row r="7352" spans="1:12" x14ac:dyDescent="0.3">
      <c r="A7352" s="45">
        <v>43854</v>
      </c>
      <c r="B7352" s="5" t="s">
        <v>25</v>
      </c>
      <c r="C7352" s="5" t="s">
        <v>5736</v>
      </c>
      <c r="D7352" s="43">
        <v>150</v>
      </c>
      <c r="E7352" s="43"/>
      <c r="F7352" s="48">
        <f t="shared" si="120"/>
        <v>-3483</v>
      </c>
    </row>
    <row r="7353" spans="1:12" x14ac:dyDescent="0.3">
      <c r="A7353" s="45">
        <v>43854</v>
      </c>
      <c r="B7353" s="5" t="s">
        <v>25</v>
      </c>
      <c r="C7353" s="5" t="s">
        <v>5737</v>
      </c>
      <c r="D7353" s="43">
        <v>455</v>
      </c>
      <c r="E7353" s="43"/>
      <c r="F7353" s="48">
        <f t="shared" si="120"/>
        <v>-3938</v>
      </c>
    </row>
    <row r="7354" spans="1:12" x14ac:dyDescent="0.3">
      <c r="A7354" s="45">
        <v>43854</v>
      </c>
      <c r="B7354" s="739" t="s">
        <v>2960</v>
      </c>
      <c r="C7354" s="739"/>
      <c r="D7354" s="739"/>
      <c r="E7354" s="43">
        <v>5000</v>
      </c>
      <c r="F7354" s="48">
        <f t="shared" si="120"/>
        <v>1062</v>
      </c>
      <c r="K7354" s="52"/>
      <c r="L7354" s="52"/>
    </row>
    <row r="7355" spans="1:12" x14ac:dyDescent="0.3">
      <c r="A7355" s="45">
        <v>43855</v>
      </c>
      <c r="B7355" s="5" t="s">
        <v>2594</v>
      </c>
      <c r="C7355" s="5" t="s">
        <v>5739</v>
      </c>
      <c r="D7355" s="43">
        <v>500</v>
      </c>
      <c r="E7355" s="43"/>
      <c r="F7355" s="48">
        <f t="shared" si="120"/>
        <v>562</v>
      </c>
    </row>
    <row r="7356" spans="1:12" x14ac:dyDescent="0.3">
      <c r="A7356" s="45">
        <v>43857</v>
      </c>
      <c r="B7356" s="5" t="s">
        <v>18</v>
      </c>
      <c r="C7356" s="5" t="s">
        <v>294</v>
      </c>
      <c r="D7356" s="43">
        <v>3000</v>
      </c>
      <c r="E7356" s="43"/>
      <c r="F7356" s="48">
        <f t="shared" si="120"/>
        <v>-2438</v>
      </c>
    </row>
    <row r="7357" spans="1:12" x14ac:dyDescent="0.3">
      <c r="A7357" s="45">
        <v>43857</v>
      </c>
      <c r="B7357" s="739" t="s">
        <v>2960</v>
      </c>
      <c r="C7357" s="739"/>
      <c r="D7357" s="739"/>
      <c r="E7357" s="43">
        <v>50000</v>
      </c>
      <c r="F7357" s="48">
        <f t="shared" si="120"/>
        <v>47562</v>
      </c>
      <c r="K7357" s="52"/>
      <c r="L7357" s="52"/>
    </row>
    <row r="7358" spans="1:12" x14ac:dyDescent="0.3">
      <c r="A7358" s="45">
        <v>43857</v>
      </c>
      <c r="B7358" s="5" t="s">
        <v>5741</v>
      </c>
      <c r="C7358" s="5" t="s">
        <v>5742</v>
      </c>
      <c r="D7358" s="43">
        <v>23000</v>
      </c>
      <c r="E7358" s="43"/>
      <c r="F7358" s="48">
        <f t="shared" si="120"/>
        <v>24562</v>
      </c>
    </row>
    <row r="7359" spans="1:12" x14ac:dyDescent="0.3">
      <c r="A7359" s="45">
        <v>43857</v>
      </c>
      <c r="B7359" s="5" t="s">
        <v>84</v>
      </c>
      <c r="C7359" s="5" t="s">
        <v>5743</v>
      </c>
      <c r="D7359" s="43">
        <v>10000</v>
      </c>
      <c r="E7359" s="43"/>
      <c r="F7359" s="48">
        <f t="shared" si="120"/>
        <v>14562</v>
      </c>
    </row>
    <row r="7360" spans="1:12" x14ac:dyDescent="0.3">
      <c r="A7360" s="45">
        <v>43857</v>
      </c>
      <c r="B7360" s="739" t="s">
        <v>5745</v>
      </c>
      <c r="C7360" s="739"/>
      <c r="D7360" s="739"/>
      <c r="E7360" s="43">
        <v>500</v>
      </c>
      <c r="F7360" s="48">
        <f t="shared" si="120"/>
        <v>15062</v>
      </c>
      <c r="K7360" s="52"/>
      <c r="L7360" s="52"/>
    </row>
    <row r="7361" spans="1:12" x14ac:dyDescent="0.3">
      <c r="A7361" s="45">
        <v>43857</v>
      </c>
      <c r="B7361" s="5" t="s">
        <v>84</v>
      </c>
      <c r="C7361" s="5" t="s">
        <v>5779</v>
      </c>
      <c r="D7361" s="43">
        <v>1000</v>
      </c>
      <c r="E7361" s="43"/>
      <c r="F7361" s="48">
        <f t="shared" si="120"/>
        <v>14062</v>
      </c>
    </row>
    <row r="7362" spans="1:12" x14ac:dyDescent="0.3">
      <c r="A7362" s="45">
        <v>43857</v>
      </c>
      <c r="B7362" s="5" t="s">
        <v>84</v>
      </c>
      <c r="C7362" s="5" t="s">
        <v>5780</v>
      </c>
      <c r="D7362" s="43">
        <v>500</v>
      </c>
      <c r="E7362" s="43"/>
      <c r="F7362" s="48">
        <f t="shared" si="120"/>
        <v>13562</v>
      </c>
    </row>
    <row r="7363" spans="1:12" x14ac:dyDescent="0.3">
      <c r="A7363" s="45">
        <v>43857</v>
      </c>
      <c r="B7363" s="5" t="s">
        <v>14</v>
      </c>
      <c r="C7363" s="5" t="s">
        <v>294</v>
      </c>
      <c r="D7363" s="43">
        <v>6000</v>
      </c>
      <c r="E7363" s="43"/>
      <c r="F7363" s="48">
        <f t="shared" si="120"/>
        <v>7562</v>
      </c>
    </row>
    <row r="7364" spans="1:12" x14ac:dyDescent="0.3">
      <c r="A7364" s="45">
        <v>43857</v>
      </c>
      <c r="B7364" s="5" t="s">
        <v>541</v>
      </c>
      <c r="C7364" s="5" t="s">
        <v>294</v>
      </c>
      <c r="D7364" s="43">
        <v>1500</v>
      </c>
      <c r="E7364" s="43"/>
      <c r="F7364" s="48">
        <f t="shared" si="120"/>
        <v>6062</v>
      </c>
    </row>
    <row r="7365" spans="1:12" x14ac:dyDescent="0.3">
      <c r="A7365" s="45">
        <v>43857</v>
      </c>
      <c r="B7365" s="5" t="s">
        <v>25</v>
      </c>
      <c r="C7365" s="5" t="s">
        <v>5744</v>
      </c>
      <c r="D7365" s="43">
        <v>350</v>
      </c>
      <c r="E7365" s="43"/>
      <c r="F7365" s="48">
        <f t="shared" si="120"/>
        <v>5712</v>
      </c>
    </row>
    <row r="7366" spans="1:12" x14ac:dyDescent="0.3">
      <c r="A7366" s="45">
        <v>43857</v>
      </c>
      <c r="B7366" s="5" t="s">
        <v>0</v>
      </c>
      <c r="C7366" s="5" t="s">
        <v>3910</v>
      </c>
      <c r="D7366" s="43">
        <v>3000</v>
      </c>
      <c r="E7366" s="43"/>
      <c r="F7366" s="48">
        <f t="shared" si="120"/>
        <v>2712</v>
      </c>
    </row>
    <row r="7367" spans="1:12" x14ac:dyDescent="0.3">
      <c r="A7367" s="45">
        <v>43858</v>
      </c>
      <c r="B7367" s="739" t="s">
        <v>2960</v>
      </c>
      <c r="C7367" s="739"/>
      <c r="D7367" s="739"/>
      <c r="E7367" s="43">
        <v>36000</v>
      </c>
      <c r="F7367" s="48">
        <f t="shared" si="120"/>
        <v>38712</v>
      </c>
      <c r="K7367" s="52"/>
      <c r="L7367" s="52"/>
    </row>
    <row r="7368" spans="1:12" x14ac:dyDescent="0.3">
      <c r="A7368" s="45">
        <v>43858</v>
      </c>
      <c r="B7368" s="5" t="s">
        <v>84</v>
      </c>
      <c r="C7368" s="5" t="s">
        <v>5781</v>
      </c>
      <c r="D7368" s="43">
        <v>5000</v>
      </c>
      <c r="E7368" s="43"/>
      <c r="F7368" s="48">
        <f t="shared" si="120"/>
        <v>33712</v>
      </c>
    </row>
    <row r="7369" spans="1:12" x14ac:dyDescent="0.3">
      <c r="A7369" s="45">
        <v>43858</v>
      </c>
      <c r="B7369" s="5" t="s">
        <v>84</v>
      </c>
      <c r="C7369" s="5" t="s">
        <v>5746</v>
      </c>
      <c r="D7369" s="43">
        <v>10000</v>
      </c>
      <c r="E7369" s="43"/>
      <c r="F7369" s="48">
        <f t="shared" si="120"/>
        <v>23712</v>
      </c>
    </row>
    <row r="7370" spans="1:12" x14ac:dyDescent="0.3">
      <c r="A7370" s="45">
        <v>43859</v>
      </c>
      <c r="B7370" s="5" t="s">
        <v>64</v>
      </c>
      <c r="C7370" s="5" t="s">
        <v>5747</v>
      </c>
      <c r="D7370" s="43">
        <v>2000</v>
      </c>
      <c r="E7370" s="43"/>
      <c r="F7370" s="48">
        <f t="shared" si="120"/>
        <v>21712</v>
      </c>
    </row>
    <row r="7371" spans="1:12" x14ac:dyDescent="0.3">
      <c r="A7371" s="45">
        <v>43859</v>
      </c>
      <c r="B7371" s="5" t="s">
        <v>14</v>
      </c>
      <c r="C7371" s="5" t="s">
        <v>294</v>
      </c>
      <c r="D7371" s="43">
        <v>11000</v>
      </c>
      <c r="E7371" s="43"/>
      <c r="F7371" s="48">
        <f t="shared" si="120"/>
        <v>10712</v>
      </c>
    </row>
    <row r="7372" spans="1:12" x14ac:dyDescent="0.3">
      <c r="A7372" s="45">
        <v>43859</v>
      </c>
      <c r="B7372" s="5" t="s">
        <v>2594</v>
      </c>
      <c r="C7372" s="5" t="s">
        <v>2544</v>
      </c>
      <c r="D7372" s="43">
        <v>4764</v>
      </c>
      <c r="E7372" s="43"/>
      <c r="F7372" s="48">
        <f t="shared" si="120"/>
        <v>5948</v>
      </c>
    </row>
    <row r="7373" spans="1:12" x14ac:dyDescent="0.3">
      <c r="A7373" s="45">
        <v>43859</v>
      </c>
      <c r="B7373" s="5" t="s">
        <v>2594</v>
      </c>
      <c r="C7373" s="5" t="s">
        <v>2544</v>
      </c>
      <c r="D7373" s="43">
        <v>2265</v>
      </c>
      <c r="E7373" s="43"/>
      <c r="F7373" s="48">
        <f t="shared" ref="F7373:F7436" si="121">F7372+E7373-D7373</f>
        <v>3683</v>
      </c>
    </row>
    <row r="7374" spans="1:12" x14ac:dyDescent="0.3">
      <c r="A7374" s="45">
        <v>43859</v>
      </c>
      <c r="B7374" s="739" t="s">
        <v>4329</v>
      </c>
      <c r="C7374" s="739"/>
      <c r="D7374" s="739"/>
      <c r="E7374" s="43">
        <v>50000</v>
      </c>
      <c r="F7374" s="48">
        <f t="shared" si="121"/>
        <v>53683</v>
      </c>
    </row>
    <row r="7375" spans="1:12" x14ac:dyDescent="0.3">
      <c r="A7375" s="45">
        <v>43859</v>
      </c>
      <c r="B7375" s="5" t="s">
        <v>2594</v>
      </c>
      <c r="C7375" s="5" t="s">
        <v>5748</v>
      </c>
      <c r="D7375" s="43">
        <v>24320</v>
      </c>
      <c r="E7375" s="43"/>
      <c r="F7375" s="48">
        <f t="shared" si="121"/>
        <v>29363</v>
      </c>
    </row>
    <row r="7376" spans="1:12" x14ac:dyDescent="0.3">
      <c r="A7376" s="45">
        <v>43859</v>
      </c>
      <c r="B7376" s="5" t="s">
        <v>2348</v>
      </c>
      <c r="C7376" s="5" t="s">
        <v>294</v>
      </c>
      <c r="D7376" s="43">
        <v>2000</v>
      </c>
      <c r="E7376" s="43"/>
      <c r="F7376" s="48">
        <f t="shared" si="121"/>
        <v>27363</v>
      </c>
    </row>
    <row r="7377" spans="1:12" x14ac:dyDescent="0.3">
      <c r="A7377" s="45">
        <v>43859</v>
      </c>
      <c r="B7377" s="5" t="s">
        <v>5749</v>
      </c>
      <c r="C7377" s="5" t="s">
        <v>5750</v>
      </c>
      <c r="D7377" s="43">
        <v>3500</v>
      </c>
      <c r="E7377" s="43"/>
      <c r="F7377" s="48">
        <f t="shared" si="121"/>
        <v>23863</v>
      </c>
    </row>
    <row r="7378" spans="1:12" x14ac:dyDescent="0.3">
      <c r="A7378" s="45">
        <v>43860</v>
      </c>
      <c r="B7378" s="5" t="s">
        <v>1679</v>
      </c>
      <c r="C7378" s="5" t="s">
        <v>5751</v>
      </c>
      <c r="D7378" s="43">
        <v>13000</v>
      </c>
      <c r="E7378" s="43"/>
      <c r="F7378" s="48">
        <f t="shared" si="121"/>
        <v>10863</v>
      </c>
    </row>
    <row r="7379" spans="1:12" x14ac:dyDescent="0.3">
      <c r="A7379" s="45">
        <v>43860</v>
      </c>
      <c r="B7379" s="5" t="s">
        <v>14</v>
      </c>
      <c r="C7379" s="5" t="s">
        <v>5752</v>
      </c>
      <c r="D7379" s="43">
        <v>2526</v>
      </c>
      <c r="E7379" s="43"/>
      <c r="F7379" s="48">
        <f t="shared" si="121"/>
        <v>8337</v>
      </c>
    </row>
    <row r="7380" spans="1:12" x14ac:dyDescent="0.3">
      <c r="A7380" s="45">
        <v>43860</v>
      </c>
      <c r="B7380" s="5" t="s">
        <v>25</v>
      </c>
      <c r="C7380" s="5" t="s">
        <v>4601</v>
      </c>
      <c r="D7380" s="43">
        <v>710</v>
      </c>
      <c r="E7380" s="43"/>
      <c r="F7380" s="48">
        <f t="shared" si="121"/>
        <v>7627</v>
      </c>
    </row>
    <row r="7381" spans="1:12" x14ac:dyDescent="0.3">
      <c r="A7381" s="45">
        <v>43860</v>
      </c>
      <c r="B7381" s="5" t="s">
        <v>25</v>
      </c>
      <c r="C7381" s="5" t="s">
        <v>3195</v>
      </c>
      <c r="D7381" s="43">
        <v>3000</v>
      </c>
      <c r="E7381" s="43"/>
      <c r="F7381" s="48">
        <f t="shared" si="121"/>
        <v>4627</v>
      </c>
    </row>
    <row r="7382" spans="1:12" x14ac:dyDescent="0.3">
      <c r="A7382" s="45">
        <v>43860</v>
      </c>
      <c r="B7382" s="5" t="s">
        <v>25</v>
      </c>
      <c r="C7382" s="5" t="s">
        <v>5753</v>
      </c>
      <c r="D7382" s="43">
        <v>470</v>
      </c>
      <c r="E7382" s="43"/>
      <c r="F7382" s="48">
        <f t="shared" si="121"/>
        <v>4157</v>
      </c>
    </row>
    <row r="7383" spans="1:12" x14ac:dyDescent="0.3">
      <c r="A7383" s="45">
        <v>43860</v>
      </c>
      <c r="B7383" s="5" t="s">
        <v>5156</v>
      </c>
      <c r="C7383" s="5"/>
      <c r="D7383" s="43">
        <v>2020</v>
      </c>
      <c r="E7383" s="43"/>
      <c r="F7383" s="48">
        <f t="shared" si="121"/>
        <v>2137</v>
      </c>
    </row>
    <row r="7384" spans="1:12" x14ac:dyDescent="0.3">
      <c r="A7384" s="45">
        <v>43860</v>
      </c>
      <c r="B7384" s="5" t="s">
        <v>25</v>
      </c>
      <c r="C7384" s="5" t="s">
        <v>5754</v>
      </c>
      <c r="D7384" s="43">
        <v>280</v>
      </c>
      <c r="E7384" s="43"/>
      <c r="F7384" s="48">
        <f t="shared" si="121"/>
        <v>1857</v>
      </c>
    </row>
    <row r="7385" spans="1:12" x14ac:dyDescent="0.3">
      <c r="A7385" s="45">
        <v>43860</v>
      </c>
      <c r="B7385" s="5" t="s">
        <v>25</v>
      </c>
      <c r="C7385" s="5" t="s">
        <v>5759</v>
      </c>
      <c r="D7385" s="43">
        <f>230+280+270+220+80+180+60+280+75+240+230</f>
        <v>2145</v>
      </c>
      <c r="E7385" s="43"/>
      <c r="F7385" s="48">
        <f t="shared" si="121"/>
        <v>-288</v>
      </c>
    </row>
    <row r="7386" spans="1:12" x14ac:dyDescent="0.3">
      <c r="A7386" s="45">
        <v>43860</v>
      </c>
      <c r="B7386" s="739" t="s">
        <v>5755</v>
      </c>
      <c r="C7386" s="739"/>
      <c r="D7386" s="739"/>
      <c r="E7386" s="43">
        <v>600000</v>
      </c>
      <c r="F7386" s="48">
        <f t="shared" si="121"/>
        <v>599712</v>
      </c>
      <c r="K7386" s="52"/>
      <c r="L7386" s="52"/>
    </row>
    <row r="7387" spans="1:12" x14ac:dyDescent="0.3">
      <c r="A7387" s="45">
        <v>43861</v>
      </c>
      <c r="B7387" s="5" t="s">
        <v>16</v>
      </c>
      <c r="C7387" s="5" t="s">
        <v>3910</v>
      </c>
      <c r="D7387" s="43">
        <v>100000</v>
      </c>
      <c r="E7387" s="43"/>
      <c r="F7387" s="48">
        <f t="shared" si="121"/>
        <v>499712</v>
      </c>
    </row>
    <row r="7388" spans="1:12" x14ac:dyDescent="0.3">
      <c r="A7388" s="45">
        <v>43861</v>
      </c>
      <c r="B7388" s="5" t="s">
        <v>84</v>
      </c>
      <c r="C7388" s="5" t="s">
        <v>5756</v>
      </c>
      <c r="D7388" s="43">
        <v>15000</v>
      </c>
      <c r="E7388" s="43"/>
      <c r="F7388" s="48">
        <f t="shared" si="121"/>
        <v>484712</v>
      </c>
    </row>
    <row r="7389" spans="1:12" x14ac:dyDescent="0.3">
      <c r="A7389" s="45">
        <v>43861</v>
      </c>
      <c r="B7389" s="5" t="s">
        <v>14</v>
      </c>
      <c r="C7389" s="5" t="s">
        <v>3910</v>
      </c>
      <c r="D7389" s="43">
        <v>5000</v>
      </c>
      <c r="E7389" s="43"/>
      <c r="F7389" s="48">
        <f t="shared" si="121"/>
        <v>479712</v>
      </c>
    </row>
    <row r="7390" spans="1:12" x14ac:dyDescent="0.3">
      <c r="A7390" s="45">
        <v>43861</v>
      </c>
      <c r="B7390" s="5" t="s">
        <v>1787</v>
      </c>
      <c r="C7390" s="5" t="s">
        <v>5757</v>
      </c>
      <c r="D7390" s="43">
        <v>2000</v>
      </c>
      <c r="E7390" s="43"/>
      <c r="F7390" s="48">
        <f t="shared" si="121"/>
        <v>477712</v>
      </c>
    </row>
    <row r="7391" spans="1:12" x14ac:dyDescent="0.3">
      <c r="A7391" s="45">
        <v>43861</v>
      </c>
      <c r="B7391" s="39" t="s">
        <v>2594</v>
      </c>
      <c r="C7391" s="39" t="s">
        <v>5758</v>
      </c>
      <c r="D7391" s="40">
        <v>1000</v>
      </c>
      <c r="E7391" s="43"/>
      <c r="F7391" s="48">
        <f t="shared" si="121"/>
        <v>476712</v>
      </c>
    </row>
    <row r="7392" spans="1:12" x14ac:dyDescent="0.3">
      <c r="A7392" s="45">
        <v>43861</v>
      </c>
      <c r="B7392" s="5" t="s">
        <v>5646</v>
      </c>
      <c r="C7392" s="5" t="s">
        <v>4187</v>
      </c>
      <c r="D7392" s="43">
        <v>500</v>
      </c>
      <c r="E7392" s="43"/>
      <c r="F7392" s="48">
        <f t="shared" si="121"/>
        <v>476212</v>
      </c>
    </row>
    <row r="7393" spans="1:6" x14ac:dyDescent="0.3">
      <c r="A7393" s="45">
        <v>43861</v>
      </c>
      <c r="B7393" s="5" t="s">
        <v>4552</v>
      </c>
      <c r="C7393" s="5" t="s">
        <v>5760</v>
      </c>
      <c r="D7393" s="43">
        <v>15000</v>
      </c>
      <c r="E7393" s="43"/>
      <c r="F7393" s="48">
        <f t="shared" si="121"/>
        <v>461212</v>
      </c>
    </row>
    <row r="7394" spans="1:6" x14ac:dyDescent="0.3">
      <c r="A7394" s="45">
        <v>43861</v>
      </c>
      <c r="B7394" s="5" t="s">
        <v>18</v>
      </c>
      <c r="C7394" s="5" t="s">
        <v>5795</v>
      </c>
      <c r="D7394" s="43">
        <v>8200</v>
      </c>
      <c r="E7394" s="43"/>
      <c r="F7394" s="48">
        <f t="shared" si="121"/>
        <v>453012</v>
      </c>
    </row>
    <row r="7395" spans="1:6" x14ac:dyDescent="0.3">
      <c r="A7395" s="45">
        <v>43861</v>
      </c>
      <c r="B7395" s="5" t="s">
        <v>5646</v>
      </c>
      <c r="C7395" s="5" t="s">
        <v>5761</v>
      </c>
      <c r="D7395" s="43">
        <v>200</v>
      </c>
      <c r="E7395" s="43"/>
      <c r="F7395" s="48">
        <f t="shared" si="121"/>
        <v>452812</v>
      </c>
    </row>
    <row r="7396" spans="1:6" x14ac:dyDescent="0.3">
      <c r="A7396" s="45">
        <v>43861</v>
      </c>
      <c r="B7396" s="5" t="s">
        <v>2674</v>
      </c>
      <c r="C7396" s="5" t="s">
        <v>30</v>
      </c>
      <c r="D7396" s="43">
        <v>100</v>
      </c>
      <c r="E7396" s="43"/>
      <c r="F7396" s="48">
        <f t="shared" si="121"/>
        <v>452712</v>
      </c>
    </row>
    <row r="7397" spans="1:6" x14ac:dyDescent="0.3">
      <c r="A7397" s="45">
        <v>43861</v>
      </c>
      <c r="B7397" s="73" t="s">
        <v>2594</v>
      </c>
      <c r="C7397" s="73" t="s">
        <v>4319</v>
      </c>
      <c r="D7397" s="183">
        <v>18388</v>
      </c>
      <c r="E7397" s="43"/>
      <c r="F7397" s="48">
        <f t="shared" si="121"/>
        <v>434324</v>
      </c>
    </row>
    <row r="7398" spans="1:6" x14ac:dyDescent="0.3">
      <c r="A7398" s="45">
        <v>43862</v>
      </c>
      <c r="B7398" s="5" t="s">
        <v>14</v>
      </c>
      <c r="C7398" s="5" t="s">
        <v>294</v>
      </c>
      <c r="D7398" s="43">
        <v>7000</v>
      </c>
      <c r="E7398" s="43"/>
      <c r="F7398" s="48">
        <f t="shared" si="121"/>
        <v>427324</v>
      </c>
    </row>
    <row r="7399" spans="1:6" x14ac:dyDescent="0.3">
      <c r="A7399" s="45">
        <v>43862</v>
      </c>
      <c r="B7399" s="5" t="s">
        <v>0</v>
      </c>
      <c r="C7399" s="5" t="s">
        <v>5762</v>
      </c>
      <c r="D7399" s="43">
        <v>500</v>
      </c>
      <c r="E7399" s="43"/>
      <c r="F7399" s="48">
        <f t="shared" si="121"/>
        <v>426824</v>
      </c>
    </row>
    <row r="7400" spans="1:6" x14ac:dyDescent="0.3">
      <c r="A7400" s="45">
        <v>43862</v>
      </c>
      <c r="B7400" s="5" t="s">
        <v>2348</v>
      </c>
      <c r="C7400" s="5" t="s">
        <v>294</v>
      </c>
      <c r="D7400" s="43">
        <v>28000</v>
      </c>
      <c r="E7400" s="43"/>
      <c r="F7400" s="48">
        <f t="shared" si="121"/>
        <v>398824</v>
      </c>
    </row>
    <row r="7401" spans="1:6" x14ac:dyDescent="0.3">
      <c r="A7401" s="45">
        <v>43862</v>
      </c>
      <c r="B7401" s="5" t="s">
        <v>247</v>
      </c>
      <c r="C7401" s="5" t="s">
        <v>2013</v>
      </c>
      <c r="D7401" s="43">
        <v>100</v>
      </c>
      <c r="E7401" s="43"/>
      <c r="F7401" s="48">
        <f t="shared" si="121"/>
        <v>398724</v>
      </c>
    </row>
    <row r="7402" spans="1:6" x14ac:dyDescent="0.3">
      <c r="A7402" s="45">
        <v>43864</v>
      </c>
      <c r="B7402" s="5" t="s">
        <v>84</v>
      </c>
      <c r="C7402" s="5" t="s">
        <v>5763</v>
      </c>
      <c r="D7402" s="43">
        <v>5000</v>
      </c>
      <c r="E7402" s="43"/>
      <c r="F7402" s="48">
        <f t="shared" si="121"/>
        <v>393724</v>
      </c>
    </row>
    <row r="7403" spans="1:6" x14ac:dyDescent="0.3">
      <c r="A7403" s="45">
        <v>43864</v>
      </c>
      <c r="B7403" s="5" t="s">
        <v>5764</v>
      </c>
      <c r="C7403" s="5" t="s">
        <v>5765</v>
      </c>
      <c r="D7403" s="43">
        <v>10000</v>
      </c>
      <c r="E7403" s="43"/>
      <c r="F7403" s="48">
        <f t="shared" si="121"/>
        <v>383724</v>
      </c>
    </row>
    <row r="7404" spans="1:6" x14ac:dyDescent="0.3">
      <c r="A7404" s="45">
        <v>43864</v>
      </c>
      <c r="B7404" s="5" t="s">
        <v>1512</v>
      </c>
      <c r="C7404" s="5" t="s">
        <v>5766</v>
      </c>
      <c r="D7404" s="43">
        <v>6000</v>
      </c>
      <c r="E7404" s="43"/>
      <c r="F7404" s="48">
        <f t="shared" si="121"/>
        <v>377724</v>
      </c>
    </row>
    <row r="7405" spans="1:6" x14ac:dyDescent="0.3">
      <c r="A7405" s="45">
        <v>43864</v>
      </c>
      <c r="B7405" s="5" t="s">
        <v>4869</v>
      </c>
      <c r="C7405" s="5" t="s">
        <v>40</v>
      </c>
      <c r="D7405" s="43">
        <v>4200</v>
      </c>
      <c r="E7405" s="43"/>
      <c r="F7405" s="48">
        <f t="shared" si="121"/>
        <v>373524</v>
      </c>
    </row>
    <row r="7406" spans="1:6" x14ac:dyDescent="0.3">
      <c r="A7406" s="45">
        <v>43864</v>
      </c>
      <c r="B7406" s="73" t="s">
        <v>2594</v>
      </c>
      <c r="C7406" s="73" t="s">
        <v>5767</v>
      </c>
      <c r="D7406" s="183">
        <v>8310</v>
      </c>
      <c r="E7406" s="43"/>
      <c r="F7406" s="48">
        <f t="shared" si="121"/>
        <v>365214</v>
      </c>
    </row>
    <row r="7407" spans="1:6" x14ac:dyDescent="0.3">
      <c r="A7407" s="45">
        <v>43864</v>
      </c>
      <c r="B7407" s="5" t="s">
        <v>5768</v>
      </c>
      <c r="C7407" s="5" t="s">
        <v>5769</v>
      </c>
      <c r="D7407" s="43">
        <v>150000</v>
      </c>
      <c r="E7407" s="43"/>
      <c r="F7407" s="48">
        <f t="shared" si="121"/>
        <v>215214</v>
      </c>
    </row>
    <row r="7408" spans="1:6" x14ac:dyDescent="0.3">
      <c r="A7408" s="45">
        <v>43864</v>
      </c>
      <c r="B7408" s="5" t="s">
        <v>3985</v>
      </c>
      <c r="C7408" s="5" t="s">
        <v>5770</v>
      </c>
      <c r="D7408" s="43">
        <v>34500</v>
      </c>
      <c r="E7408" s="43"/>
      <c r="F7408" s="48">
        <f t="shared" si="121"/>
        <v>180714</v>
      </c>
    </row>
    <row r="7409" spans="1:12" x14ac:dyDescent="0.3">
      <c r="A7409" s="45">
        <v>43864</v>
      </c>
      <c r="B7409" s="5" t="s">
        <v>10</v>
      </c>
      <c r="C7409" s="5" t="s">
        <v>5771</v>
      </c>
      <c r="D7409" s="43">
        <v>2000</v>
      </c>
      <c r="E7409" s="43"/>
      <c r="F7409" s="48">
        <f t="shared" si="121"/>
        <v>178714</v>
      </c>
    </row>
    <row r="7410" spans="1:12" x14ac:dyDescent="0.3">
      <c r="A7410" s="45">
        <v>43864</v>
      </c>
      <c r="B7410" s="5" t="s">
        <v>1616</v>
      </c>
      <c r="C7410" s="5" t="s">
        <v>2315</v>
      </c>
      <c r="D7410" s="43">
        <v>12500</v>
      </c>
      <c r="E7410" s="43"/>
      <c r="F7410" s="48">
        <f t="shared" si="121"/>
        <v>166214</v>
      </c>
    </row>
    <row r="7411" spans="1:12" x14ac:dyDescent="0.3">
      <c r="A7411" s="45">
        <v>43864</v>
      </c>
      <c r="B7411" s="5" t="s">
        <v>84</v>
      </c>
      <c r="C7411" s="5" t="s">
        <v>5772</v>
      </c>
      <c r="D7411" s="43">
        <v>5000</v>
      </c>
      <c r="E7411" s="43"/>
      <c r="F7411" s="48">
        <f t="shared" si="121"/>
        <v>161214</v>
      </c>
    </row>
    <row r="7412" spans="1:12" x14ac:dyDescent="0.3">
      <c r="A7412" s="45">
        <v>43864</v>
      </c>
      <c r="B7412" s="5" t="s">
        <v>541</v>
      </c>
      <c r="C7412" s="39" t="s">
        <v>5773</v>
      </c>
      <c r="D7412" s="40">
        <v>20000</v>
      </c>
      <c r="E7412" s="43"/>
      <c r="F7412" s="48">
        <f t="shared" si="121"/>
        <v>141214</v>
      </c>
    </row>
    <row r="7413" spans="1:12" x14ac:dyDescent="0.3">
      <c r="A7413" s="45">
        <v>43865</v>
      </c>
      <c r="B7413" s="5" t="s">
        <v>84</v>
      </c>
      <c r="C7413" s="5" t="s">
        <v>5782</v>
      </c>
      <c r="D7413" s="43">
        <v>1000</v>
      </c>
      <c r="E7413" s="43"/>
      <c r="F7413" s="48">
        <f t="shared" si="121"/>
        <v>140214</v>
      </c>
    </row>
    <row r="7414" spans="1:12" x14ac:dyDescent="0.3">
      <c r="A7414" s="45">
        <v>43867</v>
      </c>
      <c r="B7414" s="5" t="s">
        <v>25</v>
      </c>
      <c r="C7414" s="5" t="s">
        <v>5776</v>
      </c>
      <c r="D7414" s="43">
        <f>180+360+270+220+170+80+80+60+600+348+270+25</f>
        <v>2663</v>
      </c>
      <c r="E7414" s="43"/>
      <c r="F7414" s="48">
        <f t="shared" si="121"/>
        <v>137551</v>
      </c>
    </row>
    <row r="7415" spans="1:12" x14ac:dyDescent="0.3">
      <c r="A7415" s="45">
        <v>43867</v>
      </c>
      <c r="B7415" s="5" t="s">
        <v>25</v>
      </c>
      <c r="C7415" s="5" t="s">
        <v>5777</v>
      </c>
      <c r="D7415" s="43">
        <v>1400</v>
      </c>
      <c r="E7415" s="43"/>
      <c r="F7415" s="48">
        <f t="shared" si="121"/>
        <v>136151</v>
      </c>
    </row>
    <row r="7416" spans="1:12" x14ac:dyDescent="0.3">
      <c r="A7416" s="45">
        <v>43867</v>
      </c>
      <c r="B7416" s="739" t="s">
        <v>2960</v>
      </c>
      <c r="C7416" s="739"/>
      <c r="D7416" s="739"/>
      <c r="E7416" s="43">
        <v>6000</v>
      </c>
      <c r="F7416" s="48">
        <f t="shared" si="121"/>
        <v>142151</v>
      </c>
      <c r="K7416" s="52"/>
      <c r="L7416" s="52"/>
    </row>
    <row r="7417" spans="1:12" x14ac:dyDescent="0.3">
      <c r="A7417" s="45">
        <v>43867</v>
      </c>
      <c r="B7417" s="5" t="s">
        <v>4550</v>
      </c>
      <c r="C7417" s="5" t="s">
        <v>5778</v>
      </c>
      <c r="D7417" s="43">
        <v>30000</v>
      </c>
      <c r="E7417" s="43"/>
      <c r="F7417" s="48">
        <f t="shared" si="121"/>
        <v>112151</v>
      </c>
    </row>
    <row r="7418" spans="1:12" x14ac:dyDescent="0.3">
      <c r="A7418" s="45">
        <v>43867</v>
      </c>
      <c r="B7418" s="5" t="s">
        <v>25</v>
      </c>
      <c r="C7418" s="5" t="s">
        <v>5783</v>
      </c>
      <c r="D7418" s="43">
        <v>1000</v>
      </c>
      <c r="E7418" s="43"/>
      <c r="F7418" s="48">
        <f t="shared" si="121"/>
        <v>111151</v>
      </c>
    </row>
    <row r="7419" spans="1:12" x14ac:dyDescent="0.3">
      <c r="A7419" s="45">
        <v>43867</v>
      </c>
      <c r="B7419" s="739" t="s">
        <v>5786</v>
      </c>
      <c r="C7419" s="739"/>
      <c r="D7419" s="739"/>
      <c r="E7419" s="43">
        <v>650000</v>
      </c>
      <c r="F7419" s="48">
        <f t="shared" si="121"/>
        <v>761151</v>
      </c>
      <c r="K7419" s="52"/>
      <c r="L7419" s="52"/>
    </row>
    <row r="7420" spans="1:12" x14ac:dyDescent="0.3">
      <c r="A7420" s="45">
        <v>43868</v>
      </c>
      <c r="B7420" s="5" t="s">
        <v>93</v>
      </c>
      <c r="C7420" s="5" t="s">
        <v>5784</v>
      </c>
      <c r="D7420" s="43">
        <v>1000</v>
      </c>
      <c r="E7420" s="43"/>
      <c r="F7420" s="48">
        <f t="shared" si="121"/>
        <v>760151</v>
      </c>
    </row>
    <row r="7421" spans="1:12" x14ac:dyDescent="0.3">
      <c r="A7421" s="45">
        <v>43868</v>
      </c>
      <c r="B7421" s="5" t="s">
        <v>25</v>
      </c>
      <c r="C7421" s="5" t="s">
        <v>5785</v>
      </c>
      <c r="D7421" s="43">
        <v>120</v>
      </c>
      <c r="E7421" s="43"/>
      <c r="F7421" s="48">
        <f t="shared" si="121"/>
        <v>760031</v>
      </c>
    </row>
    <row r="7422" spans="1:12" x14ac:dyDescent="0.3">
      <c r="A7422" s="45">
        <v>43868</v>
      </c>
      <c r="B7422" s="739" t="s">
        <v>5786</v>
      </c>
      <c r="C7422" s="739"/>
      <c r="D7422" s="739"/>
      <c r="E7422" s="43">
        <v>700000</v>
      </c>
      <c r="F7422" s="48">
        <f t="shared" si="121"/>
        <v>1460031</v>
      </c>
    </row>
    <row r="7423" spans="1:12" x14ac:dyDescent="0.3">
      <c r="A7423" s="45">
        <v>43868</v>
      </c>
      <c r="B7423" s="5" t="s">
        <v>25</v>
      </c>
      <c r="C7423" s="5" t="s">
        <v>5108</v>
      </c>
      <c r="D7423" s="43">
        <v>1000</v>
      </c>
      <c r="E7423" s="43"/>
      <c r="F7423" s="48">
        <f t="shared" si="121"/>
        <v>1459031</v>
      </c>
    </row>
    <row r="7424" spans="1:12" x14ac:dyDescent="0.3">
      <c r="A7424" s="45">
        <v>43868</v>
      </c>
      <c r="B7424" s="73" t="s">
        <v>2594</v>
      </c>
      <c r="C7424" s="73" t="s">
        <v>5787</v>
      </c>
      <c r="D7424" s="183">
        <v>35389</v>
      </c>
      <c r="E7424" s="43"/>
      <c r="F7424" s="48">
        <f t="shared" si="121"/>
        <v>1423642</v>
      </c>
    </row>
    <row r="7425" spans="1:6" x14ac:dyDescent="0.3">
      <c r="A7425" s="45">
        <v>43868</v>
      </c>
      <c r="B7425" s="73" t="s">
        <v>0</v>
      </c>
      <c r="C7425" s="73" t="s">
        <v>5788</v>
      </c>
      <c r="D7425" s="183">
        <v>22000</v>
      </c>
      <c r="E7425" s="43"/>
      <c r="F7425" s="48">
        <f t="shared" si="121"/>
        <v>1401642</v>
      </c>
    </row>
    <row r="7426" spans="1:6" x14ac:dyDescent="0.3">
      <c r="A7426" s="45">
        <v>43868</v>
      </c>
      <c r="B7426" s="5" t="s">
        <v>84</v>
      </c>
      <c r="C7426" s="5" t="s">
        <v>5789</v>
      </c>
      <c r="D7426" s="43">
        <v>1000</v>
      </c>
      <c r="E7426" s="43"/>
      <c r="F7426" s="48">
        <f t="shared" si="121"/>
        <v>1400642</v>
      </c>
    </row>
    <row r="7427" spans="1:6" x14ac:dyDescent="0.3">
      <c r="A7427" s="45">
        <v>43868</v>
      </c>
      <c r="B7427" s="212" t="s">
        <v>14</v>
      </c>
      <c r="C7427" s="212" t="s">
        <v>4319</v>
      </c>
      <c r="D7427" s="213">
        <v>300000</v>
      </c>
      <c r="E7427" s="43"/>
      <c r="F7427" s="48">
        <f t="shared" si="121"/>
        <v>1100642</v>
      </c>
    </row>
    <row r="7428" spans="1:6" x14ac:dyDescent="0.3">
      <c r="A7428" s="45">
        <v>43868</v>
      </c>
      <c r="B7428" s="73" t="s">
        <v>5709</v>
      </c>
      <c r="C7428" s="73" t="s">
        <v>4187</v>
      </c>
      <c r="D7428" s="183">
        <v>2050</v>
      </c>
      <c r="E7428" s="43"/>
      <c r="F7428" s="48">
        <f t="shared" si="121"/>
        <v>1098592</v>
      </c>
    </row>
    <row r="7429" spans="1:6" x14ac:dyDescent="0.3">
      <c r="A7429" s="45">
        <v>43868</v>
      </c>
      <c r="B7429" s="5" t="s">
        <v>1837</v>
      </c>
      <c r="C7429" s="5" t="s">
        <v>5790</v>
      </c>
      <c r="D7429" s="43">
        <v>2000</v>
      </c>
      <c r="E7429" s="43"/>
      <c r="F7429" s="48">
        <f t="shared" si="121"/>
        <v>1096592</v>
      </c>
    </row>
    <row r="7430" spans="1:6" x14ac:dyDescent="0.3">
      <c r="A7430" s="45">
        <v>43868</v>
      </c>
      <c r="B7430" s="5" t="s">
        <v>25</v>
      </c>
      <c r="C7430" s="5" t="s">
        <v>2128</v>
      </c>
      <c r="D7430" s="43">
        <v>70</v>
      </c>
      <c r="E7430" s="43"/>
      <c r="F7430" s="48">
        <f t="shared" si="121"/>
        <v>1096522</v>
      </c>
    </row>
    <row r="7431" spans="1:6" x14ac:dyDescent="0.3">
      <c r="A7431" s="45">
        <v>43869</v>
      </c>
      <c r="B7431" s="5" t="s">
        <v>93</v>
      </c>
      <c r="C7431" s="5" t="s">
        <v>5791</v>
      </c>
      <c r="D7431" s="43">
        <v>4000</v>
      </c>
      <c r="E7431" s="43"/>
      <c r="F7431" s="48">
        <f t="shared" si="121"/>
        <v>1092522</v>
      </c>
    </row>
    <row r="7432" spans="1:6" x14ac:dyDescent="0.3">
      <c r="A7432" s="45">
        <v>43869</v>
      </c>
      <c r="B7432" s="212" t="s">
        <v>2594</v>
      </c>
      <c r="C7432" s="212" t="s">
        <v>3143</v>
      </c>
      <c r="D7432" s="213">
        <v>1920</v>
      </c>
      <c r="E7432" s="43"/>
      <c r="F7432" s="48">
        <f t="shared" si="121"/>
        <v>1090602</v>
      </c>
    </row>
    <row r="7433" spans="1:6" x14ac:dyDescent="0.3">
      <c r="A7433" s="45">
        <v>43869</v>
      </c>
      <c r="B7433" s="212" t="s">
        <v>2594</v>
      </c>
      <c r="C7433" s="212" t="s">
        <v>3143</v>
      </c>
      <c r="D7433" s="213">
        <v>7920</v>
      </c>
      <c r="E7433" s="43"/>
      <c r="F7433" s="48">
        <f t="shared" si="121"/>
        <v>1082682</v>
      </c>
    </row>
    <row r="7434" spans="1:6" x14ac:dyDescent="0.3">
      <c r="A7434" s="45">
        <v>43869</v>
      </c>
      <c r="B7434" s="5" t="s">
        <v>5792</v>
      </c>
      <c r="C7434" s="5" t="s">
        <v>4187</v>
      </c>
      <c r="D7434" s="43">
        <v>1500</v>
      </c>
      <c r="E7434" s="43"/>
      <c r="F7434" s="48">
        <f t="shared" si="121"/>
        <v>1081182</v>
      </c>
    </row>
    <row r="7435" spans="1:6" x14ac:dyDescent="0.3">
      <c r="A7435" s="45">
        <v>43871</v>
      </c>
      <c r="B7435" s="5" t="s">
        <v>5793</v>
      </c>
      <c r="C7435" s="5" t="s">
        <v>5794</v>
      </c>
      <c r="D7435" s="43">
        <v>300</v>
      </c>
      <c r="E7435" s="43"/>
      <c r="F7435" s="48">
        <f t="shared" si="121"/>
        <v>1080882</v>
      </c>
    </row>
    <row r="7436" spans="1:6" x14ac:dyDescent="0.3">
      <c r="A7436" s="45">
        <v>43871</v>
      </c>
      <c r="B7436" s="5" t="s">
        <v>84</v>
      </c>
      <c r="C7436" s="5" t="s">
        <v>5797</v>
      </c>
      <c r="D7436" s="43">
        <v>5000</v>
      </c>
      <c r="E7436" s="43"/>
      <c r="F7436" s="48">
        <f t="shared" si="121"/>
        <v>1075882</v>
      </c>
    </row>
    <row r="7437" spans="1:6" x14ac:dyDescent="0.3">
      <c r="A7437" s="45">
        <v>43872</v>
      </c>
      <c r="B7437" s="5" t="s">
        <v>25</v>
      </c>
      <c r="C7437" s="5" t="s">
        <v>5798</v>
      </c>
      <c r="D7437" s="43">
        <v>300</v>
      </c>
      <c r="E7437" s="43"/>
      <c r="F7437" s="48">
        <f t="shared" ref="F7437:F7500" si="122">F7436+E7437-D7437</f>
        <v>1075582</v>
      </c>
    </row>
    <row r="7438" spans="1:6" x14ac:dyDescent="0.3">
      <c r="A7438" s="45">
        <v>43872</v>
      </c>
      <c r="B7438" s="5" t="s">
        <v>25</v>
      </c>
      <c r="C7438" s="5" t="s">
        <v>5799</v>
      </c>
      <c r="D7438" s="43">
        <v>100</v>
      </c>
      <c r="E7438" s="43"/>
      <c r="F7438" s="48">
        <f t="shared" si="122"/>
        <v>1075482</v>
      </c>
    </row>
    <row r="7439" spans="1:6" x14ac:dyDescent="0.3">
      <c r="A7439" s="45">
        <v>43872</v>
      </c>
      <c r="B7439" s="5" t="s">
        <v>14</v>
      </c>
      <c r="C7439" s="5" t="s">
        <v>5800</v>
      </c>
      <c r="D7439" s="43">
        <v>250</v>
      </c>
      <c r="E7439" s="43"/>
      <c r="F7439" s="48">
        <f t="shared" si="122"/>
        <v>1075232</v>
      </c>
    </row>
    <row r="7440" spans="1:6" x14ac:dyDescent="0.3">
      <c r="A7440" s="45">
        <v>43872</v>
      </c>
      <c r="B7440" s="41" t="s">
        <v>2346</v>
      </c>
      <c r="C7440" s="41" t="s">
        <v>7042</v>
      </c>
      <c r="D7440" s="42">
        <v>5000</v>
      </c>
      <c r="E7440" s="43"/>
      <c r="F7440" s="48">
        <f t="shared" si="122"/>
        <v>1070232</v>
      </c>
    </row>
    <row r="7441" spans="1:6" x14ac:dyDescent="0.3">
      <c r="A7441" s="45">
        <v>43872</v>
      </c>
      <c r="B7441" s="5" t="s">
        <v>2594</v>
      </c>
      <c r="C7441" s="5" t="s">
        <v>3143</v>
      </c>
      <c r="D7441" s="43">
        <v>12210</v>
      </c>
      <c r="E7441" s="43"/>
      <c r="F7441" s="48">
        <f t="shared" si="122"/>
        <v>1058022</v>
      </c>
    </row>
    <row r="7442" spans="1:6" x14ac:dyDescent="0.3">
      <c r="A7442" s="45">
        <v>43872</v>
      </c>
      <c r="B7442" s="195" t="s">
        <v>14</v>
      </c>
      <c r="C7442" s="195" t="s">
        <v>5801</v>
      </c>
      <c r="D7442" s="196">
        <v>20000</v>
      </c>
      <c r="E7442" s="43"/>
      <c r="F7442" s="48">
        <f t="shared" si="122"/>
        <v>1038022</v>
      </c>
    </row>
    <row r="7443" spans="1:6" x14ac:dyDescent="0.3">
      <c r="A7443" s="45">
        <v>43872</v>
      </c>
      <c r="B7443" s="5" t="s">
        <v>84</v>
      </c>
      <c r="C7443" s="5" t="s">
        <v>5802</v>
      </c>
      <c r="D7443" s="43">
        <v>1000</v>
      </c>
      <c r="E7443" s="43"/>
      <c r="F7443" s="48">
        <f t="shared" si="122"/>
        <v>1037022</v>
      </c>
    </row>
    <row r="7444" spans="1:6" x14ac:dyDescent="0.3">
      <c r="A7444" s="45">
        <v>43873</v>
      </c>
      <c r="B7444" s="5" t="s">
        <v>25</v>
      </c>
      <c r="C7444" s="5" t="s">
        <v>5803</v>
      </c>
      <c r="D7444" s="183">
        <f>140+30+50+250+270+80+130+200+250</f>
        <v>1400</v>
      </c>
      <c r="E7444" s="43"/>
      <c r="F7444" s="48">
        <f t="shared" si="122"/>
        <v>1035622</v>
      </c>
    </row>
    <row r="7445" spans="1:6" x14ac:dyDescent="0.3">
      <c r="A7445" s="45">
        <v>43873</v>
      </c>
      <c r="B7445" s="5" t="s">
        <v>1787</v>
      </c>
      <c r="C7445" s="5" t="s">
        <v>5804</v>
      </c>
      <c r="D7445" s="183">
        <v>900</v>
      </c>
      <c r="E7445" s="43"/>
      <c r="F7445" s="48">
        <f t="shared" si="122"/>
        <v>1034722</v>
      </c>
    </row>
    <row r="7446" spans="1:6" x14ac:dyDescent="0.3">
      <c r="A7446" s="45">
        <v>43873</v>
      </c>
      <c r="B7446" s="5" t="s">
        <v>2594</v>
      </c>
      <c r="C7446" s="5" t="s">
        <v>5805</v>
      </c>
      <c r="D7446" s="183">
        <v>45500</v>
      </c>
      <c r="E7446" s="43"/>
      <c r="F7446" s="48">
        <f t="shared" si="122"/>
        <v>989222</v>
      </c>
    </row>
    <row r="7447" spans="1:6" x14ac:dyDescent="0.3">
      <c r="A7447" s="45">
        <v>43873</v>
      </c>
      <c r="B7447" s="5" t="s">
        <v>1787</v>
      </c>
      <c r="C7447" s="5" t="s">
        <v>5807</v>
      </c>
      <c r="D7447" s="183">
        <v>1000</v>
      </c>
      <c r="E7447" s="43"/>
      <c r="F7447" s="48">
        <f t="shared" si="122"/>
        <v>988222</v>
      </c>
    </row>
    <row r="7448" spans="1:6" x14ac:dyDescent="0.3">
      <c r="A7448" s="45">
        <v>43873</v>
      </c>
      <c r="B7448" s="212" t="s">
        <v>2594</v>
      </c>
      <c r="C7448" s="212" t="s">
        <v>5810</v>
      </c>
      <c r="D7448" s="213">
        <v>4150</v>
      </c>
      <c r="E7448" s="43"/>
      <c r="F7448" s="48">
        <f t="shared" si="122"/>
        <v>984072</v>
      </c>
    </row>
    <row r="7449" spans="1:6" x14ac:dyDescent="0.3">
      <c r="A7449" s="45">
        <v>43873</v>
      </c>
      <c r="B7449" s="5" t="s">
        <v>5156</v>
      </c>
      <c r="C7449" s="5" t="s">
        <v>5806</v>
      </c>
      <c r="D7449" s="183">
        <v>50</v>
      </c>
      <c r="E7449" s="43"/>
      <c r="F7449" s="48">
        <f t="shared" si="122"/>
        <v>984022</v>
      </c>
    </row>
    <row r="7450" spans="1:6" x14ac:dyDescent="0.3">
      <c r="A7450" s="45">
        <v>43873</v>
      </c>
      <c r="B7450" s="5" t="s">
        <v>84</v>
      </c>
      <c r="C7450" s="5" t="s">
        <v>5789</v>
      </c>
      <c r="D7450" s="43">
        <v>500</v>
      </c>
      <c r="E7450" s="43"/>
      <c r="F7450" s="48">
        <f t="shared" si="122"/>
        <v>983522</v>
      </c>
    </row>
    <row r="7451" spans="1:6" x14ac:dyDescent="0.3">
      <c r="A7451" s="45">
        <v>43873</v>
      </c>
      <c r="B7451" s="5" t="s">
        <v>25</v>
      </c>
      <c r="C7451" s="5" t="s">
        <v>5808</v>
      </c>
      <c r="D7451" s="43">
        <v>8000</v>
      </c>
      <c r="E7451" s="43"/>
      <c r="F7451" s="48">
        <f t="shared" si="122"/>
        <v>975522</v>
      </c>
    </row>
    <row r="7452" spans="1:6" x14ac:dyDescent="0.3">
      <c r="A7452" s="45">
        <v>43873</v>
      </c>
      <c r="B7452" s="5" t="s">
        <v>1679</v>
      </c>
      <c r="C7452" s="5" t="s">
        <v>5812</v>
      </c>
      <c r="D7452" s="43">
        <v>50000</v>
      </c>
      <c r="E7452" s="43"/>
      <c r="F7452" s="48">
        <f t="shared" si="122"/>
        <v>925522</v>
      </c>
    </row>
    <row r="7453" spans="1:6" x14ac:dyDescent="0.3">
      <c r="A7453" s="45">
        <v>43874</v>
      </c>
      <c r="B7453" s="739" t="s">
        <v>5809</v>
      </c>
      <c r="C7453" s="739"/>
      <c r="D7453" s="739"/>
      <c r="E7453" s="43">
        <v>500000</v>
      </c>
      <c r="F7453" s="48">
        <f t="shared" si="122"/>
        <v>1425522</v>
      </c>
    </row>
    <row r="7454" spans="1:6" x14ac:dyDescent="0.3">
      <c r="A7454" s="45">
        <v>43875</v>
      </c>
      <c r="B7454" s="739" t="s">
        <v>5836</v>
      </c>
      <c r="C7454" s="739"/>
      <c r="D7454" s="739"/>
      <c r="E7454" s="43">
        <v>150000</v>
      </c>
      <c r="F7454" s="48">
        <f t="shared" si="122"/>
        <v>1575522</v>
      </c>
    </row>
    <row r="7455" spans="1:6" x14ac:dyDescent="0.3">
      <c r="A7455" s="45">
        <v>43875</v>
      </c>
      <c r="B7455" s="5" t="s">
        <v>2594</v>
      </c>
      <c r="C7455" s="5" t="s">
        <v>5811</v>
      </c>
      <c r="D7455" s="183">
        <v>7316</v>
      </c>
      <c r="E7455" s="43"/>
      <c r="F7455" s="48">
        <f t="shared" si="122"/>
        <v>1568206</v>
      </c>
    </row>
    <row r="7456" spans="1:6" x14ac:dyDescent="0.3">
      <c r="A7456" s="45">
        <v>43875</v>
      </c>
      <c r="B7456" s="5" t="s">
        <v>1512</v>
      </c>
      <c r="C7456" s="5" t="s">
        <v>40</v>
      </c>
      <c r="D7456" s="43">
        <v>1435051</v>
      </c>
      <c r="E7456" s="43"/>
      <c r="F7456" s="48">
        <f t="shared" si="122"/>
        <v>133155</v>
      </c>
    </row>
    <row r="7457" spans="1:6" x14ac:dyDescent="0.3">
      <c r="A7457" s="45">
        <v>43876</v>
      </c>
      <c r="B7457" s="5" t="s">
        <v>0</v>
      </c>
      <c r="C7457" s="5" t="s">
        <v>5813</v>
      </c>
      <c r="D7457" s="43">
        <v>2000</v>
      </c>
      <c r="E7457" s="43"/>
      <c r="F7457" s="48">
        <f t="shared" si="122"/>
        <v>131155</v>
      </c>
    </row>
    <row r="7458" spans="1:6" x14ac:dyDescent="0.3">
      <c r="A7458" s="45">
        <v>43876</v>
      </c>
      <c r="B7458" s="5" t="s">
        <v>1970</v>
      </c>
      <c r="C7458" s="5" t="s">
        <v>5814</v>
      </c>
      <c r="D7458" s="43">
        <v>80000</v>
      </c>
      <c r="E7458" s="43"/>
      <c r="F7458" s="48">
        <f t="shared" si="122"/>
        <v>51155</v>
      </c>
    </row>
    <row r="7459" spans="1:6" x14ac:dyDescent="0.3">
      <c r="A7459" s="45">
        <v>43876</v>
      </c>
      <c r="B7459" s="5" t="s">
        <v>110</v>
      </c>
      <c r="C7459" s="5" t="s">
        <v>2248</v>
      </c>
      <c r="D7459" s="43">
        <v>3500</v>
      </c>
      <c r="E7459" s="43"/>
      <c r="F7459" s="48">
        <f t="shared" si="122"/>
        <v>47655</v>
      </c>
    </row>
    <row r="7460" spans="1:6" x14ac:dyDescent="0.3">
      <c r="A7460" s="45">
        <v>43876</v>
      </c>
      <c r="B7460" s="73" t="s">
        <v>5709</v>
      </c>
      <c r="C7460" s="212" t="s">
        <v>5815</v>
      </c>
      <c r="D7460" s="213">
        <v>2000</v>
      </c>
      <c r="E7460" s="43"/>
      <c r="F7460" s="48">
        <f t="shared" si="122"/>
        <v>45655</v>
      </c>
    </row>
    <row r="7461" spans="1:6" x14ac:dyDescent="0.3">
      <c r="A7461" s="45">
        <v>43876</v>
      </c>
      <c r="B7461" s="5" t="s">
        <v>5665</v>
      </c>
      <c r="C7461" s="5" t="s">
        <v>5816</v>
      </c>
      <c r="D7461" s="43">
        <v>15000</v>
      </c>
      <c r="E7461" s="43"/>
      <c r="F7461" s="48">
        <f t="shared" si="122"/>
        <v>30655</v>
      </c>
    </row>
    <row r="7462" spans="1:6" x14ac:dyDescent="0.3">
      <c r="A7462" s="45">
        <v>43878</v>
      </c>
      <c r="B7462" s="739" t="s">
        <v>5818</v>
      </c>
      <c r="C7462" s="739"/>
      <c r="D7462" s="739"/>
      <c r="E7462" s="43">
        <v>508775</v>
      </c>
      <c r="F7462" s="48">
        <f t="shared" si="122"/>
        <v>539430</v>
      </c>
    </row>
    <row r="7463" spans="1:6" x14ac:dyDescent="0.3">
      <c r="A7463" s="45">
        <v>43878</v>
      </c>
      <c r="B7463" s="5" t="s">
        <v>5500</v>
      </c>
      <c r="C7463" s="5" t="s">
        <v>5817</v>
      </c>
      <c r="D7463" s="43">
        <v>80000</v>
      </c>
      <c r="E7463" s="43"/>
      <c r="F7463" s="48">
        <f t="shared" si="122"/>
        <v>459430</v>
      </c>
    </row>
    <row r="7464" spans="1:6" x14ac:dyDescent="0.3">
      <c r="A7464" s="45">
        <v>43878</v>
      </c>
      <c r="B7464" s="5" t="s">
        <v>0</v>
      </c>
      <c r="C7464" s="5" t="s">
        <v>5819</v>
      </c>
      <c r="D7464" s="43">
        <v>62000</v>
      </c>
      <c r="E7464" s="43"/>
      <c r="F7464" s="48">
        <f t="shared" si="122"/>
        <v>397430</v>
      </c>
    </row>
    <row r="7465" spans="1:6" x14ac:dyDescent="0.3">
      <c r="A7465" s="45">
        <v>43878</v>
      </c>
      <c r="B7465" s="5" t="s">
        <v>2594</v>
      </c>
      <c r="C7465" s="5" t="s">
        <v>5833</v>
      </c>
      <c r="D7465" s="43">
        <v>39510</v>
      </c>
      <c r="E7465" s="43"/>
      <c r="F7465" s="48">
        <f t="shared" si="122"/>
        <v>357920</v>
      </c>
    </row>
    <row r="7466" spans="1:6" x14ac:dyDescent="0.3">
      <c r="A7466" s="45">
        <v>43878</v>
      </c>
      <c r="B7466" s="5" t="s">
        <v>2594</v>
      </c>
      <c r="C7466" s="5" t="s">
        <v>5819</v>
      </c>
      <c r="D7466" s="43">
        <v>3941</v>
      </c>
      <c r="E7466" s="43"/>
      <c r="F7466" s="48">
        <f t="shared" si="122"/>
        <v>353979</v>
      </c>
    </row>
    <row r="7467" spans="1:6" x14ac:dyDescent="0.3">
      <c r="A7467" s="45">
        <v>43878</v>
      </c>
      <c r="B7467" s="5" t="s">
        <v>4552</v>
      </c>
      <c r="C7467" s="5" t="s">
        <v>5820</v>
      </c>
      <c r="D7467" s="43">
        <v>35000</v>
      </c>
      <c r="E7467" s="43"/>
      <c r="F7467" s="48">
        <f t="shared" si="122"/>
        <v>318979</v>
      </c>
    </row>
    <row r="7468" spans="1:6" x14ac:dyDescent="0.3">
      <c r="A7468" s="45">
        <v>43878</v>
      </c>
      <c r="B7468" s="5" t="s">
        <v>84</v>
      </c>
      <c r="C7468" s="5" t="s">
        <v>5821</v>
      </c>
      <c r="D7468" s="43">
        <v>5000</v>
      </c>
      <c r="E7468" s="43"/>
      <c r="F7468" s="48">
        <f t="shared" si="122"/>
        <v>313979</v>
      </c>
    </row>
    <row r="7469" spans="1:6" x14ac:dyDescent="0.3">
      <c r="A7469" s="45">
        <v>43878</v>
      </c>
      <c r="B7469" s="5" t="s">
        <v>4550</v>
      </c>
      <c r="C7469" s="5" t="s">
        <v>5822</v>
      </c>
      <c r="D7469" s="43">
        <v>30000</v>
      </c>
      <c r="E7469" s="43"/>
      <c r="F7469" s="48">
        <f t="shared" si="122"/>
        <v>283979</v>
      </c>
    </row>
    <row r="7470" spans="1:6" x14ac:dyDescent="0.3">
      <c r="A7470" s="45">
        <v>43878</v>
      </c>
      <c r="B7470" s="5" t="s">
        <v>1074</v>
      </c>
      <c r="C7470" s="5" t="s">
        <v>5823</v>
      </c>
      <c r="D7470" s="43">
        <f>20668+1285</f>
        <v>21953</v>
      </c>
      <c r="E7470" s="43"/>
      <c r="F7470" s="48">
        <f t="shared" si="122"/>
        <v>262026</v>
      </c>
    </row>
    <row r="7471" spans="1:6" x14ac:dyDescent="0.3">
      <c r="A7471" s="45">
        <v>43878</v>
      </c>
      <c r="B7471" s="5" t="s">
        <v>1679</v>
      </c>
      <c r="C7471" s="5" t="s">
        <v>5824</v>
      </c>
      <c r="D7471" s="43">
        <v>40000</v>
      </c>
      <c r="E7471" s="43"/>
      <c r="F7471" s="48">
        <f t="shared" si="122"/>
        <v>222026</v>
      </c>
    </row>
    <row r="7472" spans="1:6" x14ac:dyDescent="0.3">
      <c r="A7472" s="45">
        <v>43878</v>
      </c>
      <c r="B7472" s="5" t="s">
        <v>25</v>
      </c>
      <c r="C7472" s="5" t="s">
        <v>5825</v>
      </c>
      <c r="D7472" s="43">
        <v>100</v>
      </c>
      <c r="E7472" s="43"/>
      <c r="F7472" s="48">
        <f t="shared" si="122"/>
        <v>221926</v>
      </c>
    </row>
    <row r="7473" spans="1:6" x14ac:dyDescent="0.3">
      <c r="A7473" s="45">
        <v>43878</v>
      </c>
      <c r="B7473" s="5" t="s">
        <v>25</v>
      </c>
      <c r="C7473" s="5" t="s">
        <v>5661</v>
      </c>
      <c r="D7473" s="43">
        <v>600</v>
      </c>
      <c r="E7473" s="43"/>
      <c r="F7473" s="48">
        <f t="shared" si="122"/>
        <v>221326</v>
      </c>
    </row>
    <row r="7474" spans="1:6" x14ac:dyDescent="0.3">
      <c r="A7474" s="45">
        <v>43879</v>
      </c>
      <c r="B7474" s="5" t="s">
        <v>25</v>
      </c>
      <c r="C7474" s="5" t="s">
        <v>5826</v>
      </c>
      <c r="D7474" s="43">
        <f>530+440+250+80+270+250+80+280+250+100+280+370+270</f>
        <v>3450</v>
      </c>
      <c r="E7474" s="43"/>
      <c r="F7474" s="48">
        <f t="shared" si="122"/>
        <v>217876</v>
      </c>
    </row>
    <row r="7475" spans="1:6" x14ac:dyDescent="0.3">
      <c r="A7475" s="45">
        <v>43879</v>
      </c>
      <c r="B7475" s="5" t="s">
        <v>247</v>
      </c>
      <c r="C7475" s="5" t="s">
        <v>5827</v>
      </c>
      <c r="D7475" s="43">
        <v>500</v>
      </c>
      <c r="E7475" s="43"/>
      <c r="F7475" s="48">
        <f t="shared" si="122"/>
        <v>217376</v>
      </c>
    </row>
    <row r="7476" spans="1:6" x14ac:dyDescent="0.3">
      <c r="A7476" s="45">
        <v>43879</v>
      </c>
      <c r="B7476" s="5" t="s">
        <v>4308</v>
      </c>
      <c r="C7476" s="5" t="s">
        <v>5244</v>
      </c>
      <c r="D7476" s="43">
        <v>35000</v>
      </c>
      <c r="E7476" s="43"/>
      <c r="F7476" s="48">
        <f t="shared" si="122"/>
        <v>182376</v>
      </c>
    </row>
    <row r="7477" spans="1:6" x14ac:dyDescent="0.3">
      <c r="A7477" s="45">
        <v>43879</v>
      </c>
      <c r="B7477" s="5" t="s">
        <v>5156</v>
      </c>
      <c r="C7477" s="5" t="s">
        <v>5828</v>
      </c>
      <c r="D7477" s="43">
        <v>300</v>
      </c>
      <c r="E7477" s="43"/>
      <c r="F7477" s="48">
        <f t="shared" si="122"/>
        <v>182076</v>
      </c>
    </row>
    <row r="7478" spans="1:6" x14ac:dyDescent="0.3">
      <c r="A7478" s="45">
        <v>43879</v>
      </c>
      <c r="B7478" s="5" t="s">
        <v>25</v>
      </c>
      <c r="C7478" s="5" t="s">
        <v>2025</v>
      </c>
      <c r="D7478" s="43">
        <v>100</v>
      </c>
      <c r="E7478" s="43"/>
      <c r="F7478" s="48">
        <f t="shared" si="122"/>
        <v>181976</v>
      </c>
    </row>
    <row r="7479" spans="1:6" x14ac:dyDescent="0.3">
      <c r="A7479" s="45">
        <v>43879</v>
      </c>
      <c r="B7479" s="5" t="s">
        <v>5832</v>
      </c>
      <c r="C7479" s="5" t="s">
        <v>5508</v>
      </c>
      <c r="D7479" s="43">
        <v>45500</v>
      </c>
      <c r="E7479" s="43"/>
      <c r="F7479" s="48">
        <f t="shared" si="122"/>
        <v>136476</v>
      </c>
    </row>
    <row r="7480" spans="1:6" x14ac:dyDescent="0.3">
      <c r="A7480" s="45">
        <v>43880</v>
      </c>
      <c r="B7480" s="5" t="s">
        <v>2594</v>
      </c>
      <c r="C7480" s="5" t="s">
        <v>5834</v>
      </c>
      <c r="D7480" s="43">
        <v>5320</v>
      </c>
      <c r="E7480" s="43"/>
      <c r="F7480" s="48">
        <f t="shared" si="122"/>
        <v>131156</v>
      </c>
    </row>
    <row r="7481" spans="1:6" x14ac:dyDescent="0.3">
      <c r="A7481" s="45">
        <v>43880</v>
      </c>
      <c r="B7481" s="5" t="s">
        <v>3985</v>
      </c>
      <c r="C7481" s="5" t="s">
        <v>5769</v>
      </c>
      <c r="D7481" s="43">
        <v>55000</v>
      </c>
      <c r="E7481" s="43"/>
      <c r="F7481" s="48">
        <f t="shared" si="122"/>
        <v>76156</v>
      </c>
    </row>
    <row r="7482" spans="1:6" x14ac:dyDescent="0.3">
      <c r="A7482" s="45">
        <v>43880</v>
      </c>
      <c r="B7482" s="5" t="s">
        <v>84</v>
      </c>
      <c r="C7482" s="5" t="s">
        <v>5835</v>
      </c>
      <c r="D7482" s="43">
        <v>5000</v>
      </c>
      <c r="E7482" s="43"/>
      <c r="F7482" s="48">
        <f t="shared" si="122"/>
        <v>71156</v>
      </c>
    </row>
    <row r="7483" spans="1:6" x14ac:dyDescent="0.3">
      <c r="A7483" s="45">
        <v>43880</v>
      </c>
      <c r="B7483" s="5" t="s">
        <v>1679</v>
      </c>
      <c r="C7483" s="5" t="s">
        <v>5837</v>
      </c>
      <c r="D7483" s="43">
        <v>15000</v>
      </c>
      <c r="E7483" s="43"/>
      <c r="F7483" s="48">
        <f t="shared" si="122"/>
        <v>56156</v>
      </c>
    </row>
    <row r="7484" spans="1:6" x14ac:dyDescent="0.3">
      <c r="A7484" s="45">
        <v>43881</v>
      </c>
      <c r="B7484" s="5" t="s">
        <v>14</v>
      </c>
      <c r="C7484" s="5" t="s">
        <v>640</v>
      </c>
      <c r="D7484" s="43">
        <v>1000</v>
      </c>
      <c r="E7484" s="43"/>
      <c r="F7484" s="48">
        <f t="shared" si="122"/>
        <v>55156</v>
      </c>
    </row>
    <row r="7485" spans="1:6" x14ac:dyDescent="0.3">
      <c r="A7485" s="45">
        <v>43881</v>
      </c>
      <c r="B7485" s="739" t="s">
        <v>5809</v>
      </c>
      <c r="C7485" s="739"/>
      <c r="D7485" s="739"/>
      <c r="E7485" s="43">
        <v>100000</v>
      </c>
      <c r="F7485" s="48">
        <f t="shared" si="122"/>
        <v>155156</v>
      </c>
    </row>
    <row r="7486" spans="1:6" x14ac:dyDescent="0.3">
      <c r="A7486" s="45">
        <v>43881</v>
      </c>
      <c r="B7486" s="5" t="s">
        <v>0</v>
      </c>
      <c r="C7486" s="5" t="s">
        <v>5838</v>
      </c>
      <c r="D7486" s="43">
        <v>25000</v>
      </c>
      <c r="E7486" s="43"/>
      <c r="F7486" s="48">
        <f t="shared" si="122"/>
        <v>130156</v>
      </c>
    </row>
    <row r="7487" spans="1:6" x14ac:dyDescent="0.3">
      <c r="A7487" s="45">
        <v>43881</v>
      </c>
      <c r="B7487" s="5" t="s">
        <v>18</v>
      </c>
      <c r="C7487" s="5" t="s">
        <v>5851</v>
      </c>
      <c r="D7487" s="43">
        <v>2000</v>
      </c>
      <c r="E7487" s="43"/>
      <c r="F7487" s="48">
        <f t="shared" si="122"/>
        <v>128156</v>
      </c>
    </row>
    <row r="7488" spans="1:6" x14ac:dyDescent="0.3">
      <c r="A7488" s="45">
        <v>43881</v>
      </c>
      <c r="B7488" s="41" t="s">
        <v>2594</v>
      </c>
      <c r="C7488" s="41" t="s">
        <v>5839</v>
      </c>
      <c r="D7488" s="42">
        <v>20100</v>
      </c>
      <c r="E7488" s="43"/>
      <c r="F7488" s="48">
        <f t="shared" si="122"/>
        <v>108056</v>
      </c>
    </row>
    <row r="7489" spans="1:6" x14ac:dyDescent="0.3">
      <c r="A7489" s="45">
        <v>43881</v>
      </c>
      <c r="B7489" s="5" t="s">
        <v>4550</v>
      </c>
      <c r="C7489" s="5" t="s">
        <v>5840</v>
      </c>
      <c r="D7489" s="43">
        <v>25000</v>
      </c>
      <c r="E7489" s="43"/>
      <c r="F7489" s="48">
        <f t="shared" si="122"/>
        <v>83056</v>
      </c>
    </row>
    <row r="7490" spans="1:6" x14ac:dyDescent="0.3">
      <c r="A7490" s="45">
        <v>43881</v>
      </c>
      <c r="B7490" s="5" t="s">
        <v>5162</v>
      </c>
      <c r="C7490" s="5" t="s">
        <v>5841</v>
      </c>
      <c r="D7490" s="43">
        <v>700</v>
      </c>
      <c r="E7490" s="43"/>
      <c r="F7490" s="48">
        <f t="shared" si="122"/>
        <v>82356</v>
      </c>
    </row>
    <row r="7491" spans="1:6" x14ac:dyDescent="0.3">
      <c r="A7491" s="45">
        <v>43881</v>
      </c>
      <c r="B7491" s="5" t="s">
        <v>2594</v>
      </c>
      <c r="C7491" s="5" t="s">
        <v>5842</v>
      </c>
      <c r="D7491" s="43">
        <v>3000</v>
      </c>
      <c r="E7491" s="43"/>
      <c r="F7491" s="48">
        <f t="shared" si="122"/>
        <v>79356</v>
      </c>
    </row>
    <row r="7492" spans="1:6" x14ac:dyDescent="0.3">
      <c r="A7492" s="45">
        <v>43882</v>
      </c>
      <c r="B7492" s="5" t="s">
        <v>25</v>
      </c>
      <c r="C7492" s="5" t="s">
        <v>5843</v>
      </c>
      <c r="D7492" s="43">
        <v>16000</v>
      </c>
      <c r="E7492" s="43"/>
      <c r="F7492" s="48">
        <f t="shared" si="122"/>
        <v>63356</v>
      </c>
    </row>
    <row r="7493" spans="1:6" x14ac:dyDescent="0.3">
      <c r="A7493" s="45">
        <v>43882</v>
      </c>
      <c r="B7493" s="5" t="s">
        <v>84</v>
      </c>
      <c r="C7493" s="5" t="s">
        <v>5844</v>
      </c>
      <c r="D7493" s="43">
        <v>500</v>
      </c>
      <c r="E7493" s="43"/>
      <c r="F7493" s="48">
        <f t="shared" si="122"/>
        <v>62856</v>
      </c>
    </row>
    <row r="7494" spans="1:6" x14ac:dyDescent="0.3">
      <c r="A7494" s="45">
        <v>43882</v>
      </c>
      <c r="B7494" s="5" t="s">
        <v>0</v>
      </c>
      <c r="C7494" s="5" t="s">
        <v>5845</v>
      </c>
      <c r="D7494" s="43">
        <v>1000</v>
      </c>
      <c r="E7494" s="43"/>
      <c r="F7494" s="48">
        <f t="shared" si="122"/>
        <v>61856</v>
      </c>
    </row>
    <row r="7495" spans="1:6" x14ac:dyDescent="0.3">
      <c r="A7495" s="45">
        <v>43883</v>
      </c>
      <c r="B7495" s="5" t="s">
        <v>5846</v>
      </c>
      <c r="C7495" s="5" t="s">
        <v>5847</v>
      </c>
      <c r="D7495" s="43">
        <v>350</v>
      </c>
      <c r="E7495" s="43"/>
      <c r="F7495" s="48">
        <f t="shared" si="122"/>
        <v>61506</v>
      </c>
    </row>
    <row r="7496" spans="1:6" x14ac:dyDescent="0.3">
      <c r="A7496" s="45">
        <v>43883</v>
      </c>
      <c r="B7496" s="5" t="s">
        <v>25</v>
      </c>
      <c r="C7496" s="5" t="s">
        <v>5848</v>
      </c>
      <c r="D7496" s="43">
        <v>100</v>
      </c>
      <c r="E7496" s="43"/>
      <c r="F7496" s="48">
        <f t="shared" si="122"/>
        <v>61406</v>
      </c>
    </row>
    <row r="7497" spans="1:6" x14ac:dyDescent="0.3">
      <c r="A7497" s="45">
        <v>43883</v>
      </c>
      <c r="B7497" s="5" t="s">
        <v>5646</v>
      </c>
      <c r="C7497" s="5" t="s">
        <v>5849</v>
      </c>
      <c r="D7497" s="43">
        <v>1000</v>
      </c>
      <c r="E7497" s="43"/>
      <c r="F7497" s="48">
        <f t="shared" si="122"/>
        <v>60406</v>
      </c>
    </row>
    <row r="7498" spans="1:6" x14ac:dyDescent="0.3">
      <c r="A7498" s="45">
        <v>43883</v>
      </c>
      <c r="B7498" s="739" t="s">
        <v>5809</v>
      </c>
      <c r="C7498" s="739"/>
      <c r="D7498" s="739"/>
      <c r="E7498" s="43">
        <v>82000</v>
      </c>
      <c r="F7498" s="48">
        <f t="shared" si="122"/>
        <v>142406</v>
      </c>
    </row>
    <row r="7499" spans="1:6" x14ac:dyDescent="0.3">
      <c r="A7499" s="45">
        <v>43883</v>
      </c>
      <c r="B7499" s="5" t="s">
        <v>0</v>
      </c>
      <c r="C7499" s="5" t="s">
        <v>5850</v>
      </c>
      <c r="D7499" s="43">
        <f>72000+7000+2000+3000</f>
        <v>84000</v>
      </c>
      <c r="E7499" s="43"/>
      <c r="F7499" s="48">
        <f t="shared" si="122"/>
        <v>58406</v>
      </c>
    </row>
    <row r="7500" spans="1:6" x14ac:dyDescent="0.3">
      <c r="A7500" s="45">
        <v>43883</v>
      </c>
      <c r="B7500" s="5" t="s">
        <v>18</v>
      </c>
      <c r="C7500" s="5" t="s">
        <v>294</v>
      </c>
      <c r="D7500" s="43">
        <v>2000</v>
      </c>
      <c r="E7500" s="43"/>
      <c r="F7500" s="48">
        <f t="shared" si="122"/>
        <v>56406</v>
      </c>
    </row>
    <row r="7501" spans="1:6" x14ac:dyDescent="0.3">
      <c r="A7501" s="45">
        <v>43885</v>
      </c>
      <c r="B7501" s="214" t="s">
        <v>2594</v>
      </c>
      <c r="C7501" s="214" t="s">
        <v>3143</v>
      </c>
      <c r="D7501" s="215">
        <v>20220</v>
      </c>
      <c r="E7501" s="43"/>
      <c r="F7501" s="48">
        <f t="shared" ref="F7501:F7564" si="123">F7500+E7501-D7501</f>
        <v>36186</v>
      </c>
    </row>
    <row r="7502" spans="1:6" x14ac:dyDescent="0.3">
      <c r="A7502" s="45">
        <v>43885</v>
      </c>
      <c r="B7502" s="5" t="s">
        <v>5167</v>
      </c>
      <c r="C7502" s="5" t="s">
        <v>5852</v>
      </c>
      <c r="D7502" s="43">
        <v>500</v>
      </c>
      <c r="E7502" s="43"/>
      <c r="F7502" s="48">
        <f t="shared" si="123"/>
        <v>35686</v>
      </c>
    </row>
    <row r="7503" spans="1:6" x14ac:dyDescent="0.3">
      <c r="A7503" s="45">
        <v>43885</v>
      </c>
      <c r="B7503" s="5" t="s">
        <v>5167</v>
      </c>
      <c r="C7503" s="5" t="s">
        <v>5853</v>
      </c>
      <c r="D7503" s="43">
        <v>1000</v>
      </c>
      <c r="E7503" s="43"/>
      <c r="F7503" s="48">
        <f t="shared" si="123"/>
        <v>34686</v>
      </c>
    </row>
    <row r="7504" spans="1:6" x14ac:dyDescent="0.3">
      <c r="A7504" s="45">
        <v>43885</v>
      </c>
      <c r="B7504" s="5" t="s">
        <v>4552</v>
      </c>
      <c r="C7504" s="5" t="s">
        <v>294</v>
      </c>
      <c r="D7504" s="43">
        <v>20000</v>
      </c>
      <c r="E7504" s="43"/>
      <c r="F7504" s="48">
        <f t="shared" si="123"/>
        <v>14686</v>
      </c>
    </row>
    <row r="7505" spans="1:6" x14ac:dyDescent="0.3">
      <c r="A7505" s="45">
        <v>43885</v>
      </c>
      <c r="B7505" s="5" t="s">
        <v>25</v>
      </c>
      <c r="C7505" s="5" t="s">
        <v>5854</v>
      </c>
      <c r="D7505" s="43">
        <v>200</v>
      </c>
      <c r="E7505" s="43"/>
      <c r="F7505" s="48">
        <f t="shared" si="123"/>
        <v>14486</v>
      </c>
    </row>
    <row r="7506" spans="1:6" x14ac:dyDescent="0.3">
      <c r="A7506" s="45">
        <v>43885</v>
      </c>
      <c r="B7506" s="5" t="s">
        <v>25</v>
      </c>
      <c r="C7506" s="5" t="s">
        <v>5855</v>
      </c>
      <c r="D7506" s="43">
        <v>1500</v>
      </c>
      <c r="E7506" s="43"/>
      <c r="F7506" s="48">
        <f t="shared" si="123"/>
        <v>12986</v>
      </c>
    </row>
    <row r="7507" spans="1:6" x14ac:dyDescent="0.3">
      <c r="A7507" s="45">
        <v>43885</v>
      </c>
      <c r="B7507" s="5" t="s">
        <v>4550</v>
      </c>
      <c r="C7507" s="5" t="s">
        <v>5857</v>
      </c>
      <c r="D7507" s="43">
        <v>6000</v>
      </c>
      <c r="E7507" s="43"/>
      <c r="F7507" s="48">
        <f t="shared" si="123"/>
        <v>6986</v>
      </c>
    </row>
    <row r="7508" spans="1:6" x14ac:dyDescent="0.3">
      <c r="A7508" s="45">
        <v>43885</v>
      </c>
      <c r="B7508" s="739" t="s">
        <v>5809</v>
      </c>
      <c r="C7508" s="739"/>
      <c r="D7508" s="739"/>
      <c r="E7508" s="43">
        <v>50000</v>
      </c>
      <c r="F7508" s="48">
        <f t="shared" si="123"/>
        <v>56986</v>
      </c>
    </row>
    <row r="7509" spans="1:6" x14ac:dyDescent="0.3">
      <c r="A7509" s="45">
        <v>43885</v>
      </c>
      <c r="B7509" s="5" t="s">
        <v>84</v>
      </c>
      <c r="C7509" s="5" t="s">
        <v>5858</v>
      </c>
      <c r="D7509" s="43">
        <v>3000</v>
      </c>
      <c r="E7509" s="43"/>
      <c r="F7509" s="48">
        <f t="shared" si="123"/>
        <v>53986</v>
      </c>
    </row>
    <row r="7510" spans="1:6" x14ac:dyDescent="0.3">
      <c r="A7510" s="45">
        <v>43885</v>
      </c>
      <c r="B7510" s="5" t="s">
        <v>5646</v>
      </c>
      <c r="C7510" s="5" t="s">
        <v>5859</v>
      </c>
      <c r="D7510" s="43">
        <v>4000</v>
      </c>
      <c r="E7510" s="43"/>
      <c r="F7510" s="48">
        <f t="shared" si="123"/>
        <v>49986</v>
      </c>
    </row>
    <row r="7511" spans="1:6" x14ac:dyDescent="0.3">
      <c r="A7511" s="45">
        <v>43885</v>
      </c>
      <c r="B7511" s="5" t="s">
        <v>0</v>
      </c>
      <c r="C7511" s="5" t="s">
        <v>5860</v>
      </c>
      <c r="D7511" s="43">
        <v>1000</v>
      </c>
      <c r="E7511" s="43"/>
      <c r="F7511" s="48">
        <f t="shared" si="123"/>
        <v>48986</v>
      </c>
    </row>
    <row r="7512" spans="1:6" x14ac:dyDescent="0.3">
      <c r="A7512" s="45">
        <v>43885</v>
      </c>
      <c r="B7512" s="41" t="s">
        <v>2594</v>
      </c>
      <c r="C7512" s="41" t="s">
        <v>5861</v>
      </c>
      <c r="D7512" s="42">
        <v>5000</v>
      </c>
      <c r="E7512" s="43"/>
      <c r="F7512" s="48">
        <f t="shared" si="123"/>
        <v>43986</v>
      </c>
    </row>
    <row r="7513" spans="1:6" x14ac:dyDescent="0.3">
      <c r="A7513" s="45">
        <v>43885</v>
      </c>
      <c r="B7513" s="5" t="s">
        <v>4550</v>
      </c>
      <c r="C7513" s="5" t="s">
        <v>5813</v>
      </c>
      <c r="D7513" s="43">
        <v>10000</v>
      </c>
      <c r="E7513" s="43"/>
      <c r="F7513" s="48">
        <f t="shared" si="123"/>
        <v>33986</v>
      </c>
    </row>
    <row r="7514" spans="1:6" x14ac:dyDescent="0.3">
      <c r="A7514" s="45">
        <v>43886</v>
      </c>
      <c r="B7514" s="739" t="s">
        <v>5809</v>
      </c>
      <c r="C7514" s="739"/>
      <c r="D7514" s="739"/>
      <c r="E7514" s="43">
        <v>30000</v>
      </c>
      <c r="F7514" s="48">
        <f t="shared" si="123"/>
        <v>63986</v>
      </c>
    </row>
    <row r="7515" spans="1:6" x14ac:dyDescent="0.3">
      <c r="A7515" s="45">
        <v>43886</v>
      </c>
      <c r="B7515" s="41" t="s">
        <v>2594</v>
      </c>
      <c r="C7515" s="41"/>
      <c r="D7515" s="42">
        <v>6500</v>
      </c>
      <c r="E7515" s="43"/>
      <c r="F7515" s="48">
        <f t="shared" si="123"/>
        <v>57486</v>
      </c>
    </row>
    <row r="7516" spans="1:6" x14ac:dyDescent="0.3">
      <c r="A7516" s="45">
        <v>43886</v>
      </c>
      <c r="B7516" s="73" t="s">
        <v>14</v>
      </c>
      <c r="C7516" s="73" t="s">
        <v>5532</v>
      </c>
      <c r="D7516" s="183">
        <v>1630</v>
      </c>
      <c r="E7516" s="43"/>
      <c r="F7516" s="48">
        <f t="shared" si="123"/>
        <v>55856</v>
      </c>
    </row>
    <row r="7517" spans="1:6" x14ac:dyDescent="0.3">
      <c r="A7517" s="45">
        <v>43886</v>
      </c>
      <c r="B7517" s="41" t="s">
        <v>3559</v>
      </c>
      <c r="C7517" s="5" t="s">
        <v>5862</v>
      </c>
      <c r="D7517" s="43">
        <v>650</v>
      </c>
      <c r="E7517" s="43"/>
      <c r="F7517" s="48">
        <f t="shared" si="123"/>
        <v>55206</v>
      </c>
    </row>
    <row r="7518" spans="1:6" x14ac:dyDescent="0.3">
      <c r="A7518" s="45">
        <v>43886</v>
      </c>
      <c r="B7518" s="41" t="s">
        <v>0</v>
      </c>
      <c r="C7518" s="5" t="s">
        <v>5863</v>
      </c>
      <c r="D7518" s="43">
        <v>53000</v>
      </c>
      <c r="E7518" s="43"/>
      <c r="F7518" s="48">
        <f t="shared" si="123"/>
        <v>2206</v>
      </c>
    </row>
    <row r="7519" spans="1:6" x14ac:dyDescent="0.3">
      <c r="A7519" s="45">
        <v>43887</v>
      </c>
      <c r="B7519" s="739" t="s">
        <v>5809</v>
      </c>
      <c r="C7519" s="739"/>
      <c r="D7519" s="739"/>
      <c r="E7519" s="43">
        <v>200000</v>
      </c>
      <c r="F7519" s="48">
        <f t="shared" si="123"/>
        <v>202206</v>
      </c>
    </row>
    <row r="7520" spans="1:6" x14ac:dyDescent="0.3">
      <c r="A7520" s="45">
        <v>43887</v>
      </c>
      <c r="B7520" s="5" t="s">
        <v>84</v>
      </c>
      <c r="C7520" s="5" t="s">
        <v>5864</v>
      </c>
      <c r="D7520" s="43">
        <v>5000</v>
      </c>
      <c r="E7520" s="43"/>
      <c r="F7520" s="48">
        <f t="shared" si="123"/>
        <v>197206</v>
      </c>
    </row>
    <row r="7521" spans="1:6" x14ac:dyDescent="0.3">
      <c r="A7521" s="45">
        <v>43887</v>
      </c>
      <c r="B7521" s="41" t="s">
        <v>5865</v>
      </c>
      <c r="C7521" s="5" t="s">
        <v>5866</v>
      </c>
      <c r="D7521" s="43">
        <v>195000</v>
      </c>
      <c r="E7521" s="43"/>
      <c r="F7521" s="48">
        <f t="shared" si="123"/>
        <v>2206</v>
      </c>
    </row>
    <row r="7522" spans="1:6" x14ac:dyDescent="0.3">
      <c r="A7522" s="45">
        <v>43888</v>
      </c>
      <c r="B7522" s="5" t="s">
        <v>25</v>
      </c>
      <c r="C7522" s="5" t="s">
        <v>5867</v>
      </c>
      <c r="D7522" s="43">
        <v>1200</v>
      </c>
      <c r="E7522" s="43"/>
      <c r="F7522" s="48">
        <f t="shared" si="123"/>
        <v>1006</v>
      </c>
    </row>
    <row r="7523" spans="1:6" x14ac:dyDescent="0.3">
      <c r="A7523" s="45">
        <v>43888</v>
      </c>
      <c r="B7523" s="5" t="s">
        <v>2594</v>
      </c>
      <c r="C7523" s="5" t="s">
        <v>5868</v>
      </c>
      <c r="D7523" s="43">
        <v>534</v>
      </c>
      <c r="E7523" s="43"/>
      <c r="F7523" s="48">
        <f t="shared" si="123"/>
        <v>472</v>
      </c>
    </row>
    <row r="7524" spans="1:6" x14ac:dyDescent="0.3">
      <c r="A7524" s="45">
        <v>43888</v>
      </c>
      <c r="B7524" s="739" t="s">
        <v>5809</v>
      </c>
      <c r="C7524" s="739"/>
      <c r="D7524" s="739"/>
      <c r="E7524" s="43">
        <v>100000</v>
      </c>
      <c r="F7524" s="48">
        <f t="shared" si="123"/>
        <v>100472</v>
      </c>
    </row>
    <row r="7525" spans="1:6" x14ac:dyDescent="0.3">
      <c r="A7525" s="45">
        <v>43888</v>
      </c>
      <c r="B7525" s="5" t="s">
        <v>2594</v>
      </c>
      <c r="C7525" s="5" t="s">
        <v>5870</v>
      </c>
      <c r="D7525" s="43">
        <v>11100</v>
      </c>
      <c r="E7525" s="43"/>
      <c r="F7525" s="48">
        <f t="shared" si="123"/>
        <v>89372</v>
      </c>
    </row>
    <row r="7526" spans="1:6" x14ac:dyDescent="0.3">
      <c r="A7526" s="45">
        <v>43888</v>
      </c>
      <c r="B7526" s="5" t="s">
        <v>5646</v>
      </c>
      <c r="C7526" s="5" t="s">
        <v>4319</v>
      </c>
      <c r="D7526" s="43">
        <v>1000</v>
      </c>
      <c r="E7526" s="43"/>
      <c r="F7526" s="48">
        <f t="shared" si="123"/>
        <v>88372</v>
      </c>
    </row>
    <row r="7527" spans="1:6" x14ac:dyDescent="0.3">
      <c r="A7527" s="45">
        <v>43888</v>
      </c>
      <c r="B7527" s="5" t="s">
        <v>25</v>
      </c>
      <c r="C7527" s="5" t="s">
        <v>5887</v>
      </c>
      <c r="D7527" s="43">
        <f>120+250+250+150+300+250+470+250+220+220+440+40+10</f>
        <v>2970</v>
      </c>
      <c r="E7527" s="43"/>
      <c r="F7527" s="48">
        <f t="shared" si="123"/>
        <v>85402</v>
      </c>
    </row>
    <row r="7528" spans="1:6" x14ac:dyDescent="0.3">
      <c r="A7528" s="45">
        <v>43888</v>
      </c>
      <c r="B7528" s="5" t="s">
        <v>1787</v>
      </c>
      <c r="C7528" s="5" t="s">
        <v>5871</v>
      </c>
      <c r="D7528" s="43">
        <v>1000</v>
      </c>
      <c r="E7528" s="43"/>
      <c r="F7528" s="48">
        <f t="shared" si="123"/>
        <v>84402</v>
      </c>
    </row>
    <row r="7529" spans="1:6" x14ac:dyDescent="0.3">
      <c r="A7529" s="45">
        <v>43888</v>
      </c>
      <c r="B7529" s="5" t="s">
        <v>2594</v>
      </c>
      <c r="C7529" s="5" t="s">
        <v>3557</v>
      </c>
      <c r="D7529" s="43">
        <v>12600</v>
      </c>
      <c r="E7529" s="43"/>
      <c r="F7529" s="48">
        <f t="shared" si="123"/>
        <v>71802</v>
      </c>
    </row>
    <row r="7530" spans="1:6" x14ac:dyDescent="0.3">
      <c r="A7530" s="45">
        <v>43888</v>
      </c>
      <c r="B7530" s="5" t="s">
        <v>84</v>
      </c>
      <c r="C7530" s="5" t="s">
        <v>5886</v>
      </c>
      <c r="D7530" s="43">
        <v>1000</v>
      </c>
      <c r="E7530" s="43"/>
      <c r="F7530" s="48">
        <f t="shared" si="123"/>
        <v>70802</v>
      </c>
    </row>
    <row r="7531" spans="1:6" x14ac:dyDescent="0.3">
      <c r="A7531" s="45">
        <v>43888</v>
      </c>
      <c r="B7531" s="5" t="s">
        <v>14</v>
      </c>
      <c r="C7531" s="5" t="s">
        <v>5874</v>
      </c>
      <c r="D7531" s="43">
        <v>50000</v>
      </c>
      <c r="E7531" s="43"/>
      <c r="F7531" s="48">
        <f t="shared" si="123"/>
        <v>20802</v>
      </c>
    </row>
    <row r="7532" spans="1:6" x14ac:dyDescent="0.3">
      <c r="A7532" s="45">
        <v>43888</v>
      </c>
      <c r="B7532" s="41" t="s">
        <v>68</v>
      </c>
      <c r="C7532" s="41" t="s">
        <v>5875</v>
      </c>
      <c r="D7532" s="43">
        <v>10000</v>
      </c>
      <c r="E7532" s="43"/>
      <c r="F7532" s="48">
        <f t="shared" si="123"/>
        <v>10802</v>
      </c>
    </row>
    <row r="7533" spans="1:6" ht="15" customHeight="1" x14ac:dyDescent="0.3">
      <c r="A7533" s="45">
        <v>43888</v>
      </c>
      <c r="B7533" s="739" t="s">
        <v>5809</v>
      </c>
      <c r="C7533" s="739"/>
      <c r="D7533" s="739"/>
      <c r="E7533" s="43">
        <v>35000</v>
      </c>
      <c r="F7533" s="48">
        <f t="shared" si="123"/>
        <v>45802</v>
      </c>
    </row>
    <row r="7534" spans="1:6" ht="15" customHeight="1" x14ac:dyDescent="0.3">
      <c r="A7534" s="45">
        <v>43888</v>
      </c>
      <c r="B7534" s="739" t="s">
        <v>5809</v>
      </c>
      <c r="C7534" s="739"/>
      <c r="D7534" s="739"/>
      <c r="E7534" s="43">
        <v>25000</v>
      </c>
      <c r="F7534" s="48">
        <f t="shared" si="123"/>
        <v>70802</v>
      </c>
    </row>
    <row r="7535" spans="1:6" x14ac:dyDescent="0.3">
      <c r="A7535" s="45">
        <v>43888</v>
      </c>
      <c r="B7535" s="5" t="s">
        <v>1512</v>
      </c>
      <c r="C7535" s="5" t="s">
        <v>5877</v>
      </c>
      <c r="D7535" s="43">
        <v>16000</v>
      </c>
      <c r="E7535" s="43"/>
      <c r="F7535" s="48">
        <f t="shared" si="123"/>
        <v>54802</v>
      </c>
    </row>
    <row r="7536" spans="1:6" ht="15" customHeight="1" x14ac:dyDescent="0.3">
      <c r="A7536" s="45">
        <v>43888</v>
      </c>
      <c r="B7536" s="739" t="s">
        <v>5809</v>
      </c>
      <c r="C7536" s="739"/>
      <c r="D7536" s="739"/>
      <c r="E7536" s="43">
        <v>175000</v>
      </c>
      <c r="F7536" s="48">
        <f t="shared" si="123"/>
        <v>229802</v>
      </c>
    </row>
    <row r="7537" spans="1:6" x14ac:dyDescent="0.3">
      <c r="A7537" s="45">
        <v>43888</v>
      </c>
      <c r="B7537" s="5" t="s">
        <v>5878</v>
      </c>
      <c r="C7537" s="5" t="s">
        <v>5879</v>
      </c>
      <c r="D7537" s="43">
        <v>23000</v>
      </c>
      <c r="E7537" s="43"/>
      <c r="F7537" s="48">
        <f t="shared" si="123"/>
        <v>206802</v>
      </c>
    </row>
    <row r="7538" spans="1:6" x14ac:dyDescent="0.3">
      <c r="A7538" s="45">
        <v>43888</v>
      </c>
      <c r="B7538" s="5" t="s">
        <v>5665</v>
      </c>
      <c r="C7538" s="5" t="s">
        <v>5876</v>
      </c>
      <c r="D7538" s="43">
        <v>35600</v>
      </c>
      <c r="E7538" s="43"/>
      <c r="F7538" s="48">
        <f t="shared" si="123"/>
        <v>171202</v>
      </c>
    </row>
    <row r="7539" spans="1:6" x14ac:dyDescent="0.3">
      <c r="A7539" s="45">
        <v>43889</v>
      </c>
      <c r="B7539" s="5" t="s">
        <v>0</v>
      </c>
      <c r="C7539" s="5" t="s">
        <v>5881</v>
      </c>
      <c r="D7539" s="43">
        <v>80000</v>
      </c>
      <c r="E7539" s="43"/>
      <c r="F7539" s="48">
        <f t="shared" si="123"/>
        <v>91202</v>
      </c>
    </row>
    <row r="7540" spans="1:6" x14ac:dyDescent="0.3">
      <c r="A7540" s="45">
        <v>43889</v>
      </c>
      <c r="B7540" s="5" t="s">
        <v>4915</v>
      </c>
      <c r="C7540" s="92" t="s">
        <v>5882</v>
      </c>
      <c r="D7540" s="43">
        <v>15000</v>
      </c>
      <c r="E7540" s="43"/>
      <c r="F7540" s="48">
        <f t="shared" si="123"/>
        <v>76202</v>
      </c>
    </row>
    <row r="7541" spans="1:6" x14ac:dyDescent="0.3">
      <c r="A7541" s="45">
        <v>43889</v>
      </c>
      <c r="B7541" s="5" t="s">
        <v>5884</v>
      </c>
      <c r="C7541" s="5" t="s">
        <v>5631</v>
      </c>
      <c r="D7541" s="43">
        <v>50000</v>
      </c>
      <c r="E7541" s="43"/>
      <c r="F7541" s="48">
        <f t="shared" si="123"/>
        <v>26202</v>
      </c>
    </row>
    <row r="7542" spans="1:6" x14ac:dyDescent="0.3">
      <c r="A7542" s="45">
        <v>43889</v>
      </c>
      <c r="B7542" s="5" t="s">
        <v>25</v>
      </c>
      <c r="C7542" s="5" t="s">
        <v>5885</v>
      </c>
      <c r="D7542" s="43">
        <v>5000</v>
      </c>
      <c r="E7542" s="43"/>
      <c r="F7542" s="48">
        <f t="shared" si="123"/>
        <v>21202</v>
      </c>
    </row>
    <row r="7543" spans="1:6" x14ac:dyDescent="0.3">
      <c r="A7543" s="45">
        <v>43890</v>
      </c>
      <c r="B7543" s="5" t="s">
        <v>14</v>
      </c>
      <c r="C7543" s="5" t="s">
        <v>3910</v>
      </c>
      <c r="D7543" s="43">
        <v>5000</v>
      </c>
      <c r="E7543" s="43"/>
      <c r="F7543" s="48">
        <f t="shared" si="123"/>
        <v>16202</v>
      </c>
    </row>
    <row r="7544" spans="1:6" x14ac:dyDescent="0.3">
      <c r="A7544" s="45">
        <v>43890</v>
      </c>
      <c r="B7544" s="5" t="s">
        <v>25</v>
      </c>
      <c r="C7544" s="5" t="s">
        <v>5888</v>
      </c>
      <c r="D7544" s="43">
        <v>5568</v>
      </c>
      <c r="E7544" s="43"/>
      <c r="F7544" s="48">
        <f t="shared" si="123"/>
        <v>10634</v>
      </c>
    </row>
    <row r="7545" spans="1:6" x14ac:dyDescent="0.3">
      <c r="A7545" s="45">
        <v>43890</v>
      </c>
      <c r="B7545" s="5" t="s">
        <v>3559</v>
      </c>
      <c r="C7545" s="5" t="s">
        <v>5889</v>
      </c>
      <c r="D7545" s="43">
        <v>4000</v>
      </c>
      <c r="E7545" s="43"/>
      <c r="F7545" s="48">
        <f t="shared" si="123"/>
        <v>6634</v>
      </c>
    </row>
    <row r="7546" spans="1:6" x14ac:dyDescent="0.3">
      <c r="A7546" s="45">
        <v>43890</v>
      </c>
      <c r="B7546" s="5" t="s">
        <v>247</v>
      </c>
      <c r="C7546" s="5" t="s">
        <v>5890</v>
      </c>
      <c r="D7546" s="43">
        <v>100</v>
      </c>
      <c r="E7546" s="43"/>
      <c r="F7546" s="48">
        <f t="shared" si="123"/>
        <v>6534</v>
      </c>
    </row>
    <row r="7547" spans="1:6" x14ac:dyDescent="0.3">
      <c r="A7547" s="45">
        <v>43890</v>
      </c>
      <c r="B7547" s="41" t="s">
        <v>2594</v>
      </c>
      <c r="C7547" s="41" t="s">
        <v>5891</v>
      </c>
      <c r="D7547" s="42">
        <v>1000</v>
      </c>
      <c r="E7547" s="43"/>
      <c r="F7547" s="48">
        <f t="shared" si="123"/>
        <v>5534</v>
      </c>
    </row>
    <row r="7548" spans="1:6" ht="15" customHeight="1" x14ac:dyDescent="0.3">
      <c r="A7548" s="45">
        <v>43890</v>
      </c>
      <c r="B7548" s="739" t="s">
        <v>5906</v>
      </c>
      <c r="C7548" s="739"/>
      <c r="D7548" s="739"/>
      <c r="E7548" s="43">
        <v>500000</v>
      </c>
      <c r="F7548" s="48">
        <f t="shared" si="123"/>
        <v>505534</v>
      </c>
    </row>
    <row r="7549" spans="1:6" x14ac:dyDescent="0.3">
      <c r="A7549" s="45">
        <v>43890</v>
      </c>
      <c r="B7549" s="5" t="s">
        <v>4550</v>
      </c>
      <c r="C7549" s="5" t="s">
        <v>5892</v>
      </c>
      <c r="D7549" s="43">
        <v>46000</v>
      </c>
      <c r="E7549" s="43"/>
      <c r="F7549" s="48">
        <f t="shared" si="123"/>
        <v>459534</v>
      </c>
    </row>
    <row r="7550" spans="1:6" x14ac:dyDescent="0.3">
      <c r="A7550" s="45">
        <v>43890</v>
      </c>
      <c r="B7550" s="5" t="s">
        <v>1787</v>
      </c>
      <c r="C7550" s="5" t="s">
        <v>5893</v>
      </c>
      <c r="D7550" s="43">
        <v>2000</v>
      </c>
      <c r="E7550" s="43"/>
      <c r="F7550" s="48">
        <f t="shared" si="123"/>
        <v>457534</v>
      </c>
    </row>
    <row r="7551" spans="1:6" x14ac:dyDescent="0.3">
      <c r="A7551" s="45">
        <v>43892</v>
      </c>
      <c r="B7551" s="5" t="s">
        <v>5646</v>
      </c>
      <c r="C7551" s="5" t="s">
        <v>5894</v>
      </c>
      <c r="D7551" s="43">
        <v>1500</v>
      </c>
      <c r="E7551" s="43"/>
      <c r="F7551" s="48">
        <f t="shared" si="123"/>
        <v>456034</v>
      </c>
    </row>
    <row r="7552" spans="1:6" x14ac:dyDescent="0.3">
      <c r="A7552" s="45">
        <v>43892</v>
      </c>
      <c r="B7552" s="5" t="s">
        <v>5764</v>
      </c>
      <c r="C7552" s="5" t="s">
        <v>4723</v>
      </c>
      <c r="D7552" s="43">
        <v>3000</v>
      </c>
      <c r="E7552" s="43"/>
      <c r="F7552" s="48">
        <f t="shared" si="123"/>
        <v>453034</v>
      </c>
    </row>
    <row r="7553" spans="1:6" x14ac:dyDescent="0.3">
      <c r="A7553" s="45">
        <v>43892</v>
      </c>
      <c r="B7553" s="5" t="s">
        <v>2594</v>
      </c>
      <c r="C7553" s="5" t="s">
        <v>5895</v>
      </c>
      <c r="D7553" s="43">
        <v>38554</v>
      </c>
      <c r="E7553" s="43"/>
      <c r="F7553" s="48">
        <f t="shared" si="123"/>
        <v>414480</v>
      </c>
    </row>
    <row r="7554" spans="1:6" x14ac:dyDescent="0.3">
      <c r="A7554" s="45">
        <v>43892</v>
      </c>
      <c r="B7554" s="5" t="s">
        <v>5646</v>
      </c>
      <c r="C7554" s="5" t="s">
        <v>3910</v>
      </c>
      <c r="D7554" s="43">
        <v>3000</v>
      </c>
      <c r="E7554" s="43"/>
      <c r="F7554" s="48">
        <f t="shared" si="123"/>
        <v>411480</v>
      </c>
    </row>
    <row r="7555" spans="1:6" x14ac:dyDescent="0.3">
      <c r="A7555" s="45">
        <v>43892</v>
      </c>
      <c r="B7555" s="5" t="s">
        <v>5896</v>
      </c>
      <c r="C7555" s="5" t="s">
        <v>5897</v>
      </c>
      <c r="D7555" s="43">
        <v>12000</v>
      </c>
      <c r="E7555" s="43"/>
      <c r="F7555" s="48">
        <f t="shared" si="123"/>
        <v>399480</v>
      </c>
    </row>
    <row r="7556" spans="1:6" x14ac:dyDescent="0.3">
      <c r="A7556" s="45">
        <v>43893</v>
      </c>
      <c r="B7556" s="5" t="s">
        <v>4550</v>
      </c>
      <c r="C7556" s="5" t="s">
        <v>3172</v>
      </c>
      <c r="D7556" s="43">
        <v>24000</v>
      </c>
      <c r="E7556" s="43"/>
      <c r="F7556" s="48">
        <f t="shared" si="123"/>
        <v>375480</v>
      </c>
    </row>
    <row r="7557" spans="1:6" x14ac:dyDescent="0.3">
      <c r="A7557" s="45">
        <v>43893</v>
      </c>
      <c r="B7557" s="39" t="s">
        <v>4550</v>
      </c>
      <c r="C7557" s="216" t="s">
        <v>4635</v>
      </c>
      <c r="D7557" s="40">
        <v>10000</v>
      </c>
      <c r="E7557" s="43"/>
      <c r="F7557" s="48">
        <f t="shared" si="123"/>
        <v>365480</v>
      </c>
    </row>
    <row r="7558" spans="1:6" x14ac:dyDescent="0.3">
      <c r="A7558" s="45">
        <v>43893</v>
      </c>
      <c r="B7558" s="5" t="s">
        <v>54</v>
      </c>
      <c r="C7558" s="5" t="s">
        <v>5898</v>
      </c>
      <c r="D7558" s="43">
        <v>5000</v>
      </c>
      <c r="E7558" s="43"/>
      <c r="F7558" s="48">
        <f t="shared" si="123"/>
        <v>360480</v>
      </c>
    </row>
    <row r="7559" spans="1:6" x14ac:dyDescent="0.3">
      <c r="A7559" s="45">
        <v>43893</v>
      </c>
      <c r="B7559" s="5" t="s">
        <v>4869</v>
      </c>
      <c r="C7559" s="5" t="s">
        <v>40</v>
      </c>
      <c r="D7559" s="43">
        <v>4200</v>
      </c>
      <c r="E7559" s="43"/>
      <c r="F7559" s="48">
        <f t="shared" si="123"/>
        <v>356280</v>
      </c>
    </row>
    <row r="7560" spans="1:6" x14ac:dyDescent="0.3">
      <c r="A7560" s="45">
        <v>43893</v>
      </c>
      <c r="B7560" s="5" t="s">
        <v>25</v>
      </c>
      <c r="C7560" s="5" t="s">
        <v>5108</v>
      </c>
      <c r="D7560" s="43">
        <v>1000</v>
      </c>
      <c r="E7560" s="43"/>
      <c r="F7560" s="48">
        <f t="shared" si="123"/>
        <v>355280</v>
      </c>
    </row>
    <row r="7561" spans="1:6" x14ac:dyDescent="0.3">
      <c r="A7561" s="45">
        <v>43893</v>
      </c>
      <c r="B7561" s="5" t="s">
        <v>25</v>
      </c>
      <c r="C7561" s="5" t="s">
        <v>5899</v>
      </c>
      <c r="D7561" s="43">
        <v>700</v>
      </c>
      <c r="E7561" s="43"/>
      <c r="F7561" s="48">
        <f t="shared" si="123"/>
        <v>354580</v>
      </c>
    </row>
    <row r="7562" spans="1:6" x14ac:dyDescent="0.3">
      <c r="A7562" s="45">
        <v>43893</v>
      </c>
      <c r="B7562" s="5" t="s">
        <v>247</v>
      </c>
      <c r="C7562" s="5" t="s">
        <v>2013</v>
      </c>
      <c r="D7562" s="43">
        <v>100</v>
      </c>
      <c r="E7562" s="43"/>
      <c r="F7562" s="48">
        <f t="shared" si="123"/>
        <v>354480</v>
      </c>
    </row>
    <row r="7563" spans="1:6" x14ac:dyDescent="0.3">
      <c r="A7563" s="45">
        <v>43893</v>
      </c>
      <c r="B7563" s="5" t="s">
        <v>2594</v>
      </c>
      <c r="C7563" s="5" t="s">
        <v>5900</v>
      </c>
      <c r="D7563" s="43">
        <v>21500</v>
      </c>
      <c r="E7563" s="43"/>
      <c r="F7563" s="48">
        <f t="shared" si="123"/>
        <v>332980</v>
      </c>
    </row>
    <row r="7564" spans="1:6" x14ac:dyDescent="0.3">
      <c r="A7564" s="45">
        <v>43893</v>
      </c>
      <c r="B7564" s="5" t="s">
        <v>14</v>
      </c>
      <c r="C7564" s="5" t="s">
        <v>5813</v>
      </c>
      <c r="D7564" s="43">
        <v>5000</v>
      </c>
      <c r="E7564" s="43"/>
      <c r="F7564" s="48">
        <f t="shared" si="123"/>
        <v>327980</v>
      </c>
    </row>
    <row r="7565" spans="1:6" x14ac:dyDescent="0.3">
      <c r="A7565" s="45">
        <v>43893</v>
      </c>
      <c r="B7565" s="5" t="s">
        <v>84</v>
      </c>
      <c r="C7565" s="5" t="s">
        <v>5901</v>
      </c>
      <c r="D7565" s="43">
        <v>500</v>
      </c>
      <c r="E7565" s="43"/>
      <c r="F7565" s="48">
        <f t="shared" ref="F7565:F7628" si="124">F7564+E7565-D7565</f>
        <v>327480</v>
      </c>
    </row>
    <row r="7566" spans="1:6" ht="37.5" x14ac:dyDescent="0.3">
      <c r="A7566" s="45">
        <v>43893</v>
      </c>
      <c r="B7566" s="5" t="s">
        <v>0</v>
      </c>
      <c r="C7566" s="92" t="s">
        <v>5917</v>
      </c>
      <c r="D7566" s="43">
        <v>5000</v>
      </c>
      <c r="E7566" s="43"/>
      <c r="F7566" s="48">
        <f t="shared" si="124"/>
        <v>322480</v>
      </c>
    </row>
    <row r="7567" spans="1:6" x14ac:dyDescent="0.3">
      <c r="A7567" s="45">
        <v>43894</v>
      </c>
      <c r="B7567" s="5" t="s">
        <v>5902</v>
      </c>
      <c r="C7567" s="5" t="s">
        <v>5625</v>
      </c>
      <c r="D7567" s="43">
        <v>1500</v>
      </c>
      <c r="E7567" s="43"/>
      <c r="F7567" s="48">
        <f t="shared" si="124"/>
        <v>320980</v>
      </c>
    </row>
    <row r="7568" spans="1:6" x14ac:dyDescent="0.3">
      <c r="A7568" s="45">
        <v>43894</v>
      </c>
      <c r="B7568" s="5" t="s">
        <v>5709</v>
      </c>
      <c r="C7568" s="5" t="s">
        <v>5903</v>
      </c>
      <c r="D7568" s="43">
        <v>650</v>
      </c>
      <c r="E7568" s="43"/>
      <c r="F7568" s="48">
        <f t="shared" si="124"/>
        <v>320330</v>
      </c>
    </row>
    <row r="7569" spans="1:6" x14ac:dyDescent="0.3">
      <c r="A7569" s="45">
        <v>43894</v>
      </c>
      <c r="B7569" s="5" t="s">
        <v>5709</v>
      </c>
      <c r="C7569" s="5" t="s">
        <v>5904</v>
      </c>
      <c r="D7569" s="43">
        <v>200</v>
      </c>
      <c r="E7569" s="43"/>
      <c r="F7569" s="48">
        <f t="shared" si="124"/>
        <v>320130</v>
      </c>
    </row>
    <row r="7570" spans="1:6" x14ac:dyDescent="0.3">
      <c r="A7570" s="45">
        <v>43894</v>
      </c>
      <c r="B7570" s="39" t="s">
        <v>5709</v>
      </c>
      <c r="C7570" s="39" t="s">
        <v>5388</v>
      </c>
      <c r="D7570" s="40">
        <v>150</v>
      </c>
      <c r="E7570" s="43"/>
      <c r="F7570" s="48">
        <f t="shared" si="124"/>
        <v>319980</v>
      </c>
    </row>
    <row r="7571" spans="1:6" x14ac:dyDescent="0.3">
      <c r="A7571" s="45">
        <v>43894</v>
      </c>
      <c r="B7571" s="5" t="s">
        <v>0</v>
      </c>
      <c r="C7571" s="5" t="s">
        <v>294</v>
      </c>
      <c r="D7571" s="43">
        <v>5000</v>
      </c>
      <c r="E7571" s="43"/>
      <c r="F7571" s="48">
        <f t="shared" si="124"/>
        <v>314980</v>
      </c>
    </row>
    <row r="7572" spans="1:6" x14ac:dyDescent="0.3">
      <c r="A7572" s="45">
        <v>43894</v>
      </c>
      <c r="B7572" s="5" t="s">
        <v>25</v>
      </c>
      <c r="C7572" s="5" t="s">
        <v>5905</v>
      </c>
      <c r="D7572" s="43">
        <v>1572</v>
      </c>
      <c r="E7572" s="43"/>
      <c r="F7572" s="48">
        <f t="shared" si="124"/>
        <v>313408</v>
      </c>
    </row>
    <row r="7573" spans="1:6" x14ac:dyDescent="0.3">
      <c r="A7573" s="45">
        <v>43894</v>
      </c>
      <c r="B7573" s="5" t="s">
        <v>2594</v>
      </c>
      <c r="C7573" s="5" t="s">
        <v>3910</v>
      </c>
      <c r="D7573" s="43">
        <v>1280</v>
      </c>
      <c r="E7573" s="43"/>
      <c r="F7573" s="48">
        <f t="shared" si="124"/>
        <v>312128</v>
      </c>
    </row>
    <row r="7574" spans="1:6" x14ac:dyDescent="0.3">
      <c r="A7574" s="45">
        <v>43894</v>
      </c>
      <c r="B7574" s="5" t="s">
        <v>4552</v>
      </c>
      <c r="C7574" s="5" t="s">
        <v>5910</v>
      </c>
      <c r="D7574" s="43">
        <v>1000</v>
      </c>
      <c r="E7574" s="43"/>
      <c r="F7574" s="48">
        <f t="shared" si="124"/>
        <v>311128</v>
      </c>
    </row>
    <row r="7575" spans="1:6" x14ac:dyDescent="0.3">
      <c r="A7575" s="45">
        <v>43895</v>
      </c>
      <c r="B7575" s="5" t="s">
        <v>5741</v>
      </c>
      <c r="C7575" s="5" t="s">
        <v>5907</v>
      </c>
      <c r="D7575" s="43">
        <v>4600</v>
      </c>
      <c r="E7575" s="43"/>
      <c r="F7575" s="48">
        <f t="shared" si="124"/>
        <v>306528</v>
      </c>
    </row>
    <row r="7576" spans="1:6" x14ac:dyDescent="0.3">
      <c r="A7576" s="45">
        <v>43895</v>
      </c>
      <c r="B7576" s="5" t="s">
        <v>247</v>
      </c>
      <c r="C7576" s="5" t="s">
        <v>5908</v>
      </c>
      <c r="D7576" s="43">
        <v>50</v>
      </c>
      <c r="E7576" s="43"/>
      <c r="F7576" s="48">
        <f t="shared" si="124"/>
        <v>306478</v>
      </c>
    </row>
    <row r="7577" spans="1:6" x14ac:dyDescent="0.3">
      <c r="A7577" s="45">
        <v>43895</v>
      </c>
      <c r="B7577" s="5" t="s">
        <v>84</v>
      </c>
      <c r="C7577" s="5" t="s">
        <v>5909</v>
      </c>
      <c r="D7577" s="43">
        <v>1000</v>
      </c>
      <c r="E7577" s="43"/>
      <c r="F7577" s="48">
        <f t="shared" si="124"/>
        <v>305478</v>
      </c>
    </row>
    <row r="7578" spans="1:6" x14ac:dyDescent="0.3">
      <c r="A7578" s="45">
        <v>43895</v>
      </c>
      <c r="B7578" s="195" t="s">
        <v>0</v>
      </c>
      <c r="C7578" s="195" t="s">
        <v>5881</v>
      </c>
      <c r="D7578" s="196">
        <v>42000</v>
      </c>
      <c r="E7578" s="43"/>
      <c r="F7578" s="48">
        <f t="shared" si="124"/>
        <v>263478</v>
      </c>
    </row>
    <row r="7579" spans="1:6" x14ac:dyDescent="0.3">
      <c r="A7579" s="45">
        <v>43895</v>
      </c>
      <c r="B7579" s="5" t="s">
        <v>2594</v>
      </c>
      <c r="C7579" s="5" t="s">
        <v>5388</v>
      </c>
      <c r="D7579" s="43">
        <v>2500</v>
      </c>
      <c r="E7579" s="43"/>
      <c r="F7579" s="48">
        <f t="shared" si="124"/>
        <v>260978</v>
      </c>
    </row>
    <row r="7580" spans="1:6" x14ac:dyDescent="0.3">
      <c r="A7580" s="45">
        <v>43895</v>
      </c>
      <c r="B7580" s="5" t="s">
        <v>2348</v>
      </c>
      <c r="C7580" s="5" t="s">
        <v>5519</v>
      </c>
      <c r="D7580" s="43">
        <v>10000</v>
      </c>
      <c r="E7580" s="43"/>
      <c r="F7580" s="48">
        <f t="shared" si="124"/>
        <v>250978</v>
      </c>
    </row>
    <row r="7581" spans="1:6" x14ac:dyDescent="0.3">
      <c r="A7581" s="45">
        <v>43896</v>
      </c>
      <c r="B7581" s="186" t="s">
        <v>54</v>
      </c>
      <c r="C7581" s="186" t="s">
        <v>5911</v>
      </c>
      <c r="D7581" s="187">
        <v>120506</v>
      </c>
      <c r="E7581" s="43"/>
      <c r="F7581" s="48">
        <f t="shared" si="124"/>
        <v>130472</v>
      </c>
    </row>
    <row r="7582" spans="1:6" x14ac:dyDescent="0.3">
      <c r="A7582" s="45">
        <v>43896</v>
      </c>
      <c r="B7582" s="186" t="s">
        <v>54</v>
      </c>
      <c r="C7582" s="186" t="s">
        <v>5912</v>
      </c>
      <c r="D7582" s="187">
        <v>93331</v>
      </c>
      <c r="E7582" s="43"/>
      <c r="F7582" s="48">
        <f t="shared" si="124"/>
        <v>37141</v>
      </c>
    </row>
    <row r="7583" spans="1:6" x14ac:dyDescent="0.3">
      <c r="A7583" s="45">
        <v>43896</v>
      </c>
      <c r="B7583" s="5" t="s">
        <v>25</v>
      </c>
      <c r="C7583" s="5" t="s">
        <v>5913</v>
      </c>
      <c r="D7583" s="43">
        <v>200</v>
      </c>
      <c r="E7583" s="43"/>
      <c r="F7583" s="48">
        <f t="shared" si="124"/>
        <v>36941</v>
      </c>
    </row>
    <row r="7584" spans="1:6" x14ac:dyDescent="0.3">
      <c r="A7584" s="45">
        <v>43896</v>
      </c>
      <c r="B7584" s="5" t="s">
        <v>5914</v>
      </c>
      <c r="C7584" s="5" t="s">
        <v>5915</v>
      </c>
      <c r="D7584" s="43">
        <v>2000</v>
      </c>
      <c r="E7584" s="43"/>
      <c r="F7584" s="48">
        <f t="shared" si="124"/>
        <v>34941</v>
      </c>
    </row>
    <row r="7585" spans="1:6" x14ac:dyDescent="0.3">
      <c r="A7585" s="45">
        <v>43896</v>
      </c>
      <c r="B7585" s="5" t="s">
        <v>4552</v>
      </c>
      <c r="C7585" s="5" t="s">
        <v>294</v>
      </c>
      <c r="D7585" s="43">
        <v>1000</v>
      </c>
      <c r="E7585" s="43"/>
      <c r="F7585" s="48">
        <f t="shared" si="124"/>
        <v>33941</v>
      </c>
    </row>
    <row r="7586" spans="1:6" x14ac:dyDescent="0.3">
      <c r="A7586" s="45">
        <v>43896</v>
      </c>
      <c r="B7586" s="5" t="s">
        <v>5646</v>
      </c>
      <c r="C7586" s="5" t="s">
        <v>5916</v>
      </c>
      <c r="D7586" s="43">
        <v>230</v>
      </c>
      <c r="E7586" s="43"/>
      <c r="F7586" s="48">
        <f t="shared" si="124"/>
        <v>33711</v>
      </c>
    </row>
    <row r="7587" spans="1:6" x14ac:dyDescent="0.3">
      <c r="A7587" s="45">
        <v>43896</v>
      </c>
      <c r="B7587" s="5" t="s">
        <v>25</v>
      </c>
      <c r="C7587" s="5" t="s">
        <v>5377</v>
      </c>
      <c r="D7587" s="43">
        <v>600</v>
      </c>
      <c r="E7587" s="43"/>
      <c r="F7587" s="48">
        <f t="shared" si="124"/>
        <v>33111</v>
      </c>
    </row>
    <row r="7588" spans="1:6" x14ac:dyDescent="0.3">
      <c r="A7588" s="45">
        <v>43896</v>
      </c>
      <c r="B7588" s="5"/>
      <c r="C7588" s="5" t="s">
        <v>1458</v>
      </c>
      <c r="D7588" s="43">
        <v>400</v>
      </c>
      <c r="E7588" s="43"/>
      <c r="F7588" s="48">
        <f t="shared" si="124"/>
        <v>32711</v>
      </c>
    </row>
    <row r="7589" spans="1:6" x14ac:dyDescent="0.3">
      <c r="A7589" s="45">
        <v>43896</v>
      </c>
      <c r="B7589" s="5" t="s">
        <v>14</v>
      </c>
      <c r="C7589" s="5" t="s">
        <v>3910</v>
      </c>
      <c r="D7589" s="43">
        <v>10000</v>
      </c>
      <c r="E7589" s="43"/>
      <c r="F7589" s="48">
        <f t="shared" si="124"/>
        <v>22711</v>
      </c>
    </row>
    <row r="7590" spans="1:6" x14ac:dyDescent="0.3">
      <c r="A7590" s="45">
        <v>43897</v>
      </c>
      <c r="B7590" s="39" t="s">
        <v>84</v>
      </c>
      <c r="C7590" s="39" t="s">
        <v>5929</v>
      </c>
      <c r="D7590" s="40">
        <v>1000</v>
      </c>
      <c r="E7590" s="43"/>
      <c r="F7590" s="48">
        <f t="shared" si="124"/>
        <v>21711</v>
      </c>
    </row>
    <row r="7591" spans="1:6" x14ac:dyDescent="0.3">
      <c r="A7591" s="45">
        <v>43897</v>
      </c>
      <c r="B7591" s="5" t="s">
        <v>18</v>
      </c>
      <c r="C7591" s="5" t="s">
        <v>5920</v>
      </c>
      <c r="D7591" s="43">
        <v>2500</v>
      </c>
      <c r="E7591" s="43"/>
      <c r="F7591" s="48">
        <f t="shared" si="124"/>
        <v>19211</v>
      </c>
    </row>
    <row r="7592" spans="1:6" x14ac:dyDescent="0.3">
      <c r="A7592" s="45">
        <v>43897</v>
      </c>
      <c r="B7592" s="5" t="s">
        <v>5646</v>
      </c>
      <c r="C7592" s="5" t="s">
        <v>5919</v>
      </c>
      <c r="D7592" s="43">
        <v>350</v>
      </c>
      <c r="E7592" s="43"/>
      <c r="F7592" s="48">
        <f t="shared" si="124"/>
        <v>18861</v>
      </c>
    </row>
    <row r="7593" spans="1:6" x14ac:dyDescent="0.3">
      <c r="A7593" s="45">
        <v>43897</v>
      </c>
      <c r="B7593" s="5" t="s">
        <v>84</v>
      </c>
      <c r="C7593" s="5" t="s">
        <v>5918</v>
      </c>
      <c r="D7593" s="43">
        <v>15000</v>
      </c>
      <c r="E7593" s="43"/>
      <c r="F7593" s="48">
        <f t="shared" si="124"/>
        <v>3861</v>
      </c>
    </row>
    <row r="7594" spans="1:6" x14ac:dyDescent="0.3">
      <c r="A7594" s="45">
        <v>43897</v>
      </c>
      <c r="B7594" s="5" t="s">
        <v>1787</v>
      </c>
      <c r="C7594" s="5" t="s">
        <v>5871</v>
      </c>
      <c r="D7594" s="43">
        <v>1400</v>
      </c>
      <c r="E7594" s="43"/>
      <c r="F7594" s="48">
        <f t="shared" si="124"/>
        <v>2461</v>
      </c>
    </row>
    <row r="7595" spans="1:6" ht="15" customHeight="1" x14ac:dyDescent="0.3">
      <c r="A7595" s="45">
        <v>43897</v>
      </c>
      <c r="B7595" s="739" t="s">
        <v>5921</v>
      </c>
      <c r="C7595" s="739"/>
      <c r="D7595" s="739"/>
      <c r="E7595" s="43">
        <v>50000</v>
      </c>
      <c r="F7595" s="48">
        <f t="shared" si="124"/>
        <v>52461</v>
      </c>
    </row>
    <row r="7596" spans="1:6" x14ac:dyDescent="0.3">
      <c r="A7596" s="45">
        <v>43897</v>
      </c>
      <c r="B7596" s="5" t="s">
        <v>5922</v>
      </c>
      <c r="C7596" s="5" t="s">
        <v>5107</v>
      </c>
      <c r="D7596" s="43">
        <v>25000</v>
      </c>
      <c r="E7596" s="43"/>
      <c r="F7596" s="48">
        <f t="shared" si="124"/>
        <v>27461</v>
      </c>
    </row>
    <row r="7597" spans="1:6" x14ac:dyDescent="0.3">
      <c r="A7597" s="45">
        <v>43897</v>
      </c>
      <c r="B7597" s="5" t="s">
        <v>5923</v>
      </c>
      <c r="C7597" s="5" t="s">
        <v>5924</v>
      </c>
      <c r="D7597" s="43">
        <v>1000</v>
      </c>
      <c r="E7597" s="43"/>
      <c r="F7597" s="48">
        <f t="shared" si="124"/>
        <v>26461</v>
      </c>
    </row>
    <row r="7598" spans="1:6" x14ac:dyDescent="0.3">
      <c r="A7598" s="45">
        <v>43899</v>
      </c>
      <c r="B7598" s="39" t="s">
        <v>54</v>
      </c>
      <c r="C7598" s="39" t="s">
        <v>5925</v>
      </c>
      <c r="D7598" s="40">
        <v>21581</v>
      </c>
      <c r="E7598" s="43"/>
      <c r="F7598" s="48">
        <f t="shared" si="124"/>
        <v>4880</v>
      </c>
    </row>
    <row r="7599" spans="1:6" ht="15" customHeight="1" x14ac:dyDescent="0.3">
      <c r="A7599" s="45">
        <v>43899</v>
      </c>
      <c r="B7599" s="739" t="s">
        <v>5926</v>
      </c>
      <c r="C7599" s="739"/>
      <c r="D7599" s="739"/>
      <c r="E7599" s="43">
        <v>1500000</v>
      </c>
      <c r="F7599" s="48">
        <f t="shared" si="124"/>
        <v>1504880</v>
      </c>
    </row>
    <row r="7600" spans="1:6" x14ac:dyDescent="0.3">
      <c r="A7600" s="184">
        <v>43899</v>
      </c>
      <c r="B7600" s="66" t="s">
        <v>0</v>
      </c>
      <c r="C7600" s="66" t="s">
        <v>4591</v>
      </c>
      <c r="D7600" s="67">
        <v>50</v>
      </c>
      <c r="E7600" s="67"/>
      <c r="F7600" s="48">
        <f t="shared" si="124"/>
        <v>1504830</v>
      </c>
    </row>
    <row r="7601" spans="1:6" x14ac:dyDescent="0.3">
      <c r="A7601" s="45">
        <v>43899</v>
      </c>
      <c r="B7601" s="5" t="s">
        <v>2346</v>
      </c>
      <c r="C7601" s="5" t="s">
        <v>5927</v>
      </c>
      <c r="D7601" s="43">
        <v>1000</v>
      </c>
      <c r="E7601" s="43"/>
      <c r="F7601" s="48">
        <f t="shared" si="124"/>
        <v>1503830</v>
      </c>
    </row>
    <row r="7602" spans="1:6" x14ac:dyDescent="0.3">
      <c r="A7602" s="45">
        <v>43899</v>
      </c>
      <c r="B7602" s="5" t="s">
        <v>5922</v>
      </c>
      <c r="C7602" s="5" t="s">
        <v>5107</v>
      </c>
      <c r="D7602" s="43">
        <v>17500</v>
      </c>
      <c r="E7602" s="43"/>
      <c r="F7602" s="48">
        <f t="shared" si="124"/>
        <v>1486330</v>
      </c>
    </row>
    <row r="7603" spans="1:6" x14ac:dyDescent="0.3">
      <c r="A7603" s="45">
        <v>43899</v>
      </c>
      <c r="B7603" s="5" t="s">
        <v>2842</v>
      </c>
      <c r="C7603" s="5" t="s">
        <v>5928</v>
      </c>
      <c r="D7603" s="43">
        <v>50000</v>
      </c>
      <c r="E7603" s="43"/>
      <c r="F7603" s="48">
        <f t="shared" si="124"/>
        <v>1436330</v>
      </c>
    </row>
    <row r="7604" spans="1:6" x14ac:dyDescent="0.3">
      <c r="A7604" s="45">
        <v>43899</v>
      </c>
      <c r="B7604" s="39" t="s">
        <v>54</v>
      </c>
      <c r="C7604" s="217" t="s">
        <v>7823</v>
      </c>
      <c r="D7604" s="40">
        <v>1229513</v>
      </c>
      <c r="E7604" s="43"/>
      <c r="F7604" s="48">
        <f t="shared" si="124"/>
        <v>206817</v>
      </c>
    </row>
    <row r="7605" spans="1:6" x14ac:dyDescent="0.3">
      <c r="A7605" s="45">
        <v>43899</v>
      </c>
      <c r="B7605" s="5" t="s">
        <v>84</v>
      </c>
      <c r="C7605" s="5" t="s">
        <v>5901</v>
      </c>
      <c r="D7605" s="43">
        <v>1000</v>
      </c>
      <c r="E7605" s="43"/>
      <c r="F7605" s="48">
        <f t="shared" si="124"/>
        <v>205817</v>
      </c>
    </row>
    <row r="7606" spans="1:6" x14ac:dyDescent="0.3">
      <c r="A7606" s="45">
        <v>43899</v>
      </c>
      <c r="B7606" s="5" t="s">
        <v>5941</v>
      </c>
      <c r="C7606" s="5" t="s">
        <v>5942</v>
      </c>
      <c r="D7606" s="43">
        <v>7000</v>
      </c>
      <c r="E7606" s="43"/>
      <c r="F7606" s="48">
        <f t="shared" si="124"/>
        <v>198817</v>
      </c>
    </row>
    <row r="7607" spans="1:6" x14ac:dyDescent="0.3">
      <c r="A7607" s="45">
        <v>43899</v>
      </c>
      <c r="B7607" s="5" t="s">
        <v>2984</v>
      </c>
      <c r="C7607" s="5" t="s">
        <v>5943</v>
      </c>
      <c r="D7607" s="43">
        <v>8000</v>
      </c>
      <c r="E7607" s="43"/>
      <c r="F7607" s="48">
        <f t="shared" si="124"/>
        <v>190817</v>
      </c>
    </row>
    <row r="7608" spans="1:6" x14ac:dyDescent="0.3">
      <c r="A7608" s="45">
        <v>43900</v>
      </c>
      <c r="B7608" s="5" t="s">
        <v>25</v>
      </c>
      <c r="C7608" s="5" t="s">
        <v>5944</v>
      </c>
      <c r="D7608" s="43">
        <f>130+150+130+250+200+164+120+50+40+33</f>
        <v>1267</v>
      </c>
      <c r="E7608" s="43"/>
      <c r="F7608" s="48">
        <f t="shared" si="124"/>
        <v>189550</v>
      </c>
    </row>
    <row r="7609" spans="1:6" x14ac:dyDescent="0.3">
      <c r="A7609" s="45">
        <v>43900</v>
      </c>
      <c r="B7609" s="5" t="s">
        <v>5914</v>
      </c>
      <c r="C7609" s="5" t="s">
        <v>5945</v>
      </c>
      <c r="D7609" s="43">
        <v>100</v>
      </c>
      <c r="E7609" s="43"/>
      <c r="F7609" s="48">
        <f t="shared" si="124"/>
        <v>189450</v>
      </c>
    </row>
    <row r="7610" spans="1:6" x14ac:dyDescent="0.3">
      <c r="A7610" s="45">
        <v>43900</v>
      </c>
      <c r="B7610" s="5" t="s">
        <v>64</v>
      </c>
      <c r="C7610" s="5" t="s">
        <v>2948</v>
      </c>
      <c r="D7610" s="43">
        <f>400+880</f>
        <v>1280</v>
      </c>
      <c r="E7610" s="43"/>
      <c r="F7610" s="48">
        <f t="shared" si="124"/>
        <v>188170</v>
      </c>
    </row>
    <row r="7611" spans="1:6" x14ac:dyDescent="0.3">
      <c r="A7611" s="45">
        <v>43900</v>
      </c>
      <c r="B7611" s="5" t="s">
        <v>64</v>
      </c>
      <c r="C7611" s="5" t="s">
        <v>25</v>
      </c>
      <c r="D7611" s="43">
        <f>560+700</f>
        <v>1260</v>
      </c>
      <c r="E7611" s="43"/>
      <c r="F7611" s="48">
        <f t="shared" si="124"/>
        <v>186910</v>
      </c>
    </row>
    <row r="7612" spans="1:6" x14ac:dyDescent="0.3">
      <c r="A7612" s="45">
        <v>43900</v>
      </c>
      <c r="B7612" s="39" t="s">
        <v>5930</v>
      </c>
      <c r="C7612" s="39" t="s">
        <v>5932</v>
      </c>
      <c r="D7612" s="40">
        <v>30160</v>
      </c>
      <c r="E7612" s="43"/>
      <c r="F7612" s="48">
        <f t="shared" si="124"/>
        <v>156750</v>
      </c>
    </row>
    <row r="7613" spans="1:6" x14ac:dyDescent="0.3">
      <c r="A7613" s="45">
        <v>43900</v>
      </c>
      <c r="B7613" s="39" t="s">
        <v>5930</v>
      </c>
      <c r="C7613" s="39" t="s">
        <v>5931</v>
      </c>
      <c r="D7613" s="40">
        <v>32760</v>
      </c>
      <c r="E7613" s="43"/>
      <c r="F7613" s="48">
        <f t="shared" si="124"/>
        <v>123990</v>
      </c>
    </row>
    <row r="7614" spans="1:6" x14ac:dyDescent="0.3">
      <c r="A7614" s="45">
        <v>43900</v>
      </c>
      <c r="B7614" s="39" t="s">
        <v>5930</v>
      </c>
      <c r="C7614" s="39" t="s">
        <v>5933</v>
      </c>
      <c r="D7614" s="40">
        <v>12960</v>
      </c>
      <c r="E7614" s="43"/>
      <c r="F7614" s="48">
        <f t="shared" si="124"/>
        <v>111030</v>
      </c>
    </row>
    <row r="7615" spans="1:6" x14ac:dyDescent="0.3">
      <c r="A7615" s="45">
        <v>43900</v>
      </c>
      <c r="B7615" s="39" t="s">
        <v>5930</v>
      </c>
      <c r="C7615" s="39" t="s">
        <v>5199</v>
      </c>
      <c r="D7615" s="40">
        <v>60743</v>
      </c>
      <c r="E7615" s="43"/>
      <c r="F7615" s="48">
        <f t="shared" si="124"/>
        <v>50287</v>
      </c>
    </row>
    <row r="7616" spans="1:6" x14ac:dyDescent="0.3">
      <c r="A7616" s="45">
        <v>43900</v>
      </c>
      <c r="B7616" s="218" t="s">
        <v>1541</v>
      </c>
      <c r="C7616" s="218" t="s">
        <v>5934</v>
      </c>
      <c r="D7616" s="211">
        <v>5000</v>
      </c>
      <c r="E7616" s="43"/>
      <c r="F7616" s="48">
        <f t="shared" si="124"/>
        <v>45287</v>
      </c>
    </row>
    <row r="7617" spans="1:6" x14ac:dyDescent="0.3">
      <c r="A7617" s="45">
        <v>43900</v>
      </c>
      <c r="B7617" s="5" t="s">
        <v>25</v>
      </c>
      <c r="C7617" s="5" t="s">
        <v>5935</v>
      </c>
      <c r="D7617" s="43">
        <v>177</v>
      </c>
      <c r="E7617" s="43"/>
      <c r="F7617" s="48">
        <f t="shared" si="124"/>
        <v>45110</v>
      </c>
    </row>
    <row r="7618" spans="1:6" x14ac:dyDescent="0.3">
      <c r="A7618" s="45">
        <v>43900</v>
      </c>
      <c r="B7618" s="5" t="s">
        <v>5936</v>
      </c>
      <c r="C7618" s="5" t="s">
        <v>5940</v>
      </c>
      <c r="D7618" s="43">
        <v>13200</v>
      </c>
      <c r="E7618" s="43"/>
      <c r="F7618" s="48">
        <f t="shared" si="124"/>
        <v>31910</v>
      </c>
    </row>
    <row r="7619" spans="1:6" x14ac:dyDescent="0.3">
      <c r="A7619" s="45">
        <v>43900</v>
      </c>
      <c r="B7619" s="218" t="s">
        <v>5792</v>
      </c>
      <c r="C7619" s="218" t="s">
        <v>5946</v>
      </c>
      <c r="D7619" s="211">
        <v>8000</v>
      </c>
      <c r="E7619" s="43"/>
      <c r="F7619" s="48">
        <f t="shared" si="124"/>
        <v>23910</v>
      </c>
    </row>
    <row r="7620" spans="1:6" x14ac:dyDescent="0.3">
      <c r="A7620" s="45">
        <v>43900</v>
      </c>
      <c r="B7620" s="5" t="s">
        <v>25</v>
      </c>
      <c r="C7620" s="5" t="s">
        <v>5947</v>
      </c>
      <c r="D7620" s="43">
        <v>3000</v>
      </c>
      <c r="E7620" s="43"/>
      <c r="F7620" s="48">
        <f t="shared" si="124"/>
        <v>20910</v>
      </c>
    </row>
    <row r="7621" spans="1:6" x14ac:dyDescent="0.3">
      <c r="A7621" s="45">
        <v>43901</v>
      </c>
      <c r="B7621" s="5" t="s">
        <v>5846</v>
      </c>
      <c r="C7621" s="5" t="s">
        <v>5937</v>
      </c>
      <c r="D7621" s="43">
        <v>500</v>
      </c>
      <c r="E7621" s="43"/>
      <c r="F7621" s="48">
        <f t="shared" si="124"/>
        <v>20410</v>
      </c>
    </row>
    <row r="7622" spans="1:6" x14ac:dyDescent="0.3">
      <c r="A7622" s="45">
        <v>43901</v>
      </c>
      <c r="B7622" s="5" t="s">
        <v>5938</v>
      </c>
      <c r="C7622" s="5" t="s">
        <v>5939</v>
      </c>
      <c r="D7622" s="43">
        <v>20000</v>
      </c>
      <c r="E7622" s="43"/>
      <c r="F7622" s="48">
        <f t="shared" si="124"/>
        <v>410</v>
      </c>
    </row>
    <row r="7623" spans="1:6" x14ac:dyDescent="0.3">
      <c r="A7623" s="45">
        <v>43901</v>
      </c>
      <c r="B7623" s="5" t="s">
        <v>76</v>
      </c>
      <c r="C7623" s="5" t="s">
        <v>5950</v>
      </c>
      <c r="D7623" s="43">
        <v>400</v>
      </c>
      <c r="E7623" s="43"/>
      <c r="F7623" s="48">
        <f t="shared" si="124"/>
        <v>10</v>
      </c>
    </row>
    <row r="7624" spans="1:6" ht="15" customHeight="1" x14ac:dyDescent="0.3">
      <c r="A7624" s="45">
        <v>43902</v>
      </c>
      <c r="B7624" s="739" t="s">
        <v>5952</v>
      </c>
      <c r="C7624" s="739"/>
      <c r="D7624" s="739"/>
      <c r="E7624" s="43">
        <v>150000</v>
      </c>
      <c r="F7624" s="48">
        <f t="shared" si="124"/>
        <v>150010</v>
      </c>
    </row>
    <row r="7625" spans="1:6" x14ac:dyDescent="0.3">
      <c r="A7625" s="45">
        <v>43903</v>
      </c>
      <c r="B7625" s="5" t="s">
        <v>5646</v>
      </c>
      <c r="C7625" s="5" t="s">
        <v>4187</v>
      </c>
      <c r="D7625" s="43">
        <v>5000</v>
      </c>
      <c r="E7625" s="43"/>
      <c r="F7625" s="48">
        <f t="shared" si="124"/>
        <v>145010</v>
      </c>
    </row>
    <row r="7626" spans="1:6" x14ac:dyDescent="0.3">
      <c r="A7626" s="45">
        <v>43903</v>
      </c>
      <c r="B7626" s="5" t="s">
        <v>25</v>
      </c>
      <c r="C7626" s="5" t="s">
        <v>5954</v>
      </c>
      <c r="D7626" s="43">
        <v>1000</v>
      </c>
      <c r="E7626" s="43"/>
      <c r="F7626" s="48">
        <f t="shared" si="124"/>
        <v>144010</v>
      </c>
    </row>
    <row r="7627" spans="1:6" x14ac:dyDescent="0.3">
      <c r="A7627" s="45">
        <v>43903</v>
      </c>
      <c r="B7627" s="5" t="s">
        <v>18</v>
      </c>
      <c r="C7627" s="5" t="s">
        <v>5955</v>
      </c>
      <c r="D7627" s="43">
        <v>10000</v>
      </c>
      <c r="E7627" s="43"/>
      <c r="F7627" s="48">
        <f t="shared" si="124"/>
        <v>134010</v>
      </c>
    </row>
    <row r="7628" spans="1:6" x14ac:dyDescent="0.3">
      <c r="A7628" s="45">
        <v>43904</v>
      </c>
      <c r="B7628" s="5" t="s">
        <v>25</v>
      </c>
      <c r="C7628" s="5" t="s">
        <v>5956</v>
      </c>
      <c r="D7628" s="43">
        <f>300+55+170</f>
        <v>525</v>
      </c>
      <c r="E7628" s="43"/>
      <c r="F7628" s="48">
        <f t="shared" si="124"/>
        <v>133485</v>
      </c>
    </row>
    <row r="7629" spans="1:6" x14ac:dyDescent="0.3">
      <c r="A7629" s="45">
        <v>43904</v>
      </c>
      <c r="B7629" s="5" t="s">
        <v>25</v>
      </c>
      <c r="C7629" s="5" t="s">
        <v>5957</v>
      </c>
      <c r="D7629" s="43">
        <f>200+370+250</f>
        <v>820</v>
      </c>
      <c r="E7629" s="43"/>
      <c r="F7629" s="48">
        <f t="shared" ref="F7629:F7692" si="125">F7628+E7629-D7629</f>
        <v>132665</v>
      </c>
    </row>
    <row r="7630" spans="1:6" x14ac:dyDescent="0.3">
      <c r="A7630" s="45">
        <v>43904</v>
      </c>
      <c r="B7630" s="5" t="s">
        <v>5156</v>
      </c>
      <c r="C7630" s="5" t="s">
        <v>5953</v>
      </c>
      <c r="D7630" s="43">
        <v>600</v>
      </c>
      <c r="E7630" s="43"/>
      <c r="F7630" s="48">
        <f t="shared" si="125"/>
        <v>132065</v>
      </c>
    </row>
    <row r="7631" spans="1:6" x14ac:dyDescent="0.3">
      <c r="A7631" s="45">
        <v>43904</v>
      </c>
      <c r="B7631" s="5" t="s">
        <v>5156</v>
      </c>
      <c r="C7631" s="5" t="s">
        <v>693</v>
      </c>
      <c r="D7631" s="43">
        <v>490</v>
      </c>
      <c r="E7631" s="43"/>
      <c r="F7631" s="48">
        <f t="shared" si="125"/>
        <v>131575</v>
      </c>
    </row>
    <row r="7632" spans="1:6" x14ac:dyDescent="0.3">
      <c r="A7632" s="45">
        <v>43904</v>
      </c>
      <c r="B7632" s="5" t="s">
        <v>14</v>
      </c>
      <c r="C7632" s="219" t="s">
        <v>3910</v>
      </c>
      <c r="D7632" s="220">
        <v>50000</v>
      </c>
      <c r="E7632" s="43"/>
      <c r="F7632" s="48">
        <f t="shared" si="125"/>
        <v>81575</v>
      </c>
    </row>
    <row r="7633" spans="1:6" x14ac:dyDescent="0.3">
      <c r="A7633" s="45">
        <v>43904</v>
      </c>
      <c r="B7633" s="5" t="s">
        <v>5958</v>
      </c>
      <c r="C7633" s="5" t="s">
        <v>5959</v>
      </c>
      <c r="D7633" s="43">
        <v>3500</v>
      </c>
      <c r="E7633" s="43"/>
      <c r="F7633" s="48">
        <f t="shared" si="125"/>
        <v>78075</v>
      </c>
    </row>
    <row r="7634" spans="1:6" x14ac:dyDescent="0.3">
      <c r="A7634" s="45">
        <v>43904</v>
      </c>
      <c r="B7634" s="5" t="s">
        <v>5646</v>
      </c>
      <c r="C7634" s="5" t="s">
        <v>5963</v>
      </c>
      <c r="D7634" s="43">
        <v>9525</v>
      </c>
      <c r="E7634" s="43"/>
      <c r="F7634" s="48">
        <f t="shared" si="125"/>
        <v>68550</v>
      </c>
    </row>
    <row r="7635" spans="1:6" x14ac:dyDescent="0.3">
      <c r="A7635" s="45">
        <v>43904</v>
      </c>
      <c r="B7635" s="5" t="s">
        <v>5646</v>
      </c>
      <c r="C7635" s="5" t="s">
        <v>5964</v>
      </c>
      <c r="D7635" s="43">
        <v>300</v>
      </c>
      <c r="E7635" s="43"/>
      <c r="F7635" s="48">
        <f t="shared" si="125"/>
        <v>68250</v>
      </c>
    </row>
    <row r="7636" spans="1:6" ht="37.5" x14ac:dyDescent="0.3">
      <c r="A7636" s="45">
        <v>43904</v>
      </c>
      <c r="B7636" s="5" t="s">
        <v>5960</v>
      </c>
      <c r="C7636" s="92" t="s">
        <v>5961</v>
      </c>
      <c r="D7636" s="43">
        <v>3000</v>
      </c>
      <c r="E7636" s="43"/>
      <c r="F7636" s="48">
        <f t="shared" si="125"/>
        <v>65250</v>
      </c>
    </row>
    <row r="7637" spans="1:6" x14ac:dyDescent="0.3">
      <c r="A7637" s="45">
        <v>43904</v>
      </c>
      <c r="B7637" s="5" t="s">
        <v>5764</v>
      </c>
      <c r="C7637" s="5" t="s">
        <v>5962</v>
      </c>
      <c r="D7637" s="43">
        <v>5000</v>
      </c>
      <c r="E7637" s="43"/>
      <c r="F7637" s="48">
        <f t="shared" si="125"/>
        <v>60250</v>
      </c>
    </row>
    <row r="7638" spans="1:6" x14ac:dyDescent="0.3">
      <c r="A7638" s="45">
        <v>43906</v>
      </c>
      <c r="B7638" s="5" t="s">
        <v>5764</v>
      </c>
      <c r="C7638" s="5" t="s">
        <v>5966</v>
      </c>
      <c r="D7638" s="43">
        <v>1450</v>
      </c>
      <c r="E7638" s="43"/>
      <c r="F7638" s="48">
        <f t="shared" si="125"/>
        <v>58800</v>
      </c>
    </row>
    <row r="7639" spans="1:6" x14ac:dyDescent="0.3">
      <c r="A7639" s="45">
        <v>43906</v>
      </c>
      <c r="B7639" s="5" t="s">
        <v>5764</v>
      </c>
      <c r="C7639" s="5" t="s">
        <v>5965</v>
      </c>
      <c r="D7639" s="43"/>
      <c r="E7639" s="43">
        <f>2900-650</f>
        <v>2250</v>
      </c>
      <c r="F7639" s="48">
        <f t="shared" si="125"/>
        <v>61050</v>
      </c>
    </row>
    <row r="7640" spans="1:6" x14ac:dyDescent="0.3">
      <c r="A7640" s="45">
        <v>43904</v>
      </c>
      <c r="B7640" s="5" t="s">
        <v>5764</v>
      </c>
      <c r="C7640" s="5" t="s">
        <v>5967</v>
      </c>
      <c r="D7640" s="43">
        <v>650</v>
      </c>
      <c r="E7640" s="43"/>
      <c r="F7640" s="48">
        <f t="shared" si="125"/>
        <v>60400</v>
      </c>
    </row>
    <row r="7641" spans="1:6" x14ac:dyDescent="0.3">
      <c r="A7641" s="45">
        <v>43906</v>
      </c>
      <c r="B7641" s="5" t="s">
        <v>0</v>
      </c>
      <c r="C7641" s="5" t="s">
        <v>5968</v>
      </c>
      <c r="D7641" s="43">
        <v>60000</v>
      </c>
      <c r="E7641" s="43"/>
      <c r="F7641" s="48">
        <f t="shared" si="125"/>
        <v>400</v>
      </c>
    </row>
    <row r="7642" spans="1:6" x14ac:dyDescent="0.3">
      <c r="A7642" s="45">
        <v>43907</v>
      </c>
      <c r="B7642" s="739" t="s">
        <v>5980</v>
      </c>
      <c r="C7642" s="739"/>
      <c r="D7642" s="739"/>
      <c r="E7642" s="43">
        <v>333025</v>
      </c>
      <c r="F7642" s="48">
        <f t="shared" si="125"/>
        <v>333425</v>
      </c>
    </row>
    <row r="7643" spans="1:6" x14ac:dyDescent="0.3">
      <c r="A7643" s="45">
        <v>43906</v>
      </c>
      <c r="B7643" s="5" t="s">
        <v>541</v>
      </c>
      <c r="C7643" s="5" t="s">
        <v>640</v>
      </c>
      <c r="D7643" s="43">
        <v>5000</v>
      </c>
      <c r="E7643" s="43"/>
      <c r="F7643" s="48">
        <f t="shared" si="125"/>
        <v>328425</v>
      </c>
    </row>
    <row r="7644" spans="1:6" x14ac:dyDescent="0.3">
      <c r="A7644" s="45">
        <v>43906</v>
      </c>
      <c r="B7644" s="5" t="s">
        <v>5969</v>
      </c>
      <c r="C7644" s="5" t="s">
        <v>5981</v>
      </c>
      <c r="D7644" s="43">
        <v>240</v>
      </c>
      <c r="E7644" s="43"/>
      <c r="F7644" s="48">
        <f t="shared" si="125"/>
        <v>328185</v>
      </c>
    </row>
    <row r="7645" spans="1:6" x14ac:dyDescent="0.3">
      <c r="A7645" s="45">
        <v>43906</v>
      </c>
      <c r="B7645" s="5" t="s">
        <v>5960</v>
      </c>
      <c r="C7645" s="41" t="s">
        <v>5970</v>
      </c>
      <c r="D7645" s="43">
        <v>1500</v>
      </c>
      <c r="E7645" s="43"/>
      <c r="F7645" s="48">
        <f t="shared" si="125"/>
        <v>326685</v>
      </c>
    </row>
    <row r="7646" spans="1:6" x14ac:dyDescent="0.3">
      <c r="A7646" s="45">
        <v>43907</v>
      </c>
      <c r="B7646" s="5" t="s">
        <v>25</v>
      </c>
      <c r="C7646" s="5" t="s">
        <v>5661</v>
      </c>
      <c r="D7646" s="43">
        <v>600</v>
      </c>
      <c r="E7646" s="43"/>
      <c r="F7646" s="48">
        <f t="shared" si="125"/>
        <v>326085</v>
      </c>
    </row>
    <row r="7647" spans="1:6" x14ac:dyDescent="0.3">
      <c r="A7647" s="45">
        <v>43907</v>
      </c>
      <c r="B7647" s="5" t="s">
        <v>1837</v>
      </c>
      <c r="C7647" s="41" t="s">
        <v>5973</v>
      </c>
      <c r="D7647" s="43">
        <v>2000</v>
      </c>
      <c r="E7647" s="43"/>
      <c r="F7647" s="48">
        <f t="shared" si="125"/>
        <v>324085</v>
      </c>
    </row>
    <row r="7648" spans="1:6" x14ac:dyDescent="0.3">
      <c r="A7648" s="45">
        <v>43907</v>
      </c>
      <c r="B7648" s="5" t="s">
        <v>1679</v>
      </c>
      <c r="C7648" s="5" t="s">
        <v>5974</v>
      </c>
      <c r="D7648" s="43">
        <v>42250</v>
      </c>
      <c r="E7648" s="43"/>
      <c r="F7648" s="48">
        <f t="shared" si="125"/>
        <v>281835</v>
      </c>
    </row>
    <row r="7649" spans="1:6" x14ac:dyDescent="0.3">
      <c r="A7649" s="45">
        <v>43907</v>
      </c>
      <c r="B7649" s="5" t="s">
        <v>2348</v>
      </c>
      <c r="C7649" s="5" t="s">
        <v>5975</v>
      </c>
      <c r="D7649" s="43">
        <v>55000</v>
      </c>
      <c r="E7649" s="43"/>
      <c r="F7649" s="48">
        <f t="shared" si="125"/>
        <v>226835</v>
      </c>
    </row>
    <row r="7650" spans="1:6" x14ac:dyDescent="0.3">
      <c r="A7650" s="45">
        <v>43907</v>
      </c>
      <c r="B7650" s="5" t="s">
        <v>0</v>
      </c>
      <c r="C7650" s="5" t="s">
        <v>5819</v>
      </c>
      <c r="D7650" s="43">
        <v>35000</v>
      </c>
      <c r="E7650" s="43"/>
      <c r="F7650" s="48">
        <f t="shared" si="125"/>
        <v>191835</v>
      </c>
    </row>
    <row r="7651" spans="1:6" x14ac:dyDescent="0.3">
      <c r="A7651" s="45">
        <v>43907</v>
      </c>
      <c r="B7651" s="5" t="s">
        <v>5978</v>
      </c>
      <c r="C7651" s="5" t="s">
        <v>5976</v>
      </c>
      <c r="D7651" s="43">
        <v>71000</v>
      </c>
      <c r="E7651" s="43"/>
      <c r="F7651" s="48">
        <f t="shared" si="125"/>
        <v>120835</v>
      </c>
    </row>
    <row r="7652" spans="1:6" x14ac:dyDescent="0.3">
      <c r="A7652" s="45">
        <v>43907</v>
      </c>
      <c r="B7652" s="5" t="s">
        <v>5979</v>
      </c>
      <c r="C7652" s="5" t="s">
        <v>5977</v>
      </c>
      <c r="D7652" s="43">
        <v>25000</v>
      </c>
      <c r="E7652" s="43"/>
      <c r="F7652" s="48">
        <f t="shared" si="125"/>
        <v>95835</v>
      </c>
    </row>
    <row r="7653" spans="1:6" x14ac:dyDescent="0.3">
      <c r="A7653" s="45">
        <v>43907</v>
      </c>
      <c r="B7653" s="5" t="s">
        <v>1074</v>
      </c>
      <c r="C7653" s="61" t="s">
        <v>5984</v>
      </c>
      <c r="D7653" s="43">
        <f>26626-1285</f>
        <v>25341</v>
      </c>
      <c r="E7653" s="43"/>
      <c r="F7653" s="48">
        <f t="shared" si="125"/>
        <v>70494</v>
      </c>
    </row>
    <row r="7654" spans="1:6" x14ac:dyDescent="0.3">
      <c r="A7654" s="45">
        <v>43908</v>
      </c>
      <c r="B7654" s="5" t="s">
        <v>18</v>
      </c>
      <c r="C7654" s="5" t="s">
        <v>5982</v>
      </c>
      <c r="D7654" s="43">
        <v>2000</v>
      </c>
      <c r="E7654" s="43"/>
      <c r="F7654" s="48">
        <f t="shared" si="125"/>
        <v>68494</v>
      </c>
    </row>
    <row r="7655" spans="1:6" x14ac:dyDescent="0.3">
      <c r="A7655" s="45">
        <v>43908</v>
      </c>
      <c r="B7655" s="5" t="s">
        <v>5741</v>
      </c>
      <c r="C7655" s="5" t="s">
        <v>5983</v>
      </c>
      <c r="D7655" s="43">
        <v>23600</v>
      </c>
      <c r="E7655" s="43"/>
      <c r="F7655" s="48">
        <f t="shared" si="125"/>
        <v>44894</v>
      </c>
    </row>
    <row r="7656" spans="1:6" x14ac:dyDescent="0.3">
      <c r="A7656" s="45">
        <v>43908</v>
      </c>
      <c r="B7656" s="5" t="s">
        <v>54</v>
      </c>
      <c r="C7656" s="41" t="s">
        <v>4637</v>
      </c>
      <c r="D7656" s="43">
        <v>9570</v>
      </c>
      <c r="E7656" s="43"/>
      <c r="F7656" s="48">
        <f t="shared" si="125"/>
        <v>35324</v>
      </c>
    </row>
    <row r="7657" spans="1:6" x14ac:dyDescent="0.3">
      <c r="A7657" s="45">
        <v>43908</v>
      </c>
      <c r="B7657" s="5" t="s">
        <v>5832</v>
      </c>
      <c r="C7657" s="5" t="s">
        <v>4391</v>
      </c>
      <c r="D7657" s="43">
        <v>29200</v>
      </c>
      <c r="E7657" s="43"/>
      <c r="F7657" s="48">
        <f t="shared" si="125"/>
        <v>6124</v>
      </c>
    </row>
    <row r="7658" spans="1:6" x14ac:dyDescent="0.3">
      <c r="A7658" s="45">
        <v>43908</v>
      </c>
      <c r="B7658" s="739" t="s">
        <v>5986</v>
      </c>
      <c r="C7658" s="739"/>
      <c r="D7658" s="739"/>
      <c r="E7658" s="43">
        <v>10000</v>
      </c>
      <c r="F7658" s="48">
        <f t="shared" si="125"/>
        <v>16124</v>
      </c>
    </row>
    <row r="7659" spans="1:6" x14ac:dyDescent="0.3">
      <c r="A7659" s="45">
        <v>43908</v>
      </c>
      <c r="B7659" s="5" t="s">
        <v>25</v>
      </c>
      <c r="C7659" s="5" t="s">
        <v>5985</v>
      </c>
      <c r="D7659" s="43">
        <v>1000</v>
      </c>
      <c r="E7659" s="43"/>
      <c r="F7659" s="48">
        <f t="shared" si="125"/>
        <v>15124</v>
      </c>
    </row>
    <row r="7660" spans="1:6" x14ac:dyDescent="0.3">
      <c r="A7660" s="45">
        <v>43909</v>
      </c>
      <c r="B7660" s="5" t="s">
        <v>14</v>
      </c>
      <c r="C7660" s="5" t="s">
        <v>294</v>
      </c>
      <c r="D7660" s="43">
        <v>10000</v>
      </c>
      <c r="E7660" s="43"/>
      <c r="F7660" s="48">
        <f t="shared" si="125"/>
        <v>5124</v>
      </c>
    </row>
    <row r="7661" spans="1:6" x14ac:dyDescent="0.3">
      <c r="A7661" s="45">
        <v>43909</v>
      </c>
      <c r="B7661" s="739" t="s">
        <v>2960</v>
      </c>
      <c r="C7661" s="739"/>
      <c r="D7661" s="739"/>
      <c r="E7661" s="43">
        <v>85000</v>
      </c>
      <c r="F7661" s="48">
        <f t="shared" si="125"/>
        <v>90124</v>
      </c>
    </row>
    <row r="7662" spans="1:6" x14ac:dyDescent="0.3">
      <c r="A7662" s="45">
        <v>43909</v>
      </c>
      <c r="B7662" s="5" t="s">
        <v>5764</v>
      </c>
      <c r="C7662" s="5" t="s">
        <v>5993</v>
      </c>
      <c r="D7662" s="43">
        <v>30000</v>
      </c>
      <c r="E7662" s="43"/>
      <c r="F7662" s="48">
        <f t="shared" si="125"/>
        <v>60124</v>
      </c>
    </row>
    <row r="7663" spans="1:6" x14ac:dyDescent="0.3">
      <c r="A7663" s="45">
        <v>43910</v>
      </c>
      <c r="B7663" s="5" t="s">
        <v>25</v>
      </c>
      <c r="C7663" s="5" t="s">
        <v>5989</v>
      </c>
      <c r="D7663" s="43">
        <f>50+130+10</f>
        <v>190</v>
      </c>
      <c r="E7663" s="43"/>
      <c r="F7663" s="48">
        <f t="shared" si="125"/>
        <v>59934</v>
      </c>
    </row>
    <row r="7664" spans="1:6" x14ac:dyDescent="0.3">
      <c r="A7664" s="45">
        <v>43923</v>
      </c>
      <c r="B7664" s="739" t="s">
        <v>3444</v>
      </c>
      <c r="C7664" s="739"/>
      <c r="D7664" s="739"/>
      <c r="E7664" s="43">
        <v>500000</v>
      </c>
      <c r="F7664" s="48">
        <f t="shared" si="125"/>
        <v>559934</v>
      </c>
    </row>
    <row r="7665" spans="1:6" x14ac:dyDescent="0.3">
      <c r="A7665" s="45">
        <v>43923</v>
      </c>
      <c r="B7665" s="5" t="s">
        <v>25</v>
      </c>
      <c r="C7665" s="5" t="s">
        <v>5987</v>
      </c>
      <c r="D7665" s="43">
        <f>250+250+70+160</f>
        <v>730</v>
      </c>
      <c r="E7665" s="43"/>
      <c r="F7665" s="48">
        <f t="shared" si="125"/>
        <v>559204</v>
      </c>
    </row>
    <row r="7666" spans="1:6" x14ac:dyDescent="0.3">
      <c r="A7666" s="45">
        <v>43923</v>
      </c>
      <c r="B7666" s="5" t="s">
        <v>25</v>
      </c>
      <c r="C7666" s="5" t="s">
        <v>5988</v>
      </c>
      <c r="D7666" s="43">
        <f>320+130+50</f>
        <v>500</v>
      </c>
      <c r="E7666" s="43"/>
      <c r="F7666" s="48">
        <f t="shared" si="125"/>
        <v>558704</v>
      </c>
    </row>
    <row r="7667" spans="1:6" x14ac:dyDescent="0.3">
      <c r="A7667" s="45">
        <v>43923</v>
      </c>
      <c r="B7667" s="739" t="s">
        <v>2960</v>
      </c>
      <c r="C7667" s="739"/>
      <c r="D7667" s="739"/>
      <c r="E7667" s="43">
        <v>15000</v>
      </c>
      <c r="F7667" s="48">
        <f t="shared" si="125"/>
        <v>573704</v>
      </c>
    </row>
    <row r="7668" spans="1:6" x14ac:dyDescent="0.3">
      <c r="A7668" s="45">
        <v>43923</v>
      </c>
      <c r="B7668" s="5" t="s">
        <v>25</v>
      </c>
      <c r="C7668" s="5" t="s">
        <v>5108</v>
      </c>
      <c r="D7668" s="43">
        <v>1000</v>
      </c>
      <c r="E7668" s="43"/>
      <c r="F7668" s="48">
        <f t="shared" si="125"/>
        <v>572704</v>
      </c>
    </row>
    <row r="7669" spans="1:6" x14ac:dyDescent="0.3">
      <c r="A7669" s="45">
        <v>43927</v>
      </c>
      <c r="B7669" s="5" t="s">
        <v>14</v>
      </c>
      <c r="C7669" s="5" t="s">
        <v>5990</v>
      </c>
      <c r="D7669" s="43">
        <v>20000</v>
      </c>
      <c r="E7669" s="43"/>
      <c r="F7669" s="48">
        <f t="shared" si="125"/>
        <v>552704</v>
      </c>
    </row>
    <row r="7670" spans="1:6" x14ac:dyDescent="0.3">
      <c r="A7670" s="45">
        <v>43927</v>
      </c>
      <c r="B7670" s="5" t="s">
        <v>18</v>
      </c>
      <c r="C7670" s="5" t="s">
        <v>5991</v>
      </c>
      <c r="D7670" s="43">
        <v>1000</v>
      </c>
      <c r="E7670" s="43"/>
      <c r="F7670" s="48">
        <f t="shared" si="125"/>
        <v>551704</v>
      </c>
    </row>
    <row r="7671" spans="1:6" x14ac:dyDescent="0.3">
      <c r="A7671" s="45">
        <v>43930</v>
      </c>
      <c r="B7671" s="739" t="s">
        <v>2960</v>
      </c>
      <c r="C7671" s="739"/>
      <c r="D7671" s="739"/>
      <c r="E7671" s="43">
        <v>200000</v>
      </c>
      <c r="F7671" s="48">
        <f t="shared" si="125"/>
        <v>751704</v>
      </c>
    </row>
    <row r="7672" spans="1:6" x14ac:dyDescent="0.3">
      <c r="A7672" s="45">
        <v>43930</v>
      </c>
      <c r="B7672" s="5" t="s">
        <v>108</v>
      </c>
      <c r="C7672" s="5" t="s">
        <v>5992</v>
      </c>
      <c r="D7672" s="43">
        <v>100</v>
      </c>
      <c r="E7672" s="43"/>
      <c r="F7672" s="48">
        <f t="shared" si="125"/>
        <v>751604</v>
      </c>
    </row>
    <row r="7673" spans="1:6" x14ac:dyDescent="0.3">
      <c r="A7673" s="45">
        <v>43930</v>
      </c>
      <c r="B7673" s="5" t="s">
        <v>108</v>
      </c>
      <c r="C7673" s="5" t="s">
        <v>1624</v>
      </c>
      <c r="D7673" s="43">
        <v>100</v>
      </c>
      <c r="E7673" s="43"/>
      <c r="F7673" s="48">
        <f t="shared" si="125"/>
        <v>751504</v>
      </c>
    </row>
    <row r="7674" spans="1:6" x14ac:dyDescent="0.3">
      <c r="A7674" s="45">
        <v>43930</v>
      </c>
      <c r="B7674" s="5" t="s">
        <v>2348</v>
      </c>
      <c r="C7674" s="5" t="s">
        <v>5994</v>
      </c>
      <c r="D7674" s="43">
        <v>5000</v>
      </c>
      <c r="E7674" s="43"/>
      <c r="F7674" s="48">
        <f t="shared" si="125"/>
        <v>746504</v>
      </c>
    </row>
    <row r="7675" spans="1:6" x14ac:dyDescent="0.3">
      <c r="A7675" s="45">
        <v>43934</v>
      </c>
      <c r="B7675" s="5" t="s">
        <v>25</v>
      </c>
      <c r="C7675" s="5" t="s">
        <v>5996</v>
      </c>
      <c r="D7675" s="43">
        <f>85+130+240+328+50+340+115+85+250+130+200+650</f>
        <v>2603</v>
      </c>
      <c r="E7675" s="43"/>
      <c r="F7675" s="48">
        <f t="shared" si="125"/>
        <v>743901</v>
      </c>
    </row>
    <row r="7676" spans="1:6" x14ac:dyDescent="0.3">
      <c r="A7676" s="45">
        <v>43934</v>
      </c>
      <c r="B7676" s="5" t="s">
        <v>1458</v>
      </c>
      <c r="C7676" s="5" t="s">
        <v>5997</v>
      </c>
      <c r="D7676" s="43">
        <v>15000</v>
      </c>
      <c r="E7676" s="43"/>
      <c r="F7676" s="48">
        <f t="shared" si="125"/>
        <v>728901</v>
      </c>
    </row>
    <row r="7677" spans="1:6" x14ac:dyDescent="0.3">
      <c r="A7677" s="45">
        <v>43934</v>
      </c>
      <c r="B7677" s="5" t="s">
        <v>5922</v>
      </c>
      <c r="C7677" s="5" t="s">
        <v>5998</v>
      </c>
      <c r="D7677" s="43">
        <v>20000</v>
      </c>
      <c r="E7677" s="43"/>
      <c r="F7677" s="48">
        <f t="shared" si="125"/>
        <v>708901</v>
      </c>
    </row>
    <row r="7678" spans="1:6" x14ac:dyDescent="0.3">
      <c r="A7678" s="45">
        <v>43934</v>
      </c>
      <c r="B7678" s="739" t="s">
        <v>2960</v>
      </c>
      <c r="C7678" s="739"/>
      <c r="D7678" s="739"/>
      <c r="E7678" s="43">
        <v>200000</v>
      </c>
      <c r="F7678" s="48">
        <f t="shared" si="125"/>
        <v>908901</v>
      </c>
    </row>
    <row r="7679" spans="1:6" x14ac:dyDescent="0.3">
      <c r="A7679" s="45">
        <v>43934</v>
      </c>
      <c r="B7679" s="5" t="s">
        <v>5792</v>
      </c>
      <c r="C7679" s="5" t="s">
        <v>294</v>
      </c>
      <c r="D7679" s="43">
        <v>300</v>
      </c>
      <c r="E7679" s="43"/>
      <c r="F7679" s="48">
        <f t="shared" si="125"/>
        <v>908601</v>
      </c>
    </row>
    <row r="7680" spans="1:6" x14ac:dyDescent="0.3">
      <c r="A7680" s="45">
        <v>43934</v>
      </c>
      <c r="B7680" s="5" t="s">
        <v>5999</v>
      </c>
      <c r="C7680" s="5" t="s">
        <v>5769</v>
      </c>
      <c r="D7680" s="43">
        <v>18000</v>
      </c>
      <c r="E7680" s="43"/>
      <c r="F7680" s="48">
        <f t="shared" si="125"/>
        <v>890601</v>
      </c>
    </row>
    <row r="7681" spans="1:6" x14ac:dyDescent="0.3">
      <c r="A7681" s="45">
        <v>43934</v>
      </c>
      <c r="B7681" s="5" t="s">
        <v>2348</v>
      </c>
      <c r="C7681" s="5" t="s">
        <v>5975</v>
      </c>
      <c r="D7681" s="43">
        <v>20000</v>
      </c>
      <c r="E7681" s="43"/>
      <c r="F7681" s="48">
        <f t="shared" si="125"/>
        <v>870601</v>
      </c>
    </row>
    <row r="7682" spans="1:6" x14ac:dyDescent="0.3">
      <c r="A7682" s="45">
        <v>43935</v>
      </c>
      <c r="B7682" s="739" t="s">
        <v>6000</v>
      </c>
      <c r="C7682" s="739"/>
      <c r="D7682" s="739"/>
      <c r="E7682" s="43">
        <v>1000</v>
      </c>
      <c r="F7682" s="48">
        <f t="shared" si="125"/>
        <v>871601</v>
      </c>
    </row>
    <row r="7683" spans="1:6" x14ac:dyDescent="0.3">
      <c r="A7683" s="45">
        <v>43930</v>
      </c>
      <c r="B7683" s="39" t="s">
        <v>54</v>
      </c>
      <c r="C7683" s="39" t="s">
        <v>5995</v>
      </c>
      <c r="D7683" s="40">
        <v>847169</v>
      </c>
      <c r="E7683" s="43"/>
      <c r="F7683" s="48">
        <f t="shared" si="125"/>
        <v>24432</v>
      </c>
    </row>
    <row r="7684" spans="1:6" x14ac:dyDescent="0.3">
      <c r="A7684" s="45">
        <v>43934</v>
      </c>
      <c r="B7684" s="739" t="s">
        <v>2960</v>
      </c>
      <c r="C7684" s="739"/>
      <c r="D7684" s="739"/>
      <c r="E7684" s="43">
        <v>100000</v>
      </c>
      <c r="F7684" s="48">
        <f t="shared" si="125"/>
        <v>124432</v>
      </c>
    </row>
    <row r="7685" spans="1:6" x14ac:dyDescent="0.3">
      <c r="A7685" s="45">
        <v>43936</v>
      </c>
      <c r="B7685" s="5" t="s">
        <v>5930</v>
      </c>
      <c r="C7685" s="5" t="s">
        <v>40</v>
      </c>
      <c r="D7685" s="43">
        <v>85759</v>
      </c>
      <c r="E7685" s="43"/>
      <c r="F7685" s="48">
        <f t="shared" si="125"/>
        <v>38673</v>
      </c>
    </row>
    <row r="7686" spans="1:6" x14ac:dyDescent="0.3">
      <c r="A7686" s="45">
        <v>43936</v>
      </c>
      <c r="B7686" s="5" t="s">
        <v>3546</v>
      </c>
      <c r="C7686" s="5" t="s">
        <v>6002</v>
      </c>
      <c r="D7686" s="43">
        <v>30000</v>
      </c>
      <c r="E7686" s="43"/>
      <c r="F7686" s="48">
        <f t="shared" si="125"/>
        <v>8673</v>
      </c>
    </row>
    <row r="7687" spans="1:6" x14ac:dyDescent="0.3">
      <c r="A7687" s="45">
        <v>43936</v>
      </c>
      <c r="B7687" s="5" t="s">
        <v>84</v>
      </c>
      <c r="C7687" s="5" t="s">
        <v>6004</v>
      </c>
      <c r="D7687" s="43">
        <v>1500</v>
      </c>
      <c r="E7687" s="43"/>
      <c r="F7687" s="48">
        <f t="shared" si="125"/>
        <v>7173</v>
      </c>
    </row>
    <row r="7688" spans="1:6" x14ac:dyDescent="0.3">
      <c r="A7688" s="45">
        <v>43936</v>
      </c>
      <c r="B7688" s="739" t="s">
        <v>2960</v>
      </c>
      <c r="C7688" s="739"/>
      <c r="D7688" s="739"/>
      <c r="E7688" s="43">
        <v>450000</v>
      </c>
      <c r="F7688" s="48">
        <f t="shared" si="125"/>
        <v>457173</v>
      </c>
    </row>
    <row r="7689" spans="1:6" x14ac:dyDescent="0.3">
      <c r="A7689" s="45">
        <v>43937</v>
      </c>
      <c r="B7689" s="5" t="s">
        <v>5938</v>
      </c>
      <c r="C7689" s="5" t="s">
        <v>40</v>
      </c>
      <c r="D7689" s="43">
        <v>20000</v>
      </c>
      <c r="E7689" s="43"/>
      <c r="F7689" s="48">
        <f t="shared" si="125"/>
        <v>437173</v>
      </c>
    </row>
    <row r="7690" spans="1:6" x14ac:dyDescent="0.3">
      <c r="A7690" s="45">
        <v>43937</v>
      </c>
      <c r="B7690" s="5" t="s">
        <v>247</v>
      </c>
      <c r="C7690" s="5" t="s">
        <v>6003</v>
      </c>
      <c r="D7690" s="43">
        <v>100</v>
      </c>
      <c r="E7690" s="43"/>
      <c r="F7690" s="48">
        <f t="shared" si="125"/>
        <v>437073</v>
      </c>
    </row>
    <row r="7691" spans="1:6" x14ac:dyDescent="0.3">
      <c r="A7691" s="45">
        <v>43938</v>
      </c>
      <c r="B7691" s="739" t="s">
        <v>2960</v>
      </c>
      <c r="C7691" s="739"/>
      <c r="D7691" s="739"/>
      <c r="E7691" s="43">
        <v>200000</v>
      </c>
      <c r="F7691" s="48">
        <f t="shared" si="125"/>
        <v>637073</v>
      </c>
    </row>
    <row r="7692" spans="1:6" x14ac:dyDescent="0.3">
      <c r="A7692" s="45">
        <v>43941</v>
      </c>
      <c r="B7692" s="5" t="s">
        <v>4156</v>
      </c>
      <c r="C7692" s="5" t="s">
        <v>3488</v>
      </c>
      <c r="D7692" s="62">
        <v>83850</v>
      </c>
      <c r="E7692" s="43"/>
      <c r="F7692" s="48">
        <f t="shared" si="125"/>
        <v>553223</v>
      </c>
    </row>
    <row r="7693" spans="1:6" x14ac:dyDescent="0.3">
      <c r="A7693" s="45">
        <v>43941</v>
      </c>
      <c r="B7693" s="5" t="s">
        <v>54</v>
      </c>
      <c r="C7693" s="5" t="s">
        <v>6011</v>
      </c>
      <c r="D7693" s="62">
        <v>443617</v>
      </c>
      <c r="E7693" s="43"/>
      <c r="F7693" s="48">
        <f t="shared" ref="F7693:F7756" si="126">F7692+E7693-D7693</f>
        <v>109606</v>
      </c>
    </row>
    <row r="7694" spans="1:6" x14ac:dyDescent="0.3">
      <c r="A7694" s="45">
        <v>43941</v>
      </c>
      <c r="B7694" s="5" t="s">
        <v>25</v>
      </c>
      <c r="C7694" s="5" t="s">
        <v>6005</v>
      </c>
      <c r="D7694" s="43">
        <v>1130</v>
      </c>
      <c r="E7694" s="43"/>
      <c r="F7694" s="48">
        <f t="shared" si="126"/>
        <v>108476</v>
      </c>
    </row>
    <row r="7695" spans="1:6" x14ac:dyDescent="0.3">
      <c r="A7695" s="45">
        <v>43942</v>
      </c>
      <c r="B7695" s="5" t="s">
        <v>1074</v>
      </c>
      <c r="C7695" s="5" t="s">
        <v>6006</v>
      </c>
      <c r="D7695" s="43">
        <f>1730+2400</f>
        <v>4130</v>
      </c>
      <c r="E7695" s="43"/>
      <c r="F7695" s="48">
        <f t="shared" si="126"/>
        <v>104346</v>
      </c>
    </row>
    <row r="7696" spans="1:6" x14ac:dyDescent="0.3">
      <c r="A7696" s="45">
        <v>43942</v>
      </c>
      <c r="B7696" s="5" t="s">
        <v>1074</v>
      </c>
      <c r="C7696" s="5" t="s">
        <v>6007</v>
      </c>
      <c r="D7696" s="43">
        <f>3950+1380</f>
        <v>5330</v>
      </c>
      <c r="E7696" s="43"/>
      <c r="F7696" s="48">
        <f t="shared" si="126"/>
        <v>99016</v>
      </c>
    </row>
    <row r="7697" spans="1:6" x14ac:dyDescent="0.3">
      <c r="A7697" s="45">
        <v>43942</v>
      </c>
      <c r="B7697" s="5" t="s">
        <v>2346</v>
      </c>
      <c r="C7697" s="5" t="s">
        <v>6008</v>
      </c>
      <c r="D7697" s="43">
        <v>1000</v>
      </c>
      <c r="E7697" s="43"/>
      <c r="F7697" s="48">
        <f t="shared" si="126"/>
        <v>98016</v>
      </c>
    </row>
    <row r="7698" spans="1:6" x14ac:dyDescent="0.3">
      <c r="A7698" s="45">
        <v>43942</v>
      </c>
      <c r="B7698" s="5" t="s">
        <v>3692</v>
      </c>
      <c r="C7698" s="5" t="s">
        <v>294</v>
      </c>
      <c r="D7698" s="62">
        <v>50000</v>
      </c>
      <c r="E7698" s="43"/>
      <c r="F7698" s="48">
        <f t="shared" si="126"/>
        <v>48016</v>
      </c>
    </row>
    <row r="7699" spans="1:6" x14ac:dyDescent="0.3">
      <c r="A7699" s="45">
        <v>43942</v>
      </c>
      <c r="B7699" s="5" t="s">
        <v>1787</v>
      </c>
      <c r="C7699" s="5" t="s">
        <v>6010</v>
      </c>
      <c r="D7699" s="43">
        <v>1300</v>
      </c>
      <c r="E7699" s="43"/>
      <c r="F7699" s="48">
        <f t="shared" si="126"/>
        <v>46716</v>
      </c>
    </row>
    <row r="7700" spans="1:6" x14ac:dyDescent="0.3">
      <c r="A7700" s="45">
        <v>43942</v>
      </c>
      <c r="B7700" s="5" t="s">
        <v>6009</v>
      </c>
      <c r="C7700" s="5" t="s">
        <v>294</v>
      </c>
      <c r="D7700" s="62">
        <v>50000</v>
      </c>
      <c r="E7700" s="43"/>
      <c r="F7700" s="48">
        <f t="shared" si="126"/>
        <v>-3284</v>
      </c>
    </row>
    <row r="7701" spans="1:6" x14ac:dyDescent="0.3">
      <c r="A7701" s="45">
        <v>43944</v>
      </c>
      <c r="B7701" s="739" t="s">
        <v>2960</v>
      </c>
      <c r="C7701" s="739"/>
      <c r="D7701" s="739"/>
      <c r="E7701" s="43">
        <v>50000</v>
      </c>
      <c r="F7701" s="48">
        <f t="shared" si="126"/>
        <v>46716</v>
      </c>
    </row>
    <row r="7702" spans="1:6" x14ac:dyDescent="0.3">
      <c r="A7702" s="45">
        <v>43944</v>
      </c>
      <c r="B7702" s="5" t="s">
        <v>14</v>
      </c>
      <c r="C7702" s="5" t="s">
        <v>294</v>
      </c>
      <c r="D7702" s="43">
        <v>5000</v>
      </c>
      <c r="E7702" s="43"/>
      <c r="F7702" s="48">
        <f t="shared" si="126"/>
        <v>41716</v>
      </c>
    </row>
    <row r="7703" spans="1:6" x14ac:dyDescent="0.3">
      <c r="A7703" s="45">
        <v>43944</v>
      </c>
      <c r="B7703" s="5" t="s">
        <v>25</v>
      </c>
      <c r="C7703" s="5" t="s">
        <v>6021</v>
      </c>
      <c r="D7703" s="43">
        <v>500</v>
      </c>
      <c r="E7703" s="43"/>
      <c r="F7703" s="48">
        <f t="shared" si="126"/>
        <v>41216</v>
      </c>
    </row>
    <row r="7704" spans="1:6" x14ac:dyDescent="0.3">
      <c r="A7704" s="45">
        <v>43944</v>
      </c>
      <c r="B7704" s="5" t="s">
        <v>1074</v>
      </c>
      <c r="C7704" s="5" t="s">
        <v>6012</v>
      </c>
      <c r="D7704" s="43">
        <f>8553+9765</f>
        <v>18318</v>
      </c>
      <c r="E7704" s="43"/>
      <c r="F7704" s="48">
        <f t="shared" si="126"/>
        <v>22898</v>
      </c>
    </row>
    <row r="7705" spans="1:6" x14ac:dyDescent="0.3">
      <c r="A7705" s="45">
        <v>43944</v>
      </c>
      <c r="B7705" s="5" t="s">
        <v>1074</v>
      </c>
      <c r="C7705" s="5" t="s">
        <v>6013</v>
      </c>
      <c r="D7705" s="43">
        <v>2378</v>
      </c>
      <c r="E7705" s="43"/>
      <c r="F7705" s="48">
        <f t="shared" si="126"/>
        <v>20520</v>
      </c>
    </row>
    <row r="7706" spans="1:6" x14ac:dyDescent="0.3">
      <c r="A7706" s="45">
        <v>43949</v>
      </c>
      <c r="B7706" s="5" t="s">
        <v>14</v>
      </c>
      <c r="C7706" s="5" t="s">
        <v>6022</v>
      </c>
      <c r="D7706" s="43">
        <v>3549</v>
      </c>
      <c r="E7706" s="43"/>
      <c r="F7706" s="48">
        <f t="shared" si="126"/>
        <v>16971</v>
      </c>
    </row>
    <row r="7707" spans="1:6" x14ac:dyDescent="0.3">
      <c r="A7707" s="45">
        <v>43949</v>
      </c>
      <c r="B7707" s="5" t="s">
        <v>2570</v>
      </c>
      <c r="C7707" s="5" t="s">
        <v>6023</v>
      </c>
      <c r="D7707" s="43">
        <v>720</v>
      </c>
      <c r="E7707" s="43"/>
      <c r="F7707" s="48">
        <f t="shared" si="126"/>
        <v>16251</v>
      </c>
    </row>
    <row r="7708" spans="1:6" x14ac:dyDescent="0.3">
      <c r="A7708" s="45">
        <v>43949</v>
      </c>
      <c r="B7708" s="5" t="s">
        <v>4869</v>
      </c>
      <c r="C7708" s="5" t="s">
        <v>6024</v>
      </c>
      <c r="D7708" s="43">
        <v>4161</v>
      </c>
      <c r="E7708" s="43"/>
      <c r="F7708" s="48">
        <f t="shared" si="126"/>
        <v>12090</v>
      </c>
    </row>
    <row r="7709" spans="1:6" ht="37.5" x14ac:dyDescent="0.3">
      <c r="A7709" s="45">
        <v>43950</v>
      </c>
      <c r="B7709" s="5" t="s">
        <v>14</v>
      </c>
      <c r="C7709" s="92" t="s">
        <v>6025</v>
      </c>
      <c r="D7709" s="43">
        <v>10300</v>
      </c>
      <c r="E7709" s="43"/>
      <c r="F7709" s="48">
        <f t="shared" si="126"/>
        <v>1790</v>
      </c>
    </row>
    <row r="7710" spans="1:6" x14ac:dyDescent="0.3">
      <c r="A7710" s="45">
        <v>43950</v>
      </c>
      <c r="B7710" s="5" t="s">
        <v>25</v>
      </c>
      <c r="C7710" s="5" t="s">
        <v>6015</v>
      </c>
      <c r="D7710" s="43">
        <v>1500</v>
      </c>
      <c r="E7710" s="43"/>
      <c r="F7710" s="48">
        <f t="shared" si="126"/>
        <v>290</v>
      </c>
    </row>
    <row r="7711" spans="1:6" x14ac:dyDescent="0.3">
      <c r="A7711" s="45">
        <v>43950</v>
      </c>
      <c r="B7711" s="5" t="s">
        <v>14</v>
      </c>
      <c r="C7711" s="92" t="s">
        <v>438</v>
      </c>
      <c r="D7711" s="43">
        <v>3500</v>
      </c>
      <c r="E7711" s="43"/>
      <c r="F7711" s="48">
        <f t="shared" si="126"/>
        <v>-3210</v>
      </c>
    </row>
    <row r="7712" spans="1:6" x14ac:dyDescent="0.3">
      <c r="A7712" s="45">
        <v>43950</v>
      </c>
      <c r="B7712" s="739" t="s">
        <v>2960</v>
      </c>
      <c r="C7712" s="739"/>
      <c r="D7712" s="739"/>
      <c r="E7712" s="43">
        <v>60000</v>
      </c>
      <c r="F7712" s="48">
        <f t="shared" si="126"/>
        <v>56790</v>
      </c>
    </row>
    <row r="7713" spans="1:6" x14ac:dyDescent="0.3">
      <c r="A7713" s="45">
        <v>43950</v>
      </c>
      <c r="B7713" s="5" t="s">
        <v>3985</v>
      </c>
      <c r="C7713" s="5" t="s">
        <v>6016</v>
      </c>
      <c r="D7713" s="43">
        <v>15000</v>
      </c>
      <c r="E7713" s="43"/>
      <c r="F7713" s="48">
        <f t="shared" si="126"/>
        <v>41790</v>
      </c>
    </row>
    <row r="7714" spans="1:6" ht="37.5" x14ac:dyDescent="0.3">
      <c r="A7714" s="45">
        <v>43950</v>
      </c>
      <c r="B7714" s="41" t="s">
        <v>4550</v>
      </c>
      <c r="C7714" s="221" t="s">
        <v>6020</v>
      </c>
      <c r="D7714" s="42">
        <v>21000</v>
      </c>
      <c r="E7714" s="43"/>
      <c r="F7714" s="48">
        <f t="shared" si="126"/>
        <v>20790</v>
      </c>
    </row>
    <row r="7715" spans="1:6" x14ac:dyDescent="0.3">
      <c r="A7715" s="45">
        <v>43950</v>
      </c>
      <c r="B7715" s="5" t="s">
        <v>25</v>
      </c>
      <c r="C7715" s="5" t="s">
        <v>3195</v>
      </c>
      <c r="D7715" s="43">
        <v>3000</v>
      </c>
      <c r="E7715" s="43"/>
      <c r="F7715" s="48">
        <f t="shared" si="126"/>
        <v>17790</v>
      </c>
    </row>
    <row r="7716" spans="1:6" x14ac:dyDescent="0.3">
      <c r="A7716" s="45">
        <v>43955</v>
      </c>
      <c r="B7716" s="5" t="s">
        <v>0</v>
      </c>
      <c r="C7716" s="5" t="s">
        <v>6026</v>
      </c>
      <c r="D7716" s="43">
        <v>18000</v>
      </c>
      <c r="E7716" s="43"/>
      <c r="F7716" s="48">
        <f t="shared" si="126"/>
        <v>-210</v>
      </c>
    </row>
    <row r="7717" spans="1:6" x14ac:dyDescent="0.3">
      <c r="A7717" s="45">
        <v>43955</v>
      </c>
      <c r="B7717" s="739" t="s">
        <v>2960</v>
      </c>
      <c r="C7717" s="739"/>
      <c r="D7717" s="739"/>
      <c r="E7717" s="43">
        <v>50000</v>
      </c>
      <c r="F7717" s="48">
        <f t="shared" si="126"/>
        <v>49790</v>
      </c>
    </row>
    <row r="7718" spans="1:6" x14ac:dyDescent="0.3">
      <c r="A7718" s="45">
        <v>43955</v>
      </c>
      <c r="B7718" s="5" t="s">
        <v>1787</v>
      </c>
      <c r="C7718" s="5" t="s">
        <v>6034</v>
      </c>
      <c r="D7718" s="43">
        <v>1300</v>
      </c>
      <c r="E7718" s="43"/>
      <c r="F7718" s="48">
        <f t="shared" si="126"/>
        <v>48490</v>
      </c>
    </row>
    <row r="7719" spans="1:6" x14ac:dyDescent="0.3">
      <c r="A7719" s="45">
        <v>43956</v>
      </c>
      <c r="B7719" s="5" t="s">
        <v>54</v>
      </c>
      <c r="C7719" s="5" t="s">
        <v>6027</v>
      </c>
      <c r="D7719" s="43">
        <v>5500</v>
      </c>
      <c r="E7719" s="43"/>
      <c r="F7719" s="48">
        <f t="shared" si="126"/>
        <v>42990</v>
      </c>
    </row>
    <row r="7720" spans="1:6" x14ac:dyDescent="0.3">
      <c r="A7720" s="45">
        <v>43956</v>
      </c>
      <c r="B7720" s="739" t="s">
        <v>2960</v>
      </c>
      <c r="C7720" s="739"/>
      <c r="D7720" s="739"/>
      <c r="E7720" s="43">
        <v>100000</v>
      </c>
      <c r="F7720" s="48">
        <f t="shared" si="126"/>
        <v>142990</v>
      </c>
    </row>
    <row r="7721" spans="1:6" x14ac:dyDescent="0.3">
      <c r="A7721" s="45">
        <v>43956</v>
      </c>
      <c r="B7721" s="5" t="s">
        <v>6028</v>
      </c>
      <c r="C7721" s="5" t="s">
        <v>6029</v>
      </c>
      <c r="D7721" s="43">
        <v>55000</v>
      </c>
      <c r="E7721" s="43"/>
      <c r="F7721" s="48">
        <f t="shared" si="126"/>
        <v>87990</v>
      </c>
    </row>
    <row r="7722" spans="1:6" x14ac:dyDescent="0.3">
      <c r="A7722" s="45">
        <v>43956</v>
      </c>
      <c r="B7722" s="5" t="s">
        <v>5792</v>
      </c>
      <c r="C7722" s="217" t="s">
        <v>6030</v>
      </c>
      <c r="D7722" s="222">
        <v>54000</v>
      </c>
      <c r="E7722" s="43"/>
      <c r="F7722" s="48">
        <f t="shared" si="126"/>
        <v>33990</v>
      </c>
    </row>
    <row r="7723" spans="1:6" x14ac:dyDescent="0.3">
      <c r="A7723" s="45">
        <v>43957</v>
      </c>
      <c r="B7723" s="5" t="s">
        <v>1837</v>
      </c>
      <c r="C7723" s="5" t="s">
        <v>6031</v>
      </c>
      <c r="D7723" s="43">
        <v>1000</v>
      </c>
      <c r="E7723" s="43"/>
      <c r="F7723" s="48">
        <f t="shared" si="126"/>
        <v>32990</v>
      </c>
    </row>
    <row r="7724" spans="1:6" x14ac:dyDescent="0.3">
      <c r="A7724" s="45">
        <v>43957</v>
      </c>
      <c r="B7724" s="5" t="s">
        <v>84</v>
      </c>
      <c r="C7724" s="5" t="s">
        <v>6032</v>
      </c>
      <c r="D7724" s="43">
        <v>1000</v>
      </c>
      <c r="E7724" s="43"/>
      <c r="F7724" s="48">
        <f t="shared" si="126"/>
        <v>31990</v>
      </c>
    </row>
    <row r="7725" spans="1:6" x14ac:dyDescent="0.3">
      <c r="A7725" s="45">
        <v>43957</v>
      </c>
      <c r="B7725" s="5" t="s">
        <v>18</v>
      </c>
      <c r="C7725" s="5" t="s">
        <v>6036</v>
      </c>
      <c r="D7725" s="43">
        <v>20300</v>
      </c>
      <c r="E7725" s="43"/>
      <c r="F7725" s="48">
        <f t="shared" si="126"/>
        <v>11690</v>
      </c>
    </row>
    <row r="7726" spans="1:6" x14ac:dyDescent="0.3">
      <c r="A7726" s="45">
        <v>43957</v>
      </c>
      <c r="B7726" s="5" t="s">
        <v>1787</v>
      </c>
      <c r="C7726" s="5" t="s">
        <v>6033</v>
      </c>
      <c r="D7726" s="43">
        <v>1500</v>
      </c>
      <c r="E7726" s="43"/>
      <c r="F7726" s="48">
        <f t="shared" si="126"/>
        <v>10190</v>
      </c>
    </row>
    <row r="7727" spans="1:6" x14ac:dyDescent="0.3">
      <c r="A7727" s="45">
        <v>43960</v>
      </c>
      <c r="B7727" s="5" t="s">
        <v>54</v>
      </c>
      <c r="C7727" s="5" t="s">
        <v>6035</v>
      </c>
      <c r="D7727" s="43">
        <v>10000</v>
      </c>
      <c r="E7727" s="43"/>
      <c r="F7727" s="48">
        <f t="shared" si="126"/>
        <v>190</v>
      </c>
    </row>
    <row r="7728" spans="1:6" x14ac:dyDescent="0.3">
      <c r="A7728" s="45">
        <v>43962</v>
      </c>
      <c r="B7728" s="5" t="s">
        <v>93</v>
      </c>
      <c r="C7728" s="5" t="s">
        <v>6037</v>
      </c>
      <c r="D7728" s="43">
        <v>1000</v>
      </c>
      <c r="E7728" s="43"/>
      <c r="F7728" s="48">
        <f t="shared" si="126"/>
        <v>-810</v>
      </c>
    </row>
    <row r="7729" spans="1:6" x14ac:dyDescent="0.3">
      <c r="A7729" s="45">
        <v>43962</v>
      </c>
      <c r="B7729" s="41" t="s">
        <v>93</v>
      </c>
      <c r="C7729" s="41" t="s">
        <v>6051</v>
      </c>
      <c r="D7729" s="42">
        <v>2000</v>
      </c>
      <c r="E7729" s="43"/>
      <c r="F7729" s="48">
        <f t="shared" si="126"/>
        <v>-2810</v>
      </c>
    </row>
    <row r="7730" spans="1:6" x14ac:dyDescent="0.3">
      <c r="A7730" s="45">
        <v>43962</v>
      </c>
      <c r="B7730" s="739" t="s">
        <v>6039</v>
      </c>
      <c r="C7730" s="739"/>
      <c r="D7730" s="739"/>
      <c r="E7730" s="43">
        <v>1000000</v>
      </c>
      <c r="F7730" s="48">
        <f t="shared" si="126"/>
        <v>997190</v>
      </c>
    </row>
    <row r="7731" spans="1:6" ht="37.5" x14ac:dyDescent="0.3">
      <c r="A7731" s="45">
        <v>43962</v>
      </c>
      <c r="B7731" s="5" t="s">
        <v>54</v>
      </c>
      <c r="C7731" s="92" t="s">
        <v>6045</v>
      </c>
      <c r="D7731" s="43">
        <v>3500</v>
      </c>
      <c r="E7731" s="43"/>
      <c r="F7731" s="48">
        <f t="shared" si="126"/>
        <v>993690</v>
      </c>
    </row>
    <row r="7732" spans="1:6" x14ac:dyDescent="0.3">
      <c r="A7732" s="45">
        <v>43962</v>
      </c>
      <c r="B7732" s="5" t="s">
        <v>5162</v>
      </c>
      <c r="C7732" s="5" t="s">
        <v>6038</v>
      </c>
      <c r="D7732" s="43">
        <v>1200</v>
      </c>
      <c r="E7732" s="43"/>
      <c r="F7732" s="48">
        <f t="shared" si="126"/>
        <v>992490</v>
      </c>
    </row>
    <row r="7733" spans="1:6" x14ac:dyDescent="0.3">
      <c r="A7733" s="45">
        <v>43962</v>
      </c>
      <c r="B7733" s="5" t="s">
        <v>110</v>
      </c>
      <c r="C7733" s="5" t="s">
        <v>6052</v>
      </c>
      <c r="D7733" s="43">
        <v>15000</v>
      </c>
      <c r="E7733" s="43"/>
      <c r="F7733" s="48">
        <f t="shared" si="126"/>
        <v>977490</v>
      </c>
    </row>
    <row r="7734" spans="1:6" x14ac:dyDescent="0.3">
      <c r="A7734" s="45">
        <v>43963</v>
      </c>
      <c r="B7734" s="5" t="s">
        <v>6041</v>
      </c>
      <c r="C7734" s="5" t="s">
        <v>6053</v>
      </c>
      <c r="D7734" s="43">
        <v>20000</v>
      </c>
      <c r="E7734" s="43"/>
      <c r="F7734" s="48">
        <f t="shared" si="126"/>
        <v>957490</v>
      </c>
    </row>
    <row r="7735" spans="1:6" x14ac:dyDescent="0.3">
      <c r="A7735" s="45">
        <v>43963</v>
      </c>
      <c r="B7735" s="5" t="s">
        <v>6042</v>
      </c>
      <c r="C7735" s="5" t="s">
        <v>6043</v>
      </c>
      <c r="D7735" s="43">
        <v>25000</v>
      </c>
      <c r="E7735" s="43"/>
      <c r="F7735" s="48">
        <f t="shared" si="126"/>
        <v>932490</v>
      </c>
    </row>
    <row r="7736" spans="1:6" x14ac:dyDescent="0.3">
      <c r="A7736" s="45">
        <v>43963</v>
      </c>
      <c r="B7736" s="5" t="s">
        <v>6044</v>
      </c>
      <c r="C7736" s="5" t="s">
        <v>6048</v>
      </c>
      <c r="D7736" s="43">
        <v>20000</v>
      </c>
      <c r="E7736" s="43"/>
      <c r="F7736" s="48">
        <f t="shared" si="126"/>
        <v>912490</v>
      </c>
    </row>
    <row r="7737" spans="1:6" x14ac:dyDescent="0.3">
      <c r="A7737" s="45">
        <v>43963</v>
      </c>
      <c r="B7737" s="41" t="s">
        <v>1837</v>
      </c>
      <c r="C7737" s="41" t="s">
        <v>6046</v>
      </c>
      <c r="D7737" s="42">
        <v>5000</v>
      </c>
      <c r="E7737" s="43"/>
      <c r="F7737" s="48">
        <f t="shared" si="126"/>
        <v>907490</v>
      </c>
    </row>
    <row r="7738" spans="1:6" x14ac:dyDescent="0.3">
      <c r="A7738" s="45">
        <v>43963</v>
      </c>
      <c r="B7738" s="5" t="s">
        <v>25</v>
      </c>
      <c r="C7738" s="5" t="s">
        <v>6047</v>
      </c>
      <c r="D7738" s="43">
        <v>600</v>
      </c>
      <c r="E7738" s="43"/>
      <c r="F7738" s="48">
        <f t="shared" si="126"/>
        <v>906890</v>
      </c>
    </row>
    <row r="7739" spans="1:6" x14ac:dyDescent="0.3">
      <c r="A7739" s="45">
        <v>43963</v>
      </c>
      <c r="B7739" s="5" t="s">
        <v>2348</v>
      </c>
      <c r="C7739" s="5" t="s">
        <v>294</v>
      </c>
      <c r="D7739" s="43">
        <v>5000</v>
      </c>
      <c r="E7739" s="43"/>
      <c r="F7739" s="48">
        <f t="shared" si="126"/>
        <v>901890</v>
      </c>
    </row>
    <row r="7740" spans="1:6" x14ac:dyDescent="0.3">
      <c r="A7740" s="45">
        <v>43963</v>
      </c>
      <c r="B7740" s="5" t="s">
        <v>2348</v>
      </c>
      <c r="C7740" s="5" t="s">
        <v>294</v>
      </c>
      <c r="D7740" s="43">
        <v>15000</v>
      </c>
      <c r="E7740" s="43"/>
      <c r="F7740" s="48">
        <f t="shared" si="126"/>
        <v>886890</v>
      </c>
    </row>
    <row r="7741" spans="1:6" x14ac:dyDescent="0.3">
      <c r="A7741" s="45">
        <v>43964</v>
      </c>
      <c r="B7741" s="739" t="s">
        <v>6000</v>
      </c>
      <c r="C7741" s="739"/>
      <c r="D7741" s="739"/>
      <c r="E7741" s="43">
        <v>18000</v>
      </c>
      <c r="F7741" s="48">
        <f t="shared" si="126"/>
        <v>904890</v>
      </c>
    </row>
    <row r="7742" spans="1:6" x14ac:dyDescent="0.3">
      <c r="A7742" s="45">
        <v>43964</v>
      </c>
      <c r="B7742" s="5" t="s">
        <v>25</v>
      </c>
      <c r="C7742" s="5" t="s">
        <v>6049</v>
      </c>
      <c r="D7742" s="43">
        <v>100</v>
      </c>
      <c r="E7742" s="43"/>
      <c r="F7742" s="48">
        <f t="shared" si="126"/>
        <v>904790</v>
      </c>
    </row>
    <row r="7743" spans="1:6" x14ac:dyDescent="0.3">
      <c r="A7743" s="45">
        <v>43964</v>
      </c>
      <c r="B7743" s="5" t="s">
        <v>25</v>
      </c>
      <c r="C7743" s="5" t="s">
        <v>6050</v>
      </c>
      <c r="D7743" s="43">
        <v>200</v>
      </c>
      <c r="E7743" s="43"/>
      <c r="F7743" s="48">
        <f t="shared" si="126"/>
        <v>904590</v>
      </c>
    </row>
    <row r="7744" spans="1:6" x14ac:dyDescent="0.3">
      <c r="A7744" s="45">
        <v>43964</v>
      </c>
      <c r="B7744" s="61" t="s">
        <v>54</v>
      </c>
      <c r="C7744" s="61" t="s">
        <v>6040</v>
      </c>
      <c r="D7744" s="62">
        <v>907595</v>
      </c>
      <c r="E7744" s="43"/>
      <c r="F7744" s="48">
        <f t="shared" si="126"/>
        <v>-3005</v>
      </c>
    </row>
    <row r="7745" spans="1:6" x14ac:dyDescent="0.3">
      <c r="A7745" s="45">
        <v>43964</v>
      </c>
      <c r="B7745" s="739" t="s">
        <v>6055</v>
      </c>
      <c r="C7745" s="739"/>
      <c r="D7745" s="739"/>
      <c r="E7745" s="43">
        <v>50000</v>
      </c>
      <c r="F7745" s="48">
        <f t="shared" si="126"/>
        <v>46995</v>
      </c>
    </row>
    <row r="7746" spans="1:6" x14ac:dyDescent="0.3">
      <c r="A7746" s="45">
        <v>43965</v>
      </c>
      <c r="B7746" s="5" t="s">
        <v>6054</v>
      </c>
      <c r="C7746" s="5" t="s">
        <v>3332</v>
      </c>
      <c r="D7746" s="43">
        <v>5000</v>
      </c>
      <c r="E7746" s="43"/>
      <c r="F7746" s="48">
        <f t="shared" si="126"/>
        <v>41995</v>
      </c>
    </row>
    <row r="7747" spans="1:6" x14ac:dyDescent="0.3">
      <c r="A7747" s="45">
        <v>43967</v>
      </c>
      <c r="B7747" s="5" t="s">
        <v>14</v>
      </c>
      <c r="C7747" s="5" t="s">
        <v>6057</v>
      </c>
      <c r="D7747" s="43">
        <v>18000</v>
      </c>
      <c r="E7747" s="43"/>
      <c r="F7747" s="48">
        <f t="shared" si="126"/>
        <v>23995</v>
      </c>
    </row>
    <row r="7748" spans="1:6" x14ac:dyDescent="0.3">
      <c r="A7748" s="45">
        <v>43967</v>
      </c>
      <c r="B7748" s="5" t="s">
        <v>2346</v>
      </c>
      <c r="C7748" s="5" t="s">
        <v>6058</v>
      </c>
      <c r="D7748" s="43">
        <v>2500</v>
      </c>
      <c r="E7748" s="43"/>
      <c r="F7748" s="48">
        <f t="shared" si="126"/>
        <v>21495</v>
      </c>
    </row>
    <row r="7749" spans="1:6" x14ac:dyDescent="0.3">
      <c r="A7749" s="45">
        <v>43967</v>
      </c>
      <c r="B7749" s="5" t="s">
        <v>54</v>
      </c>
      <c r="C7749" s="5" t="s">
        <v>6059</v>
      </c>
      <c r="D7749" s="43">
        <v>10000</v>
      </c>
      <c r="E7749" s="43"/>
      <c r="F7749" s="48">
        <f t="shared" si="126"/>
        <v>11495</v>
      </c>
    </row>
    <row r="7750" spans="1:6" x14ac:dyDescent="0.3">
      <c r="A7750" s="45">
        <v>43967</v>
      </c>
      <c r="B7750" s="5" t="s">
        <v>54</v>
      </c>
      <c r="C7750" s="5" t="s">
        <v>6060</v>
      </c>
      <c r="D7750" s="43">
        <v>5000</v>
      </c>
      <c r="E7750" s="43"/>
      <c r="F7750" s="48">
        <f t="shared" si="126"/>
        <v>6495</v>
      </c>
    </row>
    <row r="7751" spans="1:6" x14ac:dyDescent="0.3">
      <c r="A7751" s="45">
        <v>43967</v>
      </c>
      <c r="B7751" s="5" t="s">
        <v>54</v>
      </c>
      <c r="C7751" s="5" t="s">
        <v>6061</v>
      </c>
      <c r="D7751" s="43">
        <v>2000</v>
      </c>
      <c r="E7751" s="43"/>
      <c r="F7751" s="48">
        <f t="shared" si="126"/>
        <v>4495</v>
      </c>
    </row>
    <row r="7752" spans="1:6" x14ac:dyDescent="0.3">
      <c r="A7752" s="45">
        <v>43967</v>
      </c>
      <c r="B7752" s="5" t="s">
        <v>54</v>
      </c>
      <c r="C7752" s="5" t="s">
        <v>6062</v>
      </c>
      <c r="D7752" s="43">
        <v>4625</v>
      </c>
      <c r="E7752" s="43"/>
      <c r="F7752" s="48">
        <f t="shared" si="126"/>
        <v>-130</v>
      </c>
    </row>
    <row r="7753" spans="1:6" x14ac:dyDescent="0.3">
      <c r="A7753" s="45">
        <v>43967</v>
      </c>
      <c r="B7753" s="5" t="s">
        <v>54</v>
      </c>
      <c r="C7753" s="5" t="s">
        <v>6063</v>
      </c>
      <c r="D7753" s="43">
        <v>2500</v>
      </c>
      <c r="E7753" s="43"/>
      <c r="F7753" s="48">
        <f t="shared" si="126"/>
        <v>-2630</v>
      </c>
    </row>
    <row r="7754" spans="1:6" x14ac:dyDescent="0.3">
      <c r="A7754" s="45">
        <v>43964</v>
      </c>
      <c r="B7754" s="739" t="s">
        <v>6000</v>
      </c>
      <c r="C7754" s="739"/>
      <c r="D7754" s="739"/>
      <c r="E7754" s="43">
        <v>22500</v>
      </c>
      <c r="F7754" s="48">
        <f t="shared" si="126"/>
        <v>19870</v>
      </c>
    </row>
    <row r="7755" spans="1:6" x14ac:dyDescent="0.3">
      <c r="A7755" s="45">
        <v>43967</v>
      </c>
      <c r="B7755" s="5" t="s">
        <v>6074</v>
      </c>
      <c r="C7755" s="5" t="s">
        <v>6075</v>
      </c>
      <c r="D7755" s="43">
        <v>3000</v>
      </c>
      <c r="E7755" s="43"/>
      <c r="F7755" s="48">
        <f t="shared" si="126"/>
        <v>16870</v>
      </c>
    </row>
    <row r="7756" spans="1:6" x14ac:dyDescent="0.3">
      <c r="A7756" s="45">
        <v>43970</v>
      </c>
      <c r="B7756" s="5" t="s">
        <v>1074</v>
      </c>
      <c r="C7756" s="5" t="s">
        <v>6065</v>
      </c>
      <c r="D7756" s="43">
        <f>4090+1290</f>
        <v>5380</v>
      </c>
      <c r="E7756" s="43"/>
      <c r="F7756" s="48">
        <f t="shared" si="126"/>
        <v>11490</v>
      </c>
    </row>
    <row r="7757" spans="1:6" x14ac:dyDescent="0.3">
      <c r="A7757" s="45">
        <v>43970</v>
      </c>
      <c r="B7757" s="5" t="s">
        <v>1074</v>
      </c>
      <c r="C7757" s="5" t="s">
        <v>6064</v>
      </c>
      <c r="D7757" s="43">
        <f>690+2150</f>
        <v>2840</v>
      </c>
      <c r="E7757" s="43"/>
      <c r="F7757" s="48">
        <f t="shared" ref="F7757:F7820" si="127">F7756+E7757-D7757</f>
        <v>8650</v>
      </c>
    </row>
    <row r="7758" spans="1:6" x14ac:dyDescent="0.3">
      <c r="A7758" s="45">
        <v>43970</v>
      </c>
      <c r="B7758" s="5" t="s">
        <v>4869</v>
      </c>
      <c r="C7758" s="5" t="s">
        <v>40</v>
      </c>
      <c r="D7758" s="43">
        <v>4161</v>
      </c>
      <c r="E7758" s="43"/>
      <c r="F7758" s="48">
        <f t="shared" si="127"/>
        <v>4489</v>
      </c>
    </row>
    <row r="7759" spans="1:6" x14ac:dyDescent="0.3">
      <c r="A7759" s="45">
        <v>43970</v>
      </c>
      <c r="B7759" s="739" t="s">
        <v>6055</v>
      </c>
      <c r="C7759" s="739"/>
      <c r="D7759" s="739"/>
      <c r="E7759" s="43">
        <v>400000</v>
      </c>
      <c r="F7759" s="48">
        <f t="shared" si="127"/>
        <v>404489</v>
      </c>
    </row>
    <row r="7760" spans="1:6" x14ac:dyDescent="0.3">
      <c r="A7760" s="45">
        <v>43970</v>
      </c>
      <c r="B7760" s="5" t="s">
        <v>2348</v>
      </c>
      <c r="C7760" s="5" t="s">
        <v>6067</v>
      </c>
      <c r="D7760" s="43">
        <v>104000</v>
      </c>
      <c r="E7760" s="43"/>
      <c r="F7760" s="48">
        <f t="shared" si="127"/>
        <v>300489</v>
      </c>
    </row>
    <row r="7761" spans="1:6" x14ac:dyDescent="0.3">
      <c r="A7761" s="45">
        <v>43970</v>
      </c>
      <c r="B7761" s="5" t="s">
        <v>88</v>
      </c>
      <c r="C7761" s="5" t="s">
        <v>6077</v>
      </c>
      <c r="D7761" s="43">
        <v>1000</v>
      </c>
      <c r="E7761" s="43"/>
      <c r="F7761" s="48">
        <f t="shared" si="127"/>
        <v>299489</v>
      </c>
    </row>
    <row r="7762" spans="1:6" x14ac:dyDescent="0.3">
      <c r="A7762" s="45">
        <v>43970</v>
      </c>
      <c r="B7762" s="5" t="s">
        <v>1512</v>
      </c>
      <c r="C7762" s="5" t="s">
        <v>6061</v>
      </c>
      <c r="D7762" s="43">
        <v>3000</v>
      </c>
      <c r="E7762" s="43"/>
      <c r="F7762" s="48">
        <f t="shared" si="127"/>
        <v>296489</v>
      </c>
    </row>
    <row r="7763" spans="1:6" x14ac:dyDescent="0.3">
      <c r="A7763" s="45">
        <v>43970</v>
      </c>
      <c r="B7763" s="5" t="s">
        <v>6068</v>
      </c>
      <c r="C7763" s="5" t="s">
        <v>40</v>
      </c>
      <c r="D7763" s="43">
        <v>40000</v>
      </c>
      <c r="E7763" s="43"/>
      <c r="F7763" s="48">
        <f t="shared" si="127"/>
        <v>256489</v>
      </c>
    </row>
    <row r="7764" spans="1:6" x14ac:dyDescent="0.3">
      <c r="A7764" s="45">
        <v>43970</v>
      </c>
      <c r="B7764" s="5" t="s">
        <v>4550</v>
      </c>
      <c r="C7764" s="5" t="s">
        <v>4792</v>
      </c>
      <c r="D7764" s="43">
        <v>18000</v>
      </c>
      <c r="E7764" s="43"/>
      <c r="F7764" s="48">
        <f t="shared" si="127"/>
        <v>238489</v>
      </c>
    </row>
    <row r="7765" spans="1:6" x14ac:dyDescent="0.3">
      <c r="A7765" s="45">
        <v>43970</v>
      </c>
      <c r="B7765" s="5" t="s">
        <v>4550</v>
      </c>
      <c r="C7765" s="5" t="s">
        <v>4792</v>
      </c>
      <c r="D7765" s="43">
        <v>4000</v>
      </c>
      <c r="E7765" s="43"/>
      <c r="F7765" s="48">
        <f t="shared" si="127"/>
        <v>234489</v>
      </c>
    </row>
    <row r="7766" spans="1:6" x14ac:dyDescent="0.3">
      <c r="A7766" s="45">
        <v>43970</v>
      </c>
      <c r="B7766" s="739" t="s">
        <v>6069</v>
      </c>
      <c r="C7766" s="739"/>
      <c r="D7766" s="739"/>
      <c r="E7766" s="43">
        <v>80000</v>
      </c>
      <c r="F7766" s="48">
        <f t="shared" si="127"/>
        <v>314489</v>
      </c>
    </row>
    <row r="7767" spans="1:6" x14ac:dyDescent="0.3">
      <c r="A7767" s="45">
        <v>43970</v>
      </c>
      <c r="B7767" s="5" t="s">
        <v>0</v>
      </c>
      <c r="C7767" s="5" t="s">
        <v>4187</v>
      </c>
      <c r="D7767" s="43">
        <v>6000</v>
      </c>
      <c r="E7767" s="43"/>
      <c r="F7767" s="48">
        <f t="shared" si="127"/>
        <v>308489</v>
      </c>
    </row>
    <row r="7768" spans="1:6" x14ac:dyDescent="0.3">
      <c r="A7768" s="45">
        <v>43970</v>
      </c>
      <c r="B7768" s="5" t="s">
        <v>5922</v>
      </c>
      <c r="C7768" s="5" t="s">
        <v>6078</v>
      </c>
      <c r="D7768" s="43">
        <v>9500</v>
      </c>
      <c r="E7768" s="43"/>
      <c r="F7768" s="48">
        <f t="shared" si="127"/>
        <v>298989</v>
      </c>
    </row>
    <row r="7769" spans="1:6" x14ac:dyDescent="0.3">
      <c r="A7769" s="45">
        <v>43971</v>
      </c>
      <c r="B7769" s="5" t="s">
        <v>5665</v>
      </c>
      <c r="C7769" s="5" t="s">
        <v>6080</v>
      </c>
      <c r="D7769" s="43">
        <v>20500</v>
      </c>
      <c r="E7769" s="43"/>
      <c r="F7769" s="48">
        <f t="shared" si="127"/>
        <v>278489</v>
      </c>
    </row>
    <row r="7770" spans="1:6" x14ac:dyDescent="0.3">
      <c r="A7770" s="45">
        <v>43971</v>
      </c>
      <c r="B7770" s="5" t="s">
        <v>1837</v>
      </c>
      <c r="C7770" s="5" t="s">
        <v>6076</v>
      </c>
      <c r="D7770" s="43">
        <v>2500</v>
      </c>
      <c r="E7770" s="43"/>
      <c r="F7770" s="48">
        <f t="shared" si="127"/>
        <v>275989</v>
      </c>
    </row>
    <row r="7771" spans="1:6" x14ac:dyDescent="0.3">
      <c r="A7771" s="45">
        <v>43971</v>
      </c>
      <c r="B7771" s="5" t="s">
        <v>25</v>
      </c>
      <c r="C7771" s="5" t="s">
        <v>6081</v>
      </c>
      <c r="D7771" s="43">
        <v>120</v>
      </c>
      <c r="E7771" s="43"/>
      <c r="F7771" s="48">
        <f t="shared" si="127"/>
        <v>275869</v>
      </c>
    </row>
    <row r="7772" spans="1:6" x14ac:dyDescent="0.3">
      <c r="A7772" s="45">
        <v>43971</v>
      </c>
      <c r="B7772" s="739" t="s">
        <v>6079</v>
      </c>
      <c r="C7772" s="739"/>
      <c r="D7772" s="739"/>
      <c r="E7772" s="43">
        <v>98334</v>
      </c>
      <c r="F7772" s="48">
        <f t="shared" si="127"/>
        <v>374203</v>
      </c>
    </row>
    <row r="7773" spans="1:6" x14ac:dyDescent="0.3">
      <c r="A7773" s="45">
        <v>43971</v>
      </c>
      <c r="B7773" s="5" t="s">
        <v>5930</v>
      </c>
      <c r="C7773" s="5" t="s">
        <v>3332</v>
      </c>
      <c r="D7773" s="43">
        <v>88784</v>
      </c>
      <c r="E7773" s="43"/>
      <c r="F7773" s="48">
        <f t="shared" si="127"/>
        <v>285419</v>
      </c>
    </row>
    <row r="7774" spans="1:6" x14ac:dyDescent="0.3">
      <c r="A7774" s="45">
        <v>43971</v>
      </c>
      <c r="B7774" s="739" t="s">
        <v>6055</v>
      </c>
      <c r="C7774" s="739"/>
      <c r="D7774" s="739"/>
      <c r="E7774" s="43">
        <v>150000</v>
      </c>
      <c r="F7774" s="48">
        <f t="shared" si="127"/>
        <v>435419</v>
      </c>
    </row>
    <row r="7775" spans="1:6" x14ac:dyDescent="0.3">
      <c r="A7775" s="45">
        <v>43971</v>
      </c>
      <c r="B7775" s="5" t="s">
        <v>25</v>
      </c>
      <c r="C7775" s="5" t="s">
        <v>6088</v>
      </c>
      <c r="D7775" s="43">
        <v>500</v>
      </c>
      <c r="E7775" s="43"/>
      <c r="F7775" s="48">
        <f t="shared" si="127"/>
        <v>434919</v>
      </c>
    </row>
    <row r="7776" spans="1:6" x14ac:dyDescent="0.3">
      <c r="A7776" s="45">
        <v>43972</v>
      </c>
      <c r="B7776" s="739" t="s">
        <v>6000</v>
      </c>
      <c r="C7776" s="739"/>
      <c r="D7776" s="739"/>
      <c r="E7776" s="43">
        <v>50000</v>
      </c>
      <c r="F7776" s="48">
        <f t="shared" si="127"/>
        <v>484919</v>
      </c>
    </row>
    <row r="7777" spans="1:6" ht="131.25" x14ac:dyDescent="0.3">
      <c r="A7777" s="45">
        <v>43972</v>
      </c>
      <c r="B7777" s="44" t="s">
        <v>6084</v>
      </c>
      <c r="C7777" s="92" t="s">
        <v>6086</v>
      </c>
      <c r="D7777" s="28">
        <v>465000</v>
      </c>
      <c r="E7777" s="43"/>
      <c r="F7777" s="48">
        <f t="shared" si="127"/>
        <v>19919</v>
      </c>
    </row>
    <row r="7778" spans="1:6" x14ac:dyDescent="0.3">
      <c r="A7778" s="45">
        <v>43972</v>
      </c>
      <c r="B7778" s="5" t="s">
        <v>25</v>
      </c>
      <c r="C7778" s="5" t="s">
        <v>6083</v>
      </c>
      <c r="D7778" s="43">
        <v>200</v>
      </c>
      <c r="E7778" s="43"/>
      <c r="F7778" s="48">
        <f t="shared" si="127"/>
        <v>19719</v>
      </c>
    </row>
    <row r="7779" spans="1:6" x14ac:dyDescent="0.3">
      <c r="A7779" s="45">
        <v>43972</v>
      </c>
      <c r="B7779" s="5" t="s">
        <v>247</v>
      </c>
      <c r="C7779" s="5" t="s">
        <v>2013</v>
      </c>
      <c r="D7779" s="43">
        <v>100</v>
      </c>
      <c r="E7779" s="43"/>
      <c r="F7779" s="48">
        <f t="shared" si="127"/>
        <v>19619</v>
      </c>
    </row>
    <row r="7780" spans="1:6" x14ac:dyDescent="0.3">
      <c r="A7780" s="45">
        <v>43979</v>
      </c>
      <c r="B7780" s="739" t="s">
        <v>6090</v>
      </c>
      <c r="C7780" s="739"/>
      <c r="D7780" s="739"/>
      <c r="E7780" s="43">
        <v>14000</v>
      </c>
      <c r="F7780" s="48">
        <f t="shared" si="127"/>
        <v>33619</v>
      </c>
    </row>
    <row r="7781" spans="1:6" x14ac:dyDescent="0.3">
      <c r="A7781" s="45">
        <v>43972</v>
      </c>
      <c r="B7781" s="5" t="s">
        <v>6085</v>
      </c>
      <c r="C7781" s="5" t="s">
        <v>6087</v>
      </c>
      <c r="D7781" s="43">
        <v>20500</v>
      </c>
      <c r="E7781" s="43"/>
      <c r="F7781" s="48">
        <f t="shared" si="127"/>
        <v>13119</v>
      </c>
    </row>
    <row r="7782" spans="1:6" x14ac:dyDescent="0.3">
      <c r="A7782" s="45">
        <v>43979</v>
      </c>
      <c r="B7782" s="5" t="s">
        <v>6091</v>
      </c>
      <c r="C7782" s="5" t="s">
        <v>6092</v>
      </c>
      <c r="D7782" s="43">
        <v>770</v>
      </c>
      <c r="E7782" s="43"/>
      <c r="F7782" s="48">
        <f t="shared" si="127"/>
        <v>12349</v>
      </c>
    </row>
    <row r="7783" spans="1:6" x14ac:dyDescent="0.3">
      <c r="A7783" s="45">
        <v>43980</v>
      </c>
      <c r="B7783" s="5" t="s">
        <v>4550</v>
      </c>
      <c r="C7783" s="5" t="s">
        <v>6093</v>
      </c>
      <c r="D7783" s="43">
        <v>10000</v>
      </c>
      <c r="E7783" s="43"/>
      <c r="F7783" s="48">
        <f t="shared" si="127"/>
        <v>2349</v>
      </c>
    </row>
    <row r="7784" spans="1:6" x14ac:dyDescent="0.3">
      <c r="A7784" s="45">
        <v>43980</v>
      </c>
      <c r="B7784" s="739" t="s">
        <v>6095</v>
      </c>
      <c r="C7784" s="739"/>
      <c r="D7784" s="739"/>
      <c r="E7784" s="43">
        <v>60000</v>
      </c>
      <c r="F7784" s="48">
        <f t="shared" si="127"/>
        <v>62349</v>
      </c>
    </row>
    <row r="7785" spans="1:6" x14ac:dyDescent="0.3">
      <c r="A7785" s="45">
        <v>43980</v>
      </c>
      <c r="B7785" s="5" t="s">
        <v>84</v>
      </c>
      <c r="C7785" s="5" t="s">
        <v>6089</v>
      </c>
      <c r="D7785" s="43">
        <v>3000</v>
      </c>
      <c r="E7785" s="43"/>
      <c r="F7785" s="48">
        <f t="shared" si="127"/>
        <v>59349</v>
      </c>
    </row>
    <row r="7786" spans="1:6" x14ac:dyDescent="0.3">
      <c r="A7786" s="45">
        <v>43980</v>
      </c>
      <c r="B7786" s="5" t="s">
        <v>25</v>
      </c>
      <c r="C7786" s="5" t="s">
        <v>6097</v>
      </c>
      <c r="D7786" s="43">
        <v>300</v>
      </c>
      <c r="E7786" s="43"/>
      <c r="F7786" s="48">
        <f t="shared" si="127"/>
        <v>59049</v>
      </c>
    </row>
    <row r="7787" spans="1:6" x14ac:dyDescent="0.3">
      <c r="A7787" s="45">
        <v>43980</v>
      </c>
      <c r="B7787" s="5" t="s">
        <v>25</v>
      </c>
      <c r="C7787" s="5" t="s">
        <v>6094</v>
      </c>
      <c r="D7787" s="43">
        <v>100</v>
      </c>
      <c r="E7787" s="43"/>
      <c r="F7787" s="48">
        <f t="shared" si="127"/>
        <v>58949</v>
      </c>
    </row>
    <row r="7788" spans="1:6" x14ac:dyDescent="0.3">
      <c r="A7788" s="45">
        <v>43980</v>
      </c>
      <c r="B7788" s="5" t="s">
        <v>1074</v>
      </c>
      <c r="C7788" s="5" t="s">
        <v>6096</v>
      </c>
      <c r="D7788" s="43">
        <v>49371</v>
      </c>
      <c r="E7788" s="43"/>
      <c r="F7788" s="48">
        <f t="shared" si="127"/>
        <v>9578</v>
      </c>
    </row>
    <row r="7789" spans="1:6" x14ac:dyDescent="0.3">
      <c r="A7789" s="45">
        <v>43980</v>
      </c>
      <c r="B7789" s="739" t="s">
        <v>6098</v>
      </c>
      <c r="C7789" s="739"/>
      <c r="D7789" s="739"/>
      <c r="E7789" s="43">
        <v>200000</v>
      </c>
      <c r="F7789" s="48">
        <f t="shared" si="127"/>
        <v>209578</v>
      </c>
    </row>
    <row r="7790" spans="1:6" x14ac:dyDescent="0.3">
      <c r="A7790" s="45">
        <v>43980</v>
      </c>
      <c r="B7790" s="5" t="s">
        <v>6099</v>
      </c>
      <c r="C7790" s="5" t="s">
        <v>4792</v>
      </c>
      <c r="D7790" s="43">
        <v>30000</v>
      </c>
      <c r="E7790" s="43"/>
      <c r="F7790" s="48">
        <f t="shared" si="127"/>
        <v>179578</v>
      </c>
    </row>
    <row r="7791" spans="1:6" x14ac:dyDescent="0.3">
      <c r="A7791" s="45">
        <v>43980</v>
      </c>
      <c r="B7791" s="5" t="s">
        <v>6100</v>
      </c>
      <c r="C7791" s="5" t="s">
        <v>40</v>
      </c>
      <c r="D7791" s="43">
        <v>40000</v>
      </c>
      <c r="E7791" s="43"/>
      <c r="F7791" s="48">
        <f t="shared" si="127"/>
        <v>139578</v>
      </c>
    </row>
    <row r="7792" spans="1:6" x14ac:dyDescent="0.3">
      <c r="A7792" s="45">
        <v>43980</v>
      </c>
      <c r="B7792" s="5" t="s">
        <v>2348</v>
      </c>
      <c r="C7792" s="5" t="s">
        <v>438</v>
      </c>
      <c r="D7792" s="43">
        <v>1000</v>
      </c>
      <c r="E7792" s="43"/>
      <c r="F7792" s="48">
        <f t="shared" si="127"/>
        <v>138578</v>
      </c>
    </row>
    <row r="7793" spans="1:6" x14ac:dyDescent="0.3">
      <c r="A7793" s="45">
        <v>43980</v>
      </c>
      <c r="B7793" s="5" t="s">
        <v>14</v>
      </c>
      <c r="C7793" s="5" t="s">
        <v>6101</v>
      </c>
      <c r="D7793" s="43">
        <v>2000</v>
      </c>
      <c r="E7793" s="43"/>
      <c r="F7793" s="48">
        <f t="shared" si="127"/>
        <v>136578</v>
      </c>
    </row>
    <row r="7794" spans="1:6" x14ac:dyDescent="0.3">
      <c r="A7794" s="45">
        <v>43980</v>
      </c>
      <c r="B7794" s="5" t="s">
        <v>5896</v>
      </c>
      <c r="C7794" s="5" t="s">
        <v>6102</v>
      </c>
      <c r="D7794" s="43">
        <v>2000</v>
      </c>
      <c r="E7794" s="43"/>
      <c r="F7794" s="48">
        <f t="shared" si="127"/>
        <v>134578</v>
      </c>
    </row>
    <row r="7795" spans="1:6" ht="37.5" x14ac:dyDescent="0.3">
      <c r="A7795" s="45">
        <v>43981</v>
      </c>
      <c r="B7795" s="5" t="s">
        <v>5846</v>
      </c>
      <c r="C7795" s="92" t="s">
        <v>6103</v>
      </c>
      <c r="D7795" s="43">
        <v>500</v>
      </c>
      <c r="E7795" s="43"/>
      <c r="F7795" s="48">
        <f t="shared" si="127"/>
        <v>134078</v>
      </c>
    </row>
    <row r="7796" spans="1:6" x14ac:dyDescent="0.3">
      <c r="A7796" s="45">
        <v>43983</v>
      </c>
      <c r="B7796" s="5" t="s">
        <v>6105</v>
      </c>
      <c r="C7796" s="92" t="s">
        <v>6106</v>
      </c>
      <c r="D7796" s="43">
        <v>73200</v>
      </c>
      <c r="E7796" s="43"/>
      <c r="F7796" s="48">
        <f t="shared" si="127"/>
        <v>60878</v>
      </c>
    </row>
    <row r="7797" spans="1:6" x14ac:dyDescent="0.3">
      <c r="A7797" s="45">
        <v>43983</v>
      </c>
      <c r="B7797" s="5" t="s">
        <v>541</v>
      </c>
      <c r="C7797" s="92" t="s">
        <v>4792</v>
      </c>
      <c r="D7797" s="43">
        <v>23750</v>
      </c>
      <c r="E7797" s="43"/>
      <c r="F7797" s="48">
        <f t="shared" si="127"/>
        <v>37128</v>
      </c>
    </row>
    <row r="7798" spans="1:6" x14ac:dyDescent="0.3">
      <c r="A7798" s="45">
        <v>43984</v>
      </c>
      <c r="B7798" s="5" t="s">
        <v>84</v>
      </c>
      <c r="C7798" s="92" t="s">
        <v>4409</v>
      </c>
      <c r="D7798" s="43">
        <v>5000</v>
      </c>
      <c r="E7798" s="43"/>
      <c r="F7798" s="48">
        <f t="shared" si="127"/>
        <v>32128</v>
      </c>
    </row>
    <row r="7799" spans="1:6" x14ac:dyDescent="0.3">
      <c r="A7799" s="45">
        <v>43984</v>
      </c>
      <c r="B7799" s="5" t="s">
        <v>25</v>
      </c>
      <c r="C7799" s="92" t="s">
        <v>6107</v>
      </c>
      <c r="D7799" s="43">
        <v>5000</v>
      </c>
      <c r="E7799" s="43"/>
      <c r="F7799" s="48">
        <f t="shared" si="127"/>
        <v>27128</v>
      </c>
    </row>
    <row r="7800" spans="1:6" x14ac:dyDescent="0.3">
      <c r="A7800" s="45">
        <v>43984</v>
      </c>
      <c r="B7800" s="5" t="s">
        <v>57</v>
      </c>
      <c r="C7800" s="92" t="s">
        <v>6108</v>
      </c>
      <c r="D7800" s="43">
        <v>5000</v>
      </c>
      <c r="E7800" s="43"/>
      <c r="F7800" s="48">
        <f t="shared" si="127"/>
        <v>22128</v>
      </c>
    </row>
    <row r="7801" spans="1:6" x14ac:dyDescent="0.3">
      <c r="A7801" s="45">
        <v>43985</v>
      </c>
      <c r="B7801" s="5" t="s">
        <v>18</v>
      </c>
      <c r="C7801" s="5" t="s">
        <v>6109</v>
      </c>
      <c r="D7801" s="43">
        <v>1000</v>
      </c>
      <c r="E7801" s="43"/>
      <c r="F7801" s="48">
        <f t="shared" si="127"/>
        <v>21128</v>
      </c>
    </row>
    <row r="7802" spans="1:6" x14ac:dyDescent="0.3">
      <c r="A7802" s="45">
        <v>43985</v>
      </c>
      <c r="B7802" s="5" t="s">
        <v>25</v>
      </c>
      <c r="C7802" s="5" t="s">
        <v>5641</v>
      </c>
      <c r="D7802" s="43">
        <v>600</v>
      </c>
      <c r="E7802" s="43"/>
      <c r="F7802" s="48">
        <f t="shared" si="127"/>
        <v>20528</v>
      </c>
    </row>
    <row r="7803" spans="1:6" x14ac:dyDescent="0.3">
      <c r="A7803" s="45">
        <v>43985</v>
      </c>
      <c r="B7803" s="5" t="s">
        <v>25</v>
      </c>
      <c r="C7803" s="5" t="s">
        <v>64</v>
      </c>
      <c r="D7803" s="43">
        <v>1800</v>
      </c>
      <c r="E7803" s="43"/>
      <c r="F7803" s="48">
        <f t="shared" si="127"/>
        <v>18728</v>
      </c>
    </row>
    <row r="7804" spans="1:6" x14ac:dyDescent="0.3">
      <c r="A7804" s="45">
        <v>43985</v>
      </c>
      <c r="B7804" s="739" t="s">
        <v>6055</v>
      </c>
      <c r="C7804" s="739"/>
      <c r="D7804" s="739"/>
      <c r="E7804" s="43">
        <v>100000</v>
      </c>
      <c r="F7804" s="48">
        <f t="shared" si="127"/>
        <v>118728</v>
      </c>
    </row>
    <row r="7805" spans="1:6" x14ac:dyDescent="0.3">
      <c r="A7805" s="45">
        <v>43985</v>
      </c>
      <c r="B7805" s="5" t="s">
        <v>1970</v>
      </c>
      <c r="C7805" s="5" t="s">
        <v>6110</v>
      </c>
      <c r="D7805" s="43">
        <v>93000</v>
      </c>
      <c r="E7805" s="43"/>
      <c r="F7805" s="48">
        <f t="shared" si="127"/>
        <v>25728</v>
      </c>
    </row>
    <row r="7806" spans="1:6" x14ac:dyDescent="0.3">
      <c r="A7806" s="45">
        <v>43987</v>
      </c>
      <c r="B7806" s="5" t="s">
        <v>25</v>
      </c>
      <c r="C7806" s="5" t="s">
        <v>6111</v>
      </c>
      <c r="D7806" s="43">
        <v>2075</v>
      </c>
      <c r="E7806" s="43"/>
      <c r="F7806" s="48">
        <f t="shared" si="127"/>
        <v>23653</v>
      </c>
    </row>
    <row r="7807" spans="1:6" x14ac:dyDescent="0.3">
      <c r="A7807" s="45">
        <v>43987</v>
      </c>
      <c r="B7807" s="5" t="s">
        <v>14</v>
      </c>
      <c r="C7807" s="5" t="s">
        <v>6112</v>
      </c>
      <c r="D7807" s="43">
        <v>9426</v>
      </c>
      <c r="E7807" s="43"/>
      <c r="F7807" s="48">
        <f t="shared" si="127"/>
        <v>14227</v>
      </c>
    </row>
    <row r="7808" spans="1:6" x14ac:dyDescent="0.3">
      <c r="A7808" s="45">
        <v>43987</v>
      </c>
      <c r="B7808" s="5" t="s">
        <v>14</v>
      </c>
      <c r="C7808" s="5" t="s">
        <v>6126</v>
      </c>
      <c r="D7808" s="43">
        <v>6500</v>
      </c>
      <c r="E7808" s="43"/>
      <c r="F7808" s="48">
        <f t="shared" si="127"/>
        <v>7727</v>
      </c>
    </row>
    <row r="7809" spans="1:6" x14ac:dyDescent="0.3">
      <c r="A7809" s="45">
        <v>43988</v>
      </c>
      <c r="B7809" s="739" t="s">
        <v>6055</v>
      </c>
      <c r="C7809" s="739"/>
      <c r="D7809" s="739"/>
      <c r="E7809" s="43">
        <v>100000</v>
      </c>
      <c r="F7809" s="48">
        <f t="shared" si="127"/>
        <v>107727</v>
      </c>
    </row>
    <row r="7810" spans="1:6" x14ac:dyDescent="0.3">
      <c r="A7810" s="45">
        <v>43988</v>
      </c>
      <c r="B7810" s="5" t="s">
        <v>5709</v>
      </c>
      <c r="C7810" s="5" t="s">
        <v>6116</v>
      </c>
      <c r="D7810" s="43">
        <v>2000</v>
      </c>
      <c r="E7810" s="43"/>
      <c r="F7810" s="48">
        <f t="shared" si="127"/>
        <v>105727</v>
      </c>
    </row>
    <row r="7811" spans="1:6" x14ac:dyDescent="0.3">
      <c r="A7811" s="45">
        <v>43988</v>
      </c>
      <c r="B7811" s="5" t="s">
        <v>84</v>
      </c>
      <c r="C7811" s="5" t="s">
        <v>6117</v>
      </c>
      <c r="D7811" s="43">
        <v>1000</v>
      </c>
      <c r="E7811" s="43"/>
      <c r="F7811" s="48">
        <f t="shared" si="127"/>
        <v>104727</v>
      </c>
    </row>
    <row r="7812" spans="1:6" x14ac:dyDescent="0.3">
      <c r="A7812" s="45">
        <v>43988</v>
      </c>
      <c r="B7812" s="5" t="s">
        <v>6118</v>
      </c>
      <c r="C7812" s="5" t="s">
        <v>6119</v>
      </c>
      <c r="D7812" s="43">
        <v>20000</v>
      </c>
      <c r="E7812" s="43"/>
      <c r="F7812" s="48">
        <f t="shared" si="127"/>
        <v>84727</v>
      </c>
    </row>
    <row r="7813" spans="1:6" x14ac:dyDescent="0.3">
      <c r="A7813" s="45">
        <v>43988</v>
      </c>
      <c r="B7813" s="5" t="s">
        <v>57</v>
      </c>
      <c r="C7813" s="5" t="s">
        <v>6121</v>
      </c>
      <c r="D7813" s="43">
        <v>2500</v>
      </c>
      <c r="E7813" s="43"/>
      <c r="F7813" s="48">
        <f t="shared" si="127"/>
        <v>82227</v>
      </c>
    </row>
    <row r="7814" spans="1:6" x14ac:dyDescent="0.3">
      <c r="A7814" s="45">
        <v>43990</v>
      </c>
      <c r="B7814" s="5" t="s">
        <v>18</v>
      </c>
      <c r="C7814" s="5" t="s">
        <v>6122</v>
      </c>
      <c r="D7814" s="43">
        <v>6000</v>
      </c>
      <c r="E7814" s="43"/>
      <c r="F7814" s="48">
        <f t="shared" si="127"/>
        <v>76227</v>
      </c>
    </row>
    <row r="7815" spans="1:6" x14ac:dyDescent="0.3">
      <c r="A7815" s="45">
        <v>43990</v>
      </c>
      <c r="B7815" s="5" t="s">
        <v>14</v>
      </c>
      <c r="C7815" s="5" t="s">
        <v>6123</v>
      </c>
      <c r="D7815" s="43">
        <f>56510/2</f>
        <v>28255</v>
      </c>
      <c r="E7815" s="43"/>
      <c r="F7815" s="48">
        <f t="shared" si="127"/>
        <v>47972</v>
      </c>
    </row>
    <row r="7816" spans="1:6" x14ac:dyDescent="0.3">
      <c r="A7816" s="45">
        <v>43990</v>
      </c>
      <c r="B7816" s="5" t="s">
        <v>14</v>
      </c>
      <c r="C7816" s="5" t="s">
        <v>6124</v>
      </c>
      <c r="D7816" s="43">
        <f>56510/2</f>
        <v>28255</v>
      </c>
      <c r="E7816" s="43"/>
      <c r="F7816" s="48">
        <f t="shared" si="127"/>
        <v>19717</v>
      </c>
    </row>
    <row r="7817" spans="1:6" x14ac:dyDescent="0.3">
      <c r="A7817" s="45">
        <v>43990</v>
      </c>
      <c r="B7817" s="5" t="s">
        <v>4869</v>
      </c>
      <c r="C7817" s="5" t="s">
        <v>6125</v>
      </c>
      <c r="D7817" s="43">
        <v>4300</v>
      </c>
      <c r="E7817" s="43"/>
      <c r="F7817" s="48">
        <f t="shared" si="127"/>
        <v>15417</v>
      </c>
    </row>
    <row r="7818" spans="1:6" x14ac:dyDescent="0.3">
      <c r="A7818" s="45">
        <v>43990</v>
      </c>
      <c r="B7818" s="5" t="s">
        <v>84</v>
      </c>
      <c r="C7818" s="5" t="s">
        <v>6152</v>
      </c>
      <c r="D7818" s="43">
        <v>10000</v>
      </c>
      <c r="E7818" s="43"/>
      <c r="F7818" s="48">
        <f t="shared" si="127"/>
        <v>5417</v>
      </c>
    </row>
    <row r="7819" spans="1:6" x14ac:dyDescent="0.3">
      <c r="A7819" s="45">
        <v>43991</v>
      </c>
      <c r="B7819" s="5" t="s">
        <v>25</v>
      </c>
      <c r="C7819" s="5" t="s">
        <v>1624</v>
      </c>
      <c r="D7819" s="43">
        <v>10</v>
      </c>
      <c r="E7819" s="43"/>
      <c r="F7819" s="48">
        <f t="shared" si="127"/>
        <v>5407</v>
      </c>
    </row>
    <row r="7820" spans="1:6" x14ac:dyDescent="0.3">
      <c r="A7820" s="45">
        <v>43991</v>
      </c>
      <c r="B7820" s="739" t="s">
        <v>6162</v>
      </c>
      <c r="C7820" s="739"/>
      <c r="D7820" s="739"/>
      <c r="E7820" s="43">
        <v>7500</v>
      </c>
      <c r="F7820" s="48">
        <f t="shared" si="127"/>
        <v>12907</v>
      </c>
    </row>
    <row r="7821" spans="1:6" x14ac:dyDescent="0.3">
      <c r="A7821" s="45">
        <v>43991</v>
      </c>
      <c r="B7821" s="5" t="s">
        <v>84</v>
      </c>
      <c r="C7821" s="5" t="s">
        <v>6151</v>
      </c>
      <c r="D7821" s="43">
        <v>5000</v>
      </c>
      <c r="E7821" s="43"/>
      <c r="F7821" s="48">
        <f t="shared" ref="F7821:F7884" si="128">F7820+E7821-D7821</f>
        <v>7907</v>
      </c>
    </row>
    <row r="7822" spans="1:6" x14ac:dyDescent="0.3">
      <c r="A7822" s="45">
        <v>43991</v>
      </c>
      <c r="B7822" s="5" t="s">
        <v>5896</v>
      </c>
      <c r="C7822" s="5" t="s">
        <v>6129</v>
      </c>
      <c r="D7822" s="43">
        <v>4000</v>
      </c>
      <c r="E7822" s="43"/>
      <c r="F7822" s="48">
        <f t="shared" si="128"/>
        <v>3907</v>
      </c>
    </row>
    <row r="7823" spans="1:6" x14ac:dyDescent="0.3">
      <c r="A7823" s="45">
        <v>43991</v>
      </c>
      <c r="B7823" s="739" t="s">
        <v>6055</v>
      </c>
      <c r="C7823" s="739"/>
      <c r="D7823" s="739"/>
      <c r="E7823" s="43">
        <v>385000</v>
      </c>
      <c r="F7823" s="48">
        <f t="shared" si="128"/>
        <v>388907</v>
      </c>
    </row>
    <row r="7824" spans="1:6" x14ac:dyDescent="0.3">
      <c r="A7824" s="45">
        <v>43991</v>
      </c>
      <c r="B7824" s="5" t="s">
        <v>6130</v>
      </c>
      <c r="C7824" s="5" t="s">
        <v>5377</v>
      </c>
      <c r="D7824" s="43">
        <v>600</v>
      </c>
      <c r="E7824" s="43"/>
      <c r="F7824" s="48">
        <f t="shared" si="128"/>
        <v>388307</v>
      </c>
    </row>
    <row r="7825" spans="1:6" x14ac:dyDescent="0.3">
      <c r="A7825" s="45">
        <v>43991</v>
      </c>
      <c r="B7825" s="5" t="s">
        <v>5960</v>
      </c>
      <c r="C7825" s="5" t="s">
        <v>6131</v>
      </c>
      <c r="D7825" s="43">
        <v>1000</v>
      </c>
      <c r="E7825" s="43"/>
      <c r="F7825" s="48">
        <f t="shared" si="128"/>
        <v>387307</v>
      </c>
    </row>
    <row r="7826" spans="1:6" x14ac:dyDescent="0.3">
      <c r="A7826" s="45">
        <v>43991</v>
      </c>
      <c r="B7826" s="5" t="s">
        <v>4550</v>
      </c>
      <c r="C7826" s="5" t="s">
        <v>6132</v>
      </c>
      <c r="D7826" s="43">
        <v>100000</v>
      </c>
      <c r="E7826" s="43"/>
      <c r="F7826" s="48">
        <f t="shared" si="128"/>
        <v>287307</v>
      </c>
    </row>
    <row r="7827" spans="1:6" x14ac:dyDescent="0.3">
      <c r="A7827" s="45">
        <v>43992</v>
      </c>
      <c r="B7827" s="5" t="s">
        <v>57</v>
      </c>
      <c r="C7827" s="41" t="s">
        <v>6133</v>
      </c>
      <c r="D7827" s="43">
        <v>6000</v>
      </c>
      <c r="E7827" s="43"/>
      <c r="F7827" s="48">
        <f t="shared" si="128"/>
        <v>281307</v>
      </c>
    </row>
    <row r="7828" spans="1:6" x14ac:dyDescent="0.3">
      <c r="A7828" s="45">
        <v>43992</v>
      </c>
      <c r="B7828" s="5" t="s">
        <v>0</v>
      </c>
      <c r="C7828" s="5" t="s">
        <v>6146</v>
      </c>
      <c r="D7828" s="43">
        <v>66000</v>
      </c>
      <c r="E7828" s="43"/>
      <c r="F7828" s="48">
        <f t="shared" si="128"/>
        <v>215307</v>
      </c>
    </row>
    <row r="7829" spans="1:6" x14ac:dyDescent="0.3">
      <c r="A7829" s="45">
        <v>43992</v>
      </c>
      <c r="B7829" s="5" t="s">
        <v>4869</v>
      </c>
      <c r="C7829" s="5" t="s">
        <v>40</v>
      </c>
      <c r="D7829" s="43">
        <v>4370</v>
      </c>
      <c r="E7829" s="43"/>
      <c r="F7829" s="48">
        <f t="shared" si="128"/>
        <v>210937</v>
      </c>
    </row>
    <row r="7830" spans="1:6" x14ac:dyDescent="0.3">
      <c r="A7830" s="45">
        <v>43992</v>
      </c>
      <c r="B7830" s="5" t="s">
        <v>25</v>
      </c>
      <c r="C7830" s="5" t="s">
        <v>5713</v>
      </c>
      <c r="D7830" s="43">
        <v>527</v>
      </c>
      <c r="E7830" s="43"/>
      <c r="F7830" s="48">
        <f t="shared" si="128"/>
        <v>210410</v>
      </c>
    </row>
    <row r="7831" spans="1:6" x14ac:dyDescent="0.3">
      <c r="A7831" s="45">
        <v>43992</v>
      </c>
      <c r="B7831" s="5" t="s">
        <v>6134</v>
      </c>
      <c r="C7831" s="5" t="s">
        <v>40</v>
      </c>
      <c r="D7831" s="43">
        <v>650</v>
      </c>
      <c r="E7831" s="43"/>
      <c r="F7831" s="48">
        <f t="shared" si="128"/>
        <v>209760</v>
      </c>
    </row>
    <row r="7832" spans="1:6" x14ac:dyDescent="0.3">
      <c r="A7832" s="45">
        <v>43992</v>
      </c>
      <c r="B7832" s="5" t="s">
        <v>25</v>
      </c>
      <c r="C7832" s="5" t="s">
        <v>6135</v>
      </c>
      <c r="D7832" s="43">
        <v>480</v>
      </c>
      <c r="E7832" s="43"/>
      <c r="F7832" s="48">
        <f t="shared" si="128"/>
        <v>209280</v>
      </c>
    </row>
    <row r="7833" spans="1:6" x14ac:dyDescent="0.3">
      <c r="A7833" s="45">
        <v>43992</v>
      </c>
      <c r="B7833" s="739" t="s">
        <v>6137</v>
      </c>
      <c r="C7833" s="739"/>
      <c r="D7833" s="739"/>
      <c r="E7833" s="43">
        <v>10500</v>
      </c>
      <c r="F7833" s="48">
        <f t="shared" si="128"/>
        <v>219780</v>
      </c>
    </row>
    <row r="7834" spans="1:6" x14ac:dyDescent="0.3">
      <c r="A7834" s="45">
        <v>43992</v>
      </c>
      <c r="B7834" s="5" t="s">
        <v>2348</v>
      </c>
      <c r="C7834" s="5" t="s">
        <v>6136</v>
      </c>
      <c r="D7834" s="43">
        <v>18000</v>
      </c>
      <c r="E7834" s="43"/>
      <c r="F7834" s="48">
        <f t="shared" si="128"/>
        <v>201780</v>
      </c>
    </row>
    <row r="7835" spans="1:6" x14ac:dyDescent="0.3">
      <c r="A7835" s="45">
        <v>43992</v>
      </c>
      <c r="B7835" s="5" t="s">
        <v>4011</v>
      </c>
      <c r="C7835" s="5" t="s">
        <v>6138</v>
      </c>
      <c r="D7835" s="43">
        <v>1000</v>
      </c>
      <c r="E7835" s="43"/>
      <c r="F7835" s="48">
        <f t="shared" si="128"/>
        <v>200780</v>
      </c>
    </row>
    <row r="7836" spans="1:6" x14ac:dyDescent="0.3">
      <c r="A7836" s="45">
        <v>43993</v>
      </c>
      <c r="B7836" s="739" t="s">
        <v>6166</v>
      </c>
      <c r="C7836" s="739"/>
      <c r="D7836" s="739"/>
      <c r="E7836" s="43">
        <v>200000</v>
      </c>
      <c r="F7836" s="48">
        <f t="shared" si="128"/>
        <v>400780</v>
      </c>
    </row>
    <row r="7837" spans="1:6" x14ac:dyDescent="0.3">
      <c r="A7837" s="45">
        <v>43993</v>
      </c>
      <c r="B7837" s="5" t="s">
        <v>1787</v>
      </c>
      <c r="C7837" s="5" t="s">
        <v>6139</v>
      </c>
      <c r="D7837" s="43">
        <v>3000</v>
      </c>
      <c r="E7837" s="43"/>
      <c r="F7837" s="48">
        <f t="shared" si="128"/>
        <v>397780</v>
      </c>
    </row>
    <row r="7838" spans="1:6" x14ac:dyDescent="0.3">
      <c r="A7838" s="45">
        <v>43993</v>
      </c>
      <c r="B7838" s="5" t="s">
        <v>5896</v>
      </c>
      <c r="C7838" s="5" t="s">
        <v>6140</v>
      </c>
      <c r="D7838" s="43">
        <v>2000</v>
      </c>
      <c r="E7838" s="43"/>
      <c r="F7838" s="48">
        <f t="shared" si="128"/>
        <v>395780</v>
      </c>
    </row>
    <row r="7839" spans="1:6" x14ac:dyDescent="0.3">
      <c r="A7839" s="45">
        <v>43993</v>
      </c>
      <c r="B7839" s="739" t="s">
        <v>6166</v>
      </c>
      <c r="C7839" s="739"/>
      <c r="D7839" s="739"/>
      <c r="E7839" s="43">
        <v>300000</v>
      </c>
      <c r="F7839" s="48">
        <f t="shared" si="128"/>
        <v>695780</v>
      </c>
    </row>
    <row r="7840" spans="1:6" ht="17.45" customHeight="1" x14ac:dyDescent="0.3">
      <c r="A7840" s="45">
        <v>43993</v>
      </c>
      <c r="B7840" s="5" t="s">
        <v>25</v>
      </c>
      <c r="C7840" s="5" t="s">
        <v>6149</v>
      </c>
      <c r="D7840" s="43">
        <f>4800+500</f>
        <v>5300</v>
      </c>
      <c r="E7840" s="43"/>
      <c r="F7840" s="48">
        <f t="shared" si="128"/>
        <v>690480</v>
      </c>
    </row>
    <row r="7841" spans="1:6" x14ac:dyDescent="0.3">
      <c r="A7841" s="45">
        <v>43993</v>
      </c>
      <c r="B7841" s="5" t="s">
        <v>25</v>
      </c>
      <c r="C7841" s="5" t="s">
        <v>6141</v>
      </c>
      <c r="D7841" s="43">
        <v>1000</v>
      </c>
      <c r="E7841" s="43"/>
      <c r="F7841" s="48">
        <f t="shared" si="128"/>
        <v>689480</v>
      </c>
    </row>
    <row r="7842" spans="1:6" x14ac:dyDescent="0.3">
      <c r="A7842" s="45">
        <v>43993</v>
      </c>
      <c r="B7842" s="5" t="s">
        <v>14</v>
      </c>
      <c r="C7842" s="5" t="s">
        <v>6150</v>
      </c>
      <c r="D7842" s="43">
        <v>25000</v>
      </c>
      <c r="E7842" s="43"/>
      <c r="F7842" s="48">
        <f t="shared" si="128"/>
        <v>664480</v>
      </c>
    </row>
    <row r="7843" spans="1:6" x14ac:dyDescent="0.3">
      <c r="A7843" s="45">
        <v>43993</v>
      </c>
      <c r="B7843" s="5" t="s">
        <v>541</v>
      </c>
      <c r="C7843" s="5" t="s">
        <v>6144</v>
      </c>
      <c r="D7843" s="43">
        <v>64810</v>
      </c>
      <c r="E7843" s="43"/>
      <c r="F7843" s="48">
        <f t="shared" si="128"/>
        <v>599670</v>
      </c>
    </row>
    <row r="7844" spans="1:6" x14ac:dyDescent="0.3">
      <c r="A7844" s="45">
        <v>43993</v>
      </c>
      <c r="B7844" s="5" t="s">
        <v>5156</v>
      </c>
      <c r="C7844" s="5" t="s">
        <v>6143</v>
      </c>
      <c r="D7844" s="43">
        <v>650</v>
      </c>
      <c r="E7844" s="43"/>
      <c r="F7844" s="48">
        <f t="shared" si="128"/>
        <v>599020</v>
      </c>
    </row>
    <row r="7845" spans="1:6" x14ac:dyDescent="0.3">
      <c r="A7845" s="45">
        <v>43993</v>
      </c>
      <c r="B7845" s="5" t="s">
        <v>25</v>
      </c>
      <c r="C7845" s="5" t="s">
        <v>40</v>
      </c>
      <c r="D7845" s="43">
        <f>70+180+50+70</f>
        <v>370</v>
      </c>
      <c r="E7845" s="43"/>
      <c r="F7845" s="48">
        <f t="shared" si="128"/>
        <v>598650</v>
      </c>
    </row>
    <row r="7846" spans="1:6" x14ac:dyDescent="0.3">
      <c r="A7846" s="45">
        <v>43994</v>
      </c>
      <c r="B7846" s="5" t="s">
        <v>6145</v>
      </c>
      <c r="C7846" s="5" t="s">
        <v>6140</v>
      </c>
      <c r="D7846" s="43">
        <v>100000</v>
      </c>
      <c r="E7846" s="43"/>
      <c r="F7846" s="48">
        <f t="shared" si="128"/>
        <v>498650</v>
      </c>
    </row>
    <row r="7847" spans="1:6" x14ac:dyDescent="0.3">
      <c r="A7847" s="45">
        <v>43994</v>
      </c>
      <c r="B7847" s="5" t="s">
        <v>0</v>
      </c>
      <c r="C7847" s="5" t="s">
        <v>6147</v>
      </c>
      <c r="D7847" s="43">
        <v>5000</v>
      </c>
      <c r="E7847" s="43"/>
      <c r="F7847" s="48">
        <f t="shared" si="128"/>
        <v>493650</v>
      </c>
    </row>
    <row r="7848" spans="1:6" x14ac:dyDescent="0.3">
      <c r="A7848" s="45">
        <v>43994</v>
      </c>
      <c r="B7848" s="5" t="s">
        <v>0</v>
      </c>
      <c r="C7848" s="5" t="s">
        <v>6148</v>
      </c>
      <c r="D7848" s="43">
        <v>600</v>
      </c>
      <c r="E7848" s="43"/>
      <c r="F7848" s="48">
        <f t="shared" si="128"/>
        <v>493050</v>
      </c>
    </row>
    <row r="7849" spans="1:6" x14ac:dyDescent="0.3">
      <c r="A7849" s="45">
        <v>43994</v>
      </c>
      <c r="B7849" s="5" t="s">
        <v>10</v>
      </c>
      <c r="C7849" s="5" t="s">
        <v>6153</v>
      </c>
      <c r="D7849" s="43">
        <v>4000</v>
      </c>
      <c r="E7849" s="43"/>
      <c r="F7849" s="48">
        <f t="shared" si="128"/>
        <v>489050</v>
      </c>
    </row>
    <row r="7850" spans="1:6" ht="37.5" x14ac:dyDescent="0.3">
      <c r="A7850" s="45">
        <v>43994</v>
      </c>
      <c r="B7850" s="5" t="s">
        <v>6154</v>
      </c>
      <c r="C7850" s="92" t="s">
        <v>6155</v>
      </c>
      <c r="D7850" s="43">
        <v>1200</v>
      </c>
      <c r="E7850" s="43"/>
      <c r="F7850" s="48">
        <f t="shared" si="128"/>
        <v>487850</v>
      </c>
    </row>
    <row r="7851" spans="1:6" ht="37.5" x14ac:dyDescent="0.3">
      <c r="A7851" s="45">
        <v>43994</v>
      </c>
      <c r="B7851" s="5" t="s">
        <v>6105</v>
      </c>
      <c r="C7851" s="92" t="s">
        <v>6156</v>
      </c>
      <c r="D7851" s="43">
        <v>80300</v>
      </c>
      <c r="E7851" s="43"/>
      <c r="F7851" s="48">
        <f t="shared" si="128"/>
        <v>407550</v>
      </c>
    </row>
    <row r="7852" spans="1:6" ht="75" x14ac:dyDescent="0.3">
      <c r="A7852" s="45">
        <v>43995</v>
      </c>
      <c r="B7852" s="39" t="s">
        <v>46</v>
      </c>
      <c r="C7852" s="216" t="s">
        <v>6161</v>
      </c>
      <c r="D7852" s="43">
        <v>394016</v>
      </c>
      <c r="E7852" s="43"/>
      <c r="F7852" s="48">
        <f t="shared" si="128"/>
        <v>13534</v>
      </c>
    </row>
    <row r="7853" spans="1:6" x14ac:dyDescent="0.3">
      <c r="A7853" s="45">
        <v>43997</v>
      </c>
      <c r="B7853" s="739" t="s">
        <v>6157</v>
      </c>
      <c r="C7853" s="739"/>
      <c r="D7853" s="739"/>
      <c r="E7853" s="43">
        <v>360000</v>
      </c>
      <c r="F7853" s="48">
        <f t="shared" si="128"/>
        <v>373534</v>
      </c>
    </row>
    <row r="7854" spans="1:6" x14ac:dyDescent="0.3">
      <c r="A7854" s="45">
        <v>43997</v>
      </c>
      <c r="B7854" s="5" t="s">
        <v>14</v>
      </c>
      <c r="C7854" s="92" t="s">
        <v>294</v>
      </c>
      <c r="D7854" s="43">
        <v>125000</v>
      </c>
      <c r="E7854" s="43"/>
      <c r="F7854" s="48">
        <f t="shared" si="128"/>
        <v>248534</v>
      </c>
    </row>
    <row r="7855" spans="1:6" x14ac:dyDescent="0.3">
      <c r="A7855" s="45">
        <v>43997</v>
      </c>
      <c r="B7855" s="5" t="s">
        <v>25</v>
      </c>
      <c r="C7855" s="92" t="s">
        <v>6158</v>
      </c>
      <c r="D7855" s="43">
        <v>2840</v>
      </c>
      <c r="E7855" s="43"/>
      <c r="F7855" s="48">
        <f t="shared" si="128"/>
        <v>245694</v>
      </c>
    </row>
    <row r="7856" spans="1:6" x14ac:dyDescent="0.3">
      <c r="A7856" s="45">
        <v>43997</v>
      </c>
      <c r="B7856" s="5" t="s">
        <v>6159</v>
      </c>
      <c r="C7856" s="92" t="s">
        <v>6160</v>
      </c>
      <c r="D7856" s="43">
        <v>3500</v>
      </c>
      <c r="E7856" s="43"/>
      <c r="F7856" s="48">
        <f t="shared" si="128"/>
        <v>242194</v>
      </c>
    </row>
    <row r="7857" spans="1:6" x14ac:dyDescent="0.3">
      <c r="A7857" s="45">
        <v>43997</v>
      </c>
      <c r="B7857" s="5" t="s">
        <v>5930</v>
      </c>
      <c r="C7857" s="92" t="s">
        <v>6163</v>
      </c>
      <c r="D7857" s="43">
        <v>60743</v>
      </c>
      <c r="E7857" s="43"/>
      <c r="F7857" s="48">
        <f t="shared" si="128"/>
        <v>181451</v>
      </c>
    </row>
    <row r="7858" spans="1:6" x14ac:dyDescent="0.3">
      <c r="A7858" s="45">
        <v>43997</v>
      </c>
      <c r="B7858" s="5" t="s">
        <v>6164</v>
      </c>
      <c r="C7858" s="92" t="s">
        <v>6165</v>
      </c>
      <c r="D7858" s="43">
        <v>100000</v>
      </c>
      <c r="E7858" s="43"/>
      <c r="F7858" s="48">
        <f t="shared" si="128"/>
        <v>81451</v>
      </c>
    </row>
    <row r="7859" spans="1:6" x14ac:dyDescent="0.3">
      <c r="A7859" s="45">
        <v>43997</v>
      </c>
      <c r="B7859" s="5" t="s">
        <v>6167</v>
      </c>
      <c r="C7859" s="92" t="s">
        <v>3491</v>
      </c>
      <c r="D7859" s="43">
        <v>880</v>
      </c>
      <c r="E7859" s="43"/>
      <c r="F7859" s="48">
        <f t="shared" si="128"/>
        <v>80571</v>
      </c>
    </row>
    <row r="7860" spans="1:6" x14ac:dyDescent="0.3">
      <c r="A7860" s="45">
        <v>43997</v>
      </c>
      <c r="B7860" s="5" t="s">
        <v>2984</v>
      </c>
      <c r="C7860" s="92" t="s">
        <v>6168</v>
      </c>
      <c r="D7860" s="43">
        <v>5000</v>
      </c>
      <c r="E7860" s="43"/>
      <c r="F7860" s="48">
        <f t="shared" si="128"/>
        <v>75571</v>
      </c>
    </row>
    <row r="7861" spans="1:6" x14ac:dyDescent="0.3">
      <c r="A7861" s="45">
        <v>43997</v>
      </c>
      <c r="B7861" s="5" t="s">
        <v>25</v>
      </c>
      <c r="C7861" s="92" t="s">
        <v>2025</v>
      </c>
      <c r="D7861" s="43">
        <v>150</v>
      </c>
      <c r="E7861" s="43"/>
      <c r="F7861" s="48">
        <f t="shared" si="128"/>
        <v>75421</v>
      </c>
    </row>
    <row r="7862" spans="1:6" x14ac:dyDescent="0.3">
      <c r="A7862" s="45">
        <v>43998</v>
      </c>
      <c r="B7862" s="5" t="s">
        <v>25</v>
      </c>
      <c r="C7862" s="92" t="s">
        <v>6169</v>
      </c>
      <c r="D7862" s="43">
        <v>1500</v>
      </c>
      <c r="E7862" s="43"/>
      <c r="F7862" s="48">
        <f t="shared" si="128"/>
        <v>73921</v>
      </c>
    </row>
    <row r="7863" spans="1:6" x14ac:dyDescent="0.3">
      <c r="A7863" s="45">
        <v>43998</v>
      </c>
      <c r="B7863" s="5" t="s">
        <v>5162</v>
      </c>
      <c r="C7863" s="92" t="s">
        <v>6038</v>
      </c>
      <c r="D7863" s="43">
        <v>600</v>
      </c>
      <c r="E7863" s="43"/>
      <c r="F7863" s="48">
        <f t="shared" si="128"/>
        <v>73321</v>
      </c>
    </row>
    <row r="7864" spans="1:6" x14ac:dyDescent="0.3">
      <c r="A7864" s="45">
        <v>43998</v>
      </c>
      <c r="B7864" s="5" t="s">
        <v>5793</v>
      </c>
      <c r="C7864" s="92" t="s">
        <v>6170</v>
      </c>
      <c r="D7864" s="43">
        <v>1000</v>
      </c>
      <c r="E7864" s="43"/>
      <c r="F7864" s="48">
        <f t="shared" si="128"/>
        <v>72321</v>
      </c>
    </row>
    <row r="7865" spans="1:6" x14ac:dyDescent="0.3">
      <c r="A7865" s="45">
        <v>43998</v>
      </c>
      <c r="B7865" s="5" t="s">
        <v>6171</v>
      </c>
      <c r="C7865" s="92" t="s">
        <v>6183</v>
      </c>
      <c r="D7865" s="43">
        <v>14450</v>
      </c>
      <c r="E7865" s="43"/>
      <c r="F7865" s="48">
        <f t="shared" si="128"/>
        <v>57871</v>
      </c>
    </row>
    <row r="7866" spans="1:6" x14ac:dyDescent="0.3">
      <c r="A7866" s="45">
        <v>43998</v>
      </c>
      <c r="B7866" s="5" t="s">
        <v>247</v>
      </c>
      <c r="C7866" s="92" t="s">
        <v>2013</v>
      </c>
      <c r="D7866" s="43">
        <v>50</v>
      </c>
      <c r="E7866" s="43"/>
      <c r="F7866" s="48">
        <f t="shared" si="128"/>
        <v>57821</v>
      </c>
    </row>
    <row r="7867" spans="1:6" ht="37.5" x14ac:dyDescent="0.3">
      <c r="A7867" s="45">
        <v>43998</v>
      </c>
      <c r="B7867" s="5" t="s">
        <v>18</v>
      </c>
      <c r="C7867" s="92" t="s">
        <v>6172</v>
      </c>
      <c r="D7867" s="43">
        <v>3400</v>
      </c>
      <c r="E7867" s="43"/>
      <c r="F7867" s="48">
        <f t="shared" si="128"/>
        <v>54421</v>
      </c>
    </row>
    <row r="7868" spans="1:6" x14ac:dyDescent="0.3">
      <c r="A7868" s="45">
        <v>43998</v>
      </c>
      <c r="B7868" s="5" t="s">
        <v>25</v>
      </c>
      <c r="C7868" s="92" t="s">
        <v>6173</v>
      </c>
      <c r="D7868" s="43">
        <v>650</v>
      </c>
      <c r="E7868" s="43"/>
      <c r="F7868" s="48">
        <f t="shared" si="128"/>
        <v>53771</v>
      </c>
    </row>
    <row r="7869" spans="1:6" x14ac:dyDescent="0.3">
      <c r="A7869" s="45">
        <v>43999</v>
      </c>
      <c r="B7869" s="5" t="s">
        <v>54</v>
      </c>
      <c r="C7869" s="92" t="s">
        <v>6174</v>
      </c>
      <c r="D7869" s="43">
        <v>18660</v>
      </c>
      <c r="E7869" s="43"/>
      <c r="F7869" s="48">
        <f t="shared" si="128"/>
        <v>35111</v>
      </c>
    </row>
    <row r="7870" spans="1:6" x14ac:dyDescent="0.3">
      <c r="A7870" s="45">
        <v>43999</v>
      </c>
      <c r="B7870" s="5" t="s">
        <v>54</v>
      </c>
      <c r="C7870" s="92" t="s">
        <v>6175</v>
      </c>
      <c r="D7870" s="43">
        <v>15500</v>
      </c>
      <c r="E7870" s="43"/>
      <c r="F7870" s="48">
        <f t="shared" si="128"/>
        <v>19611</v>
      </c>
    </row>
    <row r="7871" spans="1:6" x14ac:dyDescent="0.3">
      <c r="A7871" s="45">
        <v>43999</v>
      </c>
      <c r="B7871" s="5" t="s">
        <v>54</v>
      </c>
      <c r="C7871" s="92" t="s">
        <v>6176</v>
      </c>
      <c r="D7871" s="43">
        <v>16500</v>
      </c>
      <c r="E7871" s="43"/>
      <c r="F7871" s="48">
        <f t="shared" si="128"/>
        <v>3111</v>
      </c>
    </row>
    <row r="7872" spans="1:6" x14ac:dyDescent="0.3">
      <c r="A7872" s="45">
        <v>43999</v>
      </c>
      <c r="B7872" s="5" t="s">
        <v>54</v>
      </c>
      <c r="C7872" s="92" t="s">
        <v>6177</v>
      </c>
      <c r="D7872" s="43">
        <v>2613</v>
      </c>
      <c r="E7872" s="43"/>
      <c r="F7872" s="48">
        <f t="shared" si="128"/>
        <v>498</v>
      </c>
    </row>
    <row r="7873" spans="1:6" ht="37.5" x14ac:dyDescent="0.3">
      <c r="A7873" s="45">
        <v>43999</v>
      </c>
      <c r="B7873" s="5" t="s">
        <v>25</v>
      </c>
      <c r="C7873" s="92" t="s">
        <v>6178</v>
      </c>
      <c r="D7873" s="43">
        <v>400</v>
      </c>
      <c r="E7873" s="43"/>
      <c r="F7873" s="48">
        <f t="shared" si="128"/>
        <v>98</v>
      </c>
    </row>
    <row r="7874" spans="1:6" x14ac:dyDescent="0.3">
      <c r="A7874" s="45">
        <v>44000</v>
      </c>
      <c r="B7874" s="739" t="s">
        <v>6187</v>
      </c>
      <c r="C7874" s="739"/>
      <c r="D7874" s="739"/>
      <c r="E7874" s="43">
        <v>200000</v>
      </c>
      <c r="F7874" s="48">
        <f t="shared" si="128"/>
        <v>200098</v>
      </c>
    </row>
    <row r="7875" spans="1:6" ht="37.5" x14ac:dyDescent="0.3">
      <c r="A7875" s="45">
        <v>44000</v>
      </c>
      <c r="B7875" s="5" t="s">
        <v>0</v>
      </c>
      <c r="C7875" s="92" t="s">
        <v>6180</v>
      </c>
      <c r="D7875" s="43">
        <v>27400</v>
      </c>
      <c r="E7875" s="43"/>
      <c r="F7875" s="48">
        <f t="shared" si="128"/>
        <v>172698</v>
      </c>
    </row>
    <row r="7876" spans="1:6" ht="37.5" x14ac:dyDescent="0.3">
      <c r="A7876" s="45">
        <v>44000</v>
      </c>
      <c r="B7876" s="5" t="s">
        <v>5665</v>
      </c>
      <c r="C7876" s="92" t="s">
        <v>6179</v>
      </c>
      <c r="D7876" s="43">
        <v>20150</v>
      </c>
      <c r="E7876" s="43"/>
      <c r="F7876" s="48">
        <f t="shared" si="128"/>
        <v>152548</v>
      </c>
    </row>
    <row r="7877" spans="1:6" x14ac:dyDescent="0.3">
      <c r="A7877" s="45">
        <v>44000</v>
      </c>
      <c r="B7877" s="5" t="s">
        <v>247</v>
      </c>
      <c r="C7877" s="92" t="s">
        <v>2013</v>
      </c>
      <c r="D7877" s="43">
        <v>100</v>
      </c>
      <c r="E7877" s="43"/>
      <c r="F7877" s="48">
        <f t="shared" si="128"/>
        <v>152448</v>
      </c>
    </row>
    <row r="7878" spans="1:6" x14ac:dyDescent="0.3">
      <c r="A7878" s="45">
        <v>44000</v>
      </c>
      <c r="B7878" s="5" t="s">
        <v>0</v>
      </c>
      <c r="C7878" s="92" t="s">
        <v>6186</v>
      </c>
      <c r="D7878" s="43">
        <v>600</v>
      </c>
      <c r="E7878" s="43"/>
      <c r="F7878" s="48">
        <f t="shared" si="128"/>
        <v>151848</v>
      </c>
    </row>
    <row r="7879" spans="1:6" x14ac:dyDescent="0.3">
      <c r="A7879" s="45">
        <v>44000</v>
      </c>
      <c r="B7879" s="5" t="s">
        <v>2348</v>
      </c>
      <c r="C7879" s="92" t="s">
        <v>6181</v>
      </c>
      <c r="D7879" s="43">
        <v>20000</v>
      </c>
      <c r="E7879" s="43"/>
      <c r="F7879" s="48">
        <f t="shared" si="128"/>
        <v>131848</v>
      </c>
    </row>
    <row r="7880" spans="1:6" ht="37.5" x14ac:dyDescent="0.3">
      <c r="A7880" s="45">
        <v>44001</v>
      </c>
      <c r="B7880" s="5" t="s">
        <v>4550</v>
      </c>
      <c r="C7880" s="92" t="s">
        <v>6188</v>
      </c>
      <c r="D7880" s="43">
        <v>30000</v>
      </c>
      <c r="E7880" s="43"/>
      <c r="F7880" s="48">
        <f t="shared" si="128"/>
        <v>101848</v>
      </c>
    </row>
    <row r="7881" spans="1:6" x14ac:dyDescent="0.3">
      <c r="A7881" s="45">
        <v>44001</v>
      </c>
      <c r="B7881" s="5" t="s">
        <v>54</v>
      </c>
      <c r="C7881" s="92" t="s">
        <v>635</v>
      </c>
      <c r="D7881" s="43">
        <v>50000</v>
      </c>
      <c r="E7881" s="43"/>
      <c r="F7881" s="48">
        <f t="shared" si="128"/>
        <v>51848</v>
      </c>
    </row>
    <row r="7882" spans="1:6" ht="37.5" x14ac:dyDescent="0.3">
      <c r="A7882" s="45">
        <v>44004</v>
      </c>
      <c r="B7882" s="5" t="s">
        <v>3559</v>
      </c>
      <c r="C7882" s="92" t="s">
        <v>6191</v>
      </c>
      <c r="D7882" s="43">
        <v>4200</v>
      </c>
      <c r="E7882" s="43"/>
      <c r="F7882" s="48">
        <f t="shared" si="128"/>
        <v>47648</v>
      </c>
    </row>
    <row r="7883" spans="1:6" x14ac:dyDescent="0.3">
      <c r="A7883" s="45">
        <v>44004</v>
      </c>
      <c r="B7883" s="186" t="s">
        <v>1512</v>
      </c>
      <c r="C7883" s="186" t="s">
        <v>6190</v>
      </c>
      <c r="D7883" s="187">
        <v>37860</v>
      </c>
      <c r="E7883" s="43"/>
      <c r="F7883" s="48">
        <f t="shared" si="128"/>
        <v>9788</v>
      </c>
    </row>
    <row r="7884" spans="1:6" x14ac:dyDescent="0.3">
      <c r="A7884" s="45">
        <v>44005</v>
      </c>
      <c r="B7884" s="5" t="s">
        <v>0</v>
      </c>
      <c r="C7884" s="5" t="s">
        <v>6193</v>
      </c>
      <c r="D7884" s="43">
        <v>2000</v>
      </c>
      <c r="E7884" s="43"/>
      <c r="F7884" s="48">
        <f t="shared" si="128"/>
        <v>7788</v>
      </c>
    </row>
    <row r="7885" spans="1:6" x14ac:dyDescent="0.3">
      <c r="A7885" s="45">
        <v>44005</v>
      </c>
      <c r="B7885" s="5" t="s">
        <v>5709</v>
      </c>
      <c r="C7885" s="5" t="s">
        <v>6194</v>
      </c>
      <c r="D7885" s="43">
        <v>1150</v>
      </c>
      <c r="E7885" s="43"/>
      <c r="F7885" s="48">
        <f t="shared" ref="F7885:F7948" si="129">F7884+E7885-D7885</f>
        <v>6638</v>
      </c>
    </row>
    <row r="7886" spans="1:6" x14ac:dyDescent="0.3">
      <c r="A7886" s="45">
        <v>44006</v>
      </c>
      <c r="B7886" s="739" t="s">
        <v>6196</v>
      </c>
      <c r="C7886" s="739"/>
      <c r="D7886" s="739"/>
      <c r="E7886" s="43">
        <v>150000</v>
      </c>
      <c r="F7886" s="48">
        <f t="shared" si="129"/>
        <v>156638</v>
      </c>
    </row>
    <row r="7887" spans="1:6" x14ac:dyDescent="0.3">
      <c r="A7887" s="45">
        <v>44006</v>
      </c>
      <c r="B7887" s="5" t="s">
        <v>1074</v>
      </c>
      <c r="C7887" s="5" t="s">
        <v>6197</v>
      </c>
      <c r="D7887" s="43">
        <v>58985</v>
      </c>
      <c r="E7887" s="43"/>
      <c r="F7887" s="48">
        <f t="shared" si="129"/>
        <v>97653</v>
      </c>
    </row>
    <row r="7888" spans="1:6" x14ac:dyDescent="0.3">
      <c r="A7888" s="45">
        <v>44006</v>
      </c>
      <c r="B7888" s="5" t="s">
        <v>1074</v>
      </c>
      <c r="C7888" s="5" t="s">
        <v>6198</v>
      </c>
      <c r="D7888" s="43">
        <v>2539</v>
      </c>
      <c r="E7888" s="43"/>
      <c r="F7888" s="48">
        <f t="shared" si="129"/>
        <v>95114</v>
      </c>
    </row>
    <row r="7889" spans="1:6" ht="37.5" x14ac:dyDescent="0.3">
      <c r="A7889" s="45">
        <v>44006</v>
      </c>
      <c r="B7889" s="5" t="s">
        <v>14</v>
      </c>
      <c r="C7889" s="92" t="s">
        <v>6195</v>
      </c>
      <c r="D7889" s="43">
        <v>15664</v>
      </c>
      <c r="E7889" s="43"/>
      <c r="F7889" s="48">
        <f t="shared" si="129"/>
        <v>79450</v>
      </c>
    </row>
    <row r="7890" spans="1:6" x14ac:dyDescent="0.3">
      <c r="A7890" s="45">
        <v>44006</v>
      </c>
      <c r="B7890" s="5" t="s">
        <v>14</v>
      </c>
      <c r="C7890" s="5" t="s">
        <v>294</v>
      </c>
      <c r="D7890" s="43">
        <v>35000</v>
      </c>
      <c r="E7890" s="43"/>
      <c r="F7890" s="48">
        <f t="shared" si="129"/>
        <v>44450</v>
      </c>
    </row>
    <row r="7891" spans="1:6" x14ac:dyDescent="0.3">
      <c r="A7891" s="45">
        <v>44006</v>
      </c>
      <c r="B7891" s="186" t="s">
        <v>1512</v>
      </c>
      <c r="C7891" s="186" t="s">
        <v>6199</v>
      </c>
      <c r="D7891" s="187">
        <v>20000</v>
      </c>
      <c r="E7891" s="43"/>
      <c r="F7891" s="48">
        <f t="shared" si="129"/>
        <v>24450</v>
      </c>
    </row>
    <row r="7892" spans="1:6" x14ac:dyDescent="0.3">
      <c r="A7892" s="45">
        <v>44007</v>
      </c>
      <c r="B7892" s="5" t="s">
        <v>25</v>
      </c>
      <c r="C7892" s="5" t="s">
        <v>4276</v>
      </c>
      <c r="D7892" s="43">
        <f>140+90+130+40+60+70+130+200+110+120+130+120+40+1000+50+60+10</f>
        <v>2500</v>
      </c>
      <c r="E7892" s="43"/>
      <c r="F7892" s="48">
        <f t="shared" si="129"/>
        <v>21950</v>
      </c>
    </row>
    <row r="7893" spans="1:6" x14ac:dyDescent="0.3">
      <c r="A7893" s="45">
        <v>44007</v>
      </c>
      <c r="B7893" s="5" t="s">
        <v>18</v>
      </c>
      <c r="C7893" s="5" t="s">
        <v>3910</v>
      </c>
      <c r="D7893" s="43">
        <v>5000</v>
      </c>
      <c r="E7893" s="43"/>
      <c r="F7893" s="48">
        <f t="shared" si="129"/>
        <v>16950</v>
      </c>
    </row>
    <row r="7894" spans="1:6" ht="37.5" x14ac:dyDescent="0.3">
      <c r="A7894" s="45">
        <v>44007</v>
      </c>
      <c r="B7894" s="5" t="s">
        <v>6154</v>
      </c>
      <c r="C7894" s="92" t="s">
        <v>6203</v>
      </c>
      <c r="D7894" s="43">
        <v>1834</v>
      </c>
      <c r="E7894" s="43"/>
      <c r="F7894" s="48">
        <f t="shared" si="129"/>
        <v>15116</v>
      </c>
    </row>
    <row r="7895" spans="1:6" x14ac:dyDescent="0.3">
      <c r="A7895" s="45">
        <v>44007</v>
      </c>
      <c r="B7895" s="5" t="s">
        <v>4550</v>
      </c>
      <c r="C7895" s="5" t="s">
        <v>3910</v>
      </c>
      <c r="D7895" s="43">
        <v>15000</v>
      </c>
      <c r="E7895" s="43"/>
      <c r="F7895" s="48">
        <f t="shared" si="129"/>
        <v>116</v>
      </c>
    </row>
    <row r="7896" spans="1:6" x14ac:dyDescent="0.3">
      <c r="A7896" s="45">
        <v>44009</v>
      </c>
      <c r="B7896" s="739" t="s">
        <v>6204</v>
      </c>
      <c r="C7896" s="739"/>
      <c r="D7896" s="739"/>
      <c r="E7896" s="43">
        <v>16000</v>
      </c>
      <c r="F7896" s="48">
        <f t="shared" si="129"/>
        <v>16116</v>
      </c>
    </row>
    <row r="7897" spans="1:6" x14ac:dyDescent="0.3">
      <c r="A7897" s="45">
        <v>44009</v>
      </c>
      <c r="B7897" s="5" t="s">
        <v>6205</v>
      </c>
      <c r="C7897" s="5" t="s">
        <v>5508</v>
      </c>
      <c r="D7897" s="43">
        <v>14000</v>
      </c>
      <c r="E7897" s="43"/>
      <c r="F7897" s="48">
        <f t="shared" si="129"/>
        <v>2116</v>
      </c>
    </row>
    <row r="7898" spans="1:6" x14ac:dyDescent="0.3">
      <c r="A7898" s="45">
        <v>44009</v>
      </c>
      <c r="B7898" s="739" t="s">
        <v>6207</v>
      </c>
      <c r="C7898" s="739"/>
      <c r="D7898" s="739"/>
      <c r="E7898" s="43">
        <v>200000</v>
      </c>
      <c r="F7898" s="48">
        <f t="shared" si="129"/>
        <v>202116</v>
      </c>
    </row>
    <row r="7899" spans="1:6" x14ac:dyDescent="0.3">
      <c r="A7899" s="45">
        <v>44009</v>
      </c>
      <c r="B7899" s="5" t="s">
        <v>14</v>
      </c>
      <c r="C7899" s="5" t="s">
        <v>3183</v>
      </c>
      <c r="D7899" s="43">
        <v>85000</v>
      </c>
      <c r="E7899" s="43"/>
      <c r="F7899" s="48">
        <f t="shared" si="129"/>
        <v>117116</v>
      </c>
    </row>
    <row r="7900" spans="1:6" ht="37.5" x14ac:dyDescent="0.3">
      <c r="A7900" s="45">
        <v>44009</v>
      </c>
      <c r="B7900" s="5" t="s">
        <v>4550</v>
      </c>
      <c r="C7900" s="221" t="s">
        <v>6273</v>
      </c>
      <c r="D7900" s="43">
        <v>15000</v>
      </c>
      <c r="E7900" s="43"/>
      <c r="F7900" s="48">
        <f t="shared" si="129"/>
        <v>102116</v>
      </c>
    </row>
    <row r="7901" spans="1:6" x14ac:dyDescent="0.3">
      <c r="A7901" s="45">
        <v>44011</v>
      </c>
      <c r="B7901" s="5" t="s">
        <v>5896</v>
      </c>
      <c r="C7901" s="5" t="s">
        <v>294</v>
      </c>
      <c r="D7901" s="43">
        <v>6000</v>
      </c>
      <c r="E7901" s="43"/>
      <c r="F7901" s="48">
        <f t="shared" si="129"/>
        <v>96116</v>
      </c>
    </row>
    <row r="7902" spans="1:6" x14ac:dyDescent="0.3">
      <c r="A7902" s="45">
        <v>44011</v>
      </c>
      <c r="B7902" s="5" t="s">
        <v>3559</v>
      </c>
      <c r="C7902" s="5" t="s">
        <v>6208</v>
      </c>
      <c r="D7902" s="43">
        <v>1250</v>
      </c>
      <c r="E7902" s="43"/>
      <c r="F7902" s="48">
        <f t="shared" si="129"/>
        <v>94866</v>
      </c>
    </row>
    <row r="7903" spans="1:6" x14ac:dyDescent="0.3">
      <c r="A7903" s="45">
        <v>44011</v>
      </c>
      <c r="B7903" s="5" t="s">
        <v>0</v>
      </c>
      <c r="C7903" s="5" t="s">
        <v>3910</v>
      </c>
      <c r="D7903" s="43">
        <v>5000</v>
      </c>
      <c r="E7903" s="43"/>
      <c r="F7903" s="48">
        <f t="shared" si="129"/>
        <v>89866</v>
      </c>
    </row>
    <row r="7904" spans="1:6" x14ac:dyDescent="0.3">
      <c r="A7904" s="45">
        <v>44011</v>
      </c>
      <c r="B7904" s="5" t="s">
        <v>25</v>
      </c>
      <c r="C7904" s="5" t="s">
        <v>6209</v>
      </c>
      <c r="D7904" s="43">
        <v>100</v>
      </c>
      <c r="E7904" s="43"/>
      <c r="F7904" s="48">
        <f t="shared" si="129"/>
        <v>89766</v>
      </c>
    </row>
    <row r="7905" spans="1:6" x14ac:dyDescent="0.3">
      <c r="A7905" s="45">
        <v>44011</v>
      </c>
      <c r="B7905" s="739" t="s">
        <v>6210</v>
      </c>
      <c r="C7905" s="739"/>
      <c r="D7905" s="739"/>
      <c r="E7905" s="43">
        <v>100000</v>
      </c>
      <c r="F7905" s="48">
        <f t="shared" si="129"/>
        <v>189766</v>
      </c>
    </row>
    <row r="7906" spans="1:6" x14ac:dyDescent="0.3">
      <c r="A7906" s="45">
        <v>44011</v>
      </c>
      <c r="B7906" s="5" t="s">
        <v>2348</v>
      </c>
      <c r="C7906" s="5" t="s">
        <v>5508</v>
      </c>
      <c r="D7906" s="43">
        <v>35000</v>
      </c>
      <c r="E7906" s="43"/>
      <c r="F7906" s="48">
        <f t="shared" si="129"/>
        <v>154766</v>
      </c>
    </row>
    <row r="7907" spans="1:6" x14ac:dyDescent="0.3">
      <c r="A7907" s="45">
        <v>44011</v>
      </c>
      <c r="B7907" s="5" t="s">
        <v>84</v>
      </c>
      <c r="C7907" s="92" t="s">
        <v>6211</v>
      </c>
      <c r="D7907" s="43">
        <v>3000</v>
      </c>
      <c r="E7907" s="43"/>
      <c r="F7907" s="48">
        <f t="shared" si="129"/>
        <v>151766</v>
      </c>
    </row>
    <row r="7908" spans="1:6" x14ac:dyDescent="0.3">
      <c r="A7908" s="45">
        <v>44013</v>
      </c>
      <c r="B7908" s="5" t="s">
        <v>1837</v>
      </c>
      <c r="C7908" s="92" t="s">
        <v>6215</v>
      </c>
      <c r="D7908" s="43">
        <v>1500</v>
      </c>
      <c r="E7908" s="43"/>
      <c r="F7908" s="48">
        <f t="shared" si="129"/>
        <v>150266</v>
      </c>
    </row>
    <row r="7909" spans="1:6" x14ac:dyDescent="0.3">
      <c r="A7909" s="45">
        <v>44013</v>
      </c>
      <c r="B7909" s="5" t="s">
        <v>18</v>
      </c>
      <c r="C7909" s="92" t="s">
        <v>6216</v>
      </c>
      <c r="D7909" s="43">
        <v>1000</v>
      </c>
      <c r="E7909" s="43"/>
      <c r="F7909" s="48">
        <f t="shared" si="129"/>
        <v>149266</v>
      </c>
    </row>
    <row r="7910" spans="1:6" x14ac:dyDescent="0.3">
      <c r="A7910" s="45">
        <v>44013</v>
      </c>
      <c r="B7910" s="5" t="s">
        <v>25</v>
      </c>
      <c r="C7910" s="92" t="s">
        <v>6217</v>
      </c>
      <c r="D7910" s="43">
        <v>3721</v>
      </c>
      <c r="E7910" s="43"/>
      <c r="F7910" s="48">
        <f t="shared" si="129"/>
        <v>145545</v>
      </c>
    </row>
    <row r="7911" spans="1:6" x14ac:dyDescent="0.3">
      <c r="A7911" s="45">
        <v>44013</v>
      </c>
      <c r="B7911" s="5" t="s">
        <v>84</v>
      </c>
      <c r="C7911" s="92" t="s">
        <v>6228</v>
      </c>
      <c r="D7911" s="43">
        <v>1000</v>
      </c>
      <c r="E7911" s="43"/>
      <c r="F7911" s="48">
        <f t="shared" si="129"/>
        <v>144545</v>
      </c>
    </row>
    <row r="7912" spans="1:6" x14ac:dyDescent="0.3">
      <c r="A7912" s="45">
        <v>44013</v>
      </c>
      <c r="B7912" s="5" t="s">
        <v>84</v>
      </c>
      <c r="C7912" s="92" t="s">
        <v>6218</v>
      </c>
      <c r="D7912" s="43">
        <v>5000</v>
      </c>
      <c r="E7912" s="43"/>
      <c r="F7912" s="48">
        <f t="shared" si="129"/>
        <v>139545</v>
      </c>
    </row>
    <row r="7913" spans="1:6" x14ac:dyDescent="0.3">
      <c r="A7913" s="45">
        <v>44013</v>
      </c>
      <c r="B7913" s="5" t="s">
        <v>64</v>
      </c>
      <c r="C7913" s="92" t="s">
        <v>6219</v>
      </c>
      <c r="D7913" s="43">
        <v>1200</v>
      </c>
      <c r="E7913" s="43"/>
      <c r="F7913" s="48">
        <f t="shared" si="129"/>
        <v>138345</v>
      </c>
    </row>
    <row r="7914" spans="1:6" x14ac:dyDescent="0.3">
      <c r="A7914" s="45">
        <v>44013</v>
      </c>
      <c r="B7914" s="5" t="s">
        <v>693</v>
      </c>
      <c r="C7914" s="92" t="s">
        <v>6220</v>
      </c>
      <c r="D7914" s="43">
        <v>5840</v>
      </c>
      <c r="E7914" s="43"/>
      <c r="F7914" s="48">
        <f t="shared" si="129"/>
        <v>132505</v>
      </c>
    </row>
    <row r="7915" spans="1:6" x14ac:dyDescent="0.3">
      <c r="A7915" s="45">
        <v>44013</v>
      </c>
      <c r="B7915" s="5" t="s">
        <v>6099</v>
      </c>
      <c r="C7915" s="92" t="s">
        <v>3332</v>
      </c>
      <c r="D7915" s="43">
        <v>44900</v>
      </c>
      <c r="E7915" s="43"/>
      <c r="F7915" s="48">
        <f t="shared" si="129"/>
        <v>87605</v>
      </c>
    </row>
    <row r="7916" spans="1:6" x14ac:dyDescent="0.3">
      <c r="A7916" s="45">
        <v>44013</v>
      </c>
      <c r="B7916" s="5" t="s">
        <v>6221</v>
      </c>
      <c r="C7916" s="92" t="s">
        <v>6222</v>
      </c>
      <c r="D7916" s="43">
        <v>12400</v>
      </c>
      <c r="E7916" s="43"/>
      <c r="F7916" s="48">
        <f t="shared" si="129"/>
        <v>75205</v>
      </c>
    </row>
    <row r="7917" spans="1:6" x14ac:dyDescent="0.3">
      <c r="A7917" s="45">
        <v>44013</v>
      </c>
      <c r="B7917" s="5" t="s">
        <v>0</v>
      </c>
      <c r="C7917" s="92" t="s">
        <v>6223</v>
      </c>
      <c r="D7917" s="43">
        <v>15000</v>
      </c>
      <c r="E7917" s="43"/>
      <c r="F7917" s="48">
        <f t="shared" si="129"/>
        <v>60205</v>
      </c>
    </row>
    <row r="7918" spans="1:6" ht="37.5" x14ac:dyDescent="0.3">
      <c r="A7918" s="45">
        <v>44013</v>
      </c>
      <c r="B7918" s="5" t="s">
        <v>5665</v>
      </c>
      <c r="C7918" s="92" t="s">
        <v>6224</v>
      </c>
      <c r="D7918" s="43">
        <v>25000</v>
      </c>
      <c r="E7918" s="43"/>
      <c r="F7918" s="48">
        <f t="shared" si="129"/>
        <v>35205</v>
      </c>
    </row>
    <row r="7919" spans="1:6" x14ac:dyDescent="0.3">
      <c r="A7919" s="45">
        <v>44013</v>
      </c>
      <c r="B7919" s="5" t="s">
        <v>4039</v>
      </c>
      <c r="C7919" s="5" t="s">
        <v>6225</v>
      </c>
      <c r="D7919" s="43">
        <v>5000</v>
      </c>
      <c r="E7919" s="43"/>
      <c r="F7919" s="48">
        <f t="shared" si="129"/>
        <v>30205</v>
      </c>
    </row>
    <row r="7920" spans="1:6" x14ac:dyDescent="0.3">
      <c r="A7920" s="45">
        <v>44013</v>
      </c>
      <c r="B7920" s="5" t="s">
        <v>4039</v>
      </c>
      <c r="C7920" s="5" t="s">
        <v>5377</v>
      </c>
      <c r="D7920" s="43">
        <v>600</v>
      </c>
      <c r="E7920" s="43"/>
      <c r="F7920" s="48">
        <f t="shared" si="129"/>
        <v>29605</v>
      </c>
    </row>
    <row r="7921" spans="1:6" x14ac:dyDescent="0.3">
      <c r="A7921" s="45">
        <v>44014</v>
      </c>
      <c r="B7921" s="5" t="s">
        <v>84</v>
      </c>
      <c r="C7921" s="5" t="s">
        <v>6226</v>
      </c>
      <c r="D7921" s="43">
        <v>5000</v>
      </c>
      <c r="E7921" s="43"/>
      <c r="F7921" s="48">
        <f t="shared" si="129"/>
        <v>24605</v>
      </c>
    </row>
    <row r="7922" spans="1:6" x14ac:dyDescent="0.3">
      <c r="A7922" s="45">
        <v>44014</v>
      </c>
      <c r="B7922" s="5" t="s">
        <v>84</v>
      </c>
      <c r="C7922" s="5" t="s">
        <v>6227</v>
      </c>
      <c r="D7922" s="43">
        <v>1000</v>
      </c>
      <c r="E7922" s="43"/>
      <c r="F7922" s="48">
        <f t="shared" si="129"/>
        <v>23605</v>
      </c>
    </row>
    <row r="7923" spans="1:6" x14ac:dyDescent="0.3">
      <c r="A7923" s="45">
        <v>44015</v>
      </c>
      <c r="B7923" s="739" t="s">
        <v>6210</v>
      </c>
      <c r="C7923" s="739"/>
      <c r="D7923" s="739"/>
      <c r="E7923" s="43">
        <v>8000</v>
      </c>
      <c r="F7923" s="48">
        <f t="shared" si="129"/>
        <v>31605</v>
      </c>
    </row>
    <row r="7924" spans="1:6" x14ac:dyDescent="0.3">
      <c r="A7924" s="45">
        <v>44015</v>
      </c>
      <c r="B7924" s="5" t="s">
        <v>2348</v>
      </c>
      <c r="C7924" s="5" t="s">
        <v>294</v>
      </c>
      <c r="D7924" s="43">
        <v>25000</v>
      </c>
      <c r="E7924" s="43"/>
      <c r="F7924" s="48">
        <f t="shared" si="129"/>
        <v>6605</v>
      </c>
    </row>
    <row r="7925" spans="1:6" x14ac:dyDescent="0.3">
      <c r="A7925" s="45">
        <v>44015</v>
      </c>
      <c r="B7925" s="739" t="s">
        <v>6210</v>
      </c>
      <c r="C7925" s="739"/>
      <c r="D7925" s="739"/>
      <c r="E7925" s="43">
        <v>95000</v>
      </c>
      <c r="F7925" s="48">
        <f t="shared" si="129"/>
        <v>101605</v>
      </c>
    </row>
    <row r="7926" spans="1:6" x14ac:dyDescent="0.3">
      <c r="A7926" s="45">
        <v>44016</v>
      </c>
      <c r="B7926" s="5" t="s">
        <v>25</v>
      </c>
      <c r="C7926" s="5" t="s">
        <v>5108</v>
      </c>
      <c r="D7926" s="43">
        <v>2000</v>
      </c>
      <c r="E7926" s="43"/>
      <c r="F7926" s="48">
        <f t="shared" si="129"/>
        <v>99605</v>
      </c>
    </row>
    <row r="7927" spans="1:6" x14ac:dyDescent="0.3">
      <c r="A7927" s="45">
        <v>44018</v>
      </c>
      <c r="B7927" s="5" t="s">
        <v>14</v>
      </c>
      <c r="C7927" s="5" t="s">
        <v>3910</v>
      </c>
      <c r="D7927" s="43">
        <v>80000</v>
      </c>
      <c r="E7927" s="43"/>
      <c r="F7927" s="48">
        <f t="shared" si="129"/>
        <v>19605</v>
      </c>
    </row>
    <row r="7928" spans="1:6" x14ac:dyDescent="0.3">
      <c r="A7928" s="45">
        <v>44018</v>
      </c>
      <c r="B7928" s="5" t="s">
        <v>4869</v>
      </c>
      <c r="C7928" s="5" t="s">
        <v>40</v>
      </c>
      <c r="D7928" s="43">
        <v>4150</v>
      </c>
      <c r="E7928" s="43"/>
      <c r="F7928" s="48">
        <f t="shared" si="129"/>
        <v>15455</v>
      </c>
    </row>
    <row r="7929" spans="1:6" x14ac:dyDescent="0.3">
      <c r="A7929" s="45">
        <v>44018</v>
      </c>
      <c r="B7929" s="5" t="s">
        <v>14</v>
      </c>
      <c r="C7929" s="5" t="s">
        <v>640</v>
      </c>
      <c r="D7929" s="43">
        <v>1000</v>
      </c>
      <c r="E7929" s="43"/>
      <c r="F7929" s="48">
        <f t="shared" si="129"/>
        <v>14455</v>
      </c>
    </row>
    <row r="7930" spans="1:6" x14ac:dyDescent="0.3">
      <c r="A7930" s="45">
        <v>44018</v>
      </c>
      <c r="B7930" s="5" t="s">
        <v>4550</v>
      </c>
      <c r="C7930" s="5" t="s">
        <v>6274</v>
      </c>
      <c r="D7930" s="43">
        <v>5000</v>
      </c>
      <c r="E7930" s="43"/>
      <c r="F7930" s="48">
        <f t="shared" si="129"/>
        <v>9455</v>
      </c>
    </row>
    <row r="7931" spans="1:6" x14ac:dyDescent="0.3">
      <c r="A7931" s="45">
        <v>44018</v>
      </c>
      <c r="B7931" s="5" t="s">
        <v>5156</v>
      </c>
      <c r="C7931" s="5" t="s">
        <v>6231</v>
      </c>
      <c r="D7931" s="43">
        <v>150</v>
      </c>
      <c r="E7931" s="43"/>
      <c r="F7931" s="48">
        <f t="shared" si="129"/>
        <v>9305</v>
      </c>
    </row>
    <row r="7932" spans="1:6" x14ac:dyDescent="0.3">
      <c r="A7932" s="45">
        <v>44018</v>
      </c>
      <c r="B7932" s="5" t="s">
        <v>25</v>
      </c>
      <c r="C7932" s="5" t="s">
        <v>4276</v>
      </c>
      <c r="D7932" s="43">
        <f>900+70+220+440+140+50+80+15+370+300+40+30+20+120+80+120+140+70</f>
        <v>3205</v>
      </c>
      <c r="E7932" s="43"/>
      <c r="F7932" s="48">
        <f t="shared" si="129"/>
        <v>6100</v>
      </c>
    </row>
    <row r="7933" spans="1:6" x14ac:dyDescent="0.3">
      <c r="A7933" s="45">
        <v>44018</v>
      </c>
      <c r="B7933" s="5" t="s">
        <v>1616</v>
      </c>
      <c r="C7933" s="5" t="s">
        <v>2672</v>
      </c>
      <c r="D7933" s="43">
        <v>1500</v>
      </c>
      <c r="E7933" s="43"/>
      <c r="F7933" s="48">
        <f t="shared" si="129"/>
        <v>4600</v>
      </c>
    </row>
    <row r="7934" spans="1:6" x14ac:dyDescent="0.3">
      <c r="A7934" s="45">
        <v>44018</v>
      </c>
      <c r="B7934" s="5" t="s">
        <v>1616</v>
      </c>
      <c r="C7934" s="5" t="s">
        <v>5377</v>
      </c>
      <c r="D7934" s="43">
        <v>600</v>
      </c>
      <c r="E7934" s="43"/>
      <c r="F7934" s="48">
        <f t="shared" si="129"/>
        <v>4000</v>
      </c>
    </row>
    <row r="7935" spans="1:6" x14ac:dyDescent="0.3">
      <c r="A7935" s="45">
        <v>44019</v>
      </c>
      <c r="B7935" s="739" t="s">
        <v>6210</v>
      </c>
      <c r="C7935" s="739"/>
      <c r="D7935" s="739"/>
      <c r="E7935" s="43">
        <v>200000</v>
      </c>
      <c r="F7935" s="48">
        <f t="shared" si="129"/>
        <v>204000</v>
      </c>
    </row>
    <row r="7936" spans="1:6" x14ac:dyDescent="0.3">
      <c r="A7936" s="45">
        <v>44019</v>
      </c>
      <c r="B7936" s="39" t="s">
        <v>1512</v>
      </c>
      <c r="C7936" s="39" t="s">
        <v>6232</v>
      </c>
      <c r="D7936" s="40">
        <v>89788</v>
      </c>
      <c r="E7936" s="43"/>
      <c r="F7936" s="48">
        <f t="shared" si="129"/>
        <v>114212</v>
      </c>
    </row>
    <row r="7937" spans="1:6" x14ac:dyDescent="0.3">
      <c r="A7937" s="45">
        <v>44019</v>
      </c>
      <c r="B7937" s="39" t="s">
        <v>1512</v>
      </c>
      <c r="C7937" s="216" t="s">
        <v>6233</v>
      </c>
      <c r="D7937" s="40">
        <v>90213</v>
      </c>
      <c r="E7937" s="43"/>
      <c r="F7937" s="48">
        <f t="shared" si="129"/>
        <v>23999</v>
      </c>
    </row>
    <row r="7938" spans="1:6" x14ac:dyDescent="0.3">
      <c r="A7938" s="45">
        <v>44019</v>
      </c>
      <c r="B7938" s="39" t="s">
        <v>1512</v>
      </c>
      <c r="C7938" s="39" t="s">
        <v>5877</v>
      </c>
      <c r="D7938" s="40">
        <v>15000</v>
      </c>
      <c r="E7938" s="43"/>
      <c r="F7938" s="48">
        <f>F7937+E7938-D7938</f>
        <v>8999</v>
      </c>
    </row>
    <row r="7939" spans="1:6" x14ac:dyDescent="0.3">
      <c r="A7939" s="45">
        <v>44019</v>
      </c>
      <c r="B7939" s="5" t="s">
        <v>4946</v>
      </c>
      <c r="C7939" s="5" t="s">
        <v>6235</v>
      </c>
      <c r="D7939" s="43">
        <v>527</v>
      </c>
      <c r="E7939" s="43"/>
      <c r="F7939" s="48">
        <f t="shared" si="129"/>
        <v>8472</v>
      </c>
    </row>
    <row r="7940" spans="1:6" x14ac:dyDescent="0.3">
      <c r="A7940" s="45">
        <v>44019</v>
      </c>
      <c r="B7940" s="5" t="s">
        <v>25</v>
      </c>
      <c r="C7940" s="5" t="s">
        <v>6234</v>
      </c>
      <c r="D7940" s="43">
        <v>740</v>
      </c>
      <c r="E7940" s="43"/>
      <c r="F7940" s="48">
        <f t="shared" si="129"/>
        <v>7732</v>
      </c>
    </row>
    <row r="7941" spans="1:6" x14ac:dyDescent="0.3">
      <c r="A7941" s="45">
        <v>44020</v>
      </c>
      <c r="B7941" s="739" t="s">
        <v>6210</v>
      </c>
      <c r="C7941" s="739"/>
      <c r="D7941" s="739"/>
      <c r="E7941" s="43">
        <v>400000</v>
      </c>
      <c r="F7941" s="48">
        <f t="shared" si="129"/>
        <v>407732</v>
      </c>
    </row>
    <row r="7942" spans="1:6" x14ac:dyDescent="0.3">
      <c r="A7942" s="45">
        <v>44020</v>
      </c>
      <c r="B7942" s="223" t="s">
        <v>1512</v>
      </c>
      <c r="C7942" s="223" t="s">
        <v>6240</v>
      </c>
      <c r="D7942" s="224">
        <v>23671</v>
      </c>
      <c r="E7942" s="43"/>
      <c r="F7942" s="48">
        <f t="shared" si="129"/>
        <v>384061</v>
      </c>
    </row>
    <row r="7943" spans="1:6" x14ac:dyDescent="0.3">
      <c r="A7943" s="45">
        <v>44020</v>
      </c>
      <c r="B7943" s="223" t="s">
        <v>1512</v>
      </c>
      <c r="C7943" s="223" t="s">
        <v>6236</v>
      </c>
      <c r="D7943" s="224">
        <v>42144</v>
      </c>
      <c r="E7943" s="43"/>
      <c r="F7943" s="48">
        <f t="shared" si="129"/>
        <v>341917</v>
      </c>
    </row>
    <row r="7944" spans="1:6" x14ac:dyDescent="0.3">
      <c r="A7944" s="45">
        <v>44020</v>
      </c>
      <c r="B7944" s="223" t="s">
        <v>1512</v>
      </c>
      <c r="C7944" s="223" t="s">
        <v>6237</v>
      </c>
      <c r="D7944" s="224">
        <v>285740</v>
      </c>
      <c r="E7944" s="43"/>
      <c r="F7944" s="48">
        <f t="shared" si="129"/>
        <v>56177</v>
      </c>
    </row>
    <row r="7945" spans="1:6" x14ac:dyDescent="0.3">
      <c r="A7945" s="45">
        <v>44020</v>
      </c>
      <c r="B7945" s="223" t="s">
        <v>1512</v>
      </c>
      <c r="C7945" s="223" t="s">
        <v>6238</v>
      </c>
      <c r="D7945" s="224">
        <v>27083</v>
      </c>
      <c r="E7945" s="43"/>
      <c r="F7945" s="48">
        <f t="shared" si="129"/>
        <v>29094</v>
      </c>
    </row>
    <row r="7946" spans="1:6" x14ac:dyDescent="0.3">
      <c r="A7946" s="45">
        <v>44020</v>
      </c>
      <c r="B7946" s="223" t="s">
        <v>1512</v>
      </c>
      <c r="C7946" s="223" t="s">
        <v>4132</v>
      </c>
      <c r="D7946" s="224">
        <v>10800</v>
      </c>
      <c r="E7946" s="43"/>
      <c r="F7946" s="48">
        <f t="shared" si="129"/>
        <v>18294</v>
      </c>
    </row>
    <row r="7947" spans="1:6" x14ac:dyDescent="0.3">
      <c r="A7947" s="45">
        <v>44021</v>
      </c>
      <c r="B7947" s="5" t="s">
        <v>14</v>
      </c>
      <c r="C7947" s="5" t="s">
        <v>640</v>
      </c>
      <c r="D7947" s="43">
        <v>1000</v>
      </c>
      <c r="E7947" s="43"/>
      <c r="F7947" s="48">
        <f t="shared" si="129"/>
        <v>17294</v>
      </c>
    </row>
    <row r="7948" spans="1:6" x14ac:dyDescent="0.3">
      <c r="A7948" s="45">
        <v>44021</v>
      </c>
      <c r="B7948" s="5" t="s">
        <v>5922</v>
      </c>
      <c r="C7948" s="5" t="s">
        <v>6140</v>
      </c>
      <c r="D7948" s="43">
        <v>5800</v>
      </c>
      <c r="E7948" s="43"/>
      <c r="F7948" s="48">
        <f t="shared" si="129"/>
        <v>11494</v>
      </c>
    </row>
    <row r="7949" spans="1:6" x14ac:dyDescent="0.3">
      <c r="A7949" s="45">
        <v>44021</v>
      </c>
      <c r="B7949" s="5" t="s">
        <v>5665</v>
      </c>
      <c r="C7949" s="92" t="s">
        <v>6242</v>
      </c>
      <c r="D7949" s="43">
        <v>10000</v>
      </c>
      <c r="E7949" s="43"/>
      <c r="F7949" s="48">
        <f t="shared" ref="F7949:F7966" si="130">F7948+E7949-D7949</f>
        <v>1494</v>
      </c>
    </row>
    <row r="7950" spans="1:6" x14ac:dyDescent="0.3">
      <c r="A7950" s="45">
        <v>44021</v>
      </c>
      <c r="B7950" s="739" t="s">
        <v>6241</v>
      </c>
      <c r="C7950" s="739"/>
      <c r="D7950" s="739"/>
      <c r="E7950" s="43">
        <v>200000</v>
      </c>
      <c r="F7950" s="48">
        <f t="shared" si="130"/>
        <v>201494</v>
      </c>
    </row>
    <row r="7951" spans="1:6" x14ac:dyDescent="0.3">
      <c r="A7951" s="45">
        <v>44021</v>
      </c>
      <c r="B7951" s="223" t="s">
        <v>1512</v>
      </c>
      <c r="C7951" s="223" t="s">
        <v>6253</v>
      </c>
      <c r="D7951" s="224">
        <v>32250</v>
      </c>
      <c r="E7951" s="43"/>
      <c r="F7951" s="48">
        <f t="shared" si="130"/>
        <v>169244</v>
      </c>
    </row>
    <row r="7952" spans="1:6" x14ac:dyDescent="0.3">
      <c r="A7952" s="45">
        <v>44021</v>
      </c>
      <c r="B7952" s="223" t="s">
        <v>1512</v>
      </c>
      <c r="C7952" s="223" t="s">
        <v>6239</v>
      </c>
      <c r="D7952" s="224">
        <v>31000</v>
      </c>
      <c r="E7952" s="43"/>
      <c r="F7952" s="48">
        <f t="shared" si="130"/>
        <v>138244</v>
      </c>
    </row>
    <row r="7953" spans="1:6" x14ac:dyDescent="0.3">
      <c r="A7953" s="45">
        <v>44021</v>
      </c>
      <c r="B7953" s="223" t="s">
        <v>1512</v>
      </c>
      <c r="C7953" s="223" t="s">
        <v>3814</v>
      </c>
      <c r="D7953" s="224">
        <v>30000</v>
      </c>
      <c r="E7953" s="43"/>
      <c r="F7953" s="48">
        <f t="shared" si="130"/>
        <v>108244</v>
      </c>
    </row>
    <row r="7954" spans="1:6" x14ac:dyDescent="0.3">
      <c r="A7954" s="45">
        <v>44021</v>
      </c>
      <c r="B7954" s="223" t="s">
        <v>1512</v>
      </c>
      <c r="C7954" s="223" t="s">
        <v>6243</v>
      </c>
      <c r="D7954" s="224">
        <v>19250</v>
      </c>
      <c r="E7954" s="43"/>
      <c r="F7954" s="48">
        <f t="shared" si="130"/>
        <v>88994</v>
      </c>
    </row>
    <row r="7955" spans="1:6" x14ac:dyDescent="0.3">
      <c r="A7955" s="45">
        <v>44021</v>
      </c>
      <c r="B7955" s="223" t="s">
        <v>1512</v>
      </c>
      <c r="C7955" s="223" t="s">
        <v>6244</v>
      </c>
      <c r="D7955" s="224">
        <v>18833</v>
      </c>
      <c r="E7955" s="43"/>
      <c r="F7955" s="48">
        <f t="shared" si="130"/>
        <v>70161</v>
      </c>
    </row>
    <row r="7956" spans="1:6" x14ac:dyDescent="0.3">
      <c r="A7956" s="45">
        <v>44021</v>
      </c>
      <c r="B7956" s="223" t="s">
        <v>1512</v>
      </c>
      <c r="C7956" s="223" t="s">
        <v>6245</v>
      </c>
      <c r="D7956" s="224">
        <v>24000</v>
      </c>
      <c r="E7956" s="43"/>
      <c r="F7956" s="48">
        <f t="shared" si="130"/>
        <v>46161</v>
      </c>
    </row>
    <row r="7957" spans="1:6" x14ac:dyDescent="0.3">
      <c r="A7957" s="45">
        <v>44021</v>
      </c>
      <c r="B7957" s="5" t="s">
        <v>25</v>
      </c>
      <c r="C7957" s="5" t="s">
        <v>6246</v>
      </c>
      <c r="D7957" s="43">
        <f>490+190</f>
        <v>680</v>
      </c>
      <c r="E7957" s="43"/>
      <c r="F7957" s="48">
        <f t="shared" si="130"/>
        <v>45481</v>
      </c>
    </row>
    <row r="7958" spans="1:6" x14ac:dyDescent="0.3">
      <c r="A7958" s="45">
        <v>44021</v>
      </c>
      <c r="B7958" s="5" t="s">
        <v>6247</v>
      </c>
      <c r="C7958" s="5" t="s">
        <v>6254</v>
      </c>
      <c r="D7958" s="43">
        <v>2200</v>
      </c>
      <c r="E7958" s="43"/>
      <c r="F7958" s="48">
        <f t="shared" si="130"/>
        <v>43281</v>
      </c>
    </row>
    <row r="7959" spans="1:6" x14ac:dyDescent="0.3">
      <c r="A7959" s="45">
        <v>44022</v>
      </c>
      <c r="B7959" s="5" t="s">
        <v>14</v>
      </c>
      <c r="C7959" s="5" t="s">
        <v>294</v>
      </c>
      <c r="D7959" s="43">
        <v>20000</v>
      </c>
      <c r="E7959" s="43"/>
      <c r="F7959" s="48">
        <f t="shared" si="130"/>
        <v>23281</v>
      </c>
    </row>
    <row r="7960" spans="1:6" x14ac:dyDescent="0.3">
      <c r="A7960" s="45">
        <v>44022</v>
      </c>
      <c r="B7960" s="5" t="s">
        <v>5960</v>
      </c>
      <c r="C7960" s="5" t="s">
        <v>6248</v>
      </c>
      <c r="D7960" s="43">
        <v>1000</v>
      </c>
      <c r="E7960" s="43"/>
      <c r="F7960" s="48">
        <f t="shared" si="130"/>
        <v>22281</v>
      </c>
    </row>
    <row r="7961" spans="1:6" x14ac:dyDescent="0.3">
      <c r="A7961" s="45">
        <v>44022</v>
      </c>
      <c r="B7961" s="739" t="s">
        <v>6249</v>
      </c>
      <c r="C7961" s="739"/>
      <c r="D7961" s="739"/>
      <c r="E7961" s="43">
        <v>45000</v>
      </c>
      <c r="F7961" s="48">
        <f t="shared" si="130"/>
        <v>67281</v>
      </c>
    </row>
    <row r="7962" spans="1:6" x14ac:dyDescent="0.3">
      <c r="A7962" s="45">
        <v>44022</v>
      </c>
      <c r="B7962" s="5" t="s">
        <v>14</v>
      </c>
      <c r="C7962" s="5" t="s">
        <v>294</v>
      </c>
      <c r="D7962" s="43">
        <v>50000</v>
      </c>
      <c r="E7962" s="43"/>
      <c r="F7962" s="48">
        <f t="shared" si="130"/>
        <v>17281</v>
      </c>
    </row>
    <row r="7963" spans="1:6" ht="37.5" x14ac:dyDescent="0.3">
      <c r="A7963" s="45">
        <v>44025</v>
      </c>
      <c r="B7963" s="44" t="s">
        <v>25</v>
      </c>
      <c r="C7963" s="124" t="s">
        <v>6251</v>
      </c>
      <c r="D7963" s="28">
        <v>8500</v>
      </c>
      <c r="E7963" s="28"/>
      <c r="F7963" s="48">
        <f t="shared" si="130"/>
        <v>8781</v>
      </c>
    </row>
    <row r="7964" spans="1:6" x14ac:dyDescent="0.3">
      <c r="A7964" s="45">
        <v>44025</v>
      </c>
      <c r="B7964" s="44" t="s">
        <v>25</v>
      </c>
      <c r="C7964" s="5" t="s">
        <v>6250</v>
      </c>
      <c r="D7964" s="43">
        <v>650</v>
      </c>
      <c r="E7964" s="43"/>
      <c r="F7964" s="48">
        <f t="shared" si="130"/>
        <v>8131</v>
      </c>
    </row>
    <row r="7965" spans="1:6" ht="37.5" x14ac:dyDescent="0.3">
      <c r="A7965" s="45">
        <v>44025</v>
      </c>
      <c r="B7965" s="5" t="s">
        <v>5156</v>
      </c>
      <c r="C7965" s="92" t="s">
        <v>6252</v>
      </c>
      <c r="D7965" s="43">
        <v>240</v>
      </c>
      <c r="E7965" s="43"/>
      <c r="F7965" s="48">
        <f t="shared" si="130"/>
        <v>7891</v>
      </c>
    </row>
    <row r="7966" spans="1:6" x14ac:dyDescent="0.3">
      <c r="A7966" s="45">
        <v>44025</v>
      </c>
      <c r="B7966" s="5" t="s">
        <v>247</v>
      </c>
      <c r="C7966" s="5" t="s">
        <v>2013</v>
      </c>
      <c r="D7966" s="43">
        <v>100</v>
      </c>
      <c r="E7966" s="43"/>
      <c r="F7966" s="48">
        <f t="shared" si="130"/>
        <v>7791</v>
      </c>
    </row>
    <row r="7967" spans="1:6" x14ac:dyDescent="0.3">
      <c r="A7967" s="45">
        <v>44026</v>
      </c>
      <c r="B7967" s="5" t="s">
        <v>5709</v>
      </c>
      <c r="C7967" s="5" t="s">
        <v>6255</v>
      </c>
      <c r="D7967" s="43">
        <v>5000</v>
      </c>
      <c r="E7967" s="43"/>
      <c r="F7967" s="48">
        <f>F7966+E7967-D7967</f>
        <v>2791</v>
      </c>
    </row>
    <row r="7968" spans="1:6" x14ac:dyDescent="0.3">
      <c r="A7968" s="45">
        <v>44026</v>
      </c>
      <c r="B7968" s="739" t="s">
        <v>6260</v>
      </c>
      <c r="C7968" s="739"/>
      <c r="D7968" s="739"/>
      <c r="E7968" s="43">
        <v>10000</v>
      </c>
      <c r="F7968" s="48">
        <f>F7967+E7968-D7968</f>
        <v>12791</v>
      </c>
    </row>
    <row r="7969" spans="1:8" x14ac:dyDescent="0.3">
      <c r="A7969" s="45">
        <v>44026</v>
      </c>
      <c r="B7969" s="5" t="s">
        <v>1837</v>
      </c>
      <c r="C7969" s="5" t="s">
        <v>2013</v>
      </c>
      <c r="D7969" s="43">
        <v>150</v>
      </c>
      <c r="E7969" s="43"/>
      <c r="F7969" s="48">
        <f t="shared" ref="F7969:F8032" si="131">F7968+E7969-D7969</f>
        <v>12641</v>
      </c>
    </row>
    <row r="7970" spans="1:8" x14ac:dyDescent="0.3">
      <c r="A7970" s="45">
        <v>44026</v>
      </c>
      <c r="B7970" s="5" t="s">
        <v>1837</v>
      </c>
      <c r="C7970" s="5" t="s">
        <v>6256</v>
      </c>
      <c r="D7970" s="43">
        <v>100</v>
      </c>
      <c r="E7970" s="43"/>
      <c r="F7970" s="48">
        <f t="shared" si="131"/>
        <v>12541</v>
      </c>
    </row>
    <row r="7971" spans="1:8" x14ac:dyDescent="0.3">
      <c r="A7971" s="45">
        <v>44026</v>
      </c>
      <c r="B7971" s="5" t="s">
        <v>57</v>
      </c>
      <c r="C7971" s="5" t="s">
        <v>6261</v>
      </c>
      <c r="D7971" s="43">
        <v>4400</v>
      </c>
      <c r="E7971" s="43"/>
      <c r="F7971" s="48">
        <f t="shared" si="131"/>
        <v>8141</v>
      </c>
    </row>
    <row r="7972" spans="1:8" x14ac:dyDescent="0.3">
      <c r="A7972" s="45">
        <v>44026</v>
      </c>
      <c r="B7972" s="5" t="s">
        <v>47</v>
      </c>
      <c r="C7972" s="5" t="s">
        <v>6261</v>
      </c>
      <c r="D7972" s="43">
        <v>3045</v>
      </c>
      <c r="E7972" s="43"/>
      <c r="F7972" s="48">
        <f t="shared" si="131"/>
        <v>5096</v>
      </c>
    </row>
    <row r="7973" spans="1:8" x14ac:dyDescent="0.3">
      <c r="A7973" s="45">
        <v>44026</v>
      </c>
      <c r="B7973" s="5" t="s">
        <v>47</v>
      </c>
      <c r="C7973" s="5" t="s">
        <v>6262</v>
      </c>
      <c r="D7973" s="43">
        <v>1000</v>
      </c>
      <c r="E7973" s="43"/>
      <c r="F7973" s="48">
        <f t="shared" si="131"/>
        <v>4096</v>
      </c>
    </row>
    <row r="7974" spans="1:8" ht="37.5" x14ac:dyDescent="0.3">
      <c r="A7974" s="45">
        <v>44026</v>
      </c>
      <c r="B7974" s="5" t="s">
        <v>3985</v>
      </c>
      <c r="C7974" s="92" t="s">
        <v>6263</v>
      </c>
      <c r="D7974" s="43">
        <v>1000</v>
      </c>
      <c r="E7974" s="43"/>
      <c r="F7974" s="48">
        <f t="shared" si="131"/>
        <v>3096</v>
      </c>
    </row>
    <row r="7975" spans="1:8" x14ac:dyDescent="0.3">
      <c r="A7975" s="45">
        <v>44026</v>
      </c>
      <c r="B7975" s="5" t="s">
        <v>1787</v>
      </c>
      <c r="C7975" s="92" t="s">
        <v>6264</v>
      </c>
      <c r="D7975" s="43">
        <v>1500</v>
      </c>
      <c r="E7975" s="43"/>
      <c r="F7975" s="48">
        <f t="shared" si="131"/>
        <v>1596</v>
      </c>
    </row>
    <row r="7976" spans="1:8" x14ac:dyDescent="0.3">
      <c r="A7976" s="45">
        <v>44026</v>
      </c>
      <c r="B7976" s="739" t="s">
        <v>6257</v>
      </c>
      <c r="C7976" s="739"/>
      <c r="D7976" s="739"/>
      <c r="E7976" s="43">
        <v>200000</v>
      </c>
      <c r="F7976" s="48">
        <f t="shared" si="131"/>
        <v>201596</v>
      </c>
    </row>
    <row r="7977" spans="1:8" x14ac:dyDescent="0.3">
      <c r="A7977" s="45">
        <v>44026</v>
      </c>
      <c r="B7977" s="223" t="s">
        <v>1512</v>
      </c>
      <c r="C7977" s="223" t="s">
        <v>14</v>
      </c>
      <c r="D7977" s="224">
        <v>50000</v>
      </c>
      <c r="E7977" s="43"/>
      <c r="F7977" s="48">
        <f t="shared" si="131"/>
        <v>151596</v>
      </c>
    </row>
    <row r="7978" spans="1:8" x14ac:dyDescent="0.3">
      <c r="A7978" s="45">
        <v>44026</v>
      </c>
      <c r="B7978" s="223" t="s">
        <v>1512</v>
      </c>
      <c r="C7978" s="223" t="s">
        <v>6199</v>
      </c>
      <c r="D7978" s="224">
        <v>30000</v>
      </c>
      <c r="E7978" s="43"/>
      <c r="F7978" s="48">
        <f t="shared" si="131"/>
        <v>121596</v>
      </c>
    </row>
    <row r="7979" spans="1:8" x14ac:dyDescent="0.3">
      <c r="A7979" s="45">
        <v>44026</v>
      </c>
      <c r="B7979" s="223" t="s">
        <v>1512</v>
      </c>
      <c r="C7979" s="223" t="s">
        <v>6265</v>
      </c>
      <c r="D7979" s="224">
        <v>25000</v>
      </c>
      <c r="E7979" s="43"/>
      <c r="F7979" s="48">
        <f t="shared" si="131"/>
        <v>96596</v>
      </c>
    </row>
    <row r="7980" spans="1:8" x14ac:dyDescent="0.3">
      <c r="A7980" s="45">
        <v>44026</v>
      </c>
      <c r="B7980" s="223" t="s">
        <v>1512</v>
      </c>
      <c r="C7980" s="223" t="s">
        <v>6272</v>
      </c>
      <c r="D7980" s="224">
        <v>25800</v>
      </c>
      <c r="E7980" s="43"/>
      <c r="F7980" s="48">
        <f t="shared" si="131"/>
        <v>70796</v>
      </c>
    </row>
    <row r="7981" spans="1:8" x14ac:dyDescent="0.3">
      <c r="A7981" s="45">
        <v>44026</v>
      </c>
      <c r="B7981" s="223" t="s">
        <v>1512</v>
      </c>
      <c r="C7981" s="223" t="s">
        <v>6266</v>
      </c>
      <c r="D7981" s="224">
        <v>18800</v>
      </c>
      <c r="E7981" s="43"/>
      <c r="F7981" s="48">
        <f t="shared" si="131"/>
        <v>51996</v>
      </c>
    </row>
    <row r="7982" spans="1:8" x14ac:dyDescent="0.3">
      <c r="A7982" s="45">
        <v>44026</v>
      </c>
      <c r="B7982" s="223" t="s">
        <v>1512</v>
      </c>
      <c r="C7982" s="223" t="s">
        <v>6267</v>
      </c>
      <c r="D7982" s="224">
        <v>35000</v>
      </c>
      <c r="E7982" s="43"/>
      <c r="F7982" s="48">
        <f t="shared" si="131"/>
        <v>16996</v>
      </c>
    </row>
    <row r="7983" spans="1:8" x14ac:dyDescent="0.3">
      <c r="A7983" s="45">
        <v>44027</v>
      </c>
      <c r="B7983" s="5" t="s">
        <v>14</v>
      </c>
      <c r="C7983" s="5" t="s">
        <v>6271</v>
      </c>
      <c r="D7983" s="43">
        <v>15000</v>
      </c>
      <c r="E7983" s="43"/>
      <c r="F7983" s="48">
        <f t="shared" si="131"/>
        <v>1996</v>
      </c>
      <c r="H7983" s="43"/>
    </row>
    <row r="7984" spans="1:8" x14ac:dyDescent="0.3">
      <c r="A7984" s="45">
        <v>44028</v>
      </c>
      <c r="B7984" s="5" t="s">
        <v>5156</v>
      </c>
      <c r="C7984" s="5" t="s">
        <v>6275</v>
      </c>
      <c r="D7984" s="43">
        <v>300</v>
      </c>
      <c r="E7984" s="43"/>
      <c r="F7984" s="48">
        <f t="shared" si="131"/>
        <v>1696</v>
      </c>
    </row>
    <row r="7985" spans="1:6" x14ac:dyDescent="0.3">
      <c r="A7985" s="45">
        <v>44028</v>
      </c>
      <c r="B7985" s="739" t="s">
        <v>6276</v>
      </c>
      <c r="C7985" s="739"/>
      <c r="D7985" s="739"/>
      <c r="E7985" s="43">
        <v>148000</v>
      </c>
      <c r="F7985" s="48">
        <f t="shared" si="131"/>
        <v>149696</v>
      </c>
    </row>
    <row r="7986" spans="1:6" ht="37.5" x14ac:dyDescent="0.3">
      <c r="A7986" s="45">
        <v>44028</v>
      </c>
      <c r="B7986" s="5" t="s">
        <v>57</v>
      </c>
      <c r="C7986" s="92" t="s">
        <v>6277</v>
      </c>
      <c r="D7986" s="43">
        <v>23000</v>
      </c>
      <c r="E7986" s="43"/>
      <c r="F7986" s="48">
        <f t="shared" si="131"/>
        <v>126696</v>
      </c>
    </row>
    <row r="7987" spans="1:6" x14ac:dyDescent="0.3">
      <c r="A7987" s="45">
        <v>44028</v>
      </c>
      <c r="B7987" s="5" t="s">
        <v>0</v>
      </c>
      <c r="C7987" s="5" t="s">
        <v>6278</v>
      </c>
      <c r="D7987" s="43">
        <v>8500</v>
      </c>
      <c r="E7987" s="43"/>
      <c r="F7987" s="48">
        <f t="shared" si="131"/>
        <v>118196</v>
      </c>
    </row>
    <row r="7988" spans="1:6" x14ac:dyDescent="0.3">
      <c r="A7988" s="45">
        <v>44028</v>
      </c>
      <c r="B7988" s="5" t="s">
        <v>25</v>
      </c>
      <c r="C7988" s="5" t="s">
        <v>4276</v>
      </c>
      <c r="D7988" s="43">
        <v>2610</v>
      </c>
      <c r="E7988" s="43"/>
      <c r="F7988" s="48">
        <f t="shared" si="131"/>
        <v>115586</v>
      </c>
    </row>
    <row r="7989" spans="1:6" x14ac:dyDescent="0.3">
      <c r="A7989" s="45">
        <v>44028</v>
      </c>
      <c r="B7989" s="5" t="s">
        <v>25</v>
      </c>
      <c r="C7989" s="5" t="s">
        <v>6279</v>
      </c>
      <c r="D7989" s="43">
        <v>900</v>
      </c>
      <c r="E7989" s="43"/>
      <c r="F7989" s="48">
        <f t="shared" si="131"/>
        <v>114686</v>
      </c>
    </row>
    <row r="7990" spans="1:6" x14ac:dyDescent="0.3">
      <c r="A7990" s="45">
        <v>44029</v>
      </c>
      <c r="B7990" s="5" t="s">
        <v>1679</v>
      </c>
      <c r="C7990" s="5" t="s">
        <v>6289</v>
      </c>
      <c r="D7990" s="43">
        <v>10000</v>
      </c>
      <c r="E7990" s="43"/>
      <c r="F7990" s="48">
        <f t="shared" si="131"/>
        <v>104686</v>
      </c>
    </row>
    <row r="7991" spans="1:6" ht="37.5" x14ac:dyDescent="0.3">
      <c r="A7991" s="45">
        <v>44029</v>
      </c>
      <c r="B7991" s="5" t="s">
        <v>47</v>
      </c>
      <c r="C7991" s="92" t="s">
        <v>6290</v>
      </c>
      <c r="D7991" s="43">
        <v>4342</v>
      </c>
      <c r="E7991" s="43"/>
      <c r="F7991" s="48">
        <f t="shared" si="131"/>
        <v>100344</v>
      </c>
    </row>
    <row r="7992" spans="1:6" x14ac:dyDescent="0.3">
      <c r="A7992" s="45">
        <v>44032</v>
      </c>
      <c r="B7992" s="41" t="s">
        <v>3559</v>
      </c>
      <c r="C7992" s="41" t="s">
        <v>6235</v>
      </c>
      <c r="D7992" s="42">
        <f>35982+19975</f>
        <v>55957</v>
      </c>
      <c r="E7992" s="43"/>
      <c r="F7992" s="48">
        <f t="shared" si="131"/>
        <v>44387</v>
      </c>
    </row>
    <row r="7993" spans="1:6" x14ac:dyDescent="0.3">
      <c r="A7993" s="45">
        <v>44032</v>
      </c>
      <c r="B7993" s="41" t="s">
        <v>3559</v>
      </c>
      <c r="C7993" s="41" t="s">
        <v>6280</v>
      </c>
      <c r="D7993" s="42">
        <f>1330+3810</f>
        <v>5140</v>
      </c>
      <c r="E7993" s="43"/>
      <c r="F7993" s="48">
        <f t="shared" si="131"/>
        <v>39247</v>
      </c>
    </row>
    <row r="7994" spans="1:6" x14ac:dyDescent="0.3">
      <c r="A7994" s="45">
        <v>44032</v>
      </c>
      <c r="B7994" s="41" t="s">
        <v>25</v>
      </c>
      <c r="C7994" s="41" t="s">
        <v>6280</v>
      </c>
      <c r="D7994" s="42">
        <f>2410+1710</f>
        <v>4120</v>
      </c>
      <c r="E7994" s="43"/>
      <c r="F7994" s="48">
        <f t="shared" si="131"/>
        <v>35127</v>
      </c>
    </row>
    <row r="7995" spans="1:6" ht="37.5" x14ac:dyDescent="0.3">
      <c r="A7995" s="45">
        <v>44032</v>
      </c>
      <c r="B7995" s="5" t="s">
        <v>3559</v>
      </c>
      <c r="C7995" s="92" t="s">
        <v>6191</v>
      </c>
      <c r="D7995" s="43">
        <v>4200</v>
      </c>
      <c r="E7995" s="43"/>
      <c r="F7995" s="48">
        <f t="shared" si="131"/>
        <v>30927</v>
      </c>
    </row>
    <row r="7996" spans="1:6" x14ac:dyDescent="0.3">
      <c r="A7996" s="45">
        <v>44033</v>
      </c>
      <c r="B7996" s="223" t="s">
        <v>1512</v>
      </c>
      <c r="C7996" s="223" t="s">
        <v>6190</v>
      </c>
      <c r="D7996" s="224">
        <v>24000</v>
      </c>
      <c r="E7996" s="43"/>
      <c r="F7996" s="48">
        <f t="shared" si="131"/>
        <v>6927</v>
      </c>
    </row>
    <row r="7997" spans="1:6" x14ac:dyDescent="0.3">
      <c r="A7997" s="45">
        <v>44033</v>
      </c>
      <c r="B7997" s="5" t="s">
        <v>247</v>
      </c>
      <c r="C7997" s="5" t="s">
        <v>2013</v>
      </c>
      <c r="D7997" s="43">
        <v>60</v>
      </c>
      <c r="E7997" s="43"/>
      <c r="F7997" s="48">
        <f t="shared" si="131"/>
        <v>6867</v>
      </c>
    </row>
    <row r="7998" spans="1:6" x14ac:dyDescent="0.3">
      <c r="A7998" s="45">
        <v>44033</v>
      </c>
      <c r="B7998" s="5" t="s">
        <v>10</v>
      </c>
      <c r="C7998" s="92" t="s">
        <v>6286</v>
      </c>
      <c r="D7998" s="43">
        <v>2000</v>
      </c>
      <c r="E7998" s="43"/>
      <c r="F7998" s="48">
        <f t="shared" si="131"/>
        <v>4867</v>
      </c>
    </row>
    <row r="7999" spans="1:6" x14ac:dyDescent="0.3">
      <c r="A7999" s="45">
        <v>44033</v>
      </c>
      <c r="B7999" s="5" t="s">
        <v>25</v>
      </c>
      <c r="C7999" s="5" t="s">
        <v>6288</v>
      </c>
      <c r="D7999" s="43">
        <v>600</v>
      </c>
      <c r="E7999" s="43"/>
      <c r="F7999" s="48">
        <f t="shared" si="131"/>
        <v>4267</v>
      </c>
    </row>
    <row r="8000" spans="1:6" x14ac:dyDescent="0.3">
      <c r="A8000" s="45">
        <v>44033</v>
      </c>
      <c r="B8000" s="5" t="s">
        <v>25</v>
      </c>
      <c r="C8000" s="5" t="s">
        <v>4276</v>
      </c>
      <c r="D8000" s="43">
        <f>440+440+150+300+30+140+70+70+500+70+350</f>
        <v>2560</v>
      </c>
      <c r="E8000" s="43"/>
      <c r="F8000" s="48">
        <f t="shared" si="131"/>
        <v>1707</v>
      </c>
    </row>
    <row r="8001" spans="1:6" x14ac:dyDescent="0.3">
      <c r="A8001" s="45">
        <v>44033</v>
      </c>
      <c r="B8001" s="739" t="s">
        <v>6257</v>
      </c>
      <c r="C8001" s="739"/>
      <c r="D8001" s="739"/>
      <c r="E8001" s="43">
        <v>200000</v>
      </c>
      <c r="F8001" s="48">
        <f t="shared" si="131"/>
        <v>201707</v>
      </c>
    </row>
    <row r="8002" spans="1:6" x14ac:dyDescent="0.3">
      <c r="A8002" s="45">
        <v>44034</v>
      </c>
      <c r="B8002" s="41" t="s">
        <v>5930</v>
      </c>
      <c r="C8002" s="41" t="s">
        <v>6291</v>
      </c>
      <c r="D8002" s="42">
        <v>18200</v>
      </c>
      <c r="E8002" s="43"/>
      <c r="F8002" s="48">
        <f t="shared" si="131"/>
        <v>183507</v>
      </c>
    </row>
    <row r="8003" spans="1:6" x14ac:dyDescent="0.3">
      <c r="A8003" s="45">
        <v>44034</v>
      </c>
      <c r="B8003" s="41" t="s">
        <v>5930</v>
      </c>
      <c r="C8003" s="41" t="s">
        <v>6292</v>
      </c>
      <c r="D8003" s="42">
        <v>37584</v>
      </c>
      <c r="E8003" s="43"/>
      <c r="F8003" s="48">
        <f t="shared" si="131"/>
        <v>145923</v>
      </c>
    </row>
    <row r="8004" spans="1:6" x14ac:dyDescent="0.3">
      <c r="A8004" s="45">
        <v>44034</v>
      </c>
      <c r="B8004" s="41" t="s">
        <v>5930</v>
      </c>
      <c r="C8004" s="41" t="s">
        <v>6293</v>
      </c>
      <c r="D8004" s="42">
        <v>36460</v>
      </c>
      <c r="E8004" s="43"/>
      <c r="F8004" s="48">
        <f t="shared" si="131"/>
        <v>109463</v>
      </c>
    </row>
    <row r="8005" spans="1:6" x14ac:dyDescent="0.3">
      <c r="A8005" s="45">
        <v>44034</v>
      </c>
      <c r="B8005" s="5" t="s">
        <v>54</v>
      </c>
      <c r="C8005" s="5" t="s">
        <v>6294</v>
      </c>
      <c r="D8005" s="43">
        <v>13780</v>
      </c>
      <c r="E8005" s="43"/>
      <c r="F8005" s="48">
        <f t="shared" si="131"/>
        <v>95683</v>
      </c>
    </row>
    <row r="8006" spans="1:6" x14ac:dyDescent="0.3">
      <c r="A8006" s="45">
        <v>44034</v>
      </c>
      <c r="B8006" s="5" t="s">
        <v>247</v>
      </c>
      <c r="C8006" s="5" t="s">
        <v>2013</v>
      </c>
      <c r="D8006" s="43">
        <v>100</v>
      </c>
      <c r="E8006" s="43"/>
      <c r="F8006" s="48">
        <f t="shared" si="131"/>
        <v>95583</v>
      </c>
    </row>
    <row r="8007" spans="1:6" ht="93.75" x14ac:dyDescent="0.3">
      <c r="A8007" s="45">
        <v>44034</v>
      </c>
      <c r="B8007" s="44" t="s">
        <v>18</v>
      </c>
      <c r="C8007" s="92" t="s">
        <v>6297</v>
      </c>
      <c r="D8007" s="43">
        <v>5350</v>
      </c>
      <c r="E8007" s="43"/>
      <c r="F8007" s="48">
        <f t="shared" si="131"/>
        <v>90233</v>
      </c>
    </row>
    <row r="8008" spans="1:6" x14ac:dyDescent="0.3">
      <c r="A8008" s="45">
        <v>44034</v>
      </c>
      <c r="B8008" s="5" t="s">
        <v>25</v>
      </c>
      <c r="C8008" s="5" t="s">
        <v>5954</v>
      </c>
      <c r="D8008" s="43">
        <v>1000</v>
      </c>
      <c r="E8008" s="43"/>
      <c r="F8008" s="48">
        <f t="shared" si="131"/>
        <v>89233</v>
      </c>
    </row>
    <row r="8009" spans="1:6" x14ac:dyDescent="0.3">
      <c r="A8009" s="45">
        <v>44034</v>
      </c>
      <c r="B8009" s="5" t="s">
        <v>84</v>
      </c>
      <c r="C8009" s="5" t="s">
        <v>6295</v>
      </c>
      <c r="D8009" s="43">
        <v>5000</v>
      </c>
      <c r="E8009" s="43"/>
      <c r="F8009" s="48">
        <f t="shared" si="131"/>
        <v>84233</v>
      </c>
    </row>
    <row r="8010" spans="1:6" x14ac:dyDescent="0.3">
      <c r="A8010" s="45">
        <v>44034</v>
      </c>
      <c r="B8010" s="5" t="s">
        <v>0</v>
      </c>
      <c r="C8010" s="5" t="s">
        <v>6296</v>
      </c>
      <c r="D8010" s="43">
        <v>8000</v>
      </c>
      <c r="E8010" s="43"/>
      <c r="F8010" s="48">
        <f t="shared" si="131"/>
        <v>76233</v>
      </c>
    </row>
    <row r="8011" spans="1:6" x14ac:dyDescent="0.3">
      <c r="A8011" s="45">
        <v>44034</v>
      </c>
      <c r="B8011" s="5" t="s">
        <v>1787</v>
      </c>
      <c r="C8011" s="5" t="s">
        <v>6298</v>
      </c>
      <c r="D8011" s="43">
        <v>2350</v>
      </c>
      <c r="E8011" s="43"/>
      <c r="F8011" s="48">
        <f t="shared" si="131"/>
        <v>73883</v>
      </c>
    </row>
    <row r="8012" spans="1:6" x14ac:dyDescent="0.3">
      <c r="A8012" s="45">
        <v>44034</v>
      </c>
      <c r="B8012" s="5" t="s">
        <v>93</v>
      </c>
      <c r="C8012" s="5" t="s">
        <v>6299</v>
      </c>
      <c r="D8012" s="43">
        <v>3000</v>
      </c>
      <c r="E8012" s="43"/>
      <c r="F8012" s="48">
        <f t="shared" si="131"/>
        <v>70883</v>
      </c>
    </row>
    <row r="8013" spans="1:6" x14ac:dyDescent="0.3">
      <c r="A8013" s="45">
        <v>44035</v>
      </c>
      <c r="B8013" s="5" t="s">
        <v>25</v>
      </c>
      <c r="C8013" s="5" t="s">
        <v>5641</v>
      </c>
      <c r="D8013" s="43">
        <v>600</v>
      </c>
      <c r="E8013" s="43"/>
      <c r="F8013" s="48">
        <f t="shared" si="131"/>
        <v>70283</v>
      </c>
    </row>
    <row r="8014" spans="1:6" ht="37.5" x14ac:dyDescent="0.3">
      <c r="A8014" s="45">
        <v>44035</v>
      </c>
      <c r="B8014" s="5" t="s">
        <v>1837</v>
      </c>
      <c r="C8014" s="92" t="s">
        <v>6300</v>
      </c>
      <c r="D8014" s="43">
        <v>1000</v>
      </c>
      <c r="E8014" s="43"/>
      <c r="F8014" s="48">
        <f t="shared" si="131"/>
        <v>69283</v>
      </c>
    </row>
    <row r="8015" spans="1:6" x14ac:dyDescent="0.3">
      <c r="A8015" s="45">
        <v>44035</v>
      </c>
      <c r="B8015" s="5" t="s">
        <v>5896</v>
      </c>
      <c r="C8015" s="5" t="s">
        <v>5590</v>
      </c>
      <c r="D8015" s="43">
        <v>4000</v>
      </c>
      <c r="E8015" s="43"/>
      <c r="F8015" s="48">
        <f t="shared" si="131"/>
        <v>65283</v>
      </c>
    </row>
    <row r="8016" spans="1:6" x14ac:dyDescent="0.3">
      <c r="A8016" s="45">
        <v>44035</v>
      </c>
      <c r="B8016" s="5" t="s">
        <v>6302</v>
      </c>
      <c r="C8016" s="5" t="s">
        <v>6303</v>
      </c>
      <c r="D8016" s="43">
        <v>2000</v>
      </c>
      <c r="E8016" s="43"/>
      <c r="F8016" s="48">
        <f t="shared" si="131"/>
        <v>63283</v>
      </c>
    </row>
    <row r="8017" spans="1:6" x14ac:dyDescent="0.3">
      <c r="A8017" s="45">
        <v>44036</v>
      </c>
      <c r="B8017" s="5" t="s">
        <v>1970</v>
      </c>
      <c r="C8017" s="5" t="s">
        <v>6301</v>
      </c>
      <c r="D8017" s="43">
        <v>50000</v>
      </c>
      <c r="E8017" s="43"/>
      <c r="F8017" s="48">
        <f t="shared" si="131"/>
        <v>13283</v>
      </c>
    </row>
    <row r="8018" spans="1:6" x14ac:dyDescent="0.3">
      <c r="A8018" s="45">
        <v>44036</v>
      </c>
      <c r="B8018" s="5" t="s">
        <v>5162</v>
      </c>
      <c r="C8018" s="5" t="s">
        <v>5250</v>
      </c>
      <c r="D8018" s="43">
        <v>600</v>
      </c>
      <c r="E8018" s="43"/>
      <c r="F8018" s="48">
        <f t="shared" si="131"/>
        <v>12683</v>
      </c>
    </row>
    <row r="8019" spans="1:6" x14ac:dyDescent="0.3">
      <c r="A8019" s="45">
        <v>44037</v>
      </c>
      <c r="B8019" s="5" t="s">
        <v>25</v>
      </c>
      <c r="C8019" s="5" t="s">
        <v>4276</v>
      </c>
      <c r="D8019" s="43">
        <f>400+490+128+15+80+150+120+120+120+40+140+90+210+70+100</f>
        <v>2273</v>
      </c>
      <c r="E8019" s="43"/>
      <c r="F8019" s="48">
        <f t="shared" si="131"/>
        <v>10410</v>
      </c>
    </row>
    <row r="8020" spans="1:6" x14ac:dyDescent="0.3">
      <c r="A8020" s="45">
        <v>44039</v>
      </c>
      <c r="B8020" s="739" t="s">
        <v>6257</v>
      </c>
      <c r="C8020" s="739"/>
      <c r="D8020" s="739"/>
      <c r="E8020" s="43">
        <v>300000</v>
      </c>
      <c r="F8020" s="48">
        <f t="shared" si="131"/>
        <v>310410</v>
      </c>
    </row>
    <row r="8021" spans="1:6" x14ac:dyDescent="0.3">
      <c r="A8021" s="45">
        <v>44039</v>
      </c>
      <c r="B8021" s="5" t="s">
        <v>4550</v>
      </c>
      <c r="C8021" s="5" t="s">
        <v>294</v>
      </c>
      <c r="D8021" s="43">
        <v>15000</v>
      </c>
      <c r="E8021" s="43"/>
      <c r="F8021" s="48">
        <f t="shared" si="131"/>
        <v>295410</v>
      </c>
    </row>
    <row r="8022" spans="1:6" x14ac:dyDescent="0.3">
      <c r="A8022" s="45">
        <v>44039</v>
      </c>
      <c r="B8022" s="223" t="s">
        <v>1512</v>
      </c>
      <c r="C8022" s="223" t="s">
        <v>6311</v>
      </c>
      <c r="D8022" s="224">
        <v>36200</v>
      </c>
      <c r="E8022" s="43"/>
      <c r="F8022" s="48">
        <f t="shared" si="131"/>
        <v>259210</v>
      </c>
    </row>
    <row r="8023" spans="1:6" x14ac:dyDescent="0.3">
      <c r="A8023" s="45">
        <v>44039</v>
      </c>
      <c r="B8023" s="5" t="s">
        <v>84</v>
      </c>
      <c r="C8023" s="5" t="s">
        <v>6304</v>
      </c>
      <c r="D8023" s="43">
        <v>20000</v>
      </c>
      <c r="E8023" s="43"/>
      <c r="F8023" s="48">
        <f t="shared" si="131"/>
        <v>239210</v>
      </c>
    </row>
    <row r="8024" spans="1:6" x14ac:dyDescent="0.3">
      <c r="A8024" s="45">
        <v>44039</v>
      </c>
      <c r="B8024" s="41" t="s">
        <v>0</v>
      </c>
      <c r="C8024" s="41" t="s">
        <v>6305</v>
      </c>
      <c r="D8024" s="42">
        <v>22500</v>
      </c>
      <c r="E8024" s="43"/>
      <c r="F8024" s="48">
        <f t="shared" si="131"/>
        <v>216710</v>
      </c>
    </row>
    <row r="8025" spans="1:6" x14ac:dyDescent="0.3">
      <c r="A8025" s="45">
        <v>44039</v>
      </c>
      <c r="B8025" s="5" t="s">
        <v>6306</v>
      </c>
      <c r="C8025" s="5" t="s">
        <v>6307</v>
      </c>
      <c r="D8025" s="43">
        <v>3500</v>
      </c>
      <c r="E8025" s="43"/>
      <c r="F8025" s="48">
        <f t="shared" si="131"/>
        <v>213210</v>
      </c>
    </row>
    <row r="8026" spans="1:6" ht="37.5" x14ac:dyDescent="0.3">
      <c r="A8026" s="45">
        <v>44040</v>
      </c>
      <c r="B8026" s="5" t="s">
        <v>110</v>
      </c>
      <c r="C8026" s="92" t="s">
        <v>6308</v>
      </c>
      <c r="D8026" s="43">
        <v>77000</v>
      </c>
      <c r="E8026" s="43"/>
      <c r="F8026" s="48">
        <f t="shared" si="131"/>
        <v>136210</v>
      </c>
    </row>
    <row r="8027" spans="1:6" x14ac:dyDescent="0.3">
      <c r="A8027" s="45">
        <v>44040</v>
      </c>
      <c r="B8027" s="5" t="s">
        <v>6309</v>
      </c>
      <c r="C8027" s="5" t="s">
        <v>6310</v>
      </c>
      <c r="D8027" s="43">
        <v>10000</v>
      </c>
      <c r="E8027" s="43"/>
      <c r="F8027" s="48">
        <f t="shared" si="131"/>
        <v>126210</v>
      </c>
    </row>
    <row r="8028" spans="1:6" x14ac:dyDescent="0.3">
      <c r="A8028" s="45">
        <v>44041</v>
      </c>
      <c r="B8028" s="5" t="s">
        <v>4550</v>
      </c>
      <c r="C8028" s="5" t="s">
        <v>294</v>
      </c>
      <c r="D8028" s="43">
        <v>20000</v>
      </c>
      <c r="E8028" s="43"/>
      <c r="F8028" s="48">
        <f t="shared" si="131"/>
        <v>106210</v>
      </c>
    </row>
    <row r="8029" spans="1:6" ht="56.25" x14ac:dyDescent="0.3">
      <c r="A8029" s="45">
        <v>44041</v>
      </c>
      <c r="B8029" s="5" t="s">
        <v>14</v>
      </c>
      <c r="C8029" s="92" t="s">
        <v>6337</v>
      </c>
      <c r="D8029" s="43">
        <v>20120</v>
      </c>
      <c r="E8029" s="43"/>
      <c r="F8029" s="48">
        <f t="shared" si="131"/>
        <v>86090</v>
      </c>
    </row>
    <row r="8030" spans="1:6" x14ac:dyDescent="0.3">
      <c r="A8030" s="45">
        <v>44041</v>
      </c>
      <c r="B8030" s="5" t="s">
        <v>4915</v>
      </c>
      <c r="C8030" s="92" t="s">
        <v>6336</v>
      </c>
      <c r="D8030" s="43">
        <v>12000</v>
      </c>
      <c r="E8030" s="43"/>
      <c r="F8030" s="48">
        <f t="shared" si="131"/>
        <v>74090</v>
      </c>
    </row>
    <row r="8031" spans="1:6" x14ac:dyDescent="0.3">
      <c r="A8031" s="45">
        <v>44041</v>
      </c>
      <c r="B8031" s="5" t="s">
        <v>247</v>
      </c>
      <c r="C8031" s="5" t="s">
        <v>6312</v>
      </c>
      <c r="D8031" s="43">
        <v>50</v>
      </c>
      <c r="E8031" s="43"/>
      <c r="F8031" s="48">
        <f t="shared" si="131"/>
        <v>74040</v>
      </c>
    </row>
    <row r="8032" spans="1:6" x14ac:dyDescent="0.3">
      <c r="A8032" s="45">
        <v>44041</v>
      </c>
      <c r="B8032" s="5" t="s">
        <v>84</v>
      </c>
      <c r="C8032" s="5" t="s">
        <v>6313</v>
      </c>
      <c r="D8032" s="43">
        <v>10000</v>
      </c>
      <c r="E8032" s="43"/>
      <c r="F8032" s="48">
        <f t="shared" si="131"/>
        <v>64040</v>
      </c>
    </row>
    <row r="8033" spans="1:6" x14ac:dyDescent="0.3">
      <c r="A8033" s="45">
        <v>44041</v>
      </c>
      <c r="B8033" s="5" t="s">
        <v>541</v>
      </c>
      <c r="C8033" s="92" t="s">
        <v>6314</v>
      </c>
      <c r="D8033" s="43">
        <v>13500</v>
      </c>
      <c r="E8033" s="43"/>
      <c r="F8033" s="48">
        <f t="shared" ref="F8033:F8096" si="132">F8032+E8033-D8033</f>
        <v>50540</v>
      </c>
    </row>
    <row r="8034" spans="1:6" x14ac:dyDescent="0.3">
      <c r="A8034" s="45">
        <v>44041</v>
      </c>
      <c r="B8034" s="5" t="s">
        <v>18</v>
      </c>
      <c r="C8034" s="5" t="s">
        <v>6315</v>
      </c>
      <c r="D8034" s="43">
        <v>500</v>
      </c>
      <c r="E8034" s="43"/>
      <c r="F8034" s="48">
        <f t="shared" si="132"/>
        <v>50040</v>
      </c>
    </row>
    <row r="8035" spans="1:6" x14ac:dyDescent="0.3">
      <c r="A8035" s="45">
        <v>44041</v>
      </c>
      <c r="B8035" s="5" t="s">
        <v>25</v>
      </c>
      <c r="C8035" s="5" t="s">
        <v>6316</v>
      </c>
      <c r="D8035" s="43">
        <f>80+120+95+120+50+500</f>
        <v>965</v>
      </c>
      <c r="E8035" s="43"/>
      <c r="F8035" s="48">
        <f t="shared" si="132"/>
        <v>49075</v>
      </c>
    </row>
    <row r="8036" spans="1:6" x14ac:dyDescent="0.3">
      <c r="A8036" s="45">
        <v>44041</v>
      </c>
      <c r="B8036" s="5" t="s">
        <v>25</v>
      </c>
      <c r="C8036" s="5" t="s">
        <v>6318</v>
      </c>
      <c r="D8036" s="43">
        <v>250</v>
      </c>
      <c r="E8036" s="43"/>
      <c r="F8036" s="48">
        <f t="shared" si="132"/>
        <v>48825</v>
      </c>
    </row>
    <row r="8037" spans="1:6" x14ac:dyDescent="0.3">
      <c r="A8037" s="45">
        <v>44042</v>
      </c>
      <c r="B8037" s="739" t="s">
        <v>6257</v>
      </c>
      <c r="C8037" s="739"/>
      <c r="D8037" s="739"/>
      <c r="E8037" s="43">
        <v>300000</v>
      </c>
      <c r="F8037" s="48">
        <f t="shared" si="132"/>
        <v>348825</v>
      </c>
    </row>
    <row r="8038" spans="1:6" x14ac:dyDescent="0.3">
      <c r="A8038" s="45">
        <v>44042</v>
      </c>
      <c r="B8038" s="5" t="s">
        <v>1970</v>
      </c>
      <c r="C8038" s="5" t="s">
        <v>6317</v>
      </c>
      <c r="D8038" s="43">
        <v>50000</v>
      </c>
      <c r="E8038" s="43"/>
      <c r="F8038" s="48">
        <f t="shared" si="132"/>
        <v>298825</v>
      </c>
    </row>
    <row r="8039" spans="1:6" x14ac:dyDescent="0.3">
      <c r="A8039" s="45">
        <v>44042</v>
      </c>
      <c r="B8039" s="5" t="s">
        <v>2348</v>
      </c>
      <c r="C8039" s="5" t="s">
        <v>5519</v>
      </c>
      <c r="D8039" s="43">
        <v>50000</v>
      </c>
      <c r="E8039" s="43"/>
      <c r="F8039" s="48">
        <f t="shared" si="132"/>
        <v>248825</v>
      </c>
    </row>
    <row r="8040" spans="1:6" x14ac:dyDescent="0.3">
      <c r="A8040" s="45">
        <v>44042</v>
      </c>
      <c r="B8040" s="225" t="s">
        <v>1512</v>
      </c>
      <c r="C8040" s="225" t="s">
        <v>4409</v>
      </c>
      <c r="D8040" s="226">
        <v>15000</v>
      </c>
      <c r="E8040" s="43"/>
      <c r="F8040" s="48">
        <f t="shared" si="132"/>
        <v>233825</v>
      </c>
    </row>
    <row r="8041" spans="1:6" ht="37.5" x14ac:dyDescent="0.3">
      <c r="A8041" s="45">
        <v>44042</v>
      </c>
      <c r="B8041" s="225" t="s">
        <v>84</v>
      </c>
      <c r="C8041" s="227" t="s">
        <v>6319</v>
      </c>
      <c r="D8041" s="226">
        <v>15000</v>
      </c>
      <c r="E8041" s="43"/>
      <c r="F8041" s="48">
        <f t="shared" si="132"/>
        <v>218825</v>
      </c>
    </row>
    <row r="8042" spans="1:6" x14ac:dyDescent="0.3">
      <c r="A8042" s="45">
        <v>44042</v>
      </c>
      <c r="B8042" s="225" t="s">
        <v>84</v>
      </c>
      <c r="C8042" s="227" t="s">
        <v>6320</v>
      </c>
      <c r="D8042" s="226">
        <v>5000</v>
      </c>
      <c r="E8042" s="43"/>
      <c r="F8042" s="48">
        <f t="shared" si="132"/>
        <v>213825</v>
      </c>
    </row>
    <row r="8043" spans="1:6" x14ac:dyDescent="0.3">
      <c r="A8043" s="45">
        <v>44042</v>
      </c>
      <c r="B8043" s="225" t="s">
        <v>84</v>
      </c>
      <c r="C8043" s="227" t="s">
        <v>6321</v>
      </c>
      <c r="D8043" s="226">
        <v>5000</v>
      </c>
      <c r="E8043" s="43"/>
      <c r="F8043" s="48">
        <f t="shared" si="132"/>
        <v>208825</v>
      </c>
    </row>
    <row r="8044" spans="1:6" x14ac:dyDescent="0.3">
      <c r="A8044" s="45">
        <v>44042</v>
      </c>
      <c r="B8044" s="225" t="s">
        <v>84</v>
      </c>
      <c r="C8044" s="227" t="s">
        <v>6322</v>
      </c>
      <c r="D8044" s="226">
        <v>3000</v>
      </c>
      <c r="E8044" s="43"/>
      <c r="F8044" s="48">
        <f t="shared" si="132"/>
        <v>205825</v>
      </c>
    </row>
    <row r="8045" spans="1:6" x14ac:dyDescent="0.3">
      <c r="A8045" s="45">
        <v>44042</v>
      </c>
      <c r="B8045" s="5" t="s">
        <v>4935</v>
      </c>
      <c r="C8045" s="5" t="s">
        <v>6328</v>
      </c>
      <c r="D8045" s="43">
        <f>21400+9000</f>
        <v>30400</v>
      </c>
      <c r="E8045" s="43"/>
      <c r="F8045" s="48">
        <f t="shared" si="132"/>
        <v>175425</v>
      </c>
    </row>
    <row r="8046" spans="1:6" x14ac:dyDescent="0.3">
      <c r="A8046" s="45">
        <v>44042</v>
      </c>
      <c r="B8046" s="225" t="s">
        <v>84</v>
      </c>
      <c r="C8046" s="227" t="s">
        <v>6329</v>
      </c>
      <c r="D8046" s="226">
        <v>100000</v>
      </c>
      <c r="E8046" s="43"/>
      <c r="F8046" s="48">
        <f t="shared" si="132"/>
        <v>75425</v>
      </c>
    </row>
    <row r="8047" spans="1:6" x14ac:dyDescent="0.3">
      <c r="A8047" s="45">
        <v>44042</v>
      </c>
      <c r="B8047" s="5" t="s">
        <v>14</v>
      </c>
      <c r="C8047" s="5" t="s">
        <v>294</v>
      </c>
      <c r="D8047" s="43">
        <v>20000</v>
      </c>
      <c r="E8047" s="43"/>
      <c r="F8047" s="48">
        <f t="shared" si="132"/>
        <v>55425</v>
      </c>
    </row>
    <row r="8048" spans="1:6" x14ac:dyDescent="0.3">
      <c r="A8048" s="45">
        <v>44042</v>
      </c>
      <c r="B8048" s="5" t="s">
        <v>6324</v>
      </c>
      <c r="C8048" s="5" t="s">
        <v>6327</v>
      </c>
      <c r="D8048" s="43">
        <v>25000</v>
      </c>
      <c r="E8048" s="43"/>
      <c r="F8048" s="48">
        <f t="shared" si="132"/>
        <v>30425</v>
      </c>
    </row>
    <row r="8049" spans="1:6" x14ac:dyDescent="0.3">
      <c r="A8049" s="45">
        <v>44042</v>
      </c>
      <c r="B8049" s="225" t="s">
        <v>84</v>
      </c>
      <c r="C8049" s="227" t="s">
        <v>6325</v>
      </c>
      <c r="D8049" s="226">
        <v>3000</v>
      </c>
      <c r="E8049" s="43"/>
      <c r="F8049" s="48">
        <f t="shared" si="132"/>
        <v>27425</v>
      </c>
    </row>
    <row r="8050" spans="1:6" x14ac:dyDescent="0.3">
      <c r="A8050" s="45">
        <v>44042</v>
      </c>
      <c r="B8050" s="225" t="s">
        <v>84</v>
      </c>
      <c r="C8050" s="227" t="s">
        <v>6326</v>
      </c>
      <c r="D8050" s="226">
        <v>2000</v>
      </c>
      <c r="E8050" s="43"/>
      <c r="F8050" s="48">
        <f t="shared" si="132"/>
        <v>25425</v>
      </c>
    </row>
    <row r="8051" spans="1:6" x14ac:dyDescent="0.3">
      <c r="A8051" s="45">
        <v>44042</v>
      </c>
      <c r="B8051" s="44" t="s">
        <v>1837</v>
      </c>
      <c r="C8051" s="124" t="s">
        <v>2080</v>
      </c>
      <c r="D8051" s="28">
        <v>1000</v>
      </c>
      <c r="E8051" s="28"/>
      <c r="F8051" s="48">
        <f t="shared" si="132"/>
        <v>24425</v>
      </c>
    </row>
    <row r="8052" spans="1:6" x14ac:dyDescent="0.3">
      <c r="A8052" s="45">
        <v>44047</v>
      </c>
      <c r="B8052" s="5" t="s">
        <v>2570</v>
      </c>
      <c r="C8052" s="5" t="s">
        <v>6332</v>
      </c>
      <c r="D8052" s="43">
        <v>650</v>
      </c>
      <c r="E8052" s="43"/>
      <c r="F8052" s="48">
        <f t="shared" si="132"/>
        <v>23775</v>
      </c>
    </row>
    <row r="8053" spans="1:6" x14ac:dyDescent="0.3">
      <c r="A8053" s="45">
        <v>44047</v>
      </c>
      <c r="B8053" s="5" t="s">
        <v>25</v>
      </c>
      <c r="C8053" s="5" t="s">
        <v>6330</v>
      </c>
      <c r="D8053" s="43">
        <v>600</v>
      </c>
      <c r="E8053" s="43"/>
      <c r="F8053" s="48">
        <f t="shared" si="132"/>
        <v>23175</v>
      </c>
    </row>
    <row r="8054" spans="1:6" x14ac:dyDescent="0.3">
      <c r="A8054" s="45">
        <v>44047</v>
      </c>
      <c r="B8054" s="739" t="s">
        <v>6276</v>
      </c>
      <c r="C8054" s="739"/>
      <c r="D8054" s="739"/>
      <c r="E8054" s="43">
        <v>70000</v>
      </c>
      <c r="F8054" s="48">
        <f t="shared" si="132"/>
        <v>93175</v>
      </c>
    </row>
    <row r="8055" spans="1:6" x14ac:dyDescent="0.3">
      <c r="A8055" s="45">
        <v>44047</v>
      </c>
      <c r="B8055" s="5" t="s">
        <v>0</v>
      </c>
      <c r="C8055" s="5" t="s">
        <v>6331</v>
      </c>
      <c r="D8055" s="43">
        <v>5000</v>
      </c>
      <c r="E8055" s="43"/>
      <c r="F8055" s="48">
        <f t="shared" si="132"/>
        <v>88175</v>
      </c>
    </row>
    <row r="8056" spans="1:6" x14ac:dyDescent="0.3">
      <c r="A8056" s="45">
        <v>44047</v>
      </c>
      <c r="B8056" s="5" t="s">
        <v>25</v>
      </c>
      <c r="C8056" s="5" t="s">
        <v>6316</v>
      </c>
      <c r="D8056" s="43">
        <v>4900</v>
      </c>
      <c r="E8056" s="43"/>
      <c r="F8056" s="48">
        <f t="shared" si="132"/>
        <v>83275</v>
      </c>
    </row>
    <row r="8057" spans="1:6" x14ac:dyDescent="0.3">
      <c r="A8057" s="45">
        <v>44048</v>
      </c>
      <c r="B8057" s="5" t="s">
        <v>25</v>
      </c>
      <c r="C8057" s="5" t="s">
        <v>6333</v>
      </c>
      <c r="D8057" s="43">
        <v>350</v>
      </c>
      <c r="E8057" s="43"/>
      <c r="F8057" s="48">
        <f t="shared" si="132"/>
        <v>82925</v>
      </c>
    </row>
    <row r="8058" spans="1:6" x14ac:dyDescent="0.3">
      <c r="A8058" s="45">
        <v>44048</v>
      </c>
      <c r="B8058" s="5" t="s">
        <v>247</v>
      </c>
      <c r="C8058" s="5" t="s">
        <v>1624</v>
      </c>
      <c r="D8058" s="43">
        <v>50</v>
      </c>
      <c r="E8058" s="43"/>
      <c r="F8058" s="48">
        <f t="shared" si="132"/>
        <v>82875</v>
      </c>
    </row>
    <row r="8059" spans="1:6" x14ac:dyDescent="0.3">
      <c r="A8059" s="45">
        <v>44048</v>
      </c>
      <c r="B8059" s="5" t="s">
        <v>25</v>
      </c>
      <c r="C8059" s="5" t="s">
        <v>6334</v>
      </c>
      <c r="D8059" s="43">
        <v>2000</v>
      </c>
      <c r="E8059" s="43"/>
      <c r="F8059" s="48">
        <f t="shared" si="132"/>
        <v>80875</v>
      </c>
    </row>
    <row r="8060" spans="1:6" x14ac:dyDescent="0.3">
      <c r="A8060" s="45">
        <v>44048</v>
      </c>
      <c r="B8060" s="5" t="s">
        <v>1512</v>
      </c>
      <c r="C8060" s="5" t="s">
        <v>6344</v>
      </c>
      <c r="D8060" s="43">
        <v>6000</v>
      </c>
      <c r="E8060" s="43"/>
      <c r="F8060" s="48">
        <f t="shared" si="132"/>
        <v>74875</v>
      </c>
    </row>
    <row r="8061" spans="1:6" x14ac:dyDescent="0.3">
      <c r="A8061" s="45">
        <v>44048</v>
      </c>
      <c r="B8061" s="5" t="s">
        <v>6154</v>
      </c>
      <c r="C8061" s="5" t="s">
        <v>2013</v>
      </c>
      <c r="D8061" s="43">
        <v>100</v>
      </c>
      <c r="E8061" s="43"/>
      <c r="F8061" s="48">
        <f t="shared" si="132"/>
        <v>74775</v>
      </c>
    </row>
    <row r="8062" spans="1:6" x14ac:dyDescent="0.3">
      <c r="A8062" s="45">
        <v>44048</v>
      </c>
      <c r="B8062" s="5" t="s">
        <v>64</v>
      </c>
      <c r="C8062" s="5" t="s">
        <v>6335</v>
      </c>
      <c r="D8062" s="43">
        <v>1200</v>
      </c>
      <c r="E8062" s="43"/>
      <c r="F8062" s="48">
        <f t="shared" si="132"/>
        <v>73575</v>
      </c>
    </row>
    <row r="8063" spans="1:6" x14ac:dyDescent="0.3">
      <c r="A8063" s="45">
        <v>44049</v>
      </c>
      <c r="B8063" s="5" t="s">
        <v>0</v>
      </c>
      <c r="C8063" s="5" t="s">
        <v>5716</v>
      </c>
      <c r="D8063" s="43">
        <v>10000</v>
      </c>
      <c r="E8063" s="43"/>
      <c r="F8063" s="48">
        <f t="shared" si="132"/>
        <v>63575</v>
      </c>
    </row>
    <row r="8064" spans="1:6" x14ac:dyDescent="0.3">
      <c r="A8064" s="45">
        <v>44049</v>
      </c>
      <c r="B8064" s="5" t="s">
        <v>18</v>
      </c>
      <c r="C8064" s="5" t="s">
        <v>6338</v>
      </c>
      <c r="D8064" s="43">
        <v>5000</v>
      </c>
      <c r="E8064" s="43"/>
      <c r="F8064" s="48">
        <f t="shared" si="132"/>
        <v>58575</v>
      </c>
    </row>
    <row r="8065" spans="1:6" x14ac:dyDescent="0.3">
      <c r="A8065" s="45">
        <v>44049</v>
      </c>
      <c r="B8065" s="5" t="s">
        <v>14</v>
      </c>
      <c r="C8065" s="5" t="s">
        <v>640</v>
      </c>
      <c r="D8065" s="43">
        <v>1000</v>
      </c>
      <c r="E8065" s="43"/>
      <c r="F8065" s="48">
        <f t="shared" si="132"/>
        <v>57575</v>
      </c>
    </row>
    <row r="8066" spans="1:6" x14ac:dyDescent="0.3">
      <c r="A8066" s="45">
        <v>44053</v>
      </c>
      <c r="B8066" s="5" t="s">
        <v>4550</v>
      </c>
      <c r="C8066" s="92" t="s">
        <v>6345</v>
      </c>
      <c r="D8066" s="43">
        <v>25000</v>
      </c>
      <c r="E8066" s="43"/>
      <c r="F8066" s="48">
        <f t="shared" si="132"/>
        <v>32575</v>
      </c>
    </row>
    <row r="8067" spans="1:6" x14ac:dyDescent="0.3">
      <c r="A8067" s="45">
        <v>44053</v>
      </c>
      <c r="B8067" s="5" t="s">
        <v>4869</v>
      </c>
      <c r="C8067" s="5" t="s">
        <v>40</v>
      </c>
      <c r="D8067" s="43">
        <v>4000</v>
      </c>
      <c r="E8067" s="43"/>
      <c r="F8067" s="48">
        <f t="shared" si="132"/>
        <v>28575</v>
      </c>
    </row>
    <row r="8068" spans="1:6" x14ac:dyDescent="0.3">
      <c r="A8068" s="45">
        <v>44053</v>
      </c>
      <c r="B8068" s="739" t="s">
        <v>6339</v>
      </c>
      <c r="C8068" s="739"/>
      <c r="D8068" s="739"/>
      <c r="E8068" s="43">
        <v>288750</v>
      </c>
      <c r="F8068" s="48">
        <f t="shared" si="132"/>
        <v>317325</v>
      </c>
    </row>
    <row r="8069" spans="1:6" x14ac:dyDescent="0.3">
      <c r="A8069" s="45">
        <v>44053</v>
      </c>
      <c r="B8069" s="739" t="s">
        <v>6340</v>
      </c>
      <c r="C8069" s="739"/>
      <c r="D8069" s="739"/>
      <c r="E8069" s="43">
        <v>130745</v>
      </c>
      <c r="F8069" s="48">
        <f t="shared" si="132"/>
        <v>448070</v>
      </c>
    </row>
    <row r="8070" spans="1:6" x14ac:dyDescent="0.3">
      <c r="A8070" s="45">
        <v>44054</v>
      </c>
      <c r="B8070" s="4" t="s">
        <v>14</v>
      </c>
      <c r="C8070" s="4" t="s">
        <v>6347</v>
      </c>
      <c r="D8070" s="52">
        <v>70000</v>
      </c>
      <c r="F8070" s="48">
        <f t="shared" si="132"/>
        <v>378070</v>
      </c>
    </row>
    <row r="8071" spans="1:6" x14ac:dyDescent="0.3">
      <c r="A8071" s="45">
        <v>44054</v>
      </c>
      <c r="B8071" s="41" t="s">
        <v>6341</v>
      </c>
      <c r="C8071" s="41" t="s">
        <v>294</v>
      </c>
      <c r="D8071" s="42">
        <v>15000</v>
      </c>
      <c r="E8071" s="43"/>
      <c r="F8071" s="48">
        <f t="shared" si="132"/>
        <v>363070</v>
      </c>
    </row>
    <row r="8072" spans="1:6" x14ac:dyDescent="0.3">
      <c r="A8072" s="45">
        <v>44054</v>
      </c>
      <c r="B8072" s="5" t="s">
        <v>25</v>
      </c>
      <c r="C8072" s="5" t="s">
        <v>6342</v>
      </c>
      <c r="D8072" s="43">
        <v>1500</v>
      </c>
      <c r="E8072" s="43"/>
      <c r="F8072" s="48">
        <f t="shared" si="132"/>
        <v>361570</v>
      </c>
    </row>
    <row r="8073" spans="1:6" x14ac:dyDescent="0.3">
      <c r="A8073" s="45">
        <v>44054</v>
      </c>
      <c r="B8073" s="41" t="s">
        <v>6341</v>
      </c>
      <c r="C8073" s="41" t="s">
        <v>6343</v>
      </c>
      <c r="D8073" s="42">
        <v>3000</v>
      </c>
      <c r="E8073" s="43"/>
      <c r="F8073" s="48">
        <f t="shared" si="132"/>
        <v>358570</v>
      </c>
    </row>
    <row r="8074" spans="1:6" x14ac:dyDescent="0.3">
      <c r="A8074" s="45">
        <v>44055</v>
      </c>
      <c r="B8074" s="739" t="s">
        <v>6257</v>
      </c>
      <c r="C8074" s="739"/>
      <c r="D8074" s="739"/>
      <c r="E8074" s="43">
        <v>400000</v>
      </c>
      <c r="F8074" s="48">
        <f t="shared" si="132"/>
        <v>758570</v>
      </c>
    </row>
    <row r="8075" spans="1:6" x14ac:dyDescent="0.3">
      <c r="A8075" s="45">
        <v>44055</v>
      </c>
      <c r="B8075" s="223" t="s">
        <v>54</v>
      </c>
      <c r="C8075" s="223" t="s">
        <v>14</v>
      </c>
      <c r="D8075" s="224">
        <v>50000</v>
      </c>
      <c r="E8075" s="43"/>
      <c r="F8075" s="48">
        <f t="shared" si="132"/>
        <v>708570</v>
      </c>
    </row>
    <row r="8076" spans="1:6" x14ac:dyDescent="0.3">
      <c r="A8076" s="45">
        <v>44055</v>
      </c>
      <c r="B8076" s="223" t="s">
        <v>54</v>
      </c>
      <c r="C8076" s="223" t="s">
        <v>25</v>
      </c>
      <c r="D8076" s="224">
        <v>66000</v>
      </c>
      <c r="E8076" s="43"/>
      <c r="F8076" s="48">
        <f t="shared" si="132"/>
        <v>642570</v>
      </c>
    </row>
    <row r="8077" spans="1:6" x14ac:dyDescent="0.3">
      <c r="A8077" s="45">
        <v>44055</v>
      </c>
      <c r="B8077" s="223" t="s">
        <v>54</v>
      </c>
      <c r="C8077" s="223" t="s">
        <v>5931</v>
      </c>
      <c r="D8077" s="224">
        <v>32250</v>
      </c>
      <c r="E8077" s="43"/>
      <c r="F8077" s="48">
        <f t="shared" si="132"/>
        <v>610320</v>
      </c>
    </row>
    <row r="8078" spans="1:6" x14ac:dyDescent="0.3">
      <c r="A8078" s="45">
        <v>44055</v>
      </c>
      <c r="B8078" s="223" t="s">
        <v>54</v>
      </c>
      <c r="C8078" s="223" t="s">
        <v>5074</v>
      </c>
      <c r="D8078" s="224">
        <v>30919.354838709678</v>
      </c>
      <c r="E8078" s="43"/>
      <c r="F8078" s="48">
        <f t="shared" si="132"/>
        <v>579400.6451612903</v>
      </c>
    </row>
    <row r="8079" spans="1:6" x14ac:dyDescent="0.3">
      <c r="A8079" s="45">
        <v>44055</v>
      </c>
      <c r="B8079" s="223" t="s">
        <v>54</v>
      </c>
      <c r="C8079" s="223" t="s">
        <v>6237</v>
      </c>
      <c r="D8079" s="224">
        <v>169629</v>
      </c>
      <c r="E8079" s="43"/>
      <c r="F8079" s="48">
        <f t="shared" si="132"/>
        <v>409771.6451612903</v>
      </c>
    </row>
    <row r="8080" spans="1:6" x14ac:dyDescent="0.3">
      <c r="A8080" s="45">
        <v>44055</v>
      </c>
      <c r="B8080" s="223" t="s">
        <v>54</v>
      </c>
      <c r="C8080" s="223" t="s">
        <v>5199</v>
      </c>
      <c r="D8080" s="224">
        <v>105737.90322580645</v>
      </c>
      <c r="E8080" s="43"/>
      <c r="F8080" s="48">
        <f t="shared" si="132"/>
        <v>304033.74193548388</v>
      </c>
    </row>
    <row r="8081" spans="1:6" x14ac:dyDescent="0.3">
      <c r="A8081" s="45">
        <v>44055</v>
      </c>
      <c r="B8081" s="223" t="s">
        <v>54</v>
      </c>
      <c r="C8081" s="223" t="s">
        <v>5933</v>
      </c>
      <c r="D8081" s="224">
        <v>92983.870967741939</v>
      </c>
      <c r="E8081" s="43"/>
      <c r="F8081" s="48">
        <f t="shared" si="132"/>
        <v>211049.87096774194</v>
      </c>
    </row>
    <row r="8082" spans="1:6" x14ac:dyDescent="0.3">
      <c r="A8082" s="45">
        <v>44055</v>
      </c>
      <c r="B8082" s="223" t="s">
        <v>54</v>
      </c>
      <c r="C8082" s="223" t="s">
        <v>2948</v>
      </c>
      <c r="D8082" s="224">
        <v>31726</v>
      </c>
      <c r="E8082" s="43"/>
      <c r="F8082" s="48">
        <f t="shared" si="132"/>
        <v>179323.87096774194</v>
      </c>
    </row>
    <row r="8083" spans="1:6" x14ac:dyDescent="0.3">
      <c r="A8083" s="45">
        <v>44055</v>
      </c>
      <c r="B8083" s="223" t="s">
        <v>54</v>
      </c>
      <c r="C8083" s="223" t="s">
        <v>6346</v>
      </c>
      <c r="D8083" s="224">
        <f>138115-50000</f>
        <v>88115</v>
      </c>
      <c r="E8083" s="43"/>
      <c r="F8083" s="48">
        <f t="shared" si="132"/>
        <v>91208.870967741939</v>
      </c>
    </row>
    <row r="8084" spans="1:6" x14ac:dyDescent="0.3">
      <c r="A8084" s="45">
        <v>44055</v>
      </c>
      <c r="B8084" s="5" t="s">
        <v>14</v>
      </c>
      <c r="C8084" s="5" t="s">
        <v>6347</v>
      </c>
      <c r="D8084" s="43">
        <v>50000</v>
      </c>
      <c r="E8084" s="43"/>
      <c r="F8084" s="48">
        <f t="shared" si="132"/>
        <v>41208.870967741939</v>
      </c>
    </row>
    <row r="8085" spans="1:6" x14ac:dyDescent="0.3">
      <c r="A8085" s="45">
        <v>44055</v>
      </c>
      <c r="B8085" s="5" t="s">
        <v>10</v>
      </c>
      <c r="C8085" s="5" t="s">
        <v>6348</v>
      </c>
      <c r="D8085" s="43">
        <v>2000</v>
      </c>
      <c r="E8085" s="43"/>
      <c r="F8085" s="48">
        <f t="shared" si="132"/>
        <v>39208.870967741939</v>
      </c>
    </row>
    <row r="8086" spans="1:6" x14ac:dyDescent="0.3">
      <c r="A8086" s="45">
        <v>44055</v>
      </c>
      <c r="B8086" s="5" t="s">
        <v>25</v>
      </c>
      <c r="C8086" s="5" t="s">
        <v>6349</v>
      </c>
      <c r="D8086" s="43">
        <v>430</v>
      </c>
      <c r="E8086" s="43"/>
      <c r="F8086" s="48">
        <f t="shared" si="132"/>
        <v>38778.870967741939</v>
      </c>
    </row>
    <row r="8087" spans="1:6" x14ac:dyDescent="0.3">
      <c r="A8087" s="45">
        <v>44055</v>
      </c>
      <c r="B8087" s="5" t="s">
        <v>25</v>
      </c>
      <c r="C8087" s="5" t="s">
        <v>2025</v>
      </c>
      <c r="D8087" s="43">
        <v>70</v>
      </c>
      <c r="E8087" s="43"/>
      <c r="F8087" s="48">
        <f t="shared" si="132"/>
        <v>38708.870967741939</v>
      </c>
    </row>
    <row r="8088" spans="1:6" x14ac:dyDescent="0.3">
      <c r="A8088" s="45">
        <v>44055</v>
      </c>
      <c r="B8088" s="5" t="s">
        <v>47</v>
      </c>
      <c r="C8088" s="5" t="s">
        <v>6350</v>
      </c>
      <c r="D8088" s="43">
        <v>5000</v>
      </c>
      <c r="E8088" s="43"/>
      <c r="F8088" s="48">
        <f t="shared" si="132"/>
        <v>33708.870967741939</v>
      </c>
    </row>
    <row r="8089" spans="1:6" x14ac:dyDescent="0.3">
      <c r="A8089" s="45">
        <v>44055</v>
      </c>
      <c r="B8089" s="5" t="s">
        <v>25</v>
      </c>
      <c r="C8089" s="5" t="s">
        <v>6351</v>
      </c>
      <c r="D8089" s="43">
        <v>2000</v>
      </c>
      <c r="E8089" s="43"/>
      <c r="F8089" s="48">
        <f t="shared" si="132"/>
        <v>31708.870967741939</v>
      </c>
    </row>
    <row r="8090" spans="1:6" x14ac:dyDescent="0.3">
      <c r="A8090" s="45">
        <v>44058</v>
      </c>
      <c r="B8090" s="5" t="s">
        <v>6352</v>
      </c>
      <c r="C8090" s="5" t="s">
        <v>6353</v>
      </c>
      <c r="D8090" s="43">
        <v>5000</v>
      </c>
      <c r="E8090" s="43"/>
      <c r="F8090" s="48">
        <f t="shared" si="132"/>
        <v>26708.870967741939</v>
      </c>
    </row>
    <row r="8091" spans="1:6" x14ac:dyDescent="0.3">
      <c r="A8091" s="45">
        <v>44058</v>
      </c>
      <c r="B8091" s="5" t="s">
        <v>4550</v>
      </c>
      <c r="C8091" s="5" t="s">
        <v>6354</v>
      </c>
      <c r="D8091" s="43">
        <v>5000</v>
      </c>
      <c r="E8091" s="43"/>
      <c r="F8091" s="48">
        <f t="shared" si="132"/>
        <v>21708.870967741939</v>
      </c>
    </row>
    <row r="8092" spans="1:6" x14ac:dyDescent="0.3">
      <c r="A8092" s="45">
        <v>44058</v>
      </c>
      <c r="B8092" s="5" t="s">
        <v>5162</v>
      </c>
      <c r="C8092" s="5" t="s">
        <v>4376</v>
      </c>
      <c r="D8092" s="43">
        <v>600</v>
      </c>
      <c r="E8092" s="43"/>
      <c r="F8092" s="48">
        <f t="shared" si="132"/>
        <v>21108.870967741939</v>
      </c>
    </row>
    <row r="8093" spans="1:6" x14ac:dyDescent="0.3">
      <c r="A8093" s="45">
        <v>44060</v>
      </c>
      <c r="B8093" s="5" t="s">
        <v>6355</v>
      </c>
      <c r="C8093" s="41" t="s">
        <v>3172</v>
      </c>
      <c r="D8093" s="42">
        <v>1000</v>
      </c>
      <c r="E8093" s="43"/>
      <c r="F8093" s="48">
        <f t="shared" si="132"/>
        <v>20108.870967741939</v>
      </c>
    </row>
    <row r="8094" spans="1:6" x14ac:dyDescent="0.3">
      <c r="A8094" s="45">
        <v>44060</v>
      </c>
      <c r="B8094" s="5" t="s">
        <v>5930</v>
      </c>
      <c r="C8094" s="5" t="s">
        <v>40</v>
      </c>
      <c r="D8094" s="43">
        <v>5200</v>
      </c>
      <c r="E8094" s="43"/>
      <c r="F8094" s="48">
        <f t="shared" si="132"/>
        <v>14908.870967741939</v>
      </c>
    </row>
    <row r="8095" spans="1:6" x14ac:dyDescent="0.3">
      <c r="A8095" s="45">
        <v>44060</v>
      </c>
      <c r="B8095" s="5" t="s">
        <v>1074</v>
      </c>
      <c r="C8095" s="5" t="s">
        <v>6356</v>
      </c>
      <c r="D8095" s="43">
        <f>1790+910</f>
        <v>2700</v>
      </c>
      <c r="E8095" s="43"/>
      <c r="F8095" s="48">
        <f t="shared" si="132"/>
        <v>12208.870967741939</v>
      </c>
    </row>
    <row r="8096" spans="1:6" x14ac:dyDescent="0.3">
      <c r="A8096" s="45">
        <v>44060</v>
      </c>
      <c r="B8096" s="5" t="s">
        <v>1074</v>
      </c>
      <c r="C8096" s="5" t="s">
        <v>6065</v>
      </c>
      <c r="D8096" s="43">
        <f>3890+1320</f>
        <v>5210</v>
      </c>
      <c r="E8096" s="43"/>
      <c r="F8096" s="48">
        <f t="shared" si="132"/>
        <v>6998.8709677419392</v>
      </c>
    </row>
    <row r="8097" spans="1:6" x14ac:dyDescent="0.3">
      <c r="A8097" s="45">
        <v>44060</v>
      </c>
      <c r="B8097" s="739" t="s">
        <v>6357</v>
      </c>
      <c r="C8097" s="739"/>
      <c r="D8097" s="739"/>
      <c r="E8097" s="43">
        <v>300000</v>
      </c>
      <c r="F8097" s="48">
        <f t="shared" ref="F8097:F8160" si="133">F8096+E8097-D8097</f>
        <v>306998.87096774194</v>
      </c>
    </row>
    <row r="8098" spans="1:6" x14ac:dyDescent="0.3">
      <c r="A8098" s="45">
        <v>44060</v>
      </c>
      <c r="B8098" s="5" t="s">
        <v>110</v>
      </c>
      <c r="C8098" s="5" t="s">
        <v>6358</v>
      </c>
      <c r="D8098" s="43">
        <v>23150</v>
      </c>
      <c r="E8098" s="43"/>
      <c r="F8098" s="48">
        <f t="shared" si="133"/>
        <v>283848.87096774194</v>
      </c>
    </row>
    <row r="8099" spans="1:6" ht="37.5" x14ac:dyDescent="0.3">
      <c r="A8099" s="45">
        <v>44060</v>
      </c>
      <c r="B8099" s="5" t="s">
        <v>541</v>
      </c>
      <c r="C8099" s="92" t="s">
        <v>6367</v>
      </c>
      <c r="D8099" s="43">
        <v>25000</v>
      </c>
      <c r="E8099" s="43"/>
      <c r="F8099" s="48">
        <f t="shared" si="133"/>
        <v>258848.87096774194</v>
      </c>
    </row>
    <row r="8100" spans="1:6" x14ac:dyDescent="0.3">
      <c r="A8100" s="45">
        <v>44060</v>
      </c>
      <c r="B8100" s="5" t="s">
        <v>25</v>
      </c>
      <c r="C8100" s="5" t="s">
        <v>6359</v>
      </c>
      <c r="D8100" s="43">
        <v>5140</v>
      </c>
      <c r="E8100" s="43"/>
      <c r="F8100" s="48">
        <f t="shared" si="133"/>
        <v>253708.87096774194</v>
      </c>
    </row>
    <row r="8101" spans="1:6" x14ac:dyDescent="0.3">
      <c r="A8101" s="45">
        <v>44061</v>
      </c>
      <c r="B8101" s="5" t="s">
        <v>6355</v>
      </c>
      <c r="C8101" s="5" t="s">
        <v>6360</v>
      </c>
      <c r="D8101" s="43">
        <v>500</v>
      </c>
      <c r="E8101" s="43"/>
      <c r="F8101" s="48">
        <f t="shared" si="133"/>
        <v>253208.87096774194</v>
      </c>
    </row>
    <row r="8102" spans="1:6" x14ac:dyDescent="0.3">
      <c r="A8102" s="45">
        <v>44061</v>
      </c>
      <c r="B8102" s="5" t="s">
        <v>25</v>
      </c>
      <c r="C8102" s="5" t="s">
        <v>6361</v>
      </c>
      <c r="D8102" s="43">
        <f>170+100+20+20+150+160+80+50+50+80+150+80+330+270+140+160+40+100+80+30+100+100+150</f>
        <v>2610</v>
      </c>
      <c r="E8102" s="43"/>
      <c r="F8102" s="48">
        <f t="shared" si="133"/>
        <v>250598.87096774194</v>
      </c>
    </row>
    <row r="8103" spans="1:6" x14ac:dyDescent="0.3">
      <c r="A8103" s="45">
        <v>44061</v>
      </c>
      <c r="B8103" s="5" t="s">
        <v>25</v>
      </c>
      <c r="C8103" s="5" t="s">
        <v>6362</v>
      </c>
      <c r="D8103" s="43">
        <v>5000</v>
      </c>
      <c r="E8103" s="43"/>
      <c r="F8103" s="48">
        <f t="shared" si="133"/>
        <v>245598.87096774194</v>
      </c>
    </row>
    <row r="8104" spans="1:6" x14ac:dyDescent="0.3">
      <c r="A8104" s="45">
        <v>44061</v>
      </c>
      <c r="B8104" s="5" t="s">
        <v>14</v>
      </c>
      <c r="C8104" s="5" t="s">
        <v>294</v>
      </c>
      <c r="D8104" s="43">
        <v>100000</v>
      </c>
      <c r="E8104" s="43"/>
      <c r="F8104" s="48">
        <f t="shared" si="133"/>
        <v>145598.87096774194</v>
      </c>
    </row>
    <row r="8105" spans="1:6" x14ac:dyDescent="0.3">
      <c r="A8105" s="45">
        <v>44061</v>
      </c>
      <c r="B8105" s="5" t="s">
        <v>247</v>
      </c>
      <c r="C8105" s="5" t="s">
        <v>6363</v>
      </c>
      <c r="D8105" s="43">
        <v>2700</v>
      </c>
      <c r="E8105" s="43"/>
      <c r="F8105" s="48">
        <f t="shared" si="133"/>
        <v>142898.87096774194</v>
      </c>
    </row>
    <row r="8106" spans="1:6" x14ac:dyDescent="0.3">
      <c r="A8106" s="45">
        <v>44061</v>
      </c>
      <c r="B8106" s="5" t="s">
        <v>247</v>
      </c>
      <c r="C8106" s="5" t="s">
        <v>6364</v>
      </c>
      <c r="D8106" s="43">
        <v>600</v>
      </c>
      <c r="E8106" s="43"/>
      <c r="F8106" s="48">
        <f t="shared" si="133"/>
        <v>142298.87096774194</v>
      </c>
    </row>
    <row r="8107" spans="1:6" x14ac:dyDescent="0.3">
      <c r="A8107" s="45">
        <v>44061</v>
      </c>
      <c r="B8107" s="5" t="s">
        <v>247</v>
      </c>
      <c r="C8107" s="5" t="s">
        <v>6364</v>
      </c>
      <c r="D8107" s="43">
        <v>650</v>
      </c>
      <c r="E8107" s="43"/>
      <c r="F8107" s="48">
        <f t="shared" si="133"/>
        <v>141648.87096774194</v>
      </c>
    </row>
    <row r="8108" spans="1:6" x14ac:dyDescent="0.3">
      <c r="A8108" s="45">
        <v>44061</v>
      </c>
      <c r="B8108" s="5" t="s">
        <v>247</v>
      </c>
      <c r="C8108" s="5" t="s">
        <v>6364</v>
      </c>
      <c r="D8108" s="43">
        <v>200</v>
      </c>
      <c r="E8108" s="43"/>
      <c r="F8108" s="48">
        <f t="shared" si="133"/>
        <v>141448.87096774194</v>
      </c>
    </row>
    <row r="8109" spans="1:6" x14ac:dyDescent="0.3">
      <c r="A8109" s="45">
        <v>44061</v>
      </c>
      <c r="B8109" s="5" t="s">
        <v>247</v>
      </c>
      <c r="C8109" s="5" t="s">
        <v>6363</v>
      </c>
      <c r="D8109" s="43">
        <v>150</v>
      </c>
      <c r="E8109" s="43"/>
      <c r="F8109" s="48">
        <f t="shared" si="133"/>
        <v>141298.87096774194</v>
      </c>
    </row>
    <row r="8110" spans="1:6" x14ac:dyDescent="0.3">
      <c r="A8110" s="45">
        <v>44061</v>
      </c>
      <c r="B8110" s="223" t="s">
        <v>54</v>
      </c>
      <c r="C8110" s="223" t="s">
        <v>6199</v>
      </c>
      <c r="D8110" s="224">
        <v>30000</v>
      </c>
      <c r="E8110" s="43"/>
      <c r="F8110" s="48">
        <f t="shared" si="133"/>
        <v>111298.87096774194</v>
      </c>
    </row>
    <row r="8111" spans="1:6" x14ac:dyDescent="0.3">
      <c r="A8111" s="45">
        <v>44061</v>
      </c>
      <c r="B8111" s="223" t="s">
        <v>54</v>
      </c>
      <c r="C8111" s="223" t="s">
        <v>6190</v>
      </c>
      <c r="D8111" s="224">
        <v>30000</v>
      </c>
      <c r="E8111" s="43"/>
      <c r="F8111" s="48">
        <f t="shared" si="133"/>
        <v>81298.870967741939</v>
      </c>
    </row>
    <row r="8112" spans="1:6" x14ac:dyDescent="0.3">
      <c r="A8112" s="45">
        <v>44061</v>
      </c>
      <c r="B8112" s="223" t="s">
        <v>54</v>
      </c>
      <c r="C8112" s="223" t="s">
        <v>6265</v>
      </c>
      <c r="D8112" s="224">
        <v>26500</v>
      </c>
      <c r="E8112" s="43"/>
      <c r="F8112" s="48">
        <f t="shared" si="133"/>
        <v>54798.870967741939</v>
      </c>
    </row>
    <row r="8113" spans="1:6" x14ac:dyDescent="0.3">
      <c r="A8113" s="45">
        <v>44061</v>
      </c>
      <c r="B8113" s="223" t="s">
        <v>54</v>
      </c>
      <c r="C8113" s="223" t="s">
        <v>6266</v>
      </c>
      <c r="D8113" s="224">
        <v>13550</v>
      </c>
      <c r="E8113" s="43"/>
      <c r="F8113" s="48">
        <f t="shared" si="133"/>
        <v>41248.870967741939</v>
      </c>
    </row>
    <row r="8114" spans="1:6" x14ac:dyDescent="0.3">
      <c r="A8114" s="45">
        <v>44061</v>
      </c>
      <c r="B8114" s="223" t="s">
        <v>54</v>
      </c>
      <c r="C8114" s="5" t="s">
        <v>6366</v>
      </c>
      <c r="D8114" s="43">
        <v>500</v>
      </c>
      <c r="E8114" s="43"/>
      <c r="F8114" s="48">
        <f t="shared" si="133"/>
        <v>40748.870967741939</v>
      </c>
    </row>
    <row r="8115" spans="1:6" x14ac:dyDescent="0.3">
      <c r="A8115" s="45">
        <v>44061</v>
      </c>
      <c r="B8115" s="5" t="s">
        <v>2674</v>
      </c>
      <c r="C8115" s="5" t="s">
        <v>294</v>
      </c>
      <c r="D8115" s="43">
        <v>2000</v>
      </c>
      <c r="E8115" s="43"/>
      <c r="F8115" s="48">
        <f t="shared" si="133"/>
        <v>38748.870967741939</v>
      </c>
    </row>
    <row r="8116" spans="1:6" x14ac:dyDescent="0.3">
      <c r="A8116" s="45">
        <v>44063</v>
      </c>
      <c r="B8116" s="5" t="s">
        <v>84</v>
      </c>
      <c r="C8116" s="5" t="s">
        <v>6368</v>
      </c>
      <c r="D8116" s="43">
        <v>25000</v>
      </c>
      <c r="E8116" s="43"/>
      <c r="F8116" s="48">
        <f t="shared" si="133"/>
        <v>13748.870967741939</v>
      </c>
    </row>
    <row r="8117" spans="1:6" x14ac:dyDescent="0.3">
      <c r="A8117" s="45">
        <v>44063</v>
      </c>
      <c r="B8117" s="5" t="s">
        <v>25</v>
      </c>
      <c r="C8117" s="5" t="s">
        <v>6369</v>
      </c>
      <c r="D8117" s="43">
        <f>4163-1065</f>
        <v>3098</v>
      </c>
      <c r="E8117" s="43"/>
      <c r="F8117" s="48">
        <f t="shared" si="133"/>
        <v>10650.870967741939</v>
      </c>
    </row>
    <row r="8118" spans="1:6" x14ac:dyDescent="0.3">
      <c r="A8118" s="45">
        <v>44064</v>
      </c>
      <c r="B8118" s="5" t="s">
        <v>6355</v>
      </c>
      <c r="C8118" s="5" t="s">
        <v>6370</v>
      </c>
      <c r="D8118" s="43">
        <v>580</v>
      </c>
      <c r="E8118" s="43"/>
      <c r="F8118" s="48">
        <f t="shared" si="133"/>
        <v>10070.870967741939</v>
      </c>
    </row>
    <row r="8119" spans="1:6" x14ac:dyDescent="0.3">
      <c r="A8119" s="45">
        <v>44064</v>
      </c>
      <c r="B8119" s="5" t="s">
        <v>1012</v>
      </c>
      <c r="C8119" s="5" t="s">
        <v>6371</v>
      </c>
      <c r="D8119" s="43">
        <v>500</v>
      </c>
      <c r="E8119" s="43"/>
      <c r="F8119" s="48">
        <f t="shared" si="133"/>
        <v>9570.8709677419392</v>
      </c>
    </row>
    <row r="8120" spans="1:6" x14ac:dyDescent="0.3">
      <c r="A8120" s="45">
        <v>44064</v>
      </c>
      <c r="B8120" s="5" t="s">
        <v>25</v>
      </c>
      <c r="C8120" s="5" t="s">
        <v>6361</v>
      </c>
      <c r="D8120" s="43">
        <f>300+40+80+110+260+100+80+60+200+100+120+300+350+250</f>
        <v>2350</v>
      </c>
      <c r="E8120" s="43"/>
      <c r="F8120" s="48">
        <f t="shared" si="133"/>
        <v>7220.8709677419392</v>
      </c>
    </row>
    <row r="8121" spans="1:6" x14ac:dyDescent="0.3">
      <c r="A8121" s="45">
        <v>44064</v>
      </c>
      <c r="B8121" s="5" t="s">
        <v>247</v>
      </c>
      <c r="C8121" s="5" t="s">
        <v>2013</v>
      </c>
      <c r="D8121" s="43">
        <v>50</v>
      </c>
      <c r="E8121" s="43"/>
      <c r="F8121" s="48">
        <f t="shared" si="133"/>
        <v>7170.8709677419392</v>
      </c>
    </row>
    <row r="8122" spans="1:6" x14ac:dyDescent="0.3">
      <c r="A8122" s="45">
        <v>44064</v>
      </c>
      <c r="B8122" s="739" t="s">
        <v>6257</v>
      </c>
      <c r="C8122" s="739"/>
      <c r="D8122" s="739"/>
      <c r="E8122" s="43">
        <v>100000</v>
      </c>
      <c r="F8122" s="48">
        <f t="shared" si="133"/>
        <v>107170.87096774194</v>
      </c>
    </row>
    <row r="8123" spans="1:6" x14ac:dyDescent="0.3">
      <c r="A8123" s="45">
        <v>44064</v>
      </c>
      <c r="B8123" s="5" t="s">
        <v>2348</v>
      </c>
      <c r="C8123" s="5" t="s">
        <v>6372</v>
      </c>
      <c r="D8123" s="43">
        <v>20000</v>
      </c>
      <c r="E8123" s="43"/>
      <c r="F8123" s="48">
        <f t="shared" si="133"/>
        <v>87170.870967741939</v>
      </c>
    </row>
    <row r="8124" spans="1:6" x14ac:dyDescent="0.3">
      <c r="A8124" s="45">
        <v>44065</v>
      </c>
      <c r="B8124" s="5" t="s">
        <v>84</v>
      </c>
      <c r="C8124" s="5" t="s">
        <v>6373</v>
      </c>
      <c r="D8124" s="43">
        <v>15000</v>
      </c>
      <c r="E8124" s="43"/>
      <c r="F8124" s="48">
        <f t="shared" si="133"/>
        <v>72170.870967741939</v>
      </c>
    </row>
    <row r="8125" spans="1:6" x14ac:dyDescent="0.3">
      <c r="A8125" s="45">
        <v>44065</v>
      </c>
      <c r="B8125" s="5" t="s">
        <v>14</v>
      </c>
      <c r="C8125" s="5" t="s">
        <v>294</v>
      </c>
      <c r="D8125" s="43">
        <v>10000</v>
      </c>
      <c r="E8125" s="43"/>
      <c r="F8125" s="48">
        <f t="shared" si="133"/>
        <v>62170.870967741939</v>
      </c>
    </row>
    <row r="8126" spans="1:6" x14ac:dyDescent="0.3">
      <c r="A8126" s="45">
        <v>44067</v>
      </c>
      <c r="B8126" s="5" t="s">
        <v>1074</v>
      </c>
      <c r="C8126" s="5" t="s">
        <v>6374</v>
      </c>
      <c r="D8126" s="43">
        <v>47067</v>
      </c>
      <c r="E8126" s="43"/>
      <c r="F8126" s="48">
        <f t="shared" si="133"/>
        <v>15103.870967741939</v>
      </c>
    </row>
    <row r="8127" spans="1:6" x14ac:dyDescent="0.3">
      <c r="A8127" s="45">
        <v>44067</v>
      </c>
      <c r="B8127" s="5" t="s">
        <v>5709</v>
      </c>
      <c r="C8127" s="5" t="s">
        <v>6375</v>
      </c>
      <c r="D8127" s="43">
        <v>200</v>
      </c>
      <c r="E8127" s="43"/>
      <c r="F8127" s="48">
        <f t="shared" si="133"/>
        <v>14903.870967741939</v>
      </c>
    </row>
    <row r="8128" spans="1:6" x14ac:dyDescent="0.3">
      <c r="A8128" s="45">
        <v>44067</v>
      </c>
      <c r="B8128" s="5" t="s">
        <v>6341</v>
      </c>
      <c r="C8128" s="5" t="s">
        <v>6376</v>
      </c>
      <c r="D8128" s="43">
        <v>4500</v>
      </c>
      <c r="E8128" s="43"/>
      <c r="F8128" s="48">
        <f t="shared" si="133"/>
        <v>10403.870967741939</v>
      </c>
    </row>
    <row r="8129" spans="1:6" x14ac:dyDescent="0.3">
      <c r="A8129" s="45">
        <v>44069</v>
      </c>
      <c r="B8129" s="5"/>
      <c r="C8129" s="41" t="s">
        <v>6365</v>
      </c>
      <c r="D8129" s="42">
        <v>700</v>
      </c>
      <c r="E8129" s="43"/>
      <c r="F8129" s="48">
        <f t="shared" si="133"/>
        <v>9703.8709677419392</v>
      </c>
    </row>
    <row r="8130" spans="1:6" x14ac:dyDescent="0.3">
      <c r="A8130" s="45">
        <v>44069</v>
      </c>
      <c r="B8130" s="5" t="s">
        <v>541</v>
      </c>
      <c r="C8130" s="5" t="s">
        <v>640</v>
      </c>
      <c r="D8130" s="43">
        <v>5000</v>
      </c>
      <c r="E8130" s="43"/>
      <c r="F8130" s="48">
        <f t="shared" si="133"/>
        <v>4703.8709677419392</v>
      </c>
    </row>
    <row r="8131" spans="1:6" x14ac:dyDescent="0.3">
      <c r="A8131" s="45">
        <v>44074</v>
      </c>
      <c r="B8131" s="5" t="s">
        <v>25</v>
      </c>
      <c r="C8131" s="5" t="s">
        <v>6361</v>
      </c>
      <c r="D8131" s="43">
        <f>300+150+220+20+100+40+100+100+100+100+20+300+330</f>
        <v>1880</v>
      </c>
      <c r="E8131" s="43"/>
      <c r="F8131" s="48">
        <f t="shared" si="133"/>
        <v>2823.8709677419392</v>
      </c>
    </row>
    <row r="8132" spans="1:6" x14ac:dyDescent="0.3">
      <c r="A8132" s="45">
        <v>44074</v>
      </c>
      <c r="B8132" s="739" t="s">
        <v>6249</v>
      </c>
      <c r="C8132" s="739"/>
      <c r="D8132" s="739"/>
      <c r="E8132" s="43">
        <v>500000</v>
      </c>
      <c r="F8132" s="48">
        <f t="shared" si="133"/>
        <v>502823.87096774194</v>
      </c>
    </row>
    <row r="8133" spans="1:6" x14ac:dyDescent="0.3">
      <c r="A8133" s="45">
        <v>44074</v>
      </c>
      <c r="B8133" s="5" t="s">
        <v>2348</v>
      </c>
      <c r="C8133" s="5" t="s">
        <v>5519</v>
      </c>
      <c r="D8133" s="43">
        <v>25000</v>
      </c>
      <c r="E8133" s="43"/>
      <c r="F8133" s="48">
        <f t="shared" si="133"/>
        <v>477823.87096774194</v>
      </c>
    </row>
    <row r="8134" spans="1:6" x14ac:dyDescent="0.3">
      <c r="A8134" s="45">
        <v>44074</v>
      </c>
      <c r="B8134" s="5" t="s">
        <v>5665</v>
      </c>
      <c r="C8134" s="5" t="s">
        <v>6377</v>
      </c>
      <c r="D8134" s="43">
        <v>25000</v>
      </c>
      <c r="E8134" s="43"/>
      <c r="F8134" s="48">
        <f t="shared" si="133"/>
        <v>452823.87096774194</v>
      </c>
    </row>
    <row r="8135" spans="1:6" x14ac:dyDescent="0.3">
      <c r="A8135" s="45">
        <v>44074</v>
      </c>
      <c r="B8135" s="5" t="s">
        <v>541</v>
      </c>
      <c r="C8135" s="5" t="s">
        <v>294</v>
      </c>
      <c r="D8135" s="43">
        <v>25000</v>
      </c>
      <c r="E8135" s="43"/>
      <c r="F8135" s="48">
        <f t="shared" si="133"/>
        <v>427823.87096774194</v>
      </c>
    </row>
    <row r="8136" spans="1:6" x14ac:dyDescent="0.3">
      <c r="A8136" s="45">
        <v>44074</v>
      </c>
      <c r="B8136" s="5" t="s">
        <v>0</v>
      </c>
      <c r="C8136" s="5" t="s">
        <v>2013</v>
      </c>
      <c r="D8136" s="43">
        <v>100</v>
      </c>
      <c r="E8136" s="43"/>
      <c r="F8136" s="48">
        <f t="shared" si="133"/>
        <v>427723.87096774194</v>
      </c>
    </row>
    <row r="8137" spans="1:6" x14ac:dyDescent="0.3">
      <c r="A8137" s="45">
        <v>44074</v>
      </c>
      <c r="B8137" s="5" t="s">
        <v>3559</v>
      </c>
      <c r="C8137" s="5" t="s">
        <v>3535</v>
      </c>
      <c r="D8137" s="43">
        <v>670</v>
      </c>
      <c r="E8137" s="43"/>
      <c r="F8137" s="48">
        <f t="shared" si="133"/>
        <v>427053.87096774194</v>
      </c>
    </row>
    <row r="8138" spans="1:6" ht="37.5" x14ac:dyDescent="0.3">
      <c r="A8138" s="45">
        <v>44075</v>
      </c>
      <c r="B8138" s="5" t="s">
        <v>14</v>
      </c>
      <c r="C8138" s="92" t="s">
        <v>6379</v>
      </c>
      <c r="D8138" s="43">
        <v>103200</v>
      </c>
      <c r="E8138" s="43"/>
      <c r="F8138" s="48">
        <f t="shared" si="133"/>
        <v>323853.87096774194</v>
      </c>
    </row>
    <row r="8139" spans="1:6" x14ac:dyDescent="0.3">
      <c r="A8139" s="45">
        <v>44075</v>
      </c>
      <c r="B8139" s="5" t="s">
        <v>2570</v>
      </c>
      <c r="C8139" s="5" t="s">
        <v>40</v>
      </c>
      <c r="D8139" s="43">
        <v>750</v>
      </c>
      <c r="E8139" s="43"/>
      <c r="F8139" s="48">
        <f t="shared" si="133"/>
        <v>323103.87096774194</v>
      </c>
    </row>
    <row r="8140" spans="1:6" x14ac:dyDescent="0.3">
      <c r="A8140" s="45">
        <v>44075</v>
      </c>
      <c r="B8140" s="739" t="s">
        <v>6409</v>
      </c>
      <c r="C8140" s="739"/>
      <c r="D8140" s="739"/>
      <c r="E8140" s="43">
        <v>400000</v>
      </c>
      <c r="F8140" s="48">
        <f t="shared" si="133"/>
        <v>723103.87096774194</v>
      </c>
    </row>
    <row r="8141" spans="1:6" x14ac:dyDescent="0.3">
      <c r="A8141" s="45">
        <v>44075</v>
      </c>
      <c r="B8141" s="5" t="s">
        <v>247</v>
      </c>
      <c r="C8141" s="5" t="s">
        <v>6380</v>
      </c>
      <c r="D8141" s="43">
        <v>100</v>
      </c>
      <c r="E8141" s="43"/>
      <c r="F8141" s="48">
        <f t="shared" si="133"/>
        <v>723003.87096774194</v>
      </c>
    </row>
    <row r="8142" spans="1:6" x14ac:dyDescent="0.3">
      <c r="A8142" s="45">
        <v>44075</v>
      </c>
      <c r="B8142" s="5" t="s">
        <v>1012</v>
      </c>
      <c r="C8142" s="5" t="s">
        <v>6381</v>
      </c>
      <c r="D8142" s="43">
        <v>8000</v>
      </c>
      <c r="E8142" s="43"/>
      <c r="F8142" s="48">
        <f t="shared" si="133"/>
        <v>715003.87096774194</v>
      </c>
    </row>
    <row r="8143" spans="1:6" x14ac:dyDescent="0.3">
      <c r="A8143" s="45">
        <v>44075</v>
      </c>
      <c r="B8143" s="5" t="s">
        <v>5162</v>
      </c>
      <c r="C8143" s="5" t="s">
        <v>6382</v>
      </c>
      <c r="D8143" s="43">
        <v>3000</v>
      </c>
      <c r="E8143" s="43"/>
      <c r="F8143" s="48">
        <f t="shared" si="133"/>
        <v>712003.87096774194</v>
      </c>
    </row>
    <row r="8144" spans="1:6" x14ac:dyDescent="0.3">
      <c r="A8144" s="45">
        <v>44075</v>
      </c>
      <c r="B8144" s="739" t="s">
        <v>6408</v>
      </c>
      <c r="C8144" s="739"/>
      <c r="D8144" s="739"/>
      <c r="E8144" s="43">
        <v>463000</v>
      </c>
      <c r="F8144" s="48">
        <f t="shared" si="133"/>
        <v>1175003.8709677421</v>
      </c>
    </row>
    <row r="8145" spans="1:6" x14ac:dyDescent="0.3">
      <c r="A8145" s="45">
        <v>44076</v>
      </c>
      <c r="B8145" s="5" t="s">
        <v>14</v>
      </c>
      <c r="C8145" s="5" t="s">
        <v>294</v>
      </c>
      <c r="D8145" s="43">
        <v>2000</v>
      </c>
      <c r="E8145" s="43"/>
      <c r="F8145" s="48">
        <f t="shared" si="133"/>
        <v>1173003.8709677421</v>
      </c>
    </row>
    <row r="8146" spans="1:6" x14ac:dyDescent="0.3">
      <c r="A8146" s="45">
        <v>44076</v>
      </c>
      <c r="B8146" s="5" t="s">
        <v>6383</v>
      </c>
      <c r="C8146" s="5" t="s">
        <v>6384</v>
      </c>
      <c r="D8146" s="43">
        <v>150000</v>
      </c>
      <c r="E8146" s="43"/>
      <c r="F8146" s="48">
        <f t="shared" si="133"/>
        <v>1023003.8709677421</v>
      </c>
    </row>
    <row r="8147" spans="1:6" x14ac:dyDescent="0.3">
      <c r="A8147" s="45">
        <v>44076</v>
      </c>
      <c r="B8147" s="5" t="s">
        <v>0</v>
      </c>
      <c r="C8147" s="5" t="s">
        <v>6385</v>
      </c>
      <c r="D8147" s="43">
        <v>44600</v>
      </c>
      <c r="E8147" s="43"/>
      <c r="F8147" s="48">
        <f t="shared" si="133"/>
        <v>978403.87096774206</v>
      </c>
    </row>
    <row r="8148" spans="1:6" x14ac:dyDescent="0.3">
      <c r="A8148" s="45">
        <v>44076</v>
      </c>
      <c r="B8148" s="223" t="s">
        <v>54</v>
      </c>
      <c r="C8148" s="223" t="s">
        <v>6386</v>
      </c>
      <c r="D8148" s="224">
        <f>18750+13500</f>
        <v>32250</v>
      </c>
      <c r="E8148" s="43"/>
      <c r="F8148" s="48">
        <f t="shared" si="133"/>
        <v>946153.87096774206</v>
      </c>
    </row>
    <row r="8149" spans="1:6" x14ac:dyDescent="0.3">
      <c r="A8149" s="45">
        <v>44076</v>
      </c>
      <c r="B8149" s="223" t="s">
        <v>54</v>
      </c>
      <c r="C8149" s="223" t="s">
        <v>6412</v>
      </c>
      <c r="D8149" s="224">
        <v>33750</v>
      </c>
      <c r="E8149" s="43"/>
      <c r="F8149" s="48">
        <f t="shared" si="133"/>
        <v>912403.87096774206</v>
      </c>
    </row>
    <row r="8150" spans="1:6" x14ac:dyDescent="0.3">
      <c r="A8150" s="45">
        <v>44076</v>
      </c>
      <c r="B8150" s="223" t="s">
        <v>54</v>
      </c>
      <c r="C8150" s="223" t="s">
        <v>6387</v>
      </c>
      <c r="D8150" s="224">
        <v>95746</v>
      </c>
      <c r="E8150" s="43"/>
      <c r="F8150" s="48">
        <f t="shared" si="133"/>
        <v>816657.87096774206</v>
      </c>
    </row>
    <row r="8151" spans="1:6" x14ac:dyDescent="0.3">
      <c r="A8151" s="45">
        <v>44076</v>
      </c>
      <c r="B8151" s="223" t="s">
        <v>54</v>
      </c>
      <c r="C8151" s="223" t="s">
        <v>6388</v>
      </c>
      <c r="D8151" s="224">
        <v>103883</v>
      </c>
      <c r="E8151" s="43"/>
      <c r="F8151" s="48">
        <f t="shared" si="133"/>
        <v>712774.87096774206</v>
      </c>
    </row>
    <row r="8152" spans="1:6" x14ac:dyDescent="0.3">
      <c r="A8152" s="45">
        <v>44076</v>
      </c>
      <c r="B8152" s="223" t="s">
        <v>54</v>
      </c>
      <c r="C8152" s="223" t="s">
        <v>6391</v>
      </c>
      <c r="D8152" s="224">
        <v>88000</v>
      </c>
      <c r="E8152" s="43"/>
      <c r="F8152" s="48">
        <f t="shared" si="133"/>
        <v>624774.87096774206</v>
      </c>
    </row>
    <row r="8153" spans="1:6" x14ac:dyDescent="0.3">
      <c r="A8153" s="45">
        <v>44076</v>
      </c>
      <c r="B8153" s="223" t="s">
        <v>54</v>
      </c>
      <c r="C8153" s="223" t="s">
        <v>6392</v>
      </c>
      <c r="D8153" s="224">
        <v>50000</v>
      </c>
      <c r="E8153" s="43"/>
      <c r="F8153" s="48">
        <f t="shared" si="133"/>
        <v>574774.87096774206</v>
      </c>
    </row>
    <row r="8154" spans="1:6" x14ac:dyDescent="0.3">
      <c r="A8154" s="45">
        <v>44076</v>
      </c>
      <c r="B8154" s="223" t="s">
        <v>54</v>
      </c>
      <c r="C8154" s="223" t="s">
        <v>6245</v>
      </c>
      <c r="D8154" s="224">
        <v>38520</v>
      </c>
      <c r="E8154" s="43"/>
      <c r="F8154" s="48">
        <f t="shared" si="133"/>
        <v>536254.87096774206</v>
      </c>
    </row>
    <row r="8155" spans="1:6" x14ac:dyDescent="0.3">
      <c r="A8155" s="45">
        <v>44076</v>
      </c>
      <c r="B8155" s="223" t="s">
        <v>54</v>
      </c>
      <c r="C8155" s="223" t="s">
        <v>6419</v>
      </c>
      <c r="D8155" s="224">
        <v>45597</v>
      </c>
      <c r="E8155" s="43"/>
      <c r="F8155" s="48">
        <f t="shared" si="133"/>
        <v>490657.87096774206</v>
      </c>
    </row>
    <row r="8156" spans="1:6" x14ac:dyDescent="0.3">
      <c r="A8156" s="45">
        <v>44076</v>
      </c>
      <c r="B8156" s="223" t="s">
        <v>54</v>
      </c>
      <c r="C8156" s="223" t="s">
        <v>693</v>
      </c>
      <c r="D8156" s="224">
        <f>161206+44160</f>
        <v>205366</v>
      </c>
      <c r="E8156" s="43"/>
      <c r="F8156" s="48">
        <f t="shared" si="133"/>
        <v>285291.87096774206</v>
      </c>
    </row>
    <row r="8157" spans="1:6" x14ac:dyDescent="0.3">
      <c r="A8157" s="45">
        <v>44076</v>
      </c>
      <c r="B8157" s="223" t="s">
        <v>54</v>
      </c>
      <c r="C8157" s="223" t="s">
        <v>6410</v>
      </c>
      <c r="D8157" s="224">
        <v>34871</v>
      </c>
      <c r="E8157" s="43"/>
      <c r="F8157" s="48">
        <f t="shared" si="133"/>
        <v>250420.87096774206</v>
      </c>
    </row>
    <row r="8158" spans="1:6" x14ac:dyDescent="0.3">
      <c r="A8158" s="45">
        <v>44076</v>
      </c>
      <c r="B8158" s="223" t="s">
        <v>54</v>
      </c>
      <c r="C8158" s="223" t="s">
        <v>6411</v>
      </c>
      <c r="D8158" s="224">
        <v>9252</v>
      </c>
      <c r="E8158" s="43"/>
      <c r="F8158" s="48">
        <f t="shared" si="133"/>
        <v>241168.87096774206</v>
      </c>
    </row>
    <row r="8159" spans="1:6" x14ac:dyDescent="0.3">
      <c r="A8159" s="45">
        <v>44076</v>
      </c>
      <c r="B8159" s="5" t="s">
        <v>2674</v>
      </c>
      <c r="C8159" s="5" t="s">
        <v>438</v>
      </c>
      <c r="D8159" s="43">
        <v>500</v>
      </c>
      <c r="E8159" s="43"/>
      <c r="F8159" s="48">
        <f t="shared" si="133"/>
        <v>240668.87096774206</v>
      </c>
    </row>
    <row r="8160" spans="1:6" x14ac:dyDescent="0.3">
      <c r="A8160" s="45">
        <v>44076</v>
      </c>
      <c r="B8160" s="5" t="s">
        <v>4869</v>
      </c>
      <c r="C8160" s="5" t="s">
        <v>40</v>
      </c>
      <c r="D8160" s="43">
        <v>4170</v>
      </c>
      <c r="E8160" s="43"/>
      <c r="F8160" s="48">
        <f t="shared" si="133"/>
        <v>236498.87096774206</v>
      </c>
    </row>
    <row r="8161" spans="1:6" x14ac:dyDescent="0.3">
      <c r="A8161" s="45">
        <v>44076</v>
      </c>
      <c r="B8161" s="5" t="s">
        <v>25</v>
      </c>
      <c r="C8161" s="5" t="s">
        <v>6389</v>
      </c>
      <c r="D8161" s="43">
        <v>200</v>
      </c>
      <c r="E8161" s="43"/>
      <c r="F8161" s="48">
        <f t="shared" ref="F8161:F8224" si="134">F8160+E8161-D8161</f>
        <v>236298.87096774206</v>
      </c>
    </row>
    <row r="8162" spans="1:6" x14ac:dyDescent="0.3">
      <c r="A8162" s="45">
        <v>44076</v>
      </c>
      <c r="B8162" s="5" t="s">
        <v>4550</v>
      </c>
      <c r="C8162" s="5" t="s">
        <v>6390</v>
      </c>
      <c r="D8162" s="43">
        <v>15000</v>
      </c>
      <c r="E8162" s="43"/>
      <c r="F8162" s="48">
        <f t="shared" si="134"/>
        <v>221298.87096774206</v>
      </c>
    </row>
    <row r="8163" spans="1:6" x14ac:dyDescent="0.3">
      <c r="A8163" s="45">
        <v>44076</v>
      </c>
      <c r="B8163" s="5" t="s">
        <v>5162</v>
      </c>
      <c r="C8163" s="5" t="s">
        <v>1624</v>
      </c>
      <c r="D8163" s="43">
        <v>100</v>
      </c>
      <c r="E8163" s="43"/>
      <c r="F8163" s="48">
        <f t="shared" si="134"/>
        <v>221198.87096774206</v>
      </c>
    </row>
    <row r="8164" spans="1:6" x14ac:dyDescent="0.3">
      <c r="A8164" s="45">
        <v>44077</v>
      </c>
      <c r="B8164" s="5" t="s">
        <v>0</v>
      </c>
      <c r="C8164" s="5" t="s">
        <v>3910</v>
      </c>
      <c r="D8164" s="43">
        <v>10000</v>
      </c>
      <c r="E8164" s="43"/>
      <c r="F8164" s="48">
        <f t="shared" si="134"/>
        <v>211198.87096774206</v>
      </c>
    </row>
    <row r="8165" spans="1:6" x14ac:dyDescent="0.3">
      <c r="A8165" s="45">
        <v>44077</v>
      </c>
      <c r="B8165" s="5" t="s">
        <v>6009</v>
      </c>
      <c r="C8165" s="5" t="s">
        <v>438</v>
      </c>
      <c r="D8165" s="43">
        <v>50000</v>
      </c>
      <c r="E8165" s="43"/>
      <c r="F8165" s="48">
        <f t="shared" si="134"/>
        <v>161198.87096774206</v>
      </c>
    </row>
    <row r="8166" spans="1:6" x14ac:dyDescent="0.3">
      <c r="A8166" s="45">
        <v>44077</v>
      </c>
      <c r="B8166" s="5" t="s">
        <v>10</v>
      </c>
      <c r="C8166" s="5" t="s">
        <v>6393</v>
      </c>
      <c r="D8166" s="43">
        <v>2000</v>
      </c>
      <c r="E8166" s="43"/>
      <c r="F8166" s="48">
        <f t="shared" si="134"/>
        <v>159198.87096774206</v>
      </c>
    </row>
    <row r="8167" spans="1:6" x14ac:dyDescent="0.3">
      <c r="A8167" s="45">
        <v>44077</v>
      </c>
      <c r="B8167" s="5" t="s">
        <v>3559</v>
      </c>
      <c r="C8167" s="5" t="s">
        <v>3172</v>
      </c>
      <c r="D8167" s="43">
        <v>43250</v>
      </c>
      <c r="E8167" s="43"/>
      <c r="F8167" s="48">
        <f t="shared" si="134"/>
        <v>115948.87096774206</v>
      </c>
    </row>
    <row r="8168" spans="1:6" x14ac:dyDescent="0.3">
      <c r="A8168" s="45">
        <v>44078</v>
      </c>
      <c r="B8168" s="5" t="s">
        <v>541</v>
      </c>
      <c r="C8168" s="5" t="s">
        <v>6420</v>
      </c>
      <c r="D8168" s="43">
        <v>50000</v>
      </c>
      <c r="E8168" s="43"/>
      <c r="F8168" s="48">
        <f t="shared" si="134"/>
        <v>65948.870967742056</v>
      </c>
    </row>
    <row r="8169" spans="1:6" x14ac:dyDescent="0.3">
      <c r="A8169" s="45">
        <v>44079</v>
      </c>
      <c r="B8169" s="5" t="s">
        <v>2674</v>
      </c>
      <c r="C8169" s="5" t="s">
        <v>294</v>
      </c>
      <c r="D8169" s="43">
        <v>600</v>
      </c>
      <c r="E8169" s="43"/>
      <c r="F8169" s="48">
        <f t="shared" si="134"/>
        <v>65348.870967742056</v>
      </c>
    </row>
    <row r="8170" spans="1:6" x14ac:dyDescent="0.3">
      <c r="A8170" s="45">
        <v>44079</v>
      </c>
      <c r="B8170" s="5" t="s">
        <v>6099</v>
      </c>
      <c r="C8170" s="5" t="s">
        <v>40</v>
      </c>
      <c r="D8170" s="43">
        <v>51000</v>
      </c>
      <c r="E8170" s="43"/>
      <c r="F8170" s="48">
        <f t="shared" si="134"/>
        <v>14348.870967742056</v>
      </c>
    </row>
    <row r="8171" spans="1:6" x14ac:dyDescent="0.3">
      <c r="A8171" s="45">
        <v>44079</v>
      </c>
      <c r="B8171" s="5" t="s">
        <v>25</v>
      </c>
      <c r="C8171" s="5" t="s">
        <v>6413</v>
      </c>
      <c r="D8171" s="43">
        <v>4000</v>
      </c>
      <c r="E8171" s="43"/>
      <c r="F8171" s="48">
        <f t="shared" si="134"/>
        <v>10348.870967742056</v>
      </c>
    </row>
    <row r="8172" spans="1:6" x14ac:dyDescent="0.3">
      <c r="A8172" s="45">
        <v>44081</v>
      </c>
      <c r="B8172" s="5" t="s">
        <v>25</v>
      </c>
      <c r="C8172" s="5" t="s">
        <v>6361</v>
      </c>
      <c r="D8172" s="43">
        <f>700+310+140+40+160+90+70+280+40+100+100+300+40+450+300+70+330+80+90+140+500</f>
        <v>4330</v>
      </c>
      <c r="E8172" s="43"/>
      <c r="F8172" s="48">
        <f t="shared" si="134"/>
        <v>6018.8709677420557</v>
      </c>
    </row>
    <row r="8173" spans="1:6" x14ac:dyDescent="0.3">
      <c r="A8173" s="45">
        <v>44081</v>
      </c>
      <c r="B8173" s="5" t="s">
        <v>25</v>
      </c>
      <c r="C8173" s="5" t="s">
        <v>4834</v>
      </c>
      <c r="D8173" s="43">
        <v>2000</v>
      </c>
      <c r="E8173" s="43"/>
      <c r="F8173" s="48">
        <f t="shared" si="134"/>
        <v>4018.8709677420557</v>
      </c>
    </row>
    <row r="8174" spans="1:6" x14ac:dyDescent="0.3">
      <c r="A8174" s="45">
        <v>44081</v>
      </c>
      <c r="B8174" s="5" t="s">
        <v>25</v>
      </c>
      <c r="C8174" s="5" t="s">
        <v>6417</v>
      </c>
      <c r="D8174" s="43">
        <v>680</v>
      </c>
      <c r="E8174" s="43"/>
      <c r="F8174" s="48">
        <f t="shared" si="134"/>
        <v>3338.8709677420557</v>
      </c>
    </row>
    <row r="8175" spans="1:6" x14ac:dyDescent="0.3">
      <c r="A8175" s="45">
        <v>44081</v>
      </c>
      <c r="B8175" s="5" t="s">
        <v>5709</v>
      </c>
      <c r="C8175" s="5" t="s">
        <v>6414</v>
      </c>
      <c r="D8175" s="43">
        <v>460</v>
      </c>
      <c r="E8175" s="43"/>
      <c r="F8175" s="48">
        <f t="shared" si="134"/>
        <v>2878.8709677420557</v>
      </c>
    </row>
    <row r="8176" spans="1:6" x14ac:dyDescent="0.3">
      <c r="A8176" s="45">
        <v>44081</v>
      </c>
      <c r="B8176" s="739" t="s">
        <v>6407</v>
      </c>
      <c r="C8176" s="739"/>
      <c r="D8176" s="739"/>
      <c r="E8176" s="43">
        <v>400000</v>
      </c>
      <c r="F8176" s="48">
        <f t="shared" si="134"/>
        <v>402878.87096774206</v>
      </c>
    </row>
    <row r="8177" spans="1:6" ht="56.25" x14ac:dyDescent="0.3">
      <c r="A8177" s="45">
        <v>44081</v>
      </c>
      <c r="B8177" s="5" t="s">
        <v>0</v>
      </c>
      <c r="C8177" s="92" t="s">
        <v>6421</v>
      </c>
      <c r="D8177" s="43">
        <v>25000</v>
      </c>
      <c r="E8177" s="43"/>
      <c r="F8177" s="48">
        <f t="shared" si="134"/>
        <v>377878.87096774206</v>
      </c>
    </row>
    <row r="8178" spans="1:6" x14ac:dyDescent="0.3">
      <c r="A8178" s="45">
        <v>44081</v>
      </c>
      <c r="B8178" s="5" t="s">
        <v>6415</v>
      </c>
      <c r="C8178" s="5" t="s">
        <v>6416</v>
      </c>
      <c r="D8178" s="43">
        <v>31000</v>
      </c>
      <c r="E8178" s="43"/>
      <c r="F8178" s="48">
        <f t="shared" si="134"/>
        <v>346878.87096774206</v>
      </c>
    </row>
    <row r="8179" spans="1:6" x14ac:dyDescent="0.3">
      <c r="A8179" s="45">
        <v>44081</v>
      </c>
      <c r="B8179" s="5" t="s">
        <v>84</v>
      </c>
      <c r="C8179" s="5" t="s">
        <v>6418</v>
      </c>
      <c r="D8179" s="43">
        <v>5000</v>
      </c>
      <c r="E8179" s="43"/>
      <c r="F8179" s="48">
        <f t="shared" si="134"/>
        <v>341878.87096774206</v>
      </c>
    </row>
    <row r="8180" spans="1:6" x14ac:dyDescent="0.3">
      <c r="A8180" s="45">
        <v>44081</v>
      </c>
      <c r="B8180" s="5" t="s">
        <v>4550</v>
      </c>
      <c r="C8180" s="5" t="s">
        <v>294</v>
      </c>
      <c r="D8180" s="43">
        <v>10000</v>
      </c>
      <c r="E8180" s="43"/>
      <c r="F8180" s="48">
        <f t="shared" si="134"/>
        <v>331878.87096774206</v>
      </c>
    </row>
    <row r="8181" spans="1:6" x14ac:dyDescent="0.3">
      <c r="A8181" s="45">
        <v>44082</v>
      </c>
      <c r="B8181" s="5" t="s">
        <v>0</v>
      </c>
      <c r="C8181" s="5" t="s">
        <v>6422</v>
      </c>
      <c r="D8181" s="43">
        <f>2900+4000+100</f>
        <v>7000</v>
      </c>
      <c r="E8181" s="43"/>
      <c r="F8181" s="48">
        <f t="shared" si="134"/>
        <v>324878.87096774206</v>
      </c>
    </row>
    <row r="8182" spans="1:6" x14ac:dyDescent="0.3">
      <c r="A8182" s="45">
        <v>44082</v>
      </c>
      <c r="B8182" s="739" t="s">
        <v>6423</v>
      </c>
      <c r="C8182" s="739"/>
      <c r="D8182" s="739"/>
      <c r="E8182" s="43">
        <v>4840</v>
      </c>
      <c r="F8182" s="48">
        <f t="shared" si="134"/>
        <v>329718.87096774206</v>
      </c>
    </row>
    <row r="8183" spans="1:6" x14ac:dyDescent="0.3">
      <c r="A8183" s="45">
        <v>44082</v>
      </c>
      <c r="B8183" s="5" t="s">
        <v>2674</v>
      </c>
      <c r="C8183" s="5" t="s">
        <v>294</v>
      </c>
      <c r="D8183" s="43">
        <v>100</v>
      </c>
      <c r="E8183" s="43"/>
      <c r="F8183" s="48">
        <f t="shared" si="134"/>
        <v>329618.87096774206</v>
      </c>
    </row>
    <row r="8184" spans="1:6" x14ac:dyDescent="0.3">
      <c r="A8184" s="45">
        <v>44082</v>
      </c>
      <c r="B8184" s="223" t="s">
        <v>54</v>
      </c>
      <c r="C8184" s="223" t="s">
        <v>6424</v>
      </c>
      <c r="D8184" s="224">
        <v>17020</v>
      </c>
      <c r="E8184" s="43"/>
      <c r="F8184" s="48">
        <f t="shared" si="134"/>
        <v>312598.87096774206</v>
      </c>
    </row>
    <row r="8185" spans="1:6" ht="56.25" x14ac:dyDescent="0.3">
      <c r="A8185" s="45">
        <v>44082</v>
      </c>
      <c r="B8185" s="5" t="s">
        <v>6085</v>
      </c>
      <c r="C8185" s="92" t="s">
        <v>6425</v>
      </c>
      <c r="D8185" s="43">
        <v>50000</v>
      </c>
      <c r="E8185" s="43"/>
      <c r="F8185" s="48">
        <f t="shared" si="134"/>
        <v>262598.87096774206</v>
      </c>
    </row>
    <row r="8186" spans="1:6" x14ac:dyDescent="0.3">
      <c r="A8186" s="45">
        <v>44082</v>
      </c>
      <c r="B8186" s="5" t="s">
        <v>6134</v>
      </c>
      <c r="C8186" s="5" t="s">
        <v>294</v>
      </c>
      <c r="D8186" s="43">
        <v>50000</v>
      </c>
      <c r="E8186" s="43"/>
      <c r="F8186" s="48">
        <f t="shared" si="134"/>
        <v>212598.87096774206</v>
      </c>
    </row>
    <row r="8187" spans="1:6" x14ac:dyDescent="0.3">
      <c r="A8187" s="45">
        <v>44082</v>
      </c>
      <c r="B8187" s="5" t="s">
        <v>541</v>
      </c>
      <c r="C8187" s="5" t="s">
        <v>40</v>
      </c>
      <c r="D8187" s="43">
        <v>100000</v>
      </c>
      <c r="E8187" s="43"/>
      <c r="F8187" s="48">
        <f t="shared" si="134"/>
        <v>112598.87096774206</v>
      </c>
    </row>
    <row r="8188" spans="1:6" x14ac:dyDescent="0.3">
      <c r="A8188" s="45">
        <v>44082</v>
      </c>
      <c r="B8188" s="5" t="s">
        <v>5930</v>
      </c>
      <c r="C8188" s="5" t="s">
        <v>6427</v>
      </c>
      <c r="D8188" s="43">
        <v>15600</v>
      </c>
      <c r="E8188" s="43"/>
      <c r="F8188" s="48">
        <f t="shared" si="134"/>
        <v>96998.870967742056</v>
      </c>
    </row>
    <row r="8189" spans="1:6" ht="37.5" x14ac:dyDescent="0.3">
      <c r="A8189" s="45">
        <v>44082</v>
      </c>
      <c r="B8189" s="5" t="s">
        <v>541</v>
      </c>
      <c r="C8189" s="92" t="s">
        <v>6426</v>
      </c>
      <c r="D8189" s="43">
        <v>11607</v>
      </c>
      <c r="E8189" s="43"/>
      <c r="F8189" s="48">
        <f t="shared" si="134"/>
        <v>85391.870967742056</v>
      </c>
    </row>
    <row r="8190" spans="1:6" x14ac:dyDescent="0.3">
      <c r="A8190" s="45">
        <v>44082</v>
      </c>
      <c r="B8190" s="5" t="s">
        <v>3559</v>
      </c>
      <c r="C8190" s="5" t="s">
        <v>6234</v>
      </c>
      <c r="D8190" s="43">
        <v>4780</v>
      </c>
      <c r="E8190" s="43"/>
      <c r="F8190" s="48">
        <f t="shared" si="134"/>
        <v>80611.870967742056</v>
      </c>
    </row>
    <row r="8191" spans="1:6" x14ac:dyDescent="0.3">
      <c r="A8191" s="45">
        <v>44083</v>
      </c>
      <c r="B8191" s="5" t="s">
        <v>25</v>
      </c>
      <c r="C8191" s="5" t="s">
        <v>6428</v>
      </c>
      <c r="D8191" s="43">
        <f>1390-500</f>
        <v>890</v>
      </c>
      <c r="E8191" s="43"/>
      <c r="F8191" s="48">
        <f t="shared" si="134"/>
        <v>79721.870967742056</v>
      </c>
    </row>
    <row r="8192" spans="1:6" x14ac:dyDescent="0.3">
      <c r="A8192" s="45">
        <v>44083</v>
      </c>
      <c r="B8192" s="5" t="s">
        <v>1837</v>
      </c>
      <c r="C8192" s="41" t="s">
        <v>6484</v>
      </c>
      <c r="D8192" s="43">
        <v>4500</v>
      </c>
      <c r="E8192" s="43"/>
      <c r="F8192" s="48">
        <f t="shared" si="134"/>
        <v>75221.870967742056</v>
      </c>
    </row>
    <row r="8193" spans="1:6" x14ac:dyDescent="0.3">
      <c r="A8193" s="45">
        <v>44083</v>
      </c>
      <c r="B8193" s="5" t="s">
        <v>6352</v>
      </c>
      <c r="C8193" s="5" t="s">
        <v>6429</v>
      </c>
      <c r="D8193" s="43">
        <v>1000</v>
      </c>
      <c r="E8193" s="43"/>
      <c r="F8193" s="48">
        <f t="shared" si="134"/>
        <v>74221.870967742056</v>
      </c>
    </row>
    <row r="8194" spans="1:6" x14ac:dyDescent="0.3">
      <c r="A8194" s="45">
        <v>44083</v>
      </c>
      <c r="B8194" s="5" t="s">
        <v>25</v>
      </c>
      <c r="C8194" s="41" t="s">
        <v>6461</v>
      </c>
      <c r="D8194" s="43">
        <v>4000</v>
      </c>
      <c r="E8194" s="43"/>
      <c r="F8194" s="48">
        <f t="shared" si="134"/>
        <v>70221.870967742056</v>
      </c>
    </row>
    <row r="8195" spans="1:6" x14ac:dyDescent="0.3">
      <c r="A8195" s="45">
        <v>44083</v>
      </c>
      <c r="B8195" s="5" t="s">
        <v>6430</v>
      </c>
      <c r="C8195" s="5" t="s">
        <v>6431</v>
      </c>
      <c r="D8195" s="43">
        <v>28200</v>
      </c>
      <c r="E8195" s="43"/>
      <c r="F8195" s="48">
        <f t="shared" si="134"/>
        <v>42021.870967742056</v>
      </c>
    </row>
    <row r="8196" spans="1:6" x14ac:dyDescent="0.3">
      <c r="A8196" s="45">
        <v>44083</v>
      </c>
      <c r="B8196" s="5" t="s">
        <v>247</v>
      </c>
      <c r="C8196" s="5" t="s">
        <v>2013</v>
      </c>
      <c r="D8196" s="43">
        <v>100</v>
      </c>
      <c r="E8196" s="43"/>
      <c r="F8196" s="48">
        <f t="shared" si="134"/>
        <v>41921.870967742056</v>
      </c>
    </row>
    <row r="8197" spans="1:6" x14ac:dyDescent="0.3">
      <c r="A8197" s="45">
        <v>44084</v>
      </c>
      <c r="B8197" s="5" t="s">
        <v>4550</v>
      </c>
      <c r="C8197" s="5" t="s">
        <v>294</v>
      </c>
      <c r="D8197" s="43">
        <v>10000</v>
      </c>
      <c r="E8197" s="43"/>
      <c r="F8197" s="48">
        <f t="shared" si="134"/>
        <v>31921.870967742056</v>
      </c>
    </row>
    <row r="8198" spans="1:6" x14ac:dyDescent="0.3">
      <c r="A8198" s="45">
        <v>44084</v>
      </c>
      <c r="B8198" s="5" t="s">
        <v>1012</v>
      </c>
      <c r="C8198" s="41" t="s">
        <v>6435</v>
      </c>
      <c r="D8198" s="43">
        <v>2500</v>
      </c>
      <c r="E8198" s="43"/>
      <c r="F8198" s="48">
        <f t="shared" si="134"/>
        <v>29421.870967742056</v>
      </c>
    </row>
    <row r="8199" spans="1:6" x14ac:dyDescent="0.3">
      <c r="A8199" s="45">
        <v>44085</v>
      </c>
      <c r="B8199" s="5" t="s">
        <v>6355</v>
      </c>
      <c r="C8199" s="5" t="s">
        <v>6436</v>
      </c>
      <c r="D8199" s="43">
        <v>500</v>
      </c>
      <c r="E8199" s="43"/>
      <c r="F8199" s="48">
        <f t="shared" si="134"/>
        <v>28921.870967742056</v>
      </c>
    </row>
    <row r="8200" spans="1:6" x14ac:dyDescent="0.3">
      <c r="A8200" s="45">
        <v>44085</v>
      </c>
      <c r="B8200" s="5" t="s">
        <v>5938</v>
      </c>
      <c r="C8200" s="5" t="s">
        <v>598</v>
      </c>
      <c r="D8200" s="43">
        <f>20000+430</f>
        <v>20430</v>
      </c>
      <c r="E8200" s="43"/>
      <c r="F8200" s="48">
        <f t="shared" si="134"/>
        <v>8491.8709677420557</v>
      </c>
    </row>
    <row r="8201" spans="1:6" x14ac:dyDescent="0.3">
      <c r="A8201" s="45">
        <v>44085</v>
      </c>
      <c r="B8201" s="5" t="s">
        <v>14</v>
      </c>
      <c r="C8201" s="5" t="s">
        <v>640</v>
      </c>
      <c r="D8201" s="43">
        <v>1000</v>
      </c>
      <c r="E8201" s="43"/>
      <c r="F8201" s="48">
        <f t="shared" si="134"/>
        <v>7491.8709677420557</v>
      </c>
    </row>
    <row r="8202" spans="1:6" x14ac:dyDescent="0.3">
      <c r="A8202" s="45">
        <v>44085</v>
      </c>
      <c r="B8202" s="5" t="s">
        <v>25</v>
      </c>
      <c r="C8202" s="5" t="s">
        <v>6361</v>
      </c>
      <c r="D8202" s="43">
        <f>1100+100+40+60+120+500+120+50+120+90+1000+600+20+400</f>
        <v>4320</v>
      </c>
      <c r="E8202" s="43"/>
      <c r="F8202" s="48">
        <f t="shared" si="134"/>
        <v>3171.8709677420557</v>
      </c>
    </row>
    <row r="8203" spans="1:6" x14ac:dyDescent="0.3">
      <c r="A8203" s="45">
        <v>44085</v>
      </c>
      <c r="B8203" s="739" t="s">
        <v>6438</v>
      </c>
      <c r="C8203" s="739"/>
      <c r="D8203" s="739"/>
      <c r="E8203" s="43">
        <v>50000</v>
      </c>
      <c r="F8203" s="48">
        <f t="shared" si="134"/>
        <v>53171.870967742056</v>
      </c>
    </row>
    <row r="8204" spans="1:6" x14ac:dyDescent="0.3">
      <c r="A8204" s="45">
        <v>44085</v>
      </c>
      <c r="B8204" s="5" t="s">
        <v>6341</v>
      </c>
      <c r="C8204" s="5" t="s">
        <v>6437</v>
      </c>
      <c r="D8204" s="43">
        <v>30000</v>
      </c>
      <c r="E8204" s="43"/>
      <c r="F8204" s="48">
        <f t="shared" si="134"/>
        <v>23171.870967742056</v>
      </c>
    </row>
    <row r="8205" spans="1:6" x14ac:dyDescent="0.3">
      <c r="A8205" s="45">
        <v>44085</v>
      </c>
      <c r="B8205" s="223" t="s">
        <v>54</v>
      </c>
      <c r="C8205" s="223" t="s">
        <v>6439</v>
      </c>
      <c r="D8205" s="224">
        <v>17000</v>
      </c>
      <c r="E8205" s="43"/>
      <c r="F8205" s="48">
        <f t="shared" si="134"/>
        <v>6171.8709677420557</v>
      </c>
    </row>
    <row r="8206" spans="1:6" x14ac:dyDescent="0.3">
      <c r="A8206" s="45">
        <v>44085</v>
      </c>
      <c r="B8206" s="739" t="s">
        <v>5653</v>
      </c>
      <c r="C8206" s="739"/>
      <c r="D8206" s="739"/>
      <c r="E8206" s="43">
        <v>100000</v>
      </c>
      <c r="F8206" s="48">
        <f t="shared" si="134"/>
        <v>106171.87096774206</v>
      </c>
    </row>
    <row r="8207" spans="1:6" x14ac:dyDescent="0.3">
      <c r="A8207" s="45">
        <v>44085</v>
      </c>
      <c r="B8207" s="223" t="s">
        <v>54</v>
      </c>
      <c r="C8207" s="223" t="s">
        <v>6440</v>
      </c>
      <c r="D8207" s="224">
        <v>19871</v>
      </c>
      <c r="E8207" s="43"/>
      <c r="F8207" s="48">
        <f t="shared" si="134"/>
        <v>86300.870967742056</v>
      </c>
    </row>
    <row r="8208" spans="1:6" x14ac:dyDescent="0.3">
      <c r="A8208" s="45">
        <v>44085</v>
      </c>
      <c r="B8208" s="223" t="s">
        <v>54</v>
      </c>
      <c r="C8208" s="223" t="s">
        <v>6441</v>
      </c>
      <c r="D8208" s="224">
        <v>18661</v>
      </c>
      <c r="E8208" s="43"/>
      <c r="F8208" s="48">
        <f t="shared" si="134"/>
        <v>67639.870967742056</v>
      </c>
    </row>
    <row r="8209" spans="1:6" x14ac:dyDescent="0.3">
      <c r="A8209" s="45">
        <v>44085</v>
      </c>
      <c r="B8209" s="223" t="s">
        <v>54</v>
      </c>
      <c r="C8209" s="223" t="s">
        <v>6442</v>
      </c>
      <c r="D8209" s="224">
        <v>23548</v>
      </c>
      <c r="E8209" s="43"/>
      <c r="F8209" s="48">
        <f t="shared" si="134"/>
        <v>44091.870967742056</v>
      </c>
    </row>
    <row r="8210" spans="1:6" x14ac:dyDescent="0.3">
      <c r="A8210" s="45">
        <v>44085</v>
      </c>
      <c r="B8210" s="5" t="s">
        <v>18</v>
      </c>
      <c r="C8210" s="5" t="s">
        <v>294</v>
      </c>
      <c r="D8210" s="43">
        <v>5000</v>
      </c>
      <c r="E8210" s="43"/>
      <c r="F8210" s="48">
        <f t="shared" si="134"/>
        <v>39091.870967742056</v>
      </c>
    </row>
    <row r="8211" spans="1:6" x14ac:dyDescent="0.3">
      <c r="A8211" s="45">
        <v>44085</v>
      </c>
      <c r="B8211" s="5" t="s">
        <v>25</v>
      </c>
      <c r="C8211" s="5" t="s">
        <v>5641</v>
      </c>
      <c r="D8211" s="43">
        <v>600</v>
      </c>
      <c r="E8211" s="43"/>
      <c r="F8211" s="48">
        <f t="shared" si="134"/>
        <v>38491.870967742056</v>
      </c>
    </row>
    <row r="8212" spans="1:6" x14ac:dyDescent="0.3">
      <c r="A8212" s="45">
        <v>44088</v>
      </c>
      <c r="B8212" s="228" t="s">
        <v>5709</v>
      </c>
      <c r="C8212" s="228" t="s">
        <v>6444</v>
      </c>
      <c r="D8212" s="43">
        <v>4000</v>
      </c>
      <c r="E8212" s="43"/>
      <c r="F8212" s="48">
        <f t="shared" si="134"/>
        <v>34491.870967742056</v>
      </c>
    </row>
    <row r="8213" spans="1:6" x14ac:dyDescent="0.3">
      <c r="A8213" s="45">
        <v>44088</v>
      </c>
      <c r="B8213" s="5" t="s">
        <v>14</v>
      </c>
      <c r="C8213" s="5" t="s">
        <v>294</v>
      </c>
      <c r="D8213" s="43">
        <v>25000</v>
      </c>
      <c r="E8213" s="43"/>
      <c r="F8213" s="48">
        <f t="shared" si="134"/>
        <v>9491.8709677420557</v>
      </c>
    </row>
    <row r="8214" spans="1:6" x14ac:dyDescent="0.3">
      <c r="A8214" s="45">
        <v>44089</v>
      </c>
      <c r="B8214" s="5" t="s">
        <v>11</v>
      </c>
      <c r="C8214" s="5" t="s">
        <v>6445</v>
      </c>
      <c r="D8214" s="43">
        <v>710</v>
      </c>
      <c r="E8214" s="43"/>
      <c r="F8214" s="48">
        <f t="shared" si="134"/>
        <v>8781.8709677420557</v>
      </c>
    </row>
    <row r="8215" spans="1:6" x14ac:dyDescent="0.3">
      <c r="A8215" s="45">
        <v>44089</v>
      </c>
      <c r="B8215" s="739" t="s">
        <v>6438</v>
      </c>
      <c r="C8215" s="739"/>
      <c r="D8215" s="739"/>
      <c r="E8215" s="43">
        <v>50000</v>
      </c>
      <c r="F8215" s="48">
        <f t="shared" si="134"/>
        <v>58781.870967742056</v>
      </c>
    </row>
    <row r="8216" spans="1:6" x14ac:dyDescent="0.3">
      <c r="A8216" s="45">
        <v>44089</v>
      </c>
      <c r="B8216" s="5" t="s">
        <v>14</v>
      </c>
      <c r="C8216" s="5" t="s">
        <v>294</v>
      </c>
      <c r="D8216" s="43">
        <v>30000</v>
      </c>
      <c r="E8216" s="43"/>
      <c r="F8216" s="48">
        <f t="shared" si="134"/>
        <v>28781.870967742056</v>
      </c>
    </row>
    <row r="8217" spans="1:6" x14ac:dyDescent="0.3">
      <c r="A8217" s="45">
        <v>44089</v>
      </c>
      <c r="B8217" s="5" t="s">
        <v>25</v>
      </c>
      <c r="C8217" s="5" t="s">
        <v>6446</v>
      </c>
      <c r="D8217" s="43">
        <v>800</v>
      </c>
      <c r="E8217" s="43"/>
      <c r="F8217" s="48">
        <f t="shared" si="134"/>
        <v>27981.870967742056</v>
      </c>
    </row>
    <row r="8218" spans="1:6" x14ac:dyDescent="0.3">
      <c r="A8218" s="45">
        <v>44089</v>
      </c>
      <c r="B8218" s="5" t="s">
        <v>1787</v>
      </c>
      <c r="C8218" s="5" t="s">
        <v>6447</v>
      </c>
      <c r="D8218" s="43">
        <v>1500</v>
      </c>
      <c r="E8218" s="43"/>
      <c r="F8218" s="48">
        <f t="shared" si="134"/>
        <v>26481.870967742056</v>
      </c>
    </row>
    <row r="8219" spans="1:6" x14ac:dyDescent="0.3">
      <c r="A8219" s="45">
        <v>44090</v>
      </c>
      <c r="B8219" s="739" t="s">
        <v>6407</v>
      </c>
      <c r="C8219" s="739"/>
      <c r="D8219" s="739"/>
      <c r="E8219" s="43">
        <v>437000</v>
      </c>
      <c r="F8219" s="48">
        <f t="shared" si="134"/>
        <v>463481.87096774206</v>
      </c>
    </row>
    <row r="8220" spans="1:6" ht="37.5" x14ac:dyDescent="0.3">
      <c r="A8220" s="45">
        <v>44090</v>
      </c>
      <c r="B8220" s="5" t="s">
        <v>6355</v>
      </c>
      <c r="C8220" s="92" t="s">
        <v>6450</v>
      </c>
      <c r="D8220" s="43">
        <v>300</v>
      </c>
      <c r="E8220" s="43"/>
      <c r="F8220" s="48">
        <f t="shared" si="134"/>
        <v>463181.87096774206</v>
      </c>
    </row>
    <row r="8221" spans="1:6" x14ac:dyDescent="0.3">
      <c r="A8221" s="45">
        <v>44090</v>
      </c>
      <c r="B8221" s="5" t="s">
        <v>6451</v>
      </c>
      <c r="C8221" s="5" t="s">
        <v>6452</v>
      </c>
      <c r="D8221" s="43">
        <v>97800</v>
      </c>
      <c r="E8221" s="43"/>
      <c r="F8221" s="48">
        <f t="shared" si="134"/>
        <v>365381.87096774206</v>
      </c>
    </row>
    <row r="8222" spans="1:6" x14ac:dyDescent="0.3">
      <c r="A8222" s="45">
        <v>44090</v>
      </c>
      <c r="B8222" s="5" t="s">
        <v>5709</v>
      </c>
      <c r="C8222" s="5" t="s">
        <v>6453</v>
      </c>
      <c r="D8222" s="43">
        <v>1000</v>
      </c>
      <c r="E8222" s="43"/>
      <c r="F8222" s="48">
        <f t="shared" si="134"/>
        <v>364381.87096774206</v>
      </c>
    </row>
    <row r="8223" spans="1:6" x14ac:dyDescent="0.3">
      <c r="A8223" s="45">
        <v>44090</v>
      </c>
      <c r="B8223" s="5" t="s">
        <v>25</v>
      </c>
      <c r="C8223" s="5" t="s">
        <v>6361</v>
      </c>
      <c r="D8223" s="43">
        <f>500+40+30+330+60+90+160+500+80+250+100+60+330+50+20+100+120+80+140</f>
        <v>3040</v>
      </c>
      <c r="E8223" s="43"/>
      <c r="F8223" s="48">
        <f t="shared" si="134"/>
        <v>361341.87096774206</v>
      </c>
    </row>
    <row r="8224" spans="1:6" x14ac:dyDescent="0.3">
      <c r="A8224" s="45">
        <v>44091</v>
      </c>
      <c r="B8224" s="5" t="s">
        <v>6154</v>
      </c>
      <c r="C8224" s="5" t="s">
        <v>6454</v>
      </c>
      <c r="D8224" s="43">
        <v>2000</v>
      </c>
      <c r="E8224" s="43"/>
      <c r="F8224" s="48">
        <f t="shared" si="134"/>
        <v>359341.87096774206</v>
      </c>
    </row>
    <row r="8225" spans="1:8" x14ac:dyDescent="0.3">
      <c r="A8225" s="45">
        <v>44091</v>
      </c>
      <c r="B8225" s="5" t="s">
        <v>84</v>
      </c>
      <c r="C8225" s="5" t="s">
        <v>6455</v>
      </c>
      <c r="D8225" s="43">
        <v>3000</v>
      </c>
      <c r="E8225" s="43"/>
      <c r="F8225" s="48">
        <f t="shared" ref="F8225:F8288" si="135">F8224+E8225-D8225</f>
        <v>356341.87096774206</v>
      </c>
    </row>
    <row r="8226" spans="1:8" x14ac:dyDescent="0.3">
      <c r="A8226" s="45">
        <v>44091</v>
      </c>
      <c r="B8226" s="5" t="s">
        <v>1012</v>
      </c>
      <c r="C8226" s="5" t="s">
        <v>6456</v>
      </c>
      <c r="D8226" s="43">
        <v>4500</v>
      </c>
      <c r="E8226" s="43"/>
      <c r="F8226" s="48">
        <f t="shared" si="135"/>
        <v>351841.87096774206</v>
      </c>
      <c r="H8226" s="229"/>
    </row>
    <row r="8227" spans="1:8" x14ac:dyDescent="0.3">
      <c r="A8227" s="45">
        <v>44091</v>
      </c>
      <c r="B8227" s="5" t="s">
        <v>2348</v>
      </c>
      <c r="C8227" s="5" t="s">
        <v>294</v>
      </c>
      <c r="D8227" s="43">
        <v>5000</v>
      </c>
      <c r="E8227" s="43"/>
      <c r="F8227" s="48">
        <f t="shared" si="135"/>
        <v>346841.87096774206</v>
      </c>
    </row>
    <row r="8228" spans="1:8" x14ac:dyDescent="0.3">
      <c r="A8228" s="45">
        <v>44091</v>
      </c>
      <c r="B8228" s="5" t="s">
        <v>5979</v>
      </c>
      <c r="C8228" s="5" t="s">
        <v>6457</v>
      </c>
      <c r="D8228" s="43">
        <v>3500</v>
      </c>
      <c r="E8228" s="43"/>
      <c r="F8228" s="48">
        <f t="shared" si="135"/>
        <v>343341.87096774206</v>
      </c>
    </row>
    <row r="8229" spans="1:8" x14ac:dyDescent="0.3">
      <c r="A8229" s="45">
        <v>44091</v>
      </c>
      <c r="B8229" s="5" t="s">
        <v>4550</v>
      </c>
      <c r="C8229" s="5" t="s">
        <v>4330</v>
      </c>
      <c r="D8229" s="43">
        <v>3000</v>
      </c>
      <c r="E8229" s="43"/>
      <c r="F8229" s="48">
        <f t="shared" si="135"/>
        <v>340341.87096774206</v>
      </c>
    </row>
    <row r="8230" spans="1:8" x14ac:dyDescent="0.3">
      <c r="A8230" s="45">
        <v>44091</v>
      </c>
      <c r="B8230" s="5" t="s">
        <v>84</v>
      </c>
      <c r="C8230" s="5" t="s">
        <v>6458</v>
      </c>
      <c r="D8230" s="43">
        <v>60000</v>
      </c>
      <c r="E8230" s="43"/>
      <c r="F8230" s="48">
        <f t="shared" si="135"/>
        <v>280341.87096774206</v>
      </c>
    </row>
    <row r="8231" spans="1:8" x14ac:dyDescent="0.3">
      <c r="A8231" s="45">
        <v>44091</v>
      </c>
      <c r="B8231" s="5" t="s">
        <v>5156</v>
      </c>
      <c r="C8231" s="5" t="s">
        <v>6459</v>
      </c>
      <c r="D8231" s="43">
        <f>600+1950</f>
        <v>2550</v>
      </c>
      <c r="E8231" s="43"/>
      <c r="F8231" s="48">
        <f t="shared" si="135"/>
        <v>277791.87096774206</v>
      </c>
    </row>
    <row r="8232" spans="1:8" x14ac:dyDescent="0.3">
      <c r="A8232" s="45">
        <v>44092</v>
      </c>
      <c r="B8232" s="223" t="s">
        <v>54</v>
      </c>
      <c r="C8232" s="223" t="s">
        <v>6460</v>
      </c>
      <c r="D8232" s="224">
        <v>10000</v>
      </c>
      <c r="E8232" s="43"/>
      <c r="F8232" s="48">
        <f t="shared" si="135"/>
        <v>267791.87096774206</v>
      </c>
    </row>
    <row r="8233" spans="1:8" ht="37.5" x14ac:dyDescent="0.3">
      <c r="A8233" s="45">
        <v>44092</v>
      </c>
      <c r="B8233" s="5" t="s">
        <v>25</v>
      </c>
      <c r="C8233" s="92" t="s">
        <v>6462</v>
      </c>
      <c r="D8233" s="43">
        <v>1500</v>
      </c>
      <c r="E8233" s="43"/>
      <c r="F8233" s="48">
        <f t="shared" si="135"/>
        <v>266291.87096774206</v>
      </c>
    </row>
    <row r="8234" spans="1:8" x14ac:dyDescent="0.3">
      <c r="A8234" s="184">
        <v>44092</v>
      </c>
      <c r="B8234" s="66" t="s">
        <v>14</v>
      </c>
      <c r="C8234" s="230" t="s">
        <v>294</v>
      </c>
      <c r="D8234" s="67">
        <v>150000</v>
      </c>
      <c r="E8234" s="167"/>
      <c r="F8234" s="48">
        <f t="shared" si="135"/>
        <v>116291.87096774206</v>
      </c>
    </row>
    <row r="8235" spans="1:8" x14ac:dyDescent="0.3">
      <c r="A8235" s="45">
        <v>44092</v>
      </c>
      <c r="B8235" s="231" t="s">
        <v>25</v>
      </c>
      <c r="C8235" s="231" t="s">
        <v>6465</v>
      </c>
      <c r="D8235" s="232">
        <v>600</v>
      </c>
      <c r="E8235" s="183"/>
      <c r="F8235" s="48">
        <f t="shared" si="135"/>
        <v>115691.87096774206</v>
      </c>
    </row>
    <row r="8236" spans="1:8" x14ac:dyDescent="0.3">
      <c r="A8236" s="45">
        <v>44093</v>
      </c>
      <c r="B8236" s="231" t="s">
        <v>14</v>
      </c>
      <c r="C8236" s="231" t="s">
        <v>294</v>
      </c>
      <c r="D8236" s="232">
        <v>50000</v>
      </c>
      <c r="E8236" s="183"/>
      <c r="F8236" s="48">
        <f t="shared" si="135"/>
        <v>65691.870967742056</v>
      </c>
    </row>
    <row r="8237" spans="1:8" x14ac:dyDescent="0.3">
      <c r="A8237" s="45">
        <v>44093</v>
      </c>
      <c r="B8237" s="73" t="s">
        <v>14</v>
      </c>
      <c r="C8237" s="73" t="s">
        <v>294</v>
      </c>
      <c r="D8237" s="183">
        <v>15000</v>
      </c>
      <c r="E8237" s="183"/>
      <c r="F8237" s="48">
        <f t="shared" si="135"/>
        <v>50691.870967742056</v>
      </c>
    </row>
    <row r="8238" spans="1:8" x14ac:dyDescent="0.3">
      <c r="A8238" s="45">
        <v>44093</v>
      </c>
      <c r="B8238" s="73" t="s">
        <v>1074</v>
      </c>
      <c r="C8238" s="73" t="s">
        <v>6468</v>
      </c>
      <c r="D8238" s="183">
        <f>1280+5040</f>
        <v>6320</v>
      </c>
      <c r="E8238" s="183"/>
      <c r="F8238" s="48">
        <f t="shared" si="135"/>
        <v>44371.870967742056</v>
      </c>
    </row>
    <row r="8239" spans="1:8" x14ac:dyDescent="0.3">
      <c r="A8239" s="45">
        <v>44093</v>
      </c>
      <c r="B8239" s="73" t="s">
        <v>1074</v>
      </c>
      <c r="C8239" s="73" t="s">
        <v>6469</v>
      </c>
      <c r="D8239" s="183">
        <f>580+1270</f>
        <v>1850</v>
      </c>
      <c r="E8239" s="183"/>
      <c r="F8239" s="48">
        <f t="shared" si="135"/>
        <v>42521.870967742056</v>
      </c>
    </row>
    <row r="8240" spans="1:8" x14ac:dyDescent="0.3">
      <c r="A8240" s="45">
        <v>44095</v>
      </c>
      <c r="B8240" s="73" t="s">
        <v>2348</v>
      </c>
      <c r="C8240" s="73" t="s">
        <v>6470</v>
      </c>
      <c r="D8240" s="183">
        <v>20000</v>
      </c>
      <c r="E8240" s="183"/>
      <c r="F8240" s="48">
        <f t="shared" si="135"/>
        <v>22521.870967742056</v>
      </c>
    </row>
    <row r="8241" spans="1:10" x14ac:dyDescent="0.3">
      <c r="A8241" s="45">
        <v>44095</v>
      </c>
      <c r="B8241" s="73" t="s">
        <v>14</v>
      </c>
      <c r="C8241" s="73" t="s">
        <v>294</v>
      </c>
      <c r="D8241" s="183">
        <v>5000</v>
      </c>
      <c r="E8241" s="183"/>
      <c r="F8241" s="48">
        <f t="shared" si="135"/>
        <v>17521.870967742056</v>
      </c>
    </row>
    <row r="8242" spans="1:10" ht="37.5" x14ac:dyDescent="0.3">
      <c r="A8242" s="45">
        <v>44095</v>
      </c>
      <c r="B8242" s="73" t="s">
        <v>25</v>
      </c>
      <c r="C8242" s="103" t="s">
        <v>6471</v>
      </c>
      <c r="D8242" s="183">
        <v>500</v>
      </c>
      <c r="E8242" s="183"/>
      <c r="F8242" s="48">
        <f t="shared" si="135"/>
        <v>17021.870967742056</v>
      </c>
    </row>
    <row r="8243" spans="1:10" x14ac:dyDescent="0.3">
      <c r="A8243" s="45">
        <v>44095</v>
      </c>
      <c r="B8243" s="73" t="s">
        <v>6472</v>
      </c>
      <c r="C8243" s="103" t="s">
        <v>6473</v>
      </c>
      <c r="D8243" s="183">
        <v>100</v>
      </c>
      <c r="E8243" s="183"/>
      <c r="F8243" s="48">
        <f t="shared" si="135"/>
        <v>16921.870967742056</v>
      </c>
    </row>
    <row r="8244" spans="1:10" x14ac:dyDescent="0.3">
      <c r="A8244" s="45">
        <v>44095</v>
      </c>
      <c r="B8244" s="739" t="s">
        <v>5653</v>
      </c>
      <c r="C8244" s="739"/>
      <c r="D8244" s="739"/>
      <c r="E8244" s="43">
        <v>50000</v>
      </c>
      <c r="F8244" s="48">
        <f t="shared" si="135"/>
        <v>66921.870967742056</v>
      </c>
    </row>
    <row r="8245" spans="1:10" x14ac:dyDescent="0.3">
      <c r="A8245" s="45">
        <v>44095</v>
      </c>
      <c r="B8245" s="739" t="s">
        <v>5653</v>
      </c>
      <c r="C8245" s="739"/>
      <c r="D8245" s="739"/>
      <c r="E8245" s="43">
        <v>25000</v>
      </c>
      <c r="F8245" s="48">
        <f t="shared" si="135"/>
        <v>91921.870967742056</v>
      </c>
    </row>
    <row r="8246" spans="1:10" x14ac:dyDescent="0.3">
      <c r="A8246" s="45">
        <v>44095</v>
      </c>
      <c r="B8246" s="739" t="s">
        <v>5653</v>
      </c>
      <c r="C8246" s="739"/>
      <c r="D8246" s="739"/>
      <c r="E8246" s="43">
        <v>10000</v>
      </c>
      <c r="F8246" s="48">
        <f t="shared" si="135"/>
        <v>101921.87096774206</v>
      </c>
    </row>
    <row r="8247" spans="1:10" x14ac:dyDescent="0.3">
      <c r="A8247" s="45">
        <v>44095</v>
      </c>
      <c r="B8247" s="73" t="s">
        <v>6085</v>
      </c>
      <c r="C8247" s="73" t="s">
        <v>6474</v>
      </c>
      <c r="D8247" s="58">
        <v>75000</v>
      </c>
      <c r="E8247" s="58"/>
      <c r="F8247" s="48">
        <f t="shared" si="135"/>
        <v>26921.870967742056</v>
      </c>
    </row>
    <row r="8248" spans="1:10" s="114" customFormat="1" x14ac:dyDescent="0.3">
      <c r="A8248" s="45">
        <v>44095</v>
      </c>
      <c r="B8248" s="73" t="s">
        <v>247</v>
      </c>
      <c r="C8248" s="73" t="s">
        <v>2013</v>
      </c>
      <c r="D8248" s="323">
        <v>100</v>
      </c>
      <c r="E8248" s="58"/>
      <c r="F8248" s="48">
        <f t="shared" si="135"/>
        <v>26821.870967742056</v>
      </c>
      <c r="G8248" s="113"/>
      <c r="H8248" s="113"/>
      <c r="I8248" s="113"/>
      <c r="J8248" s="113"/>
    </row>
    <row r="8249" spans="1:10" s="114" customFormat="1" x14ac:dyDescent="0.3">
      <c r="A8249" s="45">
        <v>44095</v>
      </c>
      <c r="B8249" s="233" t="s">
        <v>84</v>
      </c>
      <c r="C8249" s="233" t="s">
        <v>6475</v>
      </c>
      <c r="D8249" s="323">
        <v>350</v>
      </c>
      <c r="E8249" s="58"/>
      <c r="F8249" s="48">
        <f t="shared" si="135"/>
        <v>26471.870967742056</v>
      </c>
      <c r="G8249" s="113"/>
      <c r="H8249" s="113"/>
      <c r="I8249" s="113"/>
      <c r="J8249" s="113"/>
    </row>
    <row r="8250" spans="1:10" s="114" customFormat="1" x14ac:dyDescent="0.3">
      <c r="A8250" s="45">
        <v>44095</v>
      </c>
      <c r="B8250" s="233" t="s">
        <v>25</v>
      </c>
      <c r="C8250" s="73" t="s">
        <v>6361</v>
      </c>
      <c r="D8250" s="58">
        <f>170+120+300+80+30+100+90+40+250+60+100+110+80+100+500</f>
        <v>2130</v>
      </c>
      <c r="E8250" s="58"/>
      <c r="F8250" s="48">
        <f t="shared" si="135"/>
        <v>24341.870967742056</v>
      </c>
      <c r="G8250" s="113"/>
      <c r="H8250" s="113"/>
      <c r="I8250" s="113"/>
      <c r="J8250" s="113"/>
    </row>
    <row r="8251" spans="1:10" x14ac:dyDescent="0.3">
      <c r="A8251" s="45">
        <v>44096</v>
      </c>
      <c r="B8251" s="223" t="s">
        <v>54</v>
      </c>
      <c r="C8251" s="223" t="s">
        <v>6476</v>
      </c>
      <c r="D8251" s="224">
        <v>9000</v>
      </c>
      <c r="E8251" s="43"/>
      <c r="F8251" s="48">
        <f t="shared" si="135"/>
        <v>15341.870967742056</v>
      </c>
    </row>
    <row r="8252" spans="1:10" s="114" customFormat="1" x14ac:dyDescent="0.3">
      <c r="A8252" s="45">
        <v>44096</v>
      </c>
      <c r="B8252" s="233" t="s">
        <v>14</v>
      </c>
      <c r="C8252" s="73" t="s">
        <v>6477</v>
      </c>
      <c r="D8252" s="58">
        <v>5000</v>
      </c>
      <c r="E8252" s="58"/>
      <c r="F8252" s="48">
        <f t="shared" si="135"/>
        <v>10341.870967742056</v>
      </c>
      <c r="G8252" s="113"/>
      <c r="H8252" s="113"/>
      <c r="I8252" s="113"/>
      <c r="J8252" s="113"/>
    </row>
    <row r="8253" spans="1:10" x14ac:dyDescent="0.3">
      <c r="A8253" s="45">
        <v>44096</v>
      </c>
      <c r="B8253" s="739" t="s">
        <v>5653</v>
      </c>
      <c r="C8253" s="739"/>
      <c r="D8253" s="739"/>
      <c r="E8253" s="43">
        <v>150000</v>
      </c>
      <c r="F8253" s="48">
        <f t="shared" si="135"/>
        <v>160341.87096774206</v>
      </c>
    </row>
    <row r="8254" spans="1:10" s="114" customFormat="1" x14ac:dyDescent="0.3">
      <c r="A8254" s="45">
        <v>44096</v>
      </c>
      <c r="B8254" s="73" t="s">
        <v>84</v>
      </c>
      <c r="C8254" s="73" t="s">
        <v>6475</v>
      </c>
      <c r="D8254" s="58">
        <v>5000</v>
      </c>
      <c r="E8254" s="58"/>
      <c r="F8254" s="48">
        <f t="shared" si="135"/>
        <v>155341.87096774206</v>
      </c>
      <c r="G8254" s="113"/>
      <c r="H8254" s="113"/>
      <c r="I8254" s="113"/>
      <c r="J8254" s="113"/>
    </row>
    <row r="8255" spans="1:10" s="114" customFormat="1" ht="37.5" x14ac:dyDescent="0.3">
      <c r="A8255" s="45">
        <v>44096</v>
      </c>
      <c r="B8255" s="103" t="s">
        <v>6478</v>
      </c>
      <c r="C8255" s="73" t="s">
        <v>3332</v>
      </c>
      <c r="D8255" s="58">
        <v>5000</v>
      </c>
      <c r="E8255" s="58"/>
      <c r="F8255" s="48">
        <f t="shared" si="135"/>
        <v>150341.87096774206</v>
      </c>
      <c r="G8255" s="113"/>
      <c r="H8255" s="113"/>
      <c r="I8255" s="113"/>
      <c r="J8255" s="113"/>
    </row>
    <row r="8256" spans="1:10" x14ac:dyDescent="0.3">
      <c r="A8256" s="45">
        <v>44096</v>
      </c>
      <c r="B8256" s="223" t="s">
        <v>54</v>
      </c>
      <c r="C8256" s="223" t="s">
        <v>6479</v>
      </c>
      <c r="D8256" s="224">
        <v>21290</v>
      </c>
      <c r="E8256" s="43"/>
      <c r="F8256" s="48">
        <f t="shared" si="135"/>
        <v>129051.87096774206</v>
      </c>
    </row>
    <row r="8257" spans="1:10" s="114" customFormat="1" x14ac:dyDescent="0.3">
      <c r="A8257" s="45">
        <v>44096</v>
      </c>
      <c r="B8257" s="73" t="s">
        <v>4550</v>
      </c>
      <c r="C8257" s="73" t="s">
        <v>294</v>
      </c>
      <c r="D8257" s="58">
        <v>15000</v>
      </c>
      <c r="E8257" s="58"/>
      <c r="F8257" s="48">
        <f t="shared" si="135"/>
        <v>114051.87096774206</v>
      </c>
      <c r="G8257" s="113"/>
      <c r="H8257" s="113"/>
      <c r="I8257" s="113"/>
      <c r="J8257" s="113"/>
    </row>
    <row r="8258" spans="1:10" x14ac:dyDescent="0.3">
      <c r="A8258" s="45">
        <v>44097</v>
      </c>
      <c r="B8258" s="223" t="s">
        <v>54</v>
      </c>
      <c r="C8258" s="223" t="s">
        <v>6480</v>
      </c>
      <c r="D8258" s="224">
        <v>20050</v>
      </c>
      <c r="E8258" s="43"/>
      <c r="F8258" s="48">
        <f t="shared" si="135"/>
        <v>94001.870967742056</v>
      </c>
    </row>
    <row r="8259" spans="1:10" s="114" customFormat="1" x14ac:dyDescent="0.3">
      <c r="A8259" s="45">
        <v>44097</v>
      </c>
      <c r="B8259" s="73" t="s">
        <v>6099</v>
      </c>
      <c r="C8259" s="73" t="s">
        <v>40</v>
      </c>
      <c r="D8259" s="58">
        <v>35380</v>
      </c>
      <c r="E8259" s="58"/>
      <c r="F8259" s="48">
        <f t="shared" si="135"/>
        <v>58621.870967742056</v>
      </c>
      <c r="G8259" s="113"/>
      <c r="H8259" s="113"/>
      <c r="I8259" s="113"/>
      <c r="J8259" s="113"/>
    </row>
    <row r="8260" spans="1:10" ht="37.5" x14ac:dyDescent="0.3">
      <c r="A8260" s="45">
        <v>44097</v>
      </c>
      <c r="B8260" s="73" t="s">
        <v>6481</v>
      </c>
      <c r="C8260" s="103" t="s">
        <v>6482</v>
      </c>
      <c r="D8260" s="58">
        <v>35000</v>
      </c>
      <c r="E8260" s="77"/>
      <c r="F8260" s="48">
        <f t="shared" si="135"/>
        <v>23621.870967742056</v>
      </c>
    </row>
    <row r="8261" spans="1:10" x14ac:dyDescent="0.3">
      <c r="A8261" s="45">
        <v>44097</v>
      </c>
      <c r="B8261" s="73" t="s">
        <v>0</v>
      </c>
      <c r="C8261" s="73" t="s">
        <v>6483</v>
      </c>
      <c r="D8261" s="58">
        <v>5000</v>
      </c>
      <c r="E8261" s="77"/>
      <c r="F8261" s="48">
        <f t="shared" si="135"/>
        <v>18621.870967742056</v>
      </c>
    </row>
    <row r="8262" spans="1:10" x14ac:dyDescent="0.3">
      <c r="A8262" s="45">
        <v>44097</v>
      </c>
      <c r="B8262" s="73" t="s">
        <v>5709</v>
      </c>
      <c r="C8262" s="58" t="s">
        <v>6485</v>
      </c>
      <c r="D8262" s="58">
        <v>7000</v>
      </c>
      <c r="E8262" s="43"/>
      <c r="F8262" s="48">
        <f t="shared" si="135"/>
        <v>11621.870967742056</v>
      </c>
    </row>
    <row r="8263" spans="1:10" x14ac:dyDescent="0.3">
      <c r="A8263" s="45">
        <v>44098</v>
      </c>
      <c r="B8263" s="73" t="s">
        <v>25</v>
      </c>
      <c r="C8263" s="73" t="s">
        <v>6489</v>
      </c>
      <c r="D8263" s="58">
        <f>975+170</f>
        <v>1145</v>
      </c>
      <c r="E8263" s="43"/>
      <c r="F8263" s="48">
        <f t="shared" si="135"/>
        <v>10476.870967742056</v>
      </c>
    </row>
    <row r="8264" spans="1:10" x14ac:dyDescent="0.3">
      <c r="A8264" s="45">
        <v>44098</v>
      </c>
      <c r="B8264" s="73" t="s">
        <v>25</v>
      </c>
      <c r="C8264" s="73" t="s">
        <v>6486</v>
      </c>
      <c r="D8264" s="58">
        <v>1000</v>
      </c>
      <c r="E8264" s="43"/>
      <c r="F8264" s="48">
        <f t="shared" si="135"/>
        <v>9476.8709677420557</v>
      </c>
    </row>
    <row r="8265" spans="1:10" s="114" customFormat="1" x14ac:dyDescent="0.3">
      <c r="A8265" s="45">
        <v>44098</v>
      </c>
      <c r="B8265" s="73" t="s">
        <v>25</v>
      </c>
      <c r="C8265" s="73" t="s">
        <v>6487</v>
      </c>
      <c r="D8265" s="58">
        <v>230</v>
      </c>
      <c r="E8265" s="58"/>
      <c r="F8265" s="48">
        <f t="shared" si="135"/>
        <v>9246.8709677420557</v>
      </c>
      <c r="G8265" s="113"/>
      <c r="H8265" s="113"/>
      <c r="I8265" s="113"/>
      <c r="J8265" s="113"/>
    </row>
    <row r="8266" spans="1:10" s="114" customFormat="1" x14ac:dyDescent="0.3">
      <c r="A8266" s="45">
        <v>44098</v>
      </c>
      <c r="B8266" s="73" t="s">
        <v>25</v>
      </c>
      <c r="C8266" s="73" t="s">
        <v>6488</v>
      </c>
      <c r="D8266" s="58">
        <v>100</v>
      </c>
      <c r="E8266" s="58"/>
      <c r="F8266" s="48">
        <f t="shared" si="135"/>
        <v>9146.8709677420557</v>
      </c>
      <c r="G8266" s="113"/>
      <c r="H8266" s="113"/>
      <c r="I8266" s="113"/>
      <c r="J8266" s="113"/>
    </row>
    <row r="8267" spans="1:10" x14ac:dyDescent="0.3">
      <c r="A8267" s="45">
        <v>44098</v>
      </c>
      <c r="B8267" s="739" t="s">
        <v>6490</v>
      </c>
      <c r="C8267" s="739"/>
      <c r="D8267" s="739"/>
      <c r="E8267" s="43">
        <v>800</v>
      </c>
      <c r="F8267" s="48">
        <f t="shared" si="135"/>
        <v>9946.8709677420557</v>
      </c>
    </row>
    <row r="8268" spans="1:10" s="114" customFormat="1" x14ac:dyDescent="0.3">
      <c r="A8268" s="45">
        <v>44098</v>
      </c>
      <c r="B8268" s="73" t="s">
        <v>5709</v>
      </c>
      <c r="C8268" s="73" t="s">
        <v>6491</v>
      </c>
      <c r="D8268" s="183">
        <v>1120</v>
      </c>
      <c r="E8268" s="58"/>
      <c r="F8268" s="48">
        <f t="shared" si="135"/>
        <v>8826.8709677420557</v>
      </c>
      <c r="G8268" s="113"/>
      <c r="H8268" s="113"/>
      <c r="I8268" s="113"/>
      <c r="J8268" s="113"/>
    </row>
    <row r="8269" spans="1:10" x14ac:dyDescent="0.3">
      <c r="A8269" s="45">
        <v>44099</v>
      </c>
      <c r="B8269" s="739" t="s">
        <v>5653</v>
      </c>
      <c r="C8269" s="739"/>
      <c r="D8269" s="739"/>
      <c r="E8269" s="43">
        <v>20000</v>
      </c>
      <c r="F8269" s="48">
        <f t="shared" si="135"/>
        <v>28826.870967742056</v>
      </c>
    </row>
    <row r="8270" spans="1:10" s="114" customFormat="1" x14ac:dyDescent="0.3">
      <c r="A8270" s="45">
        <v>44099</v>
      </c>
      <c r="B8270" s="73" t="s">
        <v>14</v>
      </c>
      <c r="C8270" s="73" t="s">
        <v>6494</v>
      </c>
      <c r="D8270" s="183">
        <v>18660</v>
      </c>
      <c r="E8270" s="58"/>
      <c r="F8270" s="48">
        <f t="shared" si="135"/>
        <v>10166.870967742056</v>
      </c>
      <c r="G8270" s="113"/>
      <c r="H8270" s="113"/>
      <c r="I8270" s="113"/>
      <c r="J8270" s="113"/>
    </row>
    <row r="8271" spans="1:10" x14ac:dyDescent="0.3">
      <c r="A8271" s="45">
        <v>44100</v>
      </c>
      <c r="B8271" s="73" t="s">
        <v>1837</v>
      </c>
      <c r="C8271" s="73" t="s">
        <v>6496</v>
      </c>
      <c r="D8271" s="183">
        <v>2000</v>
      </c>
      <c r="E8271" s="183"/>
      <c r="F8271" s="48">
        <f t="shared" si="135"/>
        <v>8166.8709677420557</v>
      </c>
    </row>
    <row r="8272" spans="1:10" x14ac:dyDescent="0.3">
      <c r="A8272" s="45">
        <v>44100</v>
      </c>
      <c r="B8272" s="5" t="s">
        <v>25</v>
      </c>
      <c r="C8272" s="5" t="s">
        <v>6361</v>
      </c>
      <c r="D8272" s="43">
        <f>100+110+50+200+70+60+100+50+60+250+100+100+500</f>
        <v>1750</v>
      </c>
      <c r="E8272" s="183"/>
      <c r="F8272" s="48">
        <f t="shared" si="135"/>
        <v>6416.8709677420557</v>
      </c>
    </row>
    <row r="8273" spans="1:6" x14ac:dyDescent="0.3">
      <c r="A8273" s="45">
        <v>44100</v>
      </c>
      <c r="B8273" s="5" t="s">
        <v>3559</v>
      </c>
      <c r="C8273" s="5" t="s">
        <v>91</v>
      </c>
      <c r="D8273" s="43">
        <v>600</v>
      </c>
      <c r="E8273" s="183"/>
      <c r="F8273" s="48">
        <f t="shared" si="135"/>
        <v>5816.8709677420557</v>
      </c>
    </row>
    <row r="8274" spans="1:6" x14ac:dyDescent="0.3">
      <c r="A8274" s="45">
        <v>44100</v>
      </c>
      <c r="B8274" s="5" t="s">
        <v>4011</v>
      </c>
      <c r="C8274" s="5" t="s">
        <v>6497</v>
      </c>
      <c r="D8274" s="43">
        <v>1200</v>
      </c>
      <c r="E8274" s="183"/>
      <c r="F8274" s="48">
        <f t="shared" si="135"/>
        <v>4616.8709677420557</v>
      </c>
    </row>
    <row r="8275" spans="1:6" x14ac:dyDescent="0.3">
      <c r="A8275" s="45">
        <v>44100</v>
      </c>
      <c r="B8275" s="5" t="s">
        <v>25</v>
      </c>
      <c r="C8275" s="5" t="s">
        <v>2025</v>
      </c>
      <c r="D8275" s="43">
        <v>200</v>
      </c>
      <c r="E8275" s="43"/>
      <c r="F8275" s="48">
        <f t="shared" si="135"/>
        <v>4416.8709677420557</v>
      </c>
    </row>
    <row r="8276" spans="1:6" x14ac:dyDescent="0.3">
      <c r="A8276" s="45">
        <v>44102</v>
      </c>
      <c r="B8276" s="5" t="s">
        <v>25</v>
      </c>
      <c r="C8276" s="5" t="s">
        <v>6498</v>
      </c>
      <c r="D8276" s="43">
        <v>50</v>
      </c>
      <c r="E8276" s="43"/>
      <c r="F8276" s="48">
        <f t="shared" si="135"/>
        <v>4366.8709677420557</v>
      </c>
    </row>
    <row r="8277" spans="1:6" x14ac:dyDescent="0.3">
      <c r="A8277" s="45">
        <v>44102</v>
      </c>
      <c r="B8277" s="739" t="s">
        <v>3444</v>
      </c>
      <c r="C8277" s="739"/>
      <c r="D8277" s="739"/>
      <c r="E8277" s="43">
        <v>500000</v>
      </c>
      <c r="F8277" s="48">
        <f t="shared" si="135"/>
        <v>504366.87096774206</v>
      </c>
    </row>
    <row r="8278" spans="1:6" x14ac:dyDescent="0.3">
      <c r="A8278" s="45">
        <v>44102</v>
      </c>
      <c r="B8278" s="5" t="s">
        <v>4308</v>
      </c>
      <c r="C8278" s="5" t="s">
        <v>40</v>
      </c>
      <c r="D8278" s="43">
        <v>40000</v>
      </c>
      <c r="E8278" s="43"/>
      <c r="F8278" s="48">
        <f t="shared" si="135"/>
        <v>464366.87096774206</v>
      </c>
    </row>
    <row r="8279" spans="1:6" x14ac:dyDescent="0.3">
      <c r="A8279" s="45">
        <v>44102</v>
      </c>
      <c r="B8279" s="5" t="s">
        <v>1074</v>
      </c>
      <c r="C8279" s="5" t="s">
        <v>6523</v>
      </c>
      <c r="D8279" s="43">
        <f>23118+14229</f>
        <v>37347</v>
      </c>
      <c r="E8279" s="43"/>
      <c r="F8279" s="48">
        <f t="shared" si="135"/>
        <v>427019.87096774206</v>
      </c>
    </row>
    <row r="8280" spans="1:6" x14ac:dyDescent="0.3">
      <c r="A8280" s="45">
        <v>44102</v>
      </c>
      <c r="B8280" s="5" t="s">
        <v>1074</v>
      </c>
      <c r="C8280" s="5" t="s">
        <v>6499</v>
      </c>
      <c r="D8280" s="43">
        <v>170098</v>
      </c>
      <c r="E8280" s="43"/>
      <c r="F8280" s="48">
        <f t="shared" si="135"/>
        <v>256921.87096774206</v>
      </c>
    </row>
    <row r="8281" spans="1:6" ht="37.5" x14ac:dyDescent="0.3">
      <c r="A8281" s="45">
        <v>44102</v>
      </c>
      <c r="B8281" s="5" t="s">
        <v>5709</v>
      </c>
      <c r="C8281" s="221" t="s">
        <v>6500</v>
      </c>
      <c r="D8281" s="42">
        <v>1000</v>
      </c>
      <c r="E8281" s="43"/>
      <c r="F8281" s="48">
        <f t="shared" si="135"/>
        <v>255921.87096774206</v>
      </c>
    </row>
    <row r="8282" spans="1:6" x14ac:dyDescent="0.3">
      <c r="A8282" s="45">
        <v>44102</v>
      </c>
      <c r="B8282" s="5" t="s">
        <v>6145</v>
      </c>
      <c r="C8282" s="5" t="s">
        <v>4572</v>
      </c>
      <c r="D8282" s="43">
        <v>6800</v>
      </c>
      <c r="E8282" s="43"/>
      <c r="F8282" s="48">
        <f t="shared" si="135"/>
        <v>249121.87096774206</v>
      </c>
    </row>
    <row r="8283" spans="1:6" x14ac:dyDescent="0.3">
      <c r="A8283" s="45">
        <v>44102</v>
      </c>
      <c r="B8283" s="5" t="s">
        <v>6501</v>
      </c>
      <c r="C8283" s="5" t="s">
        <v>294</v>
      </c>
      <c r="D8283" s="43">
        <v>98743</v>
      </c>
      <c r="E8283" s="43"/>
      <c r="F8283" s="48">
        <f t="shared" si="135"/>
        <v>150378.87096774206</v>
      </c>
    </row>
    <row r="8284" spans="1:6" x14ac:dyDescent="0.3">
      <c r="A8284" s="45">
        <v>44102</v>
      </c>
      <c r="B8284" s="5" t="s">
        <v>14</v>
      </c>
      <c r="C8284" s="5" t="s">
        <v>294</v>
      </c>
      <c r="D8284" s="43">
        <v>25000</v>
      </c>
      <c r="E8284" s="43"/>
      <c r="F8284" s="48">
        <f t="shared" si="135"/>
        <v>125378.87096774206</v>
      </c>
    </row>
    <row r="8285" spans="1:6" x14ac:dyDescent="0.3">
      <c r="A8285" s="45">
        <v>44102</v>
      </c>
      <c r="B8285" s="5" t="s">
        <v>247</v>
      </c>
      <c r="C8285" s="5" t="s">
        <v>6502</v>
      </c>
      <c r="D8285" s="43">
        <v>100</v>
      </c>
      <c r="E8285" s="43"/>
      <c r="F8285" s="48">
        <f t="shared" si="135"/>
        <v>125278.87096774206</v>
      </c>
    </row>
    <row r="8286" spans="1:6" x14ac:dyDescent="0.3">
      <c r="A8286" s="45">
        <v>44102</v>
      </c>
      <c r="B8286" s="5" t="s">
        <v>0</v>
      </c>
      <c r="C8286" s="5" t="s">
        <v>6504</v>
      </c>
      <c r="D8286" s="43">
        <v>5000</v>
      </c>
      <c r="E8286" s="43"/>
      <c r="F8286" s="48">
        <f t="shared" si="135"/>
        <v>120278.87096774206</v>
      </c>
    </row>
    <row r="8287" spans="1:6" x14ac:dyDescent="0.3">
      <c r="A8287" s="45">
        <v>44102</v>
      </c>
      <c r="B8287" s="5" t="s">
        <v>6341</v>
      </c>
      <c r="C8287" s="5" t="s">
        <v>6505</v>
      </c>
      <c r="D8287" s="43">
        <v>10000</v>
      </c>
      <c r="E8287" s="43"/>
      <c r="F8287" s="48">
        <f t="shared" si="135"/>
        <v>110278.87096774206</v>
      </c>
    </row>
    <row r="8288" spans="1:6" x14ac:dyDescent="0.3">
      <c r="A8288" s="45">
        <v>44102</v>
      </c>
      <c r="B8288" s="5" t="s">
        <v>541</v>
      </c>
      <c r="C8288" s="5" t="s">
        <v>6506</v>
      </c>
      <c r="D8288" s="43">
        <v>100000</v>
      </c>
      <c r="E8288" s="43"/>
      <c r="F8288" s="48">
        <f t="shared" si="135"/>
        <v>10278.870967742056</v>
      </c>
    </row>
    <row r="8289" spans="1:8" x14ac:dyDescent="0.3">
      <c r="A8289" s="45">
        <v>44102</v>
      </c>
      <c r="B8289" s="739" t="s">
        <v>6503</v>
      </c>
      <c r="C8289" s="739"/>
      <c r="D8289" s="739"/>
      <c r="E8289" s="43">
        <v>20000</v>
      </c>
      <c r="F8289" s="48">
        <f t="shared" ref="F8289:F8352" si="136">F8288+E8289-D8289</f>
        <v>30278.870967742056</v>
      </c>
    </row>
    <row r="8290" spans="1:8" x14ac:dyDescent="0.3">
      <c r="A8290" s="45">
        <v>44102</v>
      </c>
      <c r="B8290" s="739" t="s">
        <v>6503</v>
      </c>
      <c r="C8290" s="739"/>
      <c r="D8290" s="739"/>
      <c r="E8290" s="43">
        <v>1500</v>
      </c>
      <c r="F8290" s="48">
        <f t="shared" si="136"/>
        <v>31778.870967742056</v>
      </c>
    </row>
    <row r="8291" spans="1:8" x14ac:dyDescent="0.3">
      <c r="A8291" s="45">
        <v>44102</v>
      </c>
      <c r="B8291" s="5" t="s">
        <v>1012</v>
      </c>
      <c r="C8291" s="5" t="s">
        <v>6507</v>
      </c>
      <c r="D8291" s="43">
        <v>8000</v>
      </c>
      <c r="E8291" s="43"/>
      <c r="F8291" s="48">
        <f t="shared" si="136"/>
        <v>23778.870967742056</v>
      </c>
    </row>
    <row r="8292" spans="1:8" x14ac:dyDescent="0.3">
      <c r="A8292" s="45">
        <v>44102</v>
      </c>
      <c r="B8292" s="5" t="s">
        <v>25</v>
      </c>
      <c r="C8292" s="5" t="s">
        <v>6509</v>
      </c>
      <c r="D8292" s="43">
        <v>600</v>
      </c>
      <c r="E8292" s="43"/>
      <c r="F8292" s="48">
        <f t="shared" si="136"/>
        <v>23178.870967742056</v>
      </c>
    </row>
    <row r="8293" spans="1:8" x14ac:dyDescent="0.3">
      <c r="A8293" s="45">
        <v>44103</v>
      </c>
      <c r="B8293" s="739" t="s">
        <v>5653</v>
      </c>
      <c r="C8293" s="739"/>
      <c r="D8293" s="739"/>
      <c r="E8293" s="43">
        <v>500000</v>
      </c>
      <c r="F8293" s="48">
        <f t="shared" si="136"/>
        <v>523178.87096774206</v>
      </c>
    </row>
    <row r="8294" spans="1:8" x14ac:dyDescent="0.3">
      <c r="A8294" s="45">
        <v>44103</v>
      </c>
      <c r="B8294" s="5" t="s">
        <v>6510</v>
      </c>
      <c r="C8294" s="5" t="s">
        <v>6511</v>
      </c>
      <c r="D8294" s="43">
        <v>13000</v>
      </c>
      <c r="E8294" s="43"/>
      <c r="F8294" s="48">
        <f t="shared" si="136"/>
        <v>510178.87096774206</v>
      </c>
    </row>
    <row r="8295" spans="1:8" x14ac:dyDescent="0.3">
      <c r="A8295" s="45">
        <v>44103</v>
      </c>
      <c r="B8295" s="5" t="s">
        <v>541</v>
      </c>
      <c r="C8295" s="5" t="s">
        <v>6512</v>
      </c>
      <c r="D8295" s="43">
        <v>10000</v>
      </c>
      <c r="E8295" s="43"/>
      <c r="F8295" s="48">
        <f t="shared" si="136"/>
        <v>500178.87096774206</v>
      </c>
      <c r="H8295" s="229"/>
    </row>
    <row r="8296" spans="1:8" x14ac:dyDescent="0.3">
      <c r="A8296" s="45">
        <v>44103</v>
      </c>
      <c r="B8296" s="5" t="s">
        <v>25</v>
      </c>
      <c r="C8296" s="5" t="s">
        <v>6513</v>
      </c>
      <c r="D8296" s="43">
        <v>120</v>
      </c>
      <c r="E8296" s="43"/>
      <c r="F8296" s="48">
        <f t="shared" si="136"/>
        <v>500058.87096774206</v>
      </c>
    </row>
    <row r="8297" spans="1:8" x14ac:dyDescent="0.3">
      <c r="A8297" s="45">
        <v>44103</v>
      </c>
      <c r="B8297" s="5" t="s">
        <v>6514</v>
      </c>
      <c r="C8297" s="5" t="s">
        <v>6515</v>
      </c>
      <c r="D8297" s="43">
        <v>300000</v>
      </c>
      <c r="E8297" s="43"/>
      <c r="F8297" s="48">
        <f t="shared" si="136"/>
        <v>200058.87096774206</v>
      </c>
    </row>
    <row r="8298" spans="1:8" x14ac:dyDescent="0.3">
      <c r="A8298" s="45">
        <v>44103</v>
      </c>
      <c r="B8298" s="5" t="s">
        <v>2348</v>
      </c>
      <c r="C8298" s="5" t="s">
        <v>6516</v>
      </c>
      <c r="D8298" s="43">
        <v>27000</v>
      </c>
      <c r="E8298" s="43"/>
      <c r="F8298" s="48">
        <f t="shared" si="136"/>
        <v>173058.87096774206</v>
      </c>
    </row>
    <row r="8299" spans="1:8" x14ac:dyDescent="0.3">
      <c r="A8299" s="45">
        <v>44103</v>
      </c>
      <c r="B8299" s="5" t="s">
        <v>6355</v>
      </c>
      <c r="C8299" s="5" t="s">
        <v>6517</v>
      </c>
      <c r="D8299" s="43">
        <v>400</v>
      </c>
      <c r="E8299" s="43"/>
      <c r="F8299" s="48">
        <f t="shared" si="136"/>
        <v>172658.87096774206</v>
      </c>
    </row>
    <row r="8300" spans="1:8" x14ac:dyDescent="0.3">
      <c r="A8300" s="45">
        <v>44104</v>
      </c>
      <c r="B8300" s="5" t="s">
        <v>25</v>
      </c>
      <c r="C8300" s="5" t="s">
        <v>6361</v>
      </c>
      <c r="D8300" s="43">
        <f>400+70+20+20+60+150+40+40+110+120+180+80+150+70+110+90+250</f>
        <v>1960</v>
      </c>
      <c r="E8300" s="43"/>
      <c r="F8300" s="48">
        <f t="shared" si="136"/>
        <v>170698.87096774206</v>
      </c>
    </row>
    <row r="8301" spans="1:8" x14ac:dyDescent="0.3">
      <c r="A8301" s="45">
        <v>44104</v>
      </c>
      <c r="B8301" s="5" t="s">
        <v>4915</v>
      </c>
      <c r="C8301" s="5" t="s">
        <v>6518</v>
      </c>
      <c r="D8301" s="43">
        <v>5000</v>
      </c>
      <c r="E8301" s="43"/>
      <c r="F8301" s="48">
        <f t="shared" si="136"/>
        <v>165698.87096774206</v>
      </c>
    </row>
    <row r="8302" spans="1:8" x14ac:dyDescent="0.3">
      <c r="A8302" s="45">
        <v>44105</v>
      </c>
      <c r="B8302" s="5" t="s">
        <v>14</v>
      </c>
      <c r="C8302" s="5" t="s">
        <v>294</v>
      </c>
      <c r="D8302" s="43">
        <v>5000</v>
      </c>
      <c r="E8302" s="43"/>
      <c r="F8302" s="48">
        <f t="shared" si="136"/>
        <v>160698.87096774206</v>
      </c>
    </row>
    <row r="8303" spans="1:8" x14ac:dyDescent="0.3">
      <c r="A8303" s="45">
        <v>44105</v>
      </c>
      <c r="B8303" s="5" t="s">
        <v>84</v>
      </c>
      <c r="C8303" s="5" t="s">
        <v>6519</v>
      </c>
      <c r="D8303" s="43">
        <v>10000</v>
      </c>
      <c r="E8303" s="43"/>
      <c r="F8303" s="48">
        <f t="shared" si="136"/>
        <v>150698.87096774206</v>
      </c>
    </row>
    <row r="8304" spans="1:8" x14ac:dyDescent="0.3">
      <c r="A8304" s="45">
        <v>44105</v>
      </c>
      <c r="B8304" s="5" t="s">
        <v>6430</v>
      </c>
      <c r="C8304" s="5" t="s">
        <v>6524</v>
      </c>
      <c r="D8304" s="43">
        <v>1000</v>
      </c>
      <c r="E8304" s="43"/>
      <c r="F8304" s="48">
        <f t="shared" si="136"/>
        <v>149698.87096774206</v>
      </c>
    </row>
    <row r="8305" spans="1:6" x14ac:dyDescent="0.3">
      <c r="A8305" s="45">
        <v>44105</v>
      </c>
      <c r="B8305" s="5" t="s">
        <v>6430</v>
      </c>
      <c r="C8305" s="5" t="s">
        <v>6525</v>
      </c>
      <c r="D8305" s="43">
        <v>40000</v>
      </c>
      <c r="E8305" s="43"/>
      <c r="F8305" s="48">
        <f t="shared" si="136"/>
        <v>109698.87096774206</v>
      </c>
    </row>
    <row r="8306" spans="1:6" x14ac:dyDescent="0.3">
      <c r="A8306" s="45">
        <v>44105</v>
      </c>
      <c r="B8306" s="739" t="s">
        <v>5653</v>
      </c>
      <c r="C8306" s="739"/>
      <c r="D8306" s="739"/>
      <c r="E8306" s="43">
        <v>50000</v>
      </c>
      <c r="F8306" s="48">
        <f t="shared" si="136"/>
        <v>159698.87096774206</v>
      </c>
    </row>
    <row r="8307" spans="1:6" x14ac:dyDescent="0.3">
      <c r="A8307" s="45">
        <v>44105</v>
      </c>
      <c r="B8307" s="5" t="s">
        <v>6520</v>
      </c>
      <c r="C8307" s="5" t="s">
        <v>6521</v>
      </c>
      <c r="D8307" s="43">
        <v>30000</v>
      </c>
      <c r="E8307" s="43"/>
      <c r="F8307" s="48">
        <f t="shared" si="136"/>
        <v>129698.87096774206</v>
      </c>
    </row>
    <row r="8308" spans="1:6" x14ac:dyDescent="0.3">
      <c r="A8308" s="45">
        <v>44105</v>
      </c>
      <c r="B8308" s="5" t="s">
        <v>84</v>
      </c>
      <c r="C8308" s="5" t="s">
        <v>6475</v>
      </c>
      <c r="D8308" s="43">
        <v>200</v>
      </c>
      <c r="E8308" s="43"/>
      <c r="F8308" s="48">
        <f t="shared" si="136"/>
        <v>129498.87096774206</v>
      </c>
    </row>
    <row r="8309" spans="1:6" x14ac:dyDescent="0.3">
      <c r="A8309" s="45">
        <v>44106</v>
      </c>
      <c r="B8309" s="5" t="s">
        <v>14</v>
      </c>
      <c r="C8309" s="5" t="s">
        <v>294</v>
      </c>
      <c r="D8309" s="43">
        <v>50000</v>
      </c>
      <c r="E8309" s="43"/>
      <c r="F8309" s="48">
        <f t="shared" si="136"/>
        <v>79498.870967742056</v>
      </c>
    </row>
    <row r="8310" spans="1:6" x14ac:dyDescent="0.3">
      <c r="A8310" s="45">
        <v>44106</v>
      </c>
      <c r="B8310" s="5" t="s">
        <v>4869</v>
      </c>
      <c r="C8310" s="5" t="s">
        <v>40</v>
      </c>
      <c r="D8310" s="43">
        <v>4162</v>
      </c>
      <c r="E8310" s="43"/>
      <c r="F8310" s="48">
        <f t="shared" si="136"/>
        <v>75336.870967742056</v>
      </c>
    </row>
    <row r="8311" spans="1:6" x14ac:dyDescent="0.3">
      <c r="A8311" s="45">
        <v>44106</v>
      </c>
      <c r="B8311" s="5" t="s">
        <v>1074</v>
      </c>
      <c r="C8311" s="5" t="s">
        <v>6522</v>
      </c>
      <c r="D8311" s="43">
        <v>1785</v>
      </c>
      <c r="E8311" s="43"/>
      <c r="F8311" s="48">
        <f t="shared" si="136"/>
        <v>73551.870967742056</v>
      </c>
    </row>
    <row r="8312" spans="1:6" x14ac:dyDescent="0.3">
      <c r="A8312" s="45">
        <v>44106</v>
      </c>
      <c r="B8312" s="5" t="s">
        <v>541</v>
      </c>
      <c r="C8312" s="5" t="s">
        <v>6526</v>
      </c>
      <c r="D8312" s="43">
        <v>1020</v>
      </c>
      <c r="E8312" s="43"/>
      <c r="F8312" s="48">
        <f t="shared" si="136"/>
        <v>72531.870967742056</v>
      </c>
    </row>
    <row r="8313" spans="1:6" x14ac:dyDescent="0.3">
      <c r="A8313" s="45">
        <v>44107</v>
      </c>
      <c r="B8313" s="5" t="s">
        <v>1012</v>
      </c>
      <c r="C8313" s="5" t="s">
        <v>6527</v>
      </c>
      <c r="D8313" s="43">
        <v>2500</v>
      </c>
      <c r="E8313" s="43"/>
      <c r="F8313" s="48">
        <f t="shared" si="136"/>
        <v>70031.870967742056</v>
      </c>
    </row>
    <row r="8314" spans="1:6" x14ac:dyDescent="0.3">
      <c r="A8314" s="45">
        <v>44107</v>
      </c>
      <c r="B8314" s="5" t="s">
        <v>18</v>
      </c>
      <c r="C8314" s="5" t="s">
        <v>6528</v>
      </c>
      <c r="D8314" s="43">
        <v>7000</v>
      </c>
      <c r="E8314" s="43"/>
      <c r="F8314" s="48">
        <f t="shared" si="136"/>
        <v>63031.870967742056</v>
      </c>
    </row>
    <row r="8315" spans="1:6" x14ac:dyDescent="0.3">
      <c r="A8315" s="45">
        <v>44107</v>
      </c>
      <c r="B8315" s="5" t="s">
        <v>6430</v>
      </c>
      <c r="C8315" s="5" t="s">
        <v>6529</v>
      </c>
      <c r="D8315" s="43">
        <v>10000</v>
      </c>
      <c r="E8315" s="43"/>
      <c r="F8315" s="48">
        <f t="shared" si="136"/>
        <v>53031.870967742056</v>
      </c>
    </row>
    <row r="8316" spans="1:6" x14ac:dyDescent="0.3">
      <c r="A8316" s="45">
        <v>44107</v>
      </c>
      <c r="B8316" s="5" t="s">
        <v>84</v>
      </c>
      <c r="C8316" s="5" t="s">
        <v>6475</v>
      </c>
      <c r="D8316" s="43">
        <v>100</v>
      </c>
      <c r="E8316" s="43"/>
      <c r="F8316" s="48">
        <f t="shared" si="136"/>
        <v>52931.870967742056</v>
      </c>
    </row>
    <row r="8317" spans="1:6" x14ac:dyDescent="0.3">
      <c r="A8317" s="45">
        <v>44107</v>
      </c>
      <c r="B8317" s="5" t="s">
        <v>5162</v>
      </c>
      <c r="C8317" s="5" t="s">
        <v>6567</v>
      </c>
      <c r="D8317" s="43">
        <v>600</v>
      </c>
      <c r="E8317" s="43"/>
      <c r="F8317" s="48">
        <f t="shared" si="136"/>
        <v>52331.870967742056</v>
      </c>
    </row>
    <row r="8318" spans="1:6" x14ac:dyDescent="0.3">
      <c r="A8318" s="45">
        <v>44109</v>
      </c>
      <c r="B8318" s="5" t="s">
        <v>14</v>
      </c>
      <c r="C8318" s="5" t="s">
        <v>6530</v>
      </c>
      <c r="D8318" s="43">
        <v>23634</v>
      </c>
      <c r="E8318" s="43"/>
      <c r="F8318" s="48">
        <f t="shared" si="136"/>
        <v>28697.870967742056</v>
      </c>
    </row>
    <row r="8319" spans="1:6" x14ac:dyDescent="0.3">
      <c r="A8319" s="45">
        <v>44109</v>
      </c>
      <c r="B8319" s="5" t="s">
        <v>25</v>
      </c>
      <c r="C8319" s="5" t="s">
        <v>6361</v>
      </c>
      <c r="D8319" s="43">
        <f>500+510+40+100+40+120+30+330+40+40+450+20+110+150+120+500+140+300+100+120+100</f>
        <v>3860</v>
      </c>
      <c r="E8319" s="43"/>
      <c r="F8319" s="48">
        <f t="shared" si="136"/>
        <v>24837.870967742056</v>
      </c>
    </row>
    <row r="8320" spans="1:6" x14ac:dyDescent="0.3">
      <c r="A8320" s="45">
        <v>44109</v>
      </c>
      <c r="B8320" s="5" t="s">
        <v>247</v>
      </c>
      <c r="C8320" s="5" t="s">
        <v>6502</v>
      </c>
      <c r="D8320" s="43">
        <v>100</v>
      </c>
      <c r="E8320" s="43"/>
      <c r="F8320" s="48">
        <f t="shared" si="136"/>
        <v>24737.870967742056</v>
      </c>
    </row>
    <row r="8321" spans="1:6" x14ac:dyDescent="0.3">
      <c r="A8321" s="45">
        <v>44109</v>
      </c>
      <c r="B8321" s="739" t="s">
        <v>5653</v>
      </c>
      <c r="C8321" s="739"/>
      <c r="D8321" s="739"/>
      <c r="E8321" s="43">
        <v>400000</v>
      </c>
      <c r="F8321" s="48">
        <f t="shared" si="136"/>
        <v>424737.87096774206</v>
      </c>
    </row>
    <row r="8322" spans="1:6" x14ac:dyDescent="0.3">
      <c r="A8322" s="45">
        <v>44109</v>
      </c>
      <c r="B8322" s="39" t="s">
        <v>1512</v>
      </c>
      <c r="C8322" s="39" t="s">
        <v>6531</v>
      </c>
      <c r="D8322" s="40">
        <v>41730</v>
      </c>
      <c r="E8322" s="43"/>
      <c r="F8322" s="48">
        <f t="shared" si="136"/>
        <v>383007.87096774206</v>
      </c>
    </row>
    <row r="8323" spans="1:6" x14ac:dyDescent="0.3">
      <c r="A8323" s="45">
        <v>44109</v>
      </c>
      <c r="B8323" s="39" t="s">
        <v>1512</v>
      </c>
      <c r="C8323" s="39" t="s">
        <v>6532</v>
      </c>
      <c r="D8323" s="40">
        <v>5000</v>
      </c>
      <c r="E8323" s="43"/>
      <c r="F8323" s="48">
        <f t="shared" si="136"/>
        <v>378007.87096774206</v>
      </c>
    </row>
    <row r="8324" spans="1:6" x14ac:dyDescent="0.3">
      <c r="A8324" s="45">
        <v>44109</v>
      </c>
      <c r="B8324" s="5" t="s">
        <v>25</v>
      </c>
      <c r="C8324" s="5" t="s">
        <v>6533</v>
      </c>
      <c r="D8324" s="43">
        <v>100</v>
      </c>
      <c r="E8324" s="43"/>
      <c r="F8324" s="48">
        <f t="shared" si="136"/>
        <v>377907.87096774206</v>
      </c>
    </row>
    <row r="8325" spans="1:6" x14ac:dyDescent="0.3">
      <c r="A8325" s="45">
        <v>44109</v>
      </c>
      <c r="B8325" s="5" t="s">
        <v>0</v>
      </c>
      <c r="C8325" s="5" t="s">
        <v>294</v>
      </c>
      <c r="D8325" s="43">
        <v>5000</v>
      </c>
      <c r="E8325" s="43"/>
      <c r="F8325" s="48">
        <f t="shared" si="136"/>
        <v>372907.87096774206</v>
      </c>
    </row>
    <row r="8326" spans="1:6" x14ac:dyDescent="0.3">
      <c r="A8326" s="45">
        <v>44109</v>
      </c>
      <c r="B8326" s="5" t="s">
        <v>1787</v>
      </c>
      <c r="C8326" s="5" t="s">
        <v>6534</v>
      </c>
      <c r="D8326" s="43">
        <v>1500</v>
      </c>
      <c r="E8326" s="43"/>
      <c r="F8326" s="48">
        <f t="shared" si="136"/>
        <v>371407.87096774206</v>
      </c>
    </row>
    <row r="8327" spans="1:6" ht="37.5" x14ac:dyDescent="0.3">
      <c r="A8327" s="45">
        <v>44109</v>
      </c>
      <c r="B8327" s="5" t="s">
        <v>1970</v>
      </c>
      <c r="C8327" s="92" t="s">
        <v>6535</v>
      </c>
      <c r="D8327" s="43">
        <v>25000</v>
      </c>
      <c r="E8327" s="43"/>
      <c r="F8327" s="48">
        <f t="shared" si="136"/>
        <v>346407.87096774206</v>
      </c>
    </row>
    <row r="8328" spans="1:6" x14ac:dyDescent="0.3">
      <c r="A8328" s="45">
        <v>44109</v>
      </c>
      <c r="B8328" s="5" t="s">
        <v>6171</v>
      </c>
      <c r="C8328" s="5" t="s">
        <v>6536</v>
      </c>
      <c r="D8328" s="43">
        <v>15000</v>
      </c>
      <c r="E8328" s="43"/>
      <c r="F8328" s="48">
        <f t="shared" si="136"/>
        <v>331407.87096774206</v>
      </c>
    </row>
    <row r="8329" spans="1:6" x14ac:dyDescent="0.3">
      <c r="A8329" s="45">
        <v>44109</v>
      </c>
      <c r="B8329" s="39" t="s">
        <v>1512</v>
      </c>
      <c r="C8329" s="39" t="s">
        <v>6537</v>
      </c>
      <c r="D8329" s="40">
        <v>34700</v>
      </c>
      <c r="E8329" s="43"/>
      <c r="F8329" s="48">
        <f t="shared" si="136"/>
        <v>296707.87096774206</v>
      </c>
    </row>
    <row r="8330" spans="1:6" x14ac:dyDescent="0.3">
      <c r="A8330" s="45">
        <v>44109</v>
      </c>
      <c r="B8330" s="5" t="s">
        <v>25</v>
      </c>
      <c r="C8330" s="5" t="s">
        <v>3563</v>
      </c>
      <c r="D8330" s="43">
        <v>5000</v>
      </c>
      <c r="E8330" s="43"/>
      <c r="F8330" s="48">
        <f t="shared" si="136"/>
        <v>291707.87096774206</v>
      </c>
    </row>
    <row r="8331" spans="1:6" x14ac:dyDescent="0.3">
      <c r="A8331" s="45">
        <v>44110</v>
      </c>
      <c r="B8331" s="5" t="s">
        <v>14</v>
      </c>
      <c r="C8331" s="5" t="s">
        <v>294</v>
      </c>
      <c r="D8331" s="43">
        <v>50000</v>
      </c>
      <c r="E8331" s="43"/>
      <c r="F8331" s="48">
        <f t="shared" si="136"/>
        <v>241707.87096774206</v>
      </c>
    </row>
    <row r="8332" spans="1:6" x14ac:dyDescent="0.3">
      <c r="A8332" s="45">
        <v>44110</v>
      </c>
      <c r="B8332" s="5" t="s">
        <v>25</v>
      </c>
      <c r="C8332" s="5" t="s">
        <v>6538</v>
      </c>
      <c r="D8332" s="43">
        <v>4006</v>
      </c>
      <c r="E8332" s="43"/>
      <c r="F8332" s="48">
        <f t="shared" si="136"/>
        <v>237701.87096774206</v>
      </c>
    </row>
    <row r="8333" spans="1:6" x14ac:dyDescent="0.3">
      <c r="A8333" s="45">
        <v>44110</v>
      </c>
      <c r="B8333" s="5" t="s">
        <v>0</v>
      </c>
      <c r="C8333" s="5" t="s">
        <v>6539</v>
      </c>
      <c r="D8333" s="43">
        <v>100</v>
      </c>
      <c r="E8333" s="43"/>
      <c r="F8333" s="48">
        <f t="shared" si="136"/>
        <v>237601.87096774206</v>
      </c>
    </row>
    <row r="8334" spans="1:6" x14ac:dyDescent="0.3">
      <c r="A8334" s="45">
        <v>44110</v>
      </c>
      <c r="B8334" s="5" t="s">
        <v>6540</v>
      </c>
      <c r="C8334" s="5" t="s">
        <v>6541</v>
      </c>
      <c r="D8334" s="43">
        <v>3500</v>
      </c>
      <c r="E8334" s="43"/>
      <c r="F8334" s="48">
        <f t="shared" si="136"/>
        <v>234101.87096774206</v>
      </c>
    </row>
    <row r="8335" spans="1:6" x14ac:dyDescent="0.3">
      <c r="A8335" s="45">
        <v>44110</v>
      </c>
      <c r="B8335" s="5" t="s">
        <v>84</v>
      </c>
      <c r="C8335" s="5" t="s">
        <v>6475</v>
      </c>
      <c r="D8335" s="43">
        <f>100+100+1000</f>
        <v>1200</v>
      </c>
      <c r="E8335" s="43"/>
      <c r="F8335" s="48">
        <f t="shared" si="136"/>
        <v>232901.87096774206</v>
      </c>
    </row>
    <row r="8336" spans="1:6" x14ac:dyDescent="0.3">
      <c r="A8336" s="45">
        <v>44110</v>
      </c>
      <c r="B8336" s="5" t="s">
        <v>18</v>
      </c>
      <c r="C8336" s="5" t="s">
        <v>6544</v>
      </c>
      <c r="D8336" s="43">
        <v>730</v>
      </c>
      <c r="E8336" s="43"/>
      <c r="F8336" s="48">
        <f t="shared" si="136"/>
        <v>232171.87096774206</v>
      </c>
    </row>
    <row r="8337" spans="1:6" x14ac:dyDescent="0.3">
      <c r="A8337" s="45">
        <v>44110</v>
      </c>
      <c r="B8337" s="5" t="s">
        <v>84</v>
      </c>
      <c r="C8337" s="5" t="s">
        <v>6542</v>
      </c>
      <c r="D8337" s="43">
        <v>10000</v>
      </c>
      <c r="E8337" s="43"/>
      <c r="F8337" s="48">
        <f t="shared" si="136"/>
        <v>222171.87096774206</v>
      </c>
    </row>
    <row r="8338" spans="1:6" x14ac:dyDescent="0.3">
      <c r="A8338" s="45">
        <v>44111</v>
      </c>
      <c r="B8338" s="5" t="s">
        <v>25</v>
      </c>
      <c r="C8338" s="5" t="s">
        <v>6543</v>
      </c>
      <c r="D8338" s="43">
        <v>2000</v>
      </c>
      <c r="E8338" s="43"/>
      <c r="F8338" s="48">
        <f t="shared" si="136"/>
        <v>220171.87096774206</v>
      </c>
    </row>
    <row r="8339" spans="1:6" x14ac:dyDescent="0.3">
      <c r="A8339" s="45">
        <v>44111</v>
      </c>
      <c r="B8339" s="5" t="s">
        <v>640</v>
      </c>
      <c r="C8339" s="5" t="s">
        <v>14</v>
      </c>
      <c r="D8339" s="43">
        <v>1000</v>
      </c>
      <c r="E8339" s="43"/>
      <c r="F8339" s="48">
        <f t="shared" si="136"/>
        <v>219171.87096774206</v>
      </c>
    </row>
    <row r="8340" spans="1:6" x14ac:dyDescent="0.3">
      <c r="A8340" s="45">
        <v>44111</v>
      </c>
      <c r="B8340" s="5" t="s">
        <v>11</v>
      </c>
      <c r="C8340" s="5" t="s">
        <v>6545</v>
      </c>
      <c r="D8340" s="43">
        <v>400</v>
      </c>
      <c r="E8340" s="43"/>
      <c r="F8340" s="48">
        <f t="shared" si="136"/>
        <v>218771.87096774206</v>
      </c>
    </row>
    <row r="8341" spans="1:6" x14ac:dyDescent="0.3">
      <c r="A8341" s="45">
        <v>44111</v>
      </c>
      <c r="B8341" s="39" t="s">
        <v>1512</v>
      </c>
      <c r="C8341" s="39" t="s">
        <v>6546</v>
      </c>
      <c r="D8341" s="40">
        <v>109842</v>
      </c>
      <c r="E8341" s="43"/>
      <c r="F8341" s="48">
        <f t="shared" si="136"/>
        <v>108929.87096774206</v>
      </c>
    </row>
    <row r="8342" spans="1:6" x14ac:dyDescent="0.3">
      <c r="A8342" s="45">
        <v>44111</v>
      </c>
      <c r="B8342" s="39" t="s">
        <v>1512</v>
      </c>
      <c r="C8342" s="39" t="s">
        <v>6387</v>
      </c>
      <c r="D8342" s="40">
        <v>91267</v>
      </c>
      <c r="E8342" s="43"/>
      <c r="F8342" s="48">
        <f t="shared" si="136"/>
        <v>17662.870967742056</v>
      </c>
    </row>
    <row r="8343" spans="1:6" x14ac:dyDescent="0.3">
      <c r="A8343" s="45">
        <v>44111</v>
      </c>
      <c r="B8343" s="5" t="s">
        <v>10</v>
      </c>
      <c r="C8343" s="5" t="s">
        <v>6547</v>
      </c>
      <c r="D8343" s="43">
        <v>2000</v>
      </c>
      <c r="E8343" s="43"/>
      <c r="F8343" s="48">
        <f t="shared" si="136"/>
        <v>15662.870967742056</v>
      </c>
    </row>
    <row r="8344" spans="1:6" ht="37.5" x14ac:dyDescent="0.3">
      <c r="A8344" s="45">
        <v>44111</v>
      </c>
      <c r="B8344" s="234" t="s">
        <v>10</v>
      </c>
      <c r="C8344" s="235" t="s">
        <v>6548</v>
      </c>
      <c r="D8344" s="43">
        <v>2000</v>
      </c>
      <c r="E8344" s="43"/>
      <c r="F8344" s="48">
        <f t="shared" si="136"/>
        <v>13662.870967742056</v>
      </c>
    </row>
    <row r="8345" spans="1:6" x14ac:dyDescent="0.3">
      <c r="A8345" s="45">
        <v>44111</v>
      </c>
      <c r="B8345" s="5" t="s">
        <v>84</v>
      </c>
      <c r="C8345" s="5" t="s">
        <v>6549</v>
      </c>
      <c r="D8345" s="43">
        <v>500</v>
      </c>
      <c r="E8345" s="43"/>
      <c r="F8345" s="48">
        <f t="shared" si="136"/>
        <v>13162.870967742056</v>
      </c>
    </row>
    <row r="8346" spans="1:6" x14ac:dyDescent="0.3">
      <c r="A8346" s="45">
        <v>44111</v>
      </c>
      <c r="B8346" s="5" t="s">
        <v>5156</v>
      </c>
      <c r="C8346" s="5" t="s">
        <v>6475</v>
      </c>
      <c r="D8346" s="65">
        <v>900</v>
      </c>
      <c r="E8346" s="43"/>
      <c r="F8346" s="48">
        <f t="shared" si="136"/>
        <v>12262.870967742056</v>
      </c>
    </row>
    <row r="8347" spans="1:6" x14ac:dyDescent="0.3">
      <c r="A8347" s="45">
        <v>44112</v>
      </c>
      <c r="B8347" s="5" t="s">
        <v>14</v>
      </c>
      <c r="C8347" s="5" t="s">
        <v>294</v>
      </c>
      <c r="D8347" s="43">
        <v>3000</v>
      </c>
      <c r="E8347" s="43"/>
      <c r="F8347" s="48">
        <f t="shared" si="136"/>
        <v>9262.8709677420557</v>
      </c>
    </row>
    <row r="8348" spans="1:6" x14ac:dyDescent="0.3">
      <c r="A8348" s="45">
        <v>44112</v>
      </c>
      <c r="B8348" s="739" t="s">
        <v>5653</v>
      </c>
      <c r="C8348" s="739"/>
      <c r="D8348" s="739"/>
      <c r="E8348" s="43">
        <v>299000</v>
      </c>
      <c r="F8348" s="48">
        <f t="shared" si="136"/>
        <v>308262.87096774206</v>
      </c>
    </row>
    <row r="8349" spans="1:6" x14ac:dyDescent="0.3">
      <c r="A8349" s="45">
        <v>44112</v>
      </c>
      <c r="B8349" s="739" t="s">
        <v>5653</v>
      </c>
      <c r="C8349" s="739"/>
      <c r="D8349" s="739"/>
      <c r="E8349" s="43">
        <v>500000</v>
      </c>
      <c r="F8349" s="48">
        <f t="shared" si="136"/>
        <v>808262.87096774206</v>
      </c>
    </row>
    <row r="8350" spans="1:6" x14ac:dyDescent="0.3">
      <c r="A8350" s="45">
        <v>44112</v>
      </c>
      <c r="B8350" s="5" t="s">
        <v>18</v>
      </c>
      <c r="C8350" s="5" t="s">
        <v>6551</v>
      </c>
      <c r="D8350" s="43">
        <v>2000</v>
      </c>
      <c r="E8350" s="43"/>
      <c r="F8350" s="48">
        <f t="shared" si="136"/>
        <v>806262.87096774206</v>
      </c>
    </row>
    <row r="8351" spans="1:6" x14ac:dyDescent="0.3">
      <c r="A8351" s="45">
        <v>44112</v>
      </c>
      <c r="B8351" s="5" t="s">
        <v>541</v>
      </c>
      <c r="C8351" s="5" t="s">
        <v>6552</v>
      </c>
      <c r="D8351" s="43">
        <v>680</v>
      </c>
      <c r="E8351" s="43"/>
      <c r="F8351" s="48">
        <f t="shared" si="136"/>
        <v>805582.87096774206</v>
      </c>
    </row>
    <row r="8352" spans="1:6" x14ac:dyDescent="0.3">
      <c r="A8352" s="45">
        <v>44113</v>
      </c>
      <c r="B8352" s="5" t="s">
        <v>14</v>
      </c>
      <c r="C8352" s="5" t="s">
        <v>6554</v>
      </c>
      <c r="D8352" s="43">
        <v>5000</v>
      </c>
      <c r="E8352" s="43"/>
      <c r="F8352" s="48">
        <f t="shared" si="136"/>
        <v>800582.87096774206</v>
      </c>
    </row>
    <row r="8353" spans="1:6" x14ac:dyDescent="0.3">
      <c r="A8353" s="45">
        <v>44113</v>
      </c>
      <c r="B8353" s="5" t="s">
        <v>0</v>
      </c>
      <c r="C8353" s="5" t="s">
        <v>6555</v>
      </c>
      <c r="D8353" s="43">
        <v>5000</v>
      </c>
      <c r="E8353" s="43"/>
      <c r="F8353" s="48">
        <f t="shared" ref="F8353:F8416" si="137">F8352+E8353-D8353</f>
        <v>795582.87096774206</v>
      </c>
    </row>
    <row r="8354" spans="1:6" x14ac:dyDescent="0.3">
      <c r="A8354" s="45">
        <v>44113</v>
      </c>
      <c r="B8354" s="5" t="s">
        <v>25</v>
      </c>
      <c r="C8354" s="5" t="s">
        <v>6361</v>
      </c>
      <c r="D8354" s="43">
        <f>400+60+1400+870+270+120+350+140+90+110+70+190+320+90+120+120+200</f>
        <v>4920</v>
      </c>
      <c r="E8354" s="43"/>
      <c r="F8354" s="48">
        <f t="shared" si="137"/>
        <v>790662.87096774206</v>
      </c>
    </row>
    <row r="8355" spans="1:6" x14ac:dyDescent="0.3">
      <c r="A8355" s="45">
        <v>44113</v>
      </c>
      <c r="B8355" s="39" t="s">
        <v>1512</v>
      </c>
      <c r="C8355" s="39" t="s">
        <v>6556</v>
      </c>
      <c r="D8355" s="40">
        <v>74175</v>
      </c>
      <c r="E8355" s="43"/>
      <c r="F8355" s="48">
        <f t="shared" si="137"/>
        <v>716487.87096774206</v>
      </c>
    </row>
    <row r="8356" spans="1:6" x14ac:dyDescent="0.3">
      <c r="A8356" s="45">
        <v>44113</v>
      </c>
      <c r="B8356" s="39" t="s">
        <v>1512</v>
      </c>
      <c r="C8356" s="39" t="s">
        <v>6557</v>
      </c>
      <c r="D8356" s="40">
        <v>99416</v>
      </c>
      <c r="E8356" s="43"/>
      <c r="F8356" s="48">
        <f t="shared" si="137"/>
        <v>617071.87096774206</v>
      </c>
    </row>
    <row r="8357" spans="1:6" x14ac:dyDescent="0.3">
      <c r="A8357" s="45">
        <v>44113</v>
      </c>
      <c r="B8357" s="39" t="s">
        <v>1512</v>
      </c>
      <c r="C8357" s="39" t="s">
        <v>6558</v>
      </c>
      <c r="D8357" s="40">
        <v>29300</v>
      </c>
      <c r="E8357" s="43"/>
      <c r="F8357" s="48">
        <f t="shared" si="137"/>
        <v>587771.87096774206</v>
      </c>
    </row>
    <row r="8358" spans="1:6" x14ac:dyDescent="0.3">
      <c r="A8358" s="45">
        <v>44113</v>
      </c>
      <c r="B8358" s="39" t="s">
        <v>1512</v>
      </c>
      <c r="C8358" s="39" t="s">
        <v>6559</v>
      </c>
      <c r="D8358" s="40">
        <v>84190</v>
      </c>
      <c r="E8358" s="43"/>
      <c r="F8358" s="48">
        <f t="shared" si="137"/>
        <v>503581.87096774206</v>
      </c>
    </row>
    <row r="8359" spans="1:6" x14ac:dyDescent="0.3">
      <c r="A8359" s="45">
        <v>44113</v>
      </c>
      <c r="B8359" s="39" t="s">
        <v>1512</v>
      </c>
      <c r="C8359" s="39" t="s">
        <v>6560</v>
      </c>
      <c r="D8359" s="40">
        <v>258278</v>
      </c>
      <c r="E8359" s="43"/>
      <c r="F8359" s="48">
        <f t="shared" si="137"/>
        <v>245303.87096774206</v>
      </c>
    </row>
    <row r="8360" spans="1:6" x14ac:dyDescent="0.3">
      <c r="A8360" s="45">
        <v>44113</v>
      </c>
      <c r="B8360" s="39" t="s">
        <v>1512</v>
      </c>
      <c r="C8360" s="39" t="s">
        <v>6561</v>
      </c>
      <c r="D8360" s="40">
        <v>20190</v>
      </c>
      <c r="E8360" s="43"/>
      <c r="F8360" s="48">
        <f t="shared" si="137"/>
        <v>225113.87096774206</v>
      </c>
    </row>
    <row r="8361" spans="1:6" x14ac:dyDescent="0.3">
      <c r="A8361" s="45">
        <v>44113</v>
      </c>
      <c r="B8361" s="5" t="s">
        <v>5162</v>
      </c>
      <c r="C8361" s="5" t="s">
        <v>2013</v>
      </c>
      <c r="D8361" s="43">
        <v>100</v>
      </c>
      <c r="E8361" s="43"/>
      <c r="F8361" s="48">
        <f t="shared" si="137"/>
        <v>225013.87096774206</v>
      </c>
    </row>
    <row r="8362" spans="1:6" x14ac:dyDescent="0.3">
      <c r="A8362" s="45">
        <v>44113</v>
      </c>
      <c r="B8362" s="5" t="s">
        <v>1616</v>
      </c>
      <c r="C8362" s="5" t="s">
        <v>5508</v>
      </c>
      <c r="D8362" s="43">
        <v>1845</v>
      </c>
      <c r="E8362" s="43"/>
      <c r="F8362" s="48">
        <f t="shared" si="137"/>
        <v>223168.87096774206</v>
      </c>
    </row>
    <row r="8363" spans="1:6" x14ac:dyDescent="0.3">
      <c r="A8363" s="45">
        <v>44113</v>
      </c>
      <c r="B8363" s="5" t="s">
        <v>110</v>
      </c>
      <c r="C8363" s="5" t="s">
        <v>6562</v>
      </c>
      <c r="D8363" s="43">
        <v>31150</v>
      </c>
      <c r="E8363" s="43"/>
      <c r="F8363" s="48">
        <f t="shared" si="137"/>
        <v>192018.87096774206</v>
      </c>
    </row>
    <row r="8364" spans="1:6" x14ac:dyDescent="0.3">
      <c r="A8364" s="45">
        <v>44114</v>
      </c>
      <c r="B8364" s="5" t="s">
        <v>14</v>
      </c>
      <c r="C8364" s="5" t="s">
        <v>294</v>
      </c>
      <c r="D8364" s="43">
        <v>15000</v>
      </c>
      <c r="E8364" s="43"/>
      <c r="F8364" s="48">
        <f t="shared" si="137"/>
        <v>177018.87096774206</v>
      </c>
    </row>
    <row r="8365" spans="1:6" x14ac:dyDescent="0.3">
      <c r="A8365" s="45">
        <v>44114</v>
      </c>
      <c r="B8365" s="5" t="s">
        <v>84</v>
      </c>
      <c r="C8365" s="5" t="s">
        <v>6563</v>
      </c>
      <c r="D8365" s="43">
        <v>1500</v>
      </c>
      <c r="E8365" s="43"/>
      <c r="F8365" s="48">
        <f t="shared" si="137"/>
        <v>175518.87096774206</v>
      </c>
    </row>
    <row r="8366" spans="1:6" x14ac:dyDescent="0.3">
      <c r="A8366" s="45">
        <v>44114</v>
      </c>
      <c r="B8366" s="5" t="s">
        <v>1616</v>
      </c>
      <c r="C8366" s="5" t="s">
        <v>3703</v>
      </c>
      <c r="D8366" s="43">
        <v>1500</v>
      </c>
      <c r="E8366" s="43"/>
      <c r="F8366" s="48">
        <f t="shared" si="137"/>
        <v>174018.87096774206</v>
      </c>
    </row>
    <row r="8367" spans="1:6" x14ac:dyDescent="0.3">
      <c r="A8367" s="45">
        <v>44114</v>
      </c>
      <c r="B8367" s="5" t="s">
        <v>84</v>
      </c>
      <c r="C8367" s="5" t="s">
        <v>6475</v>
      </c>
      <c r="D8367" s="43">
        <v>500</v>
      </c>
      <c r="E8367" s="43"/>
      <c r="F8367" s="48">
        <f t="shared" si="137"/>
        <v>173518.87096774206</v>
      </c>
    </row>
    <row r="8368" spans="1:6" x14ac:dyDescent="0.3">
      <c r="A8368" s="45">
        <v>44114</v>
      </c>
      <c r="B8368" s="5" t="s">
        <v>0</v>
      </c>
      <c r="C8368" s="5" t="s">
        <v>6528</v>
      </c>
      <c r="D8368" s="43">
        <v>100000</v>
      </c>
      <c r="E8368" s="43"/>
      <c r="F8368" s="48">
        <f t="shared" si="137"/>
        <v>73518.870967742056</v>
      </c>
    </row>
    <row r="8369" spans="1:6" x14ac:dyDescent="0.3">
      <c r="A8369" s="45">
        <v>44114</v>
      </c>
      <c r="B8369" s="39" t="s">
        <v>1512</v>
      </c>
      <c r="C8369" s="39" t="s">
        <v>6564</v>
      </c>
      <c r="D8369" s="40">
        <v>19300</v>
      </c>
      <c r="E8369" s="43"/>
      <c r="F8369" s="48">
        <f t="shared" si="137"/>
        <v>54218.870967742056</v>
      </c>
    </row>
    <row r="8370" spans="1:6" x14ac:dyDescent="0.3">
      <c r="A8370" s="45">
        <v>44114</v>
      </c>
      <c r="B8370" s="39" t="s">
        <v>1512</v>
      </c>
      <c r="C8370" s="39" t="s">
        <v>6593</v>
      </c>
      <c r="D8370" s="40">
        <v>22230</v>
      </c>
      <c r="E8370" s="43"/>
      <c r="F8370" s="48">
        <f t="shared" si="137"/>
        <v>31988.870967742056</v>
      </c>
    </row>
    <row r="8371" spans="1:6" x14ac:dyDescent="0.3">
      <c r="A8371" s="45">
        <v>44114</v>
      </c>
      <c r="B8371" s="739" t="s">
        <v>5653</v>
      </c>
      <c r="C8371" s="739"/>
      <c r="D8371" s="739"/>
      <c r="E8371" s="43">
        <v>200000</v>
      </c>
      <c r="F8371" s="48">
        <f t="shared" si="137"/>
        <v>231988.87096774206</v>
      </c>
    </row>
    <row r="8372" spans="1:6" x14ac:dyDescent="0.3">
      <c r="A8372" s="45">
        <v>44116</v>
      </c>
      <c r="B8372" s="41" t="s">
        <v>57</v>
      </c>
      <c r="C8372" s="41" t="s">
        <v>6565</v>
      </c>
      <c r="D8372" s="43">
        <v>25000</v>
      </c>
      <c r="E8372" s="43"/>
      <c r="F8372" s="48">
        <f t="shared" si="137"/>
        <v>206988.87096774206</v>
      </c>
    </row>
    <row r="8373" spans="1:6" x14ac:dyDescent="0.3">
      <c r="A8373" s="45">
        <v>44116</v>
      </c>
      <c r="B8373" s="5" t="s">
        <v>6572</v>
      </c>
      <c r="C8373" s="5" t="s">
        <v>6573</v>
      </c>
      <c r="D8373" s="43">
        <v>72500</v>
      </c>
      <c r="E8373" s="43"/>
      <c r="F8373" s="48">
        <f t="shared" si="137"/>
        <v>134488.87096774206</v>
      </c>
    </row>
    <row r="8374" spans="1:6" x14ac:dyDescent="0.3">
      <c r="A8374" s="45">
        <v>44116</v>
      </c>
      <c r="B8374" s="749" t="s">
        <v>6566</v>
      </c>
      <c r="C8374" s="750"/>
      <c r="D8374" s="751"/>
      <c r="E8374" s="43">
        <v>700</v>
      </c>
      <c r="F8374" s="48">
        <f t="shared" si="137"/>
        <v>135188.87096774206</v>
      </c>
    </row>
    <row r="8375" spans="1:6" x14ac:dyDescent="0.3">
      <c r="A8375" s="45">
        <v>44116</v>
      </c>
      <c r="B8375" s="5" t="s">
        <v>5162</v>
      </c>
      <c r="C8375" s="5" t="s">
        <v>6568</v>
      </c>
      <c r="D8375" s="43">
        <v>600</v>
      </c>
      <c r="E8375" s="43"/>
      <c r="F8375" s="48">
        <f t="shared" si="137"/>
        <v>134588.87096774206</v>
      </c>
    </row>
    <row r="8376" spans="1:6" x14ac:dyDescent="0.3">
      <c r="A8376" s="45">
        <v>44116</v>
      </c>
      <c r="B8376" s="5" t="s">
        <v>6570</v>
      </c>
      <c r="C8376" s="5" t="s">
        <v>6571</v>
      </c>
      <c r="D8376" s="43">
        <v>50000</v>
      </c>
      <c r="E8376" s="43"/>
      <c r="F8376" s="48">
        <f t="shared" si="137"/>
        <v>84588.870967742056</v>
      </c>
    </row>
    <row r="8377" spans="1:6" x14ac:dyDescent="0.3">
      <c r="A8377" s="45">
        <v>44116</v>
      </c>
      <c r="B8377" s="5" t="s">
        <v>18</v>
      </c>
      <c r="C8377" s="5" t="s">
        <v>6569</v>
      </c>
      <c r="D8377" s="43">
        <v>3000</v>
      </c>
      <c r="E8377" s="43"/>
      <c r="F8377" s="48">
        <f t="shared" si="137"/>
        <v>81588.870967742056</v>
      </c>
    </row>
    <row r="8378" spans="1:6" x14ac:dyDescent="0.3">
      <c r="A8378" s="45">
        <v>44116</v>
      </c>
      <c r="B8378" s="5" t="s">
        <v>5938</v>
      </c>
      <c r="C8378" s="5" t="s">
        <v>40</v>
      </c>
      <c r="D8378" s="43">
        <v>20400</v>
      </c>
      <c r="E8378" s="43"/>
      <c r="F8378" s="48">
        <f t="shared" si="137"/>
        <v>61188.870967742056</v>
      </c>
    </row>
    <row r="8379" spans="1:6" x14ac:dyDescent="0.3">
      <c r="A8379" s="45">
        <v>44116</v>
      </c>
      <c r="B8379" s="5" t="s">
        <v>14</v>
      </c>
      <c r="C8379" s="5" t="s">
        <v>6574</v>
      </c>
      <c r="D8379" s="43">
        <v>16500</v>
      </c>
      <c r="E8379" s="43"/>
      <c r="F8379" s="48">
        <f t="shared" si="137"/>
        <v>44688.870967742056</v>
      </c>
    </row>
    <row r="8380" spans="1:6" x14ac:dyDescent="0.3">
      <c r="A8380" s="45">
        <v>44116</v>
      </c>
      <c r="B8380" s="5" t="s">
        <v>247</v>
      </c>
      <c r="C8380" s="5" t="s">
        <v>6502</v>
      </c>
      <c r="D8380" s="43">
        <v>50</v>
      </c>
      <c r="E8380" s="43"/>
      <c r="F8380" s="48">
        <f t="shared" si="137"/>
        <v>44638.870967742056</v>
      </c>
    </row>
    <row r="8381" spans="1:6" x14ac:dyDescent="0.3">
      <c r="A8381" s="45">
        <v>44116</v>
      </c>
      <c r="B8381" s="739" t="s">
        <v>6575</v>
      </c>
      <c r="C8381" s="739"/>
      <c r="D8381" s="739"/>
      <c r="E8381" s="43">
        <v>500000</v>
      </c>
      <c r="F8381" s="48">
        <f t="shared" si="137"/>
        <v>544638.87096774206</v>
      </c>
    </row>
    <row r="8382" spans="1:6" x14ac:dyDescent="0.3">
      <c r="A8382" s="45">
        <v>44116</v>
      </c>
      <c r="B8382" s="5" t="s">
        <v>84</v>
      </c>
      <c r="C8382" s="5" t="s">
        <v>6590</v>
      </c>
      <c r="D8382" s="43">
        <v>1000</v>
      </c>
      <c r="E8382" s="43"/>
      <c r="F8382" s="48">
        <f t="shared" si="137"/>
        <v>543638.87096774206</v>
      </c>
    </row>
    <row r="8383" spans="1:6" x14ac:dyDescent="0.3">
      <c r="A8383" s="45">
        <v>44116</v>
      </c>
      <c r="B8383" s="5" t="s">
        <v>541</v>
      </c>
      <c r="C8383" s="5" t="s">
        <v>294</v>
      </c>
      <c r="D8383" s="43">
        <v>20000</v>
      </c>
      <c r="E8383" s="43"/>
      <c r="F8383" s="48">
        <f t="shared" si="137"/>
        <v>523638.87096774206</v>
      </c>
    </row>
    <row r="8384" spans="1:6" x14ac:dyDescent="0.3">
      <c r="A8384" s="45">
        <v>44116</v>
      </c>
      <c r="B8384" s="5" t="s">
        <v>14</v>
      </c>
      <c r="C8384" s="5" t="s">
        <v>294</v>
      </c>
      <c r="D8384" s="43">
        <v>100000</v>
      </c>
      <c r="E8384" s="43"/>
      <c r="F8384" s="48">
        <f t="shared" si="137"/>
        <v>423638.87096774206</v>
      </c>
    </row>
    <row r="8385" spans="1:6" x14ac:dyDescent="0.3">
      <c r="A8385" s="45">
        <v>44117</v>
      </c>
      <c r="B8385" s="5" t="s">
        <v>6576</v>
      </c>
      <c r="C8385" s="5" t="s">
        <v>40</v>
      </c>
      <c r="D8385" s="43">
        <v>25000</v>
      </c>
      <c r="E8385" s="43"/>
      <c r="F8385" s="48">
        <f t="shared" si="137"/>
        <v>398638.87096774206</v>
      </c>
    </row>
    <row r="8386" spans="1:6" x14ac:dyDescent="0.3">
      <c r="A8386" s="45">
        <v>44117</v>
      </c>
      <c r="B8386" s="5" t="s">
        <v>6221</v>
      </c>
      <c r="C8386" s="5" t="s">
        <v>6577</v>
      </c>
      <c r="D8386" s="43">
        <v>64000</v>
      </c>
      <c r="E8386" s="43"/>
      <c r="F8386" s="48">
        <f t="shared" si="137"/>
        <v>334638.87096774206</v>
      </c>
    </row>
    <row r="8387" spans="1:6" x14ac:dyDescent="0.3">
      <c r="A8387" s="45">
        <v>44117</v>
      </c>
      <c r="B8387" s="5" t="s">
        <v>11</v>
      </c>
      <c r="C8387" s="5" t="s">
        <v>6578</v>
      </c>
      <c r="D8387" s="43">
        <v>750</v>
      </c>
      <c r="E8387" s="43"/>
      <c r="F8387" s="48">
        <f t="shared" si="137"/>
        <v>333888.87096774206</v>
      </c>
    </row>
    <row r="8388" spans="1:6" x14ac:dyDescent="0.3">
      <c r="A8388" s="45">
        <v>44118</v>
      </c>
      <c r="B8388" s="5" t="s">
        <v>541</v>
      </c>
      <c r="C8388" s="5" t="s">
        <v>6579</v>
      </c>
      <c r="D8388" s="43">
        <v>5000</v>
      </c>
      <c r="E8388" s="43"/>
      <c r="F8388" s="48">
        <f t="shared" si="137"/>
        <v>328888.87096774206</v>
      </c>
    </row>
    <row r="8389" spans="1:6" x14ac:dyDescent="0.3">
      <c r="A8389" s="45">
        <v>44118</v>
      </c>
      <c r="B8389" s="5" t="s">
        <v>5846</v>
      </c>
      <c r="C8389" s="5" t="s">
        <v>6580</v>
      </c>
      <c r="D8389" s="43">
        <v>300</v>
      </c>
      <c r="E8389" s="43"/>
      <c r="F8389" s="48">
        <f t="shared" si="137"/>
        <v>328588.87096774206</v>
      </c>
    </row>
    <row r="8390" spans="1:6" x14ac:dyDescent="0.3">
      <c r="A8390" s="45">
        <v>44118</v>
      </c>
      <c r="B8390" s="5" t="s">
        <v>84</v>
      </c>
      <c r="C8390" s="5" t="s">
        <v>6581</v>
      </c>
      <c r="D8390" s="43">
        <v>3000</v>
      </c>
      <c r="E8390" s="43"/>
      <c r="F8390" s="48">
        <f t="shared" si="137"/>
        <v>325588.87096774206</v>
      </c>
    </row>
    <row r="8391" spans="1:6" x14ac:dyDescent="0.3">
      <c r="A8391" s="45">
        <v>44118</v>
      </c>
      <c r="B8391" s="739" t="s">
        <v>6582</v>
      </c>
      <c r="C8391" s="739"/>
      <c r="D8391" s="739"/>
      <c r="E8391" s="43">
        <v>400000</v>
      </c>
      <c r="F8391" s="48">
        <f t="shared" si="137"/>
        <v>725588.87096774206</v>
      </c>
    </row>
    <row r="8392" spans="1:6" ht="37.5" x14ac:dyDescent="0.3">
      <c r="A8392" s="45">
        <v>44118</v>
      </c>
      <c r="B8392" s="5" t="s">
        <v>5709</v>
      </c>
      <c r="C8392" s="92" t="s">
        <v>6583</v>
      </c>
      <c r="D8392" s="43">
        <v>1000</v>
      </c>
      <c r="E8392" s="43"/>
      <c r="F8392" s="48">
        <f t="shared" si="137"/>
        <v>724588.87096774206</v>
      </c>
    </row>
    <row r="8393" spans="1:6" x14ac:dyDescent="0.3">
      <c r="A8393" s="45">
        <v>44118</v>
      </c>
      <c r="B8393" s="5" t="s">
        <v>18</v>
      </c>
      <c r="C8393" s="5" t="s">
        <v>6584</v>
      </c>
      <c r="D8393" s="43">
        <v>4000</v>
      </c>
      <c r="E8393" s="43"/>
      <c r="F8393" s="48">
        <f t="shared" si="137"/>
        <v>720588.87096774206</v>
      </c>
    </row>
    <row r="8394" spans="1:6" x14ac:dyDescent="0.3">
      <c r="A8394" s="45">
        <v>44118</v>
      </c>
      <c r="B8394" s="39" t="s">
        <v>1512</v>
      </c>
      <c r="C8394" s="39" t="s">
        <v>6585</v>
      </c>
      <c r="D8394" s="40">
        <v>15518</v>
      </c>
      <c r="E8394" s="43"/>
      <c r="F8394" s="48">
        <f t="shared" si="137"/>
        <v>705070.87096774206</v>
      </c>
    </row>
    <row r="8395" spans="1:6" x14ac:dyDescent="0.3">
      <c r="A8395" s="45">
        <v>44118</v>
      </c>
      <c r="B8395" s="41" t="s">
        <v>18</v>
      </c>
      <c r="C8395" s="41" t="s">
        <v>6586</v>
      </c>
      <c r="D8395" s="43">
        <v>3500</v>
      </c>
      <c r="E8395" s="43"/>
      <c r="F8395" s="48">
        <f t="shared" si="137"/>
        <v>701570.87096774206</v>
      </c>
    </row>
    <row r="8396" spans="1:6" x14ac:dyDescent="0.3">
      <c r="A8396" s="45">
        <v>44119</v>
      </c>
      <c r="B8396" s="5" t="s">
        <v>5930</v>
      </c>
      <c r="C8396" s="5" t="s">
        <v>3332</v>
      </c>
      <c r="D8396" s="43">
        <v>101743</v>
      </c>
      <c r="E8396" s="43"/>
      <c r="F8396" s="48">
        <f t="shared" si="137"/>
        <v>599827.87096774206</v>
      </c>
    </row>
    <row r="8397" spans="1:6" x14ac:dyDescent="0.3">
      <c r="A8397" s="45">
        <v>44119</v>
      </c>
      <c r="B8397" s="5" t="s">
        <v>6430</v>
      </c>
      <c r="C8397" s="5" t="s">
        <v>6588</v>
      </c>
      <c r="D8397" s="43">
        <v>5000</v>
      </c>
      <c r="E8397" s="43"/>
      <c r="F8397" s="48">
        <f t="shared" si="137"/>
        <v>594827.87096774206</v>
      </c>
    </row>
    <row r="8398" spans="1:6" x14ac:dyDescent="0.3">
      <c r="A8398" s="45">
        <v>44119</v>
      </c>
      <c r="B8398" s="5" t="s">
        <v>4550</v>
      </c>
      <c r="C8398" s="5" t="s">
        <v>294</v>
      </c>
      <c r="D8398" s="43">
        <v>50000</v>
      </c>
      <c r="E8398" s="43"/>
      <c r="F8398" s="48">
        <f t="shared" si="137"/>
        <v>544827.87096774206</v>
      </c>
    </row>
    <row r="8399" spans="1:6" x14ac:dyDescent="0.3">
      <c r="A8399" s="45">
        <v>44119</v>
      </c>
      <c r="B8399" s="41" t="s">
        <v>2224</v>
      </c>
      <c r="C8399" s="41" t="s">
        <v>6589</v>
      </c>
      <c r="D8399" s="42">
        <v>4000</v>
      </c>
      <c r="E8399" s="43"/>
      <c r="F8399" s="48">
        <f t="shared" si="137"/>
        <v>540827.87096774206</v>
      </c>
    </row>
    <row r="8400" spans="1:6" x14ac:dyDescent="0.3">
      <c r="A8400" s="45">
        <v>44119</v>
      </c>
      <c r="B8400" s="5" t="s">
        <v>25</v>
      </c>
      <c r="C8400" s="5" t="s">
        <v>6361</v>
      </c>
      <c r="D8400" s="43">
        <f>600+20+320+50+170+1110+270+350+120+110+20+60+90+80+80+100+700+70+20+60+1020</f>
        <v>5420</v>
      </c>
      <c r="E8400" s="43"/>
      <c r="F8400" s="48">
        <f t="shared" si="137"/>
        <v>535407.87096774206</v>
      </c>
    </row>
    <row r="8401" spans="1:6" x14ac:dyDescent="0.3">
      <c r="A8401" s="45">
        <v>44119</v>
      </c>
      <c r="B8401" s="236" t="s">
        <v>84</v>
      </c>
      <c r="C8401" s="236" t="s">
        <v>6592</v>
      </c>
      <c r="D8401" s="237">
        <v>30000</v>
      </c>
      <c r="E8401" s="43"/>
      <c r="F8401" s="48">
        <f t="shared" si="137"/>
        <v>505407.87096774206</v>
      </c>
    </row>
    <row r="8402" spans="1:6" x14ac:dyDescent="0.3">
      <c r="A8402" s="45">
        <v>44119</v>
      </c>
      <c r="B8402" s="5" t="s">
        <v>84</v>
      </c>
      <c r="C8402" s="5" t="s">
        <v>6591</v>
      </c>
      <c r="D8402" s="43">
        <v>10000</v>
      </c>
      <c r="E8402" s="43"/>
      <c r="F8402" s="48">
        <f t="shared" si="137"/>
        <v>495407.87096774206</v>
      </c>
    </row>
    <row r="8403" spans="1:6" x14ac:dyDescent="0.3">
      <c r="A8403" s="45">
        <v>44119</v>
      </c>
      <c r="B8403" s="39" t="s">
        <v>1512</v>
      </c>
      <c r="C8403" s="39" t="s">
        <v>6594</v>
      </c>
      <c r="D8403" s="40">
        <v>29500</v>
      </c>
      <c r="E8403" s="43"/>
      <c r="F8403" s="48">
        <f t="shared" si="137"/>
        <v>465907.87096774206</v>
      </c>
    </row>
    <row r="8404" spans="1:6" x14ac:dyDescent="0.3">
      <c r="A8404" s="45">
        <v>44119</v>
      </c>
      <c r="B8404" s="39" t="s">
        <v>1512</v>
      </c>
      <c r="C8404" s="39" t="s">
        <v>6595</v>
      </c>
      <c r="D8404" s="43">
        <v>24000</v>
      </c>
      <c r="E8404" s="43"/>
      <c r="F8404" s="48">
        <f t="shared" si="137"/>
        <v>441907.87096774206</v>
      </c>
    </row>
    <row r="8405" spans="1:6" x14ac:dyDescent="0.3">
      <c r="A8405" s="45">
        <v>44120</v>
      </c>
      <c r="B8405" s="41" t="s">
        <v>2224</v>
      </c>
      <c r="C8405" s="41" t="s">
        <v>6589</v>
      </c>
      <c r="D8405" s="42">
        <v>1500</v>
      </c>
      <c r="E8405" s="43"/>
      <c r="F8405" s="48">
        <f t="shared" si="137"/>
        <v>440407.87096774206</v>
      </c>
    </row>
    <row r="8406" spans="1:6" x14ac:dyDescent="0.3">
      <c r="A8406" s="45">
        <v>44120</v>
      </c>
      <c r="B8406" s="5" t="s">
        <v>25</v>
      </c>
      <c r="C8406" s="5" t="s">
        <v>6596</v>
      </c>
      <c r="D8406" s="43">
        <v>800</v>
      </c>
      <c r="E8406" s="43"/>
      <c r="F8406" s="48">
        <f t="shared" si="137"/>
        <v>439607.87096774206</v>
      </c>
    </row>
    <row r="8407" spans="1:6" ht="44.45" customHeight="1" x14ac:dyDescent="0.3">
      <c r="A8407" s="45">
        <v>44120</v>
      </c>
      <c r="B8407" s="44" t="s">
        <v>1074</v>
      </c>
      <c r="C8407" s="92" t="s">
        <v>6597</v>
      </c>
      <c r="D8407" s="43">
        <v>9650</v>
      </c>
      <c r="E8407" s="43"/>
      <c r="F8407" s="48">
        <f t="shared" si="137"/>
        <v>429957.87096774206</v>
      </c>
    </row>
    <row r="8408" spans="1:6" x14ac:dyDescent="0.3">
      <c r="A8408" s="45">
        <v>44120</v>
      </c>
      <c r="B8408" s="41" t="s">
        <v>5156</v>
      </c>
      <c r="C8408" s="41" t="s">
        <v>6598</v>
      </c>
      <c r="D8408" s="42">
        <v>1000</v>
      </c>
      <c r="E8408" s="43"/>
      <c r="F8408" s="48">
        <f t="shared" si="137"/>
        <v>428957.87096774206</v>
      </c>
    </row>
    <row r="8409" spans="1:6" x14ac:dyDescent="0.3">
      <c r="A8409" s="45">
        <v>44120</v>
      </c>
      <c r="B8409" s="5" t="s">
        <v>247</v>
      </c>
      <c r="C8409" s="5" t="s">
        <v>2013</v>
      </c>
      <c r="D8409" s="43">
        <v>100</v>
      </c>
      <c r="E8409" s="43"/>
      <c r="F8409" s="48">
        <f t="shared" si="137"/>
        <v>428857.87096774206</v>
      </c>
    </row>
    <row r="8410" spans="1:6" x14ac:dyDescent="0.3">
      <c r="A8410" s="45">
        <v>44120</v>
      </c>
      <c r="B8410" s="5" t="s">
        <v>25</v>
      </c>
      <c r="C8410" s="5" t="s">
        <v>6599</v>
      </c>
      <c r="D8410" s="43">
        <v>200</v>
      </c>
      <c r="E8410" s="43"/>
      <c r="F8410" s="48">
        <f t="shared" si="137"/>
        <v>428657.87096774206</v>
      </c>
    </row>
    <row r="8411" spans="1:6" x14ac:dyDescent="0.3">
      <c r="A8411" s="45">
        <v>44121</v>
      </c>
      <c r="B8411" s="5" t="s">
        <v>4550</v>
      </c>
      <c r="C8411" s="5" t="s">
        <v>4330</v>
      </c>
      <c r="D8411" s="43">
        <v>35000</v>
      </c>
      <c r="E8411" s="43"/>
      <c r="F8411" s="48">
        <f t="shared" si="137"/>
        <v>393657.87096774206</v>
      </c>
    </row>
    <row r="8412" spans="1:6" ht="37.5" x14ac:dyDescent="0.3">
      <c r="A8412" s="45">
        <v>44121</v>
      </c>
      <c r="B8412" s="5" t="s">
        <v>6600</v>
      </c>
      <c r="C8412" s="92" t="s">
        <v>6601</v>
      </c>
      <c r="D8412" s="43">
        <v>35000</v>
      </c>
      <c r="E8412" s="43"/>
      <c r="F8412" s="48">
        <f t="shared" si="137"/>
        <v>358657.87096774206</v>
      </c>
    </row>
    <row r="8413" spans="1:6" x14ac:dyDescent="0.3">
      <c r="A8413" s="45">
        <v>44121</v>
      </c>
      <c r="B8413" s="5" t="s">
        <v>5709</v>
      </c>
      <c r="C8413" s="5" t="s">
        <v>6602</v>
      </c>
      <c r="D8413" s="43">
        <v>7000</v>
      </c>
      <c r="E8413" s="43"/>
      <c r="F8413" s="48">
        <f t="shared" si="137"/>
        <v>351657.87096774206</v>
      </c>
    </row>
    <row r="8414" spans="1:6" x14ac:dyDescent="0.3">
      <c r="A8414" s="45">
        <v>44121</v>
      </c>
      <c r="B8414" s="5" t="s">
        <v>6603</v>
      </c>
      <c r="C8414" s="5" t="s">
        <v>6604</v>
      </c>
      <c r="D8414" s="43">
        <v>2060</v>
      </c>
      <c r="E8414" s="43"/>
      <c r="F8414" s="48">
        <f t="shared" si="137"/>
        <v>349597.87096774206</v>
      </c>
    </row>
    <row r="8415" spans="1:6" x14ac:dyDescent="0.3">
      <c r="A8415" s="45">
        <v>44121</v>
      </c>
      <c r="B8415" s="5" t="s">
        <v>1837</v>
      </c>
      <c r="C8415" s="5" t="s">
        <v>294</v>
      </c>
      <c r="D8415" s="43">
        <v>1850</v>
      </c>
      <c r="E8415" s="43"/>
      <c r="F8415" s="48">
        <f t="shared" si="137"/>
        <v>347747.87096774206</v>
      </c>
    </row>
    <row r="8416" spans="1:6" x14ac:dyDescent="0.3">
      <c r="A8416" s="45">
        <v>44121</v>
      </c>
      <c r="B8416" s="5" t="s">
        <v>5979</v>
      </c>
      <c r="C8416" s="5" t="s">
        <v>3194</v>
      </c>
      <c r="D8416" s="43">
        <v>16000</v>
      </c>
      <c r="E8416" s="43"/>
      <c r="F8416" s="48">
        <f t="shared" si="137"/>
        <v>331747.87096774206</v>
      </c>
    </row>
    <row r="8417" spans="1:10" x14ac:dyDescent="0.3">
      <c r="A8417" s="45">
        <v>44121</v>
      </c>
      <c r="B8417" s="5" t="s">
        <v>84</v>
      </c>
      <c r="C8417" s="5" t="s">
        <v>6605</v>
      </c>
      <c r="D8417" s="43">
        <v>10000</v>
      </c>
      <c r="E8417" s="43"/>
      <c r="F8417" s="48">
        <f t="shared" ref="F8417:F8480" si="138">F8416+E8417-D8417</f>
        <v>321747.87096774206</v>
      </c>
    </row>
    <row r="8418" spans="1:10" x14ac:dyDescent="0.3">
      <c r="A8418" s="45">
        <v>44123</v>
      </c>
      <c r="B8418" s="5" t="s">
        <v>6606</v>
      </c>
      <c r="C8418" s="5" t="s">
        <v>6607</v>
      </c>
      <c r="D8418" s="43">
        <v>23850</v>
      </c>
      <c r="E8418" s="43"/>
      <c r="F8418" s="48">
        <f t="shared" si="138"/>
        <v>297897.87096774206</v>
      </c>
    </row>
    <row r="8419" spans="1:10" x14ac:dyDescent="0.3">
      <c r="A8419" s="45">
        <v>44123</v>
      </c>
      <c r="B8419" s="5" t="s">
        <v>6606</v>
      </c>
      <c r="C8419" s="5" t="s">
        <v>6608</v>
      </c>
      <c r="D8419" s="43">
        <v>100000</v>
      </c>
      <c r="E8419" s="43"/>
      <c r="F8419" s="48">
        <f t="shared" si="138"/>
        <v>197897.87096774206</v>
      </c>
    </row>
    <row r="8420" spans="1:10" x14ac:dyDescent="0.3">
      <c r="A8420" s="45">
        <v>44123</v>
      </c>
      <c r="B8420" s="5" t="s">
        <v>84</v>
      </c>
      <c r="C8420" s="5" t="s">
        <v>6609</v>
      </c>
      <c r="D8420" s="43">
        <v>500</v>
      </c>
      <c r="E8420" s="43"/>
      <c r="F8420" s="48">
        <f t="shared" si="138"/>
        <v>197397.87096774206</v>
      </c>
    </row>
    <row r="8421" spans="1:10" x14ac:dyDescent="0.3">
      <c r="A8421" s="45">
        <v>44123</v>
      </c>
      <c r="B8421" s="5" t="s">
        <v>18</v>
      </c>
      <c r="C8421" s="5" t="s">
        <v>6610</v>
      </c>
      <c r="D8421" s="43">
        <v>7000</v>
      </c>
      <c r="E8421" s="43"/>
      <c r="F8421" s="48">
        <f t="shared" si="138"/>
        <v>190397.87096774206</v>
      </c>
    </row>
    <row r="8422" spans="1:10" x14ac:dyDescent="0.3">
      <c r="A8422" s="45">
        <v>44123</v>
      </c>
      <c r="B8422" s="5" t="s">
        <v>5156</v>
      </c>
      <c r="C8422" s="5" t="s">
        <v>6611</v>
      </c>
      <c r="D8422" s="43">
        <v>1600</v>
      </c>
      <c r="E8422" s="43"/>
      <c r="F8422" s="48">
        <f t="shared" si="138"/>
        <v>188797.87096774206</v>
      </c>
    </row>
    <row r="8423" spans="1:10" ht="37.5" x14ac:dyDescent="0.3">
      <c r="A8423" s="45">
        <v>44123</v>
      </c>
      <c r="B8423" s="5" t="s">
        <v>6612</v>
      </c>
      <c r="C8423" s="92" t="s">
        <v>6613</v>
      </c>
      <c r="D8423" s="43">
        <v>23050</v>
      </c>
      <c r="E8423" s="43"/>
      <c r="F8423" s="48">
        <f t="shared" si="138"/>
        <v>165747.87096774206</v>
      </c>
    </row>
    <row r="8424" spans="1:10" x14ac:dyDescent="0.3">
      <c r="A8424" s="45">
        <v>44123</v>
      </c>
      <c r="B8424" s="5" t="s">
        <v>247</v>
      </c>
      <c r="C8424" s="5" t="s">
        <v>6502</v>
      </c>
      <c r="D8424" s="43">
        <v>250</v>
      </c>
      <c r="E8424" s="43"/>
      <c r="F8424" s="48">
        <f t="shared" si="138"/>
        <v>165497.87096774206</v>
      </c>
    </row>
    <row r="8425" spans="1:10" x14ac:dyDescent="0.3">
      <c r="A8425" s="45">
        <v>44124</v>
      </c>
      <c r="B8425" s="5" t="s">
        <v>6614</v>
      </c>
      <c r="C8425" s="5" t="s">
        <v>6615</v>
      </c>
      <c r="D8425" s="43">
        <v>3500</v>
      </c>
      <c r="E8425" s="43"/>
      <c r="F8425" s="48">
        <f t="shared" si="138"/>
        <v>161997.87096774206</v>
      </c>
    </row>
    <row r="8426" spans="1:10" s="114" customFormat="1" x14ac:dyDescent="0.3">
      <c r="A8426" s="45">
        <v>44124</v>
      </c>
      <c r="B8426" s="73" t="s">
        <v>5156</v>
      </c>
      <c r="C8426" s="73" t="s">
        <v>6616</v>
      </c>
      <c r="D8426" s="183">
        <v>850</v>
      </c>
      <c r="E8426" s="183"/>
      <c r="F8426" s="48">
        <f t="shared" si="138"/>
        <v>161147.87096774206</v>
      </c>
      <c r="G8426" s="194"/>
      <c r="H8426" s="194"/>
      <c r="I8426" s="194"/>
      <c r="J8426" s="194"/>
    </row>
    <row r="8427" spans="1:10" x14ac:dyDescent="0.3">
      <c r="A8427" s="45">
        <v>44124</v>
      </c>
      <c r="B8427" s="5" t="s">
        <v>84</v>
      </c>
      <c r="C8427" s="5" t="s">
        <v>6617</v>
      </c>
      <c r="D8427" s="43">
        <v>17000</v>
      </c>
      <c r="E8427" s="43"/>
      <c r="F8427" s="48">
        <f t="shared" si="138"/>
        <v>144147.87096774206</v>
      </c>
    </row>
    <row r="8428" spans="1:10" x14ac:dyDescent="0.3">
      <c r="A8428" s="45">
        <v>44124</v>
      </c>
      <c r="B8428" s="5" t="s">
        <v>0</v>
      </c>
      <c r="C8428" s="5" t="s">
        <v>6618</v>
      </c>
      <c r="D8428" s="43">
        <v>10000</v>
      </c>
      <c r="E8428" s="43"/>
      <c r="F8428" s="48">
        <f t="shared" si="138"/>
        <v>134147.87096774206</v>
      </c>
    </row>
    <row r="8429" spans="1:10" x14ac:dyDescent="0.3">
      <c r="A8429" s="45">
        <v>44124</v>
      </c>
      <c r="B8429" s="39" t="s">
        <v>1512</v>
      </c>
      <c r="C8429" s="39" t="s">
        <v>6619</v>
      </c>
      <c r="D8429" s="43">
        <v>20542</v>
      </c>
      <c r="E8429" s="43"/>
      <c r="F8429" s="48">
        <f t="shared" si="138"/>
        <v>113605.87096774206</v>
      </c>
    </row>
    <row r="8430" spans="1:10" x14ac:dyDescent="0.3">
      <c r="A8430" s="45">
        <v>44124</v>
      </c>
      <c r="B8430" s="39" t="s">
        <v>1512</v>
      </c>
      <c r="C8430" s="39" t="s">
        <v>6620</v>
      </c>
      <c r="D8430" s="43">
        <v>18000</v>
      </c>
      <c r="E8430" s="43"/>
      <c r="F8430" s="48">
        <f t="shared" si="138"/>
        <v>95605.870967742056</v>
      </c>
    </row>
    <row r="8431" spans="1:10" x14ac:dyDescent="0.3">
      <c r="A8431" s="45">
        <v>44126</v>
      </c>
      <c r="B8431" s="5" t="s">
        <v>5709</v>
      </c>
      <c r="C8431" s="5" t="s">
        <v>6633</v>
      </c>
      <c r="D8431" s="43">
        <v>700</v>
      </c>
      <c r="E8431" s="43"/>
      <c r="F8431" s="48">
        <f t="shared" si="138"/>
        <v>94905.870967742056</v>
      </c>
    </row>
    <row r="8432" spans="1:10" ht="37.5" x14ac:dyDescent="0.3">
      <c r="A8432" s="45">
        <v>44126</v>
      </c>
      <c r="B8432" s="5" t="s">
        <v>5709</v>
      </c>
      <c r="C8432" s="92" t="s">
        <v>6623</v>
      </c>
      <c r="D8432" s="43">
        <v>800</v>
      </c>
      <c r="E8432" s="43"/>
      <c r="F8432" s="48">
        <f t="shared" si="138"/>
        <v>94105.870967742056</v>
      </c>
    </row>
    <row r="8433" spans="1:6" x14ac:dyDescent="0.3">
      <c r="A8433" s="45">
        <v>44126</v>
      </c>
      <c r="B8433" s="5" t="s">
        <v>84</v>
      </c>
      <c r="C8433" s="92" t="s">
        <v>6609</v>
      </c>
      <c r="D8433" s="43">
        <v>600</v>
      </c>
      <c r="E8433" s="43"/>
      <c r="F8433" s="48">
        <f t="shared" si="138"/>
        <v>93505.870967742056</v>
      </c>
    </row>
    <row r="8434" spans="1:6" x14ac:dyDescent="0.3">
      <c r="A8434" s="45">
        <v>44124</v>
      </c>
      <c r="B8434" s="39" t="s">
        <v>1512</v>
      </c>
      <c r="C8434" s="39" t="s">
        <v>6624</v>
      </c>
      <c r="D8434" s="43">
        <v>19830</v>
      </c>
      <c r="E8434" s="43"/>
      <c r="F8434" s="48">
        <f t="shared" si="138"/>
        <v>73675.870967742056</v>
      </c>
    </row>
    <row r="8435" spans="1:6" x14ac:dyDescent="0.3">
      <c r="A8435" s="45">
        <v>44127</v>
      </c>
      <c r="B8435" s="5" t="s">
        <v>0</v>
      </c>
      <c r="C8435" s="73" t="s">
        <v>5549</v>
      </c>
      <c r="D8435" s="183">
        <v>5000</v>
      </c>
      <c r="E8435" s="43"/>
      <c r="F8435" s="48">
        <f t="shared" si="138"/>
        <v>68675.870967742056</v>
      </c>
    </row>
    <row r="8436" spans="1:6" x14ac:dyDescent="0.3">
      <c r="A8436" s="45">
        <v>44127</v>
      </c>
      <c r="B8436" s="5" t="s">
        <v>4550</v>
      </c>
      <c r="C8436" s="5" t="s">
        <v>6627</v>
      </c>
      <c r="D8436" s="43">
        <v>65000</v>
      </c>
      <c r="E8436" s="43"/>
      <c r="F8436" s="48">
        <f t="shared" si="138"/>
        <v>3675.8709677420557</v>
      </c>
    </row>
    <row r="8437" spans="1:6" x14ac:dyDescent="0.3">
      <c r="A8437" s="45">
        <v>44127</v>
      </c>
      <c r="B8437" s="739" t="s">
        <v>3444</v>
      </c>
      <c r="C8437" s="739"/>
      <c r="D8437" s="739"/>
      <c r="E8437" s="43">
        <v>500000</v>
      </c>
      <c r="F8437" s="48">
        <f t="shared" si="138"/>
        <v>503675.87096774206</v>
      </c>
    </row>
    <row r="8438" spans="1:6" x14ac:dyDescent="0.3">
      <c r="A8438" s="45">
        <v>44127</v>
      </c>
      <c r="B8438" s="5" t="s">
        <v>6514</v>
      </c>
      <c r="C8438" s="5" t="s">
        <v>6516</v>
      </c>
      <c r="D8438" s="43">
        <v>250000</v>
      </c>
      <c r="E8438" s="43"/>
      <c r="F8438" s="48">
        <f t="shared" si="138"/>
        <v>253675.87096774206</v>
      </c>
    </row>
    <row r="8439" spans="1:6" x14ac:dyDescent="0.3">
      <c r="A8439" s="45">
        <v>44127</v>
      </c>
      <c r="B8439" s="5" t="s">
        <v>84</v>
      </c>
      <c r="C8439" s="5" t="s">
        <v>6609</v>
      </c>
      <c r="D8439" s="43">
        <f>100+150</f>
        <v>250</v>
      </c>
      <c r="E8439" s="43"/>
      <c r="F8439" s="48">
        <f t="shared" si="138"/>
        <v>253425.87096774206</v>
      </c>
    </row>
    <row r="8440" spans="1:6" x14ac:dyDescent="0.3">
      <c r="A8440" s="45">
        <v>44127</v>
      </c>
      <c r="B8440" s="5" t="s">
        <v>14</v>
      </c>
      <c r="C8440" s="123" t="s">
        <v>6657</v>
      </c>
      <c r="D8440" s="43">
        <v>150000</v>
      </c>
      <c r="E8440" s="43"/>
      <c r="F8440" s="48">
        <f t="shared" si="138"/>
        <v>103425.87096774206</v>
      </c>
    </row>
    <row r="8441" spans="1:6" x14ac:dyDescent="0.3">
      <c r="A8441" s="45">
        <v>44128</v>
      </c>
      <c r="B8441" s="5" t="s">
        <v>2948</v>
      </c>
      <c r="C8441" s="5" t="s">
        <v>64</v>
      </c>
      <c r="D8441" s="43">
        <v>2300</v>
      </c>
      <c r="E8441" s="43"/>
      <c r="F8441" s="48">
        <f t="shared" si="138"/>
        <v>101125.87096774206</v>
      </c>
    </row>
    <row r="8442" spans="1:6" x14ac:dyDescent="0.3">
      <c r="A8442" s="45">
        <v>44128</v>
      </c>
      <c r="B8442" s="5" t="s">
        <v>25</v>
      </c>
      <c r="C8442" s="5" t="s">
        <v>6629</v>
      </c>
      <c r="D8442" s="43">
        <v>4500</v>
      </c>
      <c r="E8442" s="43"/>
      <c r="F8442" s="48">
        <f t="shared" si="138"/>
        <v>96625.870967742056</v>
      </c>
    </row>
    <row r="8443" spans="1:6" x14ac:dyDescent="0.3">
      <c r="A8443" s="45">
        <v>44128</v>
      </c>
      <c r="B8443" s="5" t="s">
        <v>84</v>
      </c>
      <c r="C8443" s="5" t="s">
        <v>6630</v>
      </c>
      <c r="D8443" s="43">
        <v>500</v>
      </c>
      <c r="E8443" s="43"/>
      <c r="F8443" s="48">
        <f t="shared" si="138"/>
        <v>96125.870967742056</v>
      </c>
    </row>
    <row r="8444" spans="1:6" x14ac:dyDescent="0.3">
      <c r="A8444" s="45">
        <v>44128</v>
      </c>
      <c r="B8444" s="5" t="s">
        <v>6430</v>
      </c>
      <c r="C8444" s="5" t="s">
        <v>6631</v>
      </c>
      <c r="D8444" s="43">
        <v>7000</v>
      </c>
      <c r="E8444" s="43"/>
      <c r="F8444" s="48">
        <f t="shared" si="138"/>
        <v>89125.870967742056</v>
      </c>
    </row>
    <row r="8445" spans="1:6" x14ac:dyDescent="0.3">
      <c r="A8445" s="45">
        <v>44130</v>
      </c>
      <c r="B8445" s="5" t="s">
        <v>25</v>
      </c>
      <c r="C8445" s="5" t="s">
        <v>6635</v>
      </c>
      <c r="D8445" s="43">
        <v>5000</v>
      </c>
      <c r="E8445" s="43"/>
      <c r="F8445" s="48">
        <f t="shared" si="138"/>
        <v>84125.870967742056</v>
      </c>
    </row>
    <row r="8446" spans="1:6" x14ac:dyDescent="0.3">
      <c r="A8446" s="45">
        <v>44130</v>
      </c>
      <c r="B8446" s="5" t="s">
        <v>14</v>
      </c>
      <c r="C8446" s="5" t="s">
        <v>6641</v>
      </c>
      <c r="D8446" s="43">
        <v>8371</v>
      </c>
      <c r="E8446" s="43"/>
      <c r="F8446" s="48">
        <f t="shared" si="138"/>
        <v>75754.870967742056</v>
      </c>
    </row>
    <row r="8447" spans="1:6" x14ac:dyDescent="0.3">
      <c r="A8447" s="45">
        <v>44130</v>
      </c>
      <c r="B8447" s="5" t="s">
        <v>25</v>
      </c>
      <c r="C8447" s="5" t="s">
        <v>6049</v>
      </c>
      <c r="D8447" s="43">
        <v>100</v>
      </c>
      <c r="E8447" s="43"/>
      <c r="F8447" s="48">
        <f t="shared" si="138"/>
        <v>75654.870967742056</v>
      </c>
    </row>
    <row r="8448" spans="1:6" ht="37.5" x14ac:dyDescent="0.3">
      <c r="A8448" s="45">
        <v>44130</v>
      </c>
      <c r="B8448" s="5" t="s">
        <v>25</v>
      </c>
      <c r="C8448" s="92" t="s">
        <v>6636</v>
      </c>
      <c r="D8448" s="43">
        <v>200</v>
      </c>
      <c r="E8448" s="43"/>
      <c r="F8448" s="48">
        <f t="shared" si="138"/>
        <v>75454.870967742056</v>
      </c>
    </row>
    <row r="8449" spans="1:6" x14ac:dyDescent="0.3">
      <c r="A8449" s="45">
        <v>44130</v>
      </c>
      <c r="B8449" s="5" t="s">
        <v>1012</v>
      </c>
      <c r="C8449" s="5" t="s">
        <v>6637</v>
      </c>
      <c r="D8449" s="43">
        <v>8000</v>
      </c>
      <c r="E8449" s="43"/>
      <c r="F8449" s="48">
        <f t="shared" si="138"/>
        <v>67454.870967742056</v>
      </c>
    </row>
    <row r="8450" spans="1:6" x14ac:dyDescent="0.3">
      <c r="A8450" s="45">
        <v>44130</v>
      </c>
      <c r="B8450" s="5" t="s">
        <v>25</v>
      </c>
      <c r="C8450" s="5" t="s">
        <v>6361</v>
      </c>
      <c r="D8450" s="43">
        <f>1100+250+20+50+50+450+60+100+50+350+50+100+170+20+50+230+170+260+90+200+50+60+40+95+140+600+750</f>
        <v>5555</v>
      </c>
      <c r="E8450" s="43"/>
      <c r="F8450" s="48">
        <f t="shared" si="138"/>
        <v>61899.870967742056</v>
      </c>
    </row>
    <row r="8451" spans="1:6" x14ac:dyDescent="0.3">
      <c r="A8451" s="45">
        <v>44130</v>
      </c>
      <c r="B8451" s="5" t="s">
        <v>3559</v>
      </c>
      <c r="C8451" s="5" t="s">
        <v>6638</v>
      </c>
      <c r="D8451" s="43">
        <v>3000</v>
      </c>
      <c r="E8451" s="43"/>
      <c r="F8451" s="48">
        <f t="shared" si="138"/>
        <v>58899.870967742056</v>
      </c>
    </row>
    <row r="8452" spans="1:6" x14ac:dyDescent="0.3">
      <c r="A8452" s="45">
        <v>44130</v>
      </c>
      <c r="B8452" s="739" t="s">
        <v>5653</v>
      </c>
      <c r="C8452" s="739"/>
      <c r="D8452" s="739"/>
      <c r="E8452" s="43">
        <v>100000</v>
      </c>
      <c r="F8452" s="48">
        <f t="shared" si="138"/>
        <v>158899.87096774206</v>
      </c>
    </row>
    <row r="8453" spans="1:6" x14ac:dyDescent="0.3">
      <c r="A8453" s="45">
        <v>44131</v>
      </c>
      <c r="B8453" s="5" t="s">
        <v>25</v>
      </c>
      <c r="C8453" s="5" t="s">
        <v>6640</v>
      </c>
      <c r="D8453" s="43">
        <v>2000</v>
      </c>
      <c r="E8453" s="43"/>
      <c r="F8453" s="48">
        <f t="shared" si="138"/>
        <v>156899.87096774206</v>
      </c>
    </row>
    <row r="8454" spans="1:6" x14ac:dyDescent="0.3">
      <c r="A8454" s="45">
        <v>44131</v>
      </c>
      <c r="B8454" s="5" t="s">
        <v>3559</v>
      </c>
      <c r="C8454" s="5" t="s">
        <v>6639</v>
      </c>
      <c r="D8454" s="43">
        <v>600</v>
      </c>
      <c r="E8454" s="43"/>
      <c r="F8454" s="48">
        <f t="shared" si="138"/>
        <v>156299.87096774206</v>
      </c>
    </row>
    <row r="8455" spans="1:6" x14ac:dyDescent="0.3">
      <c r="A8455" s="45">
        <v>44131</v>
      </c>
      <c r="B8455" s="5" t="s">
        <v>25</v>
      </c>
      <c r="C8455" s="5" t="s">
        <v>6642</v>
      </c>
      <c r="D8455" s="43">
        <v>150</v>
      </c>
      <c r="E8455" s="43"/>
      <c r="F8455" s="48">
        <f t="shared" si="138"/>
        <v>156149.87096774206</v>
      </c>
    </row>
    <row r="8456" spans="1:6" ht="37.5" x14ac:dyDescent="0.3">
      <c r="A8456" s="45">
        <v>44131</v>
      </c>
      <c r="B8456" s="5" t="s">
        <v>1787</v>
      </c>
      <c r="C8456" s="92" t="s">
        <v>6643</v>
      </c>
      <c r="D8456" s="43">
        <v>2700</v>
      </c>
      <c r="E8456" s="43"/>
      <c r="F8456" s="48">
        <f t="shared" si="138"/>
        <v>153449.87096774206</v>
      </c>
    </row>
    <row r="8457" spans="1:6" x14ac:dyDescent="0.3">
      <c r="A8457" s="45">
        <v>44132</v>
      </c>
      <c r="B8457" s="73" t="s">
        <v>1837</v>
      </c>
      <c r="C8457" s="73" t="s">
        <v>6644</v>
      </c>
      <c r="D8457" s="42">
        <v>1500</v>
      </c>
      <c r="E8457" s="43"/>
      <c r="F8457" s="48">
        <f t="shared" si="138"/>
        <v>151949.87096774206</v>
      </c>
    </row>
    <row r="8458" spans="1:6" x14ac:dyDescent="0.3">
      <c r="A8458" s="45">
        <v>44132</v>
      </c>
      <c r="B8458" s="5" t="s">
        <v>6645</v>
      </c>
      <c r="C8458" s="5" t="s">
        <v>6646</v>
      </c>
      <c r="D8458" s="43">
        <v>400</v>
      </c>
      <c r="E8458" s="43"/>
      <c r="F8458" s="48">
        <f t="shared" si="138"/>
        <v>151549.87096774206</v>
      </c>
    </row>
    <row r="8459" spans="1:6" x14ac:dyDescent="0.3">
      <c r="A8459" s="45">
        <v>44132</v>
      </c>
      <c r="B8459" s="5" t="s">
        <v>1074</v>
      </c>
      <c r="C8459" s="5" t="s">
        <v>6647</v>
      </c>
      <c r="D8459" s="43">
        <f>590+11893+1776</f>
        <v>14259</v>
      </c>
      <c r="E8459" s="43"/>
      <c r="F8459" s="48">
        <f t="shared" si="138"/>
        <v>137290.87096774206</v>
      </c>
    </row>
    <row r="8460" spans="1:6" x14ac:dyDescent="0.3">
      <c r="A8460" s="45">
        <v>44132</v>
      </c>
      <c r="B8460" s="5" t="s">
        <v>1074</v>
      </c>
      <c r="C8460" s="5" t="s">
        <v>6648</v>
      </c>
      <c r="D8460" s="43">
        <f>21124+13375</f>
        <v>34499</v>
      </c>
      <c r="E8460" s="43"/>
      <c r="F8460" s="48">
        <f t="shared" si="138"/>
        <v>102791.87096774206</v>
      </c>
    </row>
    <row r="8461" spans="1:6" x14ac:dyDescent="0.3">
      <c r="A8461" s="45">
        <v>44132</v>
      </c>
      <c r="B8461" s="5" t="s">
        <v>4915</v>
      </c>
      <c r="C8461" s="5" t="s">
        <v>6649</v>
      </c>
      <c r="D8461" s="43">
        <v>24000</v>
      </c>
      <c r="E8461" s="43"/>
      <c r="F8461" s="48">
        <f t="shared" si="138"/>
        <v>78791.870967742056</v>
      </c>
    </row>
    <row r="8462" spans="1:6" x14ac:dyDescent="0.3">
      <c r="A8462" s="45">
        <v>44132</v>
      </c>
      <c r="B8462" s="5" t="s">
        <v>25</v>
      </c>
      <c r="C8462" s="5" t="s">
        <v>6650</v>
      </c>
      <c r="D8462" s="43">
        <v>200</v>
      </c>
      <c r="E8462" s="43"/>
      <c r="F8462" s="48">
        <f t="shared" si="138"/>
        <v>78591.870967742056</v>
      </c>
    </row>
    <row r="8463" spans="1:6" x14ac:dyDescent="0.3">
      <c r="A8463" s="45">
        <v>44132</v>
      </c>
      <c r="B8463" s="5" t="s">
        <v>25</v>
      </c>
      <c r="C8463" s="5" t="s">
        <v>6049</v>
      </c>
      <c r="D8463" s="43">
        <v>50</v>
      </c>
      <c r="E8463" s="43"/>
      <c r="F8463" s="48">
        <f t="shared" si="138"/>
        <v>78541.870967742056</v>
      </c>
    </row>
    <row r="8464" spans="1:6" x14ac:dyDescent="0.3">
      <c r="A8464" s="45">
        <v>44132</v>
      </c>
      <c r="B8464" s="5" t="s">
        <v>3559</v>
      </c>
      <c r="C8464" s="5" t="s">
        <v>4887</v>
      </c>
      <c r="D8464" s="43">
        <v>4200</v>
      </c>
      <c r="E8464" s="43"/>
      <c r="F8464" s="48">
        <f t="shared" si="138"/>
        <v>74341.870967742056</v>
      </c>
    </row>
    <row r="8465" spans="1:6" x14ac:dyDescent="0.3">
      <c r="A8465" s="45">
        <v>44132</v>
      </c>
      <c r="B8465" s="5" t="s">
        <v>2570</v>
      </c>
      <c r="C8465" s="5" t="s">
        <v>3559</v>
      </c>
      <c r="D8465" s="43">
        <v>270</v>
      </c>
      <c r="E8465" s="43"/>
      <c r="F8465" s="48">
        <f t="shared" si="138"/>
        <v>74071.870967742056</v>
      </c>
    </row>
    <row r="8466" spans="1:6" x14ac:dyDescent="0.3">
      <c r="A8466" s="45">
        <v>44133</v>
      </c>
      <c r="B8466" s="5" t="s">
        <v>1787</v>
      </c>
      <c r="C8466" s="5" t="s">
        <v>6651</v>
      </c>
      <c r="D8466" s="43">
        <v>1000</v>
      </c>
      <c r="E8466" s="43"/>
      <c r="F8466" s="48">
        <f t="shared" si="138"/>
        <v>73071.870967742056</v>
      </c>
    </row>
    <row r="8467" spans="1:6" x14ac:dyDescent="0.3">
      <c r="A8467" s="45">
        <v>44133</v>
      </c>
      <c r="B8467" s="5" t="s">
        <v>25</v>
      </c>
      <c r="C8467" s="5" t="s">
        <v>6652</v>
      </c>
      <c r="D8467" s="43">
        <v>300</v>
      </c>
      <c r="E8467" s="43"/>
      <c r="F8467" s="48">
        <f t="shared" si="138"/>
        <v>72771.870967742056</v>
      </c>
    </row>
    <row r="8468" spans="1:6" x14ac:dyDescent="0.3">
      <c r="A8468" s="45">
        <v>44133</v>
      </c>
      <c r="B8468" s="5" t="s">
        <v>4550</v>
      </c>
      <c r="C8468" s="5" t="s">
        <v>6653</v>
      </c>
      <c r="D8468" s="43">
        <v>20000</v>
      </c>
      <c r="E8468" s="43"/>
      <c r="F8468" s="48">
        <f t="shared" si="138"/>
        <v>52771.870967742056</v>
      </c>
    </row>
    <row r="8469" spans="1:6" ht="37.5" x14ac:dyDescent="0.3">
      <c r="A8469" s="45">
        <v>44133</v>
      </c>
      <c r="B8469" s="5" t="s">
        <v>18</v>
      </c>
      <c r="C8469" s="92" t="s">
        <v>6665</v>
      </c>
      <c r="D8469" s="43">
        <v>3000</v>
      </c>
      <c r="E8469" s="43"/>
      <c r="F8469" s="48">
        <f t="shared" si="138"/>
        <v>49771.870967742056</v>
      </c>
    </row>
    <row r="8470" spans="1:6" x14ac:dyDescent="0.3">
      <c r="A8470" s="45">
        <v>44133</v>
      </c>
      <c r="B8470" s="5" t="s">
        <v>14</v>
      </c>
      <c r="C8470" s="5" t="s">
        <v>294</v>
      </c>
      <c r="D8470" s="43">
        <v>10000</v>
      </c>
      <c r="E8470" s="43"/>
      <c r="F8470" s="48">
        <f t="shared" si="138"/>
        <v>39771.870967742056</v>
      </c>
    </row>
    <row r="8471" spans="1:6" x14ac:dyDescent="0.3">
      <c r="A8471" s="45">
        <v>44133</v>
      </c>
      <c r="B8471" s="5" t="s">
        <v>3559</v>
      </c>
      <c r="C8471" s="5" t="s">
        <v>91</v>
      </c>
      <c r="D8471" s="43">
        <v>650</v>
      </c>
      <c r="E8471" s="43"/>
      <c r="F8471" s="48">
        <f t="shared" si="138"/>
        <v>39121.870967742056</v>
      </c>
    </row>
    <row r="8472" spans="1:6" ht="56.25" x14ac:dyDescent="0.3">
      <c r="A8472" s="45">
        <v>44135</v>
      </c>
      <c r="B8472" s="41" t="s">
        <v>4246</v>
      </c>
      <c r="C8472" s="221" t="s">
        <v>6683</v>
      </c>
      <c r="D8472" s="42">
        <v>3750</v>
      </c>
      <c r="E8472" s="43"/>
      <c r="F8472" s="48">
        <f t="shared" si="138"/>
        <v>35371.870967742056</v>
      </c>
    </row>
    <row r="8473" spans="1:6" x14ac:dyDescent="0.3">
      <c r="A8473" s="45">
        <v>44135</v>
      </c>
      <c r="B8473" s="5" t="s">
        <v>5979</v>
      </c>
      <c r="C8473" s="5" t="s">
        <v>6658</v>
      </c>
      <c r="D8473" s="43">
        <v>4000</v>
      </c>
      <c r="E8473" s="43"/>
      <c r="F8473" s="48">
        <f t="shared" si="138"/>
        <v>31371.870967742056</v>
      </c>
    </row>
    <row r="8474" spans="1:6" x14ac:dyDescent="0.3">
      <c r="A8474" s="45">
        <v>44135</v>
      </c>
      <c r="B8474" s="5" t="s">
        <v>6660</v>
      </c>
      <c r="C8474" s="5" t="s">
        <v>6659</v>
      </c>
      <c r="D8474" s="43">
        <v>16500</v>
      </c>
      <c r="E8474" s="43"/>
      <c r="F8474" s="48">
        <f t="shared" si="138"/>
        <v>14871.870967742056</v>
      </c>
    </row>
    <row r="8475" spans="1:6" x14ac:dyDescent="0.3">
      <c r="A8475" s="45">
        <v>44135</v>
      </c>
      <c r="B8475" s="39" t="s">
        <v>5156</v>
      </c>
      <c r="C8475" s="39" t="s">
        <v>6661</v>
      </c>
      <c r="D8475" s="40">
        <v>5400</v>
      </c>
      <c r="E8475" s="43"/>
      <c r="F8475" s="48">
        <f t="shared" si="138"/>
        <v>9471.8709677420557</v>
      </c>
    </row>
    <row r="8476" spans="1:6" x14ac:dyDescent="0.3">
      <c r="A8476" s="45">
        <v>44137</v>
      </c>
      <c r="B8476" s="739" t="s">
        <v>5653</v>
      </c>
      <c r="C8476" s="739"/>
      <c r="D8476" s="739"/>
      <c r="E8476" s="43">
        <v>100000</v>
      </c>
      <c r="F8476" s="48">
        <f t="shared" si="138"/>
        <v>109471.87096774206</v>
      </c>
    </row>
    <row r="8477" spans="1:6" x14ac:dyDescent="0.3">
      <c r="A8477" s="45">
        <v>44137</v>
      </c>
      <c r="B8477" s="5" t="s">
        <v>6663</v>
      </c>
      <c r="C8477" s="5" t="s">
        <v>6662</v>
      </c>
      <c r="D8477" s="43">
        <v>20000</v>
      </c>
      <c r="E8477" s="43"/>
      <c r="F8477" s="48">
        <f t="shared" si="138"/>
        <v>89471.870967742056</v>
      </c>
    </row>
    <row r="8478" spans="1:6" x14ac:dyDescent="0.3">
      <c r="A8478" s="45">
        <v>44137</v>
      </c>
      <c r="B8478" s="5" t="s">
        <v>84</v>
      </c>
      <c r="C8478" s="5" t="s">
        <v>6609</v>
      </c>
      <c r="D8478" s="43">
        <f>200+100</f>
        <v>300</v>
      </c>
      <c r="E8478" s="43"/>
      <c r="F8478" s="48">
        <f t="shared" si="138"/>
        <v>89171.870967742056</v>
      </c>
    </row>
    <row r="8479" spans="1:6" x14ac:dyDescent="0.3">
      <c r="A8479" s="45">
        <v>44137</v>
      </c>
      <c r="B8479" s="5" t="s">
        <v>25</v>
      </c>
      <c r="C8479" s="5" t="s">
        <v>6049</v>
      </c>
      <c r="D8479" s="43">
        <v>100</v>
      </c>
      <c r="E8479" s="43"/>
      <c r="F8479" s="48">
        <f t="shared" si="138"/>
        <v>89071.870967742056</v>
      </c>
    </row>
    <row r="8480" spans="1:6" x14ac:dyDescent="0.3">
      <c r="A8480" s="45">
        <v>44137</v>
      </c>
      <c r="B8480" s="5" t="s">
        <v>14</v>
      </c>
      <c r="C8480" s="5" t="s">
        <v>294</v>
      </c>
      <c r="D8480" s="43">
        <v>5000</v>
      </c>
      <c r="E8480" s="43"/>
      <c r="F8480" s="48">
        <f t="shared" si="138"/>
        <v>84071.870967742056</v>
      </c>
    </row>
    <row r="8481" spans="1:6" x14ac:dyDescent="0.3">
      <c r="A8481" s="45">
        <v>44138</v>
      </c>
      <c r="B8481" s="5" t="s">
        <v>25</v>
      </c>
      <c r="C8481" s="5" t="s">
        <v>6361</v>
      </c>
      <c r="D8481" s="43">
        <f>700+290+60+290+60+540+60+280+760+130+290+160+300</f>
        <v>3920</v>
      </c>
      <c r="E8481" s="43"/>
      <c r="F8481" s="48">
        <f t="shared" ref="F8481:F8544" si="139">F8480+E8481-D8481</f>
        <v>80151.870967742056</v>
      </c>
    </row>
    <row r="8482" spans="1:6" x14ac:dyDescent="0.3">
      <c r="A8482" s="45">
        <v>44138</v>
      </c>
      <c r="B8482" s="41" t="s">
        <v>4246</v>
      </c>
      <c r="C8482" s="41" t="s">
        <v>6664</v>
      </c>
      <c r="D8482" s="43">
        <v>1000</v>
      </c>
      <c r="E8482" s="43"/>
      <c r="F8482" s="48">
        <f t="shared" si="139"/>
        <v>79151.870967742056</v>
      </c>
    </row>
    <row r="8483" spans="1:6" x14ac:dyDescent="0.3">
      <c r="A8483" s="45">
        <v>44138</v>
      </c>
      <c r="B8483" s="5" t="s">
        <v>0</v>
      </c>
      <c r="C8483" s="5" t="s">
        <v>6625</v>
      </c>
      <c r="D8483" s="43">
        <v>5000</v>
      </c>
      <c r="E8483" s="43"/>
      <c r="F8483" s="48">
        <f t="shared" si="139"/>
        <v>74151.870967742056</v>
      </c>
    </row>
    <row r="8484" spans="1:6" ht="37.5" x14ac:dyDescent="0.3">
      <c r="A8484" s="45">
        <v>44138</v>
      </c>
      <c r="B8484" s="5" t="s">
        <v>18</v>
      </c>
      <c r="C8484" s="92" t="s">
        <v>6666</v>
      </c>
      <c r="D8484" s="43">
        <v>8500</v>
      </c>
      <c r="E8484" s="43"/>
      <c r="F8484" s="48">
        <f t="shared" si="139"/>
        <v>65651.870967742056</v>
      </c>
    </row>
    <row r="8485" spans="1:6" x14ac:dyDescent="0.3">
      <c r="A8485" s="45">
        <v>44139</v>
      </c>
      <c r="B8485" s="5" t="s">
        <v>2224</v>
      </c>
      <c r="C8485" s="5" t="s">
        <v>6667</v>
      </c>
      <c r="D8485" s="43">
        <v>20000</v>
      </c>
      <c r="E8485" s="43"/>
      <c r="F8485" s="48">
        <f t="shared" si="139"/>
        <v>45651.870967742056</v>
      </c>
    </row>
    <row r="8486" spans="1:6" x14ac:dyDescent="0.3">
      <c r="A8486" s="45">
        <v>44139</v>
      </c>
      <c r="B8486" s="5" t="s">
        <v>18</v>
      </c>
      <c r="C8486" s="5" t="s">
        <v>6669</v>
      </c>
      <c r="D8486" s="43">
        <v>1600</v>
      </c>
      <c r="E8486" s="43"/>
      <c r="F8486" s="48">
        <f t="shared" si="139"/>
        <v>44051.870967742056</v>
      </c>
    </row>
    <row r="8487" spans="1:6" x14ac:dyDescent="0.3">
      <c r="A8487" s="45">
        <v>44139</v>
      </c>
      <c r="B8487" s="5" t="s">
        <v>14</v>
      </c>
      <c r="C8487" s="5" t="s">
        <v>640</v>
      </c>
      <c r="D8487" s="43">
        <v>1000</v>
      </c>
      <c r="E8487" s="43"/>
      <c r="F8487" s="48">
        <f t="shared" si="139"/>
        <v>43051.870967742056</v>
      </c>
    </row>
    <row r="8488" spans="1:6" x14ac:dyDescent="0.3">
      <c r="A8488" s="45">
        <v>44139</v>
      </c>
      <c r="B8488" s="5" t="s">
        <v>84</v>
      </c>
      <c r="C8488" s="5" t="s">
        <v>6609</v>
      </c>
      <c r="D8488" s="43">
        <v>500</v>
      </c>
      <c r="E8488" s="43"/>
      <c r="F8488" s="48">
        <f t="shared" si="139"/>
        <v>42551.870967742056</v>
      </c>
    </row>
    <row r="8489" spans="1:6" x14ac:dyDescent="0.3">
      <c r="A8489" s="45">
        <v>44139</v>
      </c>
      <c r="B8489" s="5" t="s">
        <v>14</v>
      </c>
      <c r="C8489" s="5" t="s">
        <v>6112</v>
      </c>
      <c r="D8489" s="43">
        <v>9348</v>
      </c>
      <c r="E8489" s="43"/>
      <c r="F8489" s="48">
        <f t="shared" si="139"/>
        <v>33203.870967742056</v>
      </c>
    </row>
    <row r="8490" spans="1:6" x14ac:dyDescent="0.3">
      <c r="A8490" s="45">
        <v>44139</v>
      </c>
      <c r="B8490" s="5" t="s">
        <v>18</v>
      </c>
      <c r="C8490" s="5" t="s">
        <v>6668</v>
      </c>
      <c r="D8490" s="43">
        <v>5000</v>
      </c>
      <c r="E8490" s="43"/>
      <c r="F8490" s="48">
        <f t="shared" si="139"/>
        <v>28203.870967742056</v>
      </c>
    </row>
    <row r="8491" spans="1:6" x14ac:dyDescent="0.3">
      <c r="A8491" s="45">
        <v>44140</v>
      </c>
      <c r="B8491" s="5" t="s">
        <v>4550</v>
      </c>
      <c r="C8491" s="5" t="s">
        <v>294</v>
      </c>
      <c r="D8491" s="43">
        <v>20000</v>
      </c>
      <c r="E8491" s="43"/>
      <c r="F8491" s="48">
        <f t="shared" si="139"/>
        <v>8203.8709677420557</v>
      </c>
    </row>
    <row r="8492" spans="1:6" x14ac:dyDescent="0.3">
      <c r="A8492" s="45">
        <v>44140</v>
      </c>
      <c r="B8492" s="5" t="s">
        <v>18</v>
      </c>
      <c r="C8492" s="5" t="s">
        <v>3910</v>
      </c>
      <c r="D8492" s="43">
        <v>3000</v>
      </c>
      <c r="E8492" s="43"/>
      <c r="F8492" s="48">
        <f t="shared" si="139"/>
        <v>5203.8709677420557</v>
      </c>
    </row>
    <row r="8493" spans="1:6" x14ac:dyDescent="0.3">
      <c r="A8493" s="45">
        <v>44140</v>
      </c>
      <c r="B8493" s="5" t="s">
        <v>18</v>
      </c>
      <c r="C8493" s="5" t="s">
        <v>640</v>
      </c>
      <c r="D8493" s="43">
        <v>680</v>
      </c>
      <c r="E8493" s="43"/>
      <c r="F8493" s="48">
        <f t="shared" si="139"/>
        <v>4523.8709677420557</v>
      </c>
    </row>
    <row r="8494" spans="1:6" x14ac:dyDescent="0.3">
      <c r="A8494" s="45">
        <v>44141</v>
      </c>
      <c r="B8494" s="739" t="s">
        <v>6672</v>
      </c>
      <c r="C8494" s="739"/>
      <c r="D8494" s="739"/>
      <c r="E8494" s="43">
        <v>500000</v>
      </c>
      <c r="F8494" s="48">
        <f t="shared" si="139"/>
        <v>504523.87096774206</v>
      </c>
    </row>
    <row r="8495" spans="1:6" x14ac:dyDescent="0.3">
      <c r="A8495" s="45">
        <v>44141</v>
      </c>
      <c r="B8495" s="5" t="s">
        <v>5162</v>
      </c>
      <c r="C8495" s="5" t="s">
        <v>6671</v>
      </c>
      <c r="D8495" s="43">
        <v>3000</v>
      </c>
      <c r="E8495" s="43"/>
      <c r="F8495" s="48">
        <f t="shared" si="139"/>
        <v>501523.87096774206</v>
      </c>
    </row>
    <row r="8496" spans="1:6" x14ac:dyDescent="0.3">
      <c r="A8496" s="45">
        <v>44141</v>
      </c>
      <c r="B8496" s="39" t="s">
        <v>1512</v>
      </c>
      <c r="C8496" s="39" t="s">
        <v>6560</v>
      </c>
      <c r="D8496" s="43">
        <v>288039</v>
      </c>
      <c r="E8496" s="43"/>
      <c r="F8496" s="48">
        <f t="shared" si="139"/>
        <v>213484.87096774206</v>
      </c>
    </row>
    <row r="8497" spans="1:6" x14ac:dyDescent="0.3">
      <c r="A8497" s="45">
        <v>44141</v>
      </c>
      <c r="B8497" s="39" t="s">
        <v>1512</v>
      </c>
      <c r="C8497" s="39" t="s">
        <v>6546</v>
      </c>
      <c r="D8497" s="43">
        <v>117032</v>
      </c>
      <c r="E8497" s="43"/>
      <c r="F8497" s="48">
        <f t="shared" si="139"/>
        <v>96452.870967742056</v>
      </c>
    </row>
    <row r="8498" spans="1:6" x14ac:dyDescent="0.3">
      <c r="A8498" s="45">
        <v>44141</v>
      </c>
      <c r="B8498" s="39" t="s">
        <v>1512</v>
      </c>
      <c r="C8498" s="39" t="s">
        <v>6245</v>
      </c>
      <c r="D8498" s="43">
        <v>39556</v>
      </c>
      <c r="E8498" s="43"/>
      <c r="F8498" s="48">
        <f t="shared" si="139"/>
        <v>56896.870967742056</v>
      </c>
    </row>
    <row r="8499" spans="1:6" x14ac:dyDescent="0.3">
      <c r="A8499" s="45">
        <v>44141</v>
      </c>
      <c r="B8499" s="39" t="s">
        <v>1512</v>
      </c>
      <c r="C8499" s="39" t="s">
        <v>6673</v>
      </c>
      <c r="D8499" s="43">
        <v>35000</v>
      </c>
      <c r="E8499" s="43"/>
      <c r="F8499" s="48">
        <f t="shared" si="139"/>
        <v>21896.870967742056</v>
      </c>
    </row>
    <row r="8500" spans="1:6" x14ac:dyDescent="0.3">
      <c r="A8500" s="45">
        <v>44141</v>
      </c>
      <c r="B8500" s="39" t="s">
        <v>1512</v>
      </c>
      <c r="C8500" s="39" t="s">
        <v>74</v>
      </c>
      <c r="D8500" s="43">
        <v>6000</v>
      </c>
      <c r="E8500" s="43"/>
      <c r="F8500" s="48">
        <f t="shared" si="139"/>
        <v>15896.870967742056</v>
      </c>
    </row>
    <row r="8501" spans="1:6" x14ac:dyDescent="0.3">
      <c r="A8501" s="45">
        <v>44142</v>
      </c>
      <c r="B8501" s="739" t="s">
        <v>2960</v>
      </c>
      <c r="C8501" s="739"/>
      <c r="D8501" s="739"/>
      <c r="E8501" s="43">
        <v>400000</v>
      </c>
      <c r="F8501" s="48">
        <f t="shared" si="139"/>
        <v>415896.87096774206</v>
      </c>
    </row>
    <row r="8502" spans="1:6" x14ac:dyDescent="0.3">
      <c r="A8502" s="45">
        <v>44142</v>
      </c>
      <c r="B8502" s="39" t="s">
        <v>1512</v>
      </c>
      <c r="C8502" s="39" t="s">
        <v>14</v>
      </c>
      <c r="D8502" s="43">
        <v>50000</v>
      </c>
      <c r="E8502" s="43"/>
      <c r="F8502" s="48">
        <f t="shared" si="139"/>
        <v>365896.87096774206</v>
      </c>
    </row>
    <row r="8503" spans="1:6" x14ac:dyDescent="0.3">
      <c r="A8503" s="45">
        <v>44142</v>
      </c>
      <c r="B8503" s="5" t="s">
        <v>6675</v>
      </c>
      <c r="C8503" s="5" t="s">
        <v>6676</v>
      </c>
      <c r="D8503" s="43">
        <v>10000</v>
      </c>
      <c r="E8503" s="43"/>
      <c r="F8503" s="48">
        <f t="shared" si="139"/>
        <v>355896.87096774206</v>
      </c>
    </row>
    <row r="8504" spans="1:6" x14ac:dyDescent="0.3">
      <c r="A8504" s="45">
        <v>44142</v>
      </c>
      <c r="B8504" s="5" t="s">
        <v>1970</v>
      </c>
      <c r="C8504" s="5" t="s">
        <v>3611</v>
      </c>
      <c r="D8504" s="43">
        <v>50000</v>
      </c>
      <c r="E8504" s="43"/>
      <c r="F8504" s="48">
        <f t="shared" si="139"/>
        <v>305896.87096774206</v>
      </c>
    </row>
    <row r="8505" spans="1:6" x14ac:dyDescent="0.3">
      <c r="A8505" s="45">
        <v>44142</v>
      </c>
      <c r="B8505" s="39" t="s">
        <v>1512</v>
      </c>
      <c r="C8505" s="39" t="s">
        <v>6558</v>
      </c>
      <c r="D8505" s="43">
        <v>31750</v>
      </c>
      <c r="E8505" s="43"/>
      <c r="F8505" s="48">
        <f t="shared" si="139"/>
        <v>274146.87096774206</v>
      </c>
    </row>
    <row r="8506" spans="1:6" x14ac:dyDescent="0.3">
      <c r="A8506" s="45">
        <v>44142</v>
      </c>
      <c r="B8506" s="39" t="s">
        <v>1512</v>
      </c>
      <c r="C8506" s="39" t="s">
        <v>6677</v>
      </c>
      <c r="D8506" s="43">
        <v>97960</v>
      </c>
      <c r="E8506" s="43"/>
      <c r="F8506" s="48">
        <f t="shared" si="139"/>
        <v>176186.87096774206</v>
      </c>
    </row>
    <row r="8507" spans="1:6" x14ac:dyDescent="0.3">
      <c r="A8507" s="45">
        <v>44142</v>
      </c>
      <c r="B8507" s="39" t="s">
        <v>1512</v>
      </c>
      <c r="C8507" s="39" t="s">
        <v>6387</v>
      </c>
      <c r="D8507" s="43">
        <v>82339</v>
      </c>
      <c r="E8507" s="43"/>
      <c r="F8507" s="48">
        <f t="shared" si="139"/>
        <v>93847.870967742056</v>
      </c>
    </row>
    <row r="8508" spans="1:6" x14ac:dyDescent="0.3">
      <c r="A8508" s="45">
        <v>44142</v>
      </c>
      <c r="B8508" s="39" t="s">
        <v>1512</v>
      </c>
      <c r="C8508" s="39" t="s">
        <v>6556</v>
      </c>
      <c r="D8508" s="43">
        <v>48903</v>
      </c>
      <c r="E8508" s="43"/>
      <c r="F8508" s="48">
        <f t="shared" si="139"/>
        <v>44944.870967742056</v>
      </c>
    </row>
    <row r="8509" spans="1:6" x14ac:dyDescent="0.3">
      <c r="A8509" s="45">
        <v>44142</v>
      </c>
      <c r="B8509" s="39" t="s">
        <v>1512</v>
      </c>
      <c r="C8509" s="39" t="s">
        <v>6678</v>
      </c>
      <c r="D8509" s="43">
        <v>44960</v>
      </c>
      <c r="E8509" s="43"/>
      <c r="F8509" s="48">
        <f t="shared" si="139"/>
        <v>-15.129032257944345</v>
      </c>
    </row>
    <row r="8510" spans="1:6" x14ac:dyDescent="0.3">
      <c r="A8510" s="45">
        <v>44152</v>
      </c>
      <c r="B8510" s="739" t="s">
        <v>2960</v>
      </c>
      <c r="C8510" s="739"/>
      <c r="D8510" s="739"/>
      <c r="E8510" s="43">
        <v>80000</v>
      </c>
      <c r="F8510" s="48">
        <f>E8510</f>
        <v>80000</v>
      </c>
    </row>
    <row r="8511" spans="1:6" x14ac:dyDescent="0.3">
      <c r="A8511" s="45">
        <v>44152</v>
      </c>
      <c r="B8511" s="5" t="s">
        <v>25</v>
      </c>
      <c r="C8511" s="5" t="s">
        <v>6361</v>
      </c>
      <c r="D8511" s="43">
        <f>700+290+60+290+540+60+280+760+130+290+160+300+680+405</f>
        <v>4945</v>
      </c>
      <c r="E8511" s="43"/>
      <c r="F8511" s="48">
        <f t="shared" si="139"/>
        <v>75055</v>
      </c>
    </row>
    <row r="8512" spans="1:6" x14ac:dyDescent="0.3">
      <c r="A8512" s="45">
        <v>44152</v>
      </c>
      <c r="B8512" s="5" t="s">
        <v>110</v>
      </c>
      <c r="C8512" s="5" t="s">
        <v>6680</v>
      </c>
      <c r="D8512" s="43">
        <v>60000</v>
      </c>
      <c r="E8512" s="43"/>
      <c r="F8512" s="48">
        <f t="shared" si="139"/>
        <v>15055</v>
      </c>
    </row>
    <row r="8513" spans="1:6" x14ac:dyDescent="0.3">
      <c r="A8513" s="45">
        <v>44152</v>
      </c>
      <c r="B8513" s="739" t="s">
        <v>2960</v>
      </c>
      <c r="C8513" s="739"/>
      <c r="D8513" s="739"/>
      <c r="E8513" s="43">
        <v>3500</v>
      </c>
      <c r="F8513" s="48">
        <f t="shared" si="139"/>
        <v>18555</v>
      </c>
    </row>
    <row r="8514" spans="1:6" x14ac:dyDescent="0.3">
      <c r="A8514" s="45">
        <v>44152</v>
      </c>
      <c r="B8514" s="5" t="s">
        <v>1616</v>
      </c>
      <c r="C8514" s="5" t="s">
        <v>1658</v>
      </c>
      <c r="D8514" s="43">
        <v>1500</v>
      </c>
      <c r="E8514" s="43"/>
      <c r="F8514" s="48">
        <f t="shared" si="139"/>
        <v>17055</v>
      </c>
    </row>
    <row r="8515" spans="1:6" x14ac:dyDescent="0.3">
      <c r="A8515" s="45">
        <v>44152</v>
      </c>
      <c r="B8515" s="39" t="s">
        <v>1512</v>
      </c>
      <c r="C8515" s="39" t="s">
        <v>6684</v>
      </c>
      <c r="D8515" s="43">
        <v>5890</v>
      </c>
      <c r="E8515" s="43"/>
      <c r="F8515" s="48">
        <f t="shared" si="139"/>
        <v>11165</v>
      </c>
    </row>
    <row r="8516" spans="1:6" x14ac:dyDescent="0.3">
      <c r="A8516" s="45">
        <v>44153</v>
      </c>
      <c r="B8516" s="5" t="s">
        <v>1074</v>
      </c>
      <c r="C8516" s="5" t="s">
        <v>6468</v>
      </c>
      <c r="D8516" s="43">
        <f>4950+2520</f>
        <v>7470</v>
      </c>
      <c r="E8516" s="43"/>
      <c r="F8516" s="48">
        <f t="shared" si="139"/>
        <v>3695</v>
      </c>
    </row>
    <row r="8517" spans="1:6" x14ac:dyDescent="0.3">
      <c r="A8517" s="45">
        <v>44153</v>
      </c>
      <c r="B8517" s="5" t="s">
        <v>1074</v>
      </c>
      <c r="C8517" s="5" t="s">
        <v>6469</v>
      </c>
      <c r="D8517" s="43">
        <f>1980+970</f>
        <v>2950</v>
      </c>
      <c r="E8517" s="43"/>
      <c r="F8517" s="48">
        <f t="shared" si="139"/>
        <v>745</v>
      </c>
    </row>
    <row r="8518" spans="1:6" x14ac:dyDescent="0.3">
      <c r="A8518" s="45">
        <v>44153</v>
      </c>
      <c r="B8518" s="5" t="s">
        <v>1787</v>
      </c>
      <c r="C8518" s="5" t="s">
        <v>6685</v>
      </c>
      <c r="D8518" s="43">
        <v>500</v>
      </c>
      <c r="E8518" s="43"/>
      <c r="F8518" s="48">
        <f t="shared" si="139"/>
        <v>245</v>
      </c>
    </row>
    <row r="8519" spans="1:6" x14ac:dyDescent="0.3">
      <c r="A8519" s="45">
        <v>44153</v>
      </c>
      <c r="B8519" s="739" t="s">
        <v>6688</v>
      </c>
      <c r="C8519" s="739"/>
      <c r="D8519" s="739"/>
      <c r="E8519" s="43">
        <v>100000</v>
      </c>
      <c r="F8519" s="48">
        <f t="shared" si="139"/>
        <v>100245</v>
      </c>
    </row>
    <row r="8520" spans="1:6" ht="37.5" x14ac:dyDescent="0.3">
      <c r="A8520" s="45">
        <v>44153</v>
      </c>
      <c r="B8520" s="5" t="s">
        <v>6686</v>
      </c>
      <c r="C8520" s="92" t="s">
        <v>6687</v>
      </c>
      <c r="D8520" s="43">
        <v>20000</v>
      </c>
      <c r="E8520" s="43"/>
      <c r="F8520" s="48">
        <f t="shared" si="139"/>
        <v>80245</v>
      </c>
    </row>
    <row r="8521" spans="1:6" x14ac:dyDescent="0.3">
      <c r="A8521" s="45">
        <v>44153</v>
      </c>
      <c r="B8521" s="5" t="s">
        <v>14</v>
      </c>
      <c r="C8521" s="5" t="s">
        <v>3910</v>
      </c>
      <c r="D8521" s="43">
        <v>15000</v>
      </c>
      <c r="E8521" s="43"/>
      <c r="F8521" s="48">
        <f t="shared" si="139"/>
        <v>65245</v>
      </c>
    </row>
    <row r="8522" spans="1:6" x14ac:dyDescent="0.3">
      <c r="A8522" s="45">
        <v>44153</v>
      </c>
      <c r="B8522" s="5" t="s">
        <v>11</v>
      </c>
      <c r="C8522" s="5" t="s">
        <v>6691</v>
      </c>
      <c r="D8522" s="43">
        <v>1000</v>
      </c>
      <c r="E8522" s="43"/>
      <c r="F8522" s="48">
        <f t="shared" si="139"/>
        <v>64245</v>
      </c>
    </row>
    <row r="8523" spans="1:6" x14ac:dyDescent="0.3">
      <c r="A8523" s="45">
        <v>44153</v>
      </c>
      <c r="B8523" s="5" t="s">
        <v>11</v>
      </c>
      <c r="C8523" s="5" t="s">
        <v>6692</v>
      </c>
      <c r="D8523" s="43">
        <v>4500</v>
      </c>
      <c r="E8523" s="43"/>
      <c r="F8523" s="48">
        <f t="shared" si="139"/>
        <v>59745</v>
      </c>
    </row>
    <row r="8524" spans="1:6" x14ac:dyDescent="0.3">
      <c r="A8524" s="45">
        <v>44153</v>
      </c>
      <c r="B8524" s="5" t="s">
        <v>6693</v>
      </c>
      <c r="C8524" s="5" t="s">
        <v>6694</v>
      </c>
      <c r="D8524" s="43">
        <v>3000</v>
      </c>
      <c r="E8524" s="43"/>
      <c r="F8524" s="48">
        <f t="shared" si="139"/>
        <v>56745</v>
      </c>
    </row>
    <row r="8525" spans="1:6" x14ac:dyDescent="0.3">
      <c r="A8525" s="45">
        <v>44153</v>
      </c>
      <c r="B8525" s="5" t="s">
        <v>6430</v>
      </c>
      <c r="C8525" s="5" t="s">
        <v>6695</v>
      </c>
      <c r="D8525" s="43">
        <v>33500</v>
      </c>
      <c r="E8525" s="43"/>
      <c r="F8525" s="48">
        <f t="shared" si="139"/>
        <v>23245</v>
      </c>
    </row>
    <row r="8526" spans="1:6" x14ac:dyDescent="0.3">
      <c r="A8526" s="45">
        <v>44153</v>
      </c>
      <c r="B8526" s="5" t="s">
        <v>84</v>
      </c>
      <c r="C8526" s="5" t="s">
        <v>6696</v>
      </c>
      <c r="D8526" s="43">
        <v>10000</v>
      </c>
      <c r="E8526" s="43"/>
      <c r="F8526" s="48">
        <f t="shared" si="139"/>
        <v>13245</v>
      </c>
    </row>
    <row r="8527" spans="1:6" x14ac:dyDescent="0.3">
      <c r="A8527" s="45">
        <v>44153</v>
      </c>
      <c r="B8527" s="5" t="s">
        <v>10</v>
      </c>
      <c r="C8527" s="5" t="s">
        <v>6697</v>
      </c>
      <c r="D8527" s="43">
        <v>2000</v>
      </c>
      <c r="E8527" s="43"/>
      <c r="F8527" s="48">
        <f t="shared" si="139"/>
        <v>11245</v>
      </c>
    </row>
    <row r="8528" spans="1:6" x14ac:dyDescent="0.3">
      <c r="A8528" s="45">
        <v>44153</v>
      </c>
      <c r="B8528" s="5" t="s">
        <v>11</v>
      </c>
      <c r="C8528" s="5" t="s">
        <v>6698</v>
      </c>
      <c r="D8528" s="43">
        <v>2830</v>
      </c>
      <c r="E8528" s="43"/>
      <c r="F8528" s="48">
        <f t="shared" si="139"/>
        <v>8415</v>
      </c>
    </row>
    <row r="8529" spans="1:6" x14ac:dyDescent="0.3">
      <c r="A8529" s="45">
        <v>44154</v>
      </c>
      <c r="B8529" s="739" t="s">
        <v>6688</v>
      </c>
      <c r="C8529" s="739"/>
      <c r="D8529" s="739"/>
      <c r="E8529" s="43">
        <v>100000</v>
      </c>
      <c r="F8529" s="48">
        <f t="shared" si="139"/>
        <v>108415</v>
      </c>
    </row>
    <row r="8530" spans="1:6" x14ac:dyDescent="0.3">
      <c r="A8530" s="45">
        <v>44154</v>
      </c>
      <c r="B8530" s="5" t="s">
        <v>1074</v>
      </c>
      <c r="C8530" s="5" t="s">
        <v>6701</v>
      </c>
      <c r="D8530" s="43">
        <v>18525</v>
      </c>
      <c r="E8530" s="43"/>
      <c r="F8530" s="48">
        <f t="shared" si="139"/>
        <v>89890</v>
      </c>
    </row>
    <row r="8531" spans="1:6" x14ac:dyDescent="0.3">
      <c r="A8531" s="45">
        <v>44154</v>
      </c>
      <c r="B8531" s="5" t="s">
        <v>1074</v>
      </c>
      <c r="C8531" s="5" t="s">
        <v>5691</v>
      </c>
      <c r="D8531" s="43">
        <v>7961</v>
      </c>
      <c r="E8531" s="43"/>
      <c r="F8531" s="48">
        <f t="shared" si="139"/>
        <v>81929</v>
      </c>
    </row>
    <row r="8532" spans="1:6" x14ac:dyDescent="0.3">
      <c r="A8532" s="45">
        <v>44155</v>
      </c>
      <c r="B8532" s="5" t="s">
        <v>3563</v>
      </c>
      <c r="C8532" s="5" t="s">
        <v>6702</v>
      </c>
      <c r="D8532" s="43">
        <v>4441</v>
      </c>
      <c r="E8532" s="43"/>
      <c r="F8532" s="48">
        <f t="shared" si="139"/>
        <v>77488</v>
      </c>
    </row>
    <row r="8533" spans="1:6" x14ac:dyDescent="0.3">
      <c r="A8533" s="45">
        <v>44155</v>
      </c>
      <c r="B8533" s="5" t="s">
        <v>5938</v>
      </c>
      <c r="C8533" s="5" t="s">
        <v>6703</v>
      </c>
      <c r="D8533" s="43">
        <v>20430</v>
      </c>
      <c r="E8533" s="43"/>
      <c r="F8533" s="48">
        <f t="shared" si="139"/>
        <v>57058</v>
      </c>
    </row>
    <row r="8534" spans="1:6" x14ac:dyDescent="0.3">
      <c r="A8534" s="45">
        <v>44155</v>
      </c>
      <c r="B8534" s="5" t="s">
        <v>5156</v>
      </c>
      <c r="C8534" s="5" t="s">
        <v>6704</v>
      </c>
      <c r="D8534" s="43">
        <v>75</v>
      </c>
      <c r="E8534" s="43"/>
      <c r="F8534" s="48">
        <f t="shared" si="139"/>
        <v>56983</v>
      </c>
    </row>
    <row r="8535" spans="1:6" x14ac:dyDescent="0.3">
      <c r="A8535" s="45">
        <v>44155</v>
      </c>
      <c r="B8535" s="5" t="s">
        <v>247</v>
      </c>
      <c r="C8535" s="5" t="s">
        <v>2013</v>
      </c>
      <c r="D8535" s="43">
        <v>150</v>
      </c>
      <c r="E8535" s="43"/>
      <c r="F8535" s="48">
        <f t="shared" si="139"/>
        <v>56833</v>
      </c>
    </row>
    <row r="8536" spans="1:6" x14ac:dyDescent="0.3">
      <c r="A8536" s="45">
        <v>44155</v>
      </c>
      <c r="B8536" s="5" t="s">
        <v>18</v>
      </c>
      <c r="C8536" s="5" t="s">
        <v>6705</v>
      </c>
      <c r="D8536" s="43">
        <v>2000</v>
      </c>
      <c r="E8536" s="43"/>
      <c r="F8536" s="48">
        <f t="shared" si="139"/>
        <v>54833</v>
      </c>
    </row>
    <row r="8537" spans="1:6" x14ac:dyDescent="0.3">
      <c r="A8537" s="45">
        <v>44155</v>
      </c>
      <c r="B8537" s="5" t="s">
        <v>0</v>
      </c>
      <c r="C8537" s="5" t="s">
        <v>3910</v>
      </c>
      <c r="D8537" s="43">
        <v>5000</v>
      </c>
      <c r="E8537" s="43"/>
      <c r="F8537" s="48">
        <f t="shared" si="139"/>
        <v>49833</v>
      </c>
    </row>
    <row r="8538" spans="1:6" x14ac:dyDescent="0.3">
      <c r="A8538" s="45">
        <v>44155</v>
      </c>
      <c r="B8538" s="5" t="s">
        <v>2348</v>
      </c>
      <c r="C8538" s="5" t="s">
        <v>294</v>
      </c>
      <c r="D8538" s="43">
        <v>2000</v>
      </c>
      <c r="E8538" s="43"/>
      <c r="F8538" s="48">
        <f t="shared" si="139"/>
        <v>47833</v>
      </c>
    </row>
    <row r="8539" spans="1:6" x14ac:dyDescent="0.3">
      <c r="A8539" s="45">
        <v>44155</v>
      </c>
      <c r="B8539" s="39" t="s">
        <v>1512</v>
      </c>
      <c r="C8539" s="39" t="s">
        <v>6706</v>
      </c>
      <c r="D8539" s="43">
        <v>35000</v>
      </c>
      <c r="E8539" s="43"/>
      <c r="F8539" s="48">
        <f t="shared" si="139"/>
        <v>12833</v>
      </c>
    </row>
    <row r="8540" spans="1:6" x14ac:dyDescent="0.3">
      <c r="A8540" s="45">
        <v>44156</v>
      </c>
      <c r="B8540" s="739" t="s">
        <v>2960</v>
      </c>
      <c r="C8540" s="739"/>
      <c r="D8540" s="739"/>
      <c r="E8540" s="43">
        <v>150000</v>
      </c>
      <c r="F8540" s="48">
        <f t="shared" si="139"/>
        <v>162833</v>
      </c>
    </row>
    <row r="8541" spans="1:6" x14ac:dyDescent="0.3">
      <c r="A8541" s="45">
        <v>44156</v>
      </c>
      <c r="B8541" s="39" t="s">
        <v>1512</v>
      </c>
      <c r="C8541" s="39" t="s">
        <v>6707</v>
      </c>
      <c r="D8541" s="43">
        <v>22065</v>
      </c>
      <c r="E8541" s="43"/>
      <c r="F8541" s="48">
        <f t="shared" si="139"/>
        <v>140768</v>
      </c>
    </row>
    <row r="8542" spans="1:6" x14ac:dyDescent="0.3">
      <c r="A8542" s="45">
        <v>44156</v>
      </c>
      <c r="B8542" s="5" t="s">
        <v>6708</v>
      </c>
      <c r="C8542" s="5" t="s">
        <v>6709</v>
      </c>
      <c r="D8542" s="43">
        <v>71782</v>
      </c>
      <c r="E8542" s="43"/>
      <c r="F8542" s="48">
        <f t="shared" si="139"/>
        <v>68986</v>
      </c>
    </row>
    <row r="8543" spans="1:6" x14ac:dyDescent="0.3">
      <c r="A8543" s="45">
        <v>44156</v>
      </c>
      <c r="B8543" s="41" t="s">
        <v>6430</v>
      </c>
      <c r="C8543" s="41" t="s">
        <v>6710</v>
      </c>
      <c r="D8543" s="42">
        <v>12000</v>
      </c>
      <c r="E8543" s="43"/>
      <c r="F8543" s="48">
        <f t="shared" si="139"/>
        <v>56986</v>
      </c>
    </row>
    <row r="8544" spans="1:6" x14ac:dyDescent="0.3">
      <c r="A8544" s="45">
        <v>44159</v>
      </c>
      <c r="B8544" s="5" t="s">
        <v>6099</v>
      </c>
      <c r="C8544" s="5" t="s">
        <v>6711</v>
      </c>
      <c r="D8544" s="43">
        <v>20200</v>
      </c>
      <c r="E8544" s="43"/>
      <c r="F8544" s="48">
        <f t="shared" si="139"/>
        <v>36786</v>
      </c>
    </row>
    <row r="8545" spans="1:6" x14ac:dyDescent="0.3">
      <c r="A8545" s="45">
        <v>44159</v>
      </c>
      <c r="B8545" s="5" t="s">
        <v>14</v>
      </c>
      <c r="C8545" s="5" t="s">
        <v>6717</v>
      </c>
      <c r="D8545" s="43">
        <v>5000</v>
      </c>
      <c r="E8545" s="43"/>
      <c r="F8545" s="48">
        <f t="shared" ref="F8545:F8586" si="140">F8544+E8545-D8545</f>
        <v>31786</v>
      </c>
    </row>
    <row r="8546" spans="1:6" x14ac:dyDescent="0.3">
      <c r="A8546" s="45">
        <v>44159</v>
      </c>
      <c r="B8546" s="5" t="s">
        <v>5709</v>
      </c>
      <c r="C8546" s="5" t="s">
        <v>3172</v>
      </c>
      <c r="D8546" s="43">
        <v>900</v>
      </c>
      <c r="E8546" s="43"/>
      <c r="F8546" s="48">
        <f t="shared" si="140"/>
        <v>30886</v>
      </c>
    </row>
    <row r="8547" spans="1:6" x14ac:dyDescent="0.3">
      <c r="A8547" s="45">
        <v>44159</v>
      </c>
      <c r="B8547" s="5" t="s">
        <v>5709</v>
      </c>
      <c r="C8547" s="5" t="s">
        <v>6712</v>
      </c>
      <c r="D8547" s="43">
        <v>1000</v>
      </c>
      <c r="E8547" s="43"/>
      <c r="F8547" s="48">
        <f t="shared" si="140"/>
        <v>29886</v>
      </c>
    </row>
    <row r="8548" spans="1:6" x14ac:dyDescent="0.3">
      <c r="A8548" s="45">
        <v>44160</v>
      </c>
      <c r="B8548" s="5" t="s">
        <v>25</v>
      </c>
      <c r="C8548" s="5" t="s">
        <v>6361</v>
      </c>
      <c r="D8548" s="43">
        <f>800+40+1000+110+80+180+140+200+160+30+50+40+450+290+40</f>
        <v>3610</v>
      </c>
      <c r="E8548" s="43"/>
      <c r="F8548" s="48">
        <f t="shared" si="140"/>
        <v>26276</v>
      </c>
    </row>
    <row r="8549" spans="1:6" x14ac:dyDescent="0.3">
      <c r="A8549" s="45">
        <v>44160</v>
      </c>
      <c r="B8549" s="5" t="s">
        <v>1616</v>
      </c>
      <c r="C8549" s="5" t="s">
        <v>6465</v>
      </c>
      <c r="D8549" s="43">
        <v>600</v>
      </c>
      <c r="E8549" s="43"/>
      <c r="F8549" s="48">
        <f t="shared" si="140"/>
        <v>25676</v>
      </c>
    </row>
    <row r="8550" spans="1:6" x14ac:dyDescent="0.3">
      <c r="A8550" s="45">
        <v>44160</v>
      </c>
      <c r="B8550" s="5" t="s">
        <v>2948</v>
      </c>
      <c r="C8550" s="5" t="s">
        <v>64</v>
      </c>
      <c r="D8550" s="43">
        <v>1000</v>
      </c>
      <c r="E8550" s="43"/>
      <c r="F8550" s="48">
        <f t="shared" si="140"/>
        <v>24676</v>
      </c>
    </row>
    <row r="8551" spans="1:6" x14ac:dyDescent="0.3">
      <c r="A8551" s="45">
        <v>44160</v>
      </c>
      <c r="B8551" s="5" t="s">
        <v>3559</v>
      </c>
      <c r="C8551" s="5" t="s">
        <v>91</v>
      </c>
      <c r="D8551" s="43">
        <v>650</v>
      </c>
      <c r="E8551" s="43"/>
      <c r="F8551" s="48">
        <f t="shared" si="140"/>
        <v>24026</v>
      </c>
    </row>
    <row r="8552" spans="1:6" x14ac:dyDescent="0.3">
      <c r="A8552" s="45">
        <v>44160</v>
      </c>
      <c r="B8552" s="5" t="s">
        <v>0</v>
      </c>
      <c r="C8552" s="5" t="s">
        <v>3910</v>
      </c>
      <c r="D8552" s="43">
        <v>5000</v>
      </c>
      <c r="E8552" s="43"/>
      <c r="F8552" s="48">
        <f t="shared" si="140"/>
        <v>19026</v>
      </c>
    </row>
    <row r="8553" spans="1:6" x14ac:dyDescent="0.3">
      <c r="A8553" s="45">
        <v>44160</v>
      </c>
      <c r="B8553" s="5" t="s">
        <v>25</v>
      </c>
      <c r="C8553" s="5" t="s">
        <v>2025</v>
      </c>
      <c r="D8553" s="43">
        <v>100</v>
      </c>
      <c r="E8553" s="43"/>
      <c r="F8553" s="48">
        <f t="shared" si="140"/>
        <v>18926</v>
      </c>
    </row>
    <row r="8554" spans="1:6" x14ac:dyDescent="0.3">
      <c r="A8554" s="45">
        <v>44160</v>
      </c>
      <c r="B8554" s="5" t="s">
        <v>14</v>
      </c>
      <c r="C8554" s="5" t="s">
        <v>6715</v>
      </c>
      <c r="D8554" s="43">
        <v>6491</v>
      </c>
      <c r="E8554" s="43"/>
      <c r="F8554" s="48">
        <f t="shared" si="140"/>
        <v>12435</v>
      </c>
    </row>
    <row r="8555" spans="1:6" x14ac:dyDescent="0.3">
      <c r="A8555" s="45">
        <v>44160</v>
      </c>
      <c r="B8555" s="5" t="s">
        <v>25</v>
      </c>
      <c r="C8555" s="5" t="s">
        <v>6718</v>
      </c>
      <c r="D8555" s="43">
        <v>100</v>
      </c>
      <c r="E8555" s="43"/>
      <c r="F8555" s="48">
        <f t="shared" si="140"/>
        <v>12335</v>
      </c>
    </row>
    <row r="8556" spans="1:6" x14ac:dyDescent="0.3">
      <c r="A8556" s="45">
        <v>44161</v>
      </c>
      <c r="B8556" s="5" t="s">
        <v>84</v>
      </c>
      <c r="C8556" s="5" t="s">
        <v>6719</v>
      </c>
      <c r="D8556" s="43">
        <v>10000</v>
      </c>
      <c r="E8556" s="43"/>
      <c r="F8556" s="48">
        <f t="shared" si="140"/>
        <v>2335</v>
      </c>
    </row>
    <row r="8557" spans="1:6" x14ac:dyDescent="0.3">
      <c r="A8557" s="45">
        <v>44161</v>
      </c>
      <c r="B8557" s="5" t="s">
        <v>25</v>
      </c>
      <c r="C8557" s="5" t="s">
        <v>2025</v>
      </c>
      <c r="D8557" s="43">
        <v>100</v>
      </c>
      <c r="E8557" s="43"/>
      <c r="F8557" s="48">
        <f t="shared" si="140"/>
        <v>2235</v>
      </c>
    </row>
    <row r="8558" spans="1:6" x14ac:dyDescent="0.3">
      <c r="A8558" s="45">
        <v>44162</v>
      </c>
      <c r="B8558" s="739" t="s">
        <v>6688</v>
      </c>
      <c r="C8558" s="739"/>
      <c r="D8558" s="739"/>
      <c r="E8558" s="43">
        <v>100000</v>
      </c>
      <c r="F8558" s="48">
        <f t="shared" si="140"/>
        <v>102235</v>
      </c>
    </row>
    <row r="8559" spans="1:6" x14ac:dyDescent="0.3">
      <c r="A8559" s="45">
        <v>44162</v>
      </c>
      <c r="B8559" s="5" t="s">
        <v>6430</v>
      </c>
      <c r="C8559" s="5" t="s">
        <v>6720</v>
      </c>
      <c r="D8559" s="43">
        <v>10000</v>
      </c>
      <c r="E8559" s="43"/>
      <c r="F8559" s="48">
        <f t="shared" si="140"/>
        <v>92235</v>
      </c>
    </row>
    <row r="8560" spans="1:6" x14ac:dyDescent="0.3">
      <c r="A8560" s="45">
        <v>44162</v>
      </c>
      <c r="B8560" s="5" t="s">
        <v>25</v>
      </c>
      <c r="C8560" s="5" t="s">
        <v>6721</v>
      </c>
      <c r="D8560" s="43">
        <v>100</v>
      </c>
      <c r="E8560" s="43"/>
      <c r="F8560" s="48">
        <f t="shared" si="140"/>
        <v>92135</v>
      </c>
    </row>
    <row r="8561" spans="1:6" x14ac:dyDescent="0.3">
      <c r="A8561" s="45">
        <v>44162</v>
      </c>
      <c r="B8561" s="5" t="s">
        <v>1616</v>
      </c>
      <c r="C8561" s="5" t="s">
        <v>6724</v>
      </c>
      <c r="D8561" s="43">
        <v>1000</v>
      </c>
      <c r="E8561" s="43"/>
      <c r="F8561" s="48">
        <f t="shared" si="140"/>
        <v>91135</v>
      </c>
    </row>
    <row r="8562" spans="1:6" x14ac:dyDescent="0.3">
      <c r="A8562" s="45">
        <v>44163</v>
      </c>
      <c r="B8562" s="5" t="s">
        <v>6722</v>
      </c>
      <c r="C8562" s="5" t="s">
        <v>6723</v>
      </c>
      <c r="D8562" s="43">
        <v>2000</v>
      </c>
      <c r="E8562" s="43"/>
      <c r="F8562" s="48">
        <f t="shared" si="140"/>
        <v>89135</v>
      </c>
    </row>
    <row r="8563" spans="1:6" x14ac:dyDescent="0.3">
      <c r="A8563" s="45">
        <v>44163</v>
      </c>
      <c r="B8563" s="5" t="s">
        <v>84</v>
      </c>
      <c r="C8563" s="5" t="s">
        <v>6725</v>
      </c>
      <c r="D8563" s="43">
        <v>1000</v>
      </c>
      <c r="E8563" s="43"/>
      <c r="F8563" s="48">
        <f t="shared" si="140"/>
        <v>88135</v>
      </c>
    </row>
    <row r="8564" spans="1:6" x14ac:dyDescent="0.3">
      <c r="A8564" s="45">
        <v>44163</v>
      </c>
      <c r="B8564" s="5" t="s">
        <v>14</v>
      </c>
      <c r="C8564" s="5" t="s">
        <v>6727</v>
      </c>
      <c r="D8564" s="43">
        <v>20000</v>
      </c>
      <c r="E8564" s="43"/>
      <c r="F8564" s="48">
        <f t="shared" si="140"/>
        <v>68135</v>
      </c>
    </row>
    <row r="8565" spans="1:6" x14ac:dyDescent="0.3">
      <c r="A8565" s="45">
        <v>44163</v>
      </c>
      <c r="B8565" s="5" t="s">
        <v>84</v>
      </c>
      <c r="C8565" s="5" t="s">
        <v>6726</v>
      </c>
      <c r="D8565" s="43">
        <v>1000</v>
      </c>
      <c r="E8565" s="43"/>
      <c r="F8565" s="48">
        <f t="shared" si="140"/>
        <v>67135</v>
      </c>
    </row>
    <row r="8566" spans="1:6" x14ac:dyDescent="0.3">
      <c r="A8566" s="45">
        <v>44165</v>
      </c>
      <c r="B8566" s="5" t="s">
        <v>4915</v>
      </c>
      <c r="C8566" s="5" t="s">
        <v>6728</v>
      </c>
      <c r="D8566" s="43">
        <v>8000</v>
      </c>
      <c r="E8566" s="43"/>
      <c r="F8566" s="48">
        <f t="shared" si="140"/>
        <v>59135</v>
      </c>
    </row>
    <row r="8567" spans="1:6" x14ac:dyDescent="0.3">
      <c r="A8567" s="45">
        <v>44165</v>
      </c>
      <c r="B8567" s="5" t="s">
        <v>6729</v>
      </c>
      <c r="C8567" s="5" t="s">
        <v>6730</v>
      </c>
      <c r="D8567" s="43">
        <v>20000</v>
      </c>
      <c r="E8567" s="43"/>
      <c r="F8567" s="48">
        <f t="shared" si="140"/>
        <v>39135</v>
      </c>
    </row>
    <row r="8568" spans="1:6" x14ac:dyDescent="0.3">
      <c r="A8568" s="45">
        <v>44166</v>
      </c>
      <c r="B8568" s="5" t="s">
        <v>14</v>
      </c>
      <c r="C8568" s="5" t="s">
        <v>6731</v>
      </c>
      <c r="D8568" s="43">
        <v>3546</v>
      </c>
      <c r="E8568" s="43"/>
      <c r="F8568" s="48">
        <f t="shared" si="140"/>
        <v>35589</v>
      </c>
    </row>
    <row r="8569" spans="1:6" x14ac:dyDescent="0.3">
      <c r="A8569" s="45">
        <v>44166</v>
      </c>
      <c r="B8569" s="123" t="s">
        <v>2570</v>
      </c>
      <c r="C8569" s="123" t="s">
        <v>6732</v>
      </c>
      <c r="D8569" s="52">
        <f>580+380+527</f>
        <v>1487</v>
      </c>
      <c r="F8569" s="48">
        <f t="shared" si="140"/>
        <v>34102</v>
      </c>
    </row>
    <row r="8570" spans="1:6" x14ac:dyDescent="0.3">
      <c r="A8570" s="45">
        <v>44166</v>
      </c>
      <c r="B8570" s="739" t="s">
        <v>6688</v>
      </c>
      <c r="C8570" s="739"/>
      <c r="D8570" s="739"/>
      <c r="E8570" s="43">
        <v>100000</v>
      </c>
      <c r="F8570" s="48">
        <f t="shared" si="140"/>
        <v>134102</v>
      </c>
    </row>
    <row r="8571" spans="1:6" x14ac:dyDescent="0.3">
      <c r="A8571" s="45">
        <v>44166</v>
      </c>
      <c r="B8571" s="5" t="s">
        <v>6171</v>
      </c>
      <c r="C8571" s="5" t="s">
        <v>6734</v>
      </c>
      <c r="D8571" s="43">
        <v>5000</v>
      </c>
      <c r="E8571" s="43"/>
      <c r="F8571" s="48">
        <f t="shared" si="140"/>
        <v>129102</v>
      </c>
    </row>
    <row r="8572" spans="1:6" x14ac:dyDescent="0.3">
      <c r="A8572" s="45">
        <v>44166</v>
      </c>
      <c r="B8572" s="5" t="s">
        <v>25</v>
      </c>
      <c r="C8572" s="5" t="s">
        <v>6733</v>
      </c>
      <c r="D8572" s="43">
        <v>120</v>
      </c>
      <c r="E8572" s="43"/>
      <c r="F8572" s="48">
        <f t="shared" si="140"/>
        <v>128982</v>
      </c>
    </row>
    <row r="8573" spans="1:6" x14ac:dyDescent="0.3">
      <c r="A8573" s="45">
        <v>44166</v>
      </c>
      <c r="B8573" s="5" t="s">
        <v>18</v>
      </c>
      <c r="C8573" s="5" t="s">
        <v>6735</v>
      </c>
      <c r="D8573" s="43">
        <v>2500</v>
      </c>
      <c r="E8573" s="43"/>
      <c r="F8573" s="48">
        <f t="shared" si="140"/>
        <v>126482</v>
      </c>
    </row>
    <row r="8574" spans="1:6" x14ac:dyDescent="0.3">
      <c r="A8574" s="45">
        <v>44166</v>
      </c>
      <c r="B8574" s="5" t="s">
        <v>25</v>
      </c>
      <c r="C8574" s="5" t="s">
        <v>3917</v>
      </c>
      <c r="D8574" s="43">
        <v>350</v>
      </c>
      <c r="E8574" s="43"/>
      <c r="F8574" s="48">
        <f t="shared" si="140"/>
        <v>126132</v>
      </c>
    </row>
    <row r="8575" spans="1:6" x14ac:dyDescent="0.3">
      <c r="A8575" s="45">
        <v>44166</v>
      </c>
      <c r="B8575" s="5" t="s">
        <v>25</v>
      </c>
      <c r="C8575" s="5" t="s">
        <v>6739</v>
      </c>
      <c r="D8575" s="43">
        <v>50</v>
      </c>
      <c r="E8575" s="43"/>
      <c r="F8575" s="48">
        <f t="shared" si="140"/>
        <v>126082</v>
      </c>
    </row>
    <row r="8576" spans="1:6" x14ac:dyDescent="0.3">
      <c r="A8576" s="45">
        <v>44166</v>
      </c>
      <c r="B8576" s="5" t="s">
        <v>6221</v>
      </c>
      <c r="C8576" s="5" t="s">
        <v>6736</v>
      </c>
      <c r="D8576" s="43">
        <v>12900</v>
      </c>
      <c r="E8576" s="43"/>
      <c r="F8576" s="48">
        <f t="shared" si="140"/>
        <v>113182</v>
      </c>
    </row>
    <row r="8577" spans="1:6" x14ac:dyDescent="0.3">
      <c r="A8577" s="45">
        <v>44166</v>
      </c>
      <c r="B8577" s="5" t="s">
        <v>6737</v>
      </c>
      <c r="C8577" s="5" t="s">
        <v>6738</v>
      </c>
      <c r="D8577" s="43">
        <v>4750</v>
      </c>
      <c r="E8577" s="43"/>
      <c r="F8577" s="48">
        <f t="shared" si="140"/>
        <v>108432</v>
      </c>
    </row>
    <row r="8578" spans="1:6" x14ac:dyDescent="0.3">
      <c r="A8578" s="45">
        <v>44167</v>
      </c>
      <c r="B8578" s="5" t="s">
        <v>11</v>
      </c>
      <c r="C8578" s="5" t="s">
        <v>6740</v>
      </c>
      <c r="D8578" s="43">
        <v>2000</v>
      </c>
      <c r="E8578" s="43"/>
      <c r="F8578" s="48">
        <f t="shared" si="140"/>
        <v>106432</v>
      </c>
    </row>
    <row r="8579" spans="1:6" x14ac:dyDescent="0.3">
      <c r="A8579" s="45">
        <v>44167</v>
      </c>
      <c r="B8579" s="5" t="s">
        <v>4400</v>
      </c>
      <c r="C8579" s="5" t="s">
        <v>6743</v>
      </c>
      <c r="D8579" s="43">
        <v>3000</v>
      </c>
      <c r="E8579" s="43"/>
      <c r="F8579" s="48">
        <f t="shared" si="140"/>
        <v>103432</v>
      </c>
    </row>
    <row r="8580" spans="1:6" x14ac:dyDescent="0.3">
      <c r="A8580" s="45">
        <v>44167</v>
      </c>
      <c r="B8580" s="5" t="s">
        <v>2318</v>
      </c>
      <c r="C8580" s="5" t="s">
        <v>6741</v>
      </c>
      <c r="D8580" s="43">
        <v>30000</v>
      </c>
      <c r="E8580" s="43"/>
      <c r="F8580" s="48">
        <f t="shared" si="140"/>
        <v>73432</v>
      </c>
    </row>
    <row r="8581" spans="1:6" x14ac:dyDescent="0.3">
      <c r="A8581" s="45">
        <v>44167</v>
      </c>
      <c r="B8581" s="5" t="s">
        <v>6430</v>
      </c>
      <c r="C8581" s="5" t="s">
        <v>6742</v>
      </c>
      <c r="D8581" s="43">
        <v>1100</v>
      </c>
      <c r="E8581" s="43"/>
      <c r="F8581" s="48">
        <f t="shared" si="140"/>
        <v>72332</v>
      </c>
    </row>
    <row r="8582" spans="1:6" x14ac:dyDescent="0.3">
      <c r="A8582" s="45">
        <v>44168</v>
      </c>
      <c r="B8582" s="5" t="s">
        <v>18</v>
      </c>
      <c r="C8582" s="5" t="s">
        <v>6744</v>
      </c>
      <c r="D8582" s="43">
        <v>5470</v>
      </c>
      <c r="E8582" s="43"/>
      <c r="F8582" s="48">
        <f t="shared" si="140"/>
        <v>66862</v>
      </c>
    </row>
    <row r="8583" spans="1:6" x14ac:dyDescent="0.3">
      <c r="A8583" s="45">
        <v>44168</v>
      </c>
      <c r="B8583" s="5" t="s">
        <v>6746</v>
      </c>
      <c r="C8583" s="5" t="s">
        <v>6749</v>
      </c>
      <c r="D8583" s="43">
        <v>50000</v>
      </c>
      <c r="E8583" s="43"/>
      <c r="F8583" s="48">
        <f t="shared" si="140"/>
        <v>16862</v>
      </c>
    </row>
    <row r="8584" spans="1:6" x14ac:dyDescent="0.3">
      <c r="A8584" s="45">
        <v>44168</v>
      </c>
      <c r="B8584" s="5" t="s">
        <v>84</v>
      </c>
      <c r="C8584" s="5" t="s">
        <v>6745</v>
      </c>
      <c r="D8584" s="43">
        <v>10000</v>
      </c>
      <c r="E8584" s="43"/>
      <c r="F8584" s="48">
        <f t="shared" si="140"/>
        <v>6862</v>
      </c>
    </row>
    <row r="8585" spans="1:6" x14ac:dyDescent="0.3">
      <c r="A8585" s="45">
        <v>44168</v>
      </c>
      <c r="B8585" s="5" t="s">
        <v>3559</v>
      </c>
      <c r="C8585" s="5" t="s">
        <v>6747</v>
      </c>
      <c r="D8585" s="43">
        <v>4200</v>
      </c>
      <c r="E8585" s="43"/>
      <c r="F8585" s="48">
        <f t="shared" si="140"/>
        <v>2662</v>
      </c>
    </row>
    <row r="8586" spans="1:6" x14ac:dyDescent="0.3">
      <c r="A8586" s="45">
        <v>44169</v>
      </c>
      <c r="B8586" s="5" t="s">
        <v>25</v>
      </c>
      <c r="C8586" s="5" t="s">
        <v>6361</v>
      </c>
      <c r="D8586" s="43">
        <f>900+340+100+100+290+300+90+600+90+100+50+20</f>
        <v>2980</v>
      </c>
      <c r="E8586" s="43"/>
      <c r="F8586" s="48">
        <f t="shared" si="140"/>
        <v>-318</v>
      </c>
    </row>
    <row r="8587" spans="1:6" x14ac:dyDescent="0.3">
      <c r="A8587" s="45">
        <v>44169</v>
      </c>
      <c r="B8587" s="739" t="s">
        <v>5653</v>
      </c>
      <c r="C8587" s="739"/>
      <c r="D8587" s="739"/>
      <c r="E8587" s="43">
        <v>50000</v>
      </c>
      <c r="F8587" s="48">
        <f>E8587</f>
        <v>50000</v>
      </c>
    </row>
    <row r="8588" spans="1:6" ht="37.5" x14ac:dyDescent="0.3">
      <c r="A8588" s="45">
        <v>44169</v>
      </c>
      <c r="B8588" s="5" t="s">
        <v>0</v>
      </c>
      <c r="C8588" s="92" t="s">
        <v>6756</v>
      </c>
      <c r="D8588" s="43">
        <v>10000</v>
      </c>
      <c r="E8588" s="43"/>
      <c r="F8588" s="48">
        <f>F8587+E8588-D8588</f>
        <v>40000</v>
      </c>
    </row>
    <row r="8589" spans="1:6" x14ac:dyDescent="0.3">
      <c r="A8589" s="45">
        <v>44169</v>
      </c>
      <c r="B8589" s="5" t="s">
        <v>5162</v>
      </c>
      <c r="C8589" s="5" t="s">
        <v>6750</v>
      </c>
      <c r="D8589" s="43">
        <v>600</v>
      </c>
      <c r="E8589" s="43"/>
      <c r="F8589" s="48">
        <f>F8588+E8589-D8589</f>
        <v>39400</v>
      </c>
    </row>
    <row r="8590" spans="1:6" x14ac:dyDescent="0.3">
      <c r="A8590" s="45">
        <v>44170</v>
      </c>
      <c r="B8590" s="5" t="s">
        <v>6675</v>
      </c>
      <c r="C8590" s="5" t="s">
        <v>6751</v>
      </c>
      <c r="D8590" s="43">
        <v>25000</v>
      </c>
      <c r="E8590" s="43"/>
      <c r="F8590" s="48">
        <f>F8589+E8590-D8590</f>
        <v>14400</v>
      </c>
    </row>
    <row r="8591" spans="1:6" x14ac:dyDescent="0.3">
      <c r="A8591" s="45">
        <v>44170</v>
      </c>
      <c r="B8591" s="5" t="s">
        <v>6430</v>
      </c>
      <c r="C8591" s="5" t="s">
        <v>6753</v>
      </c>
      <c r="D8591" s="43">
        <v>300</v>
      </c>
      <c r="E8591" s="43"/>
      <c r="F8591" s="48">
        <f t="shared" ref="F8591:F8654" si="141">F8590+E8591-D8591</f>
        <v>14100</v>
      </c>
    </row>
    <row r="8592" spans="1:6" x14ac:dyDescent="0.3">
      <c r="A8592" s="45">
        <v>44170</v>
      </c>
      <c r="B8592" s="5" t="s">
        <v>0</v>
      </c>
      <c r="C8592" s="5" t="s">
        <v>5813</v>
      </c>
      <c r="D8592" s="43">
        <v>1000</v>
      </c>
      <c r="E8592" s="43"/>
      <c r="F8592" s="48">
        <f t="shared" si="141"/>
        <v>13100</v>
      </c>
    </row>
    <row r="8593" spans="1:6" ht="37.5" x14ac:dyDescent="0.3">
      <c r="A8593" s="45">
        <v>44170</v>
      </c>
      <c r="B8593" s="5" t="s">
        <v>84</v>
      </c>
      <c r="C8593" s="92" t="s">
        <v>6755</v>
      </c>
      <c r="D8593" s="43">
        <v>10000</v>
      </c>
      <c r="E8593" s="43"/>
      <c r="F8593" s="48">
        <f t="shared" si="141"/>
        <v>3100</v>
      </c>
    </row>
    <row r="8594" spans="1:6" x14ac:dyDescent="0.3">
      <c r="A8594" s="45">
        <v>44172</v>
      </c>
      <c r="B8594" s="5" t="s">
        <v>14</v>
      </c>
      <c r="C8594" s="5" t="s">
        <v>3904</v>
      </c>
      <c r="D8594" s="43">
        <v>1000</v>
      </c>
      <c r="E8594" s="43"/>
      <c r="F8594" s="48">
        <f t="shared" si="141"/>
        <v>2100</v>
      </c>
    </row>
    <row r="8595" spans="1:6" x14ac:dyDescent="0.3">
      <c r="A8595" s="45">
        <v>44172</v>
      </c>
      <c r="B8595" s="5" t="s">
        <v>25</v>
      </c>
      <c r="C8595" s="5" t="s">
        <v>6361</v>
      </c>
      <c r="D8595" s="43">
        <f>300+700+130+290+120+50+60+60+40</f>
        <v>1750</v>
      </c>
      <c r="E8595" s="43"/>
      <c r="F8595" s="48">
        <f t="shared" si="141"/>
        <v>350</v>
      </c>
    </row>
    <row r="8596" spans="1:6" x14ac:dyDescent="0.3">
      <c r="A8596" s="45">
        <v>44172</v>
      </c>
      <c r="B8596" s="739" t="s">
        <v>5653</v>
      </c>
      <c r="C8596" s="739"/>
      <c r="D8596" s="739"/>
      <c r="E8596" s="43">
        <v>500000</v>
      </c>
      <c r="F8596" s="48">
        <f t="shared" si="141"/>
        <v>500350</v>
      </c>
    </row>
    <row r="8597" spans="1:6" x14ac:dyDescent="0.3">
      <c r="A8597" s="45">
        <v>44172</v>
      </c>
      <c r="B8597" s="5" t="s">
        <v>110</v>
      </c>
      <c r="C8597" s="5" t="s">
        <v>640</v>
      </c>
      <c r="D8597" s="43">
        <v>3000</v>
      </c>
      <c r="E8597" s="43"/>
      <c r="F8597" s="48">
        <f t="shared" si="141"/>
        <v>497350</v>
      </c>
    </row>
    <row r="8598" spans="1:6" ht="37.5" x14ac:dyDescent="0.3">
      <c r="A8598" s="45">
        <v>44172</v>
      </c>
      <c r="B8598" s="5" t="s">
        <v>57</v>
      </c>
      <c r="C8598" s="92" t="s">
        <v>6758</v>
      </c>
      <c r="D8598" s="43">
        <v>2110</v>
      </c>
      <c r="E8598" s="43"/>
      <c r="F8598" s="48">
        <f t="shared" si="141"/>
        <v>495240</v>
      </c>
    </row>
    <row r="8599" spans="1:6" x14ac:dyDescent="0.3">
      <c r="A8599" s="45">
        <v>44172</v>
      </c>
      <c r="B8599" s="5" t="s">
        <v>84</v>
      </c>
      <c r="C8599" s="92" t="s">
        <v>6757</v>
      </c>
      <c r="D8599" s="43">
        <v>10000</v>
      </c>
      <c r="E8599" s="43"/>
      <c r="F8599" s="48">
        <f t="shared" si="141"/>
        <v>485240</v>
      </c>
    </row>
    <row r="8600" spans="1:6" x14ac:dyDescent="0.3">
      <c r="A8600" s="45">
        <v>44172</v>
      </c>
      <c r="B8600" s="5" t="s">
        <v>25</v>
      </c>
      <c r="C8600" s="5" t="s">
        <v>6361</v>
      </c>
      <c r="D8600" s="43">
        <f>90+140</f>
        <v>230</v>
      </c>
      <c r="E8600" s="43"/>
      <c r="F8600" s="48">
        <f t="shared" si="141"/>
        <v>485010</v>
      </c>
    </row>
    <row r="8601" spans="1:6" x14ac:dyDescent="0.3">
      <c r="A8601" s="45">
        <v>44173</v>
      </c>
      <c r="B8601" s="39" t="s">
        <v>1512</v>
      </c>
      <c r="C8601" s="39" t="s">
        <v>6546</v>
      </c>
      <c r="D8601" s="43">
        <v>105759</v>
      </c>
      <c r="E8601" s="43"/>
      <c r="F8601" s="48">
        <f t="shared" si="141"/>
        <v>379251</v>
      </c>
    </row>
    <row r="8602" spans="1:6" x14ac:dyDescent="0.3">
      <c r="A8602" s="45">
        <v>44173</v>
      </c>
      <c r="B8602" s="39" t="s">
        <v>1512</v>
      </c>
      <c r="C8602" s="39" t="s">
        <v>6387</v>
      </c>
      <c r="D8602" s="43">
        <v>84658</v>
      </c>
      <c r="E8602" s="43"/>
      <c r="F8602" s="48">
        <f t="shared" si="141"/>
        <v>294593</v>
      </c>
    </row>
    <row r="8603" spans="1:6" x14ac:dyDescent="0.3">
      <c r="A8603" s="45">
        <v>44173</v>
      </c>
      <c r="B8603" s="39" t="s">
        <v>1512</v>
      </c>
      <c r="C8603" s="39" t="s">
        <v>7824</v>
      </c>
      <c r="D8603" s="43">
        <v>174988</v>
      </c>
      <c r="E8603" s="43"/>
      <c r="F8603" s="48">
        <f t="shared" si="141"/>
        <v>119605</v>
      </c>
    </row>
    <row r="8604" spans="1:6" x14ac:dyDescent="0.3">
      <c r="A8604" s="45">
        <v>44173</v>
      </c>
      <c r="B8604" s="39" t="s">
        <v>1512</v>
      </c>
      <c r="C8604" s="39" t="s">
        <v>6559</v>
      </c>
      <c r="D8604" s="43">
        <v>68950</v>
      </c>
      <c r="E8604" s="43"/>
      <c r="F8604" s="48">
        <f t="shared" si="141"/>
        <v>50655</v>
      </c>
    </row>
    <row r="8605" spans="1:6" x14ac:dyDescent="0.3">
      <c r="A8605" s="45">
        <v>44173</v>
      </c>
      <c r="B8605" s="39" t="s">
        <v>1512</v>
      </c>
      <c r="C8605" s="39" t="s">
        <v>6759</v>
      </c>
      <c r="D8605" s="43">
        <v>43800</v>
      </c>
      <c r="E8605" s="43"/>
      <c r="F8605" s="48">
        <f t="shared" si="141"/>
        <v>6855</v>
      </c>
    </row>
    <row r="8606" spans="1:6" x14ac:dyDescent="0.3">
      <c r="A8606" s="45">
        <v>44173</v>
      </c>
      <c r="B8606" s="5" t="s">
        <v>6430</v>
      </c>
      <c r="C8606" s="5" t="s">
        <v>6762</v>
      </c>
      <c r="D8606" s="43">
        <v>3000</v>
      </c>
      <c r="E8606" s="43"/>
      <c r="F8606" s="48">
        <f t="shared" si="141"/>
        <v>3855</v>
      </c>
    </row>
    <row r="8607" spans="1:6" x14ac:dyDescent="0.3">
      <c r="A8607" s="45">
        <v>44173</v>
      </c>
      <c r="B8607" s="5" t="s">
        <v>11</v>
      </c>
      <c r="C8607" s="5" t="s">
        <v>6760</v>
      </c>
      <c r="D8607" s="43">
        <v>800</v>
      </c>
      <c r="E8607" s="43"/>
      <c r="F8607" s="48">
        <f t="shared" si="141"/>
        <v>3055</v>
      </c>
    </row>
    <row r="8608" spans="1:6" x14ac:dyDescent="0.3">
      <c r="A8608" s="45">
        <v>44173</v>
      </c>
      <c r="B8608" s="5" t="s">
        <v>25</v>
      </c>
      <c r="C8608" s="5" t="s">
        <v>6761</v>
      </c>
      <c r="D8608" s="43">
        <v>1000</v>
      </c>
      <c r="E8608" s="43"/>
      <c r="F8608" s="48">
        <f t="shared" si="141"/>
        <v>2055</v>
      </c>
    </row>
    <row r="8609" spans="1:6" x14ac:dyDescent="0.3">
      <c r="A8609" s="45">
        <v>44173</v>
      </c>
      <c r="B8609" s="5" t="s">
        <v>25</v>
      </c>
      <c r="C8609" s="5" t="s">
        <v>6764</v>
      </c>
      <c r="D8609" s="43">
        <v>115</v>
      </c>
      <c r="E8609" s="43"/>
      <c r="F8609" s="48">
        <f t="shared" si="141"/>
        <v>1940</v>
      </c>
    </row>
    <row r="8610" spans="1:6" x14ac:dyDescent="0.3">
      <c r="A8610" s="45">
        <v>44173</v>
      </c>
      <c r="B8610" s="5" t="s">
        <v>4248</v>
      </c>
      <c r="C8610" s="5" t="s">
        <v>6765</v>
      </c>
      <c r="D8610" s="43">
        <v>120</v>
      </c>
      <c r="E8610" s="43"/>
      <c r="F8610" s="48">
        <f t="shared" si="141"/>
        <v>1820</v>
      </c>
    </row>
    <row r="8611" spans="1:6" x14ac:dyDescent="0.3">
      <c r="A8611" s="45">
        <v>44174</v>
      </c>
      <c r="B8611" s="5" t="s">
        <v>1787</v>
      </c>
      <c r="C8611" s="5" t="s">
        <v>6763</v>
      </c>
      <c r="D8611" s="43">
        <v>1500</v>
      </c>
      <c r="E8611" s="43"/>
      <c r="F8611" s="48">
        <f t="shared" si="141"/>
        <v>320</v>
      </c>
    </row>
    <row r="8612" spans="1:6" x14ac:dyDescent="0.3">
      <c r="A8612" s="45">
        <v>44174</v>
      </c>
      <c r="B8612" s="739" t="s">
        <v>4106</v>
      </c>
      <c r="C8612" s="739"/>
      <c r="D8612" s="739"/>
      <c r="E8612" s="43">
        <v>450000</v>
      </c>
      <c r="F8612" s="48">
        <f t="shared" si="141"/>
        <v>450320</v>
      </c>
    </row>
    <row r="8613" spans="1:6" x14ac:dyDescent="0.3">
      <c r="A8613" s="45">
        <v>44174</v>
      </c>
      <c r="B8613" s="39" t="s">
        <v>1512</v>
      </c>
      <c r="C8613" s="39" t="s">
        <v>6767</v>
      </c>
      <c r="D8613" s="43">
        <f>165206+1500</f>
        <v>166706</v>
      </c>
      <c r="E8613" s="43"/>
      <c r="F8613" s="48">
        <f t="shared" si="141"/>
        <v>283614</v>
      </c>
    </row>
    <row r="8614" spans="1:6" x14ac:dyDescent="0.3">
      <c r="A8614" s="45">
        <v>44174</v>
      </c>
      <c r="B8614" s="39" t="s">
        <v>1512</v>
      </c>
      <c r="C8614" s="39" t="s">
        <v>6768</v>
      </c>
      <c r="D8614" s="43">
        <v>39969</v>
      </c>
      <c r="E8614" s="43"/>
      <c r="F8614" s="48">
        <f t="shared" si="141"/>
        <v>243645</v>
      </c>
    </row>
    <row r="8615" spans="1:6" x14ac:dyDescent="0.3">
      <c r="A8615" s="45">
        <v>44174</v>
      </c>
      <c r="B8615" s="39" t="s">
        <v>1512</v>
      </c>
      <c r="C8615" s="39" t="s">
        <v>6558</v>
      </c>
      <c r="D8615" s="43">
        <v>38375</v>
      </c>
      <c r="E8615" s="43"/>
      <c r="F8615" s="48">
        <f t="shared" si="141"/>
        <v>205270</v>
      </c>
    </row>
    <row r="8616" spans="1:6" x14ac:dyDescent="0.3">
      <c r="A8616" s="45">
        <v>44174</v>
      </c>
      <c r="B8616" s="39" t="s">
        <v>1512</v>
      </c>
      <c r="C8616" s="39" t="s">
        <v>6557</v>
      </c>
      <c r="D8616" s="43">
        <v>54869</v>
      </c>
      <c r="E8616" s="43"/>
      <c r="F8616" s="48">
        <f t="shared" si="141"/>
        <v>150401</v>
      </c>
    </row>
    <row r="8617" spans="1:6" x14ac:dyDescent="0.3">
      <c r="A8617" s="45">
        <v>44174</v>
      </c>
      <c r="B8617" s="39" t="s">
        <v>1512</v>
      </c>
      <c r="C8617" s="39" t="s">
        <v>6678</v>
      </c>
      <c r="D8617" s="43">
        <v>38667</v>
      </c>
      <c r="E8617" s="43"/>
      <c r="F8617" s="48">
        <f t="shared" si="141"/>
        <v>111734</v>
      </c>
    </row>
    <row r="8618" spans="1:6" x14ac:dyDescent="0.3">
      <c r="A8618" s="45">
        <v>44174</v>
      </c>
      <c r="B8618" s="5" t="s">
        <v>10</v>
      </c>
      <c r="C8618" s="5" t="s">
        <v>6766</v>
      </c>
      <c r="D8618" s="43">
        <v>3000</v>
      </c>
      <c r="E8618" s="43"/>
      <c r="F8618" s="48">
        <f t="shared" si="141"/>
        <v>108734</v>
      </c>
    </row>
    <row r="8619" spans="1:6" x14ac:dyDescent="0.3">
      <c r="A8619" s="45">
        <v>44174</v>
      </c>
      <c r="B8619" s="5" t="s">
        <v>10</v>
      </c>
      <c r="C8619" s="5" t="s">
        <v>6770</v>
      </c>
      <c r="D8619" s="43">
        <v>2000</v>
      </c>
      <c r="E8619" s="43"/>
      <c r="F8619" s="48">
        <f t="shared" si="141"/>
        <v>106734</v>
      </c>
    </row>
    <row r="8620" spans="1:6" x14ac:dyDescent="0.3">
      <c r="A8620" s="45">
        <v>44174</v>
      </c>
      <c r="B8620" s="39" t="s">
        <v>1512</v>
      </c>
      <c r="C8620" s="39" t="s">
        <v>6769</v>
      </c>
      <c r="D8620" s="43">
        <v>20000</v>
      </c>
      <c r="E8620" s="43"/>
      <c r="F8620" s="48">
        <f>F8619+E8620-D8620</f>
        <v>86734</v>
      </c>
    </row>
    <row r="8621" spans="1:6" x14ac:dyDescent="0.3">
      <c r="A8621" s="45">
        <v>44175</v>
      </c>
      <c r="B8621" s="5" t="s">
        <v>4550</v>
      </c>
      <c r="C8621" s="5" t="s">
        <v>6771</v>
      </c>
      <c r="D8621" s="43">
        <v>53500</v>
      </c>
      <c r="E8621" s="43"/>
      <c r="F8621" s="48">
        <f>F8620+E8621-D8621</f>
        <v>33234</v>
      </c>
    </row>
    <row r="8622" spans="1:6" x14ac:dyDescent="0.3">
      <c r="A8622" s="45">
        <v>44175</v>
      </c>
      <c r="B8622" s="61" t="s">
        <v>6722</v>
      </c>
      <c r="C8622" s="61" t="s">
        <v>3183</v>
      </c>
      <c r="D8622" s="62">
        <v>15000</v>
      </c>
      <c r="E8622" s="43"/>
      <c r="F8622" s="48">
        <f t="shared" si="141"/>
        <v>18234</v>
      </c>
    </row>
    <row r="8623" spans="1:6" x14ac:dyDescent="0.3">
      <c r="A8623" s="184">
        <v>44175</v>
      </c>
      <c r="B8623" s="6" t="s">
        <v>6722</v>
      </c>
      <c r="C8623" s="6" t="s">
        <v>6772</v>
      </c>
      <c r="D8623" s="7">
        <v>2850</v>
      </c>
      <c r="E8623" s="67"/>
      <c r="F8623" s="48">
        <f t="shared" si="141"/>
        <v>15384</v>
      </c>
    </row>
    <row r="8624" spans="1:6" x14ac:dyDescent="0.3">
      <c r="A8624" s="45">
        <v>44175</v>
      </c>
      <c r="B8624" s="5" t="s">
        <v>4869</v>
      </c>
      <c r="C8624" s="5" t="s">
        <v>40</v>
      </c>
      <c r="D8624" s="43">
        <v>3954</v>
      </c>
      <c r="E8624" s="43"/>
      <c r="F8624" s="48">
        <f t="shared" si="141"/>
        <v>11430</v>
      </c>
    </row>
    <row r="8625" spans="1:6" x14ac:dyDescent="0.3">
      <c r="A8625" s="45">
        <v>44175</v>
      </c>
      <c r="B8625" s="5" t="s">
        <v>2948</v>
      </c>
      <c r="C8625" s="5" t="s">
        <v>64</v>
      </c>
      <c r="D8625" s="43">
        <v>800</v>
      </c>
      <c r="E8625" s="43"/>
      <c r="F8625" s="48">
        <f t="shared" si="141"/>
        <v>10630</v>
      </c>
    </row>
    <row r="8626" spans="1:6" x14ac:dyDescent="0.3">
      <c r="A8626" s="45">
        <v>44175</v>
      </c>
      <c r="B8626" s="5" t="s">
        <v>14</v>
      </c>
      <c r="C8626" s="5" t="s">
        <v>294</v>
      </c>
      <c r="D8626" s="43">
        <v>3000</v>
      </c>
      <c r="E8626" s="43"/>
      <c r="F8626" s="48">
        <f t="shared" si="141"/>
        <v>7630</v>
      </c>
    </row>
    <row r="8627" spans="1:6" x14ac:dyDescent="0.3">
      <c r="A8627" s="45">
        <v>44175</v>
      </c>
      <c r="B8627" s="61" t="s">
        <v>6430</v>
      </c>
      <c r="C8627" s="61" t="s">
        <v>6773</v>
      </c>
      <c r="D8627" s="62">
        <v>6000</v>
      </c>
      <c r="E8627" s="43"/>
      <c r="F8627" s="48">
        <f t="shared" si="141"/>
        <v>1630</v>
      </c>
    </row>
    <row r="8628" spans="1:6" x14ac:dyDescent="0.3">
      <c r="A8628" s="45">
        <v>44177</v>
      </c>
      <c r="B8628" s="5" t="s">
        <v>14</v>
      </c>
      <c r="C8628" s="5" t="s">
        <v>294</v>
      </c>
      <c r="D8628" s="43">
        <v>100</v>
      </c>
      <c r="E8628" s="43"/>
      <c r="F8628" s="48">
        <f t="shared" si="141"/>
        <v>1530</v>
      </c>
    </row>
    <row r="8629" spans="1:6" x14ac:dyDescent="0.3">
      <c r="A8629" s="45">
        <v>44177</v>
      </c>
      <c r="B8629" s="5" t="s">
        <v>14</v>
      </c>
      <c r="C8629" s="5" t="s">
        <v>294</v>
      </c>
      <c r="D8629" s="43">
        <v>1000</v>
      </c>
      <c r="E8629" s="43"/>
      <c r="F8629" s="48">
        <f t="shared" si="141"/>
        <v>530</v>
      </c>
    </row>
    <row r="8630" spans="1:6" x14ac:dyDescent="0.3">
      <c r="A8630" s="45">
        <v>44177</v>
      </c>
      <c r="B8630" s="739" t="s">
        <v>5653</v>
      </c>
      <c r="C8630" s="739"/>
      <c r="D8630" s="739"/>
      <c r="E8630" s="43">
        <v>8000</v>
      </c>
      <c r="F8630" s="48">
        <f t="shared" si="141"/>
        <v>8530</v>
      </c>
    </row>
    <row r="8631" spans="1:6" x14ac:dyDescent="0.3">
      <c r="A8631" s="45">
        <v>44179</v>
      </c>
      <c r="B8631" s="5" t="s">
        <v>4246</v>
      </c>
      <c r="C8631" s="5" t="s">
        <v>6774</v>
      </c>
      <c r="D8631" s="43">
        <v>1400</v>
      </c>
      <c r="E8631" s="43"/>
      <c r="F8631" s="48">
        <f t="shared" si="141"/>
        <v>7130</v>
      </c>
    </row>
    <row r="8632" spans="1:6" x14ac:dyDescent="0.3">
      <c r="A8632" s="45">
        <v>44179</v>
      </c>
      <c r="B8632" s="5" t="s">
        <v>4246</v>
      </c>
      <c r="C8632" s="5" t="s">
        <v>6775</v>
      </c>
      <c r="D8632" s="43">
        <v>3000</v>
      </c>
      <c r="E8632" s="43"/>
      <c r="F8632" s="48">
        <f t="shared" si="141"/>
        <v>4130</v>
      </c>
    </row>
    <row r="8633" spans="1:6" x14ac:dyDescent="0.3">
      <c r="A8633" s="45">
        <v>44179</v>
      </c>
      <c r="B8633" s="61" t="s">
        <v>4246</v>
      </c>
      <c r="C8633" s="61" t="s">
        <v>6776</v>
      </c>
      <c r="D8633" s="62">
        <v>1000</v>
      </c>
      <c r="E8633" s="43"/>
      <c r="F8633" s="48">
        <f t="shared" si="141"/>
        <v>3130</v>
      </c>
    </row>
    <row r="8634" spans="1:6" x14ac:dyDescent="0.3">
      <c r="A8634" s="45">
        <v>44179</v>
      </c>
      <c r="B8634" s="739" t="s">
        <v>5653</v>
      </c>
      <c r="C8634" s="739"/>
      <c r="D8634" s="739"/>
      <c r="E8634" s="43">
        <v>14000</v>
      </c>
      <c r="F8634" s="48">
        <f t="shared" si="141"/>
        <v>17130</v>
      </c>
    </row>
    <row r="8635" spans="1:6" x14ac:dyDescent="0.3">
      <c r="A8635" s="45">
        <v>44179</v>
      </c>
      <c r="B8635" s="5" t="s">
        <v>4246</v>
      </c>
      <c r="C8635" s="5" t="s">
        <v>6778</v>
      </c>
      <c r="D8635" s="43">
        <v>7000</v>
      </c>
      <c r="E8635" s="43"/>
      <c r="F8635" s="48">
        <f t="shared" si="141"/>
        <v>10130</v>
      </c>
    </row>
    <row r="8636" spans="1:6" x14ac:dyDescent="0.3">
      <c r="A8636" s="45">
        <v>44179</v>
      </c>
      <c r="B8636" s="739" t="s">
        <v>4106</v>
      </c>
      <c r="C8636" s="739"/>
      <c r="D8636" s="739"/>
      <c r="E8636" s="43">
        <v>120000</v>
      </c>
      <c r="F8636" s="48">
        <f t="shared" si="141"/>
        <v>130130</v>
      </c>
    </row>
    <row r="8637" spans="1:6" x14ac:dyDescent="0.3">
      <c r="A8637" s="45">
        <v>44179</v>
      </c>
      <c r="B8637" s="5" t="s">
        <v>1074</v>
      </c>
      <c r="C8637" s="5" t="s">
        <v>6779</v>
      </c>
      <c r="D8637" s="43">
        <v>9780</v>
      </c>
      <c r="E8637" s="43"/>
      <c r="F8637" s="48">
        <f t="shared" si="141"/>
        <v>120350</v>
      </c>
    </row>
    <row r="8638" spans="1:6" x14ac:dyDescent="0.3">
      <c r="A8638" s="45">
        <v>44180</v>
      </c>
      <c r="B8638" s="5" t="s">
        <v>5930</v>
      </c>
      <c r="C8638" s="5" t="s">
        <v>3332</v>
      </c>
      <c r="D8638" s="43">
        <v>33240</v>
      </c>
      <c r="E8638" s="43"/>
      <c r="F8638" s="48">
        <f t="shared" si="141"/>
        <v>87110</v>
      </c>
    </row>
    <row r="8639" spans="1:6" x14ac:dyDescent="0.3">
      <c r="A8639" s="45">
        <v>44180</v>
      </c>
      <c r="B8639" s="5" t="s">
        <v>5938</v>
      </c>
      <c r="C8639" s="5" t="s">
        <v>6782</v>
      </c>
      <c r="D8639" s="43">
        <v>20429</v>
      </c>
      <c r="E8639" s="43"/>
      <c r="F8639" s="48">
        <f t="shared" si="141"/>
        <v>66681</v>
      </c>
    </row>
    <row r="8640" spans="1:6" x14ac:dyDescent="0.3">
      <c r="A8640" s="45">
        <v>44180</v>
      </c>
      <c r="B8640" s="5" t="s">
        <v>1616</v>
      </c>
      <c r="C8640" s="5" t="s">
        <v>6780</v>
      </c>
      <c r="D8640" s="43">
        <v>4000</v>
      </c>
      <c r="E8640" s="43"/>
      <c r="F8640" s="48">
        <f t="shared" si="141"/>
        <v>62681</v>
      </c>
    </row>
    <row r="8641" spans="1:6" x14ac:dyDescent="0.3">
      <c r="A8641" s="45">
        <v>44180</v>
      </c>
      <c r="B8641" s="5" t="s">
        <v>1616</v>
      </c>
      <c r="C8641" s="5" t="s">
        <v>6781</v>
      </c>
      <c r="D8641" s="43">
        <v>1000</v>
      </c>
      <c r="E8641" s="43"/>
      <c r="F8641" s="48">
        <f t="shared" si="141"/>
        <v>61681</v>
      </c>
    </row>
    <row r="8642" spans="1:6" x14ac:dyDescent="0.3">
      <c r="A8642" s="45">
        <v>44180</v>
      </c>
      <c r="B8642" s="5" t="s">
        <v>6221</v>
      </c>
      <c r="C8642" s="5" t="s">
        <v>40</v>
      </c>
      <c r="D8642" s="43">
        <v>36450</v>
      </c>
      <c r="E8642" s="43"/>
      <c r="F8642" s="48">
        <f t="shared" si="141"/>
        <v>25231</v>
      </c>
    </row>
    <row r="8643" spans="1:6" x14ac:dyDescent="0.3">
      <c r="A8643" s="45">
        <v>44180</v>
      </c>
      <c r="B8643" s="5" t="s">
        <v>14</v>
      </c>
      <c r="C8643" s="5" t="s">
        <v>294</v>
      </c>
      <c r="D8643" s="43">
        <v>1000</v>
      </c>
      <c r="E8643" s="43"/>
      <c r="F8643" s="48">
        <f t="shared" si="141"/>
        <v>24231</v>
      </c>
    </row>
    <row r="8644" spans="1:6" x14ac:dyDescent="0.3">
      <c r="A8644" s="45">
        <v>44180</v>
      </c>
      <c r="B8644" s="5" t="s">
        <v>4055</v>
      </c>
      <c r="C8644" s="5" t="s">
        <v>6783</v>
      </c>
      <c r="D8644" s="43">
        <v>15000</v>
      </c>
      <c r="E8644" s="43"/>
      <c r="F8644" s="48">
        <f t="shared" si="141"/>
        <v>9231</v>
      </c>
    </row>
    <row r="8645" spans="1:6" x14ac:dyDescent="0.3">
      <c r="A8645" s="45">
        <v>44180</v>
      </c>
      <c r="B8645" s="5" t="s">
        <v>25</v>
      </c>
      <c r="C8645" s="5" t="s">
        <v>6049</v>
      </c>
      <c r="D8645" s="43">
        <v>150</v>
      </c>
      <c r="E8645" s="43"/>
      <c r="F8645" s="48">
        <f t="shared" si="141"/>
        <v>9081</v>
      </c>
    </row>
    <row r="8646" spans="1:6" x14ac:dyDescent="0.3">
      <c r="A8646" s="45">
        <v>44181</v>
      </c>
      <c r="B8646" s="5" t="s">
        <v>54</v>
      </c>
      <c r="C8646" s="5" t="s">
        <v>6784</v>
      </c>
      <c r="D8646" s="43">
        <v>2000</v>
      </c>
      <c r="E8646" s="43"/>
      <c r="F8646" s="48">
        <f t="shared" si="141"/>
        <v>7081</v>
      </c>
    </row>
    <row r="8647" spans="1:6" x14ac:dyDescent="0.3">
      <c r="A8647" s="45">
        <v>44182</v>
      </c>
      <c r="B8647" s="5" t="s">
        <v>25</v>
      </c>
      <c r="C8647" s="5" t="s">
        <v>6361</v>
      </c>
      <c r="D8647" s="43">
        <f>1000+40+20+200+60+60+40</f>
        <v>1420</v>
      </c>
      <c r="E8647" s="43"/>
      <c r="F8647" s="48">
        <f t="shared" si="141"/>
        <v>5661</v>
      </c>
    </row>
    <row r="8648" spans="1:6" ht="37.5" x14ac:dyDescent="0.3">
      <c r="A8648" s="45">
        <v>44182</v>
      </c>
      <c r="B8648" s="239" t="s">
        <v>18</v>
      </c>
      <c r="C8648" s="240" t="s">
        <v>6799</v>
      </c>
      <c r="D8648" s="174">
        <v>3000</v>
      </c>
      <c r="E8648" s="28"/>
      <c r="F8648" s="48">
        <f t="shared" si="141"/>
        <v>2661</v>
      </c>
    </row>
    <row r="8649" spans="1:6" x14ac:dyDescent="0.3">
      <c r="A8649" s="45">
        <v>44183</v>
      </c>
      <c r="B8649" s="5" t="s">
        <v>5709</v>
      </c>
      <c r="C8649" s="5" t="s">
        <v>6785</v>
      </c>
      <c r="D8649" s="43">
        <v>1000</v>
      </c>
      <c r="E8649" s="43"/>
      <c r="F8649" s="48">
        <f t="shared" si="141"/>
        <v>1661</v>
      </c>
    </row>
    <row r="8650" spans="1:6" x14ac:dyDescent="0.3">
      <c r="A8650" s="45">
        <v>44183</v>
      </c>
      <c r="B8650" s="5" t="s">
        <v>14</v>
      </c>
      <c r="C8650" s="5" t="s">
        <v>294</v>
      </c>
      <c r="D8650" s="43">
        <v>1000</v>
      </c>
      <c r="E8650" s="43"/>
      <c r="F8650" s="48">
        <f t="shared" si="141"/>
        <v>661</v>
      </c>
    </row>
    <row r="8651" spans="1:6" x14ac:dyDescent="0.3">
      <c r="A8651" s="45">
        <v>44183</v>
      </c>
      <c r="B8651" s="739" t="s">
        <v>6786</v>
      </c>
      <c r="C8651" s="739"/>
      <c r="D8651" s="739"/>
      <c r="E8651" s="43">
        <v>102700</v>
      </c>
      <c r="F8651" s="48">
        <f t="shared" si="141"/>
        <v>103361</v>
      </c>
    </row>
    <row r="8652" spans="1:6" x14ac:dyDescent="0.3">
      <c r="A8652" s="45">
        <v>44183</v>
      </c>
      <c r="B8652" s="5" t="s">
        <v>11</v>
      </c>
      <c r="C8652" s="5" t="s">
        <v>294</v>
      </c>
      <c r="D8652" s="43">
        <v>15000</v>
      </c>
      <c r="E8652" s="43"/>
      <c r="F8652" s="48">
        <f t="shared" si="141"/>
        <v>88361</v>
      </c>
    </row>
    <row r="8653" spans="1:6" x14ac:dyDescent="0.3">
      <c r="A8653" s="45">
        <v>44183</v>
      </c>
      <c r="B8653" s="5" t="s">
        <v>14</v>
      </c>
      <c r="C8653" s="5" t="s">
        <v>294</v>
      </c>
      <c r="D8653" s="43">
        <v>10000</v>
      </c>
      <c r="E8653" s="43"/>
      <c r="F8653" s="48">
        <f t="shared" si="141"/>
        <v>78361</v>
      </c>
    </row>
    <row r="8654" spans="1:6" ht="37.5" x14ac:dyDescent="0.3">
      <c r="A8654" s="45">
        <v>44183</v>
      </c>
      <c r="B8654" s="5" t="s">
        <v>6430</v>
      </c>
      <c r="C8654" s="92" t="s">
        <v>6787</v>
      </c>
      <c r="D8654" s="43">
        <v>10000</v>
      </c>
      <c r="E8654" s="43"/>
      <c r="F8654" s="48">
        <f t="shared" si="141"/>
        <v>68361</v>
      </c>
    </row>
    <row r="8655" spans="1:6" x14ac:dyDescent="0.3">
      <c r="A8655" s="45">
        <v>44183</v>
      </c>
      <c r="B8655" s="61" t="s">
        <v>6788</v>
      </c>
      <c r="C8655" s="61" t="s">
        <v>6789</v>
      </c>
      <c r="D8655" s="62">
        <v>14000</v>
      </c>
      <c r="E8655" s="43"/>
      <c r="F8655" s="48">
        <f t="shared" ref="F8655:F8718" si="142">F8654+E8655-D8655</f>
        <v>54361</v>
      </c>
    </row>
    <row r="8656" spans="1:6" x14ac:dyDescent="0.3">
      <c r="A8656" s="45">
        <v>44183</v>
      </c>
      <c r="B8656" s="5" t="s">
        <v>25</v>
      </c>
      <c r="C8656" s="5" t="s">
        <v>2013</v>
      </c>
      <c r="D8656" s="43">
        <v>170</v>
      </c>
      <c r="E8656" s="43"/>
      <c r="F8656" s="48">
        <f t="shared" si="142"/>
        <v>54191</v>
      </c>
    </row>
    <row r="8657" spans="1:10" x14ac:dyDescent="0.3">
      <c r="A8657" s="45">
        <v>44183</v>
      </c>
      <c r="B8657" s="5" t="s">
        <v>5846</v>
      </c>
      <c r="C8657" s="5" t="s">
        <v>6790</v>
      </c>
      <c r="D8657" s="43">
        <v>200</v>
      </c>
      <c r="E8657" s="43"/>
      <c r="F8657" s="48">
        <f t="shared" si="142"/>
        <v>53991</v>
      </c>
    </row>
    <row r="8658" spans="1:10" x14ac:dyDescent="0.3">
      <c r="A8658" s="45">
        <v>44184</v>
      </c>
      <c r="B8658" s="39" t="s">
        <v>1512</v>
      </c>
      <c r="C8658" s="39" t="s">
        <v>6791</v>
      </c>
      <c r="D8658" s="43">
        <v>23450</v>
      </c>
      <c r="E8658" s="43"/>
      <c r="F8658" s="48">
        <f t="shared" si="142"/>
        <v>30541</v>
      </c>
    </row>
    <row r="8659" spans="1:10" x14ac:dyDescent="0.3">
      <c r="A8659" s="45">
        <v>44184</v>
      </c>
      <c r="B8659" s="5" t="s">
        <v>5162</v>
      </c>
      <c r="C8659" s="5" t="s">
        <v>6792</v>
      </c>
      <c r="D8659" s="43">
        <v>600</v>
      </c>
      <c r="E8659" s="43"/>
      <c r="F8659" s="48">
        <f t="shared" si="142"/>
        <v>29941</v>
      </c>
    </row>
    <row r="8660" spans="1:10" x14ac:dyDescent="0.3">
      <c r="A8660" s="45">
        <v>44184</v>
      </c>
      <c r="B8660" s="5" t="s">
        <v>6430</v>
      </c>
      <c r="C8660" s="5" t="s">
        <v>6793</v>
      </c>
      <c r="D8660" s="65">
        <v>9540</v>
      </c>
      <c r="E8660" s="65"/>
      <c r="F8660" s="48">
        <f t="shared" si="142"/>
        <v>20401</v>
      </c>
      <c r="G8660" s="102"/>
      <c r="H8660" s="102"/>
      <c r="I8660" s="102"/>
      <c r="J8660" s="102"/>
    </row>
    <row r="8661" spans="1:10" x14ac:dyDescent="0.3">
      <c r="A8661" s="45">
        <v>44186</v>
      </c>
      <c r="B8661" s="5" t="s">
        <v>4550</v>
      </c>
      <c r="C8661" s="5" t="s">
        <v>438</v>
      </c>
      <c r="D8661" s="43">
        <v>430</v>
      </c>
      <c r="E8661" s="43"/>
      <c r="F8661" s="48">
        <f t="shared" si="142"/>
        <v>19971</v>
      </c>
    </row>
    <row r="8662" spans="1:10" x14ac:dyDescent="0.3">
      <c r="A8662" s="45">
        <v>44186</v>
      </c>
      <c r="B8662" s="5" t="s">
        <v>25</v>
      </c>
      <c r="C8662" s="5" t="s">
        <v>6361</v>
      </c>
      <c r="D8662" s="43">
        <f>400+240+50+600+600</f>
        <v>1890</v>
      </c>
      <c r="E8662" s="43"/>
      <c r="F8662" s="48">
        <f t="shared" si="142"/>
        <v>18081</v>
      </c>
    </row>
    <row r="8663" spans="1:10" x14ac:dyDescent="0.3">
      <c r="A8663" s="45">
        <v>44186</v>
      </c>
      <c r="B8663" s="739" t="s">
        <v>6800</v>
      </c>
      <c r="C8663" s="739"/>
      <c r="D8663" s="739"/>
      <c r="E8663" s="43">
        <v>16500</v>
      </c>
      <c r="F8663" s="48">
        <f t="shared" si="142"/>
        <v>34581</v>
      </c>
    </row>
    <row r="8664" spans="1:10" x14ac:dyDescent="0.3">
      <c r="A8664" s="45">
        <v>44186</v>
      </c>
      <c r="B8664" s="61" t="s">
        <v>1012</v>
      </c>
      <c r="C8664" s="61" t="s">
        <v>6794</v>
      </c>
      <c r="D8664" s="62">
        <v>10000</v>
      </c>
      <c r="E8664" s="43"/>
      <c r="F8664" s="48">
        <f t="shared" si="142"/>
        <v>24581</v>
      </c>
    </row>
    <row r="8665" spans="1:10" x14ac:dyDescent="0.3">
      <c r="A8665" s="45">
        <v>44186</v>
      </c>
      <c r="B8665" s="5" t="s">
        <v>1616</v>
      </c>
      <c r="C8665" s="5" t="s">
        <v>6795</v>
      </c>
      <c r="D8665" s="43">
        <v>3000</v>
      </c>
      <c r="E8665" s="43"/>
      <c r="F8665" s="48">
        <f t="shared" si="142"/>
        <v>21581</v>
      </c>
    </row>
    <row r="8666" spans="1:10" x14ac:dyDescent="0.3">
      <c r="A8666" s="45">
        <v>44187</v>
      </c>
      <c r="B8666" s="5" t="s">
        <v>14</v>
      </c>
      <c r="C8666" s="5" t="s">
        <v>294</v>
      </c>
      <c r="D8666" s="43">
        <v>1000</v>
      </c>
      <c r="E8666" s="43"/>
      <c r="F8666" s="48">
        <f t="shared" si="142"/>
        <v>20581</v>
      </c>
    </row>
    <row r="8667" spans="1:10" x14ac:dyDescent="0.3">
      <c r="A8667" s="45">
        <v>44187</v>
      </c>
      <c r="B8667" s="61" t="s">
        <v>247</v>
      </c>
      <c r="C8667" s="61" t="s">
        <v>6796</v>
      </c>
      <c r="D8667" s="62">
        <v>300</v>
      </c>
      <c r="E8667" s="43"/>
      <c r="F8667" s="48">
        <f t="shared" si="142"/>
        <v>20281</v>
      </c>
    </row>
    <row r="8668" spans="1:10" x14ac:dyDescent="0.3">
      <c r="A8668" s="45">
        <v>44187</v>
      </c>
      <c r="B8668" s="5" t="s">
        <v>1837</v>
      </c>
      <c r="C8668" s="5" t="s">
        <v>6797</v>
      </c>
      <c r="D8668" s="65">
        <v>300</v>
      </c>
      <c r="E8668" s="43"/>
      <c r="F8668" s="48">
        <f t="shared" si="142"/>
        <v>19981</v>
      </c>
    </row>
    <row r="8669" spans="1:10" x14ac:dyDescent="0.3">
      <c r="A8669" s="45">
        <v>44187</v>
      </c>
      <c r="B8669" s="5" t="s">
        <v>1837</v>
      </c>
      <c r="C8669" s="5" t="s">
        <v>6798</v>
      </c>
      <c r="D8669" s="65">
        <v>500</v>
      </c>
      <c r="E8669" s="43"/>
      <c r="F8669" s="48">
        <f t="shared" si="142"/>
        <v>19481</v>
      </c>
    </row>
    <row r="8670" spans="1:10" ht="37.5" x14ac:dyDescent="0.3">
      <c r="A8670" s="45">
        <v>44188</v>
      </c>
      <c r="B8670" s="5" t="s">
        <v>18</v>
      </c>
      <c r="C8670" s="92" t="s">
        <v>6801</v>
      </c>
      <c r="D8670" s="43">
        <v>7000</v>
      </c>
      <c r="E8670" s="43"/>
      <c r="F8670" s="48">
        <f t="shared" si="142"/>
        <v>12481</v>
      </c>
    </row>
    <row r="8671" spans="1:10" x14ac:dyDescent="0.3">
      <c r="A8671" s="45">
        <v>44188</v>
      </c>
      <c r="B8671" s="5" t="s">
        <v>14</v>
      </c>
      <c r="C8671" s="5" t="s">
        <v>640</v>
      </c>
      <c r="D8671" s="43">
        <v>1000</v>
      </c>
      <c r="E8671" s="43"/>
      <c r="F8671" s="48">
        <f t="shared" si="142"/>
        <v>11481</v>
      </c>
    </row>
    <row r="8672" spans="1:10" x14ac:dyDescent="0.3">
      <c r="A8672" s="45">
        <v>44188</v>
      </c>
      <c r="B8672" s="5" t="s">
        <v>14</v>
      </c>
      <c r="C8672" s="5" t="s">
        <v>294</v>
      </c>
      <c r="D8672" s="43">
        <v>1000</v>
      </c>
      <c r="E8672" s="43"/>
      <c r="F8672" s="48">
        <f t="shared" si="142"/>
        <v>10481</v>
      </c>
    </row>
    <row r="8673" spans="1:6" x14ac:dyDescent="0.3">
      <c r="A8673" s="45">
        <v>44188</v>
      </c>
      <c r="B8673" s="739" t="s">
        <v>6802</v>
      </c>
      <c r="C8673" s="739"/>
      <c r="D8673" s="739"/>
      <c r="E8673" s="43">
        <v>45000</v>
      </c>
      <c r="F8673" s="48">
        <f t="shared" si="142"/>
        <v>55481</v>
      </c>
    </row>
    <row r="8674" spans="1:6" x14ac:dyDescent="0.3">
      <c r="A8674" s="45">
        <v>44188</v>
      </c>
      <c r="B8674" s="5" t="s">
        <v>1074</v>
      </c>
      <c r="C8674" s="5" t="s">
        <v>5691</v>
      </c>
      <c r="D8674" s="43">
        <v>4942</v>
      </c>
      <c r="E8674" s="43"/>
      <c r="F8674" s="48">
        <f t="shared" si="142"/>
        <v>50539</v>
      </c>
    </row>
    <row r="8675" spans="1:6" x14ac:dyDescent="0.3">
      <c r="A8675" s="45">
        <v>44188</v>
      </c>
      <c r="B8675" s="5" t="s">
        <v>1074</v>
      </c>
      <c r="C8675" s="5" t="s">
        <v>6701</v>
      </c>
      <c r="D8675" s="43">
        <v>12013</v>
      </c>
      <c r="E8675" s="43"/>
      <c r="F8675" s="48">
        <f t="shared" si="142"/>
        <v>38526</v>
      </c>
    </row>
    <row r="8676" spans="1:6" x14ac:dyDescent="0.3">
      <c r="A8676" s="45">
        <v>44188</v>
      </c>
      <c r="B8676" s="39" t="s">
        <v>1512</v>
      </c>
      <c r="C8676" s="39" t="s">
        <v>6804</v>
      </c>
      <c r="D8676" s="43">
        <v>28060</v>
      </c>
      <c r="E8676" s="43"/>
      <c r="F8676" s="48">
        <f t="shared" si="142"/>
        <v>10466</v>
      </c>
    </row>
    <row r="8677" spans="1:6" ht="37.5" x14ac:dyDescent="0.3">
      <c r="A8677" s="45">
        <v>44189</v>
      </c>
      <c r="B8677" s="44" t="s">
        <v>1787</v>
      </c>
      <c r="C8677" s="92" t="s">
        <v>6805</v>
      </c>
      <c r="D8677" s="28">
        <v>1500</v>
      </c>
      <c r="E8677" s="43"/>
      <c r="F8677" s="48">
        <f t="shared" si="142"/>
        <v>8966</v>
      </c>
    </row>
    <row r="8678" spans="1:6" x14ac:dyDescent="0.3">
      <c r="A8678" s="45">
        <v>44189</v>
      </c>
      <c r="B8678" s="5" t="s">
        <v>5846</v>
      </c>
      <c r="C8678" s="5" t="s">
        <v>6808</v>
      </c>
      <c r="D8678" s="43">
        <v>300</v>
      </c>
      <c r="E8678" s="43"/>
      <c r="F8678" s="48">
        <f t="shared" si="142"/>
        <v>8666</v>
      </c>
    </row>
    <row r="8679" spans="1:6" x14ac:dyDescent="0.3">
      <c r="A8679" s="45">
        <v>44191</v>
      </c>
      <c r="B8679" s="61" t="s">
        <v>84</v>
      </c>
      <c r="C8679" s="61" t="s">
        <v>6813</v>
      </c>
      <c r="D8679" s="62">
        <v>500</v>
      </c>
      <c r="E8679" s="43"/>
      <c r="F8679" s="48">
        <f t="shared" si="142"/>
        <v>8166</v>
      </c>
    </row>
    <row r="8680" spans="1:6" x14ac:dyDescent="0.3">
      <c r="A8680" s="45">
        <v>44191</v>
      </c>
      <c r="B8680" s="5" t="s">
        <v>18</v>
      </c>
      <c r="C8680" s="5" t="s">
        <v>640</v>
      </c>
      <c r="D8680" s="43">
        <v>680</v>
      </c>
      <c r="E8680" s="43"/>
      <c r="F8680" s="48">
        <f t="shared" si="142"/>
        <v>7486</v>
      </c>
    </row>
    <row r="8681" spans="1:6" x14ac:dyDescent="0.3">
      <c r="A8681" s="45">
        <v>44193</v>
      </c>
      <c r="B8681" s="5" t="s">
        <v>25</v>
      </c>
      <c r="C8681" s="5" t="s">
        <v>6361</v>
      </c>
      <c r="D8681" s="43">
        <f>700+140+250+580+160+290+50+40+250</f>
        <v>2460</v>
      </c>
      <c r="E8681" s="43"/>
      <c r="F8681" s="48">
        <f t="shared" si="142"/>
        <v>5026</v>
      </c>
    </row>
    <row r="8682" spans="1:6" x14ac:dyDescent="0.3">
      <c r="A8682" s="45">
        <v>44193</v>
      </c>
      <c r="B8682" s="5" t="s">
        <v>11</v>
      </c>
      <c r="C8682" s="5" t="s">
        <v>6811</v>
      </c>
      <c r="D8682" s="43">
        <v>750</v>
      </c>
      <c r="E8682" s="43"/>
      <c r="F8682" s="48">
        <f t="shared" si="142"/>
        <v>4276</v>
      </c>
    </row>
    <row r="8683" spans="1:6" x14ac:dyDescent="0.3">
      <c r="A8683" s="45">
        <v>44193</v>
      </c>
      <c r="B8683" s="5" t="s">
        <v>1074</v>
      </c>
      <c r="C8683" s="5" t="s">
        <v>6812</v>
      </c>
      <c r="D8683" s="43">
        <f>480+560</f>
        <v>1040</v>
      </c>
      <c r="E8683" s="43"/>
      <c r="F8683" s="48">
        <f t="shared" si="142"/>
        <v>3236</v>
      </c>
    </row>
    <row r="8684" spans="1:6" x14ac:dyDescent="0.3">
      <c r="A8684" s="45">
        <v>44193</v>
      </c>
      <c r="B8684" s="5" t="s">
        <v>14</v>
      </c>
      <c r="C8684" s="5" t="s">
        <v>6715</v>
      </c>
      <c r="D8684" s="43">
        <v>1358</v>
      </c>
      <c r="E8684" s="43"/>
      <c r="F8684" s="48">
        <f t="shared" si="142"/>
        <v>1878</v>
      </c>
    </row>
    <row r="8685" spans="1:6" x14ac:dyDescent="0.3">
      <c r="A8685" s="45">
        <v>44194</v>
      </c>
      <c r="B8685" s="5" t="s">
        <v>5156</v>
      </c>
      <c r="C8685" s="5" t="s">
        <v>6814</v>
      </c>
      <c r="D8685" s="43">
        <v>500</v>
      </c>
      <c r="E8685" s="43"/>
      <c r="F8685" s="48">
        <f t="shared" si="142"/>
        <v>1378</v>
      </c>
    </row>
    <row r="8686" spans="1:6" x14ac:dyDescent="0.3">
      <c r="A8686" s="45">
        <v>44194</v>
      </c>
      <c r="B8686" s="5" t="s">
        <v>25</v>
      </c>
      <c r="C8686" s="5" t="s">
        <v>6361</v>
      </c>
      <c r="D8686" s="43">
        <f>100+200</f>
        <v>300</v>
      </c>
      <c r="E8686" s="43"/>
      <c r="F8686" s="48">
        <f t="shared" si="142"/>
        <v>1078</v>
      </c>
    </row>
    <row r="8687" spans="1:6" x14ac:dyDescent="0.3">
      <c r="A8687" s="45">
        <v>44194</v>
      </c>
      <c r="B8687" s="739" t="s">
        <v>4106</v>
      </c>
      <c r="C8687" s="739"/>
      <c r="D8687" s="739"/>
      <c r="E8687" s="43">
        <v>50000</v>
      </c>
      <c r="F8687" s="48">
        <f t="shared" si="142"/>
        <v>51078</v>
      </c>
    </row>
    <row r="8688" spans="1:6" x14ac:dyDescent="0.3">
      <c r="A8688" s="45">
        <v>44194</v>
      </c>
      <c r="B8688" s="5" t="s">
        <v>84</v>
      </c>
      <c r="C8688" s="5" t="s">
        <v>6815</v>
      </c>
      <c r="D8688" s="43">
        <v>2000</v>
      </c>
      <c r="E8688" s="43"/>
      <c r="F8688" s="48">
        <f t="shared" si="142"/>
        <v>49078</v>
      </c>
    </row>
    <row r="8689" spans="1:6" x14ac:dyDescent="0.3">
      <c r="A8689" s="45">
        <v>44194</v>
      </c>
      <c r="B8689" s="5" t="s">
        <v>18</v>
      </c>
      <c r="C8689" s="5" t="s">
        <v>6816</v>
      </c>
      <c r="D8689" s="43">
        <v>3000</v>
      </c>
      <c r="E8689" s="43"/>
      <c r="F8689" s="48">
        <f t="shared" si="142"/>
        <v>46078</v>
      </c>
    </row>
    <row r="8690" spans="1:6" x14ac:dyDescent="0.3">
      <c r="A8690" s="147">
        <v>44195</v>
      </c>
      <c r="B8690" s="78" t="s">
        <v>6614</v>
      </c>
      <c r="C8690" s="78" t="s">
        <v>6817</v>
      </c>
      <c r="D8690" s="77">
        <v>3500</v>
      </c>
      <c r="E8690" s="77"/>
      <c r="F8690" s="241">
        <f t="shared" si="142"/>
        <v>42578</v>
      </c>
    </row>
    <row r="8691" spans="1:6" x14ac:dyDescent="0.3">
      <c r="A8691" s="45">
        <v>44195</v>
      </c>
      <c r="B8691" s="5" t="s">
        <v>25</v>
      </c>
      <c r="C8691" s="5" t="s">
        <v>2025</v>
      </c>
      <c r="D8691" s="43">
        <v>50</v>
      </c>
      <c r="E8691" s="43"/>
      <c r="F8691" s="48">
        <f t="shared" si="142"/>
        <v>42528</v>
      </c>
    </row>
    <row r="8692" spans="1:6" x14ac:dyDescent="0.3">
      <c r="A8692" s="45">
        <v>44195</v>
      </c>
      <c r="B8692" s="5" t="s">
        <v>3559</v>
      </c>
      <c r="C8692" s="5" t="s">
        <v>91</v>
      </c>
      <c r="D8692" s="43">
        <v>650</v>
      </c>
      <c r="E8692" s="43"/>
      <c r="F8692" s="48">
        <f t="shared" si="142"/>
        <v>41878</v>
      </c>
    </row>
    <row r="8693" spans="1:6" x14ac:dyDescent="0.3">
      <c r="A8693" s="45">
        <v>44195</v>
      </c>
      <c r="B8693" s="39" t="s">
        <v>1512</v>
      </c>
      <c r="C8693" s="39" t="s">
        <v>4257</v>
      </c>
      <c r="D8693" s="43">
        <v>16000</v>
      </c>
      <c r="E8693" s="43"/>
      <c r="F8693" s="48">
        <f t="shared" si="142"/>
        <v>25878</v>
      </c>
    </row>
    <row r="8694" spans="1:6" x14ac:dyDescent="0.3">
      <c r="A8694" s="45">
        <v>44195</v>
      </c>
      <c r="B8694" s="5" t="s">
        <v>84</v>
      </c>
      <c r="C8694" s="5" t="s">
        <v>6818</v>
      </c>
      <c r="D8694" s="65">
        <v>15000</v>
      </c>
      <c r="E8694" s="65"/>
      <c r="F8694" s="48">
        <f t="shared" si="142"/>
        <v>10878</v>
      </c>
    </row>
    <row r="8695" spans="1:6" x14ac:dyDescent="0.3">
      <c r="A8695" s="45">
        <v>44195</v>
      </c>
      <c r="B8695" s="5" t="s">
        <v>5162</v>
      </c>
      <c r="C8695" s="5" t="s">
        <v>6819</v>
      </c>
      <c r="D8695" s="65">
        <v>5000</v>
      </c>
      <c r="E8695" s="65"/>
      <c r="F8695" s="48">
        <f t="shared" si="142"/>
        <v>5878</v>
      </c>
    </row>
    <row r="8696" spans="1:6" x14ac:dyDescent="0.3">
      <c r="A8696" s="45">
        <v>44196</v>
      </c>
      <c r="B8696" s="5" t="s">
        <v>1837</v>
      </c>
      <c r="C8696" s="5" t="s">
        <v>6821</v>
      </c>
      <c r="D8696" s="65">
        <v>1000</v>
      </c>
      <c r="E8696" s="65"/>
      <c r="F8696" s="48">
        <f t="shared" si="142"/>
        <v>4878</v>
      </c>
    </row>
    <row r="8697" spans="1:6" x14ac:dyDescent="0.3">
      <c r="A8697" s="45">
        <v>44196</v>
      </c>
      <c r="B8697" s="5" t="s">
        <v>84</v>
      </c>
      <c r="C8697" s="5" t="s">
        <v>6822</v>
      </c>
      <c r="D8697" s="65">
        <v>500</v>
      </c>
      <c r="E8697" s="65"/>
      <c r="F8697" s="48">
        <f t="shared" si="142"/>
        <v>4378</v>
      </c>
    </row>
    <row r="8698" spans="1:6" x14ac:dyDescent="0.3">
      <c r="A8698" s="45">
        <v>43832</v>
      </c>
      <c r="B8698" s="739" t="s">
        <v>6823</v>
      </c>
      <c r="C8698" s="739"/>
      <c r="D8698" s="739"/>
      <c r="E8698" s="43">
        <v>30550</v>
      </c>
      <c r="F8698" s="48">
        <f t="shared" si="142"/>
        <v>34928</v>
      </c>
    </row>
    <row r="8699" spans="1:6" ht="24.6" customHeight="1" x14ac:dyDescent="0.3">
      <c r="A8699" s="45">
        <v>43832</v>
      </c>
      <c r="B8699" s="5" t="s">
        <v>6430</v>
      </c>
      <c r="C8699" s="5" t="s">
        <v>3611</v>
      </c>
      <c r="D8699" s="43">
        <v>5000</v>
      </c>
      <c r="E8699" s="43"/>
      <c r="F8699" s="48">
        <f t="shared" si="142"/>
        <v>29928</v>
      </c>
    </row>
    <row r="8700" spans="1:6" x14ac:dyDescent="0.3">
      <c r="A8700" s="45">
        <v>43832</v>
      </c>
      <c r="B8700" s="5" t="s">
        <v>6572</v>
      </c>
      <c r="C8700" s="5" t="s">
        <v>5508</v>
      </c>
      <c r="D8700" s="43">
        <v>10700</v>
      </c>
      <c r="E8700" s="43"/>
      <c r="F8700" s="48">
        <f t="shared" si="142"/>
        <v>19228</v>
      </c>
    </row>
    <row r="8701" spans="1:6" x14ac:dyDescent="0.3">
      <c r="A8701" s="45">
        <v>43832</v>
      </c>
      <c r="B8701" s="5" t="s">
        <v>6614</v>
      </c>
      <c r="C8701" s="5" t="s">
        <v>6824</v>
      </c>
      <c r="D8701" s="43">
        <v>7000</v>
      </c>
      <c r="E8701" s="43"/>
      <c r="F8701" s="48">
        <f t="shared" si="142"/>
        <v>12228</v>
      </c>
    </row>
    <row r="8702" spans="1:6" x14ac:dyDescent="0.3">
      <c r="A8702" s="45">
        <v>43832</v>
      </c>
      <c r="B8702" s="5" t="s">
        <v>25</v>
      </c>
      <c r="C8702" s="5" t="s">
        <v>2025</v>
      </c>
      <c r="D8702" s="43">
        <v>100</v>
      </c>
      <c r="E8702" s="43"/>
      <c r="F8702" s="48">
        <f t="shared" si="142"/>
        <v>12128</v>
      </c>
    </row>
    <row r="8703" spans="1:6" x14ac:dyDescent="0.3">
      <c r="A8703" s="45">
        <v>43832</v>
      </c>
      <c r="B8703" s="5" t="s">
        <v>1616</v>
      </c>
      <c r="C8703" s="5" t="s">
        <v>6825</v>
      </c>
      <c r="D8703" s="43">
        <v>6000</v>
      </c>
      <c r="E8703" s="43"/>
      <c r="F8703" s="48">
        <f t="shared" si="142"/>
        <v>6128</v>
      </c>
    </row>
    <row r="8704" spans="1:6" x14ac:dyDescent="0.3">
      <c r="A8704" s="45">
        <v>43834</v>
      </c>
      <c r="B8704" s="5" t="s">
        <v>64</v>
      </c>
      <c r="C8704" s="5" t="s">
        <v>4731</v>
      </c>
      <c r="D8704" s="43">
        <v>3000</v>
      </c>
      <c r="E8704" s="43"/>
      <c r="F8704" s="48">
        <f t="shared" si="142"/>
        <v>3128</v>
      </c>
    </row>
    <row r="8705" spans="1:9" x14ac:dyDescent="0.3">
      <c r="A8705" s="45">
        <v>43834</v>
      </c>
      <c r="B8705" s="739" t="s">
        <v>4415</v>
      </c>
      <c r="C8705" s="739"/>
      <c r="D8705" s="739"/>
      <c r="E8705" s="43">
        <v>390000</v>
      </c>
      <c r="F8705" s="48">
        <f t="shared" si="142"/>
        <v>393128</v>
      </c>
    </row>
    <row r="8706" spans="1:9" x14ac:dyDescent="0.3">
      <c r="A8706" s="45">
        <v>43834</v>
      </c>
      <c r="B8706" s="5" t="s">
        <v>4550</v>
      </c>
      <c r="C8706" s="61" t="s">
        <v>6828</v>
      </c>
      <c r="D8706" s="43">
        <v>20000</v>
      </c>
      <c r="E8706" s="43"/>
      <c r="F8706" s="48">
        <f t="shared" si="142"/>
        <v>373128</v>
      </c>
    </row>
    <row r="8707" spans="1:9" x14ac:dyDescent="0.3">
      <c r="A8707" s="45">
        <v>43834</v>
      </c>
      <c r="B8707" s="5" t="s">
        <v>4550</v>
      </c>
      <c r="C8707" s="5" t="s">
        <v>6834</v>
      </c>
      <c r="D8707" s="43">
        <v>5500</v>
      </c>
      <c r="E8707" s="43"/>
      <c r="F8707" s="48">
        <f t="shared" si="142"/>
        <v>367628</v>
      </c>
    </row>
    <row r="8708" spans="1:9" x14ac:dyDescent="0.3">
      <c r="A8708" s="45">
        <v>43834</v>
      </c>
      <c r="B8708" s="39" t="s">
        <v>1512</v>
      </c>
      <c r="C8708" s="39" t="s">
        <v>6829</v>
      </c>
      <c r="D8708" s="43">
        <v>5600</v>
      </c>
      <c r="E8708" s="43"/>
      <c r="F8708" s="48">
        <f t="shared" si="142"/>
        <v>362028</v>
      </c>
    </row>
    <row r="8709" spans="1:9" x14ac:dyDescent="0.3">
      <c r="A8709" s="45">
        <v>43834</v>
      </c>
      <c r="B8709" s="5" t="s">
        <v>2948</v>
      </c>
      <c r="C8709" s="5" t="s">
        <v>2128</v>
      </c>
      <c r="D8709" s="43">
        <v>20000</v>
      </c>
      <c r="E8709" s="43"/>
      <c r="F8709" s="48">
        <f t="shared" si="142"/>
        <v>342028</v>
      </c>
    </row>
    <row r="8710" spans="1:9" x14ac:dyDescent="0.3">
      <c r="A8710" s="45">
        <v>43834</v>
      </c>
      <c r="B8710" s="5" t="s">
        <v>541</v>
      </c>
      <c r="C8710" s="5" t="s">
        <v>543</v>
      </c>
      <c r="D8710" s="43">
        <v>20000</v>
      </c>
      <c r="E8710" s="43"/>
      <c r="F8710" s="48">
        <f t="shared" si="142"/>
        <v>322028</v>
      </c>
    </row>
    <row r="8711" spans="1:9" x14ac:dyDescent="0.3">
      <c r="A8711" s="45">
        <v>43834</v>
      </c>
      <c r="B8711" s="39" t="s">
        <v>1512</v>
      </c>
      <c r="C8711" s="39" t="s">
        <v>6830</v>
      </c>
      <c r="D8711" s="43">
        <v>11023</v>
      </c>
      <c r="E8711" s="43"/>
      <c r="F8711" s="48">
        <f t="shared" si="142"/>
        <v>311005</v>
      </c>
    </row>
    <row r="8712" spans="1:9" x14ac:dyDescent="0.3">
      <c r="A8712" s="45">
        <v>43834</v>
      </c>
      <c r="B8712" s="5" t="s">
        <v>0</v>
      </c>
      <c r="C8712" s="5" t="s">
        <v>6831</v>
      </c>
      <c r="D8712" s="43">
        <v>5000</v>
      </c>
      <c r="E8712" s="43"/>
      <c r="F8712" s="48">
        <f t="shared" si="142"/>
        <v>306005</v>
      </c>
      <c r="H8712" s="43"/>
      <c r="I8712" s="43"/>
    </row>
    <row r="8713" spans="1:9" x14ac:dyDescent="0.3">
      <c r="A8713" s="45">
        <v>43834</v>
      </c>
      <c r="B8713" s="5" t="s">
        <v>18</v>
      </c>
      <c r="C8713" s="5" t="s">
        <v>6832</v>
      </c>
      <c r="D8713" s="43">
        <v>2000</v>
      </c>
      <c r="E8713" s="43"/>
      <c r="F8713" s="48">
        <f t="shared" si="142"/>
        <v>304005</v>
      </c>
      <c r="H8713" s="43"/>
      <c r="I8713" s="43"/>
    </row>
    <row r="8714" spans="1:9" x14ac:dyDescent="0.3">
      <c r="A8714" s="147">
        <v>43834</v>
      </c>
      <c r="B8714" s="242" t="s">
        <v>1512</v>
      </c>
      <c r="C8714" s="242" t="s">
        <v>6833</v>
      </c>
      <c r="D8714" s="77">
        <v>37840</v>
      </c>
      <c r="E8714" s="77"/>
      <c r="F8714" s="241">
        <f t="shared" si="142"/>
        <v>266165</v>
      </c>
      <c r="H8714" s="43"/>
      <c r="I8714" s="43"/>
    </row>
    <row r="8715" spans="1:9" x14ac:dyDescent="0.3">
      <c r="A8715" s="45">
        <v>43835</v>
      </c>
      <c r="B8715" s="5" t="s">
        <v>1787</v>
      </c>
      <c r="C8715" s="5" t="s">
        <v>6835</v>
      </c>
      <c r="D8715" s="43">
        <v>1700</v>
      </c>
      <c r="E8715" s="43"/>
      <c r="F8715" s="48">
        <f t="shared" si="142"/>
        <v>264465</v>
      </c>
      <c r="H8715" s="43"/>
      <c r="I8715" s="43"/>
    </row>
    <row r="8716" spans="1:9" x14ac:dyDescent="0.3">
      <c r="A8716" s="45">
        <v>43835</v>
      </c>
      <c r="B8716" s="5" t="s">
        <v>14</v>
      </c>
      <c r="C8716" s="5" t="s">
        <v>294</v>
      </c>
      <c r="D8716" s="43">
        <v>50000</v>
      </c>
      <c r="E8716" s="43"/>
      <c r="F8716" s="48">
        <f t="shared" si="142"/>
        <v>214465</v>
      </c>
      <c r="H8716" s="43"/>
      <c r="I8716" s="43"/>
    </row>
    <row r="8717" spans="1:9" x14ac:dyDescent="0.3">
      <c r="A8717" s="45">
        <v>43835</v>
      </c>
      <c r="B8717" s="5" t="s">
        <v>6341</v>
      </c>
      <c r="C8717" s="5" t="s">
        <v>6836</v>
      </c>
      <c r="D8717" s="43">
        <v>12800</v>
      </c>
      <c r="E8717" s="43"/>
      <c r="F8717" s="48">
        <f t="shared" si="142"/>
        <v>201665</v>
      </c>
      <c r="H8717" s="43"/>
      <c r="I8717" s="43"/>
    </row>
    <row r="8718" spans="1:9" x14ac:dyDescent="0.3">
      <c r="A8718" s="45">
        <v>43835</v>
      </c>
      <c r="B8718" s="5" t="s">
        <v>6341</v>
      </c>
      <c r="C8718" s="5" t="s">
        <v>4703</v>
      </c>
      <c r="D8718" s="43">
        <v>5100</v>
      </c>
      <c r="E8718" s="43"/>
      <c r="F8718" s="48">
        <f t="shared" si="142"/>
        <v>196565</v>
      </c>
      <c r="H8718" s="43"/>
      <c r="I8718" s="43"/>
    </row>
    <row r="8719" spans="1:9" x14ac:dyDescent="0.3">
      <c r="A8719" s="45">
        <v>43835</v>
      </c>
      <c r="B8719" s="5" t="s">
        <v>4869</v>
      </c>
      <c r="C8719" s="5" t="s">
        <v>40</v>
      </c>
      <c r="D8719" s="43">
        <v>4370</v>
      </c>
      <c r="E8719" s="43"/>
      <c r="F8719" s="48">
        <f>F8718+E8719-D8719</f>
        <v>192195</v>
      </c>
    </row>
    <row r="8720" spans="1:9" x14ac:dyDescent="0.3">
      <c r="A8720" s="45">
        <v>43835</v>
      </c>
      <c r="B8720" s="5" t="s">
        <v>4946</v>
      </c>
      <c r="C8720" s="5" t="s">
        <v>6332</v>
      </c>
      <c r="D8720" s="43">
        <v>526</v>
      </c>
      <c r="E8720" s="43"/>
      <c r="F8720" s="48">
        <f t="shared" ref="F8720:F8783" si="143">F8719+E8720-D8720</f>
        <v>191669</v>
      </c>
    </row>
    <row r="8721" spans="1:6" x14ac:dyDescent="0.3">
      <c r="A8721" s="45">
        <v>43835</v>
      </c>
      <c r="B8721" s="739" t="s">
        <v>4415</v>
      </c>
      <c r="C8721" s="739"/>
      <c r="D8721" s="739"/>
      <c r="E8721" s="43">
        <v>500000</v>
      </c>
      <c r="F8721" s="48">
        <f t="shared" si="143"/>
        <v>691669</v>
      </c>
    </row>
    <row r="8722" spans="1:6" x14ac:dyDescent="0.3">
      <c r="A8722" s="45">
        <v>43835</v>
      </c>
      <c r="B8722" s="5" t="s">
        <v>6837</v>
      </c>
      <c r="C8722" s="5" t="s">
        <v>6838</v>
      </c>
      <c r="D8722" s="43">
        <v>100000</v>
      </c>
      <c r="E8722" s="43"/>
      <c r="F8722" s="48">
        <f t="shared" si="143"/>
        <v>591669</v>
      </c>
    </row>
    <row r="8723" spans="1:6" x14ac:dyDescent="0.3">
      <c r="A8723" s="45">
        <v>43835</v>
      </c>
      <c r="B8723" s="5" t="s">
        <v>4055</v>
      </c>
      <c r="C8723" s="5" t="s">
        <v>6839</v>
      </c>
      <c r="D8723" s="43">
        <v>200</v>
      </c>
      <c r="E8723" s="43"/>
      <c r="F8723" s="48">
        <f t="shared" si="143"/>
        <v>591469</v>
      </c>
    </row>
    <row r="8724" spans="1:6" x14ac:dyDescent="0.3">
      <c r="A8724" s="45">
        <v>43835</v>
      </c>
      <c r="B8724" s="5" t="s">
        <v>6840</v>
      </c>
      <c r="C8724" s="5" t="s">
        <v>6841</v>
      </c>
      <c r="D8724" s="43">
        <v>38000</v>
      </c>
      <c r="E8724" s="43"/>
      <c r="F8724" s="48">
        <f t="shared" si="143"/>
        <v>553469</v>
      </c>
    </row>
    <row r="8725" spans="1:6" ht="37.5" x14ac:dyDescent="0.3">
      <c r="A8725" s="45">
        <v>43836</v>
      </c>
      <c r="B8725" s="61" t="s">
        <v>1837</v>
      </c>
      <c r="C8725" s="132" t="s">
        <v>6843</v>
      </c>
      <c r="D8725" s="62">
        <v>1000</v>
      </c>
      <c r="E8725" s="43"/>
      <c r="F8725" s="48">
        <f t="shared" si="143"/>
        <v>552469</v>
      </c>
    </row>
    <row r="8726" spans="1:6" x14ac:dyDescent="0.3">
      <c r="A8726" s="45">
        <v>43836</v>
      </c>
      <c r="B8726" s="5" t="s">
        <v>14</v>
      </c>
      <c r="C8726" s="5" t="s">
        <v>294</v>
      </c>
      <c r="D8726" s="43">
        <v>50000</v>
      </c>
      <c r="E8726" s="43"/>
      <c r="F8726" s="48">
        <f t="shared" si="143"/>
        <v>502469</v>
      </c>
    </row>
    <row r="8727" spans="1:6" x14ac:dyDescent="0.3">
      <c r="A8727" s="45">
        <v>43836</v>
      </c>
      <c r="B8727" s="5" t="s">
        <v>25</v>
      </c>
      <c r="C8727" s="5" t="s">
        <v>6854</v>
      </c>
      <c r="D8727" s="43">
        <v>1000</v>
      </c>
      <c r="E8727" s="43"/>
      <c r="F8727" s="48">
        <f t="shared" si="143"/>
        <v>501469</v>
      </c>
    </row>
    <row r="8728" spans="1:6" x14ac:dyDescent="0.3">
      <c r="A8728" s="45">
        <v>43836</v>
      </c>
      <c r="B8728" s="39" t="s">
        <v>1512</v>
      </c>
      <c r="C8728" s="39" t="s">
        <v>6546</v>
      </c>
      <c r="D8728" s="43">
        <v>119633</v>
      </c>
      <c r="E8728" s="43"/>
      <c r="F8728" s="48">
        <f t="shared" si="143"/>
        <v>381836</v>
      </c>
    </row>
    <row r="8729" spans="1:6" x14ac:dyDescent="0.3">
      <c r="A8729" s="45">
        <v>43836</v>
      </c>
      <c r="B8729" s="39" t="s">
        <v>1512</v>
      </c>
      <c r="C8729" s="39" t="s">
        <v>6842</v>
      </c>
      <c r="D8729" s="43">
        <f>31000+35000</f>
        <v>66000</v>
      </c>
      <c r="E8729" s="43"/>
      <c r="F8729" s="48">
        <f t="shared" si="143"/>
        <v>315836</v>
      </c>
    </row>
    <row r="8730" spans="1:6" x14ac:dyDescent="0.3">
      <c r="A8730" s="45">
        <v>43837</v>
      </c>
      <c r="B8730" s="73" t="s">
        <v>25</v>
      </c>
      <c r="C8730" s="73" t="s">
        <v>6844</v>
      </c>
      <c r="D8730" s="183">
        <v>180</v>
      </c>
      <c r="E8730" s="183"/>
      <c r="F8730" s="48">
        <f t="shared" si="143"/>
        <v>315656</v>
      </c>
    </row>
    <row r="8731" spans="1:6" x14ac:dyDescent="0.3">
      <c r="A8731" s="45">
        <v>43837</v>
      </c>
      <c r="B8731" s="39" t="s">
        <v>1512</v>
      </c>
      <c r="C8731" s="39" t="s">
        <v>6387</v>
      </c>
      <c r="D8731" s="43">
        <v>98246</v>
      </c>
      <c r="E8731" s="43"/>
      <c r="F8731" s="48">
        <f t="shared" si="143"/>
        <v>217410</v>
      </c>
    </row>
    <row r="8732" spans="1:6" x14ac:dyDescent="0.3">
      <c r="A8732" s="45">
        <v>43837</v>
      </c>
      <c r="B8732" s="39" t="s">
        <v>1512</v>
      </c>
      <c r="C8732" s="39" t="s">
        <v>6852</v>
      </c>
      <c r="D8732" s="183">
        <v>61645</v>
      </c>
      <c r="E8732" s="183"/>
      <c r="F8732" s="48">
        <f t="shared" si="143"/>
        <v>155765</v>
      </c>
    </row>
    <row r="8733" spans="1:6" x14ac:dyDescent="0.3">
      <c r="A8733" s="45">
        <v>43837</v>
      </c>
      <c r="B8733" s="73" t="s">
        <v>6145</v>
      </c>
      <c r="C8733" s="73" t="s">
        <v>6845</v>
      </c>
      <c r="D8733" s="183">
        <v>50000</v>
      </c>
      <c r="E8733" s="183"/>
      <c r="F8733" s="48">
        <f t="shared" si="143"/>
        <v>105765</v>
      </c>
    </row>
    <row r="8734" spans="1:6" x14ac:dyDescent="0.3">
      <c r="A8734" s="45">
        <v>43837</v>
      </c>
      <c r="B8734" s="39" t="s">
        <v>1512</v>
      </c>
      <c r="C8734" s="73" t="s">
        <v>6678</v>
      </c>
      <c r="D8734" s="183">
        <v>39516</v>
      </c>
      <c r="E8734" s="183"/>
      <c r="F8734" s="48">
        <f t="shared" si="143"/>
        <v>66249</v>
      </c>
    </row>
    <row r="8735" spans="1:6" x14ac:dyDescent="0.3">
      <c r="A8735" s="45">
        <v>43837</v>
      </c>
      <c r="B8735" s="39" t="s">
        <v>1512</v>
      </c>
      <c r="C8735" s="73" t="s">
        <v>6853</v>
      </c>
      <c r="D8735" s="183">
        <v>48484</v>
      </c>
      <c r="E8735" s="183"/>
      <c r="F8735" s="48">
        <f t="shared" si="143"/>
        <v>17765</v>
      </c>
    </row>
    <row r="8736" spans="1:6" x14ac:dyDescent="0.3">
      <c r="A8736" s="45">
        <v>43837</v>
      </c>
      <c r="B8736" s="739" t="s">
        <v>4415</v>
      </c>
      <c r="C8736" s="739"/>
      <c r="D8736" s="739"/>
      <c r="E8736" s="43">
        <v>200000</v>
      </c>
      <c r="F8736" s="48">
        <f t="shared" si="143"/>
        <v>217765</v>
      </c>
    </row>
    <row r="8737" spans="1:6" x14ac:dyDescent="0.3">
      <c r="A8737" s="45">
        <v>43837</v>
      </c>
      <c r="B8737" s="39" t="s">
        <v>1512</v>
      </c>
      <c r="C8737" s="5" t="s">
        <v>6846</v>
      </c>
      <c r="D8737" s="43">
        <v>193255</v>
      </c>
      <c r="E8737" s="43"/>
      <c r="F8737" s="48">
        <f t="shared" si="143"/>
        <v>24510</v>
      </c>
    </row>
    <row r="8738" spans="1:6" x14ac:dyDescent="0.3">
      <c r="A8738" s="45">
        <v>43838</v>
      </c>
      <c r="B8738" s="5" t="s">
        <v>1012</v>
      </c>
      <c r="C8738" s="5" t="s">
        <v>6850</v>
      </c>
      <c r="D8738" s="43">
        <v>2000</v>
      </c>
      <c r="E8738" s="43"/>
      <c r="F8738" s="48">
        <f t="shared" si="143"/>
        <v>22510</v>
      </c>
    </row>
    <row r="8739" spans="1:6" x14ac:dyDescent="0.3">
      <c r="A8739" s="45">
        <v>43839</v>
      </c>
      <c r="B8739" s="5" t="s">
        <v>25</v>
      </c>
      <c r="C8739" s="5" t="s">
        <v>6851</v>
      </c>
      <c r="D8739" s="43">
        <v>1000</v>
      </c>
      <c r="E8739" s="43"/>
      <c r="F8739" s="48">
        <f t="shared" si="143"/>
        <v>21510</v>
      </c>
    </row>
    <row r="8740" spans="1:6" x14ac:dyDescent="0.3">
      <c r="A8740" s="45">
        <v>43839</v>
      </c>
      <c r="B8740" s="5" t="s">
        <v>14</v>
      </c>
      <c r="C8740" s="5" t="s">
        <v>640</v>
      </c>
      <c r="D8740" s="43">
        <v>1000</v>
      </c>
      <c r="E8740" s="43"/>
      <c r="F8740" s="48">
        <f t="shared" si="143"/>
        <v>20510</v>
      </c>
    </row>
    <row r="8741" spans="1:6" x14ac:dyDescent="0.3">
      <c r="A8741" s="45">
        <v>43839</v>
      </c>
      <c r="B8741" s="5" t="s">
        <v>14</v>
      </c>
      <c r="C8741" s="5" t="s">
        <v>294</v>
      </c>
      <c r="D8741" s="43">
        <v>15000</v>
      </c>
      <c r="E8741" s="43"/>
      <c r="F8741" s="48">
        <f t="shared" si="143"/>
        <v>5510</v>
      </c>
    </row>
    <row r="8742" spans="1:6" x14ac:dyDescent="0.3">
      <c r="A8742" s="45">
        <v>43839</v>
      </c>
      <c r="B8742" s="739" t="s">
        <v>4415</v>
      </c>
      <c r="C8742" s="739"/>
      <c r="D8742" s="739"/>
      <c r="E8742" s="43">
        <v>100000</v>
      </c>
      <c r="F8742" s="48">
        <f t="shared" si="143"/>
        <v>105510</v>
      </c>
    </row>
    <row r="8743" spans="1:6" x14ac:dyDescent="0.3">
      <c r="A8743" s="45">
        <v>43841</v>
      </c>
      <c r="B8743" s="5" t="s">
        <v>25</v>
      </c>
      <c r="C8743" s="5" t="s">
        <v>4276</v>
      </c>
      <c r="D8743" s="43">
        <v>4035</v>
      </c>
      <c r="E8743" s="43"/>
      <c r="F8743" s="48">
        <f t="shared" si="143"/>
        <v>101475</v>
      </c>
    </row>
    <row r="8744" spans="1:6" x14ac:dyDescent="0.3">
      <c r="A8744" s="45">
        <v>43841</v>
      </c>
      <c r="B8744" s="5" t="s">
        <v>1012</v>
      </c>
      <c r="C8744" s="5" t="s">
        <v>3729</v>
      </c>
      <c r="D8744" s="43">
        <v>10000</v>
      </c>
      <c r="E8744" s="43"/>
      <c r="F8744" s="48">
        <f t="shared" si="143"/>
        <v>91475</v>
      </c>
    </row>
    <row r="8745" spans="1:6" x14ac:dyDescent="0.3">
      <c r="A8745" s="45">
        <v>43841</v>
      </c>
      <c r="B8745" s="5" t="s">
        <v>5709</v>
      </c>
      <c r="C8745" s="5" t="s">
        <v>6855</v>
      </c>
      <c r="D8745" s="43">
        <v>3000</v>
      </c>
      <c r="E8745" s="43"/>
      <c r="F8745" s="48">
        <f t="shared" si="143"/>
        <v>88475</v>
      </c>
    </row>
    <row r="8746" spans="1:6" x14ac:dyDescent="0.3">
      <c r="A8746" s="45">
        <v>43841</v>
      </c>
      <c r="B8746" s="5" t="s">
        <v>6171</v>
      </c>
      <c r="C8746" s="5" t="s">
        <v>40</v>
      </c>
      <c r="D8746" s="43">
        <v>21000</v>
      </c>
      <c r="E8746" s="43"/>
      <c r="F8746" s="48">
        <f t="shared" si="143"/>
        <v>67475</v>
      </c>
    </row>
    <row r="8747" spans="1:6" x14ac:dyDescent="0.3">
      <c r="A8747" s="45">
        <v>43841</v>
      </c>
      <c r="B8747" s="5" t="s">
        <v>5938</v>
      </c>
      <c r="C8747" s="5" t="s">
        <v>40</v>
      </c>
      <c r="D8747" s="43">
        <v>20000</v>
      </c>
      <c r="E8747" s="43"/>
      <c r="F8747" s="48">
        <f t="shared" si="143"/>
        <v>47475</v>
      </c>
    </row>
    <row r="8748" spans="1:6" x14ac:dyDescent="0.3">
      <c r="A8748" s="45">
        <v>43841</v>
      </c>
      <c r="B8748" s="39" t="s">
        <v>1512</v>
      </c>
      <c r="C8748" s="39" t="s">
        <v>6558</v>
      </c>
      <c r="D8748" s="183">
        <v>31500</v>
      </c>
      <c r="E8748" s="183"/>
      <c r="F8748" s="48">
        <f t="shared" si="143"/>
        <v>15975</v>
      </c>
    </row>
    <row r="8749" spans="1:6" x14ac:dyDescent="0.3">
      <c r="A8749" s="45">
        <v>43841</v>
      </c>
      <c r="B8749" s="739" t="s">
        <v>6858</v>
      </c>
      <c r="C8749" s="739"/>
      <c r="D8749" s="739"/>
      <c r="E8749" s="43">
        <v>964597</v>
      </c>
      <c r="F8749" s="48">
        <f t="shared" si="143"/>
        <v>980572</v>
      </c>
    </row>
    <row r="8750" spans="1:6" x14ac:dyDescent="0.3">
      <c r="A8750" s="45">
        <v>43841</v>
      </c>
      <c r="B8750" s="5" t="s">
        <v>25</v>
      </c>
      <c r="C8750" s="5" t="s">
        <v>6049</v>
      </c>
      <c r="D8750" s="43">
        <v>150</v>
      </c>
      <c r="E8750" s="43"/>
      <c r="F8750" s="48">
        <f t="shared" si="143"/>
        <v>980422</v>
      </c>
    </row>
    <row r="8751" spans="1:6" x14ac:dyDescent="0.3">
      <c r="A8751" s="45">
        <v>43841</v>
      </c>
      <c r="B8751" s="5" t="s">
        <v>6430</v>
      </c>
      <c r="C8751" s="5" t="s">
        <v>40</v>
      </c>
      <c r="D8751" s="43">
        <v>46200</v>
      </c>
      <c r="E8751" s="43"/>
      <c r="F8751" s="48">
        <f t="shared" si="143"/>
        <v>934222</v>
      </c>
    </row>
    <row r="8752" spans="1:6" x14ac:dyDescent="0.3">
      <c r="A8752" s="45">
        <v>43842</v>
      </c>
      <c r="B8752" s="39" t="s">
        <v>1512</v>
      </c>
      <c r="C8752" s="39" t="s">
        <v>6557</v>
      </c>
      <c r="D8752" s="183">
        <v>52704</v>
      </c>
      <c r="E8752" s="183"/>
      <c r="F8752" s="48">
        <f t="shared" si="143"/>
        <v>881518</v>
      </c>
    </row>
    <row r="8753" spans="1:6" x14ac:dyDescent="0.3">
      <c r="A8753" s="45">
        <v>43842</v>
      </c>
      <c r="B8753" s="5" t="s">
        <v>6856</v>
      </c>
      <c r="C8753" s="5" t="s">
        <v>6857</v>
      </c>
      <c r="D8753" s="43">
        <v>52840</v>
      </c>
      <c r="E8753" s="43"/>
      <c r="F8753" s="48">
        <f t="shared" si="143"/>
        <v>828678</v>
      </c>
    </row>
    <row r="8754" spans="1:6" x14ac:dyDescent="0.3">
      <c r="A8754" s="45">
        <v>43842</v>
      </c>
      <c r="B8754" s="5" t="s">
        <v>25</v>
      </c>
      <c r="C8754" s="5" t="s">
        <v>6859</v>
      </c>
      <c r="D8754" s="43">
        <v>100</v>
      </c>
      <c r="E8754" s="43"/>
      <c r="F8754" s="48">
        <f t="shared" si="143"/>
        <v>828578</v>
      </c>
    </row>
    <row r="8755" spans="1:6" x14ac:dyDescent="0.3">
      <c r="A8755" s="45">
        <v>43842</v>
      </c>
      <c r="B8755" s="5" t="s">
        <v>84</v>
      </c>
      <c r="C8755" s="5" t="s">
        <v>6860</v>
      </c>
      <c r="D8755" s="65">
        <v>10000</v>
      </c>
      <c r="E8755" s="65"/>
      <c r="F8755" s="48">
        <f t="shared" si="143"/>
        <v>818578</v>
      </c>
    </row>
    <row r="8756" spans="1:6" x14ac:dyDescent="0.3">
      <c r="A8756" s="45">
        <v>43843</v>
      </c>
      <c r="B8756" s="5" t="s">
        <v>25</v>
      </c>
      <c r="C8756" s="5" t="s">
        <v>6861</v>
      </c>
      <c r="D8756" s="43">
        <v>1700</v>
      </c>
      <c r="E8756" s="43"/>
      <c r="F8756" s="48">
        <f t="shared" si="143"/>
        <v>816878</v>
      </c>
    </row>
    <row r="8757" spans="1:6" x14ac:dyDescent="0.3">
      <c r="A8757" s="45">
        <v>43843</v>
      </c>
      <c r="B8757" s="5" t="s">
        <v>3559</v>
      </c>
      <c r="C8757" s="5" t="s">
        <v>6862</v>
      </c>
      <c r="D8757" s="43">
        <v>75000</v>
      </c>
      <c r="E8757" s="43"/>
      <c r="F8757" s="48">
        <f t="shared" si="143"/>
        <v>741878</v>
      </c>
    </row>
    <row r="8758" spans="1:6" x14ac:dyDescent="0.3">
      <c r="A8758" s="45">
        <v>43843</v>
      </c>
      <c r="B8758" s="5" t="s">
        <v>2984</v>
      </c>
      <c r="C8758" s="5" t="s">
        <v>6863</v>
      </c>
      <c r="D8758" s="43">
        <v>10000</v>
      </c>
      <c r="E8758" s="43"/>
      <c r="F8758" s="48">
        <f t="shared" si="143"/>
        <v>731878</v>
      </c>
    </row>
    <row r="8759" spans="1:6" x14ac:dyDescent="0.3">
      <c r="A8759" s="45">
        <v>43844</v>
      </c>
      <c r="B8759" s="5" t="s">
        <v>6864</v>
      </c>
      <c r="C8759" s="5" t="s">
        <v>6865</v>
      </c>
      <c r="D8759" s="43">
        <v>94200</v>
      </c>
      <c r="E8759" s="43"/>
      <c r="F8759" s="48">
        <f t="shared" si="143"/>
        <v>637678</v>
      </c>
    </row>
    <row r="8760" spans="1:6" x14ac:dyDescent="0.3">
      <c r="A8760" s="45">
        <v>43844</v>
      </c>
      <c r="B8760" s="5" t="s">
        <v>6866</v>
      </c>
      <c r="C8760" s="5" t="s">
        <v>6867</v>
      </c>
      <c r="D8760" s="43">
        <v>61500</v>
      </c>
      <c r="E8760" s="43"/>
      <c r="F8760" s="48">
        <f t="shared" si="143"/>
        <v>576178</v>
      </c>
    </row>
    <row r="8761" spans="1:6" x14ac:dyDescent="0.3">
      <c r="A8761" s="45">
        <v>43844</v>
      </c>
      <c r="B8761" s="5" t="s">
        <v>1616</v>
      </c>
      <c r="C8761" s="5" t="s">
        <v>6868</v>
      </c>
      <c r="D8761" s="43">
        <v>600</v>
      </c>
      <c r="E8761" s="43"/>
      <c r="F8761" s="48">
        <f t="shared" si="143"/>
        <v>575578</v>
      </c>
    </row>
    <row r="8762" spans="1:6" x14ac:dyDescent="0.3">
      <c r="A8762" s="45">
        <v>43844</v>
      </c>
      <c r="B8762" s="5" t="s">
        <v>10</v>
      </c>
      <c r="C8762" s="5" t="s">
        <v>6869</v>
      </c>
      <c r="D8762" s="43">
        <v>2000</v>
      </c>
      <c r="E8762" s="43"/>
      <c r="F8762" s="48">
        <f t="shared" si="143"/>
        <v>573578</v>
      </c>
    </row>
    <row r="8763" spans="1:6" x14ac:dyDescent="0.3">
      <c r="A8763" s="45">
        <v>43844</v>
      </c>
      <c r="B8763" s="5" t="s">
        <v>6870</v>
      </c>
      <c r="C8763" s="5" t="s">
        <v>6871</v>
      </c>
      <c r="D8763" s="43">
        <v>100000</v>
      </c>
      <c r="E8763" s="43"/>
      <c r="F8763" s="48">
        <f t="shared" si="143"/>
        <v>473578</v>
      </c>
    </row>
    <row r="8764" spans="1:6" x14ac:dyDescent="0.3">
      <c r="A8764" s="45">
        <v>43844</v>
      </c>
      <c r="B8764" s="5" t="s">
        <v>1970</v>
      </c>
      <c r="C8764" s="5" t="s">
        <v>6872</v>
      </c>
      <c r="D8764" s="43">
        <v>60000</v>
      </c>
      <c r="E8764" s="43"/>
      <c r="F8764" s="48">
        <f t="shared" si="143"/>
        <v>413578</v>
      </c>
    </row>
    <row r="8765" spans="1:6" x14ac:dyDescent="0.3">
      <c r="A8765" s="45">
        <v>43845</v>
      </c>
      <c r="B8765" s="5" t="s">
        <v>4400</v>
      </c>
      <c r="C8765" s="5" t="s">
        <v>40</v>
      </c>
      <c r="D8765" s="43">
        <v>3000</v>
      </c>
      <c r="E8765" s="43"/>
      <c r="F8765" s="48">
        <f t="shared" si="143"/>
        <v>410578</v>
      </c>
    </row>
    <row r="8766" spans="1:6" x14ac:dyDescent="0.3">
      <c r="A8766" s="45">
        <v>43845</v>
      </c>
      <c r="B8766" s="5" t="s">
        <v>14</v>
      </c>
      <c r="C8766" s="5" t="s">
        <v>294</v>
      </c>
      <c r="D8766" s="43">
        <v>50000</v>
      </c>
      <c r="E8766" s="43"/>
      <c r="F8766" s="48">
        <f t="shared" si="143"/>
        <v>360578</v>
      </c>
    </row>
    <row r="8767" spans="1:6" x14ac:dyDescent="0.3">
      <c r="A8767" s="45">
        <v>43845</v>
      </c>
      <c r="B8767" s="41" t="s">
        <v>5156</v>
      </c>
      <c r="C8767" s="41" t="s">
        <v>6874</v>
      </c>
      <c r="D8767" s="42">
        <v>1120</v>
      </c>
      <c r="E8767" s="43"/>
      <c r="F8767" s="48">
        <f t="shared" si="143"/>
        <v>359458</v>
      </c>
    </row>
    <row r="8768" spans="1:6" x14ac:dyDescent="0.3">
      <c r="A8768" s="45">
        <v>43846</v>
      </c>
      <c r="B8768" s="5" t="s">
        <v>4550</v>
      </c>
      <c r="C8768" s="5" t="s">
        <v>294</v>
      </c>
      <c r="D8768" s="43">
        <v>20000</v>
      </c>
      <c r="E8768" s="43"/>
      <c r="F8768" s="48">
        <f t="shared" si="143"/>
        <v>339458</v>
      </c>
    </row>
    <row r="8769" spans="1:6" x14ac:dyDescent="0.3">
      <c r="A8769" s="45">
        <v>43846</v>
      </c>
      <c r="B8769" s="5" t="s">
        <v>1012</v>
      </c>
      <c r="C8769" s="5" t="s">
        <v>6875</v>
      </c>
      <c r="D8769" s="43">
        <v>4000</v>
      </c>
      <c r="E8769" s="43"/>
      <c r="F8769" s="48">
        <f t="shared" si="143"/>
        <v>335458</v>
      </c>
    </row>
    <row r="8770" spans="1:6" x14ac:dyDescent="0.3">
      <c r="A8770" s="45">
        <v>43846</v>
      </c>
      <c r="B8770" s="5" t="s">
        <v>4550</v>
      </c>
      <c r="C8770" s="5" t="s">
        <v>6876</v>
      </c>
      <c r="D8770" s="43">
        <v>7500</v>
      </c>
      <c r="E8770" s="43"/>
      <c r="F8770" s="48">
        <f t="shared" si="143"/>
        <v>327958</v>
      </c>
    </row>
    <row r="8771" spans="1:6" x14ac:dyDescent="0.3">
      <c r="A8771" s="45">
        <v>43846</v>
      </c>
      <c r="B8771" s="5" t="s">
        <v>25</v>
      </c>
      <c r="C8771" s="5" t="s">
        <v>6428</v>
      </c>
      <c r="D8771" s="43">
        <f>800+100+120+120</f>
        <v>1140</v>
      </c>
      <c r="E8771" s="43"/>
      <c r="F8771" s="48">
        <f t="shared" si="143"/>
        <v>326818</v>
      </c>
    </row>
    <row r="8772" spans="1:6" x14ac:dyDescent="0.3">
      <c r="A8772" s="45">
        <v>43846</v>
      </c>
      <c r="B8772" s="5" t="s">
        <v>14</v>
      </c>
      <c r="C8772" s="5" t="s">
        <v>294</v>
      </c>
      <c r="D8772" s="43">
        <v>15000</v>
      </c>
      <c r="E8772" s="43"/>
      <c r="F8772" s="48">
        <f t="shared" si="143"/>
        <v>311818</v>
      </c>
    </row>
    <row r="8773" spans="1:6" x14ac:dyDescent="0.3">
      <c r="A8773" s="45">
        <v>43846</v>
      </c>
      <c r="B8773" s="5" t="s">
        <v>5156</v>
      </c>
      <c r="C8773" s="5" t="s">
        <v>6877</v>
      </c>
      <c r="D8773" s="65">
        <v>320</v>
      </c>
      <c r="E8773" s="43"/>
      <c r="F8773" s="48">
        <f t="shared" si="143"/>
        <v>311498</v>
      </c>
    </row>
    <row r="8774" spans="1:6" x14ac:dyDescent="0.3">
      <c r="A8774" s="45">
        <v>43848</v>
      </c>
      <c r="B8774" s="5" t="s">
        <v>25</v>
      </c>
      <c r="C8774" s="5" t="s">
        <v>4276</v>
      </c>
      <c r="D8774" s="65">
        <v>4665</v>
      </c>
      <c r="E8774" s="43"/>
      <c r="F8774" s="48">
        <f t="shared" si="143"/>
        <v>306833</v>
      </c>
    </row>
    <row r="8775" spans="1:6" x14ac:dyDescent="0.3">
      <c r="A8775" s="45">
        <v>43848</v>
      </c>
      <c r="B8775" s="5" t="s">
        <v>5930</v>
      </c>
      <c r="C8775" s="5" t="s">
        <v>40</v>
      </c>
      <c r="D8775" s="43">
        <v>80247</v>
      </c>
      <c r="E8775" s="43"/>
      <c r="F8775" s="48">
        <f t="shared" si="143"/>
        <v>226586</v>
      </c>
    </row>
    <row r="8776" spans="1:6" x14ac:dyDescent="0.3">
      <c r="A8776" s="45">
        <v>43848</v>
      </c>
      <c r="B8776" s="5" t="s">
        <v>18</v>
      </c>
      <c r="C8776" s="5" t="s">
        <v>6880</v>
      </c>
      <c r="D8776" s="43">
        <v>30000</v>
      </c>
      <c r="E8776" s="43"/>
      <c r="F8776" s="48">
        <f t="shared" si="143"/>
        <v>196586</v>
      </c>
    </row>
    <row r="8777" spans="1:6" x14ac:dyDescent="0.3">
      <c r="A8777" s="45">
        <v>43848</v>
      </c>
      <c r="B8777" s="5" t="s">
        <v>47</v>
      </c>
      <c r="C8777" s="5" t="s">
        <v>6878</v>
      </c>
      <c r="D8777" s="43">
        <v>900</v>
      </c>
      <c r="E8777" s="43"/>
      <c r="F8777" s="48">
        <f t="shared" si="143"/>
        <v>195686</v>
      </c>
    </row>
    <row r="8778" spans="1:6" x14ac:dyDescent="0.3">
      <c r="A8778" s="45">
        <v>43848</v>
      </c>
      <c r="B8778" s="5" t="s">
        <v>25</v>
      </c>
      <c r="C8778" s="5" t="s">
        <v>6879</v>
      </c>
      <c r="D8778" s="43">
        <v>100</v>
      </c>
      <c r="E8778" s="43"/>
      <c r="F8778" s="48">
        <f t="shared" si="143"/>
        <v>195586</v>
      </c>
    </row>
    <row r="8779" spans="1:6" ht="37.5" x14ac:dyDescent="0.3">
      <c r="A8779" s="45">
        <v>43848</v>
      </c>
      <c r="B8779" s="44" t="s">
        <v>18</v>
      </c>
      <c r="C8779" s="124" t="s">
        <v>6911</v>
      </c>
      <c r="D8779" s="28">
        <v>5000</v>
      </c>
      <c r="E8779" s="28"/>
      <c r="F8779" s="48">
        <f t="shared" si="143"/>
        <v>190586</v>
      </c>
    </row>
    <row r="8780" spans="1:6" x14ac:dyDescent="0.3">
      <c r="A8780" s="45">
        <v>43848</v>
      </c>
      <c r="B8780" s="5" t="s">
        <v>1512</v>
      </c>
      <c r="C8780" s="5" t="s">
        <v>6882</v>
      </c>
      <c r="D8780" s="43">
        <v>200</v>
      </c>
      <c r="E8780" s="43"/>
      <c r="F8780" s="48">
        <f t="shared" si="143"/>
        <v>190386</v>
      </c>
    </row>
    <row r="8781" spans="1:6" ht="56.25" x14ac:dyDescent="0.3">
      <c r="A8781" s="45">
        <v>43848</v>
      </c>
      <c r="B8781" s="5" t="s">
        <v>1074</v>
      </c>
      <c r="C8781" s="92" t="s">
        <v>6883</v>
      </c>
      <c r="D8781" s="43">
        <v>12240</v>
      </c>
      <c r="E8781" s="43"/>
      <c r="F8781" s="48">
        <f t="shared" si="143"/>
        <v>178146</v>
      </c>
    </row>
    <row r="8782" spans="1:6" x14ac:dyDescent="0.3">
      <c r="A8782" s="45">
        <v>43848</v>
      </c>
      <c r="B8782" s="5" t="s">
        <v>84</v>
      </c>
      <c r="C8782" s="5" t="s">
        <v>6884</v>
      </c>
      <c r="D8782" s="43">
        <v>3000</v>
      </c>
      <c r="E8782" s="43"/>
      <c r="F8782" s="48">
        <f t="shared" si="143"/>
        <v>175146</v>
      </c>
    </row>
    <row r="8783" spans="1:6" x14ac:dyDescent="0.3">
      <c r="A8783" s="45">
        <v>43848</v>
      </c>
      <c r="B8783" s="5" t="s">
        <v>1012</v>
      </c>
      <c r="C8783" s="5" t="s">
        <v>6875</v>
      </c>
      <c r="D8783" s="43">
        <v>20000</v>
      </c>
      <c r="E8783" s="43"/>
      <c r="F8783" s="48">
        <f t="shared" si="143"/>
        <v>155146</v>
      </c>
    </row>
    <row r="8784" spans="1:6" x14ac:dyDescent="0.3">
      <c r="A8784" s="45">
        <v>43848</v>
      </c>
      <c r="B8784" s="5" t="s">
        <v>84</v>
      </c>
      <c r="C8784" s="5" t="s">
        <v>6885</v>
      </c>
      <c r="D8784" s="43">
        <v>10000</v>
      </c>
      <c r="E8784" s="43"/>
      <c r="F8784" s="48">
        <f t="shared" ref="F8784:F8847" si="144">F8783+E8784-D8784</f>
        <v>145146</v>
      </c>
    </row>
    <row r="8785" spans="1:6" x14ac:dyDescent="0.3">
      <c r="A8785" s="45">
        <v>43848</v>
      </c>
      <c r="B8785" s="5" t="s">
        <v>84</v>
      </c>
      <c r="C8785" s="5" t="s">
        <v>6886</v>
      </c>
      <c r="D8785" s="43">
        <v>3000</v>
      </c>
      <c r="E8785" s="43"/>
      <c r="F8785" s="48">
        <f t="shared" si="144"/>
        <v>142146</v>
      </c>
    </row>
    <row r="8786" spans="1:6" x14ac:dyDescent="0.3">
      <c r="A8786" s="45">
        <v>43848</v>
      </c>
      <c r="B8786" s="5" t="s">
        <v>4550</v>
      </c>
      <c r="C8786" s="5" t="s">
        <v>294</v>
      </c>
      <c r="D8786" s="43">
        <v>100000</v>
      </c>
      <c r="E8786" s="43"/>
      <c r="F8786" s="48">
        <f t="shared" si="144"/>
        <v>42146</v>
      </c>
    </row>
    <row r="8787" spans="1:6" x14ac:dyDescent="0.3">
      <c r="A8787" s="45">
        <v>43849</v>
      </c>
      <c r="B8787" s="5" t="s">
        <v>6430</v>
      </c>
      <c r="C8787" s="5" t="s">
        <v>6887</v>
      </c>
      <c r="D8787" s="43">
        <v>15000</v>
      </c>
      <c r="E8787" s="43"/>
      <c r="F8787" s="48">
        <f t="shared" si="144"/>
        <v>27146</v>
      </c>
    </row>
    <row r="8788" spans="1:6" x14ac:dyDescent="0.3">
      <c r="A8788" s="45">
        <v>43849</v>
      </c>
      <c r="B8788" s="5" t="s">
        <v>5156</v>
      </c>
      <c r="C8788" s="5" t="s">
        <v>6888</v>
      </c>
      <c r="D8788" s="43">
        <v>3400</v>
      </c>
      <c r="E8788" s="43"/>
      <c r="F8788" s="48">
        <f t="shared" si="144"/>
        <v>23746</v>
      </c>
    </row>
    <row r="8789" spans="1:6" x14ac:dyDescent="0.3">
      <c r="A8789" s="45">
        <v>43849</v>
      </c>
      <c r="B8789" s="5" t="s">
        <v>5162</v>
      </c>
      <c r="C8789" s="5" t="s">
        <v>6038</v>
      </c>
      <c r="D8789" s="43">
        <v>600</v>
      </c>
      <c r="E8789" s="43"/>
      <c r="F8789" s="48">
        <f t="shared" si="144"/>
        <v>23146</v>
      </c>
    </row>
    <row r="8790" spans="1:6" x14ac:dyDescent="0.3">
      <c r="A8790" s="45">
        <v>43849</v>
      </c>
      <c r="B8790" s="5" t="s">
        <v>1787</v>
      </c>
      <c r="C8790" s="5"/>
      <c r="D8790" s="43">
        <v>2000</v>
      </c>
      <c r="E8790" s="43"/>
      <c r="F8790" s="48">
        <f t="shared" si="144"/>
        <v>21146</v>
      </c>
    </row>
    <row r="8791" spans="1:6" x14ac:dyDescent="0.3">
      <c r="A8791" s="45">
        <v>43850</v>
      </c>
      <c r="B8791" s="5" t="s">
        <v>6889</v>
      </c>
      <c r="C8791" s="5" t="s">
        <v>6890</v>
      </c>
      <c r="D8791" s="43">
        <v>2000</v>
      </c>
      <c r="E8791" s="43"/>
      <c r="F8791" s="48">
        <f t="shared" si="144"/>
        <v>19146</v>
      </c>
    </row>
    <row r="8792" spans="1:6" x14ac:dyDescent="0.3">
      <c r="A8792" s="45">
        <v>43850</v>
      </c>
      <c r="B8792" s="5" t="s">
        <v>84</v>
      </c>
      <c r="C8792" s="5" t="s">
        <v>6892</v>
      </c>
      <c r="D8792" s="43">
        <v>5000</v>
      </c>
      <c r="E8792" s="43"/>
      <c r="F8792" s="48">
        <f t="shared" si="144"/>
        <v>14146</v>
      </c>
    </row>
    <row r="8793" spans="1:6" x14ac:dyDescent="0.3">
      <c r="A8793" s="45">
        <v>43851</v>
      </c>
      <c r="B8793" s="5" t="s">
        <v>25</v>
      </c>
      <c r="C8793" s="5" t="s">
        <v>6893</v>
      </c>
      <c r="D8793" s="43">
        <f>100+350</f>
        <v>450</v>
      </c>
      <c r="E8793" s="43"/>
      <c r="F8793" s="48">
        <f t="shared" si="144"/>
        <v>13696</v>
      </c>
    </row>
    <row r="8794" spans="1:6" x14ac:dyDescent="0.3">
      <c r="A8794" s="45">
        <v>43851</v>
      </c>
      <c r="B8794" s="5" t="s">
        <v>25</v>
      </c>
      <c r="C8794" s="5" t="s">
        <v>6894</v>
      </c>
      <c r="D8794" s="43">
        <v>500</v>
      </c>
      <c r="E8794" s="43"/>
      <c r="F8794" s="48">
        <f t="shared" si="144"/>
        <v>13196</v>
      </c>
    </row>
    <row r="8795" spans="1:6" x14ac:dyDescent="0.3">
      <c r="A8795" s="45">
        <v>43852</v>
      </c>
      <c r="B8795" s="5" t="s">
        <v>5156</v>
      </c>
      <c r="C8795" s="5" t="s">
        <v>6895</v>
      </c>
      <c r="D8795" s="43">
        <v>160</v>
      </c>
      <c r="E8795" s="43"/>
      <c r="F8795" s="48">
        <f t="shared" si="144"/>
        <v>13036</v>
      </c>
    </row>
    <row r="8796" spans="1:6" x14ac:dyDescent="0.3">
      <c r="A8796" s="45">
        <v>43852</v>
      </c>
      <c r="B8796" s="5" t="s">
        <v>2948</v>
      </c>
      <c r="C8796" s="5" t="s">
        <v>6896</v>
      </c>
      <c r="D8796" s="43">
        <v>475</v>
      </c>
      <c r="E8796" s="43"/>
      <c r="F8796" s="48">
        <f t="shared" si="144"/>
        <v>12561</v>
      </c>
    </row>
    <row r="8797" spans="1:6" x14ac:dyDescent="0.3">
      <c r="A8797" s="45">
        <v>43852</v>
      </c>
      <c r="B8797" s="5" t="s">
        <v>25</v>
      </c>
      <c r="C8797" s="5" t="s">
        <v>6897</v>
      </c>
      <c r="D8797" s="43">
        <v>300</v>
      </c>
      <c r="E8797" s="43"/>
      <c r="F8797" s="48">
        <f t="shared" si="144"/>
        <v>12261</v>
      </c>
    </row>
    <row r="8798" spans="1:6" x14ac:dyDescent="0.3">
      <c r="A8798" s="45">
        <v>43852</v>
      </c>
      <c r="B8798" s="739" t="s">
        <v>4415</v>
      </c>
      <c r="C8798" s="739"/>
      <c r="D8798" s="739"/>
      <c r="E8798" s="43">
        <v>50000</v>
      </c>
      <c r="F8798" s="48">
        <f t="shared" si="144"/>
        <v>62261</v>
      </c>
    </row>
    <row r="8799" spans="1:6" x14ac:dyDescent="0.3">
      <c r="A8799" s="45">
        <v>43852</v>
      </c>
      <c r="B8799" s="5" t="s">
        <v>14</v>
      </c>
      <c r="C8799" s="5" t="s">
        <v>294</v>
      </c>
      <c r="D8799" s="43">
        <v>20000</v>
      </c>
      <c r="E8799" s="43"/>
      <c r="F8799" s="48">
        <f t="shared" si="144"/>
        <v>42261</v>
      </c>
    </row>
    <row r="8800" spans="1:6" x14ac:dyDescent="0.3">
      <c r="A8800" s="45">
        <v>43852</v>
      </c>
      <c r="B8800" s="5" t="s">
        <v>6840</v>
      </c>
      <c r="C8800" s="5" t="s">
        <v>6900</v>
      </c>
      <c r="D8800" s="43">
        <v>6600</v>
      </c>
      <c r="E8800" s="43"/>
      <c r="F8800" s="48">
        <f t="shared" si="144"/>
        <v>35661</v>
      </c>
    </row>
    <row r="8801" spans="1:6" x14ac:dyDescent="0.3">
      <c r="A8801" s="45">
        <v>43853</v>
      </c>
      <c r="B8801" s="5" t="s">
        <v>84</v>
      </c>
      <c r="C8801" s="5" t="s">
        <v>6901</v>
      </c>
      <c r="D8801" s="43">
        <v>5000</v>
      </c>
      <c r="E8801" s="43"/>
      <c r="F8801" s="48">
        <f t="shared" si="144"/>
        <v>30661</v>
      </c>
    </row>
    <row r="8802" spans="1:6" x14ac:dyDescent="0.3">
      <c r="A8802" s="45">
        <v>43853</v>
      </c>
      <c r="B8802" s="5" t="s">
        <v>84</v>
      </c>
      <c r="C8802" s="5" t="s">
        <v>6902</v>
      </c>
      <c r="D8802" s="43">
        <v>7500</v>
      </c>
      <c r="E8802" s="43"/>
      <c r="F8802" s="48">
        <f t="shared" si="144"/>
        <v>23161</v>
      </c>
    </row>
    <row r="8803" spans="1:6" x14ac:dyDescent="0.3">
      <c r="A8803" s="45">
        <v>43853</v>
      </c>
      <c r="B8803" s="5" t="s">
        <v>1012</v>
      </c>
      <c r="C8803" s="5" t="s">
        <v>6903</v>
      </c>
      <c r="D8803" s="43">
        <v>3000</v>
      </c>
      <c r="E8803" s="43"/>
      <c r="F8803" s="48">
        <f t="shared" si="144"/>
        <v>20161</v>
      </c>
    </row>
    <row r="8804" spans="1:6" x14ac:dyDescent="0.3">
      <c r="A8804" s="45">
        <v>43853</v>
      </c>
      <c r="B8804" s="5" t="s">
        <v>1837</v>
      </c>
      <c r="C8804" s="5" t="s">
        <v>6904</v>
      </c>
      <c r="D8804" s="43">
        <v>500</v>
      </c>
      <c r="E8804" s="43"/>
      <c r="F8804" s="48">
        <f t="shared" si="144"/>
        <v>19661</v>
      </c>
    </row>
    <row r="8805" spans="1:6" x14ac:dyDescent="0.3">
      <c r="A8805" s="45">
        <v>43855</v>
      </c>
      <c r="B8805" s="739" t="s">
        <v>4415</v>
      </c>
      <c r="C8805" s="739"/>
      <c r="D8805" s="739"/>
      <c r="E8805" s="43">
        <v>200000</v>
      </c>
      <c r="F8805" s="48">
        <f t="shared" si="144"/>
        <v>219661</v>
      </c>
    </row>
    <row r="8806" spans="1:6" x14ac:dyDescent="0.3">
      <c r="A8806" s="45">
        <v>43855</v>
      </c>
      <c r="B8806" s="5" t="s">
        <v>5709</v>
      </c>
      <c r="C8806" s="5" t="s">
        <v>6905</v>
      </c>
      <c r="D8806" s="43">
        <v>25000</v>
      </c>
      <c r="E8806" s="43"/>
      <c r="F8806" s="48">
        <f t="shared" si="144"/>
        <v>194661</v>
      </c>
    </row>
    <row r="8807" spans="1:6" x14ac:dyDescent="0.3">
      <c r="A8807" s="45">
        <v>43855</v>
      </c>
      <c r="B8807" s="5" t="s">
        <v>5709</v>
      </c>
      <c r="C8807" s="5" t="s">
        <v>6906</v>
      </c>
      <c r="D8807" s="43">
        <v>1500</v>
      </c>
      <c r="E8807" s="43"/>
      <c r="F8807" s="48">
        <f t="shared" si="144"/>
        <v>193161</v>
      </c>
    </row>
    <row r="8808" spans="1:6" x14ac:dyDescent="0.3">
      <c r="A8808" s="45">
        <v>43855</v>
      </c>
      <c r="B8808" s="5" t="s">
        <v>1074</v>
      </c>
      <c r="C8808" s="5" t="s">
        <v>6907</v>
      </c>
      <c r="D8808" s="43">
        <v>7410</v>
      </c>
      <c r="E8808" s="43"/>
      <c r="F8808" s="48">
        <f t="shared" si="144"/>
        <v>185751</v>
      </c>
    </row>
    <row r="8809" spans="1:6" x14ac:dyDescent="0.3">
      <c r="A8809" s="45">
        <v>43855</v>
      </c>
      <c r="B8809" s="5" t="s">
        <v>1074</v>
      </c>
      <c r="C8809" s="5" t="s">
        <v>6701</v>
      </c>
      <c r="D8809" s="43">
        <v>12295</v>
      </c>
      <c r="E8809" s="43"/>
      <c r="F8809" s="48">
        <f t="shared" si="144"/>
        <v>173456</v>
      </c>
    </row>
    <row r="8810" spans="1:6" x14ac:dyDescent="0.3">
      <c r="A8810" s="45">
        <v>43855</v>
      </c>
      <c r="B8810" s="5" t="s">
        <v>1458</v>
      </c>
      <c r="C8810" s="5" t="s">
        <v>4276</v>
      </c>
      <c r="D8810" s="43"/>
      <c r="E8810" s="43"/>
      <c r="F8810" s="48">
        <f t="shared" si="144"/>
        <v>173456</v>
      </c>
    </row>
    <row r="8811" spans="1:6" x14ac:dyDescent="0.3">
      <c r="A8811" s="45">
        <v>43855</v>
      </c>
      <c r="B8811" s="5" t="s">
        <v>0</v>
      </c>
      <c r="C8811" s="5" t="s">
        <v>294</v>
      </c>
      <c r="D8811" s="43">
        <v>50000</v>
      </c>
      <c r="E8811" s="43"/>
      <c r="F8811" s="48">
        <f t="shared" si="144"/>
        <v>123456</v>
      </c>
    </row>
    <row r="8812" spans="1:6" x14ac:dyDescent="0.3">
      <c r="A8812" s="45">
        <v>43855</v>
      </c>
      <c r="B8812" s="5" t="s">
        <v>6908</v>
      </c>
      <c r="C8812" s="5" t="s">
        <v>6909</v>
      </c>
      <c r="D8812" s="43">
        <v>5000</v>
      </c>
      <c r="E8812" s="43"/>
      <c r="F8812" s="48">
        <f t="shared" si="144"/>
        <v>118456</v>
      </c>
    </row>
    <row r="8813" spans="1:6" x14ac:dyDescent="0.3">
      <c r="A8813" s="45">
        <v>43855</v>
      </c>
      <c r="B8813" s="5" t="s">
        <v>5709</v>
      </c>
      <c r="C8813" s="5" t="s">
        <v>6910</v>
      </c>
      <c r="D8813" s="43">
        <v>5000</v>
      </c>
      <c r="E8813" s="43"/>
      <c r="F8813" s="48">
        <f t="shared" si="144"/>
        <v>113456</v>
      </c>
    </row>
    <row r="8814" spans="1:6" x14ac:dyDescent="0.3">
      <c r="A8814" s="45">
        <v>43856</v>
      </c>
      <c r="B8814" s="5" t="s">
        <v>25</v>
      </c>
      <c r="C8814" s="5" t="s">
        <v>4276</v>
      </c>
      <c r="D8814" s="43">
        <f>5086+130+60+40+100+40+1600</f>
        <v>7056</v>
      </c>
      <c r="E8814" s="43"/>
      <c r="F8814" s="48">
        <f t="shared" si="144"/>
        <v>106400</v>
      </c>
    </row>
    <row r="8815" spans="1:6" x14ac:dyDescent="0.3">
      <c r="A8815" s="45">
        <v>43856</v>
      </c>
      <c r="B8815" s="5" t="s">
        <v>0</v>
      </c>
      <c r="C8815" s="5" t="s">
        <v>294</v>
      </c>
      <c r="D8815" s="43">
        <v>20000</v>
      </c>
      <c r="E8815" s="43"/>
      <c r="F8815" s="48">
        <f t="shared" si="144"/>
        <v>86400</v>
      </c>
    </row>
    <row r="8816" spans="1:6" x14ac:dyDescent="0.3">
      <c r="A8816" s="45">
        <v>43857</v>
      </c>
      <c r="B8816" s="5" t="s">
        <v>18</v>
      </c>
      <c r="C8816" s="5" t="s">
        <v>6938</v>
      </c>
      <c r="D8816" s="43">
        <v>5000</v>
      </c>
      <c r="E8816" s="43"/>
      <c r="F8816" s="48">
        <f t="shared" si="144"/>
        <v>81400</v>
      </c>
    </row>
    <row r="8817" spans="1:15" x14ac:dyDescent="0.3">
      <c r="A8817" s="45">
        <v>43857</v>
      </c>
      <c r="B8817" s="5" t="s">
        <v>1787</v>
      </c>
      <c r="C8817" s="5" t="s">
        <v>6913</v>
      </c>
      <c r="D8817" s="43">
        <v>1200</v>
      </c>
      <c r="E8817" s="43"/>
      <c r="F8817" s="48">
        <f t="shared" si="144"/>
        <v>80200</v>
      </c>
    </row>
    <row r="8818" spans="1:15" x14ac:dyDescent="0.3">
      <c r="A8818" s="45">
        <v>43857</v>
      </c>
      <c r="B8818" s="5" t="s">
        <v>6430</v>
      </c>
      <c r="C8818" s="5" t="s">
        <v>294</v>
      </c>
      <c r="D8818" s="43">
        <v>10000</v>
      </c>
      <c r="E8818" s="43"/>
      <c r="F8818" s="48">
        <f t="shared" si="144"/>
        <v>70200</v>
      </c>
    </row>
    <row r="8819" spans="1:15" ht="37.5" x14ac:dyDescent="0.3">
      <c r="A8819" s="45">
        <v>43857</v>
      </c>
      <c r="B8819" s="5" t="s">
        <v>1787</v>
      </c>
      <c r="C8819" s="92" t="s">
        <v>6914</v>
      </c>
      <c r="D8819" s="43">
        <v>6000</v>
      </c>
      <c r="E8819" s="43"/>
      <c r="F8819" s="48">
        <f t="shared" si="144"/>
        <v>64200</v>
      </c>
    </row>
    <row r="8820" spans="1:15" x14ac:dyDescent="0.3">
      <c r="A8820" s="45">
        <v>43857</v>
      </c>
      <c r="B8820" s="5" t="s">
        <v>3559</v>
      </c>
      <c r="C8820" s="5" t="s">
        <v>91</v>
      </c>
      <c r="D8820" s="43">
        <v>660</v>
      </c>
      <c r="E8820" s="43"/>
      <c r="F8820" s="48">
        <f t="shared" si="144"/>
        <v>63540</v>
      </c>
    </row>
    <row r="8821" spans="1:15" x14ac:dyDescent="0.3">
      <c r="A8821" s="45">
        <v>43857</v>
      </c>
      <c r="B8821" s="5" t="s">
        <v>25</v>
      </c>
      <c r="C8821" s="5" t="s">
        <v>6915</v>
      </c>
      <c r="D8821" s="43">
        <v>100</v>
      </c>
      <c r="E8821" s="43"/>
      <c r="F8821" s="48">
        <f t="shared" si="144"/>
        <v>63440</v>
      </c>
    </row>
    <row r="8822" spans="1:15" x14ac:dyDescent="0.3">
      <c r="A8822" s="45">
        <v>43858</v>
      </c>
      <c r="B8822" s="5" t="s">
        <v>0</v>
      </c>
      <c r="C8822" s="5" t="s">
        <v>294</v>
      </c>
      <c r="D8822" s="43">
        <v>15000</v>
      </c>
      <c r="E8822" s="43"/>
      <c r="F8822" s="48">
        <f t="shared" si="144"/>
        <v>48440</v>
      </c>
    </row>
    <row r="8823" spans="1:15" x14ac:dyDescent="0.3">
      <c r="A8823" s="45">
        <v>43858</v>
      </c>
      <c r="B8823" s="5" t="s">
        <v>1787</v>
      </c>
      <c r="C8823" s="5" t="s">
        <v>6913</v>
      </c>
      <c r="D8823" s="43">
        <v>1200</v>
      </c>
      <c r="E8823" s="43"/>
      <c r="F8823" s="48">
        <f t="shared" si="144"/>
        <v>47240</v>
      </c>
    </row>
    <row r="8824" spans="1:15" x14ac:dyDescent="0.3">
      <c r="A8824" s="45">
        <v>43858</v>
      </c>
      <c r="B8824" s="5" t="s">
        <v>1616</v>
      </c>
      <c r="C8824" s="5" t="s">
        <v>640</v>
      </c>
      <c r="D8824" s="43">
        <v>1500</v>
      </c>
      <c r="E8824" s="43"/>
      <c r="F8824" s="48">
        <f t="shared" si="144"/>
        <v>45740</v>
      </c>
    </row>
    <row r="8825" spans="1:15" x14ac:dyDescent="0.3">
      <c r="A8825" s="45">
        <v>43858</v>
      </c>
      <c r="B8825" s="5" t="s">
        <v>5482</v>
      </c>
      <c r="C8825" s="5" t="s">
        <v>40</v>
      </c>
      <c r="D8825" s="43">
        <v>15000</v>
      </c>
      <c r="E8825" s="43"/>
      <c r="F8825" s="48">
        <f t="shared" si="144"/>
        <v>30740</v>
      </c>
    </row>
    <row r="8826" spans="1:15" x14ac:dyDescent="0.3">
      <c r="A8826" s="45">
        <v>43858</v>
      </c>
      <c r="B8826" s="5" t="s">
        <v>25</v>
      </c>
      <c r="C8826" s="5" t="s">
        <v>6916</v>
      </c>
      <c r="D8826" s="43">
        <v>400</v>
      </c>
      <c r="E8826" s="43"/>
      <c r="F8826" s="48">
        <f t="shared" si="144"/>
        <v>30340</v>
      </c>
      <c r="O8826" s="52">
        <f>SUMIF(B1:B9011,M8826,D1:D9011)</f>
        <v>0</v>
      </c>
    </row>
    <row r="8827" spans="1:15" x14ac:dyDescent="0.3">
      <c r="A8827" s="45">
        <v>43858</v>
      </c>
      <c r="B8827" s="5" t="s">
        <v>25</v>
      </c>
      <c r="C8827" s="5" t="s">
        <v>6917</v>
      </c>
      <c r="D8827" s="43">
        <v>5000</v>
      </c>
      <c r="E8827" s="43"/>
      <c r="F8827" s="48">
        <f t="shared" si="144"/>
        <v>25340</v>
      </c>
      <c r="O8827" s="52">
        <f>SUMIF(B2:B9012,M8827,D2:D9012)</f>
        <v>0</v>
      </c>
    </row>
    <row r="8828" spans="1:15" x14ac:dyDescent="0.3">
      <c r="A8828" s="45">
        <v>43859</v>
      </c>
      <c r="B8828" s="5" t="s">
        <v>0</v>
      </c>
      <c r="C8828" s="5" t="s">
        <v>5629</v>
      </c>
      <c r="D8828" s="43">
        <v>10000</v>
      </c>
      <c r="E8828" s="43"/>
      <c r="F8828" s="48">
        <f t="shared" si="144"/>
        <v>15340</v>
      </c>
      <c r="O8828" s="52">
        <f>SUMIF(B3:B9014,M8828,D3:D9014)</f>
        <v>0</v>
      </c>
    </row>
    <row r="8829" spans="1:15" x14ac:dyDescent="0.3">
      <c r="A8829" s="45">
        <v>43859</v>
      </c>
      <c r="B8829" s="5" t="s">
        <v>25</v>
      </c>
      <c r="C8829" s="5" t="s">
        <v>6879</v>
      </c>
      <c r="D8829" s="43">
        <v>100</v>
      </c>
      <c r="E8829" s="43"/>
      <c r="F8829" s="48">
        <f t="shared" si="144"/>
        <v>15240</v>
      </c>
    </row>
    <row r="8830" spans="1:15" x14ac:dyDescent="0.3">
      <c r="A8830" s="45">
        <v>43859</v>
      </c>
      <c r="B8830" s="739" t="s">
        <v>4415</v>
      </c>
      <c r="C8830" s="739"/>
      <c r="D8830" s="739"/>
      <c r="E8830" s="43">
        <v>30000</v>
      </c>
      <c r="F8830" s="48">
        <f t="shared" si="144"/>
        <v>45240</v>
      </c>
    </row>
    <row r="8831" spans="1:15" x14ac:dyDescent="0.3">
      <c r="A8831" s="45">
        <v>43859</v>
      </c>
      <c r="B8831" s="5" t="s">
        <v>6918</v>
      </c>
      <c r="C8831" s="5" t="s">
        <v>40</v>
      </c>
      <c r="D8831" s="43">
        <v>5000</v>
      </c>
      <c r="E8831" s="43"/>
      <c r="F8831" s="48">
        <f t="shared" si="144"/>
        <v>40240</v>
      </c>
    </row>
    <row r="8832" spans="1:15" x14ac:dyDescent="0.3">
      <c r="A8832" s="45">
        <v>43860</v>
      </c>
      <c r="B8832" s="5" t="s">
        <v>25</v>
      </c>
      <c r="C8832" s="5" t="s">
        <v>4276</v>
      </c>
      <c r="D8832" s="43">
        <f>800+360+280+200+40+100+180+30+200+450+440+90+500+30+330+20+30+50+30+100+430+280+200+120+50+300+150+200</f>
        <v>5990</v>
      </c>
      <c r="E8832" s="43"/>
      <c r="F8832" s="48">
        <f t="shared" si="144"/>
        <v>34250</v>
      </c>
      <c r="I8832" s="752"/>
      <c r="J8832" s="752"/>
    </row>
    <row r="8833" spans="1:10" x14ac:dyDescent="0.3">
      <c r="A8833" s="45">
        <v>43862</v>
      </c>
      <c r="B8833" s="5" t="s">
        <v>11</v>
      </c>
      <c r="C8833" s="5" t="s">
        <v>6919</v>
      </c>
      <c r="D8833" s="43">
        <v>500</v>
      </c>
      <c r="E8833" s="43"/>
      <c r="F8833" s="48">
        <f t="shared" si="144"/>
        <v>33750</v>
      </c>
      <c r="I8833" s="330"/>
      <c r="J8833" s="330"/>
    </row>
    <row r="8834" spans="1:10" x14ac:dyDescent="0.3">
      <c r="A8834" s="45">
        <v>43862</v>
      </c>
      <c r="B8834" s="5" t="s">
        <v>1074</v>
      </c>
      <c r="C8834" s="5" t="s">
        <v>6920</v>
      </c>
      <c r="D8834" s="43">
        <f>526+450+790</f>
        <v>1766</v>
      </c>
      <c r="E8834" s="43"/>
      <c r="F8834" s="48">
        <f t="shared" si="144"/>
        <v>31984</v>
      </c>
      <c r="I8834" s="331"/>
      <c r="J8834" s="331"/>
    </row>
    <row r="8835" spans="1:10" x14ac:dyDescent="0.3">
      <c r="A8835" s="45">
        <v>43862</v>
      </c>
      <c r="B8835" s="5" t="s">
        <v>25</v>
      </c>
      <c r="C8835" s="5" t="s">
        <v>6049</v>
      </c>
      <c r="D8835" s="43">
        <v>100</v>
      </c>
      <c r="E8835" s="43"/>
      <c r="F8835" s="48">
        <f t="shared" si="144"/>
        <v>31884</v>
      </c>
      <c r="I8835" s="331"/>
      <c r="J8835" s="331"/>
    </row>
    <row r="8836" spans="1:10" x14ac:dyDescent="0.3">
      <c r="A8836" s="45">
        <v>43862</v>
      </c>
      <c r="B8836" s="739" t="s">
        <v>4415</v>
      </c>
      <c r="C8836" s="739"/>
      <c r="D8836" s="739"/>
      <c r="E8836" s="43">
        <v>100000</v>
      </c>
      <c r="F8836" s="48">
        <f t="shared" si="144"/>
        <v>131884</v>
      </c>
      <c r="I8836" s="331"/>
      <c r="J8836" s="331"/>
    </row>
    <row r="8837" spans="1:10" x14ac:dyDescent="0.3">
      <c r="A8837" s="45">
        <v>43863</v>
      </c>
      <c r="B8837" s="5" t="s">
        <v>6921</v>
      </c>
      <c r="C8837" s="5"/>
      <c r="D8837" s="43">
        <v>5000</v>
      </c>
      <c r="E8837" s="43"/>
      <c r="F8837" s="48">
        <f t="shared" si="144"/>
        <v>126884</v>
      </c>
      <c r="I8837" s="331"/>
      <c r="J8837" s="331"/>
    </row>
    <row r="8838" spans="1:10" ht="37.5" x14ac:dyDescent="0.3">
      <c r="A8838" s="45">
        <v>43863</v>
      </c>
      <c r="B8838" s="44" t="s">
        <v>26</v>
      </c>
      <c r="C8838" s="243" t="s">
        <v>6923</v>
      </c>
      <c r="D8838" s="28">
        <v>2600</v>
      </c>
      <c r="E8838" s="43"/>
      <c r="F8838" s="48">
        <f t="shared" si="144"/>
        <v>124284</v>
      </c>
      <c r="I8838" s="331"/>
      <c r="J8838" s="244"/>
    </row>
    <row r="8839" spans="1:10" x14ac:dyDescent="0.3">
      <c r="A8839" s="45">
        <v>43864</v>
      </c>
      <c r="B8839" s="5" t="s">
        <v>1012</v>
      </c>
      <c r="C8839" s="5" t="s">
        <v>6928</v>
      </c>
      <c r="D8839" s="43">
        <v>5000</v>
      </c>
      <c r="E8839" s="43"/>
      <c r="F8839" s="48">
        <f t="shared" si="144"/>
        <v>119284</v>
      </c>
    </row>
    <row r="8840" spans="1:10" x14ac:dyDescent="0.3">
      <c r="A8840" s="45">
        <v>43864</v>
      </c>
      <c r="B8840" s="739" t="s">
        <v>4415</v>
      </c>
      <c r="C8840" s="739"/>
      <c r="D8840" s="739"/>
      <c r="E8840" s="43">
        <v>465000</v>
      </c>
      <c r="F8840" s="48">
        <f t="shared" si="144"/>
        <v>584284</v>
      </c>
    </row>
    <row r="8841" spans="1:10" x14ac:dyDescent="0.3">
      <c r="A8841" s="45">
        <v>43864</v>
      </c>
      <c r="B8841" s="5" t="s">
        <v>6171</v>
      </c>
      <c r="C8841" s="5" t="s">
        <v>3332</v>
      </c>
      <c r="D8841" s="43">
        <v>22000</v>
      </c>
      <c r="E8841" s="43"/>
      <c r="F8841" s="48">
        <f t="shared" si="144"/>
        <v>562284</v>
      </c>
    </row>
    <row r="8842" spans="1:10" x14ac:dyDescent="0.3">
      <c r="A8842" s="45">
        <v>43864</v>
      </c>
      <c r="B8842" s="5" t="s">
        <v>0</v>
      </c>
      <c r="C8842" s="5" t="s">
        <v>294</v>
      </c>
      <c r="D8842" s="43">
        <v>5000</v>
      </c>
      <c r="E8842" s="43"/>
      <c r="F8842" s="48">
        <f t="shared" si="144"/>
        <v>557284</v>
      </c>
    </row>
    <row r="8843" spans="1:10" x14ac:dyDescent="0.3">
      <c r="A8843" s="45">
        <v>43865</v>
      </c>
      <c r="B8843" s="5" t="s">
        <v>25</v>
      </c>
      <c r="C8843" s="5" t="s">
        <v>6924</v>
      </c>
      <c r="D8843" s="43">
        <v>1000</v>
      </c>
      <c r="E8843" s="43"/>
      <c r="F8843" s="48">
        <f t="shared" si="144"/>
        <v>556284</v>
      </c>
    </row>
    <row r="8844" spans="1:10" x14ac:dyDescent="0.3">
      <c r="A8844" s="45">
        <v>43865</v>
      </c>
      <c r="B8844" s="5" t="s">
        <v>6430</v>
      </c>
      <c r="C8844" s="5" t="s">
        <v>5629</v>
      </c>
      <c r="D8844" s="43">
        <v>2500</v>
      </c>
      <c r="E8844" s="43"/>
      <c r="F8844" s="48">
        <f t="shared" si="144"/>
        <v>553784</v>
      </c>
    </row>
    <row r="8845" spans="1:10" x14ac:dyDescent="0.3">
      <c r="A8845" s="45">
        <v>43865</v>
      </c>
      <c r="B8845" s="5" t="s">
        <v>25</v>
      </c>
      <c r="C8845" s="5" t="s">
        <v>2013</v>
      </c>
      <c r="D8845" s="43">
        <v>120</v>
      </c>
      <c r="E8845" s="43"/>
      <c r="F8845" s="48">
        <f t="shared" si="144"/>
        <v>553664</v>
      </c>
    </row>
    <row r="8846" spans="1:10" x14ac:dyDescent="0.3">
      <c r="A8846" s="45">
        <v>43865</v>
      </c>
      <c r="B8846" s="5" t="s">
        <v>25</v>
      </c>
      <c r="C8846" s="5" t="s">
        <v>6925</v>
      </c>
      <c r="D8846" s="43">
        <v>3240</v>
      </c>
      <c r="E8846" s="43"/>
      <c r="F8846" s="48">
        <f t="shared" si="144"/>
        <v>550424</v>
      </c>
    </row>
    <row r="8847" spans="1:10" x14ac:dyDescent="0.3">
      <c r="A8847" s="45">
        <v>43865</v>
      </c>
      <c r="B8847" s="5" t="s">
        <v>6926</v>
      </c>
      <c r="C8847" s="5" t="s">
        <v>5156</v>
      </c>
      <c r="D8847" s="43">
        <v>900</v>
      </c>
      <c r="E8847" s="43"/>
      <c r="F8847" s="48">
        <f t="shared" si="144"/>
        <v>549524</v>
      </c>
    </row>
    <row r="8848" spans="1:10" x14ac:dyDescent="0.3">
      <c r="A8848" s="45">
        <v>43865</v>
      </c>
      <c r="B8848" s="5" t="s">
        <v>1837</v>
      </c>
      <c r="C8848" s="5" t="s">
        <v>6927</v>
      </c>
      <c r="D8848" s="43">
        <v>500</v>
      </c>
      <c r="E8848" s="43"/>
      <c r="F8848" s="48">
        <f t="shared" ref="F8848:F8911" si="145">F8847+E8848-D8848</f>
        <v>549024</v>
      </c>
    </row>
    <row r="8849" spans="1:6" x14ac:dyDescent="0.3">
      <c r="A8849" s="45">
        <v>43865</v>
      </c>
      <c r="B8849" s="5" t="s">
        <v>1012</v>
      </c>
      <c r="C8849" s="5" t="s">
        <v>6928</v>
      </c>
      <c r="D8849" s="43">
        <v>5000</v>
      </c>
      <c r="E8849" s="43"/>
      <c r="F8849" s="48">
        <f t="shared" si="145"/>
        <v>544024</v>
      </c>
    </row>
    <row r="8850" spans="1:6" x14ac:dyDescent="0.3">
      <c r="A8850" s="45">
        <v>43865</v>
      </c>
      <c r="B8850" s="39" t="s">
        <v>1512</v>
      </c>
      <c r="C8850" s="39" t="s">
        <v>6546</v>
      </c>
      <c r="D8850" s="183">
        <v>122746</v>
      </c>
      <c r="E8850" s="183"/>
      <c r="F8850" s="48">
        <f t="shared" si="145"/>
        <v>421278</v>
      </c>
    </row>
    <row r="8851" spans="1:6" x14ac:dyDescent="0.3">
      <c r="A8851" s="45">
        <v>43865</v>
      </c>
      <c r="B8851" s="39" t="s">
        <v>1512</v>
      </c>
      <c r="C8851" s="39" t="s">
        <v>6387</v>
      </c>
      <c r="D8851" s="183">
        <v>104427</v>
      </c>
      <c r="E8851" s="183"/>
      <c r="F8851" s="48">
        <f t="shared" si="145"/>
        <v>316851</v>
      </c>
    </row>
    <row r="8852" spans="1:6" x14ac:dyDescent="0.3">
      <c r="A8852" s="45">
        <v>43865</v>
      </c>
      <c r="B8852" s="39" t="s">
        <v>1512</v>
      </c>
      <c r="C8852" s="39" t="s">
        <v>6929</v>
      </c>
      <c r="D8852" s="183">
        <v>200871</v>
      </c>
      <c r="E8852" s="183"/>
      <c r="F8852" s="48">
        <f t="shared" si="145"/>
        <v>115980</v>
      </c>
    </row>
    <row r="8853" spans="1:6" x14ac:dyDescent="0.3">
      <c r="A8853" s="45">
        <v>43865</v>
      </c>
      <c r="B8853" s="39" t="s">
        <v>1512</v>
      </c>
      <c r="C8853" s="39" t="s">
        <v>6930</v>
      </c>
      <c r="D8853" s="183">
        <v>81903</v>
      </c>
      <c r="E8853" s="183"/>
      <c r="F8853" s="48">
        <f t="shared" si="145"/>
        <v>34077</v>
      </c>
    </row>
    <row r="8854" spans="1:6" x14ac:dyDescent="0.3">
      <c r="A8854" s="45">
        <v>43865</v>
      </c>
      <c r="B8854" s="5" t="s">
        <v>6931</v>
      </c>
      <c r="C8854" s="5" t="s">
        <v>6932</v>
      </c>
      <c r="D8854" s="43">
        <v>2000</v>
      </c>
      <c r="E8854" s="43"/>
      <c r="F8854" s="48">
        <f t="shared" si="145"/>
        <v>32077</v>
      </c>
    </row>
    <row r="8855" spans="1:6" x14ac:dyDescent="0.3">
      <c r="A8855" s="45">
        <v>43867</v>
      </c>
      <c r="B8855" s="5" t="s">
        <v>25</v>
      </c>
      <c r="C8855" s="5" t="s">
        <v>4276</v>
      </c>
      <c r="D8855" s="43">
        <f>1400+320+40+40+280+60+140+120+130+80+200+180+280</f>
        <v>3270</v>
      </c>
      <c r="E8855" s="43"/>
      <c r="F8855" s="48">
        <f t="shared" si="145"/>
        <v>28807</v>
      </c>
    </row>
    <row r="8856" spans="1:6" x14ac:dyDescent="0.3">
      <c r="A8856" s="45">
        <v>43867</v>
      </c>
      <c r="B8856" s="5" t="s">
        <v>1837</v>
      </c>
      <c r="C8856" s="5" t="s">
        <v>6933</v>
      </c>
      <c r="D8856" s="43">
        <v>6000</v>
      </c>
      <c r="E8856" s="43"/>
      <c r="F8856" s="48">
        <f t="shared" si="145"/>
        <v>22807</v>
      </c>
    </row>
    <row r="8857" spans="1:6" x14ac:dyDescent="0.3">
      <c r="A8857" s="45">
        <v>43867</v>
      </c>
      <c r="B8857" s="39" t="s">
        <v>1512</v>
      </c>
      <c r="C8857" s="39" t="s">
        <v>6934</v>
      </c>
      <c r="D8857" s="183">
        <v>11435</v>
      </c>
      <c r="E8857" s="183"/>
      <c r="F8857" s="48">
        <f t="shared" si="145"/>
        <v>11372</v>
      </c>
    </row>
    <row r="8858" spans="1:6" x14ac:dyDescent="0.3">
      <c r="A8858" s="45">
        <v>43867</v>
      </c>
      <c r="B8858" s="39" t="s">
        <v>1512</v>
      </c>
      <c r="C8858" s="39" t="s">
        <v>6935</v>
      </c>
      <c r="D8858" s="43">
        <v>7950</v>
      </c>
      <c r="E8858" s="43"/>
      <c r="F8858" s="48">
        <f t="shared" si="145"/>
        <v>3422</v>
      </c>
    </row>
    <row r="8859" spans="1:6" x14ac:dyDescent="0.3">
      <c r="A8859" s="45">
        <v>43867</v>
      </c>
      <c r="B8859" s="739" t="s">
        <v>4415</v>
      </c>
      <c r="C8859" s="739"/>
      <c r="D8859" s="739"/>
      <c r="E8859" s="43">
        <v>235000</v>
      </c>
      <c r="F8859" s="48">
        <f t="shared" si="145"/>
        <v>238422</v>
      </c>
    </row>
    <row r="8860" spans="1:6" x14ac:dyDescent="0.3">
      <c r="A8860" s="45">
        <v>43867</v>
      </c>
      <c r="B8860" s="5" t="s">
        <v>0</v>
      </c>
      <c r="C8860" s="5" t="s">
        <v>294</v>
      </c>
      <c r="D8860" s="43">
        <v>35000</v>
      </c>
      <c r="E8860" s="43"/>
      <c r="F8860" s="48">
        <f t="shared" si="145"/>
        <v>203422</v>
      </c>
    </row>
    <row r="8861" spans="1:6" x14ac:dyDescent="0.3">
      <c r="A8861" s="45">
        <v>43838</v>
      </c>
      <c r="B8861" s="39" t="s">
        <v>1512</v>
      </c>
      <c r="C8861" s="39" t="s">
        <v>6936</v>
      </c>
      <c r="D8861" s="183">
        <v>104609</v>
      </c>
      <c r="E8861" s="183"/>
      <c r="F8861" s="48">
        <f t="shared" si="145"/>
        <v>98813</v>
      </c>
    </row>
    <row r="8862" spans="1:6" x14ac:dyDescent="0.3">
      <c r="A8862" s="45">
        <v>43838</v>
      </c>
      <c r="B8862" s="39" t="s">
        <v>1512</v>
      </c>
      <c r="C8862" s="39" t="s">
        <v>6556</v>
      </c>
      <c r="D8862" s="183">
        <v>52202</v>
      </c>
      <c r="E8862" s="183"/>
      <c r="F8862" s="48">
        <f t="shared" si="145"/>
        <v>46611</v>
      </c>
    </row>
    <row r="8863" spans="1:6" x14ac:dyDescent="0.3">
      <c r="A8863" s="45">
        <v>43838</v>
      </c>
      <c r="B8863" s="39" t="s">
        <v>1512</v>
      </c>
      <c r="C8863" s="39" t="s">
        <v>6678</v>
      </c>
      <c r="D8863" s="183">
        <v>43000</v>
      </c>
      <c r="E8863" s="183"/>
      <c r="F8863" s="48">
        <f t="shared" si="145"/>
        <v>3611</v>
      </c>
    </row>
    <row r="8864" spans="1:6" x14ac:dyDescent="0.3">
      <c r="A8864" s="45">
        <v>43838</v>
      </c>
      <c r="B8864" s="73" t="s">
        <v>25</v>
      </c>
      <c r="C8864" s="73" t="s">
        <v>6939</v>
      </c>
      <c r="D8864" s="183">
        <v>100</v>
      </c>
      <c r="E8864" s="183"/>
      <c r="F8864" s="48">
        <f t="shared" si="145"/>
        <v>3511</v>
      </c>
    </row>
    <row r="8865" spans="1:6" x14ac:dyDescent="0.3">
      <c r="A8865" s="45">
        <v>43838</v>
      </c>
      <c r="B8865" s="73" t="s">
        <v>6430</v>
      </c>
      <c r="C8865" s="73" t="s">
        <v>294</v>
      </c>
      <c r="D8865" s="183">
        <v>1000</v>
      </c>
      <c r="E8865" s="183"/>
      <c r="F8865" s="48">
        <f t="shared" si="145"/>
        <v>2511</v>
      </c>
    </row>
    <row r="8866" spans="1:6" x14ac:dyDescent="0.3">
      <c r="A8866" s="45">
        <v>43839</v>
      </c>
      <c r="B8866" s="739" t="s">
        <v>3444</v>
      </c>
      <c r="C8866" s="739"/>
      <c r="D8866" s="739"/>
      <c r="E8866" s="43">
        <v>100000</v>
      </c>
      <c r="F8866" s="48">
        <f t="shared" si="145"/>
        <v>102511</v>
      </c>
    </row>
    <row r="8867" spans="1:6" x14ac:dyDescent="0.3">
      <c r="A8867" s="45">
        <v>43839</v>
      </c>
      <c r="B8867" s="739" t="s">
        <v>3444</v>
      </c>
      <c r="C8867" s="739"/>
      <c r="D8867" s="739"/>
      <c r="E8867" s="43">
        <v>35000</v>
      </c>
      <c r="F8867" s="48">
        <f t="shared" si="145"/>
        <v>137511</v>
      </c>
    </row>
    <row r="8868" spans="1:6" x14ac:dyDescent="0.3">
      <c r="A8868" s="45">
        <v>43839</v>
      </c>
      <c r="B8868" s="739" t="s">
        <v>4415</v>
      </c>
      <c r="C8868" s="739"/>
      <c r="D8868" s="739"/>
      <c r="E8868" s="43">
        <v>30000</v>
      </c>
      <c r="F8868" s="48">
        <f t="shared" si="145"/>
        <v>167511</v>
      </c>
    </row>
    <row r="8869" spans="1:6" x14ac:dyDescent="0.3">
      <c r="A8869" s="45">
        <v>43838</v>
      </c>
      <c r="B8869" s="73" t="s">
        <v>1012</v>
      </c>
      <c r="C8869" s="73" t="s">
        <v>6875</v>
      </c>
      <c r="D8869" s="43">
        <v>10000</v>
      </c>
      <c r="E8869" s="43"/>
      <c r="F8869" s="48">
        <f t="shared" si="145"/>
        <v>157511</v>
      </c>
    </row>
    <row r="8870" spans="1:6" x14ac:dyDescent="0.3">
      <c r="A8870" s="45">
        <v>43838</v>
      </c>
      <c r="B8870" s="73" t="s">
        <v>5709</v>
      </c>
      <c r="C8870" s="73" t="s">
        <v>6940</v>
      </c>
      <c r="D8870" s="43">
        <v>3400</v>
      </c>
      <c r="E8870" s="43"/>
      <c r="F8870" s="48">
        <f t="shared" si="145"/>
        <v>154111</v>
      </c>
    </row>
    <row r="8871" spans="1:6" x14ac:dyDescent="0.3">
      <c r="A8871" s="45">
        <v>43839</v>
      </c>
      <c r="B8871" s="5" t="s">
        <v>1787</v>
      </c>
      <c r="C8871" s="5" t="s">
        <v>6941</v>
      </c>
      <c r="D8871" s="43">
        <v>3000</v>
      </c>
      <c r="E8871" s="43"/>
      <c r="F8871" s="48">
        <f t="shared" si="145"/>
        <v>151111</v>
      </c>
    </row>
    <row r="8872" spans="1:6" x14ac:dyDescent="0.3">
      <c r="A8872" s="45">
        <v>43839</v>
      </c>
      <c r="B8872" s="5" t="s">
        <v>57</v>
      </c>
      <c r="C8872" s="92" t="s">
        <v>6942</v>
      </c>
      <c r="D8872" s="43">
        <v>2000</v>
      </c>
      <c r="E8872" s="43"/>
      <c r="F8872" s="48">
        <f t="shared" si="145"/>
        <v>149111</v>
      </c>
    </row>
    <row r="8873" spans="1:6" x14ac:dyDescent="0.3">
      <c r="A8873" s="45">
        <v>43839</v>
      </c>
      <c r="B8873" s="5" t="s">
        <v>56</v>
      </c>
      <c r="C8873" s="5" t="s">
        <v>6943</v>
      </c>
      <c r="D8873" s="43">
        <v>350</v>
      </c>
      <c r="E8873" s="43"/>
      <c r="F8873" s="48">
        <f t="shared" si="145"/>
        <v>148761</v>
      </c>
    </row>
    <row r="8874" spans="1:6" x14ac:dyDescent="0.3">
      <c r="A8874" s="45">
        <v>43839</v>
      </c>
      <c r="B8874" s="5" t="s">
        <v>1616</v>
      </c>
      <c r="C8874" s="5" t="s">
        <v>640</v>
      </c>
      <c r="D8874" s="43">
        <v>600</v>
      </c>
      <c r="E8874" s="43"/>
      <c r="F8874" s="48">
        <f t="shared" si="145"/>
        <v>148161</v>
      </c>
    </row>
    <row r="8875" spans="1:6" x14ac:dyDescent="0.3">
      <c r="A8875" s="45">
        <v>43839</v>
      </c>
      <c r="B8875" s="5" t="s">
        <v>6944</v>
      </c>
      <c r="C8875" s="5" t="s">
        <v>4703</v>
      </c>
      <c r="D8875" s="43">
        <v>2000</v>
      </c>
      <c r="E8875" s="43"/>
      <c r="F8875" s="48">
        <f t="shared" si="145"/>
        <v>146161</v>
      </c>
    </row>
    <row r="8876" spans="1:6" x14ac:dyDescent="0.3">
      <c r="A8876" s="45">
        <v>43839</v>
      </c>
      <c r="B8876" s="39" t="s">
        <v>1512</v>
      </c>
      <c r="C8876" s="39" t="s">
        <v>6945</v>
      </c>
      <c r="D8876" s="183">
        <v>24870</v>
      </c>
      <c r="E8876" s="183"/>
      <c r="F8876" s="48">
        <f t="shared" si="145"/>
        <v>121291</v>
      </c>
    </row>
    <row r="8877" spans="1:6" x14ac:dyDescent="0.3">
      <c r="A8877" s="45">
        <v>43839</v>
      </c>
      <c r="B8877" s="5" t="s">
        <v>4550</v>
      </c>
      <c r="C8877" s="5" t="s">
        <v>294</v>
      </c>
      <c r="D8877" s="43">
        <v>20000</v>
      </c>
      <c r="E8877" s="43"/>
      <c r="F8877" s="48">
        <f t="shared" si="145"/>
        <v>101291</v>
      </c>
    </row>
    <row r="8878" spans="1:6" x14ac:dyDescent="0.3">
      <c r="A8878" s="45">
        <v>43839</v>
      </c>
      <c r="B8878" s="5" t="s">
        <v>84</v>
      </c>
      <c r="C8878" s="5" t="s">
        <v>6948</v>
      </c>
      <c r="D8878" s="43">
        <v>5000</v>
      </c>
      <c r="E8878" s="43"/>
      <c r="F8878" s="48">
        <f t="shared" si="145"/>
        <v>96291</v>
      </c>
    </row>
    <row r="8879" spans="1:6" x14ac:dyDescent="0.3">
      <c r="A8879" s="45">
        <v>43839</v>
      </c>
      <c r="B8879" s="5" t="s">
        <v>5162</v>
      </c>
      <c r="C8879" s="5" t="s">
        <v>6038</v>
      </c>
      <c r="D8879" s="43">
        <v>600</v>
      </c>
      <c r="E8879" s="43"/>
      <c r="F8879" s="48">
        <f t="shared" si="145"/>
        <v>95691</v>
      </c>
    </row>
    <row r="8880" spans="1:6" ht="37.5" x14ac:dyDescent="0.3">
      <c r="A8880" s="45">
        <v>43839</v>
      </c>
      <c r="B8880" s="5" t="s">
        <v>6946</v>
      </c>
      <c r="C8880" s="92" t="s">
        <v>6947</v>
      </c>
      <c r="D8880" s="43">
        <v>35300</v>
      </c>
      <c r="E8880" s="43"/>
      <c r="F8880" s="48">
        <f t="shared" si="145"/>
        <v>60391</v>
      </c>
    </row>
    <row r="8881" spans="1:6" x14ac:dyDescent="0.3">
      <c r="A8881" s="45">
        <v>43839</v>
      </c>
      <c r="B8881" s="5" t="s">
        <v>14</v>
      </c>
      <c r="C8881" s="5" t="s">
        <v>294</v>
      </c>
      <c r="D8881" s="43">
        <v>25000</v>
      </c>
      <c r="E8881" s="43"/>
      <c r="F8881" s="48">
        <f t="shared" si="145"/>
        <v>35391</v>
      </c>
    </row>
    <row r="8882" spans="1:6" x14ac:dyDescent="0.3">
      <c r="A8882" s="45">
        <v>43839</v>
      </c>
      <c r="B8882" s="5" t="s">
        <v>84</v>
      </c>
      <c r="C8882" s="5" t="s">
        <v>6949</v>
      </c>
      <c r="D8882" s="43">
        <v>15000</v>
      </c>
      <c r="E8882" s="43"/>
      <c r="F8882" s="48">
        <f t="shared" si="145"/>
        <v>20391</v>
      </c>
    </row>
    <row r="8883" spans="1:6" x14ac:dyDescent="0.3">
      <c r="A8883" s="45">
        <v>43840</v>
      </c>
      <c r="B8883" s="5" t="s">
        <v>0</v>
      </c>
      <c r="C8883" s="5" t="s">
        <v>294</v>
      </c>
      <c r="D8883" s="43">
        <v>13000</v>
      </c>
      <c r="E8883" s="43"/>
      <c r="F8883" s="48">
        <f t="shared" si="145"/>
        <v>7391</v>
      </c>
    </row>
    <row r="8884" spans="1:6" x14ac:dyDescent="0.3">
      <c r="A8884" s="45">
        <v>43840</v>
      </c>
      <c r="B8884" s="739" t="s">
        <v>3444</v>
      </c>
      <c r="C8884" s="739"/>
      <c r="D8884" s="739"/>
      <c r="E8884" s="43">
        <v>150000</v>
      </c>
      <c r="F8884" s="48">
        <f t="shared" si="145"/>
        <v>157391</v>
      </c>
    </row>
    <row r="8885" spans="1:6" x14ac:dyDescent="0.3">
      <c r="A8885" s="45">
        <v>43840</v>
      </c>
      <c r="B8885" s="5" t="s">
        <v>6341</v>
      </c>
      <c r="C8885" s="5" t="s">
        <v>6950</v>
      </c>
      <c r="D8885" s="43">
        <v>15000</v>
      </c>
      <c r="E8885" s="43"/>
      <c r="F8885" s="48">
        <f t="shared" si="145"/>
        <v>142391</v>
      </c>
    </row>
    <row r="8886" spans="1:6" x14ac:dyDescent="0.3">
      <c r="A8886" s="45">
        <v>43840</v>
      </c>
      <c r="B8886" s="39" t="s">
        <v>1512</v>
      </c>
      <c r="C8886" s="39" t="s">
        <v>6557</v>
      </c>
      <c r="D8886" s="183">
        <v>53987</v>
      </c>
      <c r="E8886" s="183"/>
      <c r="F8886" s="48">
        <f t="shared" si="145"/>
        <v>88404</v>
      </c>
    </row>
    <row r="8887" spans="1:6" x14ac:dyDescent="0.3">
      <c r="A8887" s="45">
        <v>43840</v>
      </c>
      <c r="B8887" s="39" t="s">
        <v>1512</v>
      </c>
      <c r="C8887" s="5" t="s">
        <v>6759</v>
      </c>
      <c r="D8887" s="43">
        <v>39600</v>
      </c>
      <c r="E8887" s="43"/>
      <c r="F8887" s="48">
        <f t="shared" si="145"/>
        <v>48804</v>
      </c>
    </row>
    <row r="8888" spans="1:6" x14ac:dyDescent="0.3">
      <c r="A8888" s="45">
        <v>43840</v>
      </c>
      <c r="B8888" s="5" t="s">
        <v>18</v>
      </c>
      <c r="C8888" s="5" t="s">
        <v>294</v>
      </c>
      <c r="D8888" s="43">
        <v>5000</v>
      </c>
      <c r="E8888" s="43"/>
      <c r="F8888" s="48">
        <f t="shared" si="145"/>
        <v>43804</v>
      </c>
    </row>
    <row r="8889" spans="1:6" x14ac:dyDescent="0.3">
      <c r="A8889" s="45">
        <v>43841</v>
      </c>
      <c r="B8889" s="39" t="s">
        <v>1512</v>
      </c>
      <c r="C8889" s="5" t="s">
        <v>6951</v>
      </c>
      <c r="D8889" s="43">
        <v>21600</v>
      </c>
      <c r="E8889" s="43"/>
      <c r="F8889" s="48">
        <f t="shared" si="145"/>
        <v>22204</v>
      </c>
    </row>
    <row r="8890" spans="1:6" x14ac:dyDescent="0.3">
      <c r="A8890" s="45">
        <v>43841</v>
      </c>
      <c r="B8890" s="39" t="s">
        <v>1512</v>
      </c>
      <c r="C8890" s="5" t="s">
        <v>6952</v>
      </c>
      <c r="D8890" s="43">
        <v>11700</v>
      </c>
      <c r="E8890" s="43"/>
      <c r="F8890" s="48">
        <f t="shared" si="145"/>
        <v>10504</v>
      </c>
    </row>
    <row r="8891" spans="1:6" x14ac:dyDescent="0.3">
      <c r="A8891" s="45">
        <v>43841</v>
      </c>
      <c r="B8891" s="5" t="s">
        <v>25</v>
      </c>
      <c r="C8891" s="5" t="s">
        <v>6049</v>
      </c>
      <c r="D8891" s="43">
        <v>120</v>
      </c>
      <c r="E8891" s="43"/>
      <c r="F8891" s="48">
        <f t="shared" si="145"/>
        <v>10384</v>
      </c>
    </row>
    <row r="8892" spans="1:6" x14ac:dyDescent="0.3">
      <c r="A8892" s="45">
        <v>43841</v>
      </c>
      <c r="B8892" s="39" t="s">
        <v>4869</v>
      </c>
      <c r="C8892" s="5" t="s">
        <v>40</v>
      </c>
      <c r="D8892" s="43">
        <v>4152</v>
      </c>
      <c r="E8892" s="43"/>
      <c r="F8892" s="48">
        <f t="shared" si="145"/>
        <v>6232</v>
      </c>
    </row>
    <row r="8893" spans="1:6" x14ac:dyDescent="0.3">
      <c r="A8893" s="45">
        <v>43841</v>
      </c>
      <c r="B8893" s="39" t="s">
        <v>14</v>
      </c>
      <c r="C8893" s="5" t="s">
        <v>640</v>
      </c>
      <c r="D8893" s="43">
        <v>1000</v>
      </c>
      <c r="E8893" s="43"/>
      <c r="F8893" s="48">
        <f t="shared" si="145"/>
        <v>5232</v>
      </c>
    </row>
    <row r="8894" spans="1:6" x14ac:dyDescent="0.3">
      <c r="A8894" s="45">
        <v>43841</v>
      </c>
      <c r="B8894" s="739" t="s">
        <v>3444</v>
      </c>
      <c r="C8894" s="739"/>
      <c r="D8894" s="739"/>
      <c r="E8894" s="43">
        <v>100000</v>
      </c>
      <c r="F8894" s="48">
        <f t="shared" si="145"/>
        <v>105232</v>
      </c>
    </row>
    <row r="8895" spans="1:6" x14ac:dyDescent="0.3">
      <c r="A8895" s="45">
        <v>43841</v>
      </c>
      <c r="B8895" s="39" t="s">
        <v>541</v>
      </c>
      <c r="C8895" s="5" t="s">
        <v>6955</v>
      </c>
      <c r="D8895" s="43">
        <v>11410</v>
      </c>
      <c r="E8895" s="43"/>
      <c r="F8895" s="48">
        <f t="shared" si="145"/>
        <v>93822</v>
      </c>
    </row>
    <row r="8896" spans="1:6" x14ac:dyDescent="0.3">
      <c r="A8896" s="45">
        <v>43841</v>
      </c>
      <c r="B8896" s="73" t="s">
        <v>25</v>
      </c>
      <c r="C8896" s="5" t="s">
        <v>4276</v>
      </c>
      <c r="D8896" s="43">
        <v>4988</v>
      </c>
      <c r="E8896" s="43"/>
      <c r="F8896" s="48">
        <f t="shared" si="145"/>
        <v>88834</v>
      </c>
    </row>
    <row r="8897" spans="1:14" x14ac:dyDescent="0.3">
      <c r="A8897" s="45">
        <v>43841</v>
      </c>
      <c r="B8897" s="73" t="s">
        <v>6430</v>
      </c>
      <c r="C8897" s="5" t="s">
        <v>4615</v>
      </c>
      <c r="D8897" s="43">
        <v>6000</v>
      </c>
      <c r="E8897" s="43"/>
      <c r="F8897" s="48">
        <f t="shared" si="145"/>
        <v>82834</v>
      </c>
    </row>
    <row r="8898" spans="1:14" x14ac:dyDescent="0.3">
      <c r="A8898" s="45">
        <v>43841</v>
      </c>
      <c r="B8898" s="5" t="s">
        <v>5930</v>
      </c>
      <c r="C8898" s="5"/>
      <c r="D8898" s="43">
        <v>54480</v>
      </c>
      <c r="E8898" s="43"/>
      <c r="F8898" s="48">
        <f t="shared" si="145"/>
        <v>28354</v>
      </c>
    </row>
    <row r="8899" spans="1:14" x14ac:dyDescent="0.3">
      <c r="A8899" s="45">
        <v>43842</v>
      </c>
      <c r="B8899" s="5" t="s">
        <v>14</v>
      </c>
      <c r="C8899" s="5" t="s">
        <v>294</v>
      </c>
      <c r="D8899" s="43">
        <v>20000</v>
      </c>
      <c r="E8899" s="43"/>
      <c r="F8899" s="48">
        <f t="shared" si="145"/>
        <v>8354</v>
      </c>
    </row>
    <row r="8900" spans="1:14" x14ac:dyDescent="0.3">
      <c r="A8900" s="45">
        <v>43842</v>
      </c>
      <c r="B8900" s="5" t="s">
        <v>6908</v>
      </c>
      <c r="C8900" s="5" t="s">
        <v>2013</v>
      </c>
      <c r="D8900" s="43">
        <v>200</v>
      </c>
      <c r="E8900" s="43"/>
      <c r="F8900" s="48">
        <f t="shared" si="145"/>
        <v>8154</v>
      </c>
    </row>
    <row r="8901" spans="1:14" x14ac:dyDescent="0.3">
      <c r="A8901" s="45">
        <v>43842</v>
      </c>
      <c r="B8901" s="739" t="s">
        <v>3444</v>
      </c>
      <c r="C8901" s="739"/>
      <c r="D8901" s="739"/>
      <c r="E8901" s="43">
        <v>50000</v>
      </c>
      <c r="F8901" s="48">
        <f t="shared" si="145"/>
        <v>58154</v>
      </c>
    </row>
    <row r="8902" spans="1:14" x14ac:dyDescent="0.3">
      <c r="A8902" s="45">
        <v>43842</v>
      </c>
      <c r="B8902" s="5" t="s">
        <v>6957</v>
      </c>
      <c r="C8902" s="5" t="s">
        <v>294</v>
      </c>
      <c r="D8902" s="43">
        <v>15000</v>
      </c>
      <c r="E8902" s="43"/>
      <c r="F8902" s="48">
        <f t="shared" si="145"/>
        <v>43154</v>
      </c>
    </row>
    <row r="8903" spans="1:14" x14ac:dyDescent="0.3">
      <c r="A8903" s="45">
        <v>43842</v>
      </c>
      <c r="B8903" s="5" t="s">
        <v>5156</v>
      </c>
      <c r="C8903" s="5" t="s">
        <v>6958</v>
      </c>
      <c r="D8903" s="43">
        <v>500</v>
      </c>
      <c r="E8903" s="43"/>
      <c r="F8903" s="48">
        <f t="shared" si="145"/>
        <v>42654</v>
      </c>
    </row>
    <row r="8904" spans="1:14" x14ac:dyDescent="0.3">
      <c r="A8904" s="45">
        <v>43842</v>
      </c>
      <c r="B8904" s="5" t="s">
        <v>6959</v>
      </c>
      <c r="C8904" s="5" t="s">
        <v>6960</v>
      </c>
      <c r="D8904" s="43">
        <v>500</v>
      </c>
      <c r="E8904" s="43"/>
      <c r="F8904" s="48">
        <f t="shared" si="145"/>
        <v>42154</v>
      </c>
      <c r="N8904" s="93">
        <f>J8906+I8906</f>
        <v>0</v>
      </c>
    </row>
    <row r="8905" spans="1:14" x14ac:dyDescent="0.3">
      <c r="A8905" s="45">
        <v>43842</v>
      </c>
      <c r="B8905" s="5" t="s">
        <v>1787</v>
      </c>
      <c r="C8905" s="5" t="s">
        <v>6961</v>
      </c>
      <c r="D8905" s="43">
        <v>2500</v>
      </c>
      <c r="E8905" s="43"/>
      <c r="F8905" s="48">
        <f t="shared" si="145"/>
        <v>39654</v>
      </c>
      <c r="K8905" s="93"/>
    </row>
    <row r="8906" spans="1:14" x14ac:dyDescent="0.3">
      <c r="A8906" s="45">
        <v>43842</v>
      </c>
      <c r="B8906" s="5" t="s">
        <v>541</v>
      </c>
      <c r="C8906" s="5" t="s">
        <v>6962</v>
      </c>
      <c r="D8906" s="43">
        <v>15000</v>
      </c>
      <c r="E8906" s="43"/>
      <c r="F8906" s="48">
        <f t="shared" si="145"/>
        <v>24654</v>
      </c>
      <c r="K8906" s="52"/>
    </row>
    <row r="8907" spans="1:14" x14ac:dyDescent="0.3">
      <c r="A8907" s="45">
        <v>43843</v>
      </c>
      <c r="B8907" s="739" t="s">
        <v>3444</v>
      </c>
      <c r="C8907" s="739"/>
      <c r="D8907" s="739"/>
      <c r="E8907" s="43">
        <v>150000</v>
      </c>
      <c r="F8907" s="48">
        <f t="shared" si="145"/>
        <v>174654</v>
      </c>
      <c r="K8907" s="93"/>
    </row>
    <row r="8908" spans="1:14" x14ac:dyDescent="0.3">
      <c r="A8908" s="45">
        <v>43843</v>
      </c>
      <c r="B8908" s="5" t="s">
        <v>14</v>
      </c>
      <c r="C8908" s="5" t="s">
        <v>294</v>
      </c>
      <c r="D8908" s="43">
        <v>15000</v>
      </c>
      <c r="E8908" s="43"/>
      <c r="F8908" s="48">
        <f t="shared" si="145"/>
        <v>159654</v>
      </c>
      <c r="K8908" s="93"/>
    </row>
    <row r="8909" spans="1:14" x14ac:dyDescent="0.3">
      <c r="A8909" s="45">
        <v>43843</v>
      </c>
      <c r="B8909" s="5" t="s">
        <v>1012</v>
      </c>
      <c r="C8909" s="5" t="s">
        <v>6963</v>
      </c>
      <c r="D8909" s="43">
        <v>2000</v>
      </c>
      <c r="E8909" s="43"/>
      <c r="F8909" s="48">
        <f t="shared" si="145"/>
        <v>157654</v>
      </c>
    </row>
    <row r="8910" spans="1:14" x14ac:dyDescent="0.3">
      <c r="A8910" s="45">
        <v>43843</v>
      </c>
      <c r="B8910" s="5" t="s">
        <v>110</v>
      </c>
      <c r="C8910" s="5" t="s">
        <v>3172</v>
      </c>
      <c r="D8910" s="43">
        <v>10500</v>
      </c>
      <c r="E8910" s="43"/>
      <c r="F8910" s="48">
        <f t="shared" si="145"/>
        <v>147154</v>
      </c>
      <c r="K8910" s="93"/>
    </row>
    <row r="8911" spans="1:14" x14ac:dyDescent="0.3">
      <c r="A8911" s="45">
        <v>43845</v>
      </c>
      <c r="B8911" s="5" t="s">
        <v>0</v>
      </c>
      <c r="C8911" s="5" t="s">
        <v>6965</v>
      </c>
      <c r="D8911" s="43">
        <v>20000</v>
      </c>
      <c r="E8911" s="43"/>
      <c r="F8911" s="48">
        <f t="shared" si="145"/>
        <v>127154</v>
      </c>
    </row>
    <row r="8912" spans="1:14" x14ac:dyDescent="0.3">
      <c r="A8912" s="45">
        <v>43845</v>
      </c>
      <c r="B8912" s="5" t="s">
        <v>1787</v>
      </c>
      <c r="C8912" s="5" t="s">
        <v>6966</v>
      </c>
      <c r="D8912" s="43">
        <v>1200</v>
      </c>
      <c r="E8912" s="43"/>
      <c r="F8912" s="48">
        <f t="shared" ref="F8912:F8975" si="146">F8911+E8912-D8912</f>
        <v>125954</v>
      </c>
      <c r="K8912" s="93"/>
    </row>
    <row r="8913" spans="1:6" x14ac:dyDescent="0.3">
      <c r="A8913" s="45">
        <v>43845</v>
      </c>
      <c r="B8913" s="5" t="s">
        <v>1837</v>
      </c>
      <c r="C8913" s="5" t="s">
        <v>2013</v>
      </c>
      <c r="D8913" s="43">
        <v>1075</v>
      </c>
      <c r="E8913" s="43"/>
      <c r="F8913" s="48">
        <f t="shared" si="146"/>
        <v>124879</v>
      </c>
    </row>
    <row r="8914" spans="1:6" x14ac:dyDescent="0.3">
      <c r="A8914" s="45">
        <v>43845</v>
      </c>
      <c r="B8914" s="5" t="s">
        <v>1837</v>
      </c>
      <c r="C8914" s="5" t="s">
        <v>6967</v>
      </c>
      <c r="D8914" s="43">
        <v>1600</v>
      </c>
      <c r="E8914" s="43"/>
      <c r="F8914" s="48">
        <f t="shared" si="146"/>
        <v>123279</v>
      </c>
    </row>
    <row r="8915" spans="1:6" x14ac:dyDescent="0.3">
      <c r="A8915" s="45">
        <v>43845</v>
      </c>
      <c r="B8915" s="5" t="s">
        <v>84</v>
      </c>
      <c r="C8915" s="5" t="s">
        <v>6968</v>
      </c>
      <c r="D8915" s="43">
        <v>5000</v>
      </c>
      <c r="E8915" s="43"/>
      <c r="F8915" s="48">
        <f t="shared" si="146"/>
        <v>118279</v>
      </c>
    </row>
    <row r="8916" spans="1:6" x14ac:dyDescent="0.3">
      <c r="A8916" s="45">
        <v>43845</v>
      </c>
      <c r="B8916" s="5" t="s">
        <v>54</v>
      </c>
      <c r="C8916" s="5" t="s">
        <v>6969</v>
      </c>
      <c r="D8916" s="43">
        <v>10451</v>
      </c>
      <c r="E8916" s="43"/>
      <c r="F8916" s="48">
        <f t="shared" si="146"/>
        <v>107828</v>
      </c>
    </row>
    <row r="8917" spans="1:6" x14ac:dyDescent="0.3">
      <c r="A8917" s="45">
        <v>43845</v>
      </c>
      <c r="B8917" s="5" t="s">
        <v>1616</v>
      </c>
      <c r="C8917" s="5" t="s">
        <v>6970</v>
      </c>
      <c r="D8917" s="43">
        <v>3000</v>
      </c>
      <c r="E8917" s="43"/>
      <c r="F8917" s="48">
        <f t="shared" si="146"/>
        <v>104828</v>
      </c>
    </row>
    <row r="8918" spans="1:6" x14ac:dyDescent="0.3">
      <c r="A8918" s="45">
        <v>43845</v>
      </c>
      <c r="B8918" s="5" t="s">
        <v>110</v>
      </c>
      <c r="C8918" s="5" t="s">
        <v>640</v>
      </c>
      <c r="D8918" s="43">
        <v>2000</v>
      </c>
      <c r="E8918" s="43"/>
      <c r="F8918" s="48">
        <f t="shared" si="146"/>
        <v>102828</v>
      </c>
    </row>
    <row r="8919" spans="1:6" x14ac:dyDescent="0.3">
      <c r="A8919" s="45">
        <v>43845</v>
      </c>
      <c r="B8919" s="5" t="s">
        <v>6430</v>
      </c>
      <c r="C8919" s="5" t="s">
        <v>3557</v>
      </c>
      <c r="D8919" s="43">
        <v>5000</v>
      </c>
      <c r="E8919" s="43"/>
      <c r="F8919" s="48">
        <f t="shared" si="146"/>
        <v>97828</v>
      </c>
    </row>
    <row r="8920" spans="1:6" x14ac:dyDescent="0.3">
      <c r="A8920" s="45">
        <v>43846</v>
      </c>
      <c r="B8920" s="5" t="s">
        <v>6971</v>
      </c>
      <c r="C8920" s="5" t="s">
        <v>6972</v>
      </c>
      <c r="D8920" s="43">
        <v>15000</v>
      </c>
      <c r="E8920" s="43"/>
      <c r="F8920" s="48">
        <f t="shared" si="146"/>
        <v>82828</v>
      </c>
    </row>
    <row r="8921" spans="1:6" x14ac:dyDescent="0.3">
      <c r="A8921" s="45">
        <v>43846</v>
      </c>
      <c r="B8921" s="5" t="s">
        <v>14</v>
      </c>
      <c r="C8921" s="5" t="s">
        <v>294</v>
      </c>
      <c r="D8921" s="43">
        <v>10000</v>
      </c>
      <c r="E8921" s="43"/>
      <c r="F8921" s="48">
        <f t="shared" si="146"/>
        <v>72828</v>
      </c>
    </row>
    <row r="8922" spans="1:6" x14ac:dyDescent="0.3">
      <c r="A8922" s="45">
        <v>43846</v>
      </c>
      <c r="B8922" s="5" t="s">
        <v>693</v>
      </c>
      <c r="C8922" s="5" t="s">
        <v>7013</v>
      </c>
      <c r="D8922" s="43">
        <v>35000</v>
      </c>
      <c r="E8922" s="43"/>
      <c r="F8922" s="48">
        <f t="shared" si="146"/>
        <v>37828</v>
      </c>
    </row>
    <row r="8923" spans="1:6" x14ac:dyDescent="0.3">
      <c r="A8923" s="45">
        <v>43846</v>
      </c>
      <c r="B8923" s="5" t="s">
        <v>6576</v>
      </c>
      <c r="C8923" s="5" t="s">
        <v>6973</v>
      </c>
      <c r="D8923" s="43">
        <v>12600</v>
      </c>
      <c r="E8923" s="43"/>
      <c r="F8923" s="48">
        <f t="shared" si="146"/>
        <v>25228</v>
      </c>
    </row>
    <row r="8924" spans="1:6" x14ac:dyDescent="0.3">
      <c r="A8924" s="45">
        <v>43846</v>
      </c>
      <c r="B8924" s="5" t="s">
        <v>0</v>
      </c>
      <c r="C8924" s="5" t="s">
        <v>6965</v>
      </c>
      <c r="D8924" s="43">
        <v>15000</v>
      </c>
      <c r="E8924" s="43"/>
      <c r="F8924" s="48">
        <f t="shared" si="146"/>
        <v>10228</v>
      </c>
    </row>
    <row r="8925" spans="1:6" x14ac:dyDescent="0.3">
      <c r="A8925" s="45">
        <v>44213</v>
      </c>
      <c r="B8925" s="5" t="s">
        <v>541</v>
      </c>
      <c r="C8925" s="5" t="s">
        <v>7002</v>
      </c>
      <c r="D8925" s="43">
        <v>600</v>
      </c>
      <c r="E8925" s="43"/>
      <c r="F8925" s="48">
        <f t="shared" si="146"/>
        <v>9628</v>
      </c>
    </row>
    <row r="8926" spans="1:6" x14ac:dyDescent="0.3">
      <c r="A8926" s="45">
        <v>44213</v>
      </c>
      <c r="B8926" s="5" t="s">
        <v>1787</v>
      </c>
      <c r="C8926" s="5" t="s">
        <v>7003</v>
      </c>
      <c r="D8926" s="43">
        <v>2200</v>
      </c>
      <c r="E8926" s="43"/>
      <c r="F8926" s="48">
        <f t="shared" si="146"/>
        <v>7428</v>
      </c>
    </row>
    <row r="8927" spans="1:6" x14ac:dyDescent="0.3">
      <c r="A8927" s="45">
        <v>44213</v>
      </c>
      <c r="B8927" s="123" t="s">
        <v>1012</v>
      </c>
      <c r="C8927" s="123" t="s">
        <v>6928</v>
      </c>
      <c r="D8927" s="52">
        <v>1500</v>
      </c>
      <c r="F8927" s="48">
        <f t="shared" si="146"/>
        <v>5928</v>
      </c>
    </row>
    <row r="8928" spans="1:6" x14ac:dyDescent="0.3">
      <c r="A8928" s="45">
        <v>44213</v>
      </c>
      <c r="B8928" s="123" t="s">
        <v>25</v>
      </c>
      <c r="C8928" s="123" t="s">
        <v>4276</v>
      </c>
      <c r="D8928" s="52">
        <f>1400+100+400+120+280+150+130+20+120+150+40+120+270+60+40+160+270+40+280</f>
        <v>4150</v>
      </c>
      <c r="F8928" s="48">
        <f t="shared" si="146"/>
        <v>1778</v>
      </c>
    </row>
    <row r="8929" spans="1:6" x14ac:dyDescent="0.3">
      <c r="A8929" s="45">
        <v>44213</v>
      </c>
      <c r="B8929" s="123" t="s">
        <v>5156</v>
      </c>
      <c r="C8929" s="123" t="s">
        <v>6926</v>
      </c>
      <c r="D8929" s="52">
        <v>450</v>
      </c>
      <c r="F8929" s="48">
        <f t="shared" si="146"/>
        <v>1328</v>
      </c>
    </row>
    <row r="8930" spans="1:6" x14ac:dyDescent="0.3">
      <c r="A8930" s="45">
        <v>43842</v>
      </c>
      <c r="B8930" s="739" t="s">
        <v>5379</v>
      </c>
      <c r="C8930" s="739"/>
      <c r="D8930" s="739"/>
      <c r="E8930" s="43">
        <v>50000</v>
      </c>
      <c r="F8930" s="48">
        <f t="shared" si="146"/>
        <v>51328</v>
      </c>
    </row>
    <row r="8931" spans="1:6" x14ac:dyDescent="0.3">
      <c r="A8931" s="45">
        <v>44213</v>
      </c>
      <c r="B8931" s="5" t="s">
        <v>5938</v>
      </c>
      <c r="C8931" s="5" t="s">
        <v>7011</v>
      </c>
      <c r="D8931" s="43">
        <v>20000</v>
      </c>
      <c r="E8931" s="43"/>
      <c r="F8931" s="48">
        <f t="shared" si="146"/>
        <v>31328</v>
      </c>
    </row>
    <row r="8932" spans="1:6" ht="56.25" x14ac:dyDescent="0.3">
      <c r="A8932" s="45">
        <v>44213</v>
      </c>
      <c r="B8932" s="5" t="s">
        <v>1074</v>
      </c>
      <c r="C8932" s="92" t="s">
        <v>7012</v>
      </c>
      <c r="D8932" s="43">
        <v>11870</v>
      </c>
      <c r="E8932" s="43"/>
      <c r="F8932" s="48">
        <f t="shared" si="146"/>
        <v>19458</v>
      </c>
    </row>
    <row r="8933" spans="1:6" x14ac:dyDescent="0.3">
      <c r="A8933" s="45">
        <v>44213</v>
      </c>
      <c r="B8933" s="5" t="s">
        <v>25</v>
      </c>
      <c r="C8933" s="5" t="s">
        <v>2013</v>
      </c>
      <c r="D8933" s="43">
        <v>150</v>
      </c>
      <c r="E8933" s="43"/>
      <c r="F8933" s="48">
        <f t="shared" si="146"/>
        <v>19308</v>
      </c>
    </row>
    <row r="8934" spans="1:6" x14ac:dyDescent="0.3">
      <c r="A8934" s="45">
        <v>44213</v>
      </c>
      <c r="B8934" s="5" t="s">
        <v>4400</v>
      </c>
      <c r="C8934" s="5" t="s">
        <v>7011</v>
      </c>
      <c r="D8934" s="43">
        <v>3000</v>
      </c>
      <c r="E8934" s="43"/>
      <c r="F8934" s="48">
        <f t="shared" si="146"/>
        <v>16308</v>
      </c>
    </row>
    <row r="8935" spans="1:6" x14ac:dyDescent="0.3">
      <c r="A8935" s="45">
        <v>44213</v>
      </c>
      <c r="B8935" s="41" t="s">
        <v>1787</v>
      </c>
      <c r="C8935" s="41" t="s">
        <v>4399</v>
      </c>
      <c r="D8935" s="42">
        <v>800</v>
      </c>
      <c r="E8935" s="43"/>
      <c r="F8935" s="48">
        <f t="shared" si="146"/>
        <v>15508</v>
      </c>
    </row>
    <row r="8936" spans="1:6" x14ac:dyDescent="0.3">
      <c r="A8936" s="45">
        <v>44245</v>
      </c>
      <c r="B8936" s="5" t="s">
        <v>5156</v>
      </c>
      <c r="C8936" s="5" t="s">
        <v>6926</v>
      </c>
      <c r="D8936" s="43">
        <v>100</v>
      </c>
      <c r="E8936" s="43"/>
      <c r="F8936" s="48">
        <f t="shared" si="146"/>
        <v>15408</v>
      </c>
    </row>
    <row r="8937" spans="1:6" x14ac:dyDescent="0.3">
      <c r="A8937" s="45">
        <v>44245</v>
      </c>
      <c r="B8937" s="5" t="s">
        <v>84</v>
      </c>
      <c r="C8937" s="5" t="s">
        <v>6948</v>
      </c>
      <c r="D8937" s="43">
        <v>4000</v>
      </c>
      <c r="E8937" s="43"/>
      <c r="F8937" s="48">
        <f t="shared" si="146"/>
        <v>11408</v>
      </c>
    </row>
    <row r="8938" spans="1:6" x14ac:dyDescent="0.3">
      <c r="A8938" s="45">
        <v>44245</v>
      </c>
      <c r="B8938" s="5" t="s">
        <v>84</v>
      </c>
      <c r="C8938" s="5" t="s">
        <v>7014</v>
      </c>
      <c r="D8938" s="43">
        <v>2000</v>
      </c>
      <c r="E8938" s="43"/>
      <c r="F8938" s="48">
        <f t="shared" si="146"/>
        <v>9408</v>
      </c>
    </row>
    <row r="8939" spans="1:6" x14ac:dyDescent="0.3">
      <c r="A8939" s="45">
        <v>44245</v>
      </c>
      <c r="B8939" s="5" t="s">
        <v>0</v>
      </c>
      <c r="C8939" s="5" t="s">
        <v>294</v>
      </c>
      <c r="D8939" s="43">
        <v>3000</v>
      </c>
      <c r="E8939" s="43"/>
      <c r="F8939" s="48">
        <f t="shared" si="146"/>
        <v>6408</v>
      </c>
    </row>
    <row r="8940" spans="1:6" x14ac:dyDescent="0.3">
      <c r="A8940" s="45">
        <v>43880</v>
      </c>
      <c r="B8940" s="749" t="s">
        <v>5431</v>
      </c>
      <c r="C8940" s="750"/>
      <c r="D8940" s="751"/>
      <c r="E8940" s="43">
        <v>220000</v>
      </c>
      <c r="F8940" s="48">
        <f>F8939+E8940-D8940</f>
        <v>226408</v>
      </c>
    </row>
    <row r="8941" spans="1:6" x14ac:dyDescent="0.3">
      <c r="A8941" s="45">
        <v>43880</v>
      </c>
      <c r="B8941" s="5" t="s">
        <v>0</v>
      </c>
      <c r="C8941" s="5" t="s">
        <v>5476</v>
      </c>
      <c r="D8941" s="43">
        <v>30000</v>
      </c>
      <c r="E8941" s="43"/>
      <c r="F8941" s="48">
        <f>F8940+E8941-D8941</f>
        <v>196408</v>
      </c>
    </row>
    <row r="8942" spans="1:6" x14ac:dyDescent="0.3">
      <c r="A8942" s="45">
        <v>43880</v>
      </c>
      <c r="B8942" s="5" t="s">
        <v>5709</v>
      </c>
      <c r="C8942" s="5" t="s">
        <v>4615</v>
      </c>
      <c r="D8942" s="43">
        <v>20000</v>
      </c>
      <c r="E8942" s="43"/>
      <c r="F8942" s="48">
        <f t="shared" si="146"/>
        <v>176408</v>
      </c>
    </row>
    <row r="8943" spans="1:6" x14ac:dyDescent="0.3">
      <c r="A8943" s="45">
        <v>43880</v>
      </c>
      <c r="B8943" s="5" t="s">
        <v>7017</v>
      </c>
      <c r="C8943" s="5" t="s">
        <v>5508</v>
      </c>
      <c r="D8943" s="43">
        <v>100000</v>
      </c>
      <c r="E8943" s="43"/>
      <c r="F8943" s="48">
        <f t="shared" si="146"/>
        <v>76408</v>
      </c>
    </row>
    <row r="8944" spans="1:6" x14ac:dyDescent="0.3">
      <c r="A8944" s="45">
        <v>43880</v>
      </c>
      <c r="B8944" s="5" t="s">
        <v>4055</v>
      </c>
      <c r="C8944" s="5" t="s">
        <v>7018</v>
      </c>
      <c r="D8944" s="43">
        <v>30000</v>
      </c>
      <c r="E8944" s="43"/>
      <c r="F8944" s="48">
        <f t="shared" si="146"/>
        <v>46408</v>
      </c>
    </row>
    <row r="8945" spans="1:6" x14ac:dyDescent="0.3">
      <c r="A8945" s="45">
        <v>43881</v>
      </c>
      <c r="B8945" s="5" t="s">
        <v>0</v>
      </c>
      <c r="C8945" s="5" t="s">
        <v>294</v>
      </c>
      <c r="D8945" s="43">
        <v>35000</v>
      </c>
      <c r="E8945" s="43"/>
      <c r="F8945" s="48">
        <f t="shared" si="146"/>
        <v>11408</v>
      </c>
    </row>
    <row r="8946" spans="1:6" x14ac:dyDescent="0.3">
      <c r="A8946" s="45">
        <v>43881</v>
      </c>
      <c r="B8946" s="5" t="s">
        <v>6959</v>
      </c>
      <c r="C8946" s="5" t="s">
        <v>7021</v>
      </c>
      <c r="D8946" s="43">
        <f>300+200+170</f>
        <v>670</v>
      </c>
      <c r="E8946" s="43"/>
      <c r="F8946" s="48">
        <f t="shared" si="146"/>
        <v>10738</v>
      </c>
    </row>
    <row r="8947" spans="1:6" x14ac:dyDescent="0.3">
      <c r="A8947" s="45">
        <v>43881</v>
      </c>
      <c r="B8947" s="749" t="s">
        <v>5379</v>
      </c>
      <c r="C8947" s="750"/>
      <c r="D8947" s="751"/>
      <c r="E8947" s="43">
        <v>200000</v>
      </c>
      <c r="F8947" s="48">
        <f t="shared" si="146"/>
        <v>210738</v>
      </c>
    </row>
    <row r="8948" spans="1:6" x14ac:dyDescent="0.3">
      <c r="A8948" s="45">
        <v>43881</v>
      </c>
      <c r="B8948" s="5" t="s">
        <v>6430</v>
      </c>
      <c r="C8948" s="5" t="s">
        <v>7024</v>
      </c>
      <c r="D8948" s="43">
        <v>8000</v>
      </c>
      <c r="E8948" s="43"/>
      <c r="F8948" s="48">
        <f t="shared" si="146"/>
        <v>202738</v>
      </c>
    </row>
    <row r="8949" spans="1:6" x14ac:dyDescent="0.3">
      <c r="A8949" s="45">
        <v>43881</v>
      </c>
      <c r="B8949" s="5" t="s">
        <v>1012</v>
      </c>
      <c r="C8949" s="5" t="s">
        <v>7025</v>
      </c>
      <c r="D8949" s="43">
        <v>10000</v>
      </c>
      <c r="E8949" s="43"/>
      <c r="F8949" s="48">
        <f t="shared" si="146"/>
        <v>192738</v>
      </c>
    </row>
    <row r="8950" spans="1:6" x14ac:dyDescent="0.3">
      <c r="A8950" s="45">
        <v>43883</v>
      </c>
      <c r="B8950" s="5" t="s">
        <v>1787</v>
      </c>
      <c r="C8950" s="5" t="s">
        <v>7026</v>
      </c>
      <c r="D8950" s="43">
        <v>1000</v>
      </c>
      <c r="E8950" s="43"/>
      <c r="F8950" s="48">
        <f t="shared" si="146"/>
        <v>191738</v>
      </c>
    </row>
    <row r="8951" spans="1:6" x14ac:dyDescent="0.3">
      <c r="A8951" s="45">
        <v>43883</v>
      </c>
      <c r="B8951" s="5" t="s">
        <v>56</v>
      </c>
      <c r="C8951" s="5" t="s">
        <v>7027</v>
      </c>
      <c r="D8951" s="43">
        <v>400</v>
      </c>
      <c r="E8951" s="43"/>
      <c r="F8951" s="48">
        <f t="shared" si="146"/>
        <v>191338</v>
      </c>
    </row>
    <row r="8952" spans="1:6" x14ac:dyDescent="0.3">
      <c r="A8952" s="45">
        <v>43883</v>
      </c>
      <c r="B8952" s="5" t="s">
        <v>7031</v>
      </c>
      <c r="C8952" s="5" t="s">
        <v>7032</v>
      </c>
      <c r="D8952" s="43">
        <v>115000</v>
      </c>
      <c r="E8952" s="43"/>
      <c r="F8952" s="48">
        <f t="shared" si="146"/>
        <v>76338</v>
      </c>
    </row>
    <row r="8953" spans="1:6" x14ac:dyDescent="0.3">
      <c r="A8953" s="45">
        <v>43883</v>
      </c>
      <c r="B8953" s="5" t="s">
        <v>6430</v>
      </c>
      <c r="C8953" s="5" t="s">
        <v>294</v>
      </c>
      <c r="D8953" s="43">
        <v>4000</v>
      </c>
      <c r="E8953" s="43"/>
      <c r="F8953" s="48">
        <f t="shared" si="146"/>
        <v>72338</v>
      </c>
    </row>
    <row r="8954" spans="1:6" x14ac:dyDescent="0.3">
      <c r="A8954" s="45">
        <v>43883</v>
      </c>
      <c r="B8954" s="5" t="s">
        <v>18</v>
      </c>
      <c r="C8954" s="5" t="s">
        <v>294</v>
      </c>
      <c r="D8954" s="43">
        <v>5000</v>
      </c>
      <c r="E8954" s="43"/>
      <c r="F8954" s="48">
        <f t="shared" si="146"/>
        <v>67338</v>
      </c>
    </row>
    <row r="8955" spans="1:6" x14ac:dyDescent="0.3">
      <c r="A8955" s="45">
        <v>43884</v>
      </c>
      <c r="B8955" s="5" t="s">
        <v>1189</v>
      </c>
      <c r="C8955" s="5" t="s">
        <v>7028</v>
      </c>
      <c r="D8955" s="43">
        <v>1000</v>
      </c>
      <c r="E8955" s="43"/>
      <c r="F8955" s="48">
        <f t="shared" si="146"/>
        <v>66338</v>
      </c>
    </row>
    <row r="8956" spans="1:6" x14ac:dyDescent="0.3">
      <c r="A8956" s="45">
        <v>43884</v>
      </c>
      <c r="B8956" s="5" t="s">
        <v>1787</v>
      </c>
      <c r="C8956" s="5" t="s">
        <v>7034</v>
      </c>
      <c r="D8956" s="43">
        <v>1000</v>
      </c>
      <c r="E8956" s="43"/>
      <c r="F8956" s="48">
        <f t="shared" si="146"/>
        <v>65338</v>
      </c>
    </row>
    <row r="8957" spans="1:6" x14ac:dyDescent="0.3">
      <c r="A8957" s="45">
        <v>43884</v>
      </c>
      <c r="B8957" s="5" t="s">
        <v>5709</v>
      </c>
      <c r="C8957" s="5" t="s">
        <v>7029</v>
      </c>
      <c r="D8957" s="43">
        <v>2150</v>
      </c>
      <c r="E8957" s="43"/>
      <c r="F8957" s="48">
        <f t="shared" si="146"/>
        <v>63188</v>
      </c>
    </row>
    <row r="8958" spans="1:6" ht="56.25" x14ac:dyDescent="0.3">
      <c r="A8958" s="45">
        <v>43884</v>
      </c>
      <c r="B8958" s="44" t="s">
        <v>5709</v>
      </c>
      <c r="C8958" s="124" t="s">
        <v>7030</v>
      </c>
      <c r="D8958" s="28">
        <f>13000+3000</f>
        <v>16000</v>
      </c>
      <c r="E8958" s="28"/>
      <c r="F8958" s="48">
        <f t="shared" si="146"/>
        <v>47188</v>
      </c>
    </row>
    <row r="8959" spans="1:6" x14ac:dyDescent="0.3">
      <c r="A8959" s="45">
        <v>43884</v>
      </c>
      <c r="B8959" s="5" t="s">
        <v>1189</v>
      </c>
      <c r="C8959" s="5" t="s">
        <v>294</v>
      </c>
      <c r="D8959" s="43">
        <v>1000</v>
      </c>
      <c r="E8959" s="43"/>
      <c r="F8959" s="48">
        <f t="shared" si="146"/>
        <v>46188</v>
      </c>
    </row>
    <row r="8960" spans="1:6" x14ac:dyDescent="0.3">
      <c r="A8960" s="45">
        <v>43884</v>
      </c>
      <c r="B8960" s="5" t="s">
        <v>1787</v>
      </c>
      <c r="C8960" s="5" t="s">
        <v>7033</v>
      </c>
      <c r="D8960" s="43">
        <v>850</v>
      </c>
      <c r="E8960" s="43"/>
      <c r="F8960" s="48">
        <f t="shared" si="146"/>
        <v>45338</v>
      </c>
    </row>
    <row r="8961" spans="1:6" x14ac:dyDescent="0.3">
      <c r="A8961" s="45">
        <v>43884</v>
      </c>
      <c r="B8961" s="5" t="s">
        <v>1189</v>
      </c>
      <c r="C8961" s="5" t="s">
        <v>294</v>
      </c>
      <c r="D8961" s="43">
        <v>3000</v>
      </c>
      <c r="E8961" s="43"/>
      <c r="F8961" s="48">
        <f t="shared" si="146"/>
        <v>42338</v>
      </c>
    </row>
    <row r="8962" spans="1:6" x14ac:dyDescent="0.3">
      <c r="A8962" s="45">
        <v>43885</v>
      </c>
      <c r="B8962" s="5" t="s">
        <v>25</v>
      </c>
      <c r="C8962" s="5" t="s">
        <v>4276</v>
      </c>
      <c r="D8962" s="43">
        <f>1400+300+500+95+50+240+140+60+280+40+120+80+280+60+320+80+40+50+270+320+20+330+15</f>
        <v>5090</v>
      </c>
      <c r="E8962" s="43"/>
      <c r="F8962" s="48">
        <f t="shared" si="146"/>
        <v>37248</v>
      </c>
    </row>
    <row r="8963" spans="1:6" x14ac:dyDescent="0.3">
      <c r="A8963" s="45">
        <v>43885</v>
      </c>
      <c r="B8963" s="5" t="s">
        <v>84</v>
      </c>
      <c r="C8963" s="5" t="s">
        <v>7036</v>
      </c>
      <c r="D8963" s="43">
        <v>10000</v>
      </c>
      <c r="E8963" s="43"/>
      <c r="F8963" s="48">
        <f t="shared" si="146"/>
        <v>27248</v>
      </c>
    </row>
    <row r="8964" spans="1:6" x14ac:dyDescent="0.3">
      <c r="A8964" s="45">
        <v>43885</v>
      </c>
      <c r="B8964" s="5" t="s">
        <v>5930</v>
      </c>
      <c r="C8964" s="5" t="s">
        <v>7037</v>
      </c>
      <c r="D8964" s="43">
        <f>183+71</f>
        <v>254</v>
      </c>
      <c r="E8964" s="43"/>
      <c r="F8964" s="48">
        <f t="shared" si="146"/>
        <v>26994</v>
      </c>
    </row>
    <row r="8965" spans="1:6" ht="37.5" x14ac:dyDescent="0.3">
      <c r="A8965" s="45">
        <v>43885</v>
      </c>
      <c r="B8965" s="44" t="s">
        <v>25</v>
      </c>
      <c r="C8965" s="124" t="s">
        <v>7038</v>
      </c>
      <c r="D8965" s="28">
        <f>100+20+140+100+100+20</f>
        <v>480</v>
      </c>
      <c r="E8965" s="28"/>
      <c r="F8965" s="48">
        <f t="shared" si="146"/>
        <v>26514</v>
      </c>
    </row>
    <row r="8966" spans="1:6" x14ac:dyDescent="0.3">
      <c r="A8966" s="45">
        <v>43885</v>
      </c>
      <c r="B8966" s="5" t="s">
        <v>84</v>
      </c>
      <c r="C8966" s="5" t="s">
        <v>7039</v>
      </c>
      <c r="D8966" s="43">
        <v>5000</v>
      </c>
      <c r="E8966" s="43"/>
      <c r="F8966" s="48">
        <f t="shared" si="146"/>
        <v>21514</v>
      </c>
    </row>
    <row r="8967" spans="1:6" x14ac:dyDescent="0.3">
      <c r="A8967" s="45">
        <v>43886</v>
      </c>
      <c r="B8967" s="5" t="s">
        <v>1012</v>
      </c>
      <c r="C8967" s="5" t="s">
        <v>6963</v>
      </c>
      <c r="D8967" s="43">
        <v>3000</v>
      </c>
      <c r="E8967" s="43"/>
      <c r="F8967" s="48">
        <f t="shared" si="146"/>
        <v>18514</v>
      </c>
    </row>
    <row r="8968" spans="1:6" x14ac:dyDescent="0.3">
      <c r="A8968" s="45">
        <v>43887</v>
      </c>
      <c r="B8968" s="5" t="s">
        <v>7040</v>
      </c>
      <c r="C8968" s="5" t="s">
        <v>5398</v>
      </c>
      <c r="D8968" s="43">
        <v>3000</v>
      </c>
      <c r="E8968" s="43"/>
      <c r="F8968" s="48">
        <f t="shared" si="146"/>
        <v>15514</v>
      </c>
    </row>
    <row r="8969" spans="1:6" x14ac:dyDescent="0.3">
      <c r="A8969" s="45">
        <v>43887</v>
      </c>
      <c r="B8969" s="5" t="s">
        <v>2346</v>
      </c>
      <c r="C8969" s="5" t="s">
        <v>7034</v>
      </c>
      <c r="D8969" s="43">
        <v>1700</v>
      </c>
      <c r="E8969" s="43"/>
      <c r="F8969" s="48">
        <f t="shared" si="146"/>
        <v>13814</v>
      </c>
    </row>
    <row r="8970" spans="1:6" ht="37.5" x14ac:dyDescent="0.3">
      <c r="A8970" s="45">
        <v>43887</v>
      </c>
      <c r="B8970" s="44" t="s">
        <v>25</v>
      </c>
      <c r="C8970" s="92" t="s">
        <v>7041</v>
      </c>
      <c r="D8970" s="28">
        <v>200</v>
      </c>
      <c r="E8970" s="43"/>
      <c r="F8970" s="48">
        <f t="shared" si="146"/>
        <v>13614</v>
      </c>
    </row>
    <row r="8971" spans="1:6" x14ac:dyDescent="0.3">
      <c r="A8971" s="45">
        <v>43888</v>
      </c>
      <c r="B8971" s="5" t="s">
        <v>1837</v>
      </c>
      <c r="C8971" s="5" t="s">
        <v>294</v>
      </c>
      <c r="D8971" s="43">
        <v>2000</v>
      </c>
      <c r="E8971" s="43"/>
      <c r="F8971" s="48">
        <f t="shared" si="146"/>
        <v>11614</v>
      </c>
    </row>
    <row r="8972" spans="1:6" x14ac:dyDescent="0.3">
      <c r="A8972" s="45">
        <v>43888</v>
      </c>
      <c r="B8972" s="5" t="s">
        <v>25</v>
      </c>
      <c r="C8972" s="5" t="s">
        <v>6049</v>
      </c>
      <c r="D8972" s="43">
        <v>100</v>
      </c>
      <c r="E8972" s="43"/>
      <c r="F8972" s="48">
        <f t="shared" si="146"/>
        <v>11514</v>
      </c>
    </row>
    <row r="8973" spans="1:6" x14ac:dyDescent="0.3">
      <c r="A8973" s="45">
        <v>43888</v>
      </c>
      <c r="B8973" s="5" t="s">
        <v>7043</v>
      </c>
      <c r="C8973" s="5" t="s">
        <v>7044</v>
      </c>
      <c r="D8973" s="43">
        <v>2000</v>
      </c>
      <c r="E8973" s="43"/>
      <c r="F8973" s="48">
        <f t="shared" si="146"/>
        <v>9514</v>
      </c>
    </row>
    <row r="8974" spans="1:6" x14ac:dyDescent="0.3">
      <c r="A8974" s="45">
        <v>44256</v>
      </c>
      <c r="B8974" s="123" t="s">
        <v>3335</v>
      </c>
      <c r="C8974" s="123" t="s">
        <v>7046</v>
      </c>
      <c r="D8974" s="52">
        <v>50</v>
      </c>
      <c r="F8974" s="48">
        <f t="shared" si="146"/>
        <v>9464</v>
      </c>
    </row>
    <row r="8975" spans="1:6" x14ac:dyDescent="0.3">
      <c r="A8975" s="45">
        <v>44256</v>
      </c>
      <c r="B8975" s="749" t="s">
        <v>7048</v>
      </c>
      <c r="C8975" s="750"/>
      <c r="D8975" s="751"/>
      <c r="E8975" s="43">
        <v>100000</v>
      </c>
      <c r="F8975" s="48">
        <f t="shared" si="146"/>
        <v>109464</v>
      </c>
    </row>
    <row r="8976" spans="1:6" x14ac:dyDescent="0.3">
      <c r="A8976" s="45">
        <v>44256</v>
      </c>
      <c r="B8976" s="749" t="s">
        <v>7048</v>
      </c>
      <c r="C8976" s="750"/>
      <c r="D8976" s="751"/>
      <c r="E8976" s="43">
        <v>50000</v>
      </c>
      <c r="F8976" s="48">
        <f t="shared" ref="F8976:F9039" si="147">F8975+E8976-D8976</f>
        <v>159464</v>
      </c>
    </row>
    <row r="8977" spans="1:6" x14ac:dyDescent="0.3">
      <c r="A8977" s="45">
        <v>44256</v>
      </c>
      <c r="B8977" s="5" t="s">
        <v>110</v>
      </c>
      <c r="C8977" s="5" t="s">
        <v>7049</v>
      </c>
      <c r="D8977" s="43">
        <v>20500</v>
      </c>
      <c r="E8977" s="43"/>
      <c r="F8977" s="48">
        <f t="shared" si="147"/>
        <v>138964</v>
      </c>
    </row>
    <row r="8978" spans="1:6" x14ac:dyDescent="0.3">
      <c r="A8978" s="45">
        <v>44256</v>
      </c>
      <c r="B8978" s="5" t="s">
        <v>26</v>
      </c>
      <c r="C8978" s="5" t="s">
        <v>7050</v>
      </c>
      <c r="D8978" s="43">
        <v>600</v>
      </c>
      <c r="E8978" s="43"/>
      <c r="F8978" s="48">
        <f t="shared" si="147"/>
        <v>138364</v>
      </c>
    </row>
    <row r="8979" spans="1:6" x14ac:dyDescent="0.3">
      <c r="A8979" s="45">
        <v>44256</v>
      </c>
      <c r="B8979" s="5" t="s">
        <v>0</v>
      </c>
      <c r="C8979" s="5" t="s">
        <v>6507</v>
      </c>
      <c r="D8979" s="43">
        <v>15000</v>
      </c>
      <c r="E8979" s="43"/>
      <c r="F8979" s="48">
        <f t="shared" si="147"/>
        <v>123364</v>
      </c>
    </row>
    <row r="8980" spans="1:6" x14ac:dyDescent="0.3">
      <c r="A8980" s="45">
        <v>44256</v>
      </c>
      <c r="B8980" s="5" t="s">
        <v>1787</v>
      </c>
      <c r="C8980" s="5" t="s">
        <v>7055</v>
      </c>
      <c r="D8980" s="43">
        <v>1000</v>
      </c>
      <c r="E8980" s="43"/>
      <c r="F8980" s="48">
        <f t="shared" si="147"/>
        <v>122364</v>
      </c>
    </row>
    <row r="8981" spans="1:6" x14ac:dyDescent="0.3">
      <c r="A8981" s="45">
        <v>44256</v>
      </c>
      <c r="B8981" s="5" t="s">
        <v>7040</v>
      </c>
      <c r="C8981" s="5" t="s">
        <v>5398</v>
      </c>
      <c r="D8981" s="43">
        <v>4500</v>
      </c>
      <c r="E8981" s="43"/>
      <c r="F8981" s="48">
        <f t="shared" si="147"/>
        <v>117864</v>
      </c>
    </row>
    <row r="8982" spans="1:6" x14ac:dyDescent="0.3">
      <c r="A8982" s="45">
        <v>44256</v>
      </c>
      <c r="B8982" s="5" t="s">
        <v>14</v>
      </c>
      <c r="C8982" s="5" t="s">
        <v>7059</v>
      </c>
      <c r="D8982" s="43">
        <v>1693</v>
      </c>
      <c r="E8982" s="43"/>
      <c r="F8982" s="48">
        <f t="shared" si="147"/>
        <v>116171</v>
      </c>
    </row>
    <row r="8983" spans="1:6" x14ac:dyDescent="0.3">
      <c r="A8983" s="45">
        <v>44256</v>
      </c>
      <c r="B8983" s="5" t="s">
        <v>1074</v>
      </c>
      <c r="C8983" s="5" t="s">
        <v>7060</v>
      </c>
      <c r="D8983" s="43">
        <v>23405</v>
      </c>
      <c r="E8983" s="43"/>
      <c r="F8983" s="48">
        <f t="shared" si="147"/>
        <v>92766</v>
      </c>
    </row>
    <row r="8984" spans="1:6" x14ac:dyDescent="0.3">
      <c r="A8984" s="45">
        <v>44256</v>
      </c>
      <c r="B8984" s="5" t="s">
        <v>1512</v>
      </c>
      <c r="C8984" s="5" t="s">
        <v>7063</v>
      </c>
      <c r="D8984" s="43">
        <v>35000</v>
      </c>
      <c r="E8984" s="43"/>
      <c r="F8984" s="48">
        <f t="shared" si="147"/>
        <v>57766</v>
      </c>
    </row>
    <row r="8985" spans="1:6" x14ac:dyDescent="0.3">
      <c r="A8985" s="45">
        <v>44256</v>
      </c>
      <c r="B8985" s="5" t="s">
        <v>84</v>
      </c>
      <c r="C8985" s="5" t="s">
        <v>7064</v>
      </c>
      <c r="D8985" s="43">
        <v>10000</v>
      </c>
      <c r="E8985" s="43"/>
      <c r="F8985" s="48">
        <f t="shared" si="147"/>
        <v>47766</v>
      </c>
    </row>
    <row r="8986" spans="1:6" x14ac:dyDescent="0.3">
      <c r="A8986" s="45">
        <v>44256</v>
      </c>
      <c r="B8986" s="5" t="s">
        <v>1837</v>
      </c>
      <c r="C8986" s="5" t="s">
        <v>294</v>
      </c>
      <c r="D8986" s="43">
        <v>1500</v>
      </c>
      <c r="E8986" s="43"/>
      <c r="F8986" s="48">
        <f t="shared" si="147"/>
        <v>46266</v>
      </c>
    </row>
    <row r="8987" spans="1:6" x14ac:dyDescent="0.3">
      <c r="A8987" s="45">
        <v>44256</v>
      </c>
      <c r="B8987" s="5" t="s">
        <v>1787</v>
      </c>
      <c r="C8987" s="5" t="s">
        <v>7065</v>
      </c>
      <c r="D8987" s="43">
        <v>1400</v>
      </c>
      <c r="E8987" s="43"/>
      <c r="F8987" s="48">
        <f t="shared" si="147"/>
        <v>44866</v>
      </c>
    </row>
    <row r="8988" spans="1:6" x14ac:dyDescent="0.3">
      <c r="A8988" s="45">
        <v>44256</v>
      </c>
      <c r="B8988" s="5" t="s">
        <v>84</v>
      </c>
      <c r="C8988" s="5" t="s">
        <v>7066</v>
      </c>
      <c r="D8988" s="43">
        <v>1000</v>
      </c>
      <c r="E8988" s="43"/>
      <c r="F8988" s="48">
        <f t="shared" si="147"/>
        <v>43866</v>
      </c>
    </row>
    <row r="8989" spans="1:6" x14ac:dyDescent="0.3">
      <c r="A8989" s="45">
        <v>44257</v>
      </c>
      <c r="B8989" s="5" t="s">
        <v>5896</v>
      </c>
      <c r="C8989" s="5" t="s">
        <v>7069</v>
      </c>
      <c r="D8989" s="43">
        <v>24000</v>
      </c>
      <c r="E8989" s="43"/>
      <c r="F8989" s="48">
        <f t="shared" si="147"/>
        <v>19866</v>
      </c>
    </row>
    <row r="8990" spans="1:6" x14ac:dyDescent="0.3">
      <c r="A8990" s="45">
        <v>44257</v>
      </c>
      <c r="B8990" s="5" t="s">
        <v>25</v>
      </c>
      <c r="C8990" s="5" t="s">
        <v>4276</v>
      </c>
      <c r="D8990" s="43">
        <f>4198+1400+2+70+220+560</f>
        <v>6450</v>
      </c>
      <c r="E8990" s="43"/>
      <c r="F8990" s="48">
        <f t="shared" si="147"/>
        <v>13416</v>
      </c>
    </row>
    <row r="8991" spans="1:6" x14ac:dyDescent="0.3">
      <c r="A8991" s="45">
        <v>44257</v>
      </c>
      <c r="B8991" s="5" t="s">
        <v>25</v>
      </c>
      <c r="C8991" s="5" t="s">
        <v>7093</v>
      </c>
      <c r="D8991" s="43">
        <v>5000</v>
      </c>
      <c r="E8991" s="43"/>
      <c r="F8991" s="48">
        <f t="shared" si="147"/>
        <v>8416</v>
      </c>
    </row>
    <row r="8992" spans="1:6" x14ac:dyDescent="0.3">
      <c r="A8992" s="45">
        <v>44258</v>
      </c>
      <c r="B8992" s="749" t="s">
        <v>7088</v>
      </c>
      <c r="C8992" s="750"/>
      <c r="D8992" s="751"/>
      <c r="E8992" s="43">
        <v>100000</v>
      </c>
      <c r="F8992" s="48">
        <f>F8991+E8992-D8992</f>
        <v>108416</v>
      </c>
    </row>
    <row r="8993" spans="1:6" x14ac:dyDescent="0.3">
      <c r="A8993" s="45">
        <v>44258</v>
      </c>
      <c r="B8993" s="749" t="s">
        <v>7088</v>
      </c>
      <c r="C8993" s="750"/>
      <c r="D8993" s="751"/>
      <c r="E8993" s="43">
        <v>50000</v>
      </c>
      <c r="F8993" s="48">
        <f>F8992+E8993-D8993</f>
        <v>158416</v>
      </c>
    </row>
    <row r="8994" spans="1:6" x14ac:dyDescent="0.3">
      <c r="A8994" s="45">
        <v>44258</v>
      </c>
      <c r="B8994" s="5" t="s">
        <v>14</v>
      </c>
      <c r="C8994" s="5" t="s">
        <v>294</v>
      </c>
      <c r="D8994" s="43">
        <v>50000</v>
      </c>
      <c r="E8994" s="43"/>
      <c r="F8994" s="48">
        <f>F8993+E8994-D8994</f>
        <v>108416</v>
      </c>
    </row>
    <row r="8995" spans="1:6" x14ac:dyDescent="0.3">
      <c r="A8995" s="45">
        <v>44258</v>
      </c>
      <c r="B8995" s="5" t="s">
        <v>14</v>
      </c>
      <c r="C8995" s="5" t="s">
        <v>294</v>
      </c>
      <c r="D8995" s="43">
        <v>20000</v>
      </c>
      <c r="E8995" s="43"/>
      <c r="F8995" s="48">
        <f>F8994+E8995-D8995</f>
        <v>88416</v>
      </c>
    </row>
    <row r="8996" spans="1:6" x14ac:dyDescent="0.3">
      <c r="A8996" s="45">
        <v>44258</v>
      </c>
      <c r="B8996" s="5" t="s">
        <v>5709</v>
      </c>
      <c r="C8996" s="5" t="s">
        <v>7082</v>
      </c>
      <c r="D8996" s="43">
        <v>2700</v>
      </c>
      <c r="E8996" s="43"/>
      <c r="F8996" s="48">
        <f t="shared" si="147"/>
        <v>85716</v>
      </c>
    </row>
    <row r="8997" spans="1:6" x14ac:dyDescent="0.3">
      <c r="A8997" s="45">
        <v>44258</v>
      </c>
      <c r="B8997" s="5" t="s">
        <v>5709</v>
      </c>
      <c r="C8997" s="5" t="s">
        <v>7083</v>
      </c>
      <c r="D8997" s="43">
        <v>7000</v>
      </c>
      <c r="E8997" s="43"/>
      <c r="F8997" s="48">
        <f t="shared" si="147"/>
        <v>78716</v>
      </c>
    </row>
    <row r="8998" spans="1:6" x14ac:dyDescent="0.3">
      <c r="A8998" s="45">
        <v>44258</v>
      </c>
      <c r="B8998" s="5" t="s">
        <v>7084</v>
      </c>
      <c r="C8998" s="5" t="s">
        <v>7086</v>
      </c>
      <c r="D8998" s="43">
        <v>12000</v>
      </c>
      <c r="E8998" s="43"/>
      <c r="F8998" s="48">
        <f t="shared" si="147"/>
        <v>66716</v>
      </c>
    </row>
    <row r="8999" spans="1:6" x14ac:dyDescent="0.3">
      <c r="A8999" s="45">
        <v>44258</v>
      </c>
      <c r="B8999" s="5" t="s">
        <v>54</v>
      </c>
      <c r="C8999" s="5" t="s">
        <v>7085</v>
      </c>
      <c r="D8999" s="43">
        <v>48600</v>
      </c>
      <c r="E8999" s="43"/>
      <c r="F8999" s="48">
        <f t="shared" si="147"/>
        <v>18116</v>
      </c>
    </row>
    <row r="9000" spans="1:6" ht="37.5" x14ac:dyDescent="0.3">
      <c r="A9000" s="45">
        <v>44258</v>
      </c>
      <c r="B9000" s="5" t="s">
        <v>1787</v>
      </c>
      <c r="C9000" s="92" t="s">
        <v>7087</v>
      </c>
      <c r="D9000" s="43">
        <v>1500</v>
      </c>
      <c r="E9000" s="43"/>
      <c r="F9000" s="48">
        <f t="shared" si="147"/>
        <v>16616</v>
      </c>
    </row>
    <row r="9001" spans="1:6" x14ac:dyDescent="0.3">
      <c r="A9001" s="45">
        <v>44258</v>
      </c>
      <c r="B9001" s="5" t="s">
        <v>6430</v>
      </c>
      <c r="C9001" s="5" t="s">
        <v>294</v>
      </c>
      <c r="D9001" s="43">
        <v>1500</v>
      </c>
      <c r="E9001" s="43"/>
      <c r="F9001" s="48">
        <f t="shared" si="147"/>
        <v>15116</v>
      </c>
    </row>
    <row r="9002" spans="1:6" x14ac:dyDescent="0.3">
      <c r="A9002" s="45">
        <v>44258</v>
      </c>
      <c r="B9002" s="5" t="s">
        <v>3559</v>
      </c>
      <c r="C9002" s="5" t="s">
        <v>91</v>
      </c>
      <c r="D9002" s="43">
        <v>670</v>
      </c>
      <c r="E9002" s="43"/>
      <c r="F9002" s="48">
        <f t="shared" si="147"/>
        <v>14446</v>
      </c>
    </row>
    <row r="9003" spans="1:6" x14ac:dyDescent="0.3">
      <c r="A9003" s="45">
        <v>44259</v>
      </c>
      <c r="B9003" s="749" t="s">
        <v>7100</v>
      </c>
      <c r="C9003" s="750"/>
      <c r="D9003" s="751"/>
      <c r="E9003" s="43">
        <v>200000</v>
      </c>
      <c r="F9003" s="48">
        <f t="shared" si="147"/>
        <v>214446</v>
      </c>
    </row>
    <row r="9004" spans="1:6" x14ac:dyDescent="0.3">
      <c r="A9004" s="45">
        <v>44259</v>
      </c>
      <c r="B9004" s="5" t="s">
        <v>14</v>
      </c>
      <c r="C9004" s="5" t="s">
        <v>294</v>
      </c>
      <c r="D9004" s="43">
        <v>100000</v>
      </c>
      <c r="E9004" s="43"/>
      <c r="F9004" s="48">
        <f t="shared" si="147"/>
        <v>114446</v>
      </c>
    </row>
    <row r="9005" spans="1:6" x14ac:dyDescent="0.3">
      <c r="A9005" s="45">
        <v>44259</v>
      </c>
      <c r="B9005" s="5" t="s">
        <v>7099</v>
      </c>
      <c r="C9005" s="5" t="s">
        <v>294</v>
      </c>
      <c r="D9005" s="43">
        <v>5000</v>
      </c>
      <c r="E9005" s="43"/>
      <c r="F9005" s="48">
        <f t="shared" si="147"/>
        <v>109446</v>
      </c>
    </row>
    <row r="9006" spans="1:6" x14ac:dyDescent="0.3">
      <c r="A9006" s="45">
        <v>44259</v>
      </c>
      <c r="B9006" s="5" t="s">
        <v>14</v>
      </c>
      <c r="C9006" s="5" t="s">
        <v>7146</v>
      </c>
      <c r="D9006" s="43">
        <v>20000</v>
      </c>
      <c r="E9006" s="43"/>
      <c r="F9006" s="48">
        <f t="shared" si="147"/>
        <v>89446</v>
      </c>
    </row>
    <row r="9007" spans="1:6" x14ac:dyDescent="0.3">
      <c r="A9007" s="45">
        <v>44260</v>
      </c>
      <c r="B9007" s="5" t="s">
        <v>25</v>
      </c>
      <c r="C9007" s="5" t="s">
        <v>5108</v>
      </c>
      <c r="D9007" s="43">
        <v>1000</v>
      </c>
      <c r="E9007" s="43"/>
      <c r="F9007" s="48">
        <f t="shared" si="147"/>
        <v>88446</v>
      </c>
    </row>
    <row r="9008" spans="1:6" x14ac:dyDescent="0.3">
      <c r="A9008" s="45">
        <v>44260</v>
      </c>
      <c r="B9008" s="5" t="s">
        <v>25</v>
      </c>
      <c r="C9008" s="5" t="s">
        <v>2025</v>
      </c>
      <c r="D9008" s="43">
        <v>150</v>
      </c>
      <c r="E9008" s="43"/>
      <c r="F9008" s="48">
        <f t="shared" si="147"/>
        <v>88296</v>
      </c>
    </row>
    <row r="9009" spans="1:6" x14ac:dyDescent="0.3">
      <c r="A9009" s="45">
        <v>44260</v>
      </c>
      <c r="B9009" s="5" t="s">
        <v>25</v>
      </c>
      <c r="C9009" s="5" t="s">
        <v>7102</v>
      </c>
      <c r="D9009" s="43">
        <v>140</v>
      </c>
      <c r="E9009" s="43"/>
      <c r="F9009" s="48">
        <f t="shared" si="147"/>
        <v>88156</v>
      </c>
    </row>
    <row r="9010" spans="1:6" x14ac:dyDescent="0.3">
      <c r="A9010" s="45">
        <v>44260</v>
      </c>
      <c r="B9010" s="5" t="s">
        <v>0</v>
      </c>
      <c r="C9010" s="5" t="s">
        <v>294</v>
      </c>
      <c r="D9010" s="43">
        <v>5000</v>
      </c>
      <c r="E9010" s="43"/>
      <c r="F9010" s="48">
        <f t="shared" si="147"/>
        <v>83156</v>
      </c>
    </row>
    <row r="9011" spans="1:6" x14ac:dyDescent="0.3">
      <c r="A9011" s="45">
        <v>44260</v>
      </c>
      <c r="B9011" s="5" t="s">
        <v>25</v>
      </c>
      <c r="C9011" s="5" t="s">
        <v>7103</v>
      </c>
      <c r="D9011" s="43">
        <v>150</v>
      </c>
      <c r="E9011" s="43"/>
      <c r="F9011" s="48">
        <f t="shared" si="147"/>
        <v>83006</v>
      </c>
    </row>
    <row r="9012" spans="1:6" x14ac:dyDescent="0.3">
      <c r="A9012" s="45">
        <v>44260</v>
      </c>
      <c r="B9012" s="5" t="s">
        <v>541</v>
      </c>
      <c r="C9012" s="5" t="s">
        <v>7104</v>
      </c>
      <c r="D9012" s="43">
        <v>2000</v>
      </c>
      <c r="E9012" s="43"/>
      <c r="F9012" s="48">
        <f t="shared" si="147"/>
        <v>81006</v>
      </c>
    </row>
    <row r="9013" spans="1:6" x14ac:dyDescent="0.3">
      <c r="A9013" s="45">
        <v>44260</v>
      </c>
      <c r="B9013" s="749" t="s">
        <v>4415</v>
      </c>
      <c r="C9013" s="750"/>
      <c r="D9013" s="751"/>
      <c r="E9013" s="43">
        <v>485000</v>
      </c>
      <c r="F9013" s="48">
        <f t="shared" si="147"/>
        <v>566006</v>
      </c>
    </row>
    <row r="9014" spans="1:6" x14ac:dyDescent="0.3">
      <c r="A9014" s="45">
        <v>44260</v>
      </c>
      <c r="B9014" s="39" t="s">
        <v>1512</v>
      </c>
      <c r="C9014" s="39" t="s">
        <v>6926</v>
      </c>
      <c r="D9014" s="183">
        <v>147766</v>
      </c>
      <c r="E9014" s="183"/>
      <c r="F9014" s="48">
        <f t="shared" si="147"/>
        <v>418240</v>
      </c>
    </row>
    <row r="9015" spans="1:6" x14ac:dyDescent="0.3">
      <c r="A9015" s="45">
        <v>44260</v>
      </c>
      <c r="B9015" s="39" t="s">
        <v>1512</v>
      </c>
      <c r="C9015" s="39" t="s">
        <v>6546</v>
      </c>
      <c r="D9015" s="183">
        <v>113384</v>
      </c>
      <c r="E9015" s="183"/>
      <c r="F9015" s="48">
        <f t="shared" si="147"/>
        <v>304856</v>
      </c>
    </row>
    <row r="9016" spans="1:6" x14ac:dyDescent="0.3">
      <c r="A9016" s="45">
        <v>44260</v>
      </c>
      <c r="B9016" s="39" t="s">
        <v>1512</v>
      </c>
      <c r="C9016" s="39" t="s">
        <v>7105</v>
      </c>
      <c r="D9016" s="183">
        <v>118000</v>
      </c>
      <c r="E9016" s="183"/>
      <c r="F9016" s="48">
        <f t="shared" si="147"/>
        <v>186856</v>
      </c>
    </row>
    <row r="9017" spans="1:6" x14ac:dyDescent="0.3">
      <c r="A9017" s="45">
        <v>44260</v>
      </c>
      <c r="B9017" s="39" t="s">
        <v>1512</v>
      </c>
      <c r="C9017" s="39" t="s">
        <v>6387</v>
      </c>
      <c r="D9017" s="183">
        <v>89080</v>
      </c>
      <c r="E9017" s="183"/>
      <c r="F9017" s="48">
        <f t="shared" si="147"/>
        <v>97776</v>
      </c>
    </row>
    <row r="9018" spans="1:6" x14ac:dyDescent="0.3">
      <c r="A9018" s="45">
        <v>44260</v>
      </c>
      <c r="B9018" s="39" t="s">
        <v>1512</v>
      </c>
      <c r="C9018" s="39" t="s">
        <v>7127</v>
      </c>
      <c r="D9018" s="183">
        <v>35013</v>
      </c>
      <c r="E9018" s="183"/>
      <c r="F9018" s="48">
        <f t="shared" si="147"/>
        <v>62763</v>
      </c>
    </row>
    <row r="9019" spans="1:6" x14ac:dyDescent="0.3">
      <c r="A9019" s="45">
        <v>44260</v>
      </c>
      <c r="B9019" s="749" t="s">
        <v>7048</v>
      </c>
      <c r="C9019" s="750"/>
      <c r="D9019" s="751"/>
      <c r="E9019" s="43">
        <v>400000</v>
      </c>
      <c r="F9019" s="48">
        <f t="shared" si="147"/>
        <v>462763</v>
      </c>
    </row>
    <row r="9020" spans="1:6" x14ac:dyDescent="0.3">
      <c r="A9020" s="45">
        <v>44260</v>
      </c>
      <c r="B9020" s="39" t="s">
        <v>1512</v>
      </c>
      <c r="C9020" s="39" t="s">
        <v>6678</v>
      </c>
      <c r="D9020" s="183">
        <v>50143</v>
      </c>
      <c r="E9020" s="183"/>
      <c r="F9020" s="48">
        <f t="shared" si="147"/>
        <v>412620</v>
      </c>
    </row>
    <row r="9021" spans="1:6" x14ac:dyDescent="0.3">
      <c r="A9021" s="45">
        <v>44260</v>
      </c>
      <c r="B9021" s="749" t="s">
        <v>7106</v>
      </c>
      <c r="C9021" s="750"/>
      <c r="D9021" s="751"/>
      <c r="E9021" s="43">
        <v>109780</v>
      </c>
      <c r="F9021" s="48">
        <f t="shared" si="147"/>
        <v>522400</v>
      </c>
    </row>
    <row r="9022" spans="1:6" x14ac:dyDescent="0.3">
      <c r="A9022" s="45">
        <v>44260</v>
      </c>
      <c r="B9022" s="114" t="s">
        <v>5709</v>
      </c>
      <c r="C9022" s="114" t="s">
        <v>7109</v>
      </c>
      <c r="D9022" s="52">
        <v>1150</v>
      </c>
      <c r="F9022" s="48">
        <f t="shared" si="147"/>
        <v>521250</v>
      </c>
    </row>
    <row r="9023" spans="1:6" x14ac:dyDescent="0.3">
      <c r="A9023" s="45">
        <v>44260</v>
      </c>
      <c r="B9023" s="5" t="s">
        <v>4281</v>
      </c>
      <c r="C9023" s="5" t="s">
        <v>7107</v>
      </c>
      <c r="D9023" s="43">
        <v>125000</v>
      </c>
      <c r="E9023" s="43"/>
      <c r="F9023" s="48">
        <f t="shared" si="147"/>
        <v>396250</v>
      </c>
    </row>
    <row r="9024" spans="1:6" x14ac:dyDescent="0.3">
      <c r="A9024" s="45">
        <v>44260</v>
      </c>
      <c r="B9024" s="5" t="s">
        <v>1837</v>
      </c>
      <c r="C9024" s="5" t="s">
        <v>7108</v>
      </c>
      <c r="D9024" s="43">
        <v>2000</v>
      </c>
      <c r="E9024" s="43"/>
      <c r="F9024" s="48">
        <f t="shared" si="147"/>
        <v>394250</v>
      </c>
    </row>
    <row r="9025" spans="1:6" x14ac:dyDescent="0.3">
      <c r="A9025" s="45">
        <v>44260</v>
      </c>
      <c r="B9025" s="5" t="s">
        <v>14</v>
      </c>
      <c r="C9025" s="5" t="s">
        <v>4310</v>
      </c>
      <c r="D9025" s="43">
        <v>20000</v>
      </c>
      <c r="E9025" s="43"/>
      <c r="F9025" s="48">
        <f t="shared" si="147"/>
        <v>374250</v>
      </c>
    </row>
    <row r="9026" spans="1:6" x14ac:dyDescent="0.3">
      <c r="A9026" s="45">
        <v>44260</v>
      </c>
      <c r="B9026" s="5" t="s">
        <v>5709</v>
      </c>
      <c r="C9026" s="5" t="s">
        <v>294</v>
      </c>
      <c r="D9026" s="43">
        <v>2500</v>
      </c>
      <c r="E9026" s="43"/>
      <c r="F9026" s="48">
        <f t="shared" si="147"/>
        <v>371750</v>
      </c>
    </row>
    <row r="9027" spans="1:6" x14ac:dyDescent="0.3">
      <c r="A9027" s="45">
        <v>44261</v>
      </c>
      <c r="B9027" s="5" t="s">
        <v>4550</v>
      </c>
      <c r="C9027" s="5" t="s">
        <v>294</v>
      </c>
      <c r="D9027" s="43">
        <v>50000</v>
      </c>
      <c r="E9027" s="43"/>
      <c r="F9027" s="48">
        <f t="shared" si="147"/>
        <v>321750</v>
      </c>
    </row>
    <row r="9028" spans="1:6" x14ac:dyDescent="0.3">
      <c r="A9028" s="45">
        <v>44261</v>
      </c>
      <c r="B9028" s="39" t="s">
        <v>1512</v>
      </c>
      <c r="C9028" s="39" t="s">
        <v>6759</v>
      </c>
      <c r="D9028" s="183">
        <v>29600</v>
      </c>
      <c r="E9028" s="183"/>
      <c r="F9028" s="48">
        <f t="shared" si="147"/>
        <v>292150</v>
      </c>
    </row>
    <row r="9029" spans="1:6" x14ac:dyDescent="0.3">
      <c r="A9029" s="45">
        <v>44261</v>
      </c>
      <c r="B9029" s="5" t="s">
        <v>25</v>
      </c>
      <c r="C9029" s="5" t="s">
        <v>7112</v>
      </c>
      <c r="D9029" s="43">
        <v>500</v>
      </c>
      <c r="E9029" s="43"/>
      <c r="F9029" s="48">
        <f t="shared" si="147"/>
        <v>291650</v>
      </c>
    </row>
    <row r="9030" spans="1:6" x14ac:dyDescent="0.3">
      <c r="A9030" s="45">
        <v>44261</v>
      </c>
      <c r="B9030" s="5" t="s">
        <v>14</v>
      </c>
      <c r="C9030" s="5" t="s">
        <v>294</v>
      </c>
      <c r="D9030" s="43">
        <v>15000</v>
      </c>
      <c r="E9030" s="43"/>
      <c r="F9030" s="48">
        <f t="shared" si="147"/>
        <v>276650</v>
      </c>
    </row>
    <row r="9031" spans="1:6" x14ac:dyDescent="0.3">
      <c r="A9031" s="45">
        <v>44261</v>
      </c>
      <c r="B9031" s="5" t="s">
        <v>6430</v>
      </c>
      <c r="C9031" s="5" t="s">
        <v>7115</v>
      </c>
      <c r="D9031" s="43">
        <v>10000</v>
      </c>
      <c r="E9031" s="43"/>
      <c r="F9031" s="48">
        <f t="shared" si="147"/>
        <v>266650</v>
      </c>
    </row>
    <row r="9032" spans="1:6" x14ac:dyDescent="0.3">
      <c r="A9032" s="45">
        <v>44261</v>
      </c>
      <c r="B9032" s="39" t="s">
        <v>1512</v>
      </c>
      <c r="C9032" s="39" t="s">
        <v>7116</v>
      </c>
      <c r="D9032" s="183">
        <v>202378</v>
      </c>
      <c r="E9032" s="183"/>
      <c r="F9032" s="48">
        <f t="shared" si="147"/>
        <v>64272</v>
      </c>
    </row>
    <row r="9033" spans="1:6" x14ac:dyDescent="0.3">
      <c r="A9033" s="45">
        <v>44261</v>
      </c>
      <c r="B9033" s="39" t="s">
        <v>1512</v>
      </c>
      <c r="C9033" s="39" t="s">
        <v>7117</v>
      </c>
      <c r="D9033" s="183">
        <v>4000</v>
      </c>
      <c r="E9033" s="183"/>
      <c r="F9033" s="48">
        <f t="shared" si="147"/>
        <v>60272</v>
      </c>
    </row>
    <row r="9034" spans="1:6" x14ac:dyDescent="0.3">
      <c r="A9034" s="45">
        <v>44261</v>
      </c>
      <c r="B9034" s="5" t="s">
        <v>5930</v>
      </c>
      <c r="C9034" s="5" t="s">
        <v>40</v>
      </c>
      <c r="D9034" s="43">
        <v>28600</v>
      </c>
      <c r="E9034" s="43"/>
      <c r="F9034" s="48">
        <f t="shared" si="147"/>
        <v>31672</v>
      </c>
    </row>
    <row r="9035" spans="1:6" x14ac:dyDescent="0.3">
      <c r="A9035" s="45">
        <v>44263</v>
      </c>
      <c r="B9035" s="5" t="s">
        <v>25</v>
      </c>
      <c r="C9035" s="5" t="s">
        <v>6209</v>
      </c>
      <c r="D9035" s="43">
        <v>150</v>
      </c>
      <c r="E9035" s="43"/>
      <c r="F9035" s="48">
        <f t="shared" si="147"/>
        <v>31522</v>
      </c>
    </row>
    <row r="9036" spans="1:6" x14ac:dyDescent="0.3">
      <c r="A9036" s="45">
        <v>44263</v>
      </c>
      <c r="B9036" s="749" t="s">
        <v>7048</v>
      </c>
      <c r="C9036" s="750"/>
      <c r="D9036" s="751"/>
      <c r="E9036" s="43">
        <v>100000</v>
      </c>
      <c r="F9036" s="48">
        <f t="shared" si="147"/>
        <v>131522</v>
      </c>
    </row>
    <row r="9037" spans="1:6" x14ac:dyDescent="0.3">
      <c r="A9037" s="45">
        <v>44263</v>
      </c>
      <c r="B9037" s="5" t="s">
        <v>14</v>
      </c>
      <c r="C9037" s="5" t="s">
        <v>294</v>
      </c>
      <c r="D9037" s="43">
        <f>21000+24000</f>
        <v>45000</v>
      </c>
      <c r="E9037" s="43"/>
      <c r="F9037" s="48">
        <f t="shared" si="147"/>
        <v>86522</v>
      </c>
    </row>
    <row r="9038" spans="1:6" x14ac:dyDescent="0.3">
      <c r="A9038" s="45">
        <v>44263</v>
      </c>
      <c r="B9038" s="39" t="s">
        <v>1512</v>
      </c>
      <c r="C9038" s="39" t="s">
        <v>7119</v>
      </c>
      <c r="D9038" s="183">
        <v>5000</v>
      </c>
      <c r="E9038" s="183"/>
      <c r="F9038" s="48">
        <f t="shared" si="147"/>
        <v>81522</v>
      </c>
    </row>
    <row r="9039" spans="1:6" x14ac:dyDescent="0.3">
      <c r="A9039" s="45">
        <v>44263</v>
      </c>
      <c r="B9039" s="39" t="s">
        <v>1512</v>
      </c>
      <c r="C9039" s="39" t="s">
        <v>7120</v>
      </c>
      <c r="D9039" s="183">
        <v>29000</v>
      </c>
      <c r="E9039" s="183"/>
      <c r="F9039" s="48">
        <f t="shared" si="147"/>
        <v>52522</v>
      </c>
    </row>
    <row r="9040" spans="1:6" x14ac:dyDescent="0.3">
      <c r="A9040" s="45">
        <v>44263</v>
      </c>
      <c r="B9040" s="5" t="s">
        <v>7121</v>
      </c>
      <c r="C9040" s="5" t="s">
        <v>7122</v>
      </c>
      <c r="D9040" s="43">
        <v>35000</v>
      </c>
      <c r="E9040" s="43"/>
      <c r="F9040" s="48">
        <f t="shared" ref="F9040:F9103" si="148">F9039+E9040-D9040</f>
        <v>17522</v>
      </c>
    </row>
    <row r="9041" spans="1:6" x14ac:dyDescent="0.3">
      <c r="A9041" s="45">
        <v>44263</v>
      </c>
      <c r="B9041" s="39" t="s">
        <v>1512</v>
      </c>
      <c r="C9041" s="39" t="s">
        <v>7123</v>
      </c>
      <c r="D9041" s="43">
        <v>3000</v>
      </c>
      <c r="E9041" s="43"/>
      <c r="F9041" s="48">
        <f t="shared" si="148"/>
        <v>14522</v>
      </c>
    </row>
    <row r="9042" spans="1:6" x14ac:dyDescent="0.3">
      <c r="A9042" s="45">
        <v>44263</v>
      </c>
      <c r="B9042" s="39" t="s">
        <v>1512</v>
      </c>
      <c r="C9042" s="39" t="s">
        <v>7124</v>
      </c>
      <c r="D9042" s="43">
        <v>3000</v>
      </c>
      <c r="E9042" s="43"/>
      <c r="F9042" s="48">
        <f t="shared" si="148"/>
        <v>11522</v>
      </c>
    </row>
    <row r="9043" spans="1:6" x14ac:dyDescent="0.3">
      <c r="A9043" s="45">
        <v>44263</v>
      </c>
      <c r="B9043" s="39" t="s">
        <v>1512</v>
      </c>
      <c r="C9043" s="39" t="s">
        <v>7125</v>
      </c>
      <c r="D9043" s="43">
        <v>8820</v>
      </c>
      <c r="E9043" s="43"/>
      <c r="F9043" s="48">
        <f t="shared" si="148"/>
        <v>2702</v>
      </c>
    </row>
    <row r="9044" spans="1:6" x14ac:dyDescent="0.3">
      <c r="A9044" s="45">
        <v>44264</v>
      </c>
      <c r="B9044" s="749" t="s">
        <v>4415</v>
      </c>
      <c r="C9044" s="750"/>
      <c r="D9044" s="751"/>
      <c r="E9044" s="43">
        <v>225000</v>
      </c>
      <c r="F9044" s="48">
        <f t="shared" si="148"/>
        <v>227702</v>
      </c>
    </row>
    <row r="9045" spans="1:6" x14ac:dyDescent="0.3">
      <c r="A9045" s="45">
        <v>44264</v>
      </c>
      <c r="B9045" s="5" t="s">
        <v>6430</v>
      </c>
      <c r="C9045" s="5" t="s">
        <v>7126</v>
      </c>
      <c r="D9045" s="43">
        <v>3000</v>
      </c>
      <c r="E9045" s="43"/>
      <c r="F9045" s="48">
        <f t="shared" si="148"/>
        <v>224702</v>
      </c>
    </row>
    <row r="9046" spans="1:6" x14ac:dyDescent="0.3">
      <c r="A9046" s="45">
        <v>44264</v>
      </c>
      <c r="B9046" s="5" t="s">
        <v>0</v>
      </c>
      <c r="C9046" s="5" t="s">
        <v>294</v>
      </c>
      <c r="D9046" s="43">
        <v>50000</v>
      </c>
      <c r="E9046" s="43"/>
      <c r="F9046" s="48">
        <f t="shared" si="148"/>
        <v>174702</v>
      </c>
    </row>
    <row r="9047" spans="1:6" x14ac:dyDescent="0.3">
      <c r="A9047" s="45">
        <v>44264</v>
      </c>
      <c r="B9047" s="5" t="s">
        <v>7128</v>
      </c>
      <c r="C9047" s="5" t="s">
        <v>7129</v>
      </c>
      <c r="D9047" s="43">
        <v>2000</v>
      </c>
      <c r="E9047" s="43"/>
      <c r="F9047" s="48">
        <f t="shared" si="148"/>
        <v>172702</v>
      </c>
    </row>
    <row r="9048" spans="1:6" x14ac:dyDescent="0.3">
      <c r="A9048" s="45">
        <v>44264</v>
      </c>
      <c r="B9048" s="5" t="s">
        <v>7130</v>
      </c>
      <c r="C9048" s="5" t="s">
        <v>40</v>
      </c>
      <c r="D9048" s="43">
        <v>5000</v>
      </c>
      <c r="E9048" s="43"/>
      <c r="F9048" s="48">
        <f t="shared" si="148"/>
        <v>167702</v>
      </c>
    </row>
    <row r="9049" spans="1:6" x14ac:dyDescent="0.3">
      <c r="A9049" s="45">
        <v>44264</v>
      </c>
      <c r="B9049" s="5" t="s">
        <v>6430</v>
      </c>
      <c r="C9049" s="5" t="s">
        <v>7131</v>
      </c>
      <c r="D9049" s="43">
        <v>3600</v>
      </c>
      <c r="E9049" s="43"/>
      <c r="F9049" s="48">
        <f t="shared" si="148"/>
        <v>164102</v>
      </c>
    </row>
    <row r="9050" spans="1:6" x14ac:dyDescent="0.3">
      <c r="A9050" s="45">
        <v>44264</v>
      </c>
      <c r="B9050" s="5" t="s">
        <v>5709</v>
      </c>
      <c r="C9050" s="5" t="s">
        <v>7143</v>
      </c>
      <c r="D9050" s="43">
        <v>1500</v>
      </c>
      <c r="E9050" s="43"/>
      <c r="F9050" s="48">
        <f t="shared" si="148"/>
        <v>162602</v>
      </c>
    </row>
    <row r="9051" spans="1:6" x14ac:dyDescent="0.3">
      <c r="A9051" s="45">
        <v>44264</v>
      </c>
      <c r="B9051" s="5" t="s">
        <v>25</v>
      </c>
      <c r="C9051" s="5" t="s">
        <v>4731</v>
      </c>
      <c r="D9051" s="43">
        <v>3000</v>
      </c>
      <c r="E9051" s="43"/>
      <c r="F9051" s="48">
        <f t="shared" si="148"/>
        <v>159602</v>
      </c>
    </row>
    <row r="9052" spans="1:6" x14ac:dyDescent="0.3">
      <c r="A9052" s="45">
        <v>44264</v>
      </c>
      <c r="B9052" s="5" t="s">
        <v>25</v>
      </c>
      <c r="C9052" s="5" t="s">
        <v>4276</v>
      </c>
      <c r="D9052" s="43">
        <f>480+100+520+280+50+70+150+280+40+130+400+150+300+600+280+150+140+1550+550+150+280+80+1400</f>
        <v>8130</v>
      </c>
      <c r="E9052" s="43"/>
      <c r="F9052" s="48">
        <f t="shared" si="148"/>
        <v>151472</v>
      </c>
    </row>
    <row r="9053" spans="1:6" x14ac:dyDescent="0.3">
      <c r="A9053" s="45">
        <v>44264</v>
      </c>
      <c r="B9053" s="5" t="s">
        <v>5156</v>
      </c>
      <c r="C9053" s="5" t="s">
        <v>6913</v>
      </c>
      <c r="D9053" s="43">
        <v>750</v>
      </c>
      <c r="E9053" s="43"/>
      <c r="F9053" s="48">
        <f t="shared" si="148"/>
        <v>150722</v>
      </c>
    </row>
    <row r="9054" spans="1:6" x14ac:dyDescent="0.3">
      <c r="A9054" s="45">
        <v>44264</v>
      </c>
      <c r="B9054" s="5" t="s">
        <v>25</v>
      </c>
      <c r="C9054" s="5" t="s">
        <v>7144</v>
      </c>
      <c r="D9054" s="43">
        <v>200</v>
      </c>
      <c r="E9054" s="43"/>
      <c r="F9054" s="48">
        <f t="shared" si="148"/>
        <v>150522</v>
      </c>
    </row>
    <row r="9055" spans="1:6" x14ac:dyDescent="0.3">
      <c r="A9055" s="45">
        <v>44264</v>
      </c>
      <c r="B9055" s="5" t="s">
        <v>6430</v>
      </c>
      <c r="C9055" s="5" t="s">
        <v>294</v>
      </c>
      <c r="D9055" s="43">
        <v>5000</v>
      </c>
      <c r="E9055" s="43"/>
      <c r="F9055" s="48">
        <f t="shared" si="148"/>
        <v>145522</v>
      </c>
    </row>
    <row r="9056" spans="1:6" x14ac:dyDescent="0.3">
      <c r="A9056" s="45">
        <v>44264</v>
      </c>
      <c r="B9056" s="5" t="s">
        <v>57</v>
      </c>
      <c r="C9056" s="5" t="s">
        <v>294</v>
      </c>
      <c r="D9056" s="43">
        <v>5000</v>
      </c>
      <c r="E9056" s="43"/>
      <c r="F9056" s="48">
        <f t="shared" si="148"/>
        <v>140522</v>
      </c>
    </row>
    <row r="9057" spans="1:6" x14ac:dyDescent="0.3">
      <c r="A9057" s="45">
        <v>44265</v>
      </c>
      <c r="B9057" s="39" t="s">
        <v>1512</v>
      </c>
      <c r="C9057" s="39" t="s">
        <v>6952</v>
      </c>
      <c r="D9057" s="43">
        <v>29835</v>
      </c>
      <c r="E9057" s="43"/>
      <c r="F9057" s="48">
        <f t="shared" si="148"/>
        <v>110687</v>
      </c>
    </row>
    <row r="9058" spans="1:6" x14ac:dyDescent="0.3">
      <c r="A9058" s="45">
        <v>44265</v>
      </c>
      <c r="B9058" s="5" t="s">
        <v>5162</v>
      </c>
      <c r="C9058" s="5" t="s">
        <v>7145</v>
      </c>
      <c r="D9058" s="43">
        <v>1000</v>
      </c>
      <c r="E9058" s="43"/>
      <c r="F9058" s="48">
        <f t="shared" si="148"/>
        <v>109687</v>
      </c>
    </row>
    <row r="9059" spans="1:6" x14ac:dyDescent="0.3">
      <c r="A9059" s="45">
        <v>44265</v>
      </c>
      <c r="B9059" s="5" t="s">
        <v>14</v>
      </c>
      <c r="C9059" s="5" t="s">
        <v>294</v>
      </c>
      <c r="D9059" s="43">
        <v>100000</v>
      </c>
      <c r="E9059" s="43"/>
      <c r="F9059" s="48">
        <f t="shared" si="148"/>
        <v>9687</v>
      </c>
    </row>
    <row r="9060" spans="1:6" ht="37.5" x14ac:dyDescent="0.3">
      <c r="A9060" s="45">
        <v>44265</v>
      </c>
      <c r="B9060" s="5" t="s">
        <v>1616</v>
      </c>
      <c r="C9060" s="92" t="s">
        <v>7147</v>
      </c>
      <c r="D9060" s="43">
        <v>7000</v>
      </c>
      <c r="E9060" s="43"/>
      <c r="F9060" s="48">
        <f t="shared" si="148"/>
        <v>2687</v>
      </c>
    </row>
    <row r="9061" spans="1:6" x14ac:dyDescent="0.3">
      <c r="A9061" s="45">
        <v>44265</v>
      </c>
      <c r="B9061" s="749" t="s">
        <v>7048</v>
      </c>
      <c r="C9061" s="750"/>
      <c r="D9061" s="751"/>
      <c r="E9061" s="43">
        <v>35000</v>
      </c>
      <c r="F9061" s="48">
        <f t="shared" si="148"/>
        <v>37687</v>
      </c>
    </row>
    <row r="9062" spans="1:6" x14ac:dyDescent="0.3">
      <c r="A9062" s="45">
        <v>44265</v>
      </c>
      <c r="B9062" s="5" t="s">
        <v>6908</v>
      </c>
      <c r="C9062" s="5" t="s">
        <v>7152</v>
      </c>
      <c r="D9062" s="43">
        <v>36500</v>
      </c>
      <c r="E9062" s="43"/>
      <c r="F9062" s="48">
        <f t="shared" si="148"/>
        <v>1187</v>
      </c>
    </row>
    <row r="9063" spans="1:6" x14ac:dyDescent="0.3">
      <c r="A9063" s="45">
        <v>44266</v>
      </c>
      <c r="B9063" s="749" t="s">
        <v>7048</v>
      </c>
      <c r="C9063" s="750"/>
      <c r="D9063" s="751"/>
      <c r="E9063" s="43">
        <v>50000</v>
      </c>
      <c r="F9063" s="48">
        <f t="shared" si="148"/>
        <v>51187</v>
      </c>
    </row>
    <row r="9064" spans="1:6" x14ac:dyDescent="0.3">
      <c r="A9064" s="45">
        <v>44266</v>
      </c>
      <c r="B9064" s="5" t="s">
        <v>57</v>
      </c>
      <c r="C9064" s="5" t="s">
        <v>294</v>
      </c>
      <c r="D9064" s="43">
        <v>20000</v>
      </c>
      <c r="E9064" s="43"/>
      <c r="F9064" s="48">
        <f t="shared" si="148"/>
        <v>31187</v>
      </c>
    </row>
    <row r="9065" spans="1:6" x14ac:dyDescent="0.3">
      <c r="A9065" s="45">
        <v>44266</v>
      </c>
      <c r="B9065" s="749" t="s">
        <v>4415</v>
      </c>
      <c r="C9065" s="750"/>
      <c r="D9065" s="751"/>
      <c r="E9065" s="43">
        <v>190000</v>
      </c>
      <c r="F9065" s="48">
        <f t="shared" si="148"/>
        <v>221187</v>
      </c>
    </row>
    <row r="9066" spans="1:6" x14ac:dyDescent="0.3">
      <c r="A9066" s="45">
        <v>44266</v>
      </c>
      <c r="B9066" s="5" t="s">
        <v>57</v>
      </c>
      <c r="C9066" s="5" t="s">
        <v>294</v>
      </c>
      <c r="D9066" s="43">
        <v>50000</v>
      </c>
      <c r="E9066" s="43"/>
      <c r="F9066" s="48">
        <f t="shared" si="148"/>
        <v>171187</v>
      </c>
    </row>
    <row r="9067" spans="1:6" x14ac:dyDescent="0.3">
      <c r="A9067" s="45">
        <v>44266</v>
      </c>
      <c r="B9067" s="5" t="s">
        <v>5709</v>
      </c>
      <c r="C9067" s="5" t="s">
        <v>294</v>
      </c>
      <c r="D9067" s="43">
        <v>15000</v>
      </c>
      <c r="E9067" s="43"/>
      <c r="F9067" s="48">
        <f t="shared" si="148"/>
        <v>156187</v>
      </c>
    </row>
    <row r="9068" spans="1:6" x14ac:dyDescent="0.3">
      <c r="A9068" s="45">
        <v>44266</v>
      </c>
      <c r="B9068" s="39" t="s">
        <v>1512</v>
      </c>
      <c r="C9068" s="39" t="s">
        <v>6557</v>
      </c>
      <c r="D9068" s="43">
        <v>99362</v>
      </c>
      <c r="E9068" s="43"/>
      <c r="F9068" s="48">
        <f>F9067+E9068-D9068</f>
        <v>56825</v>
      </c>
    </row>
    <row r="9069" spans="1:6" x14ac:dyDescent="0.3">
      <c r="A9069" s="45">
        <v>44266</v>
      </c>
      <c r="B9069" s="5" t="s">
        <v>18</v>
      </c>
      <c r="C9069" s="5" t="s">
        <v>294</v>
      </c>
      <c r="D9069" s="43">
        <v>5000</v>
      </c>
      <c r="E9069" s="43"/>
      <c r="F9069" s="48">
        <f t="shared" si="148"/>
        <v>51825</v>
      </c>
    </row>
    <row r="9070" spans="1:6" x14ac:dyDescent="0.3">
      <c r="A9070" s="45">
        <v>44266</v>
      </c>
      <c r="B9070" s="234" t="s">
        <v>84</v>
      </c>
      <c r="C9070" s="234" t="s">
        <v>7153</v>
      </c>
      <c r="D9070" s="245">
        <v>200</v>
      </c>
      <c r="E9070" s="43"/>
      <c r="F9070" s="48">
        <f t="shared" si="148"/>
        <v>51625</v>
      </c>
    </row>
    <row r="9071" spans="1:6" x14ac:dyDescent="0.3">
      <c r="A9071" s="45">
        <v>44266</v>
      </c>
      <c r="B9071" s="5" t="s">
        <v>6341</v>
      </c>
      <c r="C9071" s="5" t="s">
        <v>7155</v>
      </c>
      <c r="D9071" s="43">
        <v>25000</v>
      </c>
      <c r="E9071" s="43"/>
      <c r="F9071" s="48">
        <f t="shared" si="148"/>
        <v>26625</v>
      </c>
    </row>
    <row r="9072" spans="1:6" x14ac:dyDescent="0.3">
      <c r="A9072" s="45">
        <v>44266</v>
      </c>
      <c r="B9072" s="5" t="s">
        <v>6341</v>
      </c>
      <c r="C9072" s="5" t="s">
        <v>7154</v>
      </c>
      <c r="D9072" s="43">
        <v>6300</v>
      </c>
      <c r="E9072" s="43"/>
      <c r="F9072" s="48">
        <f t="shared" si="148"/>
        <v>20325</v>
      </c>
    </row>
    <row r="9073" spans="1:6" x14ac:dyDescent="0.3">
      <c r="A9073" s="45">
        <v>44266</v>
      </c>
      <c r="B9073" s="749" t="s">
        <v>4415</v>
      </c>
      <c r="C9073" s="750"/>
      <c r="D9073" s="751"/>
      <c r="E9073" s="43">
        <v>250000</v>
      </c>
      <c r="F9073" s="48">
        <f>F9072+E9073-D9073</f>
        <v>270325</v>
      </c>
    </row>
    <row r="9074" spans="1:6" x14ac:dyDescent="0.3">
      <c r="A9074" s="45">
        <v>44266</v>
      </c>
      <c r="B9074" s="5" t="s">
        <v>6430</v>
      </c>
      <c r="C9074" s="5" t="s">
        <v>294</v>
      </c>
      <c r="D9074" s="43">
        <v>5000</v>
      </c>
      <c r="E9074" s="43"/>
      <c r="F9074" s="48">
        <f t="shared" si="148"/>
        <v>265325</v>
      </c>
    </row>
    <row r="9075" spans="1:6" x14ac:dyDescent="0.3">
      <c r="A9075" s="45">
        <v>44267</v>
      </c>
      <c r="B9075" s="246" t="s">
        <v>7156</v>
      </c>
      <c r="C9075" s="246" t="s">
        <v>7157</v>
      </c>
      <c r="D9075" s="247">
        <v>45000</v>
      </c>
      <c r="E9075" s="43"/>
      <c r="F9075" s="48">
        <f t="shared" si="148"/>
        <v>220325</v>
      </c>
    </row>
    <row r="9076" spans="1:6" x14ac:dyDescent="0.3">
      <c r="A9076" s="45">
        <v>44267</v>
      </c>
      <c r="B9076" s="246" t="s">
        <v>7158</v>
      </c>
      <c r="C9076" s="246" t="s">
        <v>7159</v>
      </c>
      <c r="D9076" s="247">
        <v>2170</v>
      </c>
      <c r="E9076" s="43"/>
      <c r="F9076" s="48">
        <f t="shared" si="148"/>
        <v>218155</v>
      </c>
    </row>
    <row r="9077" spans="1:6" x14ac:dyDescent="0.3">
      <c r="A9077" s="45">
        <v>44267</v>
      </c>
      <c r="B9077" s="5" t="s">
        <v>1012</v>
      </c>
      <c r="C9077" s="5" t="s">
        <v>7160</v>
      </c>
      <c r="D9077" s="43">
        <v>15000</v>
      </c>
      <c r="E9077" s="43"/>
      <c r="F9077" s="48">
        <f t="shared" si="148"/>
        <v>203155</v>
      </c>
    </row>
    <row r="9078" spans="1:6" x14ac:dyDescent="0.3">
      <c r="A9078" s="45">
        <v>44267</v>
      </c>
      <c r="B9078" s="5" t="s">
        <v>5618</v>
      </c>
      <c r="C9078" s="5" t="s">
        <v>7159</v>
      </c>
      <c r="D9078" s="43">
        <v>9000</v>
      </c>
      <c r="E9078" s="43"/>
      <c r="F9078" s="48">
        <f t="shared" si="148"/>
        <v>194155</v>
      </c>
    </row>
    <row r="9079" spans="1:6" x14ac:dyDescent="0.3">
      <c r="A9079" s="45">
        <v>44267</v>
      </c>
      <c r="B9079" s="5" t="s">
        <v>0</v>
      </c>
      <c r="C9079" s="5" t="s">
        <v>294</v>
      </c>
      <c r="D9079" s="43">
        <v>30000</v>
      </c>
      <c r="E9079" s="43"/>
      <c r="F9079" s="48">
        <f t="shared" si="148"/>
        <v>164155</v>
      </c>
    </row>
    <row r="9080" spans="1:6" x14ac:dyDescent="0.3">
      <c r="A9080" s="45">
        <v>44267</v>
      </c>
      <c r="B9080" s="749" t="s">
        <v>7161</v>
      </c>
      <c r="C9080" s="750"/>
      <c r="D9080" s="751"/>
      <c r="E9080" s="43">
        <v>57500</v>
      </c>
      <c r="F9080" s="48">
        <f t="shared" si="148"/>
        <v>221655</v>
      </c>
    </row>
    <row r="9081" spans="1:6" x14ac:dyDescent="0.3">
      <c r="A9081" s="45">
        <v>44267</v>
      </c>
      <c r="B9081" s="5" t="s">
        <v>0</v>
      </c>
      <c r="C9081" s="5" t="s">
        <v>7162</v>
      </c>
      <c r="D9081" s="43">
        <v>5000</v>
      </c>
      <c r="E9081" s="43"/>
      <c r="F9081" s="48">
        <f t="shared" si="148"/>
        <v>216655</v>
      </c>
    </row>
    <row r="9082" spans="1:6" x14ac:dyDescent="0.3">
      <c r="A9082" s="45">
        <v>44267</v>
      </c>
      <c r="B9082" s="5" t="s">
        <v>0</v>
      </c>
      <c r="C9082" s="5" t="s">
        <v>294</v>
      </c>
      <c r="D9082" s="43">
        <v>131000</v>
      </c>
      <c r="E9082" s="43"/>
      <c r="F9082" s="48">
        <f t="shared" si="148"/>
        <v>85655</v>
      </c>
    </row>
    <row r="9083" spans="1:6" x14ac:dyDescent="0.3">
      <c r="A9083" s="45">
        <v>44267</v>
      </c>
      <c r="B9083" s="5" t="s">
        <v>7165</v>
      </c>
      <c r="C9083" s="5" t="s">
        <v>7166</v>
      </c>
      <c r="D9083" s="43">
        <v>35000</v>
      </c>
      <c r="E9083" s="43"/>
      <c r="F9083" s="48">
        <f t="shared" si="148"/>
        <v>50655</v>
      </c>
    </row>
    <row r="9084" spans="1:6" x14ac:dyDescent="0.3">
      <c r="A9084" s="45">
        <v>44267</v>
      </c>
      <c r="B9084" s="5" t="s">
        <v>7163</v>
      </c>
      <c r="C9084" s="5" t="s">
        <v>40</v>
      </c>
      <c r="D9084" s="43">
        <v>1200</v>
      </c>
      <c r="E9084" s="43"/>
      <c r="F9084" s="48">
        <f t="shared" si="148"/>
        <v>49455</v>
      </c>
    </row>
    <row r="9085" spans="1:6" x14ac:dyDescent="0.3">
      <c r="A9085" s="45">
        <v>44267</v>
      </c>
      <c r="B9085" s="5" t="s">
        <v>3559</v>
      </c>
      <c r="C9085" s="5" t="s">
        <v>7164</v>
      </c>
      <c r="D9085" s="43">
        <v>25000</v>
      </c>
      <c r="E9085" s="43"/>
      <c r="F9085" s="48">
        <f t="shared" si="148"/>
        <v>24455</v>
      </c>
    </row>
    <row r="9086" spans="1:6" x14ac:dyDescent="0.3">
      <c r="A9086" s="45">
        <v>44268</v>
      </c>
      <c r="B9086" s="5" t="s">
        <v>25</v>
      </c>
      <c r="C9086" s="5" t="s">
        <v>4276</v>
      </c>
      <c r="D9086" s="43">
        <f>800+600+40+440+280+90+90+800+100+40+20+90+360+170+100+100+280+25</f>
        <v>4425</v>
      </c>
      <c r="E9086" s="43"/>
      <c r="F9086" s="48">
        <f t="shared" si="148"/>
        <v>20030</v>
      </c>
    </row>
    <row r="9087" spans="1:6" x14ac:dyDescent="0.3">
      <c r="A9087" s="45">
        <v>44268</v>
      </c>
      <c r="B9087" s="5" t="s">
        <v>25</v>
      </c>
      <c r="C9087" s="5" t="s">
        <v>7167</v>
      </c>
      <c r="D9087" s="43">
        <v>860</v>
      </c>
      <c r="E9087" s="43"/>
      <c r="F9087" s="48">
        <f t="shared" si="148"/>
        <v>19170</v>
      </c>
    </row>
    <row r="9088" spans="1:6" x14ac:dyDescent="0.3">
      <c r="A9088" s="45">
        <v>44268</v>
      </c>
      <c r="B9088" s="5" t="s">
        <v>6908</v>
      </c>
      <c r="C9088" s="5" t="s">
        <v>7168</v>
      </c>
      <c r="D9088" s="43">
        <v>7000</v>
      </c>
      <c r="E9088" s="43"/>
      <c r="F9088" s="48">
        <f t="shared" si="148"/>
        <v>12170</v>
      </c>
    </row>
    <row r="9089" spans="1:6" x14ac:dyDescent="0.3">
      <c r="A9089" s="45">
        <v>44268</v>
      </c>
      <c r="B9089" s="5" t="s">
        <v>84</v>
      </c>
      <c r="C9089" s="5" t="s">
        <v>7169</v>
      </c>
      <c r="D9089" s="43">
        <v>2000</v>
      </c>
      <c r="E9089" s="43"/>
      <c r="F9089" s="48">
        <f t="shared" si="148"/>
        <v>10170</v>
      </c>
    </row>
    <row r="9090" spans="1:6" x14ac:dyDescent="0.3">
      <c r="A9090" s="45">
        <v>44268</v>
      </c>
      <c r="B9090" s="5" t="s">
        <v>25</v>
      </c>
      <c r="C9090" s="5" t="s">
        <v>7179</v>
      </c>
      <c r="D9090" s="43">
        <v>230</v>
      </c>
      <c r="E9090" s="43"/>
      <c r="F9090" s="48">
        <f t="shared" si="148"/>
        <v>9940</v>
      </c>
    </row>
    <row r="9091" spans="1:6" ht="37.5" x14ac:dyDescent="0.3">
      <c r="A9091" s="45">
        <v>44270</v>
      </c>
      <c r="B9091" s="5" t="s">
        <v>25</v>
      </c>
      <c r="C9091" s="92" t="s">
        <v>7181</v>
      </c>
      <c r="D9091" s="43">
        <v>2000</v>
      </c>
      <c r="E9091" s="43"/>
      <c r="F9091" s="48">
        <f t="shared" si="148"/>
        <v>7940</v>
      </c>
    </row>
    <row r="9092" spans="1:6" x14ac:dyDescent="0.3">
      <c r="A9092" s="45">
        <v>44270</v>
      </c>
      <c r="B9092" s="5" t="s">
        <v>1837</v>
      </c>
      <c r="C9092" s="5" t="s">
        <v>7182</v>
      </c>
      <c r="D9092" s="43">
        <v>1000</v>
      </c>
      <c r="E9092" s="43"/>
      <c r="F9092" s="48">
        <f t="shared" si="148"/>
        <v>6940</v>
      </c>
    </row>
    <row r="9093" spans="1:6" x14ac:dyDescent="0.3">
      <c r="A9093" s="45">
        <v>44270</v>
      </c>
      <c r="B9093" s="5" t="s">
        <v>57</v>
      </c>
      <c r="C9093" s="5" t="s">
        <v>4187</v>
      </c>
      <c r="D9093" s="43">
        <v>3000</v>
      </c>
      <c r="E9093" s="43"/>
      <c r="F9093" s="48">
        <f t="shared" si="148"/>
        <v>3940</v>
      </c>
    </row>
    <row r="9094" spans="1:6" x14ac:dyDescent="0.3">
      <c r="A9094" s="45">
        <v>44270</v>
      </c>
      <c r="B9094" s="749" t="s">
        <v>861</v>
      </c>
      <c r="C9094" s="750"/>
      <c r="D9094" s="751"/>
      <c r="E9094" s="43">
        <v>50000</v>
      </c>
      <c r="F9094" s="48">
        <f t="shared" si="148"/>
        <v>53940</v>
      </c>
    </row>
    <row r="9095" spans="1:6" x14ac:dyDescent="0.3">
      <c r="A9095" s="45">
        <v>44270</v>
      </c>
      <c r="B9095" s="5" t="s">
        <v>6341</v>
      </c>
      <c r="C9095" s="5" t="s">
        <v>7183</v>
      </c>
      <c r="D9095" s="43">
        <v>11000</v>
      </c>
      <c r="E9095" s="43"/>
      <c r="F9095" s="48">
        <f t="shared" si="148"/>
        <v>42940</v>
      </c>
    </row>
    <row r="9096" spans="1:6" x14ac:dyDescent="0.3">
      <c r="A9096" s="45">
        <v>44270</v>
      </c>
      <c r="B9096" s="5" t="s">
        <v>6430</v>
      </c>
      <c r="C9096" s="5" t="s">
        <v>7184</v>
      </c>
      <c r="D9096" s="43">
        <v>3000</v>
      </c>
      <c r="E9096" s="43"/>
      <c r="F9096" s="48">
        <f t="shared" si="148"/>
        <v>39940</v>
      </c>
    </row>
    <row r="9097" spans="1:6" x14ac:dyDescent="0.3">
      <c r="A9097" s="45">
        <v>44270</v>
      </c>
      <c r="B9097" s="5" t="s">
        <v>84</v>
      </c>
      <c r="C9097" s="5" t="s">
        <v>7191</v>
      </c>
      <c r="D9097" s="43">
        <v>4000</v>
      </c>
      <c r="E9097" s="43"/>
      <c r="F9097" s="48">
        <f t="shared" si="148"/>
        <v>35940</v>
      </c>
    </row>
    <row r="9098" spans="1:6" x14ac:dyDescent="0.3">
      <c r="A9098" s="45">
        <v>44270</v>
      </c>
      <c r="B9098" s="5" t="s">
        <v>84</v>
      </c>
      <c r="C9098" s="5" t="s">
        <v>7192</v>
      </c>
      <c r="D9098" s="43">
        <v>1000</v>
      </c>
      <c r="E9098" s="43"/>
      <c r="F9098" s="48">
        <f t="shared" si="148"/>
        <v>34940</v>
      </c>
    </row>
    <row r="9099" spans="1:6" x14ac:dyDescent="0.3">
      <c r="A9099" s="45">
        <v>44270</v>
      </c>
      <c r="B9099" s="5" t="s">
        <v>25</v>
      </c>
      <c r="C9099" s="5" t="s">
        <v>7193</v>
      </c>
      <c r="D9099" s="43">
        <v>3175</v>
      </c>
      <c r="E9099" s="43"/>
      <c r="F9099" s="48">
        <f t="shared" si="148"/>
        <v>31765</v>
      </c>
    </row>
    <row r="9100" spans="1:6" x14ac:dyDescent="0.3">
      <c r="A9100" s="45">
        <v>44270</v>
      </c>
      <c r="B9100" s="5" t="s">
        <v>18</v>
      </c>
      <c r="C9100" s="5" t="s">
        <v>7194</v>
      </c>
      <c r="D9100" s="43">
        <v>10000</v>
      </c>
      <c r="E9100" s="43"/>
      <c r="F9100" s="48">
        <f t="shared" si="148"/>
        <v>21765</v>
      </c>
    </row>
    <row r="9101" spans="1:6" x14ac:dyDescent="0.3">
      <c r="A9101" s="45">
        <v>44270</v>
      </c>
      <c r="B9101" s="5" t="s">
        <v>0</v>
      </c>
      <c r="C9101" s="5" t="s">
        <v>294</v>
      </c>
      <c r="D9101" s="43">
        <v>5000</v>
      </c>
      <c r="E9101" s="43"/>
      <c r="F9101" s="48">
        <f t="shared" si="148"/>
        <v>16765</v>
      </c>
    </row>
    <row r="9102" spans="1:6" x14ac:dyDescent="0.3">
      <c r="A9102" s="45">
        <v>44271</v>
      </c>
      <c r="B9102" s="749" t="s">
        <v>7195</v>
      </c>
      <c r="C9102" s="750"/>
      <c r="D9102" s="751"/>
      <c r="E9102" s="43">
        <v>30000</v>
      </c>
      <c r="F9102" s="48">
        <f t="shared" si="148"/>
        <v>46765</v>
      </c>
    </row>
    <row r="9103" spans="1:6" x14ac:dyDescent="0.3">
      <c r="A9103" s="45">
        <v>44271</v>
      </c>
      <c r="B9103" s="5" t="s">
        <v>0</v>
      </c>
      <c r="C9103" s="5" t="s">
        <v>294</v>
      </c>
      <c r="D9103" s="43">
        <v>20000</v>
      </c>
      <c r="E9103" s="43"/>
      <c r="F9103" s="48">
        <f t="shared" si="148"/>
        <v>26765</v>
      </c>
    </row>
    <row r="9104" spans="1:6" x14ac:dyDescent="0.3">
      <c r="A9104" s="45">
        <v>44271</v>
      </c>
      <c r="B9104" s="5" t="s">
        <v>4869</v>
      </c>
      <c r="C9104" s="5" t="s">
        <v>40</v>
      </c>
      <c r="D9104" s="43">
        <v>4170</v>
      </c>
      <c r="E9104" s="43"/>
      <c r="F9104" s="48">
        <f t="shared" ref="F9104:F9167" si="149">F9103+E9104-D9104</f>
        <v>22595</v>
      </c>
    </row>
    <row r="9105" spans="1:6" x14ac:dyDescent="0.3">
      <c r="A9105" s="45">
        <v>44271</v>
      </c>
      <c r="B9105" s="5" t="s">
        <v>25</v>
      </c>
      <c r="C9105" s="5" t="s">
        <v>2013</v>
      </c>
      <c r="D9105" s="43">
        <v>160</v>
      </c>
      <c r="E9105" s="43"/>
      <c r="F9105" s="48">
        <f t="shared" si="149"/>
        <v>22435</v>
      </c>
    </row>
    <row r="9106" spans="1:6" x14ac:dyDescent="0.3">
      <c r="A9106" s="45">
        <v>44271</v>
      </c>
      <c r="B9106" s="5" t="s">
        <v>1787</v>
      </c>
      <c r="C9106" s="5" t="s">
        <v>40</v>
      </c>
      <c r="D9106" s="43">
        <v>1200</v>
      </c>
      <c r="E9106" s="43"/>
      <c r="F9106" s="48">
        <f t="shared" si="149"/>
        <v>21235</v>
      </c>
    </row>
    <row r="9107" spans="1:6" x14ac:dyDescent="0.3">
      <c r="A9107" s="45">
        <v>44271</v>
      </c>
      <c r="B9107" s="5" t="s">
        <v>5709</v>
      </c>
      <c r="C9107" s="5" t="s">
        <v>40</v>
      </c>
      <c r="D9107" s="43">
        <v>5000</v>
      </c>
      <c r="E9107" s="43"/>
      <c r="F9107" s="48">
        <f t="shared" si="149"/>
        <v>16235</v>
      </c>
    </row>
    <row r="9108" spans="1:6" x14ac:dyDescent="0.3">
      <c r="A9108" s="45">
        <v>44271</v>
      </c>
      <c r="B9108" s="5" t="s">
        <v>6430</v>
      </c>
      <c r="C9108" s="5" t="s">
        <v>294</v>
      </c>
      <c r="D9108" s="43">
        <v>950</v>
      </c>
      <c r="E9108" s="43"/>
      <c r="F9108" s="48">
        <f t="shared" si="149"/>
        <v>15285</v>
      </c>
    </row>
    <row r="9109" spans="1:6" x14ac:dyDescent="0.3">
      <c r="A9109" s="45">
        <v>44272</v>
      </c>
      <c r="B9109" s="749" t="s">
        <v>7196</v>
      </c>
      <c r="C9109" s="750"/>
      <c r="D9109" s="751"/>
      <c r="E9109" s="43">
        <v>100000</v>
      </c>
      <c r="F9109" s="48">
        <f t="shared" si="149"/>
        <v>115285</v>
      </c>
    </row>
    <row r="9110" spans="1:6" x14ac:dyDescent="0.3">
      <c r="A9110" s="45">
        <v>44272</v>
      </c>
      <c r="B9110" s="5" t="s">
        <v>54</v>
      </c>
      <c r="C9110" s="5" t="s">
        <v>7197</v>
      </c>
      <c r="D9110" s="43">
        <f>15000+16500</f>
        <v>31500</v>
      </c>
      <c r="E9110" s="43"/>
      <c r="F9110" s="48">
        <f t="shared" si="149"/>
        <v>83785</v>
      </c>
    </row>
    <row r="9111" spans="1:6" x14ac:dyDescent="0.3">
      <c r="A9111" s="45">
        <v>44272</v>
      </c>
      <c r="B9111" s="5" t="s">
        <v>5665</v>
      </c>
      <c r="C9111" s="5" t="s">
        <v>7202</v>
      </c>
      <c r="D9111" s="43">
        <v>20000</v>
      </c>
      <c r="E9111" s="43"/>
      <c r="F9111" s="48">
        <f t="shared" si="149"/>
        <v>63785</v>
      </c>
    </row>
    <row r="9112" spans="1:6" x14ac:dyDescent="0.3">
      <c r="A9112" s="45">
        <v>44272</v>
      </c>
      <c r="B9112" s="5" t="s">
        <v>4550</v>
      </c>
      <c r="C9112" s="5" t="s">
        <v>7203</v>
      </c>
      <c r="D9112" s="43">
        <v>20000</v>
      </c>
      <c r="E9112" s="43"/>
      <c r="F9112" s="48">
        <f t="shared" si="149"/>
        <v>43785</v>
      </c>
    </row>
    <row r="9113" spans="1:6" x14ac:dyDescent="0.3">
      <c r="A9113" s="45">
        <v>44272</v>
      </c>
      <c r="B9113" s="5" t="s">
        <v>5162</v>
      </c>
      <c r="C9113" s="5" t="s">
        <v>7204</v>
      </c>
      <c r="D9113" s="43">
        <v>600</v>
      </c>
      <c r="E9113" s="43"/>
      <c r="F9113" s="48">
        <f t="shared" si="149"/>
        <v>43185</v>
      </c>
    </row>
    <row r="9114" spans="1:6" x14ac:dyDescent="0.3">
      <c r="A9114" s="45">
        <v>44273</v>
      </c>
      <c r="B9114" s="5" t="s">
        <v>7214</v>
      </c>
      <c r="C9114" s="5" t="s">
        <v>7206</v>
      </c>
      <c r="D9114" s="43">
        <v>10000</v>
      </c>
      <c r="E9114" s="43"/>
      <c r="F9114" s="48">
        <f t="shared" si="149"/>
        <v>33185</v>
      </c>
    </row>
    <row r="9115" spans="1:6" x14ac:dyDescent="0.3">
      <c r="A9115" s="45">
        <v>44273</v>
      </c>
      <c r="B9115" s="5" t="s">
        <v>0</v>
      </c>
      <c r="C9115" s="5" t="s">
        <v>294</v>
      </c>
      <c r="D9115" s="43">
        <v>10000</v>
      </c>
      <c r="E9115" s="43"/>
      <c r="F9115" s="48">
        <f t="shared" si="149"/>
        <v>23185</v>
      </c>
    </row>
    <row r="9116" spans="1:6" x14ac:dyDescent="0.3">
      <c r="A9116" s="45">
        <v>44273</v>
      </c>
      <c r="B9116" s="5" t="s">
        <v>1837</v>
      </c>
      <c r="C9116" s="5" t="s">
        <v>294</v>
      </c>
      <c r="D9116" s="43">
        <v>2000</v>
      </c>
      <c r="E9116" s="43"/>
      <c r="F9116" s="48">
        <f t="shared" si="149"/>
        <v>21185</v>
      </c>
    </row>
    <row r="9117" spans="1:6" ht="56.25" x14ac:dyDescent="0.3">
      <c r="A9117" s="45">
        <v>44273</v>
      </c>
      <c r="B9117" s="5" t="s">
        <v>1074</v>
      </c>
      <c r="C9117" s="92" t="s">
        <v>7218</v>
      </c>
      <c r="D9117" s="43">
        <f>8010+5000</f>
        <v>13010</v>
      </c>
      <c r="E9117" s="43"/>
      <c r="F9117" s="48">
        <f t="shared" si="149"/>
        <v>8175</v>
      </c>
    </row>
    <row r="9118" spans="1:6" x14ac:dyDescent="0.3">
      <c r="A9118" s="45">
        <v>44273</v>
      </c>
      <c r="B9118" s="5" t="s">
        <v>84</v>
      </c>
      <c r="C9118" s="5" t="s">
        <v>7207</v>
      </c>
      <c r="D9118" s="43">
        <v>3000</v>
      </c>
      <c r="E9118" s="43"/>
      <c r="F9118" s="48">
        <f t="shared" si="149"/>
        <v>5175</v>
      </c>
    </row>
    <row r="9119" spans="1:6" x14ac:dyDescent="0.3">
      <c r="A9119" s="45">
        <v>44273</v>
      </c>
      <c r="B9119" s="749" t="s">
        <v>7088</v>
      </c>
      <c r="C9119" s="750"/>
      <c r="D9119" s="751"/>
      <c r="E9119" s="43">
        <v>150000</v>
      </c>
      <c r="F9119" s="48">
        <f t="shared" si="149"/>
        <v>155175</v>
      </c>
    </row>
    <row r="9120" spans="1:6" x14ac:dyDescent="0.3">
      <c r="A9120" s="45">
        <v>44273</v>
      </c>
      <c r="B9120" s="5" t="s">
        <v>7156</v>
      </c>
      <c r="C9120" s="5" t="s">
        <v>7208</v>
      </c>
      <c r="D9120" s="43">
        <v>70000</v>
      </c>
      <c r="E9120" s="43"/>
      <c r="F9120" s="48">
        <f t="shared" si="149"/>
        <v>85175</v>
      </c>
    </row>
    <row r="9121" spans="1:12" x14ac:dyDescent="0.3">
      <c r="A9121" s="45">
        <v>44273</v>
      </c>
      <c r="B9121" s="5" t="s">
        <v>7099</v>
      </c>
      <c r="C9121" s="5" t="s">
        <v>7209</v>
      </c>
      <c r="D9121" s="43">
        <v>4700</v>
      </c>
      <c r="E9121" s="43"/>
      <c r="F9121" s="48">
        <f t="shared" si="149"/>
        <v>80475</v>
      </c>
    </row>
    <row r="9122" spans="1:12" x14ac:dyDescent="0.3">
      <c r="A9122" s="45">
        <v>44273</v>
      </c>
      <c r="B9122" s="5" t="s">
        <v>84</v>
      </c>
      <c r="C9122" s="5" t="s">
        <v>7210</v>
      </c>
      <c r="D9122" s="43">
        <v>5000</v>
      </c>
      <c r="E9122" s="43"/>
      <c r="F9122" s="48">
        <f t="shared" si="149"/>
        <v>75475</v>
      </c>
      <c r="L9122" s="135"/>
    </row>
    <row r="9123" spans="1:12" x14ac:dyDescent="0.3">
      <c r="A9123" s="45">
        <v>44274</v>
      </c>
      <c r="B9123" s="5" t="s">
        <v>107</v>
      </c>
      <c r="C9123" s="5" t="s">
        <v>7211</v>
      </c>
      <c r="D9123" s="43">
        <v>1400</v>
      </c>
      <c r="E9123" s="43"/>
      <c r="F9123" s="48">
        <f t="shared" si="149"/>
        <v>74075</v>
      </c>
      <c r="K9123" s="238"/>
      <c r="L9123" s="238"/>
    </row>
    <row r="9124" spans="1:12" x14ac:dyDescent="0.3">
      <c r="A9124" s="45">
        <v>44274</v>
      </c>
      <c r="B9124" s="5" t="s">
        <v>107</v>
      </c>
      <c r="C9124" s="5" t="s">
        <v>4723</v>
      </c>
      <c r="D9124" s="43">
        <v>1000</v>
      </c>
      <c r="E9124" s="43"/>
      <c r="F9124" s="48">
        <f t="shared" si="149"/>
        <v>73075</v>
      </c>
    </row>
    <row r="9125" spans="1:12" x14ac:dyDescent="0.3">
      <c r="A9125" s="45">
        <v>44274</v>
      </c>
      <c r="B9125" s="5" t="s">
        <v>25</v>
      </c>
      <c r="C9125" s="5" t="s">
        <v>4276</v>
      </c>
      <c r="D9125" s="43">
        <v>8257</v>
      </c>
      <c r="E9125" s="43"/>
      <c r="F9125" s="48">
        <f t="shared" si="149"/>
        <v>64818</v>
      </c>
      <c r="L9125" s="248"/>
    </row>
    <row r="9126" spans="1:12" x14ac:dyDescent="0.3">
      <c r="A9126" s="45">
        <v>44274</v>
      </c>
      <c r="B9126" s="5" t="s">
        <v>5938</v>
      </c>
      <c r="C9126" s="5" t="s">
        <v>5508</v>
      </c>
      <c r="D9126" s="43">
        <v>20000</v>
      </c>
      <c r="E9126" s="43"/>
      <c r="F9126" s="48">
        <f t="shared" si="149"/>
        <v>44818</v>
      </c>
    </row>
    <row r="9127" spans="1:12" x14ac:dyDescent="0.3">
      <c r="A9127" s="45">
        <v>44274</v>
      </c>
      <c r="B9127" s="5" t="s">
        <v>7040</v>
      </c>
      <c r="C9127" s="5" t="s">
        <v>40</v>
      </c>
      <c r="D9127" s="43">
        <v>1000</v>
      </c>
      <c r="E9127" s="43"/>
      <c r="F9127" s="48">
        <f t="shared" si="149"/>
        <v>43818</v>
      </c>
    </row>
    <row r="9128" spans="1:12" x14ac:dyDescent="0.3">
      <c r="A9128" s="45">
        <v>44274</v>
      </c>
      <c r="B9128" s="5" t="s">
        <v>7216</v>
      </c>
      <c r="C9128" s="5" t="s">
        <v>7217</v>
      </c>
      <c r="D9128" s="43">
        <v>100</v>
      </c>
      <c r="E9128" s="43"/>
      <c r="F9128" s="48">
        <f t="shared" si="149"/>
        <v>43718</v>
      </c>
    </row>
    <row r="9129" spans="1:12" x14ac:dyDescent="0.3">
      <c r="A9129" s="45">
        <v>44274</v>
      </c>
      <c r="B9129" s="5" t="s">
        <v>7040</v>
      </c>
      <c r="C9129" s="5" t="s">
        <v>5508</v>
      </c>
      <c r="D9129" s="43">
        <v>10000</v>
      </c>
      <c r="E9129" s="43"/>
      <c r="F9129" s="48">
        <f t="shared" si="149"/>
        <v>33718</v>
      </c>
    </row>
    <row r="9130" spans="1:12" x14ac:dyDescent="0.3">
      <c r="A9130" s="45">
        <v>44274</v>
      </c>
      <c r="B9130" s="5" t="s">
        <v>14</v>
      </c>
      <c r="C9130" s="5" t="s">
        <v>5508</v>
      </c>
      <c r="D9130" s="43">
        <v>10000</v>
      </c>
      <c r="E9130" s="43"/>
      <c r="F9130" s="48">
        <f t="shared" si="149"/>
        <v>23718</v>
      </c>
    </row>
    <row r="9131" spans="1:12" x14ac:dyDescent="0.3">
      <c r="A9131" s="45">
        <v>44274</v>
      </c>
      <c r="B9131" s="5" t="s">
        <v>6341</v>
      </c>
      <c r="C9131" s="5" t="s">
        <v>7219</v>
      </c>
      <c r="D9131" s="43">
        <v>10000</v>
      </c>
      <c r="E9131" s="43"/>
      <c r="F9131" s="48">
        <f t="shared" si="149"/>
        <v>13718</v>
      </c>
    </row>
    <row r="9132" spans="1:12" x14ac:dyDescent="0.3">
      <c r="A9132" s="45">
        <v>44274</v>
      </c>
      <c r="B9132" s="5" t="s">
        <v>6430</v>
      </c>
      <c r="C9132" s="5" t="s">
        <v>7220</v>
      </c>
      <c r="D9132" s="43">
        <v>5000</v>
      </c>
      <c r="E9132" s="43"/>
      <c r="F9132" s="48">
        <f t="shared" si="149"/>
        <v>8718</v>
      </c>
    </row>
    <row r="9133" spans="1:12" x14ac:dyDescent="0.3">
      <c r="A9133" s="45">
        <v>44274</v>
      </c>
      <c r="B9133" s="5" t="s">
        <v>64</v>
      </c>
      <c r="C9133" s="5" t="s">
        <v>40</v>
      </c>
      <c r="D9133" s="43">
        <v>3000</v>
      </c>
      <c r="E9133" s="43"/>
      <c r="F9133" s="48">
        <f t="shared" si="149"/>
        <v>5718</v>
      </c>
    </row>
    <row r="9134" spans="1:12" x14ac:dyDescent="0.3">
      <c r="A9134" s="45">
        <v>44274</v>
      </c>
      <c r="B9134" s="5" t="s">
        <v>6908</v>
      </c>
      <c r="C9134" s="5" t="s">
        <v>7221</v>
      </c>
      <c r="D9134" s="43">
        <v>3000</v>
      </c>
      <c r="E9134" s="43"/>
      <c r="F9134" s="48">
        <f t="shared" si="149"/>
        <v>2718</v>
      </c>
    </row>
    <row r="9135" spans="1:12" x14ac:dyDescent="0.3">
      <c r="A9135" s="45">
        <v>44277</v>
      </c>
      <c r="B9135" s="749" t="s">
        <v>3444</v>
      </c>
      <c r="C9135" s="750"/>
      <c r="D9135" s="751"/>
      <c r="E9135" s="43">
        <v>150000</v>
      </c>
      <c r="F9135" s="48">
        <f t="shared" si="149"/>
        <v>152718</v>
      </c>
    </row>
    <row r="9136" spans="1:12" x14ac:dyDescent="0.3">
      <c r="A9136" s="45">
        <v>44277</v>
      </c>
      <c r="B9136" s="5" t="s">
        <v>0</v>
      </c>
      <c r="C9136" s="5" t="s">
        <v>294</v>
      </c>
      <c r="D9136" s="43">
        <v>40000</v>
      </c>
      <c r="E9136" s="43"/>
      <c r="F9136" s="48">
        <f t="shared" si="149"/>
        <v>112718</v>
      </c>
    </row>
    <row r="9137" spans="1:6" x14ac:dyDescent="0.3">
      <c r="A9137" s="45">
        <v>44277</v>
      </c>
      <c r="B9137" s="5" t="s">
        <v>14</v>
      </c>
      <c r="C9137" s="5" t="s">
        <v>294</v>
      </c>
      <c r="D9137" s="43">
        <v>25000</v>
      </c>
      <c r="E9137" s="43"/>
      <c r="F9137" s="48">
        <f t="shared" si="149"/>
        <v>87718</v>
      </c>
    </row>
    <row r="9138" spans="1:6" x14ac:dyDescent="0.3">
      <c r="A9138" s="45">
        <v>44277</v>
      </c>
      <c r="B9138" s="5" t="s">
        <v>84</v>
      </c>
      <c r="C9138" s="5" t="s">
        <v>7225</v>
      </c>
      <c r="D9138" s="43">
        <v>10000</v>
      </c>
      <c r="E9138" s="43"/>
      <c r="F9138" s="48">
        <f t="shared" si="149"/>
        <v>77718</v>
      </c>
    </row>
    <row r="9139" spans="1:6" x14ac:dyDescent="0.3">
      <c r="A9139" s="45">
        <v>44277</v>
      </c>
      <c r="B9139" s="5" t="s">
        <v>54</v>
      </c>
      <c r="C9139" s="5" t="s">
        <v>7226</v>
      </c>
      <c r="D9139" s="43">
        <v>13450</v>
      </c>
      <c r="E9139" s="43"/>
      <c r="F9139" s="48">
        <f t="shared" si="149"/>
        <v>64268</v>
      </c>
    </row>
    <row r="9140" spans="1:6" x14ac:dyDescent="0.3">
      <c r="A9140" s="45">
        <v>44277</v>
      </c>
      <c r="B9140" s="5" t="s">
        <v>6908</v>
      </c>
      <c r="C9140" s="5" t="s">
        <v>7227</v>
      </c>
      <c r="D9140" s="43">
        <v>3500</v>
      </c>
      <c r="E9140" s="43"/>
      <c r="F9140" s="48">
        <f t="shared" si="149"/>
        <v>60768</v>
      </c>
    </row>
    <row r="9141" spans="1:6" x14ac:dyDescent="0.3">
      <c r="A9141" s="45">
        <v>44277</v>
      </c>
      <c r="B9141" s="5" t="s">
        <v>6908</v>
      </c>
      <c r="C9141" s="5" t="s">
        <v>7227</v>
      </c>
      <c r="D9141" s="43">
        <v>2000</v>
      </c>
      <c r="E9141" s="43"/>
      <c r="F9141" s="48">
        <f t="shared" si="149"/>
        <v>58768</v>
      </c>
    </row>
    <row r="9142" spans="1:6" x14ac:dyDescent="0.3">
      <c r="A9142" s="45">
        <v>44277</v>
      </c>
      <c r="B9142" s="5" t="s">
        <v>54</v>
      </c>
      <c r="C9142" s="5" t="s">
        <v>7228</v>
      </c>
      <c r="D9142" s="43">
        <v>5000</v>
      </c>
      <c r="E9142" s="43"/>
      <c r="F9142" s="48">
        <f t="shared" si="149"/>
        <v>53768</v>
      </c>
    </row>
    <row r="9143" spans="1:6" x14ac:dyDescent="0.3">
      <c r="A9143" s="45">
        <v>44277</v>
      </c>
      <c r="B9143" s="5" t="s">
        <v>7229</v>
      </c>
      <c r="C9143" s="5" t="s">
        <v>4703</v>
      </c>
      <c r="D9143" s="43">
        <v>500</v>
      </c>
      <c r="E9143" s="43"/>
      <c r="F9143" s="48">
        <f t="shared" si="149"/>
        <v>53268</v>
      </c>
    </row>
    <row r="9144" spans="1:6" x14ac:dyDescent="0.3">
      <c r="A9144" s="45">
        <v>44277</v>
      </c>
      <c r="B9144" s="5" t="s">
        <v>5709</v>
      </c>
      <c r="C9144" s="5" t="s">
        <v>7230</v>
      </c>
      <c r="D9144" s="43">
        <v>20000</v>
      </c>
      <c r="E9144" s="43"/>
      <c r="F9144" s="48">
        <f t="shared" si="149"/>
        <v>33268</v>
      </c>
    </row>
    <row r="9145" spans="1:6" x14ac:dyDescent="0.3">
      <c r="A9145" s="45">
        <v>44277</v>
      </c>
      <c r="B9145" s="5" t="s">
        <v>4550</v>
      </c>
      <c r="C9145" s="5" t="s">
        <v>438</v>
      </c>
      <c r="D9145" s="43">
        <v>20000</v>
      </c>
      <c r="E9145" s="43"/>
      <c r="F9145" s="48">
        <f t="shared" si="149"/>
        <v>13268</v>
      </c>
    </row>
    <row r="9146" spans="1:6" x14ac:dyDescent="0.3">
      <c r="A9146" s="45">
        <v>44277</v>
      </c>
      <c r="B9146" s="5" t="s">
        <v>25</v>
      </c>
      <c r="C9146" s="5" t="s">
        <v>7231</v>
      </c>
      <c r="D9146" s="43">
        <v>4000</v>
      </c>
      <c r="E9146" s="43"/>
      <c r="F9146" s="48">
        <f t="shared" si="149"/>
        <v>9268</v>
      </c>
    </row>
    <row r="9147" spans="1:6" x14ac:dyDescent="0.3">
      <c r="A9147" s="45">
        <v>44277</v>
      </c>
      <c r="B9147" s="5" t="s">
        <v>7040</v>
      </c>
      <c r="C9147" s="5" t="s">
        <v>40</v>
      </c>
      <c r="D9147" s="43">
        <v>6500</v>
      </c>
      <c r="E9147" s="43"/>
      <c r="F9147" s="48">
        <f t="shared" si="149"/>
        <v>2768</v>
      </c>
    </row>
    <row r="9148" spans="1:6" x14ac:dyDescent="0.3">
      <c r="A9148" s="45">
        <v>44279</v>
      </c>
      <c r="B9148" s="749" t="s">
        <v>3444</v>
      </c>
      <c r="C9148" s="750"/>
      <c r="D9148" s="751"/>
      <c r="E9148" s="43">
        <v>100000</v>
      </c>
      <c r="F9148" s="48">
        <f>F9147+E9148-D9148</f>
        <v>102768</v>
      </c>
    </row>
    <row r="9149" spans="1:6" x14ac:dyDescent="0.3">
      <c r="A9149" s="45">
        <v>44279</v>
      </c>
      <c r="B9149" s="5" t="s">
        <v>57</v>
      </c>
      <c r="C9149" s="5" t="s">
        <v>7232</v>
      </c>
      <c r="D9149" s="43">
        <v>5000</v>
      </c>
      <c r="E9149" s="43"/>
      <c r="F9149" s="48">
        <f t="shared" si="149"/>
        <v>97768</v>
      </c>
    </row>
    <row r="9150" spans="1:6" x14ac:dyDescent="0.3">
      <c r="A9150" s="45">
        <v>44279</v>
      </c>
      <c r="B9150" s="5" t="s">
        <v>1837</v>
      </c>
      <c r="C9150" s="5" t="s">
        <v>7233</v>
      </c>
      <c r="D9150" s="43">
        <v>2500</v>
      </c>
      <c r="E9150" s="43"/>
      <c r="F9150" s="48">
        <f t="shared" si="149"/>
        <v>95268</v>
      </c>
    </row>
    <row r="9151" spans="1:6" x14ac:dyDescent="0.3">
      <c r="A9151" s="45">
        <v>44279</v>
      </c>
      <c r="B9151" s="5" t="s">
        <v>84</v>
      </c>
      <c r="C9151" s="5" t="s">
        <v>7234</v>
      </c>
      <c r="D9151" s="43">
        <v>2000</v>
      </c>
      <c r="E9151" s="43"/>
      <c r="F9151" s="48">
        <f t="shared" si="149"/>
        <v>93268</v>
      </c>
    </row>
    <row r="9152" spans="1:6" x14ac:dyDescent="0.3">
      <c r="A9152" s="45">
        <v>44279</v>
      </c>
      <c r="B9152" s="5" t="s">
        <v>1074</v>
      </c>
      <c r="C9152" s="5" t="s">
        <v>7235</v>
      </c>
      <c r="D9152" s="43">
        <f>13212+2871+2923+8229</f>
        <v>27235</v>
      </c>
      <c r="E9152" s="43"/>
      <c r="F9152" s="48">
        <f t="shared" si="149"/>
        <v>66033</v>
      </c>
    </row>
    <row r="9153" spans="1:6" x14ac:dyDescent="0.3">
      <c r="A9153" s="45">
        <v>44279</v>
      </c>
      <c r="B9153" s="5" t="s">
        <v>14</v>
      </c>
      <c r="C9153" s="5" t="s">
        <v>6494</v>
      </c>
      <c r="D9153" s="43">
        <v>1852</v>
      </c>
      <c r="E9153" s="43"/>
      <c r="F9153" s="48">
        <f t="shared" si="149"/>
        <v>64181</v>
      </c>
    </row>
    <row r="9154" spans="1:6" x14ac:dyDescent="0.3">
      <c r="A9154" s="45">
        <v>44279</v>
      </c>
      <c r="B9154" s="5" t="s">
        <v>0</v>
      </c>
      <c r="C9154" s="5" t="s">
        <v>7236</v>
      </c>
      <c r="D9154" s="43">
        <v>15000</v>
      </c>
      <c r="E9154" s="43"/>
      <c r="F9154" s="48">
        <f t="shared" si="149"/>
        <v>49181</v>
      </c>
    </row>
    <row r="9155" spans="1:6" x14ac:dyDescent="0.3">
      <c r="A9155" s="45">
        <v>44279</v>
      </c>
      <c r="B9155" s="5" t="s">
        <v>6430</v>
      </c>
      <c r="C9155" s="5" t="s">
        <v>294</v>
      </c>
      <c r="D9155" s="43">
        <v>3000</v>
      </c>
      <c r="E9155" s="43"/>
      <c r="F9155" s="48">
        <f t="shared" si="149"/>
        <v>46181</v>
      </c>
    </row>
    <row r="9156" spans="1:6" x14ac:dyDescent="0.3">
      <c r="A9156" s="45">
        <v>44279</v>
      </c>
      <c r="B9156" s="5" t="s">
        <v>84</v>
      </c>
      <c r="C9156" s="5" t="s">
        <v>7237</v>
      </c>
      <c r="D9156" s="43">
        <v>5000</v>
      </c>
      <c r="E9156" s="43"/>
      <c r="F9156" s="48">
        <f t="shared" si="149"/>
        <v>41181</v>
      </c>
    </row>
    <row r="9157" spans="1:6" x14ac:dyDescent="0.3">
      <c r="A9157" s="45">
        <v>44279</v>
      </c>
      <c r="B9157" s="5" t="s">
        <v>84</v>
      </c>
      <c r="C9157" s="5" t="s">
        <v>7238</v>
      </c>
      <c r="D9157" s="43">
        <v>2000</v>
      </c>
      <c r="E9157" s="43"/>
      <c r="F9157" s="48">
        <f t="shared" si="149"/>
        <v>39181</v>
      </c>
    </row>
    <row r="9158" spans="1:6" x14ac:dyDescent="0.3">
      <c r="A9158" s="45">
        <v>44280</v>
      </c>
      <c r="B9158" s="5" t="s">
        <v>7121</v>
      </c>
      <c r="C9158" s="5" t="s">
        <v>7239</v>
      </c>
      <c r="D9158" s="43">
        <v>450</v>
      </c>
      <c r="E9158" s="43"/>
      <c r="F9158" s="48">
        <f t="shared" si="149"/>
        <v>38731</v>
      </c>
    </row>
    <row r="9159" spans="1:6" x14ac:dyDescent="0.3">
      <c r="A9159" s="45">
        <v>44280</v>
      </c>
      <c r="B9159" s="5" t="s">
        <v>18</v>
      </c>
      <c r="C9159" s="5" t="s">
        <v>7194</v>
      </c>
      <c r="D9159" s="43">
        <v>10000</v>
      </c>
      <c r="E9159" s="43"/>
      <c r="F9159" s="48">
        <f t="shared" si="149"/>
        <v>28731</v>
      </c>
    </row>
    <row r="9160" spans="1:6" x14ac:dyDescent="0.3">
      <c r="A9160" s="45">
        <v>44280</v>
      </c>
      <c r="B9160" s="5" t="s">
        <v>7040</v>
      </c>
      <c r="C9160" s="5" t="s">
        <v>40</v>
      </c>
      <c r="D9160" s="43">
        <v>5000</v>
      </c>
      <c r="E9160" s="43"/>
      <c r="F9160" s="48">
        <f t="shared" si="149"/>
        <v>23731</v>
      </c>
    </row>
    <row r="9161" spans="1:6" x14ac:dyDescent="0.3">
      <c r="A9161" s="45">
        <v>44280</v>
      </c>
      <c r="B9161" s="5" t="s">
        <v>5156</v>
      </c>
      <c r="C9161" s="5" t="s">
        <v>7244</v>
      </c>
      <c r="D9161" s="43">
        <v>350</v>
      </c>
      <c r="E9161" s="43"/>
      <c r="F9161" s="48">
        <f t="shared" si="149"/>
        <v>23381</v>
      </c>
    </row>
    <row r="9162" spans="1:6" x14ac:dyDescent="0.3">
      <c r="A9162" s="45">
        <v>44280</v>
      </c>
      <c r="B9162" s="5" t="s">
        <v>1787</v>
      </c>
      <c r="C9162" s="5" t="s">
        <v>7247</v>
      </c>
      <c r="D9162" s="43">
        <v>1000</v>
      </c>
      <c r="E9162" s="43"/>
      <c r="F9162" s="48">
        <f t="shared" si="149"/>
        <v>22381</v>
      </c>
    </row>
    <row r="9163" spans="1:6" x14ac:dyDescent="0.3">
      <c r="A9163" s="45">
        <v>44281</v>
      </c>
      <c r="B9163" s="5" t="s">
        <v>107</v>
      </c>
      <c r="C9163" s="5" t="s">
        <v>7248</v>
      </c>
      <c r="D9163" s="43">
        <v>500</v>
      </c>
      <c r="E9163" s="43"/>
      <c r="F9163" s="48">
        <f t="shared" si="149"/>
        <v>21881</v>
      </c>
    </row>
    <row r="9164" spans="1:6" x14ac:dyDescent="0.3">
      <c r="A9164" s="45">
        <v>44281</v>
      </c>
      <c r="B9164" s="5" t="s">
        <v>14</v>
      </c>
      <c r="C9164" s="5" t="s">
        <v>294</v>
      </c>
      <c r="D9164" s="43">
        <v>1500</v>
      </c>
      <c r="E9164" s="43"/>
      <c r="F9164" s="48">
        <f t="shared" si="149"/>
        <v>20381</v>
      </c>
    </row>
    <row r="9165" spans="1:6" x14ac:dyDescent="0.3">
      <c r="A9165" s="45">
        <v>44281</v>
      </c>
      <c r="B9165" s="5" t="s">
        <v>5709</v>
      </c>
      <c r="C9165" s="5" t="s">
        <v>7249</v>
      </c>
      <c r="D9165" s="43">
        <v>13600</v>
      </c>
      <c r="E9165" s="43"/>
      <c r="F9165" s="48">
        <f t="shared" si="149"/>
        <v>6781</v>
      </c>
    </row>
    <row r="9166" spans="1:6" x14ac:dyDescent="0.3">
      <c r="A9166" s="45">
        <v>44282</v>
      </c>
      <c r="B9166" s="749" t="s">
        <v>861</v>
      </c>
      <c r="C9166" s="750"/>
      <c r="D9166" s="751"/>
      <c r="E9166" s="43">
        <v>100000</v>
      </c>
      <c r="F9166" s="48">
        <f t="shared" si="149"/>
        <v>106781</v>
      </c>
    </row>
    <row r="9167" spans="1:6" x14ac:dyDescent="0.3">
      <c r="A9167" s="45">
        <v>44282</v>
      </c>
      <c r="B9167" s="5" t="s">
        <v>7099</v>
      </c>
      <c r="C9167" s="5" t="s">
        <v>7263</v>
      </c>
      <c r="D9167" s="43">
        <v>9430</v>
      </c>
      <c r="E9167" s="43"/>
      <c r="F9167" s="48">
        <f t="shared" si="149"/>
        <v>97351</v>
      </c>
    </row>
    <row r="9168" spans="1:6" x14ac:dyDescent="0.3">
      <c r="A9168" s="45">
        <v>44282</v>
      </c>
      <c r="B9168" s="5" t="s">
        <v>25</v>
      </c>
      <c r="C9168" s="5" t="s">
        <v>4276</v>
      </c>
      <c r="D9168" s="43">
        <v>5150</v>
      </c>
      <c r="E9168" s="43"/>
      <c r="F9168" s="48">
        <f t="shared" ref="F9168:F9215" si="150">F9167+E9168-D9168</f>
        <v>92201</v>
      </c>
    </row>
    <row r="9169" spans="1:6" x14ac:dyDescent="0.3">
      <c r="A9169" s="45">
        <v>44282</v>
      </c>
      <c r="B9169" s="5" t="s">
        <v>6430</v>
      </c>
      <c r="C9169" s="5" t="s">
        <v>294</v>
      </c>
      <c r="D9169" s="43">
        <v>3000</v>
      </c>
      <c r="E9169" s="43"/>
      <c r="F9169" s="48">
        <f t="shared" si="150"/>
        <v>89201</v>
      </c>
    </row>
    <row r="9170" spans="1:6" x14ac:dyDescent="0.3">
      <c r="A9170" s="45">
        <v>44284</v>
      </c>
      <c r="B9170" s="5" t="s">
        <v>6430</v>
      </c>
      <c r="C9170" s="5" t="s">
        <v>294</v>
      </c>
      <c r="D9170" s="43">
        <v>5000</v>
      </c>
      <c r="E9170" s="43"/>
      <c r="F9170" s="48">
        <f t="shared" si="150"/>
        <v>84201</v>
      </c>
    </row>
    <row r="9171" spans="1:6" x14ac:dyDescent="0.3">
      <c r="A9171" s="45">
        <v>44282</v>
      </c>
      <c r="B9171" s="5" t="s">
        <v>4550</v>
      </c>
      <c r="C9171" s="5" t="s">
        <v>7250</v>
      </c>
      <c r="D9171" s="43">
        <v>5000</v>
      </c>
      <c r="E9171" s="43"/>
      <c r="F9171" s="48">
        <f t="shared" si="150"/>
        <v>79201</v>
      </c>
    </row>
    <row r="9172" spans="1:6" x14ac:dyDescent="0.3">
      <c r="A9172" s="45">
        <v>44284</v>
      </c>
      <c r="B9172" s="5" t="s">
        <v>18</v>
      </c>
      <c r="C9172" s="5" t="s">
        <v>294</v>
      </c>
      <c r="D9172" s="43">
        <v>5000</v>
      </c>
      <c r="E9172" s="43"/>
      <c r="F9172" s="48">
        <f t="shared" si="150"/>
        <v>74201</v>
      </c>
    </row>
    <row r="9173" spans="1:6" x14ac:dyDescent="0.3">
      <c r="A9173" s="45">
        <v>44284</v>
      </c>
      <c r="B9173" s="5" t="s">
        <v>25</v>
      </c>
      <c r="C9173" s="5" t="s">
        <v>7251</v>
      </c>
      <c r="D9173" s="43">
        <v>300</v>
      </c>
      <c r="E9173" s="43"/>
      <c r="F9173" s="48">
        <f t="shared" si="150"/>
        <v>73901</v>
      </c>
    </row>
    <row r="9174" spans="1:6" x14ac:dyDescent="0.3">
      <c r="A9174" s="45">
        <v>44284</v>
      </c>
      <c r="B9174" s="5" t="s">
        <v>6221</v>
      </c>
      <c r="C9174" s="5" t="s">
        <v>7183</v>
      </c>
      <c r="D9174" s="43">
        <v>35200</v>
      </c>
      <c r="E9174" s="43"/>
      <c r="F9174" s="48">
        <f t="shared" si="150"/>
        <v>38701</v>
      </c>
    </row>
    <row r="9175" spans="1:6" x14ac:dyDescent="0.3">
      <c r="A9175" s="45">
        <v>44284</v>
      </c>
      <c r="B9175" s="5" t="s">
        <v>14</v>
      </c>
      <c r="C9175" s="5" t="s">
        <v>294</v>
      </c>
      <c r="D9175" s="43">
        <v>15000</v>
      </c>
      <c r="E9175" s="43"/>
      <c r="F9175" s="48">
        <f t="shared" si="150"/>
        <v>23701</v>
      </c>
    </row>
    <row r="9176" spans="1:6" x14ac:dyDescent="0.3">
      <c r="A9176" s="45">
        <v>44284</v>
      </c>
      <c r="B9176" s="5" t="s">
        <v>6908</v>
      </c>
      <c r="C9176" s="5" t="s">
        <v>7221</v>
      </c>
      <c r="D9176" s="43">
        <v>2000</v>
      </c>
      <c r="E9176" s="43"/>
      <c r="F9176" s="48">
        <f t="shared" si="150"/>
        <v>21701</v>
      </c>
    </row>
    <row r="9177" spans="1:6" x14ac:dyDescent="0.3">
      <c r="A9177" s="45">
        <v>44284</v>
      </c>
      <c r="B9177" s="5" t="s">
        <v>6430</v>
      </c>
      <c r="C9177" s="5" t="s">
        <v>4350</v>
      </c>
      <c r="D9177" s="43">
        <v>3000</v>
      </c>
      <c r="E9177" s="43"/>
      <c r="F9177" s="48">
        <f t="shared" si="150"/>
        <v>18701</v>
      </c>
    </row>
    <row r="9178" spans="1:6" x14ac:dyDescent="0.3">
      <c r="A9178" s="45">
        <v>44284</v>
      </c>
      <c r="B9178" s="5" t="s">
        <v>7040</v>
      </c>
      <c r="C9178" s="5" t="s">
        <v>5508</v>
      </c>
      <c r="D9178" s="43">
        <v>10000</v>
      </c>
      <c r="E9178" s="43"/>
      <c r="F9178" s="48">
        <f t="shared" si="150"/>
        <v>8701</v>
      </c>
    </row>
    <row r="9179" spans="1:6" x14ac:dyDescent="0.3">
      <c r="A9179" s="45">
        <v>44284</v>
      </c>
      <c r="B9179" s="749" t="s">
        <v>5431</v>
      </c>
      <c r="C9179" s="750"/>
      <c r="D9179" s="751"/>
      <c r="E9179" s="43">
        <v>20000</v>
      </c>
      <c r="F9179" s="48">
        <f t="shared" si="150"/>
        <v>28701</v>
      </c>
    </row>
    <row r="9180" spans="1:6" x14ac:dyDescent="0.3">
      <c r="A9180" s="45">
        <v>44284</v>
      </c>
      <c r="B9180" s="5" t="s">
        <v>7121</v>
      </c>
      <c r="C9180" s="5" t="s">
        <v>7252</v>
      </c>
      <c r="D9180" s="43">
        <v>20000</v>
      </c>
      <c r="E9180" s="43"/>
      <c r="F9180" s="48">
        <f t="shared" si="150"/>
        <v>8701</v>
      </c>
    </row>
    <row r="9181" spans="1:6" x14ac:dyDescent="0.3">
      <c r="A9181" s="45">
        <v>44285</v>
      </c>
      <c r="B9181" s="5" t="s">
        <v>25</v>
      </c>
      <c r="C9181" s="5" t="s">
        <v>7253</v>
      </c>
      <c r="D9181" s="43">
        <f>527+250</f>
        <v>777</v>
      </c>
      <c r="E9181" s="43"/>
      <c r="F9181" s="48">
        <f t="shared" si="150"/>
        <v>7924</v>
      </c>
    </row>
    <row r="9182" spans="1:6" x14ac:dyDescent="0.3">
      <c r="A9182" s="45">
        <v>44285</v>
      </c>
      <c r="B9182" s="123" t="s">
        <v>6430</v>
      </c>
      <c r="C9182" s="123" t="s">
        <v>2013</v>
      </c>
      <c r="D9182" s="52">
        <v>500</v>
      </c>
      <c r="F9182" s="48">
        <f t="shared" si="150"/>
        <v>7424</v>
      </c>
    </row>
    <row r="9183" spans="1:6" x14ac:dyDescent="0.3">
      <c r="A9183" s="45">
        <v>44285</v>
      </c>
      <c r="B9183" s="749" t="s">
        <v>5431</v>
      </c>
      <c r="C9183" s="750"/>
      <c r="D9183" s="751"/>
      <c r="E9183" s="43">
        <v>200000</v>
      </c>
      <c r="F9183" s="48">
        <f t="shared" si="150"/>
        <v>207424</v>
      </c>
    </row>
    <row r="9184" spans="1:6" x14ac:dyDescent="0.3">
      <c r="A9184" s="45">
        <v>44285</v>
      </c>
      <c r="B9184" s="5" t="s">
        <v>7254</v>
      </c>
      <c r="C9184" s="5" t="s">
        <v>7018</v>
      </c>
      <c r="D9184" s="43">
        <v>20000</v>
      </c>
      <c r="E9184" s="43"/>
      <c r="F9184" s="48">
        <f t="shared" si="150"/>
        <v>187424</v>
      </c>
    </row>
    <row r="9185" spans="1:6" x14ac:dyDescent="0.3">
      <c r="A9185" s="45">
        <v>44285</v>
      </c>
      <c r="B9185" s="5" t="s">
        <v>2224</v>
      </c>
      <c r="C9185" s="5" t="s">
        <v>7255</v>
      </c>
      <c r="D9185" s="43">
        <v>50000</v>
      </c>
      <c r="E9185" s="43"/>
      <c r="F9185" s="48">
        <f t="shared" si="150"/>
        <v>137424</v>
      </c>
    </row>
    <row r="9186" spans="1:6" x14ac:dyDescent="0.3">
      <c r="A9186" s="184">
        <v>44285</v>
      </c>
      <c r="B9186" s="5" t="s">
        <v>3559</v>
      </c>
      <c r="C9186" s="5" t="s">
        <v>91</v>
      </c>
      <c r="D9186" s="43">
        <v>650</v>
      </c>
      <c r="E9186" s="43"/>
      <c r="F9186" s="48">
        <f t="shared" si="150"/>
        <v>136774</v>
      </c>
    </row>
    <row r="9187" spans="1:6" x14ac:dyDescent="0.3">
      <c r="A9187" s="45">
        <v>44285</v>
      </c>
      <c r="B9187" s="5" t="s">
        <v>6430</v>
      </c>
      <c r="C9187" s="5" t="s">
        <v>7256</v>
      </c>
      <c r="D9187" s="43">
        <v>5800</v>
      </c>
      <c r="E9187" s="43"/>
      <c r="F9187" s="48">
        <f t="shared" si="150"/>
        <v>130974</v>
      </c>
    </row>
    <row r="9188" spans="1:6" x14ac:dyDescent="0.3">
      <c r="A9188" s="45">
        <v>44285</v>
      </c>
      <c r="B9188" s="5" t="s">
        <v>6430</v>
      </c>
      <c r="C9188" s="5" t="s">
        <v>7278</v>
      </c>
      <c r="D9188" s="43">
        <v>1000</v>
      </c>
      <c r="E9188" s="43"/>
      <c r="F9188" s="48">
        <f t="shared" si="150"/>
        <v>129974</v>
      </c>
    </row>
    <row r="9189" spans="1:6" x14ac:dyDescent="0.3">
      <c r="A9189" s="45">
        <v>44286</v>
      </c>
      <c r="B9189" s="5" t="s">
        <v>5896</v>
      </c>
      <c r="C9189" s="5" t="s">
        <v>40</v>
      </c>
      <c r="D9189" s="43">
        <v>4000</v>
      </c>
      <c r="E9189" s="43"/>
      <c r="F9189" s="48">
        <f t="shared" si="150"/>
        <v>125974</v>
      </c>
    </row>
    <row r="9190" spans="1:6" x14ac:dyDescent="0.3">
      <c r="A9190" s="45">
        <v>44286</v>
      </c>
      <c r="B9190" s="5" t="s">
        <v>6430</v>
      </c>
      <c r="C9190" s="5" t="s">
        <v>294</v>
      </c>
      <c r="D9190" s="43">
        <v>5000</v>
      </c>
      <c r="E9190" s="43"/>
      <c r="F9190" s="48">
        <f t="shared" si="150"/>
        <v>120974</v>
      </c>
    </row>
    <row r="9191" spans="1:6" x14ac:dyDescent="0.3">
      <c r="A9191" s="45">
        <v>44286</v>
      </c>
      <c r="B9191" s="5" t="s">
        <v>0</v>
      </c>
      <c r="C9191" s="5" t="s">
        <v>294</v>
      </c>
      <c r="D9191" s="43">
        <v>18000</v>
      </c>
      <c r="E9191" s="43"/>
      <c r="F9191" s="48">
        <f t="shared" si="150"/>
        <v>102974</v>
      </c>
    </row>
    <row r="9192" spans="1:6" x14ac:dyDescent="0.3">
      <c r="A9192" s="45">
        <v>44286</v>
      </c>
      <c r="B9192" s="5" t="s">
        <v>4055</v>
      </c>
      <c r="C9192" s="5" t="s">
        <v>40</v>
      </c>
      <c r="D9192" s="43">
        <v>16870</v>
      </c>
      <c r="E9192" s="43"/>
      <c r="F9192" s="48">
        <f t="shared" si="150"/>
        <v>86104</v>
      </c>
    </row>
    <row r="9193" spans="1:6" x14ac:dyDescent="0.3">
      <c r="A9193" s="45">
        <v>44286</v>
      </c>
      <c r="B9193" s="5" t="s">
        <v>6171</v>
      </c>
      <c r="C9193" s="5" t="s">
        <v>40</v>
      </c>
      <c r="D9193" s="43">
        <v>22000</v>
      </c>
      <c r="E9193" s="43"/>
      <c r="F9193" s="48">
        <f t="shared" si="150"/>
        <v>64104</v>
      </c>
    </row>
    <row r="9194" spans="1:6" x14ac:dyDescent="0.3">
      <c r="A9194" s="45">
        <v>44287</v>
      </c>
      <c r="B9194" s="5" t="s">
        <v>6430</v>
      </c>
      <c r="C9194" s="5" t="s">
        <v>4615</v>
      </c>
      <c r="D9194" s="43">
        <v>7940</v>
      </c>
      <c r="E9194" s="43"/>
      <c r="F9194" s="48">
        <f t="shared" si="150"/>
        <v>56164</v>
      </c>
    </row>
    <row r="9195" spans="1:6" x14ac:dyDescent="0.3">
      <c r="A9195" s="45">
        <v>44287</v>
      </c>
      <c r="B9195" s="5" t="s">
        <v>5665</v>
      </c>
      <c r="C9195" s="5" t="s">
        <v>7259</v>
      </c>
      <c r="D9195" s="43">
        <v>30000</v>
      </c>
      <c r="E9195" s="43"/>
      <c r="F9195" s="48">
        <f t="shared" si="150"/>
        <v>26164</v>
      </c>
    </row>
    <row r="9196" spans="1:6" x14ac:dyDescent="0.3">
      <c r="A9196" s="45">
        <v>44287</v>
      </c>
      <c r="B9196" s="5" t="s">
        <v>6926</v>
      </c>
      <c r="C9196" s="5" t="s">
        <v>7260</v>
      </c>
      <c r="D9196" s="43">
        <v>12000</v>
      </c>
      <c r="E9196" s="43"/>
      <c r="F9196" s="48">
        <f t="shared" si="150"/>
        <v>14164</v>
      </c>
    </row>
    <row r="9197" spans="1:6" x14ac:dyDescent="0.3">
      <c r="A9197" s="45">
        <v>44287</v>
      </c>
      <c r="B9197" s="749" t="s">
        <v>7261</v>
      </c>
      <c r="C9197" s="750"/>
      <c r="D9197" s="751"/>
      <c r="E9197" s="43">
        <v>124000</v>
      </c>
      <c r="F9197" s="48">
        <f t="shared" si="150"/>
        <v>138164</v>
      </c>
    </row>
    <row r="9198" spans="1:6" x14ac:dyDescent="0.3">
      <c r="A9198" s="45">
        <v>44287</v>
      </c>
      <c r="B9198" s="5" t="s">
        <v>6430</v>
      </c>
      <c r="C9198" s="5" t="s">
        <v>7126</v>
      </c>
      <c r="D9198" s="43">
        <v>3300</v>
      </c>
      <c r="E9198" s="43"/>
      <c r="F9198" s="48">
        <f t="shared" si="150"/>
        <v>134864</v>
      </c>
    </row>
    <row r="9199" spans="1:6" x14ac:dyDescent="0.3">
      <c r="A9199" s="45">
        <v>44287</v>
      </c>
      <c r="B9199" s="5" t="s">
        <v>4550</v>
      </c>
      <c r="C9199" s="5" t="s">
        <v>294</v>
      </c>
      <c r="D9199" s="43">
        <v>100000</v>
      </c>
      <c r="E9199" s="43"/>
      <c r="F9199" s="48">
        <f t="shared" si="150"/>
        <v>34864</v>
      </c>
    </row>
    <row r="9200" spans="1:6" x14ac:dyDescent="0.3">
      <c r="A9200" s="45">
        <v>44288</v>
      </c>
      <c r="B9200" s="5" t="s">
        <v>57</v>
      </c>
      <c r="C9200" s="5" t="s">
        <v>7262</v>
      </c>
      <c r="D9200" s="43">
        <v>2000</v>
      </c>
      <c r="E9200" s="43"/>
      <c r="F9200" s="48">
        <f t="shared" si="150"/>
        <v>32864</v>
      </c>
    </row>
    <row r="9201" spans="1:6" x14ac:dyDescent="0.3">
      <c r="A9201" s="45">
        <v>44288</v>
      </c>
      <c r="B9201" s="5" t="s">
        <v>14</v>
      </c>
      <c r="C9201" s="5" t="s">
        <v>294</v>
      </c>
      <c r="D9201" s="43">
        <v>13000</v>
      </c>
      <c r="E9201" s="43"/>
      <c r="F9201" s="48">
        <f t="shared" si="150"/>
        <v>19864</v>
      </c>
    </row>
    <row r="9202" spans="1:6" x14ac:dyDescent="0.3">
      <c r="A9202" s="45">
        <v>44288</v>
      </c>
      <c r="B9202" s="5" t="s">
        <v>25</v>
      </c>
      <c r="C9202" s="5" t="s">
        <v>4276</v>
      </c>
      <c r="D9202" s="43">
        <f>1400+30+110+860+280+80+220+160+70+100+280+290+260+360+50+100+30</f>
        <v>4680</v>
      </c>
      <c r="E9202" s="43"/>
      <c r="F9202" s="48">
        <f t="shared" si="150"/>
        <v>15184</v>
      </c>
    </row>
    <row r="9203" spans="1:6" x14ac:dyDescent="0.3">
      <c r="A9203" s="45">
        <v>44288</v>
      </c>
      <c r="B9203" s="74" t="s">
        <v>7158</v>
      </c>
      <c r="C9203" s="76" t="s">
        <v>7281</v>
      </c>
      <c r="D9203" s="249">
        <v>1250</v>
      </c>
      <c r="E9203" s="43"/>
      <c r="F9203" s="48">
        <f t="shared" si="150"/>
        <v>13934</v>
      </c>
    </row>
    <row r="9204" spans="1:6" x14ac:dyDescent="0.3">
      <c r="A9204" s="45">
        <v>44291</v>
      </c>
      <c r="B9204" s="749" t="s">
        <v>4415</v>
      </c>
      <c r="C9204" s="750"/>
      <c r="D9204" s="751"/>
      <c r="E9204" s="43">
        <v>395000</v>
      </c>
      <c r="F9204" s="48">
        <f t="shared" si="150"/>
        <v>408934</v>
      </c>
    </row>
    <row r="9205" spans="1:6" x14ac:dyDescent="0.3">
      <c r="A9205" s="45">
        <v>44291</v>
      </c>
      <c r="B9205" s="5" t="s">
        <v>0</v>
      </c>
      <c r="C9205" s="5" t="s">
        <v>294</v>
      </c>
      <c r="D9205" s="43">
        <v>5000</v>
      </c>
      <c r="E9205" s="43"/>
      <c r="F9205" s="48">
        <f t="shared" si="150"/>
        <v>403934</v>
      </c>
    </row>
    <row r="9206" spans="1:6" x14ac:dyDescent="0.3">
      <c r="A9206" s="45">
        <v>44291</v>
      </c>
      <c r="B9206" s="5" t="s">
        <v>6908</v>
      </c>
      <c r="C9206" s="5" t="s">
        <v>294</v>
      </c>
      <c r="D9206" s="43">
        <v>10000</v>
      </c>
      <c r="E9206" s="43"/>
      <c r="F9206" s="48">
        <f t="shared" si="150"/>
        <v>393934</v>
      </c>
    </row>
    <row r="9207" spans="1:6" x14ac:dyDescent="0.3">
      <c r="A9207" s="45">
        <v>44291</v>
      </c>
      <c r="B9207" s="5" t="s">
        <v>7282</v>
      </c>
      <c r="C9207" s="5" t="s">
        <v>7825</v>
      </c>
      <c r="D9207" s="43">
        <v>20000</v>
      </c>
      <c r="E9207" s="43"/>
      <c r="F9207" s="48">
        <f t="shared" si="150"/>
        <v>373934</v>
      </c>
    </row>
    <row r="9208" spans="1:6" x14ac:dyDescent="0.3">
      <c r="A9208" s="45">
        <v>44291</v>
      </c>
      <c r="B9208" s="5" t="s">
        <v>5156</v>
      </c>
      <c r="C9208" s="5" t="s">
        <v>7283</v>
      </c>
      <c r="D9208" s="43">
        <v>1800</v>
      </c>
      <c r="E9208" s="43"/>
      <c r="F9208" s="48">
        <f t="shared" si="150"/>
        <v>372134</v>
      </c>
    </row>
    <row r="9209" spans="1:6" x14ac:dyDescent="0.3">
      <c r="A9209" s="45">
        <v>44291</v>
      </c>
      <c r="B9209" s="5" t="s">
        <v>25</v>
      </c>
      <c r="C9209" s="5" t="s">
        <v>7284</v>
      </c>
      <c r="D9209" s="43">
        <v>200</v>
      </c>
      <c r="E9209" s="43"/>
      <c r="F9209" s="48">
        <f t="shared" si="150"/>
        <v>371934</v>
      </c>
    </row>
    <row r="9210" spans="1:6" x14ac:dyDescent="0.3">
      <c r="A9210" s="45">
        <v>44291</v>
      </c>
      <c r="B9210" s="5" t="s">
        <v>18</v>
      </c>
      <c r="C9210" s="5" t="s">
        <v>3910</v>
      </c>
      <c r="D9210" s="43">
        <v>5000</v>
      </c>
      <c r="E9210" s="43"/>
      <c r="F9210" s="48">
        <f t="shared" si="150"/>
        <v>366934</v>
      </c>
    </row>
    <row r="9211" spans="1:6" x14ac:dyDescent="0.3">
      <c r="A9211" s="45">
        <v>44291</v>
      </c>
      <c r="B9211" s="749" t="s">
        <v>4415</v>
      </c>
      <c r="C9211" s="750"/>
      <c r="D9211" s="751"/>
      <c r="E9211" s="43">
        <v>250000</v>
      </c>
      <c r="F9211" s="48">
        <f t="shared" si="150"/>
        <v>616934</v>
      </c>
    </row>
    <row r="9212" spans="1:6" ht="150" x14ac:dyDescent="0.3">
      <c r="A9212" s="45">
        <v>44291</v>
      </c>
      <c r="B9212" s="250" t="s">
        <v>1512</v>
      </c>
      <c r="C9212" s="251" t="s">
        <v>7826</v>
      </c>
      <c r="D9212" s="28">
        <v>540670</v>
      </c>
      <c r="E9212" s="43"/>
      <c r="F9212" s="48">
        <f t="shared" si="150"/>
        <v>76264</v>
      </c>
    </row>
    <row r="9213" spans="1:6" x14ac:dyDescent="0.3">
      <c r="A9213" s="45">
        <v>44291</v>
      </c>
      <c r="B9213" s="73" t="s">
        <v>25</v>
      </c>
      <c r="C9213" s="73" t="s">
        <v>650</v>
      </c>
      <c r="D9213" s="183">
        <v>1000</v>
      </c>
      <c r="E9213" s="183"/>
      <c r="F9213" s="48">
        <f t="shared" si="150"/>
        <v>75264</v>
      </c>
    </row>
    <row r="9214" spans="1:6" x14ac:dyDescent="0.3">
      <c r="A9214" s="45">
        <v>44291</v>
      </c>
      <c r="B9214" s="73" t="s">
        <v>7128</v>
      </c>
      <c r="C9214" s="73" t="s">
        <v>7286</v>
      </c>
      <c r="D9214" s="183">
        <v>2000</v>
      </c>
      <c r="E9214" s="183"/>
      <c r="F9214" s="48">
        <f t="shared" si="150"/>
        <v>73264</v>
      </c>
    </row>
    <row r="9215" spans="1:6" x14ac:dyDescent="0.3">
      <c r="A9215" s="45">
        <v>44292</v>
      </c>
      <c r="B9215" s="73" t="s">
        <v>3563</v>
      </c>
      <c r="C9215" s="73" t="s">
        <v>7287</v>
      </c>
      <c r="D9215" s="183">
        <f>3375+1127</f>
        <v>4502</v>
      </c>
      <c r="E9215" s="183"/>
      <c r="F9215" s="48">
        <f t="shared" si="150"/>
        <v>68762</v>
      </c>
    </row>
    <row r="9216" spans="1:6" x14ac:dyDescent="0.3">
      <c r="A9216" s="45">
        <v>44292</v>
      </c>
      <c r="B9216" s="73" t="s">
        <v>5979</v>
      </c>
      <c r="C9216" s="73" t="s">
        <v>40</v>
      </c>
      <c r="D9216" s="183">
        <v>12000</v>
      </c>
      <c r="E9216" s="183"/>
      <c r="F9216" s="48">
        <f>F9215+E9216-D9216</f>
        <v>56762</v>
      </c>
    </row>
    <row r="9217" spans="1:6" x14ac:dyDescent="0.3">
      <c r="A9217" s="45">
        <v>44292</v>
      </c>
      <c r="B9217" s="5" t="s">
        <v>541</v>
      </c>
      <c r="C9217" s="5" t="s">
        <v>7290</v>
      </c>
      <c r="D9217" s="43">
        <v>9500</v>
      </c>
      <c r="E9217" s="43"/>
      <c r="F9217" s="48">
        <f>F9216+E9217-D9217</f>
        <v>47262</v>
      </c>
    </row>
    <row r="9218" spans="1:6" x14ac:dyDescent="0.3">
      <c r="A9218" s="45">
        <v>44292</v>
      </c>
      <c r="B9218" s="5" t="s">
        <v>57</v>
      </c>
      <c r="C9218" s="5" t="s">
        <v>4187</v>
      </c>
      <c r="D9218" s="43">
        <v>3000</v>
      </c>
      <c r="E9218" s="43"/>
      <c r="F9218" s="48">
        <f t="shared" ref="F9218:F9281" si="151">F9217+E9218-D9218</f>
        <v>44262</v>
      </c>
    </row>
    <row r="9219" spans="1:6" x14ac:dyDescent="0.3">
      <c r="A9219" s="45">
        <v>44292</v>
      </c>
      <c r="B9219" s="5" t="s">
        <v>14</v>
      </c>
      <c r="C9219" s="5" t="s">
        <v>7291</v>
      </c>
      <c r="D9219" s="43">
        <v>20000</v>
      </c>
      <c r="E9219" s="43"/>
      <c r="F9219" s="48">
        <f t="shared" si="151"/>
        <v>24262</v>
      </c>
    </row>
    <row r="9220" spans="1:6" x14ac:dyDescent="0.3">
      <c r="A9220" s="45">
        <v>44293</v>
      </c>
      <c r="B9220" s="5" t="s">
        <v>7040</v>
      </c>
      <c r="C9220" s="5" t="s">
        <v>294</v>
      </c>
      <c r="D9220" s="43">
        <v>10000</v>
      </c>
      <c r="E9220" s="43"/>
      <c r="F9220" s="48">
        <f t="shared" si="151"/>
        <v>14262</v>
      </c>
    </row>
    <row r="9221" spans="1:6" x14ac:dyDescent="0.3">
      <c r="A9221" s="45">
        <v>44293</v>
      </c>
      <c r="B9221" s="5" t="s">
        <v>107</v>
      </c>
      <c r="C9221" s="5" t="s">
        <v>294</v>
      </c>
      <c r="D9221" s="43">
        <v>1000</v>
      </c>
      <c r="E9221" s="43"/>
      <c r="F9221" s="48">
        <f t="shared" si="151"/>
        <v>13262</v>
      </c>
    </row>
    <row r="9222" spans="1:6" x14ac:dyDescent="0.3">
      <c r="A9222" s="45">
        <v>44293</v>
      </c>
      <c r="B9222" s="5" t="s">
        <v>107</v>
      </c>
      <c r="C9222" s="5" t="s">
        <v>7292</v>
      </c>
      <c r="D9222" s="43">
        <v>300</v>
      </c>
      <c r="E9222" s="43"/>
      <c r="F9222" s="48">
        <f t="shared" si="151"/>
        <v>12962</v>
      </c>
    </row>
    <row r="9223" spans="1:6" x14ac:dyDescent="0.3">
      <c r="A9223" s="45">
        <v>44293</v>
      </c>
      <c r="B9223" s="5" t="s">
        <v>25</v>
      </c>
      <c r="C9223" s="5" t="s">
        <v>4276</v>
      </c>
      <c r="D9223" s="43">
        <f>1000+1000+600+1000+500+350+60+100+40+80+50+200+350+100+50+260+80+80+100+300</f>
        <v>6300</v>
      </c>
      <c r="E9223" s="43"/>
      <c r="F9223" s="48">
        <f t="shared" si="151"/>
        <v>6662</v>
      </c>
    </row>
    <row r="9224" spans="1:6" x14ac:dyDescent="0.3">
      <c r="A9224" s="45">
        <v>44293</v>
      </c>
      <c r="B9224" s="5" t="s">
        <v>1787</v>
      </c>
      <c r="C9224" s="5" t="s">
        <v>7293</v>
      </c>
      <c r="D9224" s="43">
        <v>1500</v>
      </c>
      <c r="E9224" s="43"/>
      <c r="F9224" s="48">
        <f t="shared" si="151"/>
        <v>5162</v>
      </c>
    </row>
    <row r="9225" spans="1:6" x14ac:dyDescent="0.3">
      <c r="A9225" s="45">
        <v>44293</v>
      </c>
      <c r="B9225" s="5" t="s">
        <v>6341</v>
      </c>
      <c r="C9225" s="5" t="s">
        <v>7294</v>
      </c>
      <c r="D9225" s="43">
        <v>1500</v>
      </c>
      <c r="E9225" s="43"/>
      <c r="F9225" s="48">
        <f t="shared" si="151"/>
        <v>3662</v>
      </c>
    </row>
    <row r="9226" spans="1:6" x14ac:dyDescent="0.3">
      <c r="A9226" s="45">
        <v>44293</v>
      </c>
      <c r="B9226" s="749" t="s">
        <v>4329</v>
      </c>
      <c r="C9226" s="750"/>
      <c r="D9226" s="751"/>
      <c r="E9226" s="43">
        <v>500000</v>
      </c>
      <c r="F9226" s="48">
        <f t="shared" si="151"/>
        <v>503662</v>
      </c>
    </row>
    <row r="9227" spans="1:6" ht="100.5" customHeight="1" x14ac:dyDescent="0.3">
      <c r="A9227" s="45">
        <v>44293</v>
      </c>
      <c r="B9227" s="250" t="s">
        <v>1512</v>
      </c>
      <c r="C9227" s="251" t="s">
        <v>7827</v>
      </c>
      <c r="D9227" s="28">
        <v>452899</v>
      </c>
      <c r="E9227" s="43"/>
      <c r="F9227" s="48">
        <f t="shared" si="151"/>
        <v>50763</v>
      </c>
    </row>
    <row r="9228" spans="1:6" x14ac:dyDescent="0.3">
      <c r="A9228" s="45">
        <v>44293</v>
      </c>
      <c r="B9228" s="5" t="s">
        <v>14</v>
      </c>
      <c r="C9228" s="5" t="s">
        <v>294</v>
      </c>
      <c r="D9228" s="43">
        <v>15000</v>
      </c>
      <c r="E9228" s="43"/>
      <c r="F9228" s="48">
        <f t="shared" si="151"/>
        <v>35763</v>
      </c>
    </row>
    <row r="9229" spans="1:6" x14ac:dyDescent="0.3">
      <c r="A9229" s="45">
        <v>44293</v>
      </c>
      <c r="B9229" s="5" t="s">
        <v>7099</v>
      </c>
      <c r="C9229" s="5" t="s">
        <v>7296</v>
      </c>
      <c r="D9229" s="43">
        <v>1500</v>
      </c>
      <c r="E9229" s="43"/>
      <c r="F9229" s="48">
        <f t="shared" si="151"/>
        <v>34263</v>
      </c>
    </row>
    <row r="9230" spans="1:6" x14ac:dyDescent="0.3">
      <c r="A9230" s="45">
        <v>44293</v>
      </c>
      <c r="B9230" s="5" t="s">
        <v>7040</v>
      </c>
      <c r="C9230" s="5" t="s">
        <v>7297</v>
      </c>
      <c r="D9230" s="43">
        <v>20000</v>
      </c>
      <c r="E9230" s="43"/>
      <c r="F9230" s="48">
        <f t="shared" si="151"/>
        <v>14263</v>
      </c>
    </row>
    <row r="9231" spans="1:6" x14ac:dyDescent="0.3">
      <c r="A9231" s="45">
        <v>44294</v>
      </c>
      <c r="B9231" s="5" t="s">
        <v>0</v>
      </c>
      <c r="C9231" s="5" t="s">
        <v>294</v>
      </c>
      <c r="D9231" s="43">
        <v>500</v>
      </c>
      <c r="E9231" s="43"/>
      <c r="F9231" s="48">
        <f t="shared" si="151"/>
        <v>13763</v>
      </c>
    </row>
    <row r="9232" spans="1:6" x14ac:dyDescent="0.3">
      <c r="A9232" s="45">
        <v>44294</v>
      </c>
      <c r="B9232" s="5" t="s">
        <v>11</v>
      </c>
      <c r="C9232" s="5" t="s">
        <v>7300</v>
      </c>
      <c r="D9232" s="43">
        <v>2000</v>
      </c>
      <c r="E9232" s="43"/>
      <c r="F9232" s="48">
        <f t="shared" si="151"/>
        <v>11763</v>
      </c>
    </row>
    <row r="9233" spans="1:6" x14ac:dyDescent="0.3">
      <c r="A9233" s="45">
        <v>44294</v>
      </c>
      <c r="B9233" s="5" t="s">
        <v>7121</v>
      </c>
      <c r="C9233" s="5" t="s">
        <v>294</v>
      </c>
      <c r="D9233" s="43">
        <v>5000</v>
      </c>
      <c r="E9233" s="43"/>
      <c r="F9233" s="48">
        <f t="shared" si="151"/>
        <v>6763</v>
      </c>
    </row>
    <row r="9234" spans="1:6" x14ac:dyDescent="0.3">
      <c r="A9234" s="45">
        <v>44295</v>
      </c>
      <c r="B9234" s="5" t="s">
        <v>0</v>
      </c>
      <c r="C9234" s="5" t="s">
        <v>294</v>
      </c>
      <c r="D9234" s="43">
        <v>200</v>
      </c>
      <c r="E9234" s="43"/>
      <c r="F9234" s="48">
        <f t="shared" si="151"/>
        <v>6563</v>
      </c>
    </row>
    <row r="9235" spans="1:6" x14ac:dyDescent="0.3">
      <c r="A9235" s="45">
        <v>44298</v>
      </c>
      <c r="B9235" s="749" t="s">
        <v>5431</v>
      </c>
      <c r="C9235" s="750"/>
      <c r="D9235" s="751"/>
      <c r="E9235" s="43">
        <v>70000</v>
      </c>
      <c r="F9235" s="48">
        <f t="shared" si="151"/>
        <v>76563</v>
      </c>
    </row>
    <row r="9236" spans="1:6" x14ac:dyDescent="0.3">
      <c r="A9236" s="45">
        <v>44298</v>
      </c>
      <c r="B9236" s="749" t="s">
        <v>5431</v>
      </c>
      <c r="C9236" s="750"/>
      <c r="D9236" s="751"/>
      <c r="E9236" s="43">
        <v>45000</v>
      </c>
      <c r="F9236" s="48">
        <f t="shared" si="151"/>
        <v>121563</v>
      </c>
    </row>
    <row r="9237" spans="1:6" x14ac:dyDescent="0.3">
      <c r="A9237" s="45">
        <v>44298</v>
      </c>
      <c r="B9237" s="749" t="s">
        <v>5431</v>
      </c>
      <c r="C9237" s="750"/>
      <c r="D9237" s="751"/>
      <c r="E9237" s="43">
        <v>50000</v>
      </c>
      <c r="F9237" s="48">
        <f t="shared" si="151"/>
        <v>171563</v>
      </c>
    </row>
    <row r="9238" spans="1:6" ht="37.5" x14ac:dyDescent="0.3">
      <c r="A9238" s="45">
        <v>44298</v>
      </c>
      <c r="B9238" s="44" t="s">
        <v>7099</v>
      </c>
      <c r="C9238" s="92" t="s">
        <v>7301</v>
      </c>
      <c r="D9238" s="43">
        <v>7580</v>
      </c>
      <c r="E9238" s="43"/>
      <c r="F9238" s="48">
        <f t="shared" si="151"/>
        <v>163983</v>
      </c>
    </row>
    <row r="9239" spans="1:6" x14ac:dyDescent="0.3">
      <c r="A9239" s="45">
        <v>44298</v>
      </c>
      <c r="B9239" s="44" t="s">
        <v>68</v>
      </c>
      <c r="C9239" s="92" t="s">
        <v>4512</v>
      </c>
      <c r="D9239" s="43">
        <v>500</v>
      </c>
      <c r="E9239" s="43"/>
      <c r="F9239" s="48">
        <f t="shared" si="151"/>
        <v>163483</v>
      </c>
    </row>
    <row r="9240" spans="1:6" x14ac:dyDescent="0.3">
      <c r="A9240" s="45">
        <v>44298</v>
      </c>
      <c r="B9240" s="5" t="s">
        <v>7308</v>
      </c>
      <c r="C9240" s="5" t="s">
        <v>7309</v>
      </c>
      <c r="D9240" s="43">
        <v>38000</v>
      </c>
      <c r="E9240" s="43"/>
      <c r="F9240" s="48">
        <f t="shared" si="151"/>
        <v>125483</v>
      </c>
    </row>
    <row r="9241" spans="1:6" x14ac:dyDescent="0.3">
      <c r="A9241" s="45">
        <v>44298</v>
      </c>
      <c r="B9241" s="5" t="s">
        <v>6430</v>
      </c>
      <c r="C9241" s="5" t="s">
        <v>5635</v>
      </c>
      <c r="D9241" s="43">
        <v>20000</v>
      </c>
      <c r="E9241" s="43"/>
      <c r="F9241" s="48">
        <f t="shared" si="151"/>
        <v>105483</v>
      </c>
    </row>
    <row r="9242" spans="1:6" x14ac:dyDescent="0.3">
      <c r="A9242" s="45">
        <v>44298</v>
      </c>
      <c r="B9242" s="749" t="s">
        <v>7310</v>
      </c>
      <c r="C9242" s="750"/>
      <c r="D9242" s="751"/>
      <c r="E9242" s="43">
        <v>10000</v>
      </c>
      <c r="F9242" s="48">
        <f t="shared" si="151"/>
        <v>115483</v>
      </c>
    </row>
    <row r="9243" spans="1:6" x14ac:dyDescent="0.3">
      <c r="A9243" s="45">
        <v>44298</v>
      </c>
      <c r="B9243" s="39" t="s">
        <v>1512</v>
      </c>
      <c r="C9243" s="39" t="s">
        <v>7305</v>
      </c>
      <c r="D9243" s="43">
        <v>38000</v>
      </c>
      <c r="E9243" s="43"/>
      <c r="F9243" s="48">
        <f t="shared" si="151"/>
        <v>77483</v>
      </c>
    </row>
    <row r="9244" spans="1:6" x14ac:dyDescent="0.3">
      <c r="A9244" s="45">
        <v>44298</v>
      </c>
      <c r="B9244" s="39" t="s">
        <v>1512</v>
      </c>
      <c r="C9244" s="39" t="s">
        <v>3618</v>
      </c>
      <c r="D9244" s="43">
        <v>45000</v>
      </c>
      <c r="E9244" s="43"/>
      <c r="F9244" s="48">
        <f t="shared" si="151"/>
        <v>32483</v>
      </c>
    </row>
    <row r="9245" spans="1:6" x14ac:dyDescent="0.3">
      <c r="A9245" s="45">
        <v>44298</v>
      </c>
      <c r="B9245" s="39" t="s">
        <v>1512</v>
      </c>
      <c r="C9245" s="39" t="s">
        <v>7306</v>
      </c>
      <c r="D9245" s="43">
        <v>12774</v>
      </c>
      <c r="E9245" s="43"/>
      <c r="F9245" s="48">
        <f t="shared" si="151"/>
        <v>19709</v>
      </c>
    </row>
    <row r="9246" spans="1:6" x14ac:dyDescent="0.3">
      <c r="A9246" s="45">
        <v>44298</v>
      </c>
      <c r="B9246" s="39" t="s">
        <v>1512</v>
      </c>
      <c r="C9246" s="39" t="s">
        <v>7307</v>
      </c>
      <c r="D9246" s="43">
        <v>11032</v>
      </c>
      <c r="E9246" s="43"/>
      <c r="F9246" s="48">
        <f t="shared" si="151"/>
        <v>8677</v>
      </c>
    </row>
    <row r="9247" spans="1:6" x14ac:dyDescent="0.3">
      <c r="A9247" s="45">
        <v>44298</v>
      </c>
      <c r="B9247" s="5" t="s">
        <v>25</v>
      </c>
      <c r="C9247" s="5" t="s">
        <v>4276</v>
      </c>
      <c r="D9247" s="43">
        <f>180+650+100+120+260+130+200+80+250+60+1000+260+300+300+60+50+200+1250+200+260+100+80+70+600+1100</f>
        <v>7860</v>
      </c>
      <c r="E9247" s="43"/>
      <c r="F9247" s="48">
        <f t="shared" si="151"/>
        <v>817</v>
      </c>
    </row>
    <row r="9248" spans="1:6" x14ac:dyDescent="0.3">
      <c r="A9248" s="45">
        <v>44298</v>
      </c>
      <c r="B9248" s="5" t="s">
        <v>25</v>
      </c>
      <c r="C9248" s="5" t="s">
        <v>6859</v>
      </c>
      <c r="D9248" s="43">
        <v>100</v>
      </c>
      <c r="E9248" s="43"/>
      <c r="F9248" s="48">
        <f t="shared" si="151"/>
        <v>717</v>
      </c>
    </row>
    <row r="9249" spans="1:6" x14ac:dyDescent="0.3">
      <c r="A9249" s="45">
        <v>44298</v>
      </c>
      <c r="B9249" s="749" t="s">
        <v>5431</v>
      </c>
      <c r="C9249" s="750"/>
      <c r="D9249" s="751"/>
      <c r="E9249" s="43">
        <v>100000</v>
      </c>
      <c r="F9249" s="48">
        <f>F9248+E9249-D9249</f>
        <v>100717</v>
      </c>
    </row>
    <row r="9250" spans="1:6" x14ac:dyDescent="0.3">
      <c r="A9250" s="45">
        <v>44298</v>
      </c>
      <c r="B9250" s="5" t="s">
        <v>0</v>
      </c>
      <c r="C9250" s="5" t="s">
        <v>294</v>
      </c>
      <c r="D9250" s="43">
        <v>10000</v>
      </c>
      <c r="E9250" s="43"/>
      <c r="F9250" s="48">
        <f>F9249+E9250-D9250</f>
        <v>90717</v>
      </c>
    </row>
    <row r="9251" spans="1:6" ht="37.5" x14ac:dyDescent="0.3">
      <c r="A9251" s="45">
        <v>44298</v>
      </c>
      <c r="B9251" s="92" t="s">
        <v>7315</v>
      </c>
      <c r="C9251" s="5" t="s">
        <v>7316</v>
      </c>
      <c r="D9251" s="43">
        <v>10000</v>
      </c>
      <c r="E9251" s="43"/>
      <c r="F9251" s="48">
        <f t="shared" si="151"/>
        <v>80717</v>
      </c>
    </row>
    <row r="9252" spans="1:6" x14ac:dyDescent="0.3">
      <c r="A9252" s="45">
        <v>44300</v>
      </c>
      <c r="B9252" s="5" t="s">
        <v>14</v>
      </c>
      <c r="C9252" s="5" t="s">
        <v>7317</v>
      </c>
      <c r="D9252" s="43">
        <v>11000</v>
      </c>
      <c r="E9252" s="43"/>
      <c r="F9252" s="48">
        <f t="shared" si="151"/>
        <v>69717</v>
      </c>
    </row>
    <row r="9253" spans="1:6" x14ac:dyDescent="0.3">
      <c r="A9253" s="45">
        <v>44300</v>
      </c>
      <c r="B9253" s="5" t="s">
        <v>14</v>
      </c>
      <c r="C9253" s="5" t="s">
        <v>294</v>
      </c>
      <c r="D9253" s="43">
        <v>15000</v>
      </c>
      <c r="E9253" s="43"/>
      <c r="F9253" s="48">
        <f t="shared" si="151"/>
        <v>54717</v>
      </c>
    </row>
    <row r="9254" spans="1:6" x14ac:dyDescent="0.3">
      <c r="A9254" s="45">
        <v>44300</v>
      </c>
      <c r="B9254" s="39" t="s">
        <v>1512</v>
      </c>
      <c r="C9254" s="39" t="s">
        <v>7318</v>
      </c>
      <c r="D9254" s="43">
        <f>16500+15000</f>
        <v>31500</v>
      </c>
      <c r="E9254" s="43"/>
      <c r="F9254" s="48">
        <f t="shared" si="151"/>
        <v>23217</v>
      </c>
    </row>
    <row r="9255" spans="1:6" x14ac:dyDescent="0.3">
      <c r="A9255" s="45">
        <v>44300</v>
      </c>
      <c r="B9255" s="5" t="s">
        <v>5156</v>
      </c>
      <c r="C9255" s="5" t="s">
        <v>7319</v>
      </c>
      <c r="D9255" s="43">
        <v>5750</v>
      </c>
      <c r="E9255" s="43"/>
      <c r="F9255" s="48">
        <f t="shared" si="151"/>
        <v>17467</v>
      </c>
    </row>
    <row r="9256" spans="1:6" x14ac:dyDescent="0.3">
      <c r="A9256" s="45">
        <v>44300</v>
      </c>
      <c r="B9256" s="5" t="s">
        <v>5162</v>
      </c>
      <c r="C9256" s="5" t="s">
        <v>7322</v>
      </c>
      <c r="D9256" s="43">
        <v>700</v>
      </c>
      <c r="E9256" s="43"/>
      <c r="F9256" s="48">
        <f t="shared" si="151"/>
        <v>16767</v>
      </c>
    </row>
    <row r="9257" spans="1:6" x14ac:dyDescent="0.3">
      <c r="A9257" s="45">
        <v>44300</v>
      </c>
      <c r="B9257" s="5" t="s">
        <v>5162</v>
      </c>
      <c r="C9257" s="5" t="s">
        <v>7323</v>
      </c>
      <c r="D9257" s="43">
        <v>650</v>
      </c>
      <c r="E9257" s="43"/>
      <c r="F9257" s="48">
        <f t="shared" si="151"/>
        <v>16117</v>
      </c>
    </row>
    <row r="9258" spans="1:6" x14ac:dyDescent="0.3">
      <c r="A9258" s="45">
        <v>44300</v>
      </c>
      <c r="B9258" s="749" t="s">
        <v>3444</v>
      </c>
      <c r="C9258" s="750"/>
      <c r="D9258" s="751"/>
      <c r="E9258" s="43">
        <v>100000</v>
      </c>
      <c r="F9258" s="48">
        <f t="shared" si="151"/>
        <v>116117</v>
      </c>
    </row>
    <row r="9259" spans="1:6" x14ac:dyDescent="0.3">
      <c r="A9259" s="45">
        <v>44300</v>
      </c>
      <c r="B9259" s="39" t="s">
        <v>1512</v>
      </c>
      <c r="C9259" s="39" t="s">
        <v>7325</v>
      </c>
      <c r="D9259" s="43">
        <v>81164</v>
      </c>
      <c r="E9259" s="43"/>
      <c r="F9259" s="48">
        <f t="shared" si="151"/>
        <v>34953</v>
      </c>
    </row>
    <row r="9260" spans="1:6" x14ac:dyDescent="0.3">
      <c r="A9260" s="45">
        <v>44300</v>
      </c>
      <c r="B9260" s="5" t="s">
        <v>6341</v>
      </c>
      <c r="C9260" s="5" t="s">
        <v>7326</v>
      </c>
      <c r="D9260" s="43">
        <v>3500</v>
      </c>
      <c r="E9260" s="43"/>
      <c r="F9260" s="48">
        <f t="shared" si="151"/>
        <v>31453</v>
      </c>
    </row>
    <row r="9261" spans="1:6" x14ac:dyDescent="0.3">
      <c r="A9261" s="45">
        <v>44300</v>
      </c>
      <c r="B9261" s="5" t="s">
        <v>64</v>
      </c>
      <c r="C9261" s="5" t="s">
        <v>7327</v>
      </c>
      <c r="D9261" s="43">
        <v>6000</v>
      </c>
      <c r="E9261" s="43"/>
      <c r="F9261" s="48">
        <f t="shared" si="151"/>
        <v>25453</v>
      </c>
    </row>
    <row r="9262" spans="1:6" x14ac:dyDescent="0.3">
      <c r="A9262" s="45">
        <v>44301</v>
      </c>
      <c r="B9262" s="5" t="s">
        <v>5938</v>
      </c>
      <c r="C9262" s="5" t="s">
        <v>40</v>
      </c>
      <c r="D9262" s="43">
        <v>20000</v>
      </c>
      <c r="E9262" s="43"/>
      <c r="F9262" s="48">
        <f t="shared" si="151"/>
        <v>5453</v>
      </c>
    </row>
    <row r="9263" spans="1:6" x14ac:dyDescent="0.3">
      <c r="A9263" s="45">
        <v>44301</v>
      </c>
      <c r="B9263" s="739" t="s">
        <v>5431</v>
      </c>
      <c r="C9263" s="739"/>
      <c r="D9263" s="739"/>
      <c r="E9263" s="43">
        <v>100000</v>
      </c>
      <c r="F9263" s="48">
        <f t="shared" si="151"/>
        <v>105453</v>
      </c>
    </row>
    <row r="9264" spans="1:6" x14ac:dyDescent="0.3">
      <c r="A9264" s="45">
        <v>44301</v>
      </c>
      <c r="B9264" s="5" t="s">
        <v>7330</v>
      </c>
      <c r="C9264" s="5" t="s">
        <v>7331</v>
      </c>
      <c r="D9264" s="43">
        <v>2827</v>
      </c>
      <c r="E9264" s="43"/>
      <c r="F9264" s="48">
        <f t="shared" si="151"/>
        <v>102626</v>
      </c>
    </row>
    <row r="9265" spans="1:6" x14ac:dyDescent="0.3">
      <c r="A9265" s="45">
        <v>44301</v>
      </c>
      <c r="B9265" s="5" t="s">
        <v>4055</v>
      </c>
      <c r="C9265" s="5" t="s">
        <v>294</v>
      </c>
      <c r="D9265" s="43">
        <v>2700</v>
      </c>
      <c r="E9265" s="43"/>
      <c r="F9265" s="48">
        <f t="shared" si="151"/>
        <v>99926</v>
      </c>
    </row>
    <row r="9266" spans="1:6" x14ac:dyDescent="0.3">
      <c r="A9266" s="45">
        <v>44301</v>
      </c>
      <c r="B9266" s="5" t="s">
        <v>7121</v>
      </c>
      <c r="C9266" s="5" t="s">
        <v>7332</v>
      </c>
      <c r="D9266" s="43">
        <v>30000</v>
      </c>
      <c r="E9266" s="43"/>
      <c r="F9266" s="48">
        <f t="shared" si="151"/>
        <v>69926</v>
      </c>
    </row>
    <row r="9267" spans="1:6" x14ac:dyDescent="0.3">
      <c r="A9267" s="45">
        <v>44301</v>
      </c>
      <c r="B9267" s="5" t="s">
        <v>4550</v>
      </c>
      <c r="C9267" s="5" t="s">
        <v>294</v>
      </c>
      <c r="D9267" s="43">
        <v>30000</v>
      </c>
      <c r="E9267" s="43"/>
      <c r="F9267" s="48">
        <f t="shared" si="151"/>
        <v>39926</v>
      </c>
    </row>
    <row r="9268" spans="1:6" x14ac:dyDescent="0.3">
      <c r="A9268" s="45">
        <v>44301</v>
      </c>
      <c r="B9268" s="5" t="s">
        <v>6341</v>
      </c>
      <c r="C9268" s="5" t="s">
        <v>6900</v>
      </c>
      <c r="D9268" s="43">
        <v>15000</v>
      </c>
      <c r="E9268" s="43"/>
      <c r="F9268" s="48">
        <f t="shared" si="151"/>
        <v>24926</v>
      </c>
    </row>
    <row r="9269" spans="1:6" x14ac:dyDescent="0.3">
      <c r="A9269" s="45">
        <v>44301</v>
      </c>
      <c r="B9269" s="5" t="s">
        <v>4055</v>
      </c>
      <c r="C9269" s="41" t="s">
        <v>7333</v>
      </c>
      <c r="D9269" s="43">
        <v>2000</v>
      </c>
      <c r="E9269" s="43"/>
      <c r="F9269" s="48">
        <f t="shared" si="151"/>
        <v>22926</v>
      </c>
    </row>
    <row r="9270" spans="1:6" x14ac:dyDescent="0.3">
      <c r="A9270" s="45">
        <v>44301</v>
      </c>
      <c r="B9270" s="39" t="s">
        <v>1512</v>
      </c>
      <c r="C9270" s="39" t="s">
        <v>7338</v>
      </c>
      <c r="D9270" s="43">
        <v>6000</v>
      </c>
      <c r="E9270" s="43"/>
      <c r="F9270" s="48">
        <f>F9269+E9270-D9270</f>
        <v>16926</v>
      </c>
    </row>
    <row r="9271" spans="1:6" x14ac:dyDescent="0.3">
      <c r="A9271" s="45">
        <v>44301</v>
      </c>
      <c r="B9271" s="5" t="s">
        <v>57</v>
      </c>
      <c r="C9271" s="5" t="s">
        <v>7347</v>
      </c>
      <c r="D9271" s="43">
        <v>1000</v>
      </c>
      <c r="E9271" s="43"/>
      <c r="F9271" s="48">
        <f t="shared" si="151"/>
        <v>15926</v>
      </c>
    </row>
    <row r="9272" spans="1:6" x14ac:dyDescent="0.3">
      <c r="A9272" s="45">
        <v>44302</v>
      </c>
      <c r="B9272" s="5" t="s">
        <v>14</v>
      </c>
      <c r="C9272" s="5" t="s">
        <v>6552</v>
      </c>
      <c r="D9272" s="43">
        <v>1000</v>
      </c>
      <c r="E9272" s="43"/>
      <c r="F9272" s="48">
        <f t="shared" si="151"/>
        <v>14926</v>
      </c>
    </row>
    <row r="9273" spans="1:6" x14ac:dyDescent="0.3">
      <c r="A9273" s="45">
        <v>44302</v>
      </c>
      <c r="B9273" s="5" t="s">
        <v>5162</v>
      </c>
      <c r="C9273" s="5" t="s">
        <v>7334</v>
      </c>
      <c r="D9273" s="43">
        <v>3000</v>
      </c>
      <c r="E9273" s="43"/>
      <c r="F9273" s="48">
        <f t="shared" si="151"/>
        <v>11926</v>
      </c>
    </row>
    <row r="9274" spans="1:6" x14ac:dyDescent="0.3">
      <c r="A9274" s="45">
        <v>44304</v>
      </c>
      <c r="B9274" s="739" t="s">
        <v>5431</v>
      </c>
      <c r="C9274" s="739"/>
      <c r="D9274" s="739"/>
      <c r="E9274" s="43">
        <v>100000</v>
      </c>
      <c r="F9274" s="48">
        <f>F9273+E9274-D9274</f>
        <v>111926</v>
      </c>
    </row>
    <row r="9275" spans="1:6" x14ac:dyDescent="0.3">
      <c r="A9275" s="45">
        <v>44304</v>
      </c>
      <c r="B9275" s="5" t="s">
        <v>84</v>
      </c>
      <c r="C9275" s="5" t="s">
        <v>7335</v>
      </c>
      <c r="D9275" s="43">
        <v>10000</v>
      </c>
      <c r="E9275" s="43"/>
      <c r="F9275" s="48">
        <f t="shared" si="151"/>
        <v>101926</v>
      </c>
    </row>
    <row r="9276" spans="1:6" x14ac:dyDescent="0.3">
      <c r="A9276" s="45">
        <v>44305</v>
      </c>
      <c r="B9276" s="5" t="s">
        <v>1837</v>
      </c>
      <c r="C9276" s="5" t="s">
        <v>7233</v>
      </c>
      <c r="D9276" s="43">
        <v>2000</v>
      </c>
      <c r="E9276" s="43"/>
      <c r="F9276" s="48">
        <f t="shared" si="151"/>
        <v>99926</v>
      </c>
    </row>
    <row r="9277" spans="1:6" ht="37.5" x14ac:dyDescent="0.3">
      <c r="A9277" s="45">
        <v>44305</v>
      </c>
      <c r="B9277" s="41" t="s">
        <v>68</v>
      </c>
      <c r="C9277" s="221" t="s">
        <v>7439</v>
      </c>
      <c r="D9277" s="42">
        <v>17000</v>
      </c>
      <c r="E9277" s="43"/>
      <c r="F9277" s="48">
        <f t="shared" si="151"/>
        <v>82926</v>
      </c>
    </row>
    <row r="9278" spans="1:6" x14ac:dyDescent="0.3">
      <c r="A9278" s="45">
        <v>44305</v>
      </c>
      <c r="B9278" s="5" t="s">
        <v>1837</v>
      </c>
      <c r="C9278" s="5" t="s">
        <v>7336</v>
      </c>
      <c r="D9278" s="43">
        <v>1000</v>
      </c>
      <c r="E9278" s="43"/>
      <c r="F9278" s="48">
        <f t="shared" si="151"/>
        <v>81926</v>
      </c>
    </row>
    <row r="9279" spans="1:6" x14ac:dyDescent="0.3">
      <c r="A9279" s="45">
        <v>44305</v>
      </c>
      <c r="B9279" s="5" t="s">
        <v>1837</v>
      </c>
      <c r="C9279" s="5" t="s">
        <v>7337</v>
      </c>
      <c r="D9279" s="43">
        <v>8000</v>
      </c>
      <c r="E9279" s="43"/>
      <c r="F9279" s="48">
        <f t="shared" si="151"/>
        <v>73926</v>
      </c>
    </row>
    <row r="9280" spans="1:6" x14ac:dyDescent="0.3">
      <c r="A9280" s="45">
        <v>44305</v>
      </c>
      <c r="B9280" s="5" t="s">
        <v>1074</v>
      </c>
      <c r="C9280" s="5" t="s">
        <v>7339</v>
      </c>
      <c r="D9280" s="43">
        <f>1370+2520+2790+4880</f>
        <v>11560</v>
      </c>
      <c r="E9280" s="43"/>
      <c r="F9280" s="48">
        <f t="shared" si="151"/>
        <v>62366</v>
      </c>
    </row>
    <row r="9281" spans="1:6" x14ac:dyDescent="0.3">
      <c r="A9281" s="45">
        <v>44306</v>
      </c>
      <c r="B9281" s="5" t="s">
        <v>4869</v>
      </c>
      <c r="C9281" s="5" t="s">
        <v>40</v>
      </c>
      <c r="D9281" s="43">
        <v>4370</v>
      </c>
      <c r="E9281" s="43"/>
      <c r="F9281" s="48">
        <f t="shared" si="151"/>
        <v>57996</v>
      </c>
    </row>
    <row r="9282" spans="1:6" x14ac:dyDescent="0.3">
      <c r="A9282" s="45">
        <v>44306</v>
      </c>
      <c r="B9282" s="5" t="s">
        <v>7340</v>
      </c>
      <c r="C9282" s="5" t="s">
        <v>7341</v>
      </c>
      <c r="D9282" s="43">
        <v>53250</v>
      </c>
      <c r="E9282" s="43"/>
      <c r="F9282" s="48">
        <f t="shared" ref="F9282:F9345" si="152">F9281+E9282-D9282</f>
        <v>4746</v>
      </c>
    </row>
    <row r="9283" spans="1:6" x14ac:dyDescent="0.3">
      <c r="A9283" s="45">
        <v>44307</v>
      </c>
      <c r="B9283" s="739" t="s">
        <v>7343</v>
      </c>
      <c r="C9283" s="739"/>
      <c r="D9283" s="739"/>
      <c r="E9283" s="43">
        <v>25000</v>
      </c>
      <c r="F9283" s="48">
        <f t="shared" si="152"/>
        <v>29746</v>
      </c>
    </row>
    <row r="9284" spans="1:6" x14ac:dyDescent="0.3">
      <c r="A9284" s="45">
        <v>44307</v>
      </c>
      <c r="B9284" s="5" t="s">
        <v>7040</v>
      </c>
      <c r="C9284" s="5" t="s">
        <v>5508</v>
      </c>
      <c r="D9284" s="43">
        <v>5000</v>
      </c>
      <c r="E9284" s="43"/>
      <c r="F9284" s="48">
        <f t="shared" si="152"/>
        <v>24746</v>
      </c>
    </row>
    <row r="9285" spans="1:6" x14ac:dyDescent="0.3">
      <c r="A9285" s="45">
        <v>44307</v>
      </c>
      <c r="B9285" s="5" t="s">
        <v>7344</v>
      </c>
      <c r="C9285" s="5" t="s">
        <v>7345</v>
      </c>
      <c r="D9285" s="43">
        <v>5000</v>
      </c>
      <c r="E9285" s="43"/>
      <c r="F9285" s="48">
        <f t="shared" si="152"/>
        <v>19746</v>
      </c>
    </row>
    <row r="9286" spans="1:6" x14ac:dyDescent="0.3">
      <c r="A9286" s="45">
        <v>44307</v>
      </c>
      <c r="B9286" s="5" t="s">
        <v>25</v>
      </c>
      <c r="C9286" s="5" t="s">
        <v>4276</v>
      </c>
      <c r="D9286" s="43">
        <f>1000+1550+300+200+600</f>
        <v>3650</v>
      </c>
      <c r="E9286" s="43"/>
      <c r="F9286" s="48">
        <f t="shared" si="152"/>
        <v>16096</v>
      </c>
    </row>
    <row r="9287" spans="1:6" x14ac:dyDescent="0.3">
      <c r="A9287" s="45">
        <v>44307</v>
      </c>
      <c r="B9287" s="739" t="s">
        <v>7348</v>
      </c>
      <c r="C9287" s="739"/>
      <c r="D9287" s="739"/>
      <c r="E9287" s="43">
        <v>20000</v>
      </c>
      <c r="F9287" s="48">
        <f t="shared" si="152"/>
        <v>36096</v>
      </c>
    </row>
    <row r="9288" spans="1:6" x14ac:dyDescent="0.3">
      <c r="A9288" s="45">
        <v>44307</v>
      </c>
      <c r="B9288" s="5" t="s">
        <v>18</v>
      </c>
      <c r="C9288" s="5" t="s">
        <v>7346</v>
      </c>
      <c r="D9288" s="43">
        <v>33000</v>
      </c>
      <c r="E9288" s="43"/>
      <c r="F9288" s="48">
        <f t="shared" si="152"/>
        <v>3096</v>
      </c>
    </row>
    <row r="9289" spans="1:6" x14ac:dyDescent="0.3">
      <c r="A9289" s="45">
        <v>44308</v>
      </c>
      <c r="B9289" s="739" t="s">
        <v>5431</v>
      </c>
      <c r="C9289" s="739"/>
      <c r="D9289" s="739"/>
      <c r="E9289" s="43">
        <v>90000</v>
      </c>
      <c r="F9289" s="48">
        <f t="shared" si="152"/>
        <v>93096</v>
      </c>
    </row>
    <row r="9290" spans="1:6" x14ac:dyDescent="0.3">
      <c r="A9290" s="45">
        <v>44308</v>
      </c>
      <c r="B9290" s="5" t="s">
        <v>84</v>
      </c>
      <c r="C9290" s="5" t="s">
        <v>7351</v>
      </c>
      <c r="D9290" s="43">
        <v>20000</v>
      </c>
      <c r="E9290" s="43"/>
      <c r="F9290" s="48">
        <f t="shared" si="152"/>
        <v>73096</v>
      </c>
    </row>
    <row r="9291" spans="1:6" x14ac:dyDescent="0.3">
      <c r="A9291" s="45">
        <v>44308</v>
      </c>
      <c r="B9291" s="5" t="s">
        <v>7349</v>
      </c>
      <c r="C9291" s="5" t="s">
        <v>7350</v>
      </c>
      <c r="D9291" s="43">
        <v>20000</v>
      </c>
      <c r="E9291" s="43"/>
      <c r="F9291" s="48">
        <f t="shared" si="152"/>
        <v>53096</v>
      </c>
    </row>
    <row r="9292" spans="1:6" x14ac:dyDescent="0.3">
      <c r="A9292" s="45">
        <v>44309</v>
      </c>
      <c r="B9292" s="5" t="s">
        <v>7158</v>
      </c>
      <c r="C9292" s="5" t="s">
        <v>4187</v>
      </c>
      <c r="D9292" s="43">
        <v>600</v>
      </c>
      <c r="E9292" s="43"/>
      <c r="F9292" s="48">
        <f t="shared" si="152"/>
        <v>52496</v>
      </c>
    </row>
    <row r="9293" spans="1:6" x14ac:dyDescent="0.3">
      <c r="A9293" s="45">
        <v>44309</v>
      </c>
      <c r="B9293" s="5" t="s">
        <v>7158</v>
      </c>
      <c r="C9293" s="5" t="s">
        <v>7352</v>
      </c>
      <c r="D9293" s="43">
        <v>1000</v>
      </c>
      <c r="E9293" s="43"/>
      <c r="F9293" s="48">
        <f t="shared" si="152"/>
        <v>51496</v>
      </c>
    </row>
    <row r="9294" spans="1:6" x14ac:dyDescent="0.3">
      <c r="A9294" s="45">
        <v>44309</v>
      </c>
      <c r="B9294" s="5" t="s">
        <v>57</v>
      </c>
      <c r="C9294" s="5" t="s">
        <v>7376</v>
      </c>
      <c r="D9294" s="43">
        <v>1000</v>
      </c>
      <c r="E9294" s="43"/>
      <c r="F9294" s="48">
        <f t="shared" si="152"/>
        <v>50496</v>
      </c>
    </row>
    <row r="9295" spans="1:6" x14ac:dyDescent="0.3">
      <c r="A9295" s="45">
        <v>44310</v>
      </c>
      <c r="B9295" s="5" t="s">
        <v>1837</v>
      </c>
      <c r="C9295" s="5" t="s">
        <v>7356</v>
      </c>
      <c r="D9295" s="43">
        <v>1000</v>
      </c>
      <c r="E9295" s="43"/>
      <c r="F9295" s="48">
        <f t="shared" si="152"/>
        <v>49496</v>
      </c>
    </row>
    <row r="9296" spans="1:6" x14ac:dyDescent="0.3">
      <c r="A9296" s="45">
        <v>44310</v>
      </c>
      <c r="B9296" s="5" t="s">
        <v>18</v>
      </c>
      <c r="C9296" s="5" t="s">
        <v>7357</v>
      </c>
      <c r="D9296" s="43">
        <v>33000</v>
      </c>
      <c r="E9296" s="43"/>
      <c r="F9296" s="48">
        <f t="shared" si="152"/>
        <v>16496</v>
      </c>
    </row>
    <row r="9297" spans="1:6" x14ac:dyDescent="0.3">
      <c r="A9297" s="45">
        <v>44310</v>
      </c>
      <c r="B9297" s="5" t="s">
        <v>1616</v>
      </c>
      <c r="C9297" s="5" t="s">
        <v>640</v>
      </c>
      <c r="D9297" s="43">
        <v>1500</v>
      </c>
      <c r="E9297" s="43"/>
      <c r="F9297" s="48">
        <f t="shared" si="152"/>
        <v>14996</v>
      </c>
    </row>
    <row r="9298" spans="1:6" x14ac:dyDescent="0.3">
      <c r="A9298" s="45">
        <v>44310</v>
      </c>
      <c r="B9298" s="5" t="s">
        <v>6430</v>
      </c>
      <c r="C9298" s="5" t="s">
        <v>3557</v>
      </c>
      <c r="D9298" s="43">
        <v>3000</v>
      </c>
      <c r="E9298" s="43"/>
      <c r="F9298" s="48">
        <f t="shared" si="152"/>
        <v>11996</v>
      </c>
    </row>
    <row r="9299" spans="1:6" x14ac:dyDescent="0.3">
      <c r="A9299" s="45">
        <v>44310</v>
      </c>
      <c r="B9299" s="5" t="s">
        <v>84</v>
      </c>
      <c r="C9299" s="5" t="s">
        <v>7361</v>
      </c>
      <c r="D9299" s="43">
        <v>5000</v>
      </c>
      <c r="E9299" s="43"/>
      <c r="F9299" s="48">
        <f t="shared" si="152"/>
        <v>6996</v>
      </c>
    </row>
    <row r="9300" spans="1:6" x14ac:dyDescent="0.3">
      <c r="A9300" s="45">
        <v>44310</v>
      </c>
      <c r="B9300" s="739" t="s">
        <v>5431</v>
      </c>
      <c r="C9300" s="739"/>
      <c r="D9300" s="739"/>
      <c r="E9300" s="43">
        <v>100000</v>
      </c>
      <c r="F9300" s="48">
        <f>F9299+E9300-D9300</f>
        <v>106996</v>
      </c>
    </row>
    <row r="9301" spans="1:6" x14ac:dyDescent="0.3">
      <c r="A9301" s="45">
        <v>44310</v>
      </c>
      <c r="B9301" s="5" t="s">
        <v>0</v>
      </c>
      <c r="C9301" s="5" t="s">
        <v>294</v>
      </c>
      <c r="D9301" s="43">
        <v>30000</v>
      </c>
      <c r="E9301" s="43"/>
      <c r="F9301" s="48">
        <f t="shared" si="152"/>
        <v>76996</v>
      </c>
    </row>
    <row r="9302" spans="1:6" x14ac:dyDescent="0.3">
      <c r="A9302" s="45">
        <v>44310</v>
      </c>
      <c r="B9302" s="5" t="s">
        <v>84</v>
      </c>
      <c r="C9302" s="5" t="s">
        <v>7362</v>
      </c>
      <c r="D9302" s="43">
        <v>5000</v>
      </c>
      <c r="E9302" s="43"/>
      <c r="F9302" s="48">
        <f t="shared" si="152"/>
        <v>71996</v>
      </c>
    </row>
    <row r="9303" spans="1:6" x14ac:dyDescent="0.3">
      <c r="A9303" s="45">
        <v>44310</v>
      </c>
      <c r="B9303" s="5" t="s">
        <v>1837</v>
      </c>
      <c r="C9303" s="5" t="s">
        <v>7363</v>
      </c>
      <c r="D9303" s="43">
        <v>400</v>
      </c>
      <c r="E9303" s="43"/>
      <c r="F9303" s="48">
        <f t="shared" si="152"/>
        <v>71596</v>
      </c>
    </row>
    <row r="9304" spans="1:6" x14ac:dyDescent="0.3">
      <c r="A9304" s="45">
        <v>44312</v>
      </c>
      <c r="B9304" s="5" t="s">
        <v>84</v>
      </c>
      <c r="C9304" s="5" t="s">
        <v>7365</v>
      </c>
      <c r="D9304" s="43">
        <v>5000</v>
      </c>
      <c r="E9304" s="43"/>
      <c r="F9304" s="48">
        <f>F9303+E9304-D9304</f>
        <v>66596</v>
      </c>
    </row>
    <row r="9305" spans="1:6" x14ac:dyDescent="0.3">
      <c r="A9305" s="45">
        <v>44312</v>
      </c>
      <c r="B9305" s="5" t="s">
        <v>4550</v>
      </c>
      <c r="C9305" s="5" t="s">
        <v>294</v>
      </c>
      <c r="D9305" s="43">
        <v>22000</v>
      </c>
      <c r="E9305" s="43"/>
      <c r="F9305" s="48">
        <f t="shared" si="152"/>
        <v>44596</v>
      </c>
    </row>
    <row r="9306" spans="1:6" x14ac:dyDescent="0.3">
      <c r="A9306" s="45">
        <v>44312</v>
      </c>
      <c r="B9306" s="739" t="s">
        <v>5431</v>
      </c>
      <c r="C9306" s="739"/>
      <c r="D9306" s="739"/>
      <c r="E9306" s="43">
        <v>50000</v>
      </c>
      <c r="F9306" s="48">
        <f t="shared" si="152"/>
        <v>94596</v>
      </c>
    </row>
    <row r="9307" spans="1:6" x14ac:dyDescent="0.3">
      <c r="A9307" s="45">
        <v>44312</v>
      </c>
      <c r="B9307" s="41" t="s">
        <v>18</v>
      </c>
      <c r="C9307" s="41" t="s">
        <v>7375</v>
      </c>
      <c r="D9307" s="42">
        <v>53600</v>
      </c>
      <c r="E9307" s="43"/>
      <c r="F9307" s="48">
        <f t="shared" si="152"/>
        <v>40996</v>
      </c>
    </row>
    <row r="9308" spans="1:6" x14ac:dyDescent="0.3">
      <c r="A9308" s="45">
        <v>44312</v>
      </c>
      <c r="B9308" s="5" t="s">
        <v>7366</v>
      </c>
      <c r="C9308" s="5" t="s">
        <v>7367</v>
      </c>
      <c r="D9308" s="43">
        <v>20000</v>
      </c>
      <c r="E9308" s="43"/>
      <c r="F9308" s="48">
        <f t="shared" si="152"/>
        <v>20996</v>
      </c>
    </row>
    <row r="9309" spans="1:6" x14ac:dyDescent="0.3">
      <c r="A9309" s="45">
        <v>44312</v>
      </c>
      <c r="B9309" s="5" t="s">
        <v>7366</v>
      </c>
      <c r="C9309" s="5" t="s">
        <v>7368</v>
      </c>
      <c r="D9309" s="43">
        <v>20000</v>
      </c>
      <c r="E9309" s="43"/>
      <c r="F9309" s="48">
        <f t="shared" si="152"/>
        <v>996</v>
      </c>
    </row>
    <row r="9310" spans="1:6" x14ac:dyDescent="0.3">
      <c r="A9310" s="45">
        <v>44312</v>
      </c>
      <c r="B9310" s="739" t="s">
        <v>5431</v>
      </c>
      <c r="C9310" s="739"/>
      <c r="D9310" s="739"/>
      <c r="E9310" s="43">
        <v>50000</v>
      </c>
      <c r="F9310" s="48">
        <f>F9309+E9310-D9310</f>
        <v>50996</v>
      </c>
    </row>
    <row r="9311" spans="1:6" x14ac:dyDescent="0.3">
      <c r="A9311" s="45">
        <v>44312</v>
      </c>
      <c r="B9311" s="5" t="s">
        <v>7369</v>
      </c>
      <c r="C9311" s="5" t="s">
        <v>7370</v>
      </c>
      <c r="D9311" s="43">
        <v>44000</v>
      </c>
      <c r="E9311" s="43"/>
      <c r="F9311" s="48">
        <f>F9310+E9311-D9311</f>
        <v>6996</v>
      </c>
    </row>
    <row r="9312" spans="1:6" x14ac:dyDescent="0.3">
      <c r="A9312" s="45">
        <v>44312</v>
      </c>
      <c r="B9312" s="5" t="s">
        <v>6908</v>
      </c>
      <c r="C9312" s="5" t="s">
        <v>7371</v>
      </c>
      <c r="D9312" s="43">
        <v>5000</v>
      </c>
      <c r="E9312" s="43"/>
      <c r="F9312" s="48">
        <f>F9311+E9312-D9312</f>
        <v>1996</v>
      </c>
    </row>
    <row r="9313" spans="1:6" x14ac:dyDescent="0.3">
      <c r="A9313" s="45">
        <v>44313</v>
      </c>
      <c r="B9313" s="5" t="s">
        <v>56</v>
      </c>
      <c r="C9313" s="5" t="s">
        <v>2013</v>
      </c>
      <c r="D9313" s="43">
        <v>220</v>
      </c>
      <c r="E9313" s="43"/>
      <c r="F9313" s="48">
        <f t="shared" si="152"/>
        <v>1776</v>
      </c>
    </row>
    <row r="9314" spans="1:6" x14ac:dyDescent="0.3">
      <c r="A9314" s="45">
        <v>44314</v>
      </c>
      <c r="B9314" s="739" t="s">
        <v>7374</v>
      </c>
      <c r="C9314" s="739"/>
      <c r="D9314" s="739"/>
      <c r="E9314" s="43">
        <v>201000</v>
      </c>
      <c r="F9314" s="48">
        <f t="shared" si="152"/>
        <v>202776</v>
      </c>
    </row>
    <row r="9315" spans="1:6" x14ac:dyDescent="0.3">
      <c r="A9315" s="45">
        <v>44314</v>
      </c>
      <c r="B9315" s="5" t="s">
        <v>7040</v>
      </c>
      <c r="C9315" s="5" t="s">
        <v>294</v>
      </c>
      <c r="D9315" s="43">
        <v>8000</v>
      </c>
      <c r="E9315" s="43"/>
      <c r="F9315" s="48">
        <f t="shared" si="152"/>
        <v>194776</v>
      </c>
    </row>
    <row r="9316" spans="1:6" x14ac:dyDescent="0.3">
      <c r="A9316" s="45">
        <v>44314</v>
      </c>
      <c r="B9316" s="5" t="s">
        <v>18</v>
      </c>
      <c r="C9316" s="41" t="s">
        <v>7375</v>
      </c>
      <c r="D9316" s="43">
        <v>39000</v>
      </c>
      <c r="E9316" s="43"/>
      <c r="F9316" s="48">
        <f t="shared" si="152"/>
        <v>155776</v>
      </c>
    </row>
    <row r="9317" spans="1:6" x14ac:dyDescent="0.3">
      <c r="A9317" s="45">
        <v>44314</v>
      </c>
      <c r="B9317" s="5" t="s">
        <v>5156</v>
      </c>
      <c r="C9317" s="5" t="s">
        <v>6926</v>
      </c>
      <c r="D9317" s="43">
        <v>720</v>
      </c>
      <c r="E9317" s="43"/>
      <c r="F9317" s="48">
        <f t="shared" si="152"/>
        <v>155056</v>
      </c>
    </row>
    <row r="9318" spans="1:6" x14ac:dyDescent="0.3">
      <c r="A9318" s="45">
        <v>44314</v>
      </c>
      <c r="B9318" s="5" t="s">
        <v>57</v>
      </c>
      <c r="C9318" s="5" t="s">
        <v>7355</v>
      </c>
      <c r="D9318" s="43">
        <v>2000</v>
      </c>
      <c r="E9318" s="43"/>
      <c r="F9318" s="48">
        <f t="shared" si="152"/>
        <v>153056</v>
      </c>
    </row>
    <row r="9319" spans="1:6" x14ac:dyDescent="0.3">
      <c r="A9319" s="45">
        <v>44315</v>
      </c>
      <c r="B9319" s="5" t="s">
        <v>7099</v>
      </c>
      <c r="C9319" s="5" t="s">
        <v>7377</v>
      </c>
      <c r="D9319" s="43">
        <v>5000</v>
      </c>
      <c r="E9319" s="43"/>
      <c r="F9319" s="48">
        <f t="shared" si="152"/>
        <v>148056</v>
      </c>
    </row>
    <row r="9320" spans="1:6" x14ac:dyDescent="0.3">
      <c r="A9320" s="45">
        <v>44315</v>
      </c>
      <c r="B9320" s="5" t="s">
        <v>7315</v>
      </c>
      <c r="C9320" s="5" t="s">
        <v>7378</v>
      </c>
      <c r="D9320" s="43">
        <v>6500</v>
      </c>
      <c r="E9320" s="43"/>
      <c r="F9320" s="48">
        <f t="shared" si="152"/>
        <v>141556</v>
      </c>
    </row>
    <row r="9321" spans="1:6" x14ac:dyDescent="0.3">
      <c r="A9321" s="45">
        <v>44315</v>
      </c>
      <c r="B9321" s="5" t="s">
        <v>5709</v>
      </c>
      <c r="C9321" s="5" t="s">
        <v>294</v>
      </c>
      <c r="D9321" s="43">
        <v>5000</v>
      </c>
      <c r="E9321" s="43"/>
      <c r="F9321" s="48">
        <f t="shared" si="152"/>
        <v>136556</v>
      </c>
    </row>
    <row r="9322" spans="1:6" x14ac:dyDescent="0.3">
      <c r="A9322" s="45">
        <v>44316</v>
      </c>
      <c r="B9322" s="5" t="s">
        <v>47</v>
      </c>
      <c r="C9322" s="5" t="s">
        <v>7380</v>
      </c>
      <c r="D9322" s="43">
        <v>1500</v>
      </c>
      <c r="E9322" s="43"/>
      <c r="F9322" s="48">
        <f t="shared" si="152"/>
        <v>135056</v>
      </c>
    </row>
    <row r="9323" spans="1:6" x14ac:dyDescent="0.3">
      <c r="A9323" s="45">
        <v>44316</v>
      </c>
      <c r="B9323" s="5" t="s">
        <v>541</v>
      </c>
      <c r="C9323" s="5" t="s">
        <v>5377</v>
      </c>
      <c r="D9323" s="43">
        <v>600</v>
      </c>
      <c r="E9323" s="43"/>
      <c r="F9323" s="48">
        <f t="shared" si="152"/>
        <v>134456</v>
      </c>
    </row>
    <row r="9324" spans="1:6" x14ac:dyDescent="0.3">
      <c r="A9324" s="45">
        <v>44319</v>
      </c>
      <c r="B9324" s="5" t="s">
        <v>14</v>
      </c>
      <c r="C9324" s="5" t="s">
        <v>7381</v>
      </c>
      <c r="D9324" s="43">
        <v>1000</v>
      </c>
      <c r="E9324" s="43"/>
      <c r="F9324" s="48">
        <f t="shared" si="152"/>
        <v>133456</v>
      </c>
    </row>
    <row r="9325" spans="1:6" x14ac:dyDescent="0.3">
      <c r="A9325" s="45">
        <v>44319</v>
      </c>
      <c r="B9325" s="5" t="s">
        <v>57</v>
      </c>
      <c r="C9325" s="5" t="s">
        <v>7382</v>
      </c>
      <c r="D9325" s="43">
        <v>1000</v>
      </c>
      <c r="E9325" s="43"/>
      <c r="F9325" s="48">
        <f t="shared" si="152"/>
        <v>132456</v>
      </c>
    </row>
    <row r="9326" spans="1:6" ht="37.5" x14ac:dyDescent="0.3">
      <c r="A9326" s="45">
        <v>44319</v>
      </c>
      <c r="B9326" s="44" t="s">
        <v>4550</v>
      </c>
      <c r="C9326" s="124" t="s">
        <v>7383</v>
      </c>
      <c r="D9326" s="28">
        <v>40000</v>
      </c>
      <c r="E9326" s="28"/>
      <c r="F9326" s="48">
        <f t="shared" si="152"/>
        <v>92456</v>
      </c>
    </row>
    <row r="9327" spans="1:6" x14ac:dyDescent="0.3">
      <c r="A9327" s="45">
        <v>44319</v>
      </c>
      <c r="B9327" s="5" t="s">
        <v>4869</v>
      </c>
      <c r="C9327" s="5" t="s">
        <v>40</v>
      </c>
      <c r="D9327" s="43">
        <v>4162</v>
      </c>
      <c r="E9327" s="43"/>
      <c r="F9327" s="48">
        <f t="shared" si="152"/>
        <v>88294</v>
      </c>
    </row>
    <row r="9328" spans="1:6" x14ac:dyDescent="0.3">
      <c r="A9328" s="45">
        <v>44319</v>
      </c>
      <c r="B9328" s="5" t="s">
        <v>1074</v>
      </c>
      <c r="C9328" s="5" t="s">
        <v>4946</v>
      </c>
      <c r="D9328" s="43">
        <v>526</v>
      </c>
      <c r="E9328" s="43"/>
      <c r="F9328" s="48">
        <f t="shared" si="152"/>
        <v>87768</v>
      </c>
    </row>
    <row r="9329" spans="1:13" x14ac:dyDescent="0.3">
      <c r="A9329" s="45">
        <v>44319</v>
      </c>
      <c r="B9329" s="5" t="s">
        <v>0</v>
      </c>
      <c r="C9329" s="5" t="s">
        <v>4350</v>
      </c>
      <c r="D9329" s="43">
        <v>15000</v>
      </c>
      <c r="E9329" s="43"/>
      <c r="F9329" s="48">
        <f t="shared" si="152"/>
        <v>72768</v>
      </c>
    </row>
    <row r="9330" spans="1:13" x14ac:dyDescent="0.3">
      <c r="A9330" s="45">
        <v>44319</v>
      </c>
      <c r="B9330" s="5" t="s">
        <v>7156</v>
      </c>
      <c r="C9330" s="5" t="s">
        <v>7384</v>
      </c>
      <c r="D9330" s="43">
        <v>30000</v>
      </c>
      <c r="E9330" s="43"/>
      <c r="F9330" s="48">
        <f t="shared" si="152"/>
        <v>42768</v>
      </c>
    </row>
    <row r="9331" spans="1:13" x14ac:dyDescent="0.3">
      <c r="A9331" s="45">
        <v>44319</v>
      </c>
      <c r="B9331" s="5" t="s">
        <v>14</v>
      </c>
      <c r="C9331" s="5" t="s">
        <v>7385</v>
      </c>
      <c r="D9331" s="43">
        <v>6503</v>
      </c>
      <c r="E9331" s="43"/>
      <c r="F9331" s="48">
        <f t="shared" si="152"/>
        <v>36265</v>
      </c>
    </row>
    <row r="9332" spans="1:13" x14ac:dyDescent="0.3">
      <c r="A9332" s="45">
        <v>44319</v>
      </c>
      <c r="B9332" s="5" t="s">
        <v>1512</v>
      </c>
      <c r="C9332" s="5" t="s">
        <v>7387</v>
      </c>
      <c r="D9332" s="43">
        <v>2000</v>
      </c>
      <c r="E9332" s="43"/>
      <c r="F9332" s="48">
        <f t="shared" si="152"/>
        <v>34265</v>
      </c>
    </row>
    <row r="9333" spans="1:13" x14ac:dyDescent="0.3">
      <c r="A9333" s="184">
        <v>44320</v>
      </c>
      <c r="B9333" s="66" t="s">
        <v>7158</v>
      </c>
      <c r="C9333" s="66" t="s">
        <v>4187</v>
      </c>
      <c r="D9333" s="67">
        <v>500</v>
      </c>
      <c r="E9333" s="67"/>
      <c r="F9333" s="252">
        <f t="shared" si="152"/>
        <v>33765</v>
      </c>
    </row>
    <row r="9334" spans="1:13" x14ac:dyDescent="0.3">
      <c r="A9334" s="45">
        <v>44320</v>
      </c>
      <c r="B9334" s="5" t="s">
        <v>1837</v>
      </c>
      <c r="C9334" s="5" t="s">
        <v>7388</v>
      </c>
      <c r="D9334" s="43">
        <v>500</v>
      </c>
      <c r="E9334" s="43"/>
      <c r="F9334" s="48">
        <f t="shared" si="152"/>
        <v>33265</v>
      </c>
    </row>
    <row r="9335" spans="1:13" x14ac:dyDescent="0.3">
      <c r="A9335" s="45">
        <v>44320</v>
      </c>
      <c r="B9335" s="5" t="s">
        <v>1837</v>
      </c>
      <c r="C9335" s="5" t="s">
        <v>1624</v>
      </c>
      <c r="D9335" s="43">
        <v>100</v>
      </c>
      <c r="E9335" s="43"/>
      <c r="F9335" s="48">
        <f t="shared" si="152"/>
        <v>33165</v>
      </c>
    </row>
    <row r="9336" spans="1:13" x14ac:dyDescent="0.3">
      <c r="A9336" s="45">
        <v>44320</v>
      </c>
      <c r="B9336" s="5" t="s">
        <v>18</v>
      </c>
      <c r="C9336" s="5" t="s">
        <v>7389</v>
      </c>
      <c r="D9336" s="43">
        <v>2000</v>
      </c>
      <c r="E9336" s="43"/>
      <c r="F9336" s="48">
        <f t="shared" si="152"/>
        <v>31165</v>
      </c>
    </row>
    <row r="9337" spans="1:13" x14ac:dyDescent="0.3">
      <c r="A9337" s="45">
        <v>44321</v>
      </c>
      <c r="B9337" s="5" t="s">
        <v>6430</v>
      </c>
      <c r="C9337" s="5" t="s">
        <v>5476</v>
      </c>
      <c r="D9337" s="43">
        <v>2000</v>
      </c>
      <c r="E9337" s="43"/>
      <c r="F9337" s="48">
        <f t="shared" si="152"/>
        <v>29165</v>
      </c>
    </row>
    <row r="9338" spans="1:13" x14ac:dyDescent="0.3">
      <c r="A9338" s="45">
        <v>44321</v>
      </c>
      <c r="B9338" s="5" t="s">
        <v>25</v>
      </c>
      <c r="C9338" s="5" t="s">
        <v>7405</v>
      </c>
      <c r="D9338" s="43">
        <v>1000</v>
      </c>
      <c r="E9338" s="43"/>
      <c r="F9338" s="48">
        <f t="shared" si="152"/>
        <v>28165</v>
      </c>
      <c r="H9338" s="302"/>
      <c r="I9338" s="43"/>
      <c r="J9338" s="43"/>
      <c r="K9338" s="43"/>
      <c r="L9338" s="43"/>
      <c r="M9338" s="48"/>
    </row>
    <row r="9339" spans="1:13" x14ac:dyDescent="0.3">
      <c r="A9339" s="45">
        <v>44321</v>
      </c>
      <c r="B9339" s="5" t="s">
        <v>4125</v>
      </c>
      <c r="C9339" s="5" t="s">
        <v>40</v>
      </c>
      <c r="D9339" s="43">
        <v>25000</v>
      </c>
      <c r="E9339" s="43"/>
      <c r="F9339" s="48">
        <f t="shared" si="152"/>
        <v>3165</v>
      </c>
    </row>
    <row r="9340" spans="1:13" x14ac:dyDescent="0.3">
      <c r="A9340" s="45">
        <v>44321</v>
      </c>
      <c r="B9340" s="739" t="s">
        <v>4329</v>
      </c>
      <c r="C9340" s="739"/>
      <c r="D9340" s="739"/>
      <c r="E9340" s="43">
        <v>500000</v>
      </c>
      <c r="F9340" s="48">
        <f>F9339+E9340-D9340</f>
        <v>503165</v>
      </c>
    </row>
    <row r="9341" spans="1:13" x14ac:dyDescent="0.3">
      <c r="A9341" s="45">
        <v>44321</v>
      </c>
      <c r="B9341" s="739" t="s">
        <v>861</v>
      </c>
      <c r="C9341" s="739"/>
      <c r="D9341" s="739"/>
      <c r="E9341" s="43">
        <v>500000</v>
      </c>
      <c r="F9341" s="48">
        <f>F9340+E9341-D9341</f>
        <v>1003165</v>
      </c>
    </row>
    <row r="9342" spans="1:13" x14ac:dyDescent="0.3">
      <c r="A9342" s="45">
        <v>44321</v>
      </c>
      <c r="B9342" s="39" t="s">
        <v>1512</v>
      </c>
      <c r="C9342" s="39" t="s">
        <v>6842</v>
      </c>
      <c r="D9342" s="43">
        <v>119000</v>
      </c>
      <c r="E9342" s="43"/>
      <c r="F9342" s="48">
        <f>F9341+E9342-D9342</f>
        <v>884165</v>
      </c>
    </row>
    <row r="9343" spans="1:13" x14ac:dyDescent="0.3">
      <c r="A9343" s="45">
        <v>44321</v>
      </c>
      <c r="B9343" s="39" t="s">
        <v>1512</v>
      </c>
      <c r="C9343" s="39" t="s">
        <v>7116</v>
      </c>
      <c r="D9343" s="43">
        <v>211115</v>
      </c>
      <c r="E9343" s="43"/>
      <c r="F9343" s="48">
        <f t="shared" si="152"/>
        <v>673050</v>
      </c>
    </row>
    <row r="9344" spans="1:13" x14ac:dyDescent="0.3">
      <c r="A9344" s="45">
        <v>44321</v>
      </c>
      <c r="B9344" s="39" t="s">
        <v>1512</v>
      </c>
      <c r="C9344" s="39" t="s">
        <v>6546</v>
      </c>
      <c r="D9344" s="43">
        <v>116254</v>
      </c>
      <c r="E9344" s="43"/>
      <c r="F9344" s="48">
        <f t="shared" si="152"/>
        <v>556796</v>
      </c>
    </row>
    <row r="9345" spans="1:6" x14ac:dyDescent="0.3">
      <c r="A9345" s="45">
        <v>44321</v>
      </c>
      <c r="B9345" s="39" t="s">
        <v>1512</v>
      </c>
      <c r="C9345" s="39" t="s">
        <v>6387</v>
      </c>
      <c r="D9345" s="43">
        <v>92458</v>
      </c>
      <c r="E9345" s="43"/>
      <c r="F9345" s="48">
        <f t="shared" si="152"/>
        <v>464338</v>
      </c>
    </row>
    <row r="9346" spans="1:6" x14ac:dyDescent="0.3">
      <c r="A9346" s="45">
        <v>44321</v>
      </c>
      <c r="B9346" s="39" t="s">
        <v>1512</v>
      </c>
      <c r="C9346" s="39" t="s">
        <v>6556</v>
      </c>
      <c r="D9346" s="43">
        <v>81067</v>
      </c>
      <c r="E9346" s="43"/>
      <c r="F9346" s="48">
        <f t="shared" ref="F9346:F9409" si="153">F9345+E9346-D9346</f>
        <v>383271</v>
      </c>
    </row>
    <row r="9347" spans="1:6" x14ac:dyDescent="0.3">
      <c r="A9347" s="45">
        <v>44321</v>
      </c>
      <c r="B9347" s="39" t="s">
        <v>1512</v>
      </c>
      <c r="C9347" s="39" t="s">
        <v>7406</v>
      </c>
      <c r="D9347" s="43">
        <v>82483</v>
      </c>
      <c r="E9347" s="43"/>
      <c r="F9347" s="48">
        <f t="shared" si="153"/>
        <v>300788</v>
      </c>
    </row>
    <row r="9348" spans="1:6" x14ac:dyDescent="0.3">
      <c r="A9348" s="45">
        <v>44321</v>
      </c>
      <c r="B9348" s="39" t="s">
        <v>1512</v>
      </c>
      <c r="C9348" s="39" t="s">
        <v>691</v>
      </c>
      <c r="D9348" s="43">
        <v>47021</v>
      </c>
      <c r="E9348" s="43"/>
      <c r="F9348" s="48">
        <f t="shared" si="153"/>
        <v>253767</v>
      </c>
    </row>
    <row r="9349" spans="1:6" x14ac:dyDescent="0.3">
      <c r="A9349" s="45">
        <v>44321</v>
      </c>
      <c r="B9349" s="39" t="s">
        <v>1512</v>
      </c>
      <c r="C9349" s="39" t="s">
        <v>6877</v>
      </c>
      <c r="D9349" s="43">
        <v>127450</v>
      </c>
      <c r="E9349" s="43"/>
      <c r="F9349" s="48">
        <f t="shared" si="153"/>
        <v>126317</v>
      </c>
    </row>
    <row r="9350" spans="1:6" x14ac:dyDescent="0.3">
      <c r="A9350" s="45">
        <v>44321</v>
      </c>
      <c r="B9350" s="39" t="s">
        <v>1512</v>
      </c>
      <c r="C9350" s="39" t="s">
        <v>7407</v>
      </c>
      <c r="D9350" s="43">
        <v>108923</v>
      </c>
      <c r="E9350" s="43"/>
      <c r="F9350" s="48">
        <f t="shared" si="153"/>
        <v>17394</v>
      </c>
    </row>
    <row r="9351" spans="1:6" x14ac:dyDescent="0.3">
      <c r="A9351" s="45">
        <v>44321</v>
      </c>
      <c r="B9351" s="5" t="s">
        <v>541</v>
      </c>
      <c r="C9351" s="5" t="s">
        <v>7408</v>
      </c>
      <c r="D9351" s="43">
        <v>15000</v>
      </c>
      <c r="E9351" s="43"/>
      <c r="F9351" s="48">
        <f t="shared" si="153"/>
        <v>2394</v>
      </c>
    </row>
    <row r="9352" spans="1:6" x14ac:dyDescent="0.3">
      <c r="A9352" s="45">
        <v>44322</v>
      </c>
      <c r="B9352" s="5" t="s">
        <v>1616</v>
      </c>
      <c r="C9352" s="5" t="s">
        <v>78</v>
      </c>
      <c r="D9352" s="43">
        <v>2000</v>
      </c>
      <c r="E9352" s="43"/>
      <c r="F9352" s="48">
        <f t="shared" si="153"/>
        <v>394</v>
      </c>
    </row>
    <row r="9353" spans="1:6" x14ac:dyDescent="0.3">
      <c r="A9353" s="45">
        <v>44322</v>
      </c>
      <c r="B9353" s="739" t="s">
        <v>7422</v>
      </c>
      <c r="C9353" s="739"/>
      <c r="D9353" s="739"/>
      <c r="E9353" s="43">
        <f>201000-10000</f>
        <v>191000</v>
      </c>
      <c r="F9353" s="48">
        <f t="shared" si="153"/>
        <v>191394</v>
      </c>
    </row>
    <row r="9354" spans="1:6" x14ac:dyDescent="0.3">
      <c r="A9354" s="45">
        <v>44322</v>
      </c>
      <c r="B9354" s="5" t="s">
        <v>1837</v>
      </c>
      <c r="C9354" s="5" t="s">
        <v>7412</v>
      </c>
      <c r="D9354" s="43">
        <v>500</v>
      </c>
      <c r="E9354" s="43"/>
      <c r="F9354" s="48">
        <f t="shared" si="153"/>
        <v>190894</v>
      </c>
    </row>
    <row r="9355" spans="1:6" x14ac:dyDescent="0.3">
      <c r="A9355" s="45">
        <v>44322</v>
      </c>
      <c r="B9355" s="5" t="s">
        <v>25</v>
      </c>
      <c r="C9355" s="5" t="s">
        <v>7413</v>
      </c>
      <c r="D9355" s="43">
        <v>200</v>
      </c>
      <c r="E9355" s="43"/>
      <c r="F9355" s="48">
        <f t="shared" si="153"/>
        <v>190694</v>
      </c>
    </row>
    <row r="9356" spans="1:6" ht="37.5" x14ac:dyDescent="0.3">
      <c r="A9356" s="45">
        <v>44322</v>
      </c>
      <c r="B9356" s="5" t="s">
        <v>68</v>
      </c>
      <c r="C9356" s="92" t="s">
        <v>7414</v>
      </c>
      <c r="D9356" s="43">
        <v>5000</v>
      </c>
      <c r="E9356" s="43"/>
      <c r="F9356" s="48">
        <f t="shared" si="153"/>
        <v>185694</v>
      </c>
    </row>
    <row r="9357" spans="1:6" x14ac:dyDescent="0.3">
      <c r="A9357" s="45">
        <v>44322</v>
      </c>
      <c r="B9357" s="5" t="s">
        <v>5162</v>
      </c>
      <c r="C9357" s="92" t="s">
        <v>7442</v>
      </c>
      <c r="D9357" s="43">
        <v>5000</v>
      </c>
      <c r="E9357" s="43"/>
      <c r="F9357" s="48">
        <f t="shared" si="153"/>
        <v>180694</v>
      </c>
    </row>
    <row r="9358" spans="1:6" x14ac:dyDescent="0.3">
      <c r="A9358" s="45">
        <v>44322</v>
      </c>
      <c r="B9358" s="5" t="s">
        <v>7415</v>
      </c>
      <c r="C9358" s="92" t="s">
        <v>7416</v>
      </c>
      <c r="D9358" s="43">
        <v>40000</v>
      </c>
      <c r="E9358" s="43"/>
      <c r="F9358" s="48">
        <f t="shared" si="153"/>
        <v>140694</v>
      </c>
    </row>
    <row r="9359" spans="1:6" ht="37.5" x14ac:dyDescent="0.3">
      <c r="A9359" s="45">
        <v>44322</v>
      </c>
      <c r="B9359" s="5" t="s">
        <v>93</v>
      </c>
      <c r="C9359" s="92" t="s">
        <v>7417</v>
      </c>
      <c r="D9359" s="43">
        <v>13200</v>
      </c>
      <c r="E9359" s="43"/>
      <c r="F9359" s="48">
        <f t="shared" si="153"/>
        <v>127494</v>
      </c>
    </row>
    <row r="9360" spans="1:6" x14ac:dyDescent="0.3">
      <c r="A9360" s="45">
        <v>44323</v>
      </c>
      <c r="B9360" s="5" t="s">
        <v>5930</v>
      </c>
      <c r="C9360" s="5" t="s">
        <v>7418</v>
      </c>
      <c r="D9360" s="43">
        <v>31680</v>
      </c>
      <c r="E9360" s="43"/>
      <c r="F9360" s="48">
        <f t="shared" si="153"/>
        <v>95814</v>
      </c>
    </row>
    <row r="9361" spans="1:6" x14ac:dyDescent="0.3">
      <c r="A9361" s="45">
        <v>44323</v>
      </c>
      <c r="B9361" s="39" t="s">
        <v>1512</v>
      </c>
      <c r="C9361" s="39" t="s">
        <v>7419</v>
      </c>
      <c r="D9361" s="43">
        <v>11000</v>
      </c>
      <c r="E9361" s="43"/>
      <c r="F9361" s="48">
        <f t="shared" si="153"/>
        <v>84814</v>
      </c>
    </row>
    <row r="9362" spans="1:6" x14ac:dyDescent="0.3">
      <c r="A9362" s="45">
        <v>44323</v>
      </c>
      <c r="B9362" s="39" t="s">
        <v>1512</v>
      </c>
      <c r="C9362" s="39" t="s">
        <v>7420</v>
      </c>
      <c r="D9362" s="43">
        <v>20000</v>
      </c>
      <c r="E9362" s="43"/>
      <c r="F9362" s="48">
        <f t="shared" si="153"/>
        <v>64814</v>
      </c>
    </row>
    <row r="9363" spans="1:6" x14ac:dyDescent="0.3">
      <c r="A9363" s="45">
        <v>44323</v>
      </c>
      <c r="B9363" s="39" t="s">
        <v>1512</v>
      </c>
      <c r="C9363" s="39" t="s">
        <v>7421</v>
      </c>
      <c r="D9363" s="43">
        <f>31500+2000+1500</f>
        <v>35000</v>
      </c>
      <c r="E9363" s="43"/>
      <c r="F9363" s="48">
        <f t="shared" si="153"/>
        <v>29814</v>
      </c>
    </row>
    <row r="9364" spans="1:6" x14ac:dyDescent="0.3">
      <c r="A9364" s="45">
        <v>44323</v>
      </c>
      <c r="B9364" s="5" t="s">
        <v>14</v>
      </c>
      <c r="C9364" s="5" t="s">
        <v>294</v>
      </c>
      <c r="D9364" s="43">
        <v>10000</v>
      </c>
      <c r="E9364" s="43"/>
      <c r="F9364" s="48">
        <f t="shared" si="153"/>
        <v>19814</v>
      </c>
    </row>
    <row r="9365" spans="1:6" x14ac:dyDescent="0.3">
      <c r="A9365" s="45">
        <v>44323</v>
      </c>
      <c r="B9365" s="739" t="s">
        <v>4415</v>
      </c>
      <c r="C9365" s="739"/>
      <c r="D9365" s="739"/>
      <c r="E9365" s="43">
        <v>750000</v>
      </c>
      <c r="F9365" s="48">
        <f t="shared" si="153"/>
        <v>769814</v>
      </c>
    </row>
    <row r="9366" spans="1:6" x14ac:dyDescent="0.3">
      <c r="A9366" s="45">
        <v>44323</v>
      </c>
      <c r="B9366" s="5" t="s">
        <v>7427</v>
      </c>
      <c r="C9366" s="5" t="s">
        <v>1953</v>
      </c>
      <c r="D9366" s="43">
        <v>457750</v>
      </c>
      <c r="E9366" s="43"/>
      <c r="F9366" s="48">
        <f t="shared" si="153"/>
        <v>312064</v>
      </c>
    </row>
    <row r="9367" spans="1:6" x14ac:dyDescent="0.3">
      <c r="A9367" s="45">
        <v>44323</v>
      </c>
      <c r="B9367" s="5" t="s">
        <v>14</v>
      </c>
      <c r="C9367" s="5" t="s">
        <v>7428</v>
      </c>
      <c r="D9367" s="43">
        <v>250000</v>
      </c>
      <c r="E9367" s="43"/>
      <c r="F9367" s="48">
        <f t="shared" si="153"/>
        <v>62064</v>
      </c>
    </row>
    <row r="9368" spans="1:6" x14ac:dyDescent="0.3">
      <c r="A9368" s="45">
        <v>44324</v>
      </c>
      <c r="B9368" s="739" t="s">
        <v>4415</v>
      </c>
      <c r="C9368" s="739"/>
      <c r="D9368" s="739"/>
      <c r="E9368" s="43">
        <v>200000</v>
      </c>
      <c r="F9368" s="48">
        <f t="shared" si="153"/>
        <v>262064</v>
      </c>
    </row>
    <row r="9369" spans="1:6" x14ac:dyDescent="0.3">
      <c r="A9369" s="45">
        <v>44323</v>
      </c>
      <c r="B9369" s="39" t="s">
        <v>1512</v>
      </c>
      <c r="C9369" s="39" t="s">
        <v>7429</v>
      </c>
      <c r="D9369" s="43">
        <v>72583</v>
      </c>
      <c r="E9369" s="43"/>
      <c r="F9369" s="48">
        <f t="shared" si="153"/>
        <v>189481</v>
      </c>
    </row>
    <row r="9370" spans="1:6" x14ac:dyDescent="0.3">
      <c r="A9370" s="45">
        <v>44324</v>
      </c>
      <c r="B9370" s="39" t="s">
        <v>1512</v>
      </c>
      <c r="C9370" s="5" t="s">
        <v>7430</v>
      </c>
      <c r="D9370" s="43">
        <v>34896</v>
      </c>
      <c r="E9370" s="43"/>
      <c r="F9370" s="48">
        <f t="shared" si="153"/>
        <v>154585</v>
      </c>
    </row>
    <row r="9371" spans="1:6" x14ac:dyDescent="0.3">
      <c r="A9371" s="45">
        <v>44324</v>
      </c>
      <c r="B9371" s="39" t="s">
        <v>1512</v>
      </c>
      <c r="C9371" s="5" t="s">
        <v>6679</v>
      </c>
      <c r="D9371" s="43">
        <v>20100</v>
      </c>
      <c r="E9371" s="43"/>
      <c r="F9371" s="48">
        <f t="shared" si="153"/>
        <v>134485</v>
      </c>
    </row>
    <row r="9372" spans="1:6" x14ac:dyDescent="0.3">
      <c r="A9372" s="45">
        <v>44323</v>
      </c>
      <c r="B9372" s="5" t="s">
        <v>6430</v>
      </c>
      <c r="C9372" s="5" t="s">
        <v>2013</v>
      </c>
      <c r="D9372" s="43">
        <v>100</v>
      </c>
      <c r="E9372" s="43"/>
      <c r="F9372" s="48">
        <f t="shared" si="153"/>
        <v>134385</v>
      </c>
    </row>
    <row r="9373" spans="1:6" x14ac:dyDescent="0.3">
      <c r="A9373" s="45">
        <v>44324</v>
      </c>
      <c r="B9373" s="5" t="s">
        <v>1343</v>
      </c>
      <c r="C9373" s="5" t="s">
        <v>7431</v>
      </c>
      <c r="D9373" s="43">
        <v>30000</v>
      </c>
      <c r="E9373" s="43"/>
      <c r="F9373" s="48">
        <f t="shared" si="153"/>
        <v>104385</v>
      </c>
    </row>
    <row r="9374" spans="1:6" x14ac:dyDescent="0.3">
      <c r="A9374" s="45">
        <v>44324</v>
      </c>
      <c r="B9374" s="5" t="s">
        <v>1086</v>
      </c>
      <c r="C9374" s="5" t="s">
        <v>7434</v>
      </c>
      <c r="D9374" s="43">
        <v>30000</v>
      </c>
      <c r="E9374" s="43"/>
      <c r="F9374" s="48">
        <f t="shared" si="153"/>
        <v>74385</v>
      </c>
    </row>
    <row r="9375" spans="1:6" x14ac:dyDescent="0.3">
      <c r="A9375" s="45">
        <v>44324</v>
      </c>
      <c r="B9375" s="5" t="s">
        <v>64</v>
      </c>
      <c r="C9375" s="5" t="s">
        <v>25</v>
      </c>
      <c r="D9375" s="43">
        <v>900</v>
      </c>
      <c r="E9375" s="43"/>
      <c r="F9375" s="48">
        <f t="shared" si="153"/>
        <v>73485</v>
      </c>
    </row>
    <row r="9376" spans="1:6" x14ac:dyDescent="0.3">
      <c r="A9376" s="45">
        <v>44324</v>
      </c>
      <c r="B9376" s="5" t="s">
        <v>14</v>
      </c>
      <c r="C9376" s="5" t="s">
        <v>7441</v>
      </c>
      <c r="D9376" s="43">
        <v>15000</v>
      </c>
      <c r="E9376" s="43"/>
      <c r="F9376" s="48">
        <f t="shared" si="153"/>
        <v>58485</v>
      </c>
    </row>
    <row r="9377" spans="1:6" x14ac:dyDescent="0.3">
      <c r="A9377" s="45">
        <v>44324</v>
      </c>
      <c r="B9377" s="5" t="s">
        <v>7040</v>
      </c>
      <c r="C9377" s="5" t="s">
        <v>294</v>
      </c>
      <c r="D9377" s="43">
        <v>10000</v>
      </c>
      <c r="E9377" s="43"/>
      <c r="F9377" s="48">
        <f t="shared" si="153"/>
        <v>48485</v>
      </c>
    </row>
    <row r="9378" spans="1:6" x14ac:dyDescent="0.3">
      <c r="A9378" s="45">
        <v>44324</v>
      </c>
      <c r="B9378" s="5" t="s">
        <v>6341</v>
      </c>
      <c r="C9378" s="5" t="s">
        <v>7433</v>
      </c>
      <c r="D9378" s="43">
        <v>10000</v>
      </c>
      <c r="E9378" s="43"/>
      <c r="F9378" s="48">
        <f t="shared" si="153"/>
        <v>38485</v>
      </c>
    </row>
    <row r="9379" spans="1:6" x14ac:dyDescent="0.3">
      <c r="A9379" s="45">
        <v>44333</v>
      </c>
      <c r="B9379" s="5" t="s">
        <v>57</v>
      </c>
      <c r="C9379" s="5" t="s">
        <v>7435</v>
      </c>
      <c r="D9379" s="43">
        <v>1000</v>
      </c>
      <c r="E9379" s="43"/>
      <c r="F9379" s="48">
        <f t="shared" si="153"/>
        <v>37485</v>
      </c>
    </row>
    <row r="9380" spans="1:6" x14ac:dyDescent="0.3">
      <c r="A9380" s="45">
        <v>44333</v>
      </c>
      <c r="B9380" s="739" t="s">
        <v>861</v>
      </c>
      <c r="C9380" s="739"/>
      <c r="D9380" s="739"/>
      <c r="E9380" s="43">
        <v>100000</v>
      </c>
      <c r="F9380" s="48">
        <f t="shared" si="153"/>
        <v>137485</v>
      </c>
    </row>
    <row r="9381" spans="1:6" x14ac:dyDescent="0.3">
      <c r="A9381" s="45">
        <v>44333</v>
      </c>
      <c r="B9381" s="41" t="s">
        <v>1837</v>
      </c>
      <c r="C9381" s="41" t="s">
        <v>7437</v>
      </c>
      <c r="D9381" s="42">
        <v>97000</v>
      </c>
      <c r="E9381" s="43"/>
      <c r="F9381" s="48">
        <f t="shared" si="153"/>
        <v>40485</v>
      </c>
    </row>
    <row r="9382" spans="1:6" x14ac:dyDescent="0.3">
      <c r="A9382" s="45">
        <v>44333</v>
      </c>
      <c r="B9382" s="5" t="s">
        <v>14</v>
      </c>
      <c r="C9382" s="5" t="s">
        <v>294</v>
      </c>
      <c r="D9382" s="43">
        <v>20000</v>
      </c>
      <c r="E9382" s="43"/>
      <c r="F9382" s="48">
        <f t="shared" si="153"/>
        <v>20485</v>
      </c>
    </row>
    <row r="9383" spans="1:6" x14ac:dyDescent="0.3">
      <c r="A9383" s="45">
        <v>44333</v>
      </c>
      <c r="B9383" s="5" t="s">
        <v>1074</v>
      </c>
      <c r="C9383" s="5" t="s">
        <v>40</v>
      </c>
      <c r="D9383" s="43">
        <v>3140</v>
      </c>
      <c r="E9383" s="43"/>
      <c r="F9383" s="48">
        <f t="shared" si="153"/>
        <v>17345</v>
      </c>
    </row>
    <row r="9384" spans="1:6" x14ac:dyDescent="0.3">
      <c r="A9384" s="45">
        <v>44333</v>
      </c>
      <c r="B9384" s="5" t="s">
        <v>26</v>
      </c>
      <c r="C9384" s="5" t="s">
        <v>7461</v>
      </c>
      <c r="D9384" s="43">
        <v>1650</v>
      </c>
      <c r="E9384" s="43"/>
      <c r="F9384" s="48">
        <f t="shared" si="153"/>
        <v>15695</v>
      </c>
    </row>
    <row r="9385" spans="1:6" x14ac:dyDescent="0.3">
      <c r="A9385" s="45">
        <v>44333</v>
      </c>
      <c r="B9385" s="5" t="s">
        <v>25</v>
      </c>
      <c r="C9385" s="5" t="s">
        <v>7251</v>
      </c>
      <c r="D9385" s="43">
        <v>100</v>
      </c>
      <c r="E9385" s="43"/>
      <c r="F9385" s="48">
        <f t="shared" si="153"/>
        <v>15595</v>
      </c>
    </row>
    <row r="9386" spans="1:6" x14ac:dyDescent="0.3">
      <c r="A9386" s="45">
        <v>44333</v>
      </c>
      <c r="B9386" s="5" t="s">
        <v>25</v>
      </c>
      <c r="C9386" s="5" t="s">
        <v>7443</v>
      </c>
      <c r="D9386" s="43">
        <v>70</v>
      </c>
      <c r="E9386" s="43"/>
      <c r="F9386" s="48">
        <f t="shared" si="153"/>
        <v>15525</v>
      </c>
    </row>
    <row r="9387" spans="1:6" x14ac:dyDescent="0.3">
      <c r="A9387" s="45">
        <v>44333</v>
      </c>
      <c r="B9387" s="739" t="s">
        <v>7440</v>
      </c>
      <c r="C9387" s="739"/>
      <c r="D9387" s="739"/>
      <c r="E9387" s="43">
        <v>60000</v>
      </c>
      <c r="F9387" s="48">
        <f t="shared" si="153"/>
        <v>75525</v>
      </c>
    </row>
    <row r="9388" spans="1:6" x14ac:dyDescent="0.3">
      <c r="A9388" s="45">
        <v>44333</v>
      </c>
      <c r="B9388" s="5" t="s">
        <v>25</v>
      </c>
      <c r="C9388" s="5" t="s">
        <v>6049</v>
      </c>
      <c r="D9388" s="43">
        <v>100</v>
      </c>
      <c r="E9388" s="43"/>
      <c r="F9388" s="48">
        <f t="shared" si="153"/>
        <v>75425</v>
      </c>
    </row>
    <row r="9389" spans="1:6" x14ac:dyDescent="0.3">
      <c r="A9389" s="45">
        <v>44334</v>
      </c>
      <c r="B9389" s="5" t="s">
        <v>25</v>
      </c>
      <c r="C9389" s="5" t="s">
        <v>4276</v>
      </c>
      <c r="D9389" s="43">
        <v>7230</v>
      </c>
      <c r="E9389" s="43"/>
      <c r="F9389" s="48">
        <f t="shared" si="153"/>
        <v>68195</v>
      </c>
    </row>
    <row r="9390" spans="1:6" x14ac:dyDescent="0.3">
      <c r="A9390" s="45">
        <v>44335</v>
      </c>
      <c r="B9390" s="5" t="s">
        <v>6430</v>
      </c>
      <c r="C9390" s="5" t="s">
        <v>7444</v>
      </c>
      <c r="D9390" s="43">
        <v>1000</v>
      </c>
      <c r="E9390" s="43"/>
      <c r="F9390" s="48">
        <f t="shared" si="153"/>
        <v>67195</v>
      </c>
    </row>
    <row r="9391" spans="1:6" x14ac:dyDescent="0.3">
      <c r="A9391" s="45">
        <v>44335</v>
      </c>
      <c r="B9391" s="5" t="s">
        <v>6430</v>
      </c>
      <c r="C9391" s="5" t="s">
        <v>7445</v>
      </c>
      <c r="D9391" s="43">
        <v>1000</v>
      </c>
      <c r="E9391" s="43"/>
      <c r="F9391" s="48">
        <f t="shared" si="153"/>
        <v>66195</v>
      </c>
    </row>
    <row r="9392" spans="1:6" x14ac:dyDescent="0.3">
      <c r="A9392" s="45">
        <v>44335</v>
      </c>
      <c r="B9392" s="5" t="s">
        <v>0</v>
      </c>
      <c r="C9392" s="5" t="s">
        <v>3183</v>
      </c>
      <c r="D9392" s="43">
        <v>10000</v>
      </c>
      <c r="E9392" s="43"/>
      <c r="F9392" s="48">
        <f t="shared" si="153"/>
        <v>56195</v>
      </c>
    </row>
    <row r="9393" spans="1:12" x14ac:dyDescent="0.3">
      <c r="A9393" s="45">
        <v>44336</v>
      </c>
      <c r="B9393" s="5" t="s">
        <v>7214</v>
      </c>
      <c r="C9393" s="5" t="s">
        <v>7447</v>
      </c>
      <c r="D9393" s="43">
        <v>10000</v>
      </c>
      <c r="E9393" s="43"/>
      <c r="F9393" s="48">
        <f t="shared" si="153"/>
        <v>46195</v>
      </c>
    </row>
    <row r="9394" spans="1:12" x14ac:dyDescent="0.3">
      <c r="A9394" s="45">
        <v>44336</v>
      </c>
      <c r="B9394" s="5" t="s">
        <v>5665</v>
      </c>
      <c r="C9394" s="5" t="s">
        <v>7451</v>
      </c>
      <c r="D9394" s="43">
        <v>10000</v>
      </c>
      <c r="E9394" s="43"/>
      <c r="F9394" s="48">
        <f t="shared" si="153"/>
        <v>36195</v>
      </c>
    </row>
    <row r="9395" spans="1:12" x14ac:dyDescent="0.3">
      <c r="A9395" s="45">
        <v>44336</v>
      </c>
      <c r="B9395" s="5" t="s">
        <v>68</v>
      </c>
      <c r="C9395" s="5" t="s">
        <v>7453</v>
      </c>
      <c r="D9395" s="43">
        <v>15000</v>
      </c>
      <c r="E9395" s="43"/>
      <c r="F9395" s="48">
        <f t="shared" si="153"/>
        <v>21195</v>
      </c>
    </row>
    <row r="9396" spans="1:12" x14ac:dyDescent="0.3">
      <c r="A9396" s="45">
        <v>44336</v>
      </c>
      <c r="B9396" s="5" t="s">
        <v>7454</v>
      </c>
      <c r="C9396" s="5" t="s">
        <v>7455</v>
      </c>
      <c r="D9396" s="43">
        <v>3000</v>
      </c>
      <c r="E9396" s="43"/>
      <c r="F9396" s="48">
        <f t="shared" si="153"/>
        <v>18195</v>
      </c>
      <c r="H9396" s="748" t="s">
        <v>7448</v>
      </c>
      <c r="I9396" s="748"/>
      <c r="J9396" s="748"/>
    </row>
    <row r="9397" spans="1:12" x14ac:dyDescent="0.3">
      <c r="A9397" s="45">
        <v>44336</v>
      </c>
      <c r="B9397" s="739" t="s">
        <v>7440</v>
      </c>
      <c r="C9397" s="739"/>
      <c r="D9397" s="739"/>
      <c r="E9397" s="43">
        <v>50000</v>
      </c>
      <c r="F9397" s="48">
        <f t="shared" si="153"/>
        <v>68195</v>
      </c>
      <c r="H9397" s="747" t="s">
        <v>7527</v>
      </c>
      <c r="I9397" s="747"/>
      <c r="J9397" s="43">
        <v>25000</v>
      </c>
    </row>
    <row r="9398" spans="1:12" x14ac:dyDescent="0.3">
      <c r="A9398" s="45">
        <v>44336</v>
      </c>
      <c r="B9398" s="5" t="s">
        <v>4055</v>
      </c>
      <c r="C9398" s="5" t="s">
        <v>7456</v>
      </c>
      <c r="D9398" s="43">
        <v>40000</v>
      </c>
      <c r="E9398" s="43"/>
      <c r="F9398" s="48">
        <f t="shared" si="153"/>
        <v>28195</v>
      </c>
      <c r="H9398" s="747" t="s">
        <v>7449</v>
      </c>
      <c r="I9398" s="747"/>
      <c r="J9398" s="43">
        <v>201000</v>
      </c>
    </row>
    <row r="9399" spans="1:12" x14ac:dyDescent="0.3">
      <c r="A9399" s="45">
        <v>44336</v>
      </c>
      <c r="B9399" s="5" t="s">
        <v>7457</v>
      </c>
      <c r="C9399" s="5" t="s">
        <v>7458</v>
      </c>
      <c r="D9399" s="43">
        <v>16000</v>
      </c>
      <c r="E9399" s="43"/>
      <c r="F9399" s="48">
        <f t="shared" si="153"/>
        <v>12195</v>
      </c>
      <c r="H9399" s="747" t="s">
        <v>7450</v>
      </c>
      <c r="I9399" s="747"/>
      <c r="J9399" s="43">
        <v>201000</v>
      </c>
    </row>
    <row r="9400" spans="1:12" x14ac:dyDescent="0.3">
      <c r="A9400" s="45">
        <v>44336</v>
      </c>
      <c r="B9400" s="5" t="s">
        <v>7214</v>
      </c>
      <c r="C9400" s="5" t="s">
        <v>7460</v>
      </c>
      <c r="D9400" s="43">
        <v>2500</v>
      </c>
      <c r="E9400" s="43"/>
      <c r="F9400" s="48">
        <f t="shared" si="153"/>
        <v>9695</v>
      </c>
      <c r="H9400" s="747" t="s">
        <v>7452</v>
      </c>
      <c r="I9400" s="747"/>
      <c r="J9400" s="43">
        <v>4000</v>
      </c>
    </row>
    <row r="9401" spans="1:12" x14ac:dyDescent="0.3">
      <c r="A9401" s="45">
        <v>44336</v>
      </c>
      <c r="B9401" s="739" t="s">
        <v>7440</v>
      </c>
      <c r="C9401" s="739"/>
      <c r="D9401" s="739"/>
      <c r="E9401" s="43">
        <v>50000</v>
      </c>
      <c r="F9401" s="48">
        <f t="shared" si="153"/>
        <v>59695</v>
      </c>
      <c r="H9401" s="747" t="s">
        <v>7464</v>
      </c>
      <c r="I9401" s="747"/>
      <c r="J9401" s="43">
        <f>SUM(J9397:J9400)</f>
        <v>431000</v>
      </c>
    </row>
    <row r="9402" spans="1:12" x14ac:dyDescent="0.3">
      <c r="A9402" s="45">
        <v>44336</v>
      </c>
      <c r="B9402" s="5" t="s">
        <v>4550</v>
      </c>
      <c r="C9402" s="5" t="s">
        <v>7462</v>
      </c>
      <c r="D9402" s="43">
        <v>20000</v>
      </c>
      <c r="E9402" s="43"/>
      <c r="F9402" s="48">
        <f t="shared" si="153"/>
        <v>39695</v>
      </c>
      <c r="H9402" s="747" t="s">
        <v>7463</v>
      </c>
      <c r="I9402" s="747"/>
      <c r="J9402" s="43">
        <v>67000</v>
      </c>
    </row>
    <row r="9403" spans="1:12" x14ac:dyDescent="0.3">
      <c r="A9403" s="45">
        <v>44337</v>
      </c>
      <c r="B9403" s="5" t="s">
        <v>5156</v>
      </c>
      <c r="C9403" s="5" t="s">
        <v>7466</v>
      </c>
      <c r="D9403" s="43">
        <v>7260</v>
      </c>
      <c r="E9403" s="43"/>
      <c r="F9403" s="48">
        <f t="shared" si="153"/>
        <v>32435</v>
      </c>
      <c r="H9403" s="747" t="s">
        <v>7465</v>
      </c>
      <c r="I9403" s="747"/>
      <c r="J9403" s="43">
        <f>J9401-J9402</f>
        <v>364000</v>
      </c>
    </row>
    <row r="9404" spans="1:12" x14ac:dyDescent="0.3">
      <c r="A9404" s="45">
        <v>44337</v>
      </c>
      <c r="B9404" s="5" t="s">
        <v>5156</v>
      </c>
      <c r="C9404" s="5" t="s">
        <v>7467</v>
      </c>
      <c r="D9404" s="43">
        <v>120</v>
      </c>
      <c r="E9404" s="43"/>
      <c r="F9404" s="48">
        <f t="shared" si="153"/>
        <v>32315</v>
      </c>
    </row>
    <row r="9405" spans="1:12" x14ac:dyDescent="0.3">
      <c r="A9405" s="45">
        <v>44337</v>
      </c>
      <c r="B9405" s="739" t="s">
        <v>7440</v>
      </c>
      <c r="C9405" s="739"/>
      <c r="D9405" s="739"/>
      <c r="E9405" s="43">
        <v>100000</v>
      </c>
      <c r="F9405" s="48">
        <f t="shared" si="153"/>
        <v>132315</v>
      </c>
    </row>
    <row r="9406" spans="1:12" x14ac:dyDescent="0.3">
      <c r="A9406" s="45">
        <v>44337</v>
      </c>
      <c r="B9406" s="5" t="s">
        <v>110</v>
      </c>
      <c r="C9406" s="5" t="s">
        <v>640</v>
      </c>
      <c r="D9406" s="43">
        <v>3000</v>
      </c>
      <c r="E9406" s="43"/>
      <c r="F9406" s="48">
        <f t="shared" si="153"/>
        <v>129315</v>
      </c>
    </row>
    <row r="9407" spans="1:12" x14ac:dyDescent="0.3">
      <c r="A9407" s="45">
        <v>44337</v>
      </c>
      <c r="B9407" s="5" t="s">
        <v>1837</v>
      </c>
      <c r="C9407" s="5" t="s">
        <v>3557</v>
      </c>
      <c r="D9407" s="43">
        <v>75000</v>
      </c>
      <c r="E9407" s="43"/>
      <c r="F9407" s="48">
        <f t="shared" si="153"/>
        <v>54315</v>
      </c>
      <c r="L9407" s="93"/>
    </row>
    <row r="9408" spans="1:12" x14ac:dyDescent="0.3">
      <c r="A9408" s="45">
        <v>44337</v>
      </c>
      <c r="B9408" s="5" t="s">
        <v>6908</v>
      </c>
      <c r="C9408" s="5" t="s">
        <v>7472</v>
      </c>
      <c r="D9408" s="43">
        <v>4000</v>
      </c>
      <c r="E9408" s="43"/>
      <c r="F9408" s="48">
        <f t="shared" si="153"/>
        <v>50315</v>
      </c>
    </row>
    <row r="9409" spans="1:12" x14ac:dyDescent="0.3">
      <c r="A9409" s="45">
        <v>44338</v>
      </c>
      <c r="B9409" s="5" t="s">
        <v>6341</v>
      </c>
      <c r="C9409" s="5" t="s">
        <v>7530</v>
      </c>
      <c r="D9409" s="43">
        <v>4000</v>
      </c>
      <c r="E9409" s="43"/>
      <c r="F9409" s="48">
        <f t="shared" si="153"/>
        <v>46315</v>
      </c>
      <c r="L9409" s="93"/>
    </row>
    <row r="9410" spans="1:12" x14ac:dyDescent="0.3">
      <c r="A9410" s="45">
        <v>44338</v>
      </c>
      <c r="B9410" s="739" t="s">
        <v>7440</v>
      </c>
      <c r="C9410" s="739"/>
      <c r="D9410" s="739"/>
      <c r="E9410" s="43">
        <v>100000</v>
      </c>
      <c r="F9410" s="48">
        <f t="shared" ref="F9410:F9473" si="154">F9409+E9410-D9410</f>
        <v>146315</v>
      </c>
    </row>
    <row r="9411" spans="1:12" x14ac:dyDescent="0.3">
      <c r="A9411" s="45">
        <v>44338</v>
      </c>
      <c r="B9411" s="5" t="s">
        <v>57</v>
      </c>
      <c r="C9411" s="5" t="s">
        <v>7473</v>
      </c>
      <c r="D9411" s="43">
        <v>10000</v>
      </c>
      <c r="E9411" s="43"/>
      <c r="F9411" s="48">
        <f t="shared" si="154"/>
        <v>136315</v>
      </c>
    </row>
    <row r="9412" spans="1:12" x14ac:dyDescent="0.3">
      <c r="A9412" s="45">
        <v>44338</v>
      </c>
      <c r="B9412" s="5" t="s">
        <v>7474</v>
      </c>
      <c r="C9412" s="5" t="s">
        <v>7475</v>
      </c>
      <c r="D9412" s="43">
        <v>50000</v>
      </c>
      <c r="E9412" s="43"/>
      <c r="F9412" s="48">
        <f t="shared" si="154"/>
        <v>86315</v>
      </c>
    </row>
    <row r="9413" spans="1:12" x14ac:dyDescent="0.3">
      <c r="A9413" s="45">
        <v>44340</v>
      </c>
      <c r="B9413" s="5" t="s">
        <v>1541</v>
      </c>
      <c r="C9413" s="5" t="s">
        <v>7476</v>
      </c>
      <c r="D9413" s="43">
        <v>1000</v>
      </c>
      <c r="E9413" s="43"/>
      <c r="F9413" s="48">
        <f t="shared" si="154"/>
        <v>85315</v>
      </c>
    </row>
    <row r="9414" spans="1:12" x14ac:dyDescent="0.3">
      <c r="A9414" s="45">
        <v>44340</v>
      </c>
      <c r="B9414" s="5" t="s">
        <v>5938</v>
      </c>
      <c r="C9414" s="5" t="s">
        <v>7477</v>
      </c>
      <c r="D9414" s="43">
        <v>20000</v>
      </c>
      <c r="E9414" s="43"/>
      <c r="F9414" s="48">
        <f t="shared" si="154"/>
        <v>65315</v>
      </c>
    </row>
    <row r="9415" spans="1:12" x14ac:dyDescent="0.3">
      <c r="A9415" s="45">
        <v>44340</v>
      </c>
      <c r="B9415" s="73" t="s">
        <v>6877</v>
      </c>
      <c r="C9415" s="73" t="s">
        <v>7526</v>
      </c>
      <c r="D9415" s="183">
        <f>10000-5500</f>
        <v>4500</v>
      </c>
      <c r="E9415" s="43"/>
      <c r="F9415" s="48">
        <f t="shared" si="154"/>
        <v>60815</v>
      </c>
    </row>
    <row r="9416" spans="1:12" x14ac:dyDescent="0.3">
      <c r="A9416" s="45">
        <v>44341</v>
      </c>
      <c r="B9416" s="5" t="s">
        <v>1873</v>
      </c>
      <c r="C9416" s="5" t="s">
        <v>7478</v>
      </c>
      <c r="D9416" s="43">
        <v>1000</v>
      </c>
      <c r="E9416" s="43"/>
      <c r="F9416" s="48">
        <f t="shared" si="154"/>
        <v>59815</v>
      </c>
    </row>
    <row r="9417" spans="1:12" x14ac:dyDescent="0.3">
      <c r="A9417" s="45">
        <v>44341</v>
      </c>
      <c r="B9417" s="5" t="s">
        <v>14</v>
      </c>
      <c r="C9417" s="5" t="s">
        <v>294</v>
      </c>
      <c r="D9417" s="43">
        <v>5000</v>
      </c>
      <c r="E9417" s="43"/>
      <c r="F9417" s="48">
        <f t="shared" si="154"/>
        <v>54815</v>
      </c>
    </row>
    <row r="9418" spans="1:12" x14ac:dyDescent="0.3">
      <c r="A9418" s="45">
        <v>44341</v>
      </c>
      <c r="B9418" s="5" t="s">
        <v>84</v>
      </c>
      <c r="C9418" s="5" t="s">
        <v>7479</v>
      </c>
      <c r="D9418" s="43">
        <v>5000</v>
      </c>
      <c r="E9418" s="43"/>
      <c r="F9418" s="48">
        <f t="shared" si="154"/>
        <v>49815</v>
      </c>
    </row>
    <row r="9419" spans="1:12" x14ac:dyDescent="0.3">
      <c r="A9419" s="45">
        <v>44341</v>
      </c>
      <c r="B9419" s="739" t="s">
        <v>7440</v>
      </c>
      <c r="C9419" s="739"/>
      <c r="D9419" s="739"/>
      <c r="E9419" s="43">
        <v>300000</v>
      </c>
      <c r="F9419" s="48">
        <f t="shared" si="154"/>
        <v>349815</v>
      </c>
    </row>
    <row r="9420" spans="1:12" ht="31.5" customHeight="1" x14ac:dyDescent="0.3">
      <c r="A9420" s="45">
        <v>44341</v>
      </c>
      <c r="B9420" s="44" t="s">
        <v>7340</v>
      </c>
      <c r="C9420" s="92" t="s">
        <v>7480</v>
      </c>
      <c r="D9420" s="28">
        <v>55000</v>
      </c>
      <c r="E9420" s="43"/>
      <c r="F9420" s="48">
        <f t="shared" si="154"/>
        <v>294815</v>
      </c>
    </row>
    <row r="9421" spans="1:12" ht="31.5" customHeight="1" x14ac:dyDescent="0.3">
      <c r="A9421" s="45">
        <v>44341</v>
      </c>
      <c r="B9421" s="44" t="s">
        <v>7494</v>
      </c>
      <c r="C9421" s="92" t="s">
        <v>7157</v>
      </c>
      <c r="D9421" s="28">
        <v>5000</v>
      </c>
      <c r="E9421" s="43"/>
      <c r="F9421" s="48">
        <f t="shared" si="154"/>
        <v>289815</v>
      </c>
    </row>
    <row r="9422" spans="1:12" x14ac:dyDescent="0.3">
      <c r="A9422" s="45">
        <v>44341</v>
      </c>
      <c r="B9422" s="5" t="s">
        <v>1873</v>
      </c>
      <c r="C9422" s="5" t="s">
        <v>7492</v>
      </c>
      <c r="D9422" s="43">
        <v>500</v>
      </c>
      <c r="E9422" s="43"/>
      <c r="F9422" s="48">
        <f t="shared" si="154"/>
        <v>289315</v>
      </c>
    </row>
    <row r="9423" spans="1:12" x14ac:dyDescent="0.3">
      <c r="A9423" s="45">
        <v>44341</v>
      </c>
      <c r="B9423" s="5" t="s">
        <v>25</v>
      </c>
      <c r="C9423" s="5" t="s">
        <v>7493</v>
      </c>
      <c r="D9423" s="43">
        <v>220</v>
      </c>
      <c r="E9423" s="43"/>
      <c r="F9423" s="48">
        <f t="shared" si="154"/>
        <v>289095</v>
      </c>
    </row>
    <row r="9424" spans="1:12" x14ac:dyDescent="0.3">
      <c r="A9424" s="45">
        <v>44341</v>
      </c>
      <c r="B9424" s="5" t="s">
        <v>25</v>
      </c>
      <c r="C9424" s="5" t="s">
        <v>4276</v>
      </c>
      <c r="D9424" s="43">
        <v>8706</v>
      </c>
      <c r="E9424" s="43"/>
      <c r="F9424" s="48">
        <f t="shared" si="154"/>
        <v>280389</v>
      </c>
    </row>
    <row r="9425" spans="1:10" x14ac:dyDescent="0.3">
      <c r="A9425" s="45">
        <v>44341</v>
      </c>
      <c r="B9425" s="5" t="s">
        <v>5793</v>
      </c>
      <c r="C9425" s="5" t="s">
        <v>7499</v>
      </c>
      <c r="D9425" s="43">
        <v>500</v>
      </c>
      <c r="E9425" s="43"/>
      <c r="F9425" s="48">
        <f t="shared" si="154"/>
        <v>279889</v>
      </c>
    </row>
    <row r="9426" spans="1:10" x14ac:dyDescent="0.3">
      <c r="A9426" s="45">
        <v>44343</v>
      </c>
      <c r="B9426" s="5" t="s">
        <v>14</v>
      </c>
      <c r="C9426" s="5" t="s">
        <v>294</v>
      </c>
      <c r="D9426" s="43">
        <v>10000</v>
      </c>
      <c r="E9426" s="43"/>
      <c r="F9426" s="48">
        <f t="shared" si="154"/>
        <v>269889</v>
      </c>
    </row>
    <row r="9427" spans="1:10" x14ac:dyDescent="0.3">
      <c r="A9427" s="45">
        <v>44343</v>
      </c>
      <c r="B9427" s="5" t="s">
        <v>11</v>
      </c>
      <c r="C9427" s="5" t="s">
        <v>3910</v>
      </c>
      <c r="D9427" s="43">
        <v>1000</v>
      </c>
      <c r="E9427" s="43"/>
      <c r="F9427" s="48">
        <f t="shared" si="154"/>
        <v>268889</v>
      </c>
    </row>
    <row r="9428" spans="1:10" x14ac:dyDescent="0.3">
      <c r="A9428" s="45">
        <v>44343</v>
      </c>
      <c r="B9428" s="5" t="s">
        <v>1837</v>
      </c>
      <c r="C9428" s="5" t="s">
        <v>7131</v>
      </c>
      <c r="D9428" s="43">
        <v>2500</v>
      </c>
      <c r="E9428" s="43"/>
      <c r="F9428" s="48">
        <f t="shared" si="154"/>
        <v>266389</v>
      </c>
    </row>
    <row r="9429" spans="1:10" x14ac:dyDescent="0.3">
      <c r="A9429" s="45">
        <v>44343</v>
      </c>
      <c r="B9429" s="5" t="s">
        <v>1074</v>
      </c>
      <c r="C9429" s="5" t="s">
        <v>7500</v>
      </c>
      <c r="D9429" s="43">
        <v>51339</v>
      </c>
      <c r="E9429" s="43"/>
      <c r="F9429" s="48">
        <f t="shared" si="154"/>
        <v>215050</v>
      </c>
    </row>
    <row r="9430" spans="1:10" x14ac:dyDescent="0.3">
      <c r="A9430" s="45">
        <v>44344</v>
      </c>
      <c r="B9430" s="5" t="s">
        <v>6430</v>
      </c>
      <c r="C9430" s="5" t="s">
        <v>7501</v>
      </c>
      <c r="D9430" s="43">
        <v>6450</v>
      </c>
      <c r="E9430" s="43"/>
      <c r="F9430" s="48">
        <f t="shared" si="154"/>
        <v>208600</v>
      </c>
    </row>
    <row r="9431" spans="1:10" x14ac:dyDescent="0.3">
      <c r="A9431" s="45">
        <v>44344</v>
      </c>
      <c r="B9431" s="5" t="s">
        <v>6430</v>
      </c>
      <c r="C9431" s="5" t="s">
        <v>7502</v>
      </c>
      <c r="D9431" s="43">
        <v>250</v>
      </c>
      <c r="E9431" s="43"/>
      <c r="F9431" s="48">
        <f t="shared" si="154"/>
        <v>208350</v>
      </c>
      <c r="H9431" s="52">
        <v>28490</v>
      </c>
      <c r="I9431" s="52" t="s">
        <v>7505</v>
      </c>
      <c r="J9431" s="52">
        <v>280</v>
      </c>
    </row>
    <row r="9432" spans="1:10" x14ac:dyDescent="0.3">
      <c r="A9432" s="45">
        <v>44344</v>
      </c>
      <c r="B9432" s="5" t="s">
        <v>7099</v>
      </c>
      <c r="C9432" s="5" t="s">
        <v>7503</v>
      </c>
      <c r="D9432" s="43">
        <v>1000</v>
      </c>
      <c r="E9432" s="43"/>
      <c r="F9432" s="48">
        <f t="shared" si="154"/>
        <v>207350</v>
      </c>
    </row>
    <row r="9433" spans="1:10" x14ac:dyDescent="0.3">
      <c r="A9433" s="45">
        <v>44344</v>
      </c>
      <c r="B9433" s="5" t="s">
        <v>7504</v>
      </c>
      <c r="C9433" s="5" t="s">
        <v>5508</v>
      </c>
      <c r="D9433" s="43">
        <v>141750</v>
      </c>
      <c r="E9433" s="43"/>
      <c r="F9433" s="48">
        <f t="shared" si="154"/>
        <v>65600</v>
      </c>
      <c r="J9433" s="52">
        <f>J9431*35%</f>
        <v>98</v>
      </c>
    </row>
    <row r="9434" spans="1:10" x14ac:dyDescent="0.3">
      <c r="A9434" s="45">
        <v>44345</v>
      </c>
      <c r="B9434" s="5" t="s">
        <v>6908</v>
      </c>
      <c r="C9434" s="5" t="s">
        <v>3910</v>
      </c>
      <c r="D9434" s="43">
        <v>1000</v>
      </c>
      <c r="E9434" s="43"/>
      <c r="F9434" s="48">
        <f t="shared" si="154"/>
        <v>64600</v>
      </c>
    </row>
    <row r="9435" spans="1:10" x14ac:dyDescent="0.3">
      <c r="A9435" s="45">
        <v>44345</v>
      </c>
      <c r="B9435" s="5" t="s">
        <v>0</v>
      </c>
      <c r="C9435" s="5" t="s">
        <v>7506</v>
      </c>
      <c r="D9435" s="43">
        <v>7050</v>
      </c>
      <c r="E9435" s="43"/>
      <c r="F9435" s="48">
        <f t="shared" si="154"/>
        <v>57550</v>
      </c>
    </row>
    <row r="9436" spans="1:10" x14ac:dyDescent="0.3">
      <c r="A9436" s="45">
        <v>44345</v>
      </c>
      <c r="B9436" s="5" t="s">
        <v>14</v>
      </c>
      <c r="C9436" s="5" t="s">
        <v>640</v>
      </c>
      <c r="D9436" s="43">
        <v>1000</v>
      </c>
      <c r="E9436" s="43"/>
      <c r="F9436" s="48">
        <f t="shared" si="154"/>
        <v>56550</v>
      </c>
    </row>
    <row r="9437" spans="1:10" x14ac:dyDescent="0.3">
      <c r="A9437" s="45">
        <v>44347</v>
      </c>
      <c r="B9437" s="5" t="s">
        <v>14</v>
      </c>
      <c r="C9437" s="5" t="s">
        <v>7507</v>
      </c>
      <c r="D9437" s="43">
        <v>32235</v>
      </c>
      <c r="E9437" s="43"/>
      <c r="F9437" s="48">
        <f t="shared" si="154"/>
        <v>24315</v>
      </c>
    </row>
    <row r="9438" spans="1:10" x14ac:dyDescent="0.3">
      <c r="A9438" s="45">
        <v>44347</v>
      </c>
      <c r="B9438" s="5" t="s">
        <v>25</v>
      </c>
      <c r="C9438" s="5" t="s">
        <v>5237</v>
      </c>
      <c r="D9438" s="43">
        <v>526</v>
      </c>
      <c r="E9438" s="43"/>
      <c r="F9438" s="48">
        <f t="shared" si="154"/>
        <v>23789</v>
      </c>
    </row>
    <row r="9439" spans="1:10" x14ac:dyDescent="0.3">
      <c r="A9439" s="45">
        <v>44347</v>
      </c>
      <c r="B9439" s="739" t="s">
        <v>7440</v>
      </c>
      <c r="C9439" s="739"/>
      <c r="D9439" s="739"/>
      <c r="E9439" s="43">
        <v>50000</v>
      </c>
      <c r="F9439" s="48">
        <f t="shared" si="154"/>
        <v>73789</v>
      </c>
    </row>
    <row r="9440" spans="1:10" x14ac:dyDescent="0.3">
      <c r="A9440" s="45">
        <v>44347</v>
      </c>
      <c r="B9440" s="5" t="s">
        <v>1012</v>
      </c>
      <c r="C9440" s="5" t="s">
        <v>7508</v>
      </c>
      <c r="D9440" s="43">
        <v>2000</v>
      </c>
      <c r="E9440" s="43"/>
      <c r="F9440" s="48">
        <f t="shared" si="154"/>
        <v>71789</v>
      </c>
    </row>
    <row r="9441" spans="1:10" x14ac:dyDescent="0.3">
      <c r="A9441" s="45">
        <v>44347</v>
      </c>
      <c r="B9441" s="5" t="s">
        <v>54</v>
      </c>
      <c r="C9441" s="5" t="s">
        <v>4956</v>
      </c>
      <c r="D9441" s="43">
        <v>25000</v>
      </c>
      <c r="E9441" s="43"/>
      <c r="F9441" s="48">
        <f t="shared" si="154"/>
        <v>46789</v>
      </c>
    </row>
    <row r="9442" spans="1:10" x14ac:dyDescent="0.3">
      <c r="A9442" s="45">
        <v>44348</v>
      </c>
      <c r="B9442" s="5" t="s">
        <v>84</v>
      </c>
      <c r="C9442" s="5" t="s">
        <v>7510</v>
      </c>
      <c r="D9442" s="43">
        <v>1000</v>
      </c>
      <c r="E9442" s="43"/>
      <c r="F9442" s="48">
        <f t="shared" si="154"/>
        <v>45789</v>
      </c>
    </row>
    <row r="9443" spans="1:10" x14ac:dyDescent="0.3">
      <c r="A9443" s="45">
        <v>44348</v>
      </c>
      <c r="B9443" s="5" t="s">
        <v>25</v>
      </c>
      <c r="C9443" s="5" t="s">
        <v>4276</v>
      </c>
      <c r="D9443" s="43">
        <f>1400+580+440+150+140+190+260+110+100+180+260+80+260+140+400+180+130+300+100+90+180+160+50+40</f>
        <v>5920</v>
      </c>
      <c r="E9443" s="43"/>
      <c r="F9443" s="48">
        <f t="shared" si="154"/>
        <v>39869</v>
      </c>
    </row>
    <row r="9444" spans="1:10" ht="37.5" x14ac:dyDescent="0.3">
      <c r="A9444" s="45">
        <v>44349</v>
      </c>
      <c r="B9444" s="5" t="s">
        <v>5793</v>
      </c>
      <c r="C9444" s="92" t="s">
        <v>7519</v>
      </c>
      <c r="D9444" s="28">
        <v>2000</v>
      </c>
      <c r="E9444" s="43"/>
      <c r="F9444" s="48">
        <f t="shared" si="154"/>
        <v>37869</v>
      </c>
    </row>
    <row r="9445" spans="1:10" x14ac:dyDescent="0.3">
      <c r="A9445" s="45">
        <v>44349</v>
      </c>
      <c r="B9445" s="5" t="s">
        <v>0</v>
      </c>
      <c r="C9445" s="5" t="s">
        <v>294</v>
      </c>
      <c r="D9445" s="43">
        <v>10000</v>
      </c>
      <c r="E9445" s="43"/>
      <c r="F9445" s="48">
        <f t="shared" si="154"/>
        <v>27869</v>
      </c>
    </row>
    <row r="9446" spans="1:10" x14ac:dyDescent="0.3">
      <c r="A9446" s="45">
        <v>44349</v>
      </c>
      <c r="B9446" s="5" t="s">
        <v>57</v>
      </c>
      <c r="C9446" s="5" t="s">
        <v>7511</v>
      </c>
      <c r="D9446" s="43">
        <v>3000</v>
      </c>
      <c r="E9446" s="43"/>
      <c r="F9446" s="48">
        <f t="shared" si="154"/>
        <v>24869</v>
      </c>
    </row>
    <row r="9447" spans="1:10" x14ac:dyDescent="0.3">
      <c r="A9447" s="45">
        <v>44349</v>
      </c>
      <c r="B9447" s="5" t="s">
        <v>25</v>
      </c>
      <c r="C9447" s="5" t="s">
        <v>6334</v>
      </c>
      <c r="D9447" s="43">
        <v>1000</v>
      </c>
      <c r="E9447" s="43"/>
      <c r="F9447" s="48">
        <f t="shared" si="154"/>
        <v>23869</v>
      </c>
      <c r="J9447" s="52">
        <v>2294700</v>
      </c>
    </row>
    <row r="9448" spans="1:10" x14ac:dyDescent="0.3">
      <c r="A9448" s="45">
        <v>44349</v>
      </c>
      <c r="B9448" s="739" t="s">
        <v>7440</v>
      </c>
      <c r="C9448" s="739"/>
      <c r="D9448" s="739"/>
      <c r="E9448" s="43">
        <v>720000</v>
      </c>
      <c r="F9448" s="48">
        <f t="shared" si="154"/>
        <v>743869</v>
      </c>
    </row>
    <row r="9449" spans="1:10" x14ac:dyDescent="0.3">
      <c r="A9449" s="45">
        <v>44349</v>
      </c>
      <c r="B9449" s="739" t="s">
        <v>7048</v>
      </c>
      <c r="C9449" s="739"/>
      <c r="D9449" s="739"/>
      <c r="E9449" s="43">
        <v>500000</v>
      </c>
      <c r="F9449" s="48">
        <f t="shared" si="154"/>
        <v>1243869</v>
      </c>
      <c r="H9449" s="254">
        <v>21000000</v>
      </c>
    </row>
    <row r="9450" spans="1:10" x14ac:dyDescent="0.3">
      <c r="A9450" s="45">
        <v>44350</v>
      </c>
      <c r="B9450" s="5" t="s">
        <v>14</v>
      </c>
      <c r="C9450" s="5" t="s">
        <v>7517</v>
      </c>
      <c r="D9450" s="43">
        <v>20000</v>
      </c>
      <c r="E9450" s="43"/>
      <c r="F9450" s="48">
        <f t="shared" si="154"/>
        <v>1223869</v>
      </c>
    </row>
    <row r="9451" spans="1:10" x14ac:dyDescent="0.3">
      <c r="A9451" s="45">
        <v>44350</v>
      </c>
      <c r="B9451" s="5" t="s">
        <v>4550</v>
      </c>
      <c r="C9451" s="5" t="s">
        <v>7250</v>
      </c>
      <c r="D9451" s="43">
        <v>20000</v>
      </c>
      <c r="E9451" s="43"/>
      <c r="F9451" s="48">
        <f t="shared" si="154"/>
        <v>1203869</v>
      </c>
      <c r="H9451" s="52">
        <f>H9449*7.5%</f>
        <v>1575000</v>
      </c>
      <c r="J9451" s="52">
        <f>J9447*13%</f>
        <v>298311</v>
      </c>
    </row>
    <row r="9452" spans="1:10" x14ac:dyDescent="0.3">
      <c r="A9452" s="45">
        <v>44350</v>
      </c>
      <c r="B9452" s="5" t="s">
        <v>7128</v>
      </c>
      <c r="C9452" s="5" t="s">
        <v>6932</v>
      </c>
      <c r="D9452" s="43">
        <v>2000</v>
      </c>
      <c r="E9452" s="43"/>
      <c r="F9452" s="48">
        <f t="shared" si="154"/>
        <v>1201869</v>
      </c>
    </row>
    <row r="9453" spans="1:10" x14ac:dyDescent="0.3">
      <c r="A9453" s="45">
        <v>44350</v>
      </c>
      <c r="B9453" s="39" t="s">
        <v>1512</v>
      </c>
      <c r="C9453" s="39" t="s">
        <v>6842</v>
      </c>
      <c r="D9453" s="43">
        <v>94000</v>
      </c>
      <c r="E9453" s="43"/>
      <c r="F9453" s="48">
        <f t="shared" si="154"/>
        <v>1107869</v>
      </c>
      <c r="H9453" s="52">
        <v>8220</v>
      </c>
    </row>
    <row r="9454" spans="1:10" x14ac:dyDescent="0.3">
      <c r="A9454" s="45">
        <v>44350</v>
      </c>
      <c r="B9454" s="39" t="s">
        <v>1512</v>
      </c>
      <c r="C9454" s="39" t="s">
        <v>7116</v>
      </c>
      <c r="D9454" s="43">
        <v>201484</v>
      </c>
      <c r="E9454" s="43"/>
      <c r="F9454" s="48">
        <f t="shared" si="154"/>
        <v>906385</v>
      </c>
    </row>
    <row r="9455" spans="1:10" x14ac:dyDescent="0.3">
      <c r="A9455" s="45">
        <v>44350</v>
      </c>
      <c r="B9455" s="39" t="s">
        <v>1512</v>
      </c>
      <c r="C9455" s="39" t="s">
        <v>6546</v>
      </c>
      <c r="D9455" s="43">
        <v>121335</v>
      </c>
      <c r="E9455" s="43"/>
      <c r="F9455" s="48">
        <f t="shared" si="154"/>
        <v>785050</v>
      </c>
    </row>
    <row r="9456" spans="1:10" x14ac:dyDescent="0.3">
      <c r="A9456" s="45">
        <v>44350</v>
      </c>
      <c r="B9456" s="39" t="s">
        <v>1512</v>
      </c>
      <c r="C9456" s="39" t="s">
        <v>6387</v>
      </c>
      <c r="D9456" s="43">
        <v>89770</v>
      </c>
      <c r="E9456" s="43"/>
      <c r="F9456" s="48">
        <f t="shared" si="154"/>
        <v>695280</v>
      </c>
    </row>
    <row r="9457" spans="1:12" x14ac:dyDescent="0.3">
      <c r="A9457" s="45">
        <v>44350</v>
      </c>
      <c r="B9457" s="39" t="s">
        <v>1512</v>
      </c>
      <c r="C9457" s="39" t="s">
        <v>6556</v>
      </c>
      <c r="D9457" s="43">
        <v>84968</v>
      </c>
      <c r="E9457" s="43"/>
      <c r="F9457" s="48">
        <f t="shared" si="154"/>
        <v>610312</v>
      </c>
    </row>
    <row r="9458" spans="1:12" x14ac:dyDescent="0.3">
      <c r="A9458" s="45">
        <v>44350</v>
      </c>
      <c r="B9458" s="39" t="s">
        <v>1512</v>
      </c>
      <c r="C9458" s="39" t="s">
        <v>7520</v>
      </c>
      <c r="D9458" s="43">
        <v>163800</v>
      </c>
      <c r="E9458" s="43"/>
      <c r="F9458" s="48">
        <f t="shared" si="154"/>
        <v>446512</v>
      </c>
    </row>
    <row r="9459" spans="1:12" x14ac:dyDescent="0.3">
      <c r="A9459" s="45">
        <v>44350</v>
      </c>
      <c r="B9459" s="39" t="s">
        <v>1512</v>
      </c>
      <c r="C9459" s="39" t="s">
        <v>3618</v>
      </c>
      <c r="D9459" s="43">
        <v>49355</v>
      </c>
      <c r="E9459" s="43"/>
      <c r="F9459" s="48">
        <f t="shared" si="154"/>
        <v>397157</v>
      </c>
    </row>
    <row r="9460" spans="1:12" x14ac:dyDescent="0.3">
      <c r="A9460" s="45">
        <v>44350</v>
      </c>
      <c r="B9460" s="39" t="s">
        <v>1512</v>
      </c>
      <c r="C9460" s="39" t="s">
        <v>445</v>
      </c>
      <c r="D9460" s="43">
        <v>16734</v>
      </c>
      <c r="E9460" s="43"/>
      <c r="F9460" s="48">
        <f t="shared" si="154"/>
        <v>380423</v>
      </c>
    </row>
    <row r="9461" spans="1:12" x14ac:dyDescent="0.3">
      <c r="A9461" s="45">
        <v>44350</v>
      </c>
      <c r="B9461" s="39" t="s">
        <v>1512</v>
      </c>
      <c r="C9461" s="39" t="s">
        <v>7521</v>
      </c>
      <c r="D9461" s="43">
        <v>64343</v>
      </c>
      <c r="E9461" s="43"/>
      <c r="F9461" s="48">
        <f t="shared" si="154"/>
        <v>316080</v>
      </c>
      <c r="L9461" s="93"/>
    </row>
    <row r="9462" spans="1:12" x14ac:dyDescent="0.3">
      <c r="A9462" s="45">
        <v>44350</v>
      </c>
      <c r="B9462" s="39" t="s">
        <v>1512</v>
      </c>
      <c r="C9462" s="39" t="s">
        <v>6679</v>
      </c>
      <c r="D9462" s="43">
        <v>18290</v>
      </c>
      <c r="E9462" s="43"/>
      <c r="F9462" s="48">
        <f t="shared" si="154"/>
        <v>297790</v>
      </c>
      <c r="L9462" s="93"/>
    </row>
    <row r="9463" spans="1:12" x14ac:dyDescent="0.3">
      <c r="A9463" s="45">
        <v>44350</v>
      </c>
      <c r="B9463" s="39" t="s">
        <v>1512</v>
      </c>
      <c r="C9463" s="39" t="s">
        <v>6952</v>
      </c>
      <c r="D9463" s="43">
        <v>28850</v>
      </c>
      <c r="E9463" s="43"/>
      <c r="F9463" s="48">
        <f t="shared" si="154"/>
        <v>268940</v>
      </c>
      <c r="L9463" s="93"/>
    </row>
    <row r="9464" spans="1:12" x14ac:dyDescent="0.3">
      <c r="A9464" s="45">
        <v>44350</v>
      </c>
      <c r="B9464" s="5" t="s">
        <v>0</v>
      </c>
      <c r="C9464" s="5" t="s">
        <v>3910</v>
      </c>
      <c r="D9464" s="43">
        <v>115000</v>
      </c>
      <c r="E9464" s="43"/>
      <c r="F9464" s="48">
        <f t="shared" si="154"/>
        <v>153940</v>
      </c>
    </row>
    <row r="9465" spans="1:12" x14ac:dyDescent="0.3">
      <c r="A9465" s="45">
        <v>44351</v>
      </c>
      <c r="B9465" s="73" t="s">
        <v>7522</v>
      </c>
      <c r="C9465" s="73" t="s">
        <v>7523</v>
      </c>
      <c r="D9465" s="43">
        <v>25000</v>
      </c>
      <c r="E9465" s="43"/>
      <c r="F9465" s="48">
        <f t="shared" si="154"/>
        <v>128940</v>
      </c>
      <c r="J9465" s="52" t="e">
        <f>#REF!-#REF!</f>
        <v>#REF!</v>
      </c>
    </row>
    <row r="9466" spans="1:12" x14ac:dyDescent="0.3">
      <c r="A9466" s="45">
        <v>44352</v>
      </c>
      <c r="B9466" s="5" t="s">
        <v>7524</v>
      </c>
      <c r="C9466" s="5" t="s">
        <v>5398</v>
      </c>
      <c r="D9466" s="43">
        <v>34790</v>
      </c>
      <c r="E9466" s="43"/>
      <c r="F9466" s="48">
        <f t="shared" si="154"/>
        <v>94150</v>
      </c>
    </row>
    <row r="9467" spans="1:12" ht="37.5" x14ac:dyDescent="0.3">
      <c r="A9467" s="45">
        <v>44352</v>
      </c>
      <c r="B9467" s="44" t="s">
        <v>68</v>
      </c>
      <c r="C9467" s="124" t="s">
        <v>7525</v>
      </c>
      <c r="D9467" s="28">
        <v>19050</v>
      </c>
      <c r="E9467" s="43"/>
      <c r="F9467" s="48">
        <f t="shared" si="154"/>
        <v>75100</v>
      </c>
    </row>
    <row r="9468" spans="1:12" x14ac:dyDescent="0.3">
      <c r="A9468" s="45">
        <v>44352</v>
      </c>
      <c r="B9468" s="5" t="s">
        <v>4550</v>
      </c>
      <c r="C9468" s="5" t="s">
        <v>7250</v>
      </c>
      <c r="D9468" s="43">
        <v>70000</v>
      </c>
      <c r="E9468" s="43"/>
      <c r="F9468" s="48">
        <f t="shared" si="154"/>
        <v>5100</v>
      </c>
    </row>
    <row r="9469" spans="1:12" x14ac:dyDescent="0.3">
      <c r="A9469" s="45">
        <v>44354</v>
      </c>
      <c r="B9469" s="739" t="s">
        <v>7088</v>
      </c>
      <c r="C9469" s="739"/>
      <c r="D9469" s="739"/>
      <c r="E9469" s="43">
        <v>200000</v>
      </c>
      <c r="F9469" s="48">
        <f t="shared" si="154"/>
        <v>205100</v>
      </c>
      <c r="H9469" s="254"/>
    </row>
    <row r="9470" spans="1:12" x14ac:dyDescent="0.3">
      <c r="A9470" s="45">
        <v>44354</v>
      </c>
      <c r="B9470" s="5" t="s">
        <v>84</v>
      </c>
      <c r="C9470" s="5" t="s">
        <v>7529</v>
      </c>
      <c r="D9470" s="43">
        <v>3000</v>
      </c>
      <c r="E9470" s="43"/>
      <c r="F9470" s="48">
        <f t="shared" si="154"/>
        <v>202100</v>
      </c>
    </row>
    <row r="9471" spans="1:12" x14ac:dyDescent="0.3">
      <c r="A9471" s="45">
        <v>44354</v>
      </c>
      <c r="B9471" s="5" t="s">
        <v>14</v>
      </c>
      <c r="C9471" s="5" t="s">
        <v>294</v>
      </c>
      <c r="D9471" s="43">
        <v>10000</v>
      </c>
      <c r="E9471" s="43"/>
      <c r="F9471" s="48">
        <f t="shared" si="154"/>
        <v>192100</v>
      </c>
    </row>
    <row r="9472" spans="1:12" x14ac:dyDescent="0.3">
      <c r="A9472" s="45">
        <v>44354</v>
      </c>
      <c r="B9472" s="39" t="s">
        <v>1512</v>
      </c>
      <c r="C9472" s="39" t="s">
        <v>7305</v>
      </c>
      <c r="D9472" s="43">
        <v>41677</v>
      </c>
      <c r="E9472" s="43"/>
      <c r="F9472" s="48">
        <f t="shared" si="154"/>
        <v>150423</v>
      </c>
      <c r="L9472" s="93"/>
    </row>
    <row r="9473" spans="1:12" x14ac:dyDescent="0.3">
      <c r="A9473" s="45">
        <v>44355</v>
      </c>
      <c r="B9473" s="5" t="s">
        <v>25</v>
      </c>
      <c r="C9473" s="5" t="s">
        <v>4276</v>
      </c>
      <c r="D9473" s="43">
        <v>6530</v>
      </c>
      <c r="E9473" s="43"/>
      <c r="F9473" s="48">
        <f t="shared" si="154"/>
        <v>143893</v>
      </c>
    </row>
    <row r="9474" spans="1:12" x14ac:dyDescent="0.3">
      <c r="A9474" s="45">
        <v>44356</v>
      </c>
      <c r="B9474" s="5" t="s">
        <v>57</v>
      </c>
      <c r="C9474" s="5" t="s">
        <v>294</v>
      </c>
      <c r="D9474" s="43">
        <v>20000</v>
      </c>
      <c r="E9474" s="43"/>
      <c r="F9474" s="48">
        <f t="shared" ref="F9474:F9517" si="155">F9473+E9474-D9474</f>
        <v>123893</v>
      </c>
    </row>
    <row r="9475" spans="1:12" x14ac:dyDescent="0.3">
      <c r="A9475" s="45">
        <v>44356</v>
      </c>
      <c r="B9475" s="739" t="s">
        <v>7088</v>
      </c>
      <c r="C9475" s="739"/>
      <c r="D9475" s="739"/>
      <c r="E9475" s="43">
        <v>250000</v>
      </c>
      <c r="F9475" s="48">
        <f t="shared" si="155"/>
        <v>373893</v>
      </c>
      <c r="H9475" s="254"/>
    </row>
    <row r="9476" spans="1:12" x14ac:dyDescent="0.3">
      <c r="A9476" s="45">
        <v>44356</v>
      </c>
      <c r="B9476" s="739" t="s">
        <v>7088</v>
      </c>
      <c r="C9476" s="739"/>
      <c r="D9476" s="739"/>
      <c r="E9476" s="43">
        <v>250000</v>
      </c>
      <c r="F9476" s="48">
        <f t="shared" si="155"/>
        <v>623893</v>
      </c>
      <c r="H9476" s="254"/>
    </row>
    <row r="9477" spans="1:12" x14ac:dyDescent="0.3">
      <c r="A9477" s="45">
        <v>44356</v>
      </c>
      <c r="B9477" s="5" t="s">
        <v>6341</v>
      </c>
      <c r="C9477" s="5" t="s">
        <v>7549</v>
      </c>
      <c r="D9477" s="43">
        <v>65000</v>
      </c>
      <c r="E9477" s="43"/>
      <c r="F9477" s="48">
        <f t="shared" si="155"/>
        <v>558893</v>
      </c>
    </row>
    <row r="9478" spans="1:12" x14ac:dyDescent="0.3">
      <c r="A9478" s="45">
        <v>44356</v>
      </c>
      <c r="B9478" s="39" t="s">
        <v>1512</v>
      </c>
      <c r="C9478" s="39" t="s">
        <v>7419</v>
      </c>
      <c r="D9478" s="43">
        <v>14000</v>
      </c>
      <c r="E9478" s="43"/>
      <c r="F9478" s="48">
        <f t="shared" si="155"/>
        <v>544893</v>
      </c>
      <c r="L9478" s="93"/>
    </row>
    <row r="9479" spans="1:12" x14ac:dyDescent="0.3">
      <c r="A9479" s="45">
        <v>44356</v>
      </c>
      <c r="B9479" s="39" t="s">
        <v>1512</v>
      </c>
      <c r="C9479" s="39" t="s">
        <v>7531</v>
      </c>
      <c r="D9479" s="43">
        <v>15500</v>
      </c>
      <c r="E9479" s="43"/>
      <c r="F9479" s="48">
        <f t="shared" si="155"/>
        <v>529393</v>
      </c>
      <c r="L9479" s="93"/>
    </row>
    <row r="9480" spans="1:12" x14ac:dyDescent="0.3">
      <c r="A9480" s="45">
        <v>44356</v>
      </c>
      <c r="B9480" s="5" t="s">
        <v>2948</v>
      </c>
      <c r="C9480" s="5" t="s">
        <v>7532</v>
      </c>
      <c r="D9480" s="43">
        <v>500</v>
      </c>
      <c r="E9480" s="43"/>
      <c r="F9480" s="48">
        <f t="shared" si="155"/>
        <v>528893</v>
      </c>
    </row>
    <row r="9481" spans="1:12" x14ac:dyDescent="0.3">
      <c r="A9481" s="45">
        <v>44356</v>
      </c>
      <c r="B9481" s="39" t="s">
        <v>1512</v>
      </c>
      <c r="C9481" s="39" t="s">
        <v>6412</v>
      </c>
      <c r="D9481" s="43">
        <v>75645</v>
      </c>
      <c r="E9481" s="43"/>
      <c r="F9481" s="48">
        <f t="shared" si="155"/>
        <v>453248</v>
      </c>
      <c r="L9481" s="93"/>
    </row>
    <row r="9482" spans="1:12" x14ac:dyDescent="0.3">
      <c r="A9482" s="45">
        <v>44356</v>
      </c>
      <c r="B9482" s="39" t="s">
        <v>1512</v>
      </c>
      <c r="C9482" s="39" t="s">
        <v>7535</v>
      </c>
      <c r="D9482" s="43">
        <v>37258</v>
      </c>
      <c r="E9482" s="43"/>
      <c r="F9482" s="48">
        <f t="shared" si="155"/>
        <v>415990</v>
      </c>
      <c r="L9482" s="93"/>
    </row>
    <row r="9483" spans="1:12" x14ac:dyDescent="0.3">
      <c r="A9483" s="45">
        <v>44356</v>
      </c>
      <c r="B9483" s="739" t="s">
        <v>7536</v>
      </c>
      <c r="C9483" s="739"/>
      <c r="D9483" s="739"/>
      <c r="E9483" s="43">
        <v>11700</v>
      </c>
      <c r="F9483" s="48">
        <f t="shared" si="155"/>
        <v>427690</v>
      </c>
      <c r="H9483" s="254"/>
    </row>
    <row r="9484" spans="1:12" x14ac:dyDescent="0.3">
      <c r="A9484" s="45">
        <v>44357</v>
      </c>
      <c r="B9484" s="73" t="s">
        <v>4869</v>
      </c>
      <c r="C9484" s="73" t="s">
        <v>294</v>
      </c>
      <c r="D9484" s="183">
        <v>4162</v>
      </c>
      <c r="E9484" s="43"/>
      <c r="F9484" s="48">
        <f t="shared" si="155"/>
        <v>423528</v>
      </c>
    </row>
    <row r="9485" spans="1:12" x14ac:dyDescent="0.3">
      <c r="A9485" s="45">
        <v>44357</v>
      </c>
      <c r="B9485" s="5" t="s">
        <v>18</v>
      </c>
      <c r="C9485" s="5" t="s">
        <v>294</v>
      </c>
      <c r="D9485" s="43">
        <v>1000</v>
      </c>
      <c r="E9485" s="43"/>
      <c r="F9485" s="48">
        <f t="shared" si="155"/>
        <v>422528</v>
      </c>
    </row>
    <row r="9486" spans="1:12" x14ac:dyDescent="0.3">
      <c r="A9486" s="45">
        <v>44357</v>
      </c>
      <c r="B9486" s="739" t="s">
        <v>861</v>
      </c>
      <c r="C9486" s="739"/>
      <c r="D9486" s="739"/>
      <c r="E9486" s="43">
        <v>80000</v>
      </c>
      <c r="F9486" s="48">
        <f t="shared" si="155"/>
        <v>502528</v>
      </c>
      <c r="H9486" s="254"/>
    </row>
    <row r="9487" spans="1:12" x14ac:dyDescent="0.3">
      <c r="A9487" s="45">
        <v>44357</v>
      </c>
      <c r="B9487" s="5" t="s">
        <v>7539</v>
      </c>
      <c r="C9487" s="73" t="s">
        <v>7540</v>
      </c>
      <c r="D9487" s="43">
        <v>40000</v>
      </c>
      <c r="E9487" s="43"/>
      <c r="F9487" s="48">
        <f t="shared" si="155"/>
        <v>462528</v>
      </c>
    </row>
    <row r="9488" spans="1:12" x14ac:dyDescent="0.3">
      <c r="A9488" s="45">
        <v>44357</v>
      </c>
      <c r="B9488" s="5" t="s">
        <v>6341</v>
      </c>
      <c r="C9488" s="5" t="s">
        <v>7550</v>
      </c>
      <c r="D9488" s="43">
        <v>11000</v>
      </c>
      <c r="E9488" s="43"/>
      <c r="F9488" s="48">
        <f t="shared" si="155"/>
        <v>451528</v>
      </c>
    </row>
    <row r="9489" spans="1:12" x14ac:dyDescent="0.3">
      <c r="A9489" s="45">
        <v>44357</v>
      </c>
      <c r="B9489" s="5" t="s">
        <v>6600</v>
      </c>
      <c r="C9489" s="5" t="s">
        <v>7541</v>
      </c>
      <c r="D9489" s="43">
        <v>10000</v>
      </c>
      <c r="E9489" s="43"/>
      <c r="F9489" s="48">
        <f t="shared" si="155"/>
        <v>441528</v>
      </c>
      <c r="H9489" s="255">
        <v>3206186.48</v>
      </c>
    </row>
    <row r="9490" spans="1:12" x14ac:dyDescent="0.3">
      <c r="A9490" s="45">
        <v>44357</v>
      </c>
      <c r="B9490" s="5" t="s">
        <v>5162</v>
      </c>
      <c r="C9490" s="5" t="s">
        <v>7542</v>
      </c>
      <c r="D9490" s="43">
        <v>1200</v>
      </c>
      <c r="E9490" s="43"/>
      <c r="F9490" s="48">
        <f t="shared" si="155"/>
        <v>440328</v>
      </c>
    </row>
    <row r="9491" spans="1:12" x14ac:dyDescent="0.3">
      <c r="A9491" s="45">
        <v>44358</v>
      </c>
      <c r="B9491" s="5" t="s">
        <v>7474</v>
      </c>
      <c r="C9491" s="5" t="s">
        <v>7543</v>
      </c>
      <c r="D9491" s="43">
        <v>75000</v>
      </c>
      <c r="E9491" s="43"/>
      <c r="F9491" s="48">
        <f t="shared" si="155"/>
        <v>365328</v>
      </c>
      <c r="H9491" s="52">
        <v>240463.99</v>
      </c>
      <c r="I9491" s="52">
        <f>H9489*7.5%</f>
        <v>240463.98599999998</v>
      </c>
    </row>
    <row r="9492" spans="1:12" x14ac:dyDescent="0.3">
      <c r="A9492" s="45">
        <v>44358</v>
      </c>
      <c r="B9492" s="5" t="s">
        <v>7544</v>
      </c>
      <c r="C9492" s="5" t="s">
        <v>7545</v>
      </c>
      <c r="D9492" s="43">
        <v>15000</v>
      </c>
      <c r="E9492" s="43"/>
      <c r="F9492" s="48">
        <f t="shared" si="155"/>
        <v>350328</v>
      </c>
    </row>
    <row r="9493" spans="1:12" x14ac:dyDescent="0.3">
      <c r="A9493" s="45">
        <v>44358</v>
      </c>
      <c r="B9493" s="5" t="s">
        <v>7546</v>
      </c>
      <c r="C9493" s="5" t="s">
        <v>6067</v>
      </c>
      <c r="D9493" s="43">
        <v>50000</v>
      </c>
      <c r="E9493" s="43"/>
      <c r="F9493" s="48">
        <f t="shared" si="155"/>
        <v>300328</v>
      </c>
      <c r="H9493" s="52">
        <v>11237.73</v>
      </c>
    </row>
    <row r="9494" spans="1:12" x14ac:dyDescent="0.3">
      <c r="A9494" s="45">
        <v>44358</v>
      </c>
      <c r="B9494" s="5" t="s">
        <v>541</v>
      </c>
      <c r="C9494" s="5" t="s">
        <v>7547</v>
      </c>
      <c r="D9494" s="43">
        <v>40490</v>
      </c>
      <c r="E9494" s="43"/>
      <c r="F9494" s="48">
        <f t="shared" si="155"/>
        <v>259838</v>
      </c>
    </row>
    <row r="9495" spans="1:12" x14ac:dyDescent="0.3">
      <c r="A9495" s="45">
        <v>44358</v>
      </c>
      <c r="B9495" s="39" t="s">
        <v>1512</v>
      </c>
      <c r="C9495" s="39" t="s">
        <v>7430</v>
      </c>
      <c r="D9495" s="43">
        <v>25000</v>
      </c>
      <c r="E9495" s="43"/>
      <c r="F9495" s="48">
        <f t="shared" si="155"/>
        <v>234838</v>
      </c>
      <c r="H9495" s="52">
        <v>2954484.76</v>
      </c>
    </row>
    <row r="9496" spans="1:12" x14ac:dyDescent="0.3">
      <c r="A9496" s="45">
        <v>44358</v>
      </c>
      <c r="B9496" s="739" t="s">
        <v>861</v>
      </c>
      <c r="C9496" s="739"/>
      <c r="D9496" s="739"/>
      <c r="E9496" s="43">
        <v>150000</v>
      </c>
      <c r="F9496" s="48">
        <f t="shared" si="155"/>
        <v>384838</v>
      </c>
      <c r="L9496" s="93"/>
    </row>
    <row r="9497" spans="1:12" x14ac:dyDescent="0.3">
      <c r="A9497" s="45">
        <v>44358</v>
      </c>
      <c r="B9497" s="5" t="s">
        <v>1616</v>
      </c>
      <c r="C9497" s="5" t="s">
        <v>3172</v>
      </c>
      <c r="D9497" s="43">
        <v>2600</v>
      </c>
      <c r="E9497" s="43"/>
      <c r="F9497" s="48">
        <f t="shared" si="155"/>
        <v>382238</v>
      </c>
      <c r="H9497" s="254"/>
    </row>
    <row r="9498" spans="1:12" x14ac:dyDescent="0.3">
      <c r="A9498" s="45">
        <v>44359</v>
      </c>
      <c r="B9498" s="5" t="s">
        <v>57</v>
      </c>
      <c r="C9498" s="5" t="s">
        <v>7548</v>
      </c>
      <c r="D9498" s="43">
        <v>8000</v>
      </c>
      <c r="E9498" s="43"/>
      <c r="F9498" s="48">
        <f t="shared" si="155"/>
        <v>374238</v>
      </c>
    </row>
    <row r="9499" spans="1:12" x14ac:dyDescent="0.3">
      <c r="A9499" s="45">
        <v>44359</v>
      </c>
      <c r="B9499" s="5" t="s">
        <v>5709</v>
      </c>
      <c r="C9499" s="5" t="s">
        <v>7131</v>
      </c>
      <c r="D9499" s="43">
        <v>4500</v>
      </c>
      <c r="E9499" s="43"/>
      <c r="F9499" s="48">
        <f t="shared" si="155"/>
        <v>369738</v>
      </c>
    </row>
    <row r="9500" spans="1:12" x14ac:dyDescent="0.3">
      <c r="A9500" s="45">
        <v>44359</v>
      </c>
      <c r="B9500" s="5" t="s">
        <v>25</v>
      </c>
      <c r="C9500" s="5" t="s">
        <v>4276</v>
      </c>
      <c r="D9500" s="43">
        <v>6220</v>
      </c>
      <c r="E9500" s="43"/>
      <c r="F9500" s="48">
        <f t="shared" si="155"/>
        <v>363518</v>
      </c>
    </row>
    <row r="9501" spans="1:12" x14ac:dyDescent="0.3">
      <c r="A9501" s="45">
        <v>44359</v>
      </c>
      <c r="B9501" s="5" t="s">
        <v>84</v>
      </c>
      <c r="C9501" s="5" t="s">
        <v>7551</v>
      </c>
      <c r="D9501" s="43">
        <v>5000</v>
      </c>
      <c r="E9501" s="43"/>
      <c r="F9501" s="48">
        <f t="shared" si="155"/>
        <v>358518</v>
      </c>
      <c r="K9501" s="4">
        <v>3900</v>
      </c>
    </row>
    <row r="9502" spans="1:12" x14ac:dyDescent="0.3">
      <c r="A9502" s="45">
        <v>44359</v>
      </c>
      <c r="B9502" s="5" t="s">
        <v>5709</v>
      </c>
      <c r="C9502" s="5" t="s">
        <v>7552</v>
      </c>
      <c r="D9502" s="43">
        <v>20000</v>
      </c>
      <c r="E9502" s="43"/>
      <c r="F9502" s="48">
        <f t="shared" si="155"/>
        <v>338518</v>
      </c>
      <c r="I9502" s="52">
        <v>300000</v>
      </c>
      <c r="K9502" s="4">
        <f>K9501*80%</f>
        <v>3120</v>
      </c>
    </row>
    <row r="9503" spans="1:12" x14ac:dyDescent="0.3">
      <c r="A9503" s="45">
        <v>44359</v>
      </c>
      <c r="B9503" s="5" t="s">
        <v>0</v>
      </c>
      <c r="C9503" s="5" t="s">
        <v>294</v>
      </c>
      <c r="D9503" s="43">
        <v>25000</v>
      </c>
      <c r="E9503" s="43"/>
      <c r="F9503" s="48">
        <f t="shared" si="155"/>
        <v>313518</v>
      </c>
      <c r="I9503" s="52">
        <f>I9502*13%</f>
        <v>39000</v>
      </c>
      <c r="K9503" s="93">
        <f>I9503*80%</f>
        <v>31200</v>
      </c>
      <c r="L9503" s="93">
        <f>K9503-K9502</f>
        <v>28080</v>
      </c>
    </row>
    <row r="9504" spans="1:12" x14ac:dyDescent="0.3">
      <c r="A9504" s="45">
        <v>44361</v>
      </c>
      <c r="B9504" s="5" t="s">
        <v>5938</v>
      </c>
      <c r="C9504" s="5" t="s">
        <v>7554</v>
      </c>
      <c r="D9504" s="43">
        <v>20000</v>
      </c>
      <c r="E9504" s="43"/>
      <c r="F9504" s="48">
        <f t="shared" si="155"/>
        <v>293518</v>
      </c>
      <c r="I9504" s="52">
        <f>I9502+I9503</f>
        <v>339000</v>
      </c>
    </row>
    <row r="9505" spans="1:12" x14ac:dyDescent="0.3">
      <c r="A9505" s="45">
        <v>44361</v>
      </c>
      <c r="B9505" s="5" t="s">
        <v>14</v>
      </c>
      <c r="C9505" s="5" t="s">
        <v>7555</v>
      </c>
      <c r="D9505" s="43">
        <v>50000</v>
      </c>
      <c r="E9505" s="43"/>
      <c r="F9505" s="48">
        <f t="shared" si="155"/>
        <v>243518</v>
      </c>
    </row>
    <row r="9506" spans="1:12" x14ac:dyDescent="0.3">
      <c r="A9506" s="45">
        <v>44361</v>
      </c>
      <c r="B9506" s="5" t="s">
        <v>6877</v>
      </c>
      <c r="C9506" s="5" t="s">
        <v>7557</v>
      </c>
      <c r="D9506" s="43">
        <v>50000</v>
      </c>
      <c r="E9506" s="43"/>
      <c r="F9506" s="48">
        <f t="shared" si="155"/>
        <v>193518</v>
      </c>
    </row>
    <row r="9507" spans="1:12" x14ac:dyDescent="0.3">
      <c r="A9507" s="45">
        <v>44361</v>
      </c>
      <c r="B9507" s="5" t="s">
        <v>5709</v>
      </c>
      <c r="C9507" s="5" t="s">
        <v>7558</v>
      </c>
      <c r="D9507" s="43">
        <v>20000</v>
      </c>
      <c r="E9507" s="43"/>
      <c r="F9507" s="48">
        <f t="shared" si="155"/>
        <v>173518</v>
      </c>
    </row>
    <row r="9508" spans="1:12" x14ac:dyDescent="0.3">
      <c r="A9508" s="45">
        <v>44361</v>
      </c>
      <c r="B9508" s="5" t="s">
        <v>541</v>
      </c>
      <c r="C9508" s="5" t="s">
        <v>6378</v>
      </c>
      <c r="D9508" s="43">
        <v>5000</v>
      </c>
      <c r="E9508" s="43"/>
      <c r="F9508" s="48">
        <f t="shared" si="155"/>
        <v>168518</v>
      </c>
    </row>
    <row r="9509" spans="1:12" ht="37.5" x14ac:dyDescent="0.3">
      <c r="A9509" s="45">
        <v>44361</v>
      </c>
      <c r="B9509" s="5" t="s">
        <v>4550</v>
      </c>
      <c r="C9509" s="92" t="s">
        <v>7560</v>
      </c>
      <c r="D9509" s="43">
        <v>25000</v>
      </c>
      <c r="E9509" s="43"/>
      <c r="F9509" s="48">
        <f t="shared" si="155"/>
        <v>143518</v>
      </c>
    </row>
    <row r="9510" spans="1:12" x14ac:dyDescent="0.3">
      <c r="A9510" s="45">
        <v>44361</v>
      </c>
      <c r="B9510" s="5" t="s">
        <v>4550</v>
      </c>
      <c r="C9510" s="5" t="s">
        <v>7559</v>
      </c>
      <c r="D9510" s="43">
        <v>15000</v>
      </c>
      <c r="E9510" s="43"/>
      <c r="F9510" s="48">
        <f t="shared" si="155"/>
        <v>128518</v>
      </c>
    </row>
    <row r="9511" spans="1:12" x14ac:dyDescent="0.3">
      <c r="A9511" s="45">
        <v>44362</v>
      </c>
      <c r="B9511" s="5" t="s">
        <v>5930</v>
      </c>
      <c r="C9511" s="5" t="s">
        <v>40</v>
      </c>
      <c r="D9511" s="43">
        <v>24300</v>
      </c>
      <c r="E9511" s="43"/>
      <c r="F9511" s="48">
        <f t="shared" si="155"/>
        <v>104218</v>
      </c>
    </row>
    <row r="9512" spans="1:12" x14ac:dyDescent="0.3">
      <c r="A9512" s="45">
        <v>44362</v>
      </c>
      <c r="B9512" s="5" t="s">
        <v>25</v>
      </c>
      <c r="C9512" s="5" t="s">
        <v>7561</v>
      </c>
      <c r="D9512" s="43">
        <v>100</v>
      </c>
      <c r="E9512" s="43"/>
      <c r="F9512" s="48">
        <f t="shared" si="155"/>
        <v>104118</v>
      </c>
    </row>
    <row r="9513" spans="1:12" x14ac:dyDescent="0.3">
      <c r="A9513" s="45">
        <v>44362</v>
      </c>
      <c r="B9513" s="5" t="s">
        <v>0</v>
      </c>
      <c r="C9513" s="5" t="s">
        <v>294</v>
      </c>
      <c r="D9513" s="43">
        <v>35000</v>
      </c>
      <c r="E9513" s="43"/>
      <c r="F9513" s="48">
        <f t="shared" si="155"/>
        <v>69118</v>
      </c>
    </row>
    <row r="9514" spans="1:12" x14ac:dyDescent="0.3">
      <c r="A9514" s="45">
        <v>44362</v>
      </c>
      <c r="B9514" s="5" t="s">
        <v>6877</v>
      </c>
      <c r="C9514" s="5" t="s">
        <v>7562</v>
      </c>
      <c r="D9514" s="43">
        <v>17930</v>
      </c>
      <c r="E9514" s="43"/>
      <c r="F9514" s="48">
        <f t="shared" si="155"/>
        <v>51188</v>
      </c>
    </row>
    <row r="9515" spans="1:12" x14ac:dyDescent="0.3">
      <c r="A9515" s="45">
        <v>44362</v>
      </c>
      <c r="B9515" s="5" t="s">
        <v>6341</v>
      </c>
      <c r="C9515" s="5" t="s">
        <v>7563</v>
      </c>
      <c r="D9515" s="43">
        <v>11500</v>
      </c>
      <c r="E9515" s="43"/>
      <c r="F9515" s="48">
        <f t="shared" si="155"/>
        <v>39688</v>
      </c>
    </row>
    <row r="9516" spans="1:12" x14ac:dyDescent="0.3">
      <c r="A9516" s="45">
        <v>44362</v>
      </c>
      <c r="B9516" s="5" t="s">
        <v>6908</v>
      </c>
      <c r="C9516" s="5" t="s">
        <v>6507</v>
      </c>
      <c r="D9516" s="43">
        <v>12000</v>
      </c>
      <c r="E9516" s="43"/>
      <c r="F9516" s="48">
        <f t="shared" si="155"/>
        <v>27688</v>
      </c>
      <c r="H9516" s="52">
        <f>500*54</f>
        <v>27000</v>
      </c>
    </row>
    <row r="9517" spans="1:12" x14ac:dyDescent="0.3">
      <c r="A9517" s="45">
        <v>44362</v>
      </c>
      <c r="B9517" s="5" t="s">
        <v>6959</v>
      </c>
      <c r="C9517" s="5" t="s">
        <v>78</v>
      </c>
      <c r="D9517" s="43">
        <v>200</v>
      </c>
      <c r="E9517" s="43"/>
      <c r="F9517" s="48">
        <f t="shared" si="155"/>
        <v>27488</v>
      </c>
    </row>
    <row r="9518" spans="1:12" x14ac:dyDescent="0.3">
      <c r="A9518" s="45">
        <v>44362</v>
      </c>
      <c r="B9518" s="5" t="s">
        <v>1616</v>
      </c>
      <c r="C9518" s="5" t="s">
        <v>640</v>
      </c>
      <c r="D9518" s="43">
        <v>2000</v>
      </c>
      <c r="E9518" s="43"/>
      <c r="F9518" s="48">
        <f>F9517+E9518-D9518</f>
        <v>25488</v>
      </c>
    </row>
    <row r="9519" spans="1:12" x14ac:dyDescent="0.3">
      <c r="A9519" s="45">
        <v>44363</v>
      </c>
      <c r="B9519" s="5" t="s">
        <v>861</v>
      </c>
      <c r="C9519" s="5" t="s">
        <v>7564</v>
      </c>
      <c r="D9519" s="43">
        <v>1500</v>
      </c>
      <c r="E9519" s="43"/>
      <c r="F9519" s="48">
        <f t="shared" ref="F9519:F9573" si="156">F9518+E9519-D9519</f>
        <v>23988</v>
      </c>
    </row>
    <row r="9520" spans="1:12" x14ac:dyDescent="0.3">
      <c r="A9520" s="45">
        <v>44363</v>
      </c>
      <c r="B9520" s="739" t="s">
        <v>4362</v>
      </c>
      <c r="C9520" s="739"/>
      <c r="D9520" s="739"/>
      <c r="E9520" s="43">
        <v>10000</v>
      </c>
      <c r="F9520" s="48">
        <f t="shared" si="156"/>
        <v>33988</v>
      </c>
      <c r="L9520" s="93"/>
    </row>
    <row r="9521" spans="1:12" x14ac:dyDescent="0.3">
      <c r="A9521" s="45">
        <v>44363</v>
      </c>
      <c r="B9521" s="5" t="s">
        <v>0</v>
      </c>
      <c r="C9521" s="5" t="s">
        <v>7567</v>
      </c>
      <c r="D9521" s="43">
        <v>25000</v>
      </c>
      <c r="E9521" s="43"/>
      <c r="F9521" s="48">
        <f t="shared" si="156"/>
        <v>8988</v>
      </c>
    </row>
    <row r="9522" spans="1:12" x14ac:dyDescent="0.3">
      <c r="A9522" s="45">
        <v>44363</v>
      </c>
      <c r="B9522" s="5" t="s">
        <v>84</v>
      </c>
      <c r="C9522" s="5" t="s">
        <v>7568</v>
      </c>
      <c r="D9522" s="43">
        <v>3000</v>
      </c>
      <c r="E9522" s="43"/>
      <c r="F9522" s="48">
        <f t="shared" si="156"/>
        <v>5988</v>
      </c>
    </row>
    <row r="9523" spans="1:12" x14ac:dyDescent="0.3">
      <c r="A9523" s="45">
        <v>44363</v>
      </c>
      <c r="B9523" s="739" t="s">
        <v>7348</v>
      </c>
      <c r="C9523" s="739"/>
      <c r="D9523" s="739"/>
      <c r="E9523" s="43">
        <v>50000</v>
      </c>
      <c r="F9523" s="48">
        <f t="shared" si="156"/>
        <v>55988</v>
      </c>
      <c r="L9523" s="93"/>
    </row>
    <row r="9524" spans="1:12" ht="37.5" x14ac:dyDescent="0.3">
      <c r="A9524" s="45">
        <v>44363</v>
      </c>
      <c r="B9524" s="5" t="s">
        <v>7546</v>
      </c>
      <c r="C9524" s="92" t="s">
        <v>7569</v>
      </c>
      <c r="D9524" s="43">
        <v>55500</v>
      </c>
      <c r="E9524" s="43"/>
      <c r="F9524" s="48">
        <f t="shared" si="156"/>
        <v>488</v>
      </c>
    </row>
    <row r="9525" spans="1:12" x14ac:dyDescent="0.3">
      <c r="A9525" s="45">
        <v>44364</v>
      </c>
      <c r="B9525" s="739" t="s">
        <v>861</v>
      </c>
      <c r="C9525" s="739"/>
      <c r="D9525" s="739"/>
      <c r="E9525" s="43">
        <v>250000</v>
      </c>
      <c r="F9525" s="48">
        <f t="shared" si="156"/>
        <v>250488</v>
      </c>
      <c r="L9525" s="93"/>
    </row>
    <row r="9526" spans="1:12" x14ac:dyDescent="0.3">
      <c r="A9526" s="45">
        <v>44364</v>
      </c>
      <c r="B9526" s="5" t="s">
        <v>7349</v>
      </c>
      <c r="C9526" s="5" t="s">
        <v>7571</v>
      </c>
      <c r="D9526" s="43">
        <v>50000</v>
      </c>
      <c r="E9526" s="43"/>
      <c r="F9526" s="48">
        <f t="shared" si="156"/>
        <v>200488</v>
      </c>
    </row>
    <row r="9527" spans="1:12" x14ac:dyDescent="0.3">
      <c r="A9527" s="45">
        <v>44364</v>
      </c>
      <c r="B9527" s="39" t="s">
        <v>7570</v>
      </c>
      <c r="C9527" s="39" t="s">
        <v>7578</v>
      </c>
      <c r="D9527" s="40">
        <v>165600</v>
      </c>
      <c r="E9527" s="43"/>
      <c r="F9527" s="48">
        <f t="shared" si="156"/>
        <v>34888</v>
      </c>
    </row>
    <row r="9528" spans="1:12" x14ac:dyDescent="0.3">
      <c r="A9528" s="45">
        <v>44364</v>
      </c>
      <c r="B9528" s="5" t="s">
        <v>1837</v>
      </c>
      <c r="C9528" s="5" t="s">
        <v>3183</v>
      </c>
      <c r="D9528" s="43">
        <v>10000</v>
      </c>
      <c r="E9528" s="43"/>
      <c r="F9528" s="48">
        <f t="shared" si="156"/>
        <v>24888</v>
      </c>
    </row>
    <row r="9529" spans="1:12" x14ac:dyDescent="0.3">
      <c r="A9529" s="45">
        <v>44364</v>
      </c>
      <c r="B9529" s="5" t="s">
        <v>0</v>
      </c>
      <c r="C9529" s="5" t="s">
        <v>31</v>
      </c>
      <c r="D9529" s="43">
        <v>5800</v>
      </c>
      <c r="E9529" s="43"/>
      <c r="F9529" s="48">
        <f t="shared" si="156"/>
        <v>19088</v>
      </c>
    </row>
    <row r="9530" spans="1:12" x14ac:dyDescent="0.3">
      <c r="A9530" s="45">
        <v>44364</v>
      </c>
      <c r="B9530" s="5" t="s">
        <v>84</v>
      </c>
      <c r="C9530" s="5" t="s">
        <v>7573</v>
      </c>
      <c r="D9530" s="43">
        <v>2000</v>
      </c>
      <c r="E9530" s="43"/>
      <c r="F9530" s="48">
        <f t="shared" si="156"/>
        <v>17088</v>
      </c>
    </row>
    <row r="9531" spans="1:12" x14ac:dyDescent="0.3">
      <c r="A9531" s="45">
        <v>44364</v>
      </c>
      <c r="B9531" s="5" t="s">
        <v>84</v>
      </c>
      <c r="C9531" s="5" t="s">
        <v>7574</v>
      </c>
      <c r="D9531" s="43">
        <v>1000</v>
      </c>
      <c r="E9531" s="43"/>
      <c r="F9531" s="48">
        <f t="shared" si="156"/>
        <v>16088</v>
      </c>
    </row>
    <row r="9532" spans="1:12" x14ac:dyDescent="0.3">
      <c r="A9532" s="45">
        <v>44364</v>
      </c>
      <c r="B9532" s="5" t="s">
        <v>54</v>
      </c>
      <c r="C9532" s="5" t="s">
        <v>7575</v>
      </c>
      <c r="D9532" s="43">
        <v>1600</v>
      </c>
      <c r="E9532" s="43"/>
      <c r="F9532" s="48">
        <f t="shared" si="156"/>
        <v>14488</v>
      </c>
    </row>
    <row r="9533" spans="1:12" x14ac:dyDescent="0.3">
      <c r="A9533" s="45">
        <v>44364</v>
      </c>
      <c r="B9533" s="5" t="s">
        <v>6430</v>
      </c>
      <c r="C9533" s="5" t="s">
        <v>7576</v>
      </c>
      <c r="D9533" s="43">
        <v>700</v>
      </c>
      <c r="E9533" s="43"/>
      <c r="F9533" s="48">
        <f t="shared" si="156"/>
        <v>13788</v>
      </c>
    </row>
    <row r="9534" spans="1:12" x14ac:dyDescent="0.3">
      <c r="A9534" s="45">
        <v>44364</v>
      </c>
      <c r="B9534" s="739" t="s">
        <v>7577</v>
      </c>
      <c r="C9534" s="739"/>
      <c r="D9534" s="739"/>
      <c r="E9534" s="43">
        <v>700</v>
      </c>
      <c r="F9534" s="48">
        <f t="shared" si="156"/>
        <v>14488</v>
      </c>
      <c r="L9534" s="93"/>
    </row>
    <row r="9535" spans="1:12" x14ac:dyDescent="0.3">
      <c r="A9535" s="45">
        <v>44364</v>
      </c>
      <c r="B9535" s="5" t="s">
        <v>6341</v>
      </c>
      <c r="C9535" s="5" t="s">
        <v>6555</v>
      </c>
      <c r="D9535" s="43">
        <v>2500</v>
      </c>
      <c r="E9535" s="43"/>
      <c r="F9535" s="48">
        <f t="shared" si="156"/>
        <v>11988</v>
      </c>
      <c r="H9535" s="746"/>
      <c r="I9535" s="746"/>
    </row>
    <row r="9536" spans="1:12" x14ac:dyDescent="0.3">
      <c r="A9536" s="45">
        <v>44365</v>
      </c>
      <c r="B9536" s="5" t="s">
        <v>7579</v>
      </c>
      <c r="C9536" s="5" t="s">
        <v>7580</v>
      </c>
      <c r="D9536" s="43">
        <v>10500</v>
      </c>
      <c r="E9536" s="43"/>
      <c r="F9536" s="48">
        <f t="shared" si="156"/>
        <v>1488</v>
      </c>
    </row>
    <row r="9537" spans="1:12" x14ac:dyDescent="0.3">
      <c r="A9537" s="45">
        <v>44365</v>
      </c>
      <c r="B9537" s="5" t="s">
        <v>14</v>
      </c>
      <c r="C9537" s="5" t="s">
        <v>640</v>
      </c>
      <c r="D9537" s="43">
        <v>1000</v>
      </c>
      <c r="E9537" s="43"/>
      <c r="F9537" s="48">
        <f t="shared" si="156"/>
        <v>488</v>
      </c>
    </row>
    <row r="9538" spans="1:12" x14ac:dyDescent="0.3">
      <c r="A9538" s="45">
        <v>44365</v>
      </c>
      <c r="B9538" s="739" t="s">
        <v>7440</v>
      </c>
      <c r="C9538" s="739"/>
      <c r="D9538" s="739"/>
      <c r="E9538" s="43">
        <v>50000</v>
      </c>
      <c r="F9538" s="48">
        <f t="shared" si="156"/>
        <v>50488</v>
      </c>
    </row>
    <row r="9539" spans="1:12" x14ac:dyDescent="0.3">
      <c r="A9539" s="45">
        <v>44365</v>
      </c>
      <c r="B9539" s="5" t="s">
        <v>18</v>
      </c>
      <c r="C9539" s="5" t="s">
        <v>294</v>
      </c>
      <c r="D9539" s="43">
        <v>7000</v>
      </c>
      <c r="E9539" s="43"/>
      <c r="F9539" s="48">
        <f t="shared" si="156"/>
        <v>43488</v>
      </c>
    </row>
    <row r="9540" spans="1:12" x14ac:dyDescent="0.3">
      <c r="A9540" s="45">
        <v>44366</v>
      </c>
      <c r="B9540" s="5" t="s">
        <v>4550</v>
      </c>
      <c r="C9540" s="5" t="s">
        <v>5663</v>
      </c>
      <c r="D9540" s="43">
        <v>20000</v>
      </c>
      <c r="E9540" s="43"/>
      <c r="F9540" s="48">
        <f t="shared" si="156"/>
        <v>23488</v>
      </c>
    </row>
    <row r="9541" spans="1:12" x14ac:dyDescent="0.3">
      <c r="A9541" s="45">
        <v>44366</v>
      </c>
      <c r="B9541" s="5" t="s">
        <v>7581</v>
      </c>
      <c r="C9541" s="5" t="s">
        <v>7582</v>
      </c>
      <c r="D9541" s="43">
        <v>12000</v>
      </c>
      <c r="E9541" s="43"/>
      <c r="F9541" s="48">
        <f t="shared" si="156"/>
        <v>11488</v>
      </c>
    </row>
    <row r="9542" spans="1:12" x14ac:dyDescent="0.3">
      <c r="A9542" s="45">
        <v>44366</v>
      </c>
      <c r="B9542" s="5" t="s">
        <v>1837</v>
      </c>
      <c r="C9542" s="5" t="s">
        <v>3910</v>
      </c>
      <c r="D9542" s="43">
        <v>7500</v>
      </c>
      <c r="E9542" s="43"/>
      <c r="F9542" s="48">
        <f t="shared" si="156"/>
        <v>3988</v>
      </c>
    </row>
    <row r="9543" spans="1:12" x14ac:dyDescent="0.3">
      <c r="A9543" s="45">
        <v>44366</v>
      </c>
      <c r="B9543" s="5" t="s">
        <v>11</v>
      </c>
      <c r="C9543" s="5" t="s">
        <v>7583</v>
      </c>
      <c r="D9543" s="43">
        <v>500</v>
      </c>
      <c r="E9543" s="43"/>
      <c r="F9543" s="48">
        <f t="shared" si="156"/>
        <v>3488</v>
      </c>
    </row>
    <row r="9544" spans="1:12" x14ac:dyDescent="0.3">
      <c r="A9544" s="45">
        <v>44368</v>
      </c>
      <c r="B9544" s="739" t="s">
        <v>7048</v>
      </c>
      <c r="C9544" s="739"/>
      <c r="D9544" s="739"/>
      <c r="E9544" s="43">
        <v>150000</v>
      </c>
      <c r="F9544" s="48">
        <f t="shared" si="156"/>
        <v>153488</v>
      </c>
      <c r="K9544" s="4">
        <v>28250</v>
      </c>
      <c r="L9544" s="93"/>
    </row>
    <row r="9545" spans="1:12" x14ac:dyDescent="0.3">
      <c r="A9545" s="45">
        <v>44366</v>
      </c>
      <c r="B9545" s="5" t="s">
        <v>84</v>
      </c>
      <c r="C9545" s="5" t="s">
        <v>7584</v>
      </c>
      <c r="D9545" s="43">
        <v>7000</v>
      </c>
      <c r="E9545" s="43"/>
      <c r="F9545" s="48">
        <f t="shared" si="156"/>
        <v>146488</v>
      </c>
    </row>
    <row r="9546" spans="1:12" x14ac:dyDescent="0.3">
      <c r="A9546" s="45">
        <v>44368</v>
      </c>
      <c r="B9546" s="5" t="s">
        <v>1074</v>
      </c>
      <c r="C9546" s="92" t="s">
        <v>7585</v>
      </c>
      <c r="D9546" s="43">
        <v>8390</v>
      </c>
      <c r="E9546" s="43"/>
      <c r="F9546" s="48">
        <f t="shared" si="156"/>
        <v>138098</v>
      </c>
      <c r="K9546" s="4">
        <v>28170</v>
      </c>
    </row>
    <row r="9547" spans="1:12" x14ac:dyDescent="0.3">
      <c r="A9547" s="45">
        <v>44368</v>
      </c>
      <c r="B9547" s="5" t="s">
        <v>6430</v>
      </c>
      <c r="C9547" s="5" t="s">
        <v>4350</v>
      </c>
      <c r="D9547" s="43">
        <v>6000</v>
      </c>
      <c r="E9547" s="43"/>
      <c r="F9547" s="48">
        <f t="shared" si="156"/>
        <v>132098</v>
      </c>
      <c r="K9547" s="4">
        <v>33875</v>
      </c>
    </row>
    <row r="9548" spans="1:12" x14ac:dyDescent="0.3">
      <c r="A9548" s="45">
        <v>44368</v>
      </c>
      <c r="B9548" s="5" t="s">
        <v>7544</v>
      </c>
      <c r="C9548" s="5" t="s">
        <v>7545</v>
      </c>
      <c r="D9548" s="43">
        <v>25000</v>
      </c>
      <c r="E9548" s="43"/>
      <c r="F9548" s="48">
        <f t="shared" si="156"/>
        <v>107098</v>
      </c>
      <c r="K9548" s="4">
        <v>20390</v>
      </c>
    </row>
    <row r="9549" spans="1:12" x14ac:dyDescent="0.3">
      <c r="A9549" s="45">
        <v>44368</v>
      </c>
      <c r="B9549" s="5" t="s">
        <v>6877</v>
      </c>
      <c r="C9549" s="5" t="s">
        <v>7588</v>
      </c>
      <c r="D9549" s="43">
        <v>32000</v>
      </c>
      <c r="E9549" s="43"/>
      <c r="F9549" s="48">
        <f t="shared" si="156"/>
        <v>75098</v>
      </c>
      <c r="K9549" s="4">
        <v>8000</v>
      </c>
    </row>
    <row r="9550" spans="1:12" x14ac:dyDescent="0.3">
      <c r="A9550" s="45">
        <v>44368</v>
      </c>
      <c r="B9550" s="5" t="s">
        <v>5156</v>
      </c>
      <c r="C9550" s="5" t="s">
        <v>7589</v>
      </c>
      <c r="D9550" s="43">
        <v>7000</v>
      </c>
      <c r="E9550" s="43"/>
      <c r="F9550" s="48">
        <f t="shared" si="156"/>
        <v>68098</v>
      </c>
      <c r="K9550" s="4">
        <v>13000</v>
      </c>
    </row>
    <row r="9551" spans="1:12" x14ac:dyDescent="0.3">
      <c r="A9551" s="45">
        <v>44368</v>
      </c>
      <c r="B9551" s="5" t="s">
        <v>5709</v>
      </c>
      <c r="C9551" s="5" t="s">
        <v>7590</v>
      </c>
      <c r="D9551" s="43">
        <v>7500</v>
      </c>
      <c r="E9551" s="43"/>
      <c r="F9551" s="48">
        <f t="shared" si="156"/>
        <v>60598</v>
      </c>
      <c r="K9551" s="4">
        <v>17550</v>
      </c>
    </row>
    <row r="9552" spans="1:12" x14ac:dyDescent="0.3">
      <c r="A9552" s="45">
        <v>44368</v>
      </c>
      <c r="B9552" s="5" t="s">
        <v>25</v>
      </c>
      <c r="C9552" s="5" t="s">
        <v>7561</v>
      </c>
      <c r="D9552" s="43">
        <v>200</v>
      </c>
      <c r="E9552" s="43"/>
      <c r="F9552" s="48">
        <f t="shared" si="156"/>
        <v>60398</v>
      </c>
      <c r="K9552" s="4">
        <v>6720</v>
      </c>
      <c r="L9552" s="4">
        <f>K9552+K9551</f>
        <v>24270</v>
      </c>
    </row>
    <row r="9553" spans="1:12" x14ac:dyDescent="0.3">
      <c r="A9553" s="45">
        <v>44368</v>
      </c>
      <c r="B9553" s="5" t="s">
        <v>84</v>
      </c>
      <c r="C9553" s="5" t="s">
        <v>7591</v>
      </c>
      <c r="D9553" s="43">
        <v>15000</v>
      </c>
      <c r="E9553" s="43"/>
      <c r="F9553" s="48">
        <f t="shared" si="156"/>
        <v>45398</v>
      </c>
      <c r="K9553" s="4">
        <f>SUM(K9544:K9552)</f>
        <v>155955</v>
      </c>
    </row>
    <row r="9554" spans="1:12" x14ac:dyDescent="0.3">
      <c r="A9554" s="45">
        <v>44369</v>
      </c>
      <c r="B9554" s="5" t="s">
        <v>84</v>
      </c>
      <c r="C9554" s="5" t="s">
        <v>7592</v>
      </c>
      <c r="D9554" s="43">
        <v>2000</v>
      </c>
      <c r="E9554" s="43"/>
      <c r="F9554" s="48">
        <f t="shared" si="156"/>
        <v>43398</v>
      </c>
    </row>
    <row r="9555" spans="1:12" x14ac:dyDescent="0.3">
      <c r="A9555" s="45">
        <v>44369</v>
      </c>
      <c r="B9555" s="5" t="s">
        <v>7606</v>
      </c>
      <c r="C9555" s="5" t="s">
        <v>7593</v>
      </c>
      <c r="D9555" s="43">
        <v>30000</v>
      </c>
      <c r="E9555" s="43"/>
      <c r="F9555" s="48">
        <f t="shared" si="156"/>
        <v>13398</v>
      </c>
    </row>
    <row r="9556" spans="1:12" x14ac:dyDescent="0.3">
      <c r="A9556" s="45">
        <v>44369</v>
      </c>
      <c r="B9556" s="739" t="s">
        <v>4106</v>
      </c>
      <c r="C9556" s="739"/>
      <c r="D9556" s="739"/>
      <c r="E9556" s="43">
        <v>100000</v>
      </c>
      <c r="F9556" s="48">
        <f t="shared" si="156"/>
        <v>113398</v>
      </c>
      <c r="I9556" s="52">
        <v>100000</v>
      </c>
      <c r="L9556" s="93"/>
    </row>
    <row r="9557" spans="1:12" x14ac:dyDescent="0.3">
      <c r="A9557" s="45">
        <v>44369</v>
      </c>
      <c r="B9557" s="5" t="s">
        <v>2948</v>
      </c>
      <c r="C9557" s="5" t="s">
        <v>7594</v>
      </c>
      <c r="D9557" s="43">
        <v>25000</v>
      </c>
      <c r="E9557" s="43"/>
      <c r="F9557" s="48">
        <f t="shared" si="156"/>
        <v>88398</v>
      </c>
      <c r="K9557" s="4">
        <v>100000</v>
      </c>
    </row>
    <row r="9558" spans="1:12" x14ac:dyDescent="0.3">
      <c r="A9558" s="45">
        <v>44369</v>
      </c>
      <c r="B9558" s="5" t="s">
        <v>7595</v>
      </c>
      <c r="C9558" s="5" t="s">
        <v>7596</v>
      </c>
      <c r="D9558" s="43">
        <v>26670</v>
      </c>
      <c r="E9558" s="43"/>
      <c r="F9558" s="48">
        <f t="shared" si="156"/>
        <v>61728</v>
      </c>
      <c r="I9558" s="52">
        <f>I9556/117*17</f>
        <v>14529.914529914531</v>
      </c>
    </row>
    <row r="9559" spans="1:12" x14ac:dyDescent="0.3">
      <c r="A9559" s="45">
        <v>44369</v>
      </c>
      <c r="B9559" s="5" t="s">
        <v>1787</v>
      </c>
      <c r="C9559" s="5" t="s">
        <v>7597</v>
      </c>
      <c r="D9559" s="43">
        <v>1200</v>
      </c>
      <c r="E9559" s="43"/>
      <c r="F9559" s="48">
        <f t="shared" si="156"/>
        <v>60528</v>
      </c>
      <c r="K9559" s="4">
        <f>K9557*12%</f>
        <v>12000</v>
      </c>
    </row>
    <row r="9560" spans="1:12" x14ac:dyDescent="0.3">
      <c r="A9560" s="45">
        <v>44369</v>
      </c>
      <c r="B9560" s="5" t="s">
        <v>25</v>
      </c>
      <c r="C9560" s="5" t="s">
        <v>7598</v>
      </c>
      <c r="D9560" s="43">
        <v>5000</v>
      </c>
      <c r="E9560" s="43"/>
      <c r="F9560" s="48">
        <f t="shared" si="156"/>
        <v>55528</v>
      </c>
      <c r="I9560" s="52">
        <f>I9556-I9558</f>
        <v>85470.085470085469</v>
      </c>
    </row>
    <row r="9561" spans="1:12" x14ac:dyDescent="0.3">
      <c r="A9561" s="45">
        <v>44369</v>
      </c>
      <c r="B9561" s="5" t="s">
        <v>25</v>
      </c>
      <c r="C9561" s="5" t="s">
        <v>5641</v>
      </c>
      <c r="D9561" s="43">
        <v>600</v>
      </c>
      <c r="E9561" s="43"/>
      <c r="F9561" s="48">
        <f t="shared" si="156"/>
        <v>54928</v>
      </c>
      <c r="K9561" s="4">
        <f>K9557-K9559</f>
        <v>88000</v>
      </c>
    </row>
    <row r="9562" spans="1:12" x14ac:dyDescent="0.3">
      <c r="A9562" s="45">
        <v>44369</v>
      </c>
      <c r="B9562" s="5" t="s">
        <v>25</v>
      </c>
      <c r="C9562" s="5" t="s">
        <v>2685</v>
      </c>
      <c r="D9562" s="43">
        <v>100</v>
      </c>
      <c r="E9562" s="43"/>
      <c r="F9562" s="48">
        <f t="shared" si="156"/>
        <v>54828</v>
      </c>
    </row>
    <row r="9563" spans="1:12" x14ac:dyDescent="0.3">
      <c r="A9563" s="45">
        <v>44370</v>
      </c>
      <c r="B9563" s="5" t="s">
        <v>25</v>
      </c>
      <c r="C9563" s="5" t="s">
        <v>7599</v>
      </c>
      <c r="D9563" s="43">
        <v>150</v>
      </c>
      <c r="E9563" s="43"/>
      <c r="F9563" s="48">
        <f t="shared" si="156"/>
        <v>54678</v>
      </c>
      <c r="I9563" s="52">
        <f>I9560*17%</f>
        <v>14529.914529914531</v>
      </c>
    </row>
    <row r="9564" spans="1:12" x14ac:dyDescent="0.3">
      <c r="A9564" s="45">
        <v>44370</v>
      </c>
      <c r="B9564" s="5" t="s">
        <v>18</v>
      </c>
      <c r="C9564" s="5" t="s">
        <v>294</v>
      </c>
      <c r="D9564" s="43">
        <v>5000</v>
      </c>
      <c r="E9564" s="43"/>
      <c r="F9564" s="48">
        <f t="shared" si="156"/>
        <v>49678</v>
      </c>
      <c r="K9564" s="4">
        <f>K9561/88%</f>
        <v>100000</v>
      </c>
    </row>
    <row r="9565" spans="1:12" x14ac:dyDescent="0.3">
      <c r="A9565" s="45">
        <v>44370</v>
      </c>
      <c r="B9565" s="5" t="s">
        <v>68</v>
      </c>
      <c r="C9565" s="5" t="s">
        <v>5663</v>
      </c>
      <c r="D9565" s="43">
        <v>35000</v>
      </c>
      <c r="E9565" s="43"/>
      <c r="F9565" s="48">
        <f t="shared" si="156"/>
        <v>14678</v>
      </c>
      <c r="I9565" s="52">
        <f>I9563+I9560</f>
        <v>100000</v>
      </c>
    </row>
    <row r="9566" spans="1:12" x14ac:dyDescent="0.3">
      <c r="A9566" s="45">
        <v>44370</v>
      </c>
      <c r="B9566" s="739" t="s">
        <v>4106</v>
      </c>
      <c r="C9566" s="739"/>
      <c r="D9566" s="739"/>
      <c r="E9566" s="43">
        <v>150000</v>
      </c>
      <c r="F9566" s="48">
        <f>F9565+E9566-D9566</f>
        <v>164678</v>
      </c>
      <c r="I9566" s="52">
        <v>100000</v>
      </c>
      <c r="L9566" s="93"/>
    </row>
    <row r="9567" spans="1:12" x14ac:dyDescent="0.3">
      <c r="A9567" s="45">
        <v>44370</v>
      </c>
      <c r="B9567" s="5" t="s">
        <v>7308</v>
      </c>
      <c r="C9567" s="5" t="s">
        <v>7601</v>
      </c>
      <c r="D9567" s="43">
        <v>38000</v>
      </c>
      <c r="E9567" s="43"/>
      <c r="F9567" s="48">
        <f t="shared" si="156"/>
        <v>126678</v>
      </c>
    </row>
    <row r="9568" spans="1:12" x14ac:dyDescent="0.3">
      <c r="A9568" s="45">
        <v>44370</v>
      </c>
      <c r="B9568" s="5" t="s">
        <v>6430</v>
      </c>
      <c r="C9568" s="5" t="s">
        <v>7602</v>
      </c>
      <c r="D9568" s="43">
        <v>15000</v>
      </c>
      <c r="E9568" s="43"/>
      <c r="F9568" s="48">
        <f t="shared" si="156"/>
        <v>111678</v>
      </c>
      <c r="H9568" s="52">
        <v>100000</v>
      </c>
      <c r="I9568" s="52">
        <f>H9568/117%</f>
        <v>85470.085470085469</v>
      </c>
      <c r="J9568" s="52">
        <f>H9568-I9568</f>
        <v>14529.914529914531</v>
      </c>
      <c r="K9568" s="52">
        <f>H9568/117*17</f>
        <v>14529.914529914531</v>
      </c>
    </row>
    <row r="9569" spans="1:12" x14ac:dyDescent="0.3">
      <c r="A9569" s="45">
        <v>44370</v>
      </c>
      <c r="B9569" s="5" t="s">
        <v>25</v>
      </c>
      <c r="C9569" s="5" t="s">
        <v>7603</v>
      </c>
      <c r="D9569" s="43">
        <v>6000</v>
      </c>
      <c r="E9569" s="43"/>
      <c r="F9569" s="48">
        <f t="shared" si="156"/>
        <v>105678</v>
      </c>
      <c r="H9569" s="52">
        <v>100000</v>
      </c>
      <c r="I9569" s="52">
        <f>H9569/92.5*7.5</f>
        <v>8108.1081081081074</v>
      </c>
    </row>
    <row r="9570" spans="1:12" x14ac:dyDescent="0.3">
      <c r="A9570" s="45">
        <v>44370</v>
      </c>
      <c r="B9570" s="5" t="s">
        <v>25</v>
      </c>
      <c r="C9570" s="5" t="s">
        <v>7604</v>
      </c>
      <c r="D9570" s="43">
        <v>9000</v>
      </c>
      <c r="E9570" s="43"/>
      <c r="F9570" s="48">
        <f t="shared" si="156"/>
        <v>96678</v>
      </c>
    </row>
    <row r="9571" spans="1:12" x14ac:dyDescent="0.3">
      <c r="A9571" s="45">
        <v>44370</v>
      </c>
      <c r="B9571" s="5" t="s">
        <v>5618</v>
      </c>
      <c r="C9571" s="5" t="s">
        <v>7605</v>
      </c>
      <c r="D9571" s="43">
        <v>10000</v>
      </c>
      <c r="E9571" s="43"/>
      <c r="F9571" s="48">
        <f t="shared" si="156"/>
        <v>86678</v>
      </c>
      <c r="K9571" s="93"/>
      <c r="L9571" s="248"/>
    </row>
    <row r="9572" spans="1:12" x14ac:dyDescent="0.3">
      <c r="A9572" s="45">
        <v>44370</v>
      </c>
      <c r="B9572" s="5" t="s">
        <v>7606</v>
      </c>
      <c r="C9572" s="5" t="s">
        <v>7607</v>
      </c>
      <c r="D9572" s="43">
        <v>1000</v>
      </c>
      <c r="E9572" s="43"/>
      <c r="F9572" s="48">
        <f t="shared" si="156"/>
        <v>85678</v>
      </c>
      <c r="H9572" s="52">
        <v>124000</v>
      </c>
      <c r="I9572" s="52">
        <f>H9572*25%</f>
        <v>31000</v>
      </c>
      <c r="J9572" s="52">
        <f>I9572+H9572</f>
        <v>155000</v>
      </c>
      <c r="K9572" s="93">
        <f>J9572*10%</f>
        <v>15500</v>
      </c>
      <c r="L9572" s="93">
        <f>K9572+J9572</f>
        <v>170500</v>
      </c>
    </row>
    <row r="9573" spans="1:12" x14ac:dyDescent="0.3">
      <c r="A9573" s="45">
        <v>44370</v>
      </c>
      <c r="B9573" s="5" t="s">
        <v>0</v>
      </c>
      <c r="C9573" s="5" t="s">
        <v>7608</v>
      </c>
      <c r="D9573" s="43">
        <v>40000</v>
      </c>
      <c r="E9573" s="43"/>
      <c r="F9573" s="48">
        <f t="shared" si="156"/>
        <v>45678</v>
      </c>
      <c r="H9573" s="52">
        <v>335000</v>
      </c>
      <c r="I9573" s="52">
        <f>H9573*25%</f>
        <v>83750</v>
      </c>
      <c r="J9573" s="52">
        <f>I9573+H9573</f>
        <v>418750</v>
      </c>
      <c r="K9573" s="93">
        <f>J9573*10%</f>
        <v>41875</v>
      </c>
      <c r="L9573" s="93">
        <f>K9573+J9573</f>
        <v>460625</v>
      </c>
    </row>
    <row r="9574" spans="1:12" x14ac:dyDescent="0.3">
      <c r="A9574" s="45">
        <v>44370</v>
      </c>
      <c r="B9574" s="5" t="s">
        <v>84</v>
      </c>
      <c r="C9574" s="5" t="s">
        <v>7609</v>
      </c>
      <c r="D9574" s="43">
        <v>5000</v>
      </c>
      <c r="E9574" s="43"/>
      <c r="F9574" s="48">
        <f>F9573+E9574-D9574</f>
        <v>40678</v>
      </c>
    </row>
    <row r="9575" spans="1:12" x14ac:dyDescent="0.3">
      <c r="A9575" s="45">
        <v>44370</v>
      </c>
      <c r="B9575" s="5" t="s">
        <v>18</v>
      </c>
      <c r="C9575" s="5" t="s">
        <v>985</v>
      </c>
      <c r="D9575" s="43">
        <v>5000</v>
      </c>
      <c r="E9575" s="43"/>
      <c r="F9575" s="48">
        <f t="shared" ref="F9575:F9638" si="157">F9574+E9575-D9575</f>
        <v>35678</v>
      </c>
    </row>
    <row r="9576" spans="1:12" x14ac:dyDescent="0.3">
      <c r="A9576" s="45">
        <v>44370</v>
      </c>
      <c r="B9576" s="5" t="s">
        <v>4055</v>
      </c>
      <c r="C9576" s="5" t="s">
        <v>985</v>
      </c>
      <c r="D9576" s="43">
        <v>5000</v>
      </c>
      <c r="E9576" s="43"/>
      <c r="F9576" s="48">
        <f t="shared" si="157"/>
        <v>30678</v>
      </c>
    </row>
    <row r="9577" spans="1:12" x14ac:dyDescent="0.3">
      <c r="A9577" s="45">
        <v>44371</v>
      </c>
      <c r="B9577" s="5" t="s">
        <v>4550</v>
      </c>
      <c r="C9577" s="5" t="s">
        <v>294</v>
      </c>
      <c r="D9577" s="43">
        <v>10000</v>
      </c>
      <c r="E9577" s="43"/>
      <c r="F9577" s="48">
        <f t="shared" si="157"/>
        <v>20678</v>
      </c>
    </row>
    <row r="9578" spans="1:12" ht="37.5" x14ac:dyDescent="0.3">
      <c r="A9578" s="45">
        <v>44371</v>
      </c>
      <c r="B9578" s="5" t="s">
        <v>6341</v>
      </c>
      <c r="C9578" s="92" t="s">
        <v>7610</v>
      </c>
      <c r="D9578" s="43">
        <v>7000</v>
      </c>
      <c r="E9578" s="43"/>
      <c r="F9578" s="48">
        <f t="shared" si="157"/>
        <v>13678</v>
      </c>
    </row>
    <row r="9579" spans="1:12" x14ac:dyDescent="0.3">
      <c r="A9579" s="45">
        <v>44371</v>
      </c>
      <c r="B9579" s="739" t="s">
        <v>7048</v>
      </c>
      <c r="C9579" s="739"/>
      <c r="D9579" s="739"/>
      <c r="E9579" s="43">
        <v>150000</v>
      </c>
      <c r="F9579" s="48">
        <f t="shared" si="157"/>
        <v>163678</v>
      </c>
      <c r="L9579" s="93"/>
    </row>
    <row r="9580" spans="1:12" x14ac:dyDescent="0.3">
      <c r="A9580" s="45">
        <v>44371</v>
      </c>
      <c r="B9580" s="5" t="s">
        <v>6341</v>
      </c>
      <c r="C9580" s="5" t="s">
        <v>6900</v>
      </c>
      <c r="D9580" s="43">
        <v>35000</v>
      </c>
      <c r="E9580" s="43"/>
      <c r="F9580" s="48">
        <f t="shared" si="157"/>
        <v>128678</v>
      </c>
    </row>
    <row r="9581" spans="1:12" x14ac:dyDescent="0.3">
      <c r="A9581" s="45">
        <v>44371</v>
      </c>
      <c r="B9581" s="5" t="s">
        <v>1074</v>
      </c>
      <c r="C9581" s="5" t="s">
        <v>7614</v>
      </c>
      <c r="D9581" s="43">
        <f>380+23219</f>
        <v>23599</v>
      </c>
      <c r="E9581" s="43"/>
      <c r="F9581" s="48">
        <f t="shared" si="157"/>
        <v>105079</v>
      </c>
    </row>
    <row r="9582" spans="1:12" x14ac:dyDescent="0.3">
      <c r="A9582" s="45">
        <v>44371</v>
      </c>
      <c r="B9582" s="5" t="s">
        <v>1074</v>
      </c>
      <c r="C9582" s="5" t="s">
        <v>7615</v>
      </c>
      <c r="D9582" s="43">
        <f>50+17878+33484</f>
        <v>51412</v>
      </c>
      <c r="E9582" s="43"/>
      <c r="F9582" s="48">
        <f t="shared" si="157"/>
        <v>53667</v>
      </c>
    </row>
    <row r="9583" spans="1:12" x14ac:dyDescent="0.3">
      <c r="A9583" s="45">
        <v>44371</v>
      </c>
      <c r="B9583" s="5" t="s">
        <v>0</v>
      </c>
      <c r="C9583" s="5" t="s">
        <v>294</v>
      </c>
      <c r="D9583" s="43">
        <v>15000</v>
      </c>
      <c r="E9583" s="43"/>
      <c r="F9583" s="48">
        <f t="shared" si="157"/>
        <v>38667</v>
      </c>
    </row>
    <row r="9584" spans="1:12" x14ac:dyDescent="0.3">
      <c r="A9584" s="45">
        <v>44371</v>
      </c>
      <c r="B9584" s="5" t="s">
        <v>7099</v>
      </c>
      <c r="C9584" s="5" t="s">
        <v>294</v>
      </c>
      <c r="D9584" s="43">
        <v>3300</v>
      </c>
      <c r="E9584" s="43"/>
      <c r="F9584" s="48">
        <f t="shared" si="157"/>
        <v>35367</v>
      </c>
    </row>
    <row r="9585" spans="1:12" x14ac:dyDescent="0.3">
      <c r="A9585" s="45">
        <v>44371</v>
      </c>
      <c r="B9585" s="5" t="s">
        <v>7606</v>
      </c>
      <c r="C9585" s="5" t="s">
        <v>294</v>
      </c>
      <c r="D9585" s="43">
        <v>5000</v>
      </c>
      <c r="E9585" s="43"/>
      <c r="F9585" s="48">
        <f t="shared" si="157"/>
        <v>30367</v>
      </c>
    </row>
    <row r="9586" spans="1:12" x14ac:dyDescent="0.3">
      <c r="A9586" s="45">
        <v>44371</v>
      </c>
      <c r="B9586" s="5" t="s">
        <v>7099</v>
      </c>
      <c r="C9586" s="5" t="s">
        <v>7616</v>
      </c>
      <c r="D9586" s="43">
        <v>580</v>
      </c>
      <c r="E9586" s="43"/>
      <c r="F9586" s="48">
        <f t="shared" si="157"/>
        <v>29787</v>
      </c>
    </row>
    <row r="9587" spans="1:12" x14ac:dyDescent="0.3">
      <c r="A9587" s="45">
        <v>44371</v>
      </c>
      <c r="B9587" s="739" t="s">
        <v>7617</v>
      </c>
      <c r="C9587" s="739"/>
      <c r="D9587" s="739"/>
      <c r="E9587" s="43">
        <v>750</v>
      </c>
      <c r="F9587" s="48">
        <f t="shared" si="157"/>
        <v>30537</v>
      </c>
      <c r="L9587" s="93"/>
    </row>
    <row r="9588" spans="1:12" x14ac:dyDescent="0.3">
      <c r="A9588" s="45">
        <v>44371</v>
      </c>
      <c r="B9588" s="5" t="s">
        <v>25</v>
      </c>
      <c r="C9588" s="5" t="s">
        <v>7618</v>
      </c>
      <c r="D9588" s="43">
        <v>350</v>
      </c>
      <c r="E9588" s="43"/>
      <c r="F9588" s="48">
        <f t="shared" si="157"/>
        <v>30187</v>
      </c>
      <c r="I9588" s="52">
        <f>I9586-I9587</f>
        <v>0</v>
      </c>
    </row>
    <row r="9589" spans="1:12" x14ac:dyDescent="0.3">
      <c r="A9589" s="45">
        <v>44371</v>
      </c>
      <c r="B9589" s="5" t="s">
        <v>84</v>
      </c>
      <c r="C9589" s="41" t="s">
        <v>45</v>
      </c>
      <c r="D9589" s="42">
        <v>1000</v>
      </c>
      <c r="E9589" s="43"/>
      <c r="F9589" s="48">
        <f t="shared" si="157"/>
        <v>29187</v>
      </c>
      <c r="I9589" s="52">
        <f>I9588*7.5%</f>
        <v>0</v>
      </c>
    </row>
    <row r="9590" spans="1:12" x14ac:dyDescent="0.3">
      <c r="A9590" s="45">
        <v>44372</v>
      </c>
      <c r="B9590" s="5" t="s">
        <v>14</v>
      </c>
      <c r="C9590" s="5" t="s">
        <v>294</v>
      </c>
      <c r="D9590" s="43">
        <v>5000</v>
      </c>
      <c r="E9590" s="43"/>
      <c r="F9590" s="48">
        <f t="shared" si="157"/>
        <v>24187</v>
      </c>
      <c r="I9590" s="52">
        <f>I9588-I9589</f>
        <v>0</v>
      </c>
    </row>
    <row r="9591" spans="1:12" x14ac:dyDescent="0.3">
      <c r="A9591" s="45">
        <v>44372</v>
      </c>
      <c r="B9591" s="739" t="s">
        <v>7048</v>
      </c>
      <c r="C9591" s="739"/>
      <c r="D9591" s="739"/>
      <c r="E9591" s="43">
        <v>100000</v>
      </c>
      <c r="F9591" s="48">
        <f t="shared" si="157"/>
        <v>124187</v>
      </c>
      <c r="L9591" s="93"/>
    </row>
    <row r="9592" spans="1:12" x14ac:dyDescent="0.3">
      <c r="A9592" s="45">
        <v>44372</v>
      </c>
      <c r="B9592" s="5" t="s">
        <v>6221</v>
      </c>
      <c r="C9592" s="5" t="s">
        <v>5508</v>
      </c>
      <c r="D9592" s="43">
        <v>55600</v>
      </c>
      <c r="E9592" s="43"/>
      <c r="F9592" s="48">
        <f t="shared" si="157"/>
        <v>68587</v>
      </c>
      <c r="I9592" s="52">
        <f>I9590-I9591</f>
        <v>0</v>
      </c>
    </row>
    <row r="9593" spans="1:12" x14ac:dyDescent="0.3">
      <c r="A9593" s="45">
        <v>44372</v>
      </c>
      <c r="B9593" s="5" t="s">
        <v>5156</v>
      </c>
      <c r="C9593" s="5" t="s">
        <v>7619</v>
      </c>
      <c r="D9593" s="43">
        <v>7880</v>
      </c>
      <c r="E9593" s="43"/>
      <c r="F9593" s="48">
        <f t="shared" si="157"/>
        <v>60707</v>
      </c>
    </row>
    <row r="9594" spans="1:12" x14ac:dyDescent="0.3">
      <c r="A9594" s="45">
        <v>44372</v>
      </c>
      <c r="B9594" s="5" t="s">
        <v>7606</v>
      </c>
      <c r="C9594" s="5" t="s">
        <v>294</v>
      </c>
      <c r="D9594" s="43">
        <v>5000</v>
      </c>
      <c r="E9594" s="43"/>
      <c r="F9594" s="48">
        <f t="shared" si="157"/>
        <v>55707</v>
      </c>
    </row>
    <row r="9595" spans="1:12" x14ac:dyDescent="0.3">
      <c r="A9595" s="45">
        <v>44373</v>
      </c>
      <c r="B9595" s="5" t="s">
        <v>57</v>
      </c>
      <c r="C9595" s="5" t="s">
        <v>7623</v>
      </c>
      <c r="D9595" s="43">
        <v>20000</v>
      </c>
      <c r="E9595" s="43"/>
      <c r="F9595" s="48">
        <f t="shared" si="157"/>
        <v>35707</v>
      </c>
      <c r="J9595" s="52">
        <v>102704</v>
      </c>
    </row>
    <row r="9596" spans="1:12" x14ac:dyDescent="0.3">
      <c r="A9596" s="45">
        <v>44373</v>
      </c>
      <c r="B9596" s="5" t="s">
        <v>4550</v>
      </c>
      <c r="C9596" s="5" t="s">
        <v>294</v>
      </c>
      <c r="D9596" s="43">
        <v>20000</v>
      </c>
      <c r="E9596" s="43"/>
      <c r="F9596" s="48">
        <f t="shared" si="157"/>
        <v>15707</v>
      </c>
      <c r="J9596" s="52">
        <v>54313</v>
      </c>
    </row>
    <row r="9597" spans="1:12" x14ac:dyDescent="0.3">
      <c r="A9597" s="45">
        <v>44373</v>
      </c>
      <c r="B9597" s="5" t="s">
        <v>1616</v>
      </c>
      <c r="C9597" s="5" t="s">
        <v>7002</v>
      </c>
      <c r="D9597" s="43">
        <v>600</v>
      </c>
      <c r="E9597" s="43"/>
      <c r="F9597" s="48">
        <f t="shared" si="157"/>
        <v>15107</v>
      </c>
      <c r="J9597" s="52">
        <v>50642</v>
      </c>
    </row>
    <row r="9598" spans="1:12" x14ac:dyDescent="0.3">
      <c r="A9598" s="45">
        <v>44373</v>
      </c>
      <c r="B9598" s="739" t="s">
        <v>7440</v>
      </c>
      <c r="C9598" s="739"/>
      <c r="D9598" s="739"/>
      <c r="E9598" s="43">
        <v>260000</v>
      </c>
      <c r="F9598" s="48">
        <f t="shared" si="157"/>
        <v>275107</v>
      </c>
      <c r="J9598" s="52">
        <v>45249</v>
      </c>
      <c r="L9598" s="93"/>
    </row>
    <row r="9599" spans="1:12" x14ac:dyDescent="0.3">
      <c r="A9599" s="45">
        <v>44373</v>
      </c>
      <c r="B9599" s="41" t="s">
        <v>7624</v>
      </c>
      <c r="C9599" s="41" t="s">
        <v>7625</v>
      </c>
      <c r="D9599" s="42">
        <v>232000</v>
      </c>
      <c r="E9599" s="43"/>
      <c r="F9599" s="48">
        <f t="shared" si="157"/>
        <v>43107</v>
      </c>
      <c r="H9599" s="52" t="s">
        <v>7627</v>
      </c>
      <c r="J9599" s="52">
        <f>SUM(J9595:J9598)</f>
        <v>252908</v>
      </c>
    </row>
    <row r="9600" spans="1:12" x14ac:dyDescent="0.3">
      <c r="A9600" s="45">
        <v>44373</v>
      </c>
      <c r="B9600" s="5" t="s">
        <v>84</v>
      </c>
      <c r="C9600" s="5" t="s">
        <v>7626</v>
      </c>
      <c r="D9600" s="43">
        <v>2000</v>
      </c>
      <c r="E9600" s="43"/>
      <c r="F9600" s="48">
        <f t="shared" si="157"/>
        <v>41107</v>
      </c>
    </row>
    <row r="9601" spans="1:12" x14ac:dyDescent="0.3">
      <c r="A9601" s="45">
        <v>44373</v>
      </c>
      <c r="B9601" s="5" t="s">
        <v>25</v>
      </c>
      <c r="C9601" s="5" t="s">
        <v>64</v>
      </c>
      <c r="D9601" s="43">
        <v>1000</v>
      </c>
      <c r="E9601" s="43"/>
      <c r="F9601" s="48">
        <f t="shared" si="157"/>
        <v>40107</v>
      </c>
    </row>
    <row r="9602" spans="1:12" x14ac:dyDescent="0.3">
      <c r="A9602" s="45">
        <v>44373</v>
      </c>
      <c r="B9602" s="5" t="s">
        <v>84</v>
      </c>
      <c r="C9602" s="5" t="s">
        <v>7643</v>
      </c>
      <c r="D9602" s="43">
        <v>15000</v>
      </c>
      <c r="E9602" s="43"/>
      <c r="F9602" s="48">
        <f t="shared" si="157"/>
        <v>25107</v>
      </c>
    </row>
    <row r="9603" spans="1:12" x14ac:dyDescent="0.3">
      <c r="A9603" s="45">
        <v>44373</v>
      </c>
      <c r="B9603" s="5" t="s">
        <v>7546</v>
      </c>
      <c r="C9603" s="5" t="s">
        <v>3557</v>
      </c>
      <c r="D9603" s="43">
        <v>10000</v>
      </c>
      <c r="E9603" s="43"/>
      <c r="F9603" s="48">
        <f t="shared" si="157"/>
        <v>15107</v>
      </c>
      <c r="I9603" s="52">
        <f>I9602*10%</f>
        <v>0</v>
      </c>
    </row>
    <row r="9604" spans="1:12" x14ac:dyDescent="0.3">
      <c r="A9604" s="45">
        <v>44373</v>
      </c>
      <c r="B9604" s="5" t="s">
        <v>7606</v>
      </c>
      <c r="C9604" s="5" t="s">
        <v>7644</v>
      </c>
      <c r="D9604" s="43">
        <v>5000</v>
      </c>
      <c r="E9604" s="43"/>
      <c r="F9604" s="48">
        <f t="shared" si="157"/>
        <v>10107</v>
      </c>
      <c r="I9604" s="52">
        <f>I9602-I9603</f>
        <v>0</v>
      </c>
    </row>
    <row r="9605" spans="1:12" x14ac:dyDescent="0.3">
      <c r="A9605" s="45">
        <v>44375</v>
      </c>
      <c r="B9605" s="5" t="s">
        <v>5793</v>
      </c>
      <c r="C9605" s="5" t="s">
        <v>7645</v>
      </c>
      <c r="D9605" s="43">
        <v>300</v>
      </c>
      <c r="E9605" s="43"/>
      <c r="F9605" s="48">
        <f t="shared" si="157"/>
        <v>9807</v>
      </c>
      <c r="I9605" s="52">
        <v>14762</v>
      </c>
    </row>
    <row r="9606" spans="1:12" x14ac:dyDescent="0.3">
      <c r="A9606" s="45">
        <v>44375</v>
      </c>
      <c r="B9606" s="739" t="s">
        <v>7440</v>
      </c>
      <c r="C9606" s="739"/>
      <c r="D9606" s="739"/>
      <c r="E9606" s="43">
        <v>100000</v>
      </c>
      <c r="F9606" s="48">
        <f t="shared" si="157"/>
        <v>109807</v>
      </c>
      <c r="J9606" s="52">
        <v>45249</v>
      </c>
      <c r="L9606" s="93"/>
    </row>
    <row r="9607" spans="1:12" x14ac:dyDescent="0.3">
      <c r="A9607" s="45">
        <v>44375</v>
      </c>
      <c r="B9607" s="5" t="s">
        <v>0</v>
      </c>
      <c r="C9607" s="5" t="s">
        <v>294</v>
      </c>
      <c r="D9607" s="43">
        <v>9000</v>
      </c>
      <c r="E9607" s="43"/>
      <c r="F9607" s="48">
        <f t="shared" si="157"/>
        <v>100807</v>
      </c>
      <c r="I9607" s="52">
        <f>I9606+I9605+I9604</f>
        <v>14762</v>
      </c>
    </row>
    <row r="9608" spans="1:12" x14ac:dyDescent="0.3">
      <c r="A9608" s="45">
        <v>44375</v>
      </c>
      <c r="B9608" s="5" t="s">
        <v>7648</v>
      </c>
      <c r="C9608" s="5" t="s">
        <v>7649</v>
      </c>
      <c r="D9608" s="43">
        <v>20000</v>
      </c>
      <c r="E9608" s="43"/>
      <c r="F9608" s="48">
        <f t="shared" si="157"/>
        <v>80807</v>
      </c>
      <c r="G9608" s="52">
        <v>55000</v>
      </c>
    </row>
    <row r="9609" spans="1:12" x14ac:dyDescent="0.3">
      <c r="A9609" s="45">
        <v>44375</v>
      </c>
      <c r="B9609" s="739" t="s">
        <v>7650</v>
      </c>
      <c r="C9609" s="739"/>
      <c r="D9609" s="739"/>
      <c r="E9609" s="43">
        <v>45000</v>
      </c>
      <c r="F9609" s="48">
        <f t="shared" si="157"/>
        <v>125807</v>
      </c>
      <c r="J9609" s="52">
        <v>45249</v>
      </c>
      <c r="L9609" s="93"/>
    </row>
    <row r="9610" spans="1:12" x14ac:dyDescent="0.3">
      <c r="A9610" s="45">
        <v>44375</v>
      </c>
      <c r="B9610" s="5" t="s">
        <v>7254</v>
      </c>
      <c r="C9610" s="5" t="s">
        <v>7651</v>
      </c>
      <c r="D9610" s="43">
        <v>30000</v>
      </c>
      <c r="E9610" s="43"/>
      <c r="F9610" s="48">
        <f t="shared" si="157"/>
        <v>95807</v>
      </c>
    </row>
    <row r="9611" spans="1:12" x14ac:dyDescent="0.3">
      <c r="A9611" s="45">
        <v>44375</v>
      </c>
      <c r="B9611" s="5" t="s">
        <v>6877</v>
      </c>
      <c r="C9611" s="5" t="s">
        <v>7652</v>
      </c>
      <c r="D9611" s="43">
        <v>7000</v>
      </c>
      <c r="E9611" s="43"/>
      <c r="F9611" s="48">
        <f t="shared" si="157"/>
        <v>88807</v>
      </c>
    </row>
    <row r="9612" spans="1:12" x14ac:dyDescent="0.3">
      <c r="A9612" s="45">
        <v>44375</v>
      </c>
      <c r="B9612" s="5" t="s">
        <v>6959</v>
      </c>
      <c r="C9612" s="5" t="s">
        <v>7653</v>
      </c>
      <c r="D9612" s="43">
        <v>120</v>
      </c>
      <c r="E9612" s="43"/>
      <c r="F9612" s="48">
        <f t="shared" si="157"/>
        <v>88687</v>
      </c>
    </row>
    <row r="9613" spans="1:12" x14ac:dyDescent="0.3">
      <c r="A9613" s="45">
        <v>44375</v>
      </c>
      <c r="B9613" s="5" t="s">
        <v>6959</v>
      </c>
      <c r="C9613" s="5" t="s">
        <v>7654</v>
      </c>
      <c r="D9613" s="43">
        <v>80</v>
      </c>
      <c r="E9613" s="43"/>
      <c r="F9613" s="48">
        <f t="shared" si="157"/>
        <v>88607</v>
      </c>
      <c r="H9613" s="52">
        <v>7334243</v>
      </c>
    </row>
    <row r="9614" spans="1:12" x14ac:dyDescent="0.3">
      <c r="A9614" s="45">
        <v>44375</v>
      </c>
      <c r="B9614" s="5" t="s">
        <v>110</v>
      </c>
      <c r="C9614" s="5" t="s">
        <v>3172</v>
      </c>
      <c r="D9614" s="43">
        <f>22720+500</f>
        <v>23220</v>
      </c>
      <c r="E9614" s="43"/>
      <c r="F9614" s="48">
        <f t="shared" si="157"/>
        <v>65387</v>
      </c>
      <c r="H9614" s="52">
        <v>184922</v>
      </c>
    </row>
    <row r="9615" spans="1:12" x14ac:dyDescent="0.3">
      <c r="A9615" s="45">
        <v>44375</v>
      </c>
      <c r="B9615" s="5" t="s">
        <v>3559</v>
      </c>
      <c r="C9615" s="5" t="s">
        <v>7655</v>
      </c>
      <c r="D9615" s="43">
        <v>650</v>
      </c>
      <c r="E9615" s="43"/>
      <c r="F9615" s="48">
        <f t="shared" si="157"/>
        <v>64737</v>
      </c>
      <c r="H9615" s="52">
        <f>H9613-H9614</f>
        <v>7149321</v>
      </c>
    </row>
    <row r="9616" spans="1:12" x14ac:dyDescent="0.3">
      <c r="A9616" s="45">
        <v>44375</v>
      </c>
      <c r="B9616" s="5" t="s">
        <v>84</v>
      </c>
      <c r="C9616" s="5" t="s">
        <v>7656</v>
      </c>
      <c r="D9616" s="43">
        <v>3000</v>
      </c>
      <c r="E9616" s="43"/>
      <c r="F9616" s="48">
        <f t="shared" si="157"/>
        <v>61737</v>
      </c>
      <c r="H9616" s="52">
        <f>H9615*7.5%</f>
        <v>536199.07499999995</v>
      </c>
      <c r="I9616" s="52" t="s">
        <v>7646</v>
      </c>
    </row>
    <row r="9617" spans="1:12" x14ac:dyDescent="0.3">
      <c r="A9617" s="45">
        <v>44376</v>
      </c>
      <c r="B9617" s="5" t="s">
        <v>541</v>
      </c>
      <c r="C9617" s="5" t="s">
        <v>294</v>
      </c>
      <c r="D9617" s="43">
        <v>10000</v>
      </c>
      <c r="E9617" s="43"/>
      <c r="F9617" s="48">
        <f t="shared" si="157"/>
        <v>51737</v>
      </c>
      <c r="H9617" s="52">
        <f>H9615-H9616</f>
        <v>6613121.9249999998</v>
      </c>
    </row>
    <row r="9618" spans="1:12" x14ac:dyDescent="0.3">
      <c r="A9618" s="45">
        <v>44377</v>
      </c>
      <c r="B9618" s="5" t="s">
        <v>4550</v>
      </c>
      <c r="C9618" s="5" t="s">
        <v>294</v>
      </c>
      <c r="D9618" s="43">
        <v>30000</v>
      </c>
      <c r="E9618" s="43"/>
      <c r="F9618" s="48">
        <f t="shared" si="157"/>
        <v>21737</v>
      </c>
      <c r="H9618" s="52">
        <f>H9615*8%</f>
        <v>571945.68000000005</v>
      </c>
      <c r="I9618" s="52" t="s">
        <v>7647</v>
      </c>
    </row>
    <row r="9619" spans="1:12" x14ac:dyDescent="0.3">
      <c r="A9619" s="45">
        <v>44377</v>
      </c>
      <c r="B9619" s="5" t="s">
        <v>25</v>
      </c>
      <c r="C9619" s="5" t="s">
        <v>4276</v>
      </c>
      <c r="D9619" s="43">
        <v>7239</v>
      </c>
      <c r="E9619" s="43"/>
      <c r="F9619" s="48">
        <f t="shared" si="157"/>
        <v>14498</v>
      </c>
      <c r="H9619" s="52">
        <f>H9617-H9618</f>
        <v>6041176.2450000001</v>
      </c>
    </row>
    <row r="9620" spans="1:12" x14ac:dyDescent="0.3">
      <c r="A9620" s="45">
        <v>44377</v>
      </c>
      <c r="B9620" s="739" t="s">
        <v>861</v>
      </c>
      <c r="C9620" s="739"/>
      <c r="D9620" s="739"/>
      <c r="E9620" s="43">
        <v>279000</v>
      </c>
      <c r="F9620" s="48">
        <f t="shared" si="157"/>
        <v>293498</v>
      </c>
      <c r="J9620" s="52">
        <v>45249</v>
      </c>
      <c r="L9620" s="93"/>
    </row>
    <row r="9621" spans="1:12" x14ac:dyDescent="0.3">
      <c r="A9621" s="45">
        <v>44377</v>
      </c>
      <c r="B9621" s="5" t="s">
        <v>6430</v>
      </c>
      <c r="C9621" s="5" t="s">
        <v>7657</v>
      </c>
      <c r="D9621" s="43">
        <v>3000</v>
      </c>
      <c r="E9621" s="43"/>
      <c r="F9621" s="48">
        <f t="shared" si="157"/>
        <v>290498</v>
      </c>
      <c r="H9621" s="52">
        <f>H9619-H9620</f>
        <v>6041176.2450000001</v>
      </c>
    </row>
    <row r="9622" spans="1:12" x14ac:dyDescent="0.3">
      <c r="A9622" s="45">
        <v>44377</v>
      </c>
      <c r="B9622" s="5" t="s">
        <v>6430</v>
      </c>
      <c r="C9622" s="5" t="s">
        <v>7658</v>
      </c>
      <c r="D9622" s="43">
        <v>600</v>
      </c>
      <c r="E9622" s="43"/>
      <c r="F9622" s="48">
        <f t="shared" si="157"/>
        <v>289898</v>
      </c>
    </row>
    <row r="9623" spans="1:12" x14ac:dyDescent="0.3">
      <c r="A9623" s="45">
        <v>44377</v>
      </c>
      <c r="B9623" s="5" t="s">
        <v>4055</v>
      </c>
      <c r="C9623" s="5" t="s">
        <v>7659</v>
      </c>
      <c r="D9623" s="43">
        <v>10500</v>
      </c>
      <c r="E9623" s="43"/>
      <c r="F9623" s="48">
        <f t="shared" si="157"/>
        <v>279398</v>
      </c>
    </row>
    <row r="9624" spans="1:12" x14ac:dyDescent="0.3">
      <c r="A9624" s="45">
        <v>44377</v>
      </c>
      <c r="B9624" s="5" t="s">
        <v>4055</v>
      </c>
      <c r="C9624" s="5" t="s">
        <v>7660</v>
      </c>
      <c r="D9624" s="43">
        <v>5000</v>
      </c>
      <c r="E9624" s="43"/>
      <c r="F9624" s="48">
        <f t="shared" si="157"/>
        <v>274398</v>
      </c>
    </row>
    <row r="9625" spans="1:12" x14ac:dyDescent="0.3">
      <c r="A9625" s="45">
        <v>44378</v>
      </c>
      <c r="B9625" s="5" t="s">
        <v>5618</v>
      </c>
      <c r="C9625" s="5" t="s">
        <v>7661</v>
      </c>
      <c r="D9625" s="43">
        <v>20000</v>
      </c>
      <c r="E9625" s="43"/>
      <c r="F9625" s="48">
        <f t="shared" si="157"/>
        <v>254398</v>
      </c>
    </row>
    <row r="9626" spans="1:12" x14ac:dyDescent="0.3">
      <c r="A9626" s="45">
        <v>44378</v>
      </c>
      <c r="B9626" s="5" t="s">
        <v>5793</v>
      </c>
      <c r="C9626" s="5" t="s">
        <v>7662</v>
      </c>
      <c r="D9626" s="43">
        <v>1500</v>
      </c>
      <c r="E9626" s="43"/>
      <c r="F9626" s="48">
        <f t="shared" si="157"/>
        <v>252898</v>
      </c>
    </row>
    <row r="9627" spans="1:12" x14ac:dyDescent="0.3">
      <c r="A9627" s="45">
        <v>44378</v>
      </c>
      <c r="B9627" s="5" t="s">
        <v>7606</v>
      </c>
      <c r="C9627" s="5" t="s">
        <v>294</v>
      </c>
      <c r="D9627" s="43">
        <v>1000</v>
      </c>
      <c r="E9627" s="43"/>
      <c r="F9627" s="48">
        <f t="shared" si="157"/>
        <v>251898</v>
      </c>
    </row>
    <row r="9628" spans="1:12" x14ac:dyDescent="0.3">
      <c r="A9628" s="45">
        <v>44378</v>
      </c>
      <c r="B9628" s="5" t="s">
        <v>6430</v>
      </c>
      <c r="C9628" s="5" t="s">
        <v>3183</v>
      </c>
      <c r="D9628" s="43">
        <v>10000</v>
      </c>
      <c r="E9628" s="43"/>
      <c r="F9628" s="48">
        <f t="shared" si="157"/>
        <v>241898</v>
      </c>
    </row>
    <row r="9629" spans="1:12" x14ac:dyDescent="0.3">
      <c r="A9629" s="45">
        <v>44378</v>
      </c>
      <c r="B9629" s="5" t="s">
        <v>0</v>
      </c>
      <c r="C9629" s="5" t="s">
        <v>583</v>
      </c>
      <c r="D9629" s="43">
        <v>5000</v>
      </c>
      <c r="E9629" s="43"/>
      <c r="F9629" s="48">
        <f t="shared" si="157"/>
        <v>236898</v>
      </c>
    </row>
    <row r="9630" spans="1:12" x14ac:dyDescent="0.3">
      <c r="A9630" s="45">
        <v>44378</v>
      </c>
      <c r="B9630" s="5" t="s">
        <v>7663</v>
      </c>
      <c r="C9630" s="5" t="s">
        <v>7664</v>
      </c>
      <c r="D9630" s="43">
        <v>36950</v>
      </c>
      <c r="E9630" s="43"/>
      <c r="F9630" s="48">
        <f t="shared" si="157"/>
        <v>199948</v>
      </c>
    </row>
    <row r="9631" spans="1:12" x14ac:dyDescent="0.3">
      <c r="A9631" s="45">
        <v>44378</v>
      </c>
      <c r="B9631" s="5" t="s">
        <v>25</v>
      </c>
      <c r="C9631" s="5" t="s">
        <v>7665</v>
      </c>
      <c r="D9631" s="43">
        <v>2750</v>
      </c>
      <c r="E9631" s="43"/>
      <c r="F9631" s="48">
        <f t="shared" si="157"/>
        <v>197198</v>
      </c>
    </row>
    <row r="9632" spans="1:12" x14ac:dyDescent="0.3">
      <c r="A9632" s="45">
        <v>44378</v>
      </c>
      <c r="B9632" s="5" t="s">
        <v>84</v>
      </c>
      <c r="C9632" s="5" t="s">
        <v>7666</v>
      </c>
      <c r="D9632" s="43">
        <v>1000</v>
      </c>
      <c r="E9632" s="43"/>
      <c r="F9632" s="48">
        <f t="shared" si="157"/>
        <v>196198</v>
      </c>
    </row>
    <row r="9633" spans="1:8" x14ac:dyDescent="0.3">
      <c r="A9633" s="45">
        <v>44378</v>
      </c>
      <c r="B9633" s="5" t="s">
        <v>84</v>
      </c>
      <c r="C9633" s="5" t="s">
        <v>7667</v>
      </c>
      <c r="D9633" s="43">
        <v>1000</v>
      </c>
      <c r="E9633" s="43"/>
      <c r="F9633" s="48">
        <f t="shared" si="157"/>
        <v>195198</v>
      </c>
      <c r="H9633" s="52">
        <v>1401738</v>
      </c>
    </row>
    <row r="9634" spans="1:8" x14ac:dyDescent="0.3">
      <c r="A9634" s="45">
        <v>44379</v>
      </c>
      <c r="B9634" s="5" t="s">
        <v>68</v>
      </c>
      <c r="C9634" s="5" t="s">
        <v>7668</v>
      </c>
      <c r="D9634" s="43">
        <v>4000</v>
      </c>
      <c r="E9634" s="43"/>
      <c r="F9634" s="48">
        <f t="shared" si="157"/>
        <v>191198</v>
      </c>
      <c r="H9634" s="52">
        <f>H9633*13%</f>
        <v>182225.94</v>
      </c>
    </row>
    <row r="9635" spans="1:8" x14ac:dyDescent="0.3">
      <c r="A9635" s="45">
        <v>44379</v>
      </c>
      <c r="B9635" s="5" t="s">
        <v>25</v>
      </c>
      <c r="C9635" s="5" t="s">
        <v>7687</v>
      </c>
      <c r="D9635" s="43">
        <v>600</v>
      </c>
      <c r="E9635" s="43"/>
      <c r="F9635" s="48">
        <f t="shared" si="157"/>
        <v>190598</v>
      </c>
    </row>
    <row r="9636" spans="1:8" ht="37.5" x14ac:dyDescent="0.3">
      <c r="A9636" s="45">
        <v>44379</v>
      </c>
      <c r="B9636" s="5" t="s">
        <v>18</v>
      </c>
      <c r="C9636" s="92" t="s">
        <v>7682</v>
      </c>
      <c r="D9636" s="43">
        <v>6400</v>
      </c>
      <c r="E9636" s="43"/>
      <c r="F9636" s="48">
        <f t="shared" si="157"/>
        <v>184198</v>
      </c>
      <c r="H9636" s="52">
        <f>H9634+H9633</f>
        <v>1583963.94</v>
      </c>
    </row>
    <row r="9637" spans="1:8" x14ac:dyDescent="0.3">
      <c r="A9637" s="45">
        <v>44379</v>
      </c>
      <c r="B9637" s="5" t="s">
        <v>6430</v>
      </c>
      <c r="C9637" s="5" t="s">
        <v>7681</v>
      </c>
      <c r="D9637" s="43">
        <v>3000</v>
      </c>
      <c r="E9637" s="43"/>
      <c r="F9637" s="48">
        <f t="shared" si="157"/>
        <v>181198</v>
      </c>
      <c r="H9637" s="52">
        <f>H9636*3%</f>
        <v>47518.9182</v>
      </c>
    </row>
    <row r="9638" spans="1:8" x14ac:dyDescent="0.3">
      <c r="A9638" s="45">
        <v>44379</v>
      </c>
      <c r="B9638" s="5" t="s">
        <v>1616</v>
      </c>
      <c r="C9638" s="5" t="s">
        <v>640</v>
      </c>
      <c r="D9638" s="43">
        <v>1500</v>
      </c>
      <c r="E9638" s="43"/>
      <c r="F9638" s="48">
        <f t="shared" si="157"/>
        <v>179698</v>
      </c>
      <c r="H9638" s="52">
        <f>H9634*20%</f>
        <v>36445.188000000002</v>
      </c>
    </row>
    <row r="9639" spans="1:8" x14ac:dyDescent="0.3">
      <c r="A9639" s="45">
        <v>44379</v>
      </c>
      <c r="B9639" s="5" t="s">
        <v>14</v>
      </c>
      <c r="C9639" s="5" t="s">
        <v>7683</v>
      </c>
      <c r="D9639" s="43">
        <v>20000</v>
      </c>
      <c r="E9639" s="43"/>
      <c r="F9639" s="48">
        <f t="shared" ref="F9639:F9650" si="158">F9638+E9639-D9639</f>
        <v>159698</v>
      </c>
      <c r="H9639" s="52">
        <f>H9636-H9637-H9638</f>
        <v>1499999.8337999999</v>
      </c>
    </row>
    <row r="9640" spans="1:8" x14ac:dyDescent="0.3">
      <c r="A9640" s="45">
        <v>44379</v>
      </c>
      <c r="B9640" s="5" t="s">
        <v>57</v>
      </c>
      <c r="C9640" s="5" t="s">
        <v>7684</v>
      </c>
      <c r="D9640" s="43">
        <v>15000</v>
      </c>
      <c r="E9640" s="43"/>
      <c r="F9640" s="48">
        <f t="shared" si="158"/>
        <v>144698</v>
      </c>
    </row>
    <row r="9641" spans="1:8" x14ac:dyDescent="0.3">
      <c r="A9641" s="45">
        <v>44379</v>
      </c>
      <c r="B9641" s="5" t="s">
        <v>14</v>
      </c>
      <c r="C9641" s="5" t="s">
        <v>294</v>
      </c>
      <c r="D9641" s="43">
        <v>5000</v>
      </c>
      <c r="E9641" s="43"/>
      <c r="F9641" s="48">
        <f t="shared" si="158"/>
        <v>139698</v>
      </c>
    </row>
    <row r="9642" spans="1:8" x14ac:dyDescent="0.3">
      <c r="A9642" s="45">
        <v>44379</v>
      </c>
      <c r="B9642" s="5" t="s">
        <v>1512</v>
      </c>
      <c r="C9642" s="5" t="s">
        <v>7685</v>
      </c>
      <c r="D9642" s="43">
        <v>23600</v>
      </c>
      <c r="E9642" s="43"/>
      <c r="F9642" s="48">
        <f t="shared" si="158"/>
        <v>116098</v>
      </c>
    </row>
    <row r="9643" spans="1:8" x14ac:dyDescent="0.3">
      <c r="A9643" s="45">
        <v>44379</v>
      </c>
      <c r="B9643" s="5" t="s">
        <v>5793</v>
      </c>
      <c r="C9643" s="5" t="s">
        <v>7686</v>
      </c>
      <c r="D9643" s="43">
        <v>10000</v>
      </c>
      <c r="E9643" s="43"/>
      <c r="F9643" s="48">
        <f t="shared" si="158"/>
        <v>106098</v>
      </c>
    </row>
    <row r="9644" spans="1:8" x14ac:dyDescent="0.3">
      <c r="A9644" s="45">
        <v>44379</v>
      </c>
      <c r="B9644" s="5" t="s">
        <v>5156</v>
      </c>
      <c r="C9644" s="5" t="s">
        <v>7688</v>
      </c>
      <c r="D9644" s="43">
        <v>1350</v>
      </c>
      <c r="E9644" s="43"/>
      <c r="F9644" s="48">
        <f t="shared" si="158"/>
        <v>104748</v>
      </c>
    </row>
    <row r="9645" spans="1:8" x14ac:dyDescent="0.3">
      <c r="A9645" s="45">
        <v>44380</v>
      </c>
      <c r="B9645" s="5" t="s">
        <v>25</v>
      </c>
      <c r="C9645" s="5" t="s">
        <v>4276</v>
      </c>
      <c r="D9645" s="43">
        <v>6020</v>
      </c>
      <c r="E9645" s="43"/>
      <c r="F9645" s="48">
        <f t="shared" si="158"/>
        <v>98728</v>
      </c>
    </row>
    <row r="9646" spans="1:8" x14ac:dyDescent="0.3">
      <c r="A9646" s="45">
        <v>44380</v>
      </c>
      <c r="B9646" s="5" t="s">
        <v>68</v>
      </c>
      <c r="C9646" s="5" t="s">
        <v>4703</v>
      </c>
      <c r="D9646" s="43">
        <v>8000</v>
      </c>
      <c r="E9646" s="43"/>
      <c r="F9646" s="48">
        <f t="shared" si="158"/>
        <v>90728</v>
      </c>
    </row>
    <row r="9647" spans="1:8" x14ac:dyDescent="0.3">
      <c r="A9647" s="45">
        <v>44380</v>
      </c>
      <c r="B9647" s="5" t="s">
        <v>5793</v>
      </c>
      <c r="C9647" s="5" t="s">
        <v>7686</v>
      </c>
      <c r="D9647" s="43">
        <v>13000</v>
      </c>
      <c r="E9647" s="43"/>
      <c r="F9647" s="48">
        <f t="shared" si="158"/>
        <v>77728</v>
      </c>
      <c r="H9647" s="52">
        <f>100000-23000</f>
        <v>77000</v>
      </c>
    </row>
    <row r="9648" spans="1:8" x14ac:dyDescent="0.3">
      <c r="A9648" s="45">
        <v>44380</v>
      </c>
      <c r="B9648" s="5" t="s">
        <v>4550</v>
      </c>
      <c r="C9648" s="5" t="s">
        <v>7250</v>
      </c>
      <c r="D9648" s="43">
        <v>5000</v>
      </c>
      <c r="E9648" s="43"/>
      <c r="F9648" s="48">
        <f t="shared" si="158"/>
        <v>72728</v>
      </c>
    </row>
    <row r="9649" spans="1:12" x14ac:dyDescent="0.3">
      <c r="A9649" s="45">
        <v>44380</v>
      </c>
      <c r="B9649" s="5" t="s">
        <v>84</v>
      </c>
      <c r="C9649" s="5" t="s">
        <v>7689</v>
      </c>
      <c r="D9649" s="43">
        <v>1000</v>
      </c>
      <c r="E9649" s="43"/>
      <c r="F9649" s="48">
        <f t="shared" si="158"/>
        <v>71728</v>
      </c>
    </row>
    <row r="9650" spans="1:12" x14ac:dyDescent="0.3">
      <c r="A9650" s="45">
        <v>44380</v>
      </c>
      <c r="B9650" s="5" t="s">
        <v>7690</v>
      </c>
      <c r="C9650" s="5" t="s">
        <v>294</v>
      </c>
      <c r="D9650" s="43">
        <v>5000</v>
      </c>
      <c r="E9650" s="43"/>
      <c r="F9650" s="48">
        <f t="shared" si="158"/>
        <v>66728</v>
      </c>
    </row>
    <row r="9651" spans="1:12" x14ac:dyDescent="0.3">
      <c r="A9651" s="45">
        <v>44380</v>
      </c>
      <c r="B9651" s="5" t="s">
        <v>5793</v>
      </c>
      <c r="C9651" s="5" t="s">
        <v>7691</v>
      </c>
      <c r="D9651" s="43">
        <v>1000</v>
      </c>
      <c r="E9651" s="43"/>
      <c r="F9651" s="48">
        <f>F9650+E9651-D9651</f>
        <v>65728</v>
      </c>
    </row>
    <row r="9652" spans="1:12" x14ac:dyDescent="0.3">
      <c r="A9652" s="45">
        <v>44380</v>
      </c>
      <c r="B9652" s="5" t="s">
        <v>7692</v>
      </c>
      <c r="C9652" s="5" t="s">
        <v>7693</v>
      </c>
      <c r="D9652" s="43">
        <v>20000</v>
      </c>
      <c r="E9652" s="43"/>
      <c r="F9652" s="48">
        <f t="shared" ref="F9652:F9715" si="159">F9651+E9652-D9652</f>
        <v>45728</v>
      </c>
    </row>
    <row r="9653" spans="1:12" x14ac:dyDescent="0.3">
      <c r="A9653" s="45">
        <v>44380</v>
      </c>
      <c r="B9653" s="5" t="s">
        <v>6430</v>
      </c>
      <c r="C9653" s="5" t="s">
        <v>7694</v>
      </c>
      <c r="D9653" s="43">
        <v>650</v>
      </c>
      <c r="E9653" s="43"/>
      <c r="F9653" s="48">
        <f t="shared" si="159"/>
        <v>45078</v>
      </c>
    </row>
    <row r="9654" spans="1:12" x14ac:dyDescent="0.3">
      <c r="A9654" s="45">
        <v>44382</v>
      </c>
      <c r="B9654" s="5" t="s">
        <v>14</v>
      </c>
      <c r="C9654" s="5" t="s">
        <v>7697</v>
      </c>
      <c r="D9654" s="43">
        <v>16341</v>
      </c>
      <c r="E9654" s="43"/>
      <c r="F9654" s="48">
        <f t="shared" si="159"/>
        <v>28737</v>
      </c>
    </row>
    <row r="9655" spans="1:12" x14ac:dyDescent="0.3">
      <c r="A9655" s="45">
        <v>44382</v>
      </c>
      <c r="B9655" s="5" t="s">
        <v>25</v>
      </c>
      <c r="C9655" s="5" t="s">
        <v>7698</v>
      </c>
      <c r="D9655" s="43">
        <v>1000</v>
      </c>
      <c r="E9655" s="43"/>
      <c r="F9655" s="48">
        <f t="shared" si="159"/>
        <v>27737</v>
      </c>
    </row>
    <row r="9656" spans="1:12" x14ac:dyDescent="0.3">
      <c r="A9656" s="45">
        <v>44382</v>
      </c>
      <c r="B9656" s="5" t="s">
        <v>14</v>
      </c>
      <c r="C9656" s="5" t="s">
        <v>7699</v>
      </c>
      <c r="D9656" s="43">
        <v>25000</v>
      </c>
      <c r="E9656" s="43"/>
      <c r="F9656" s="48">
        <f t="shared" si="159"/>
        <v>2737</v>
      </c>
    </row>
    <row r="9657" spans="1:12" x14ac:dyDescent="0.3">
      <c r="A9657" s="45">
        <v>44382</v>
      </c>
      <c r="B9657" s="739" t="s">
        <v>7440</v>
      </c>
      <c r="C9657" s="739"/>
      <c r="D9657" s="739"/>
      <c r="E9657" s="43">
        <v>400000</v>
      </c>
      <c r="F9657" s="48">
        <f t="shared" si="159"/>
        <v>402737</v>
      </c>
      <c r="J9657" s="52">
        <v>45249</v>
      </c>
      <c r="L9657" s="93"/>
    </row>
    <row r="9658" spans="1:12" x14ac:dyDescent="0.3">
      <c r="A9658" s="45">
        <v>44382</v>
      </c>
      <c r="B9658" s="39" t="s">
        <v>1512</v>
      </c>
      <c r="C9658" s="39" t="s">
        <v>6387</v>
      </c>
      <c r="D9658" s="43">
        <v>96125</v>
      </c>
      <c r="E9658" s="43"/>
      <c r="F9658" s="48">
        <f t="shared" si="159"/>
        <v>306612</v>
      </c>
      <c r="L9658" s="93"/>
    </row>
    <row r="9659" spans="1:12" x14ac:dyDescent="0.3">
      <c r="A9659" s="45">
        <v>44382</v>
      </c>
      <c r="B9659" s="39" t="s">
        <v>1512</v>
      </c>
      <c r="C9659" s="39" t="s">
        <v>7700</v>
      </c>
      <c r="D9659" s="43">
        <v>79450</v>
      </c>
      <c r="E9659" s="43"/>
      <c r="F9659" s="48">
        <f t="shared" si="159"/>
        <v>227162</v>
      </c>
    </row>
    <row r="9660" spans="1:12" x14ac:dyDescent="0.3">
      <c r="A9660" s="45">
        <v>44382</v>
      </c>
      <c r="B9660" s="39" t="s">
        <v>1512</v>
      </c>
      <c r="C9660" s="5" t="s">
        <v>7716</v>
      </c>
      <c r="D9660" s="43">
        <v>88100</v>
      </c>
      <c r="E9660" s="43"/>
      <c r="F9660" s="48">
        <f t="shared" si="159"/>
        <v>139062</v>
      </c>
    </row>
    <row r="9661" spans="1:12" x14ac:dyDescent="0.3">
      <c r="A9661" s="45">
        <v>44382</v>
      </c>
      <c r="B9661" s="39" t="s">
        <v>1512</v>
      </c>
      <c r="C9661" s="5" t="s">
        <v>0</v>
      </c>
      <c r="D9661" s="43">
        <v>34100</v>
      </c>
      <c r="E9661" s="43"/>
      <c r="F9661" s="48">
        <f t="shared" si="159"/>
        <v>104962</v>
      </c>
    </row>
    <row r="9662" spans="1:12" x14ac:dyDescent="0.3">
      <c r="A9662" s="45">
        <v>44382</v>
      </c>
      <c r="B9662" s="39" t="s">
        <v>1512</v>
      </c>
      <c r="C9662" s="5" t="s">
        <v>7719</v>
      </c>
      <c r="D9662" s="43">
        <f>47000+40000</f>
        <v>87000</v>
      </c>
      <c r="E9662" s="43"/>
      <c r="F9662" s="48">
        <f t="shared" si="159"/>
        <v>17962</v>
      </c>
    </row>
    <row r="9663" spans="1:12" x14ac:dyDescent="0.3">
      <c r="A9663" s="45">
        <v>44382</v>
      </c>
      <c r="B9663" s="5" t="s">
        <v>7128</v>
      </c>
      <c r="C9663" s="5" t="s">
        <v>6932</v>
      </c>
      <c r="D9663" s="43">
        <v>2000</v>
      </c>
      <c r="E9663" s="43"/>
      <c r="F9663" s="48">
        <f t="shared" si="159"/>
        <v>15962</v>
      </c>
    </row>
    <row r="9664" spans="1:12" x14ac:dyDescent="0.3">
      <c r="A9664" s="45">
        <v>44382</v>
      </c>
      <c r="B9664" s="5" t="s">
        <v>7128</v>
      </c>
      <c r="C9664" s="5" t="s">
        <v>7702</v>
      </c>
      <c r="D9664" s="43">
        <v>2000</v>
      </c>
      <c r="E9664" s="43"/>
      <c r="F9664" s="48">
        <f t="shared" si="159"/>
        <v>13962</v>
      </c>
    </row>
    <row r="9665" spans="1:12" x14ac:dyDescent="0.3">
      <c r="A9665" s="45">
        <v>44382</v>
      </c>
      <c r="B9665" s="5" t="s">
        <v>25</v>
      </c>
      <c r="C9665" s="5" t="s">
        <v>50</v>
      </c>
      <c r="D9665" s="43">
        <v>1200</v>
      </c>
      <c r="E9665" s="43"/>
      <c r="F9665" s="48">
        <f t="shared" si="159"/>
        <v>12762</v>
      </c>
    </row>
    <row r="9666" spans="1:12" x14ac:dyDescent="0.3">
      <c r="A9666" s="45">
        <v>44382</v>
      </c>
      <c r="B9666" s="5" t="s">
        <v>25</v>
      </c>
      <c r="C9666" s="5" t="s">
        <v>7704</v>
      </c>
      <c r="D9666" s="43">
        <v>200</v>
      </c>
      <c r="E9666" s="43"/>
      <c r="F9666" s="48">
        <f t="shared" si="159"/>
        <v>12562</v>
      </c>
    </row>
    <row r="9667" spans="1:12" x14ac:dyDescent="0.3">
      <c r="A9667" s="45">
        <v>44382</v>
      </c>
      <c r="B9667" s="5" t="s">
        <v>7606</v>
      </c>
      <c r="C9667" s="5" t="s">
        <v>7703</v>
      </c>
      <c r="D9667" s="43">
        <v>5000</v>
      </c>
      <c r="E9667" s="43"/>
      <c r="F9667" s="48">
        <f t="shared" si="159"/>
        <v>7562</v>
      </c>
    </row>
    <row r="9668" spans="1:12" x14ac:dyDescent="0.3">
      <c r="A9668" s="45">
        <v>44382</v>
      </c>
      <c r="B9668" s="5" t="s">
        <v>25</v>
      </c>
      <c r="C9668" s="5" t="s">
        <v>7705</v>
      </c>
      <c r="D9668" s="43">
        <v>1000</v>
      </c>
      <c r="E9668" s="43"/>
      <c r="F9668" s="48">
        <f t="shared" si="159"/>
        <v>6562</v>
      </c>
    </row>
    <row r="9669" spans="1:12" x14ac:dyDescent="0.3">
      <c r="A9669" s="45">
        <v>44383</v>
      </c>
      <c r="B9669" s="5" t="s">
        <v>7474</v>
      </c>
      <c r="C9669" s="5" t="s">
        <v>7706</v>
      </c>
      <c r="D9669" s="43">
        <v>1000</v>
      </c>
      <c r="E9669" s="43"/>
      <c r="F9669" s="48">
        <f t="shared" si="159"/>
        <v>5562</v>
      </c>
    </row>
    <row r="9670" spans="1:12" x14ac:dyDescent="0.3">
      <c r="A9670" s="45">
        <v>44383</v>
      </c>
      <c r="B9670" s="739" t="s">
        <v>7440</v>
      </c>
      <c r="C9670" s="739"/>
      <c r="D9670" s="739"/>
      <c r="E9670" s="43">
        <v>50000</v>
      </c>
      <c r="F9670" s="48">
        <f t="shared" si="159"/>
        <v>55562</v>
      </c>
      <c r="J9670" s="52">
        <v>45249</v>
      </c>
      <c r="L9670" s="93"/>
    </row>
    <row r="9671" spans="1:12" x14ac:dyDescent="0.3">
      <c r="A9671" s="45">
        <v>44383</v>
      </c>
      <c r="B9671" s="5" t="s">
        <v>0</v>
      </c>
      <c r="C9671" s="5" t="s">
        <v>294</v>
      </c>
      <c r="D9671" s="43">
        <v>6000</v>
      </c>
      <c r="E9671" s="43"/>
      <c r="F9671" s="48">
        <f t="shared" si="159"/>
        <v>49562</v>
      </c>
    </row>
    <row r="9672" spans="1:12" x14ac:dyDescent="0.3">
      <c r="A9672" s="45">
        <v>44383</v>
      </c>
      <c r="B9672" s="5" t="s">
        <v>7707</v>
      </c>
      <c r="C9672" s="5" t="s">
        <v>7708</v>
      </c>
      <c r="D9672" s="43">
        <v>15000</v>
      </c>
      <c r="E9672" s="43"/>
      <c r="F9672" s="48">
        <f t="shared" si="159"/>
        <v>34562</v>
      </c>
    </row>
    <row r="9673" spans="1:12" x14ac:dyDescent="0.3">
      <c r="A9673" s="45">
        <v>44383</v>
      </c>
      <c r="B9673" s="5" t="s">
        <v>14</v>
      </c>
      <c r="C9673" s="5" t="s">
        <v>294</v>
      </c>
      <c r="D9673" s="43">
        <v>10000</v>
      </c>
      <c r="E9673" s="43"/>
      <c r="F9673" s="48">
        <f t="shared" si="159"/>
        <v>24562</v>
      </c>
    </row>
    <row r="9674" spans="1:12" ht="37.5" x14ac:dyDescent="0.3">
      <c r="A9674" s="45">
        <v>44384</v>
      </c>
      <c r="B9674" s="44" t="s">
        <v>68</v>
      </c>
      <c r="C9674" s="124" t="s">
        <v>7709</v>
      </c>
      <c r="D9674" s="28">
        <v>3000</v>
      </c>
      <c r="E9674" s="43"/>
      <c r="F9674" s="48">
        <f t="shared" si="159"/>
        <v>21562</v>
      </c>
    </row>
    <row r="9675" spans="1:12" x14ac:dyDescent="0.3">
      <c r="A9675" s="45">
        <v>44384</v>
      </c>
      <c r="B9675" s="5" t="s">
        <v>25</v>
      </c>
      <c r="C9675" s="5" t="s">
        <v>7710</v>
      </c>
      <c r="D9675" s="43">
        <v>526</v>
      </c>
      <c r="E9675" s="43"/>
      <c r="F9675" s="48">
        <f t="shared" si="159"/>
        <v>21036</v>
      </c>
    </row>
    <row r="9676" spans="1:12" x14ac:dyDescent="0.3">
      <c r="A9676" s="45">
        <v>44384</v>
      </c>
      <c r="B9676" s="5" t="s">
        <v>7711</v>
      </c>
      <c r="C9676" s="5" t="s">
        <v>7712</v>
      </c>
      <c r="D9676" s="43">
        <v>2000</v>
      </c>
      <c r="E9676" s="43"/>
      <c r="F9676" s="48">
        <f t="shared" si="159"/>
        <v>19036</v>
      </c>
    </row>
    <row r="9677" spans="1:12" x14ac:dyDescent="0.3">
      <c r="A9677" s="45">
        <v>44384</v>
      </c>
      <c r="B9677" s="5" t="s">
        <v>25</v>
      </c>
      <c r="C9677" s="5" t="s">
        <v>7599</v>
      </c>
      <c r="D9677" s="43">
        <v>100</v>
      </c>
      <c r="E9677" s="43"/>
      <c r="F9677" s="48">
        <f t="shared" si="159"/>
        <v>18936</v>
      </c>
    </row>
    <row r="9678" spans="1:12" x14ac:dyDescent="0.3">
      <c r="A9678" s="45">
        <v>44384</v>
      </c>
      <c r="B9678" s="5" t="s">
        <v>7713</v>
      </c>
      <c r="C9678" s="5" t="s">
        <v>7714</v>
      </c>
      <c r="D9678" s="43">
        <v>120</v>
      </c>
      <c r="E9678" s="43"/>
      <c r="F9678" s="48">
        <f t="shared" si="159"/>
        <v>18816</v>
      </c>
    </row>
    <row r="9679" spans="1:12" x14ac:dyDescent="0.3">
      <c r="A9679" s="45">
        <v>44384</v>
      </c>
      <c r="B9679" s="5" t="s">
        <v>6430</v>
      </c>
      <c r="C9679" s="5" t="s">
        <v>2013</v>
      </c>
      <c r="D9679" s="43">
        <v>600</v>
      </c>
      <c r="E9679" s="43"/>
      <c r="F9679" s="48">
        <f t="shared" si="159"/>
        <v>18216</v>
      </c>
    </row>
    <row r="9680" spans="1:12" x14ac:dyDescent="0.3">
      <c r="A9680" s="45">
        <v>44384</v>
      </c>
      <c r="B9680" s="739" t="s">
        <v>7440</v>
      </c>
      <c r="C9680" s="739"/>
      <c r="D9680" s="739"/>
      <c r="E9680" s="43">
        <v>425000</v>
      </c>
      <c r="F9680" s="48">
        <f t="shared" si="159"/>
        <v>443216</v>
      </c>
      <c r="J9680" s="52">
        <v>45249</v>
      </c>
      <c r="L9680" s="93"/>
    </row>
    <row r="9681" spans="1:12" x14ac:dyDescent="0.3">
      <c r="A9681" s="45">
        <v>44384</v>
      </c>
      <c r="B9681" s="39" t="s">
        <v>54</v>
      </c>
      <c r="C9681" s="5" t="s">
        <v>7419</v>
      </c>
      <c r="D9681" s="43">
        <v>19000</v>
      </c>
      <c r="E9681" s="43"/>
      <c r="F9681" s="48">
        <f t="shared" si="159"/>
        <v>424216</v>
      </c>
    </row>
    <row r="9682" spans="1:12" x14ac:dyDescent="0.3">
      <c r="A9682" s="45">
        <v>44384</v>
      </c>
      <c r="B9682" s="39" t="s">
        <v>54</v>
      </c>
      <c r="C9682" s="5" t="s">
        <v>7715</v>
      </c>
      <c r="D9682" s="43">
        <v>50829</v>
      </c>
      <c r="E9682" s="43"/>
      <c r="F9682" s="48">
        <f t="shared" si="159"/>
        <v>373387</v>
      </c>
    </row>
    <row r="9683" spans="1:12" x14ac:dyDescent="0.3">
      <c r="A9683" s="45">
        <v>44384</v>
      </c>
      <c r="B9683" s="39" t="s">
        <v>54</v>
      </c>
      <c r="C9683" s="5" t="s">
        <v>7116</v>
      </c>
      <c r="D9683" s="43">
        <v>206602</v>
      </c>
      <c r="E9683" s="43"/>
      <c r="F9683" s="48">
        <f t="shared" si="159"/>
        <v>166785</v>
      </c>
    </row>
    <row r="9684" spans="1:12" x14ac:dyDescent="0.3">
      <c r="A9684" s="45">
        <v>44384</v>
      </c>
      <c r="B9684" s="39" t="s">
        <v>54</v>
      </c>
      <c r="C9684" s="5" t="s">
        <v>7718</v>
      </c>
      <c r="D9684" s="43">
        <v>54590</v>
      </c>
      <c r="E9684" s="43"/>
      <c r="F9684" s="48">
        <f t="shared" si="159"/>
        <v>112195</v>
      </c>
    </row>
    <row r="9685" spans="1:12" x14ac:dyDescent="0.3">
      <c r="A9685" s="45">
        <v>44384</v>
      </c>
      <c r="B9685" s="39" t="s">
        <v>54</v>
      </c>
      <c r="C9685" s="5" t="s">
        <v>7717</v>
      </c>
      <c r="D9685" s="43">
        <v>79888</v>
      </c>
      <c r="E9685" s="43"/>
      <c r="F9685" s="48">
        <f t="shared" si="159"/>
        <v>32307</v>
      </c>
    </row>
    <row r="9686" spans="1:12" x14ac:dyDescent="0.3">
      <c r="A9686" s="45">
        <v>44384</v>
      </c>
      <c r="B9686" s="73" t="s">
        <v>5156</v>
      </c>
      <c r="C9686" s="5" t="s">
        <v>3563</v>
      </c>
      <c r="D9686" s="43">
        <v>1800</v>
      </c>
      <c r="E9686" s="43"/>
      <c r="F9686" s="48">
        <f t="shared" si="159"/>
        <v>30507</v>
      </c>
    </row>
    <row r="9687" spans="1:12" x14ac:dyDescent="0.3">
      <c r="A9687" s="45">
        <v>44384</v>
      </c>
      <c r="B9687" s="73" t="s">
        <v>4281</v>
      </c>
      <c r="C9687" s="5" t="s">
        <v>7720</v>
      </c>
      <c r="D9687" s="43">
        <v>1800</v>
      </c>
      <c r="E9687" s="43"/>
      <c r="F9687" s="48">
        <f t="shared" si="159"/>
        <v>28707</v>
      </c>
    </row>
    <row r="9688" spans="1:12" x14ac:dyDescent="0.3">
      <c r="A9688" s="45">
        <v>44384</v>
      </c>
      <c r="B9688" s="5" t="s">
        <v>25</v>
      </c>
      <c r="C9688" s="5" t="s">
        <v>640</v>
      </c>
      <c r="D9688" s="43">
        <v>1000</v>
      </c>
      <c r="E9688" s="43"/>
      <c r="F9688" s="48">
        <f t="shared" si="159"/>
        <v>27707</v>
      </c>
      <c r="H9688" s="169" t="s">
        <v>25</v>
      </c>
    </row>
    <row r="9689" spans="1:12" x14ac:dyDescent="0.3">
      <c r="A9689" s="45">
        <v>44384</v>
      </c>
      <c r="B9689" s="5" t="s">
        <v>0</v>
      </c>
      <c r="C9689" s="5" t="s">
        <v>7721</v>
      </c>
      <c r="D9689" s="43">
        <v>4000</v>
      </c>
      <c r="E9689" s="43"/>
      <c r="F9689" s="48">
        <f t="shared" si="159"/>
        <v>23707</v>
      </c>
    </row>
    <row r="9690" spans="1:12" x14ac:dyDescent="0.3">
      <c r="A9690" s="45">
        <v>44385</v>
      </c>
      <c r="B9690" s="739" t="s">
        <v>7440</v>
      </c>
      <c r="C9690" s="739"/>
      <c r="D9690" s="739"/>
      <c r="E9690" s="43">
        <v>10100</v>
      </c>
      <c r="F9690" s="48">
        <f t="shared" si="159"/>
        <v>33807</v>
      </c>
      <c r="J9690" s="52">
        <v>45249</v>
      </c>
      <c r="L9690" s="93"/>
    </row>
    <row r="9691" spans="1:12" x14ac:dyDescent="0.3">
      <c r="A9691" s="45">
        <v>44385</v>
      </c>
      <c r="B9691" s="739" t="s">
        <v>7440</v>
      </c>
      <c r="C9691" s="739"/>
      <c r="D9691" s="739"/>
      <c r="E9691" s="43">
        <v>400000</v>
      </c>
      <c r="F9691" s="48">
        <f t="shared" si="159"/>
        <v>433807</v>
      </c>
      <c r="J9691" s="52">
        <v>45249</v>
      </c>
      <c r="L9691" s="93"/>
    </row>
    <row r="9692" spans="1:12" x14ac:dyDescent="0.3">
      <c r="A9692" s="45">
        <v>44385</v>
      </c>
      <c r="B9692" s="5" t="s">
        <v>7606</v>
      </c>
      <c r="C9692" s="5" t="s">
        <v>7730</v>
      </c>
      <c r="D9692" s="43">
        <v>2000</v>
      </c>
      <c r="E9692" s="43"/>
      <c r="F9692" s="48">
        <f t="shared" si="159"/>
        <v>431807</v>
      </c>
      <c r="J9692" s="52" t="e">
        <f>#REF!*7.5%</f>
        <v>#REF!</v>
      </c>
    </row>
    <row r="9693" spans="1:12" x14ac:dyDescent="0.3">
      <c r="A9693" s="45">
        <v>44385</v>
      </c>
      <c r="B9693" s="5" t="s">
        <v>4055</v>
      </c>
      <c r="C9693" s="5" t="s">
        <v>7724</v>
      </c>
      <c r="D9693" s="43">
        <v>30000</v>
      </c>
      <c r="E9693" s="43"/>
      <c r="F9693" s="48">
        <f t="shared" si="159"/>
        <v>401807</v>
      </c>
    </row>
    <row r="9694" spans="1:12" x14ac:dyDescent="0.3">
      <c r="A9694" s="45">
        <v>44385</v>
      </c>
      <c r="B9694" s="5" t="s">
        <v>57</v>
      </c>
      <c r="C9694" s="5" t="s">
        <v>7725</v>
      </c>
      <c r="D9694" s="43">
        <v>1000</v>
      </c>
      <c r="E9694" s="43"/>
      <c r="F9694" s="48">
        <f t="shared" si="159"/>
        <v>400807</v>
      </c>
    </row>
    <row r="9695" spans="1:12" x14ac:dyDescent="0.3">
      <c r="A9695" s="45">
        <v>44385</v>
      </c>
      <c r="B9695" s="5" t="s">
        <v>3546</v>
      </c>
      <c r="C9695" s="5" t="s">
        <v>7740</v>
      </c>
      <c r="D9695" s="43">
        <v>4000</v>
      </c>
      <c r="E9695" s="43"/>
      <c r="F9695" s="48">
        <f t="shared" si="159"/>
        <v>396807</v>
      </c>
    </row>
    <row r="9696" spans="1:12" ht="37.5" x14ac:dyDescent="0.3">
      <c r="A9696" s="45">
        <v>44385</v>
      </c>
      <c r="B9696" s="44" t="s">
        <v>54</v>
      </c>
      <c r="C9696" s="124" t="s">
        <v>7414</v>
      </c>
      <c r="D9696" s="28">
        <v>5000</v>
      </c>
      <c r="E9696" s="43"/>
      <c r="F9696" s="48">
        <f t="shared" si="159"/>
        <v>391807</v>
      </c>
    </row>
    <row r="9697" spans="1:12" x14ac:dyDescent="0.3">
      <c r="A9697" s="45">
        <v>44386</v>
      </c>
      <c r="B9697" s="5" t="s">
        <v>14</v>
      </c>
      <c r="C9697" s="5" t="s">
        <v>294</v>
      </c>
      <c r="D9697" s="43">
        <v>5000</v>
      </c>
      <c r="E9697" s="43"/>
      <c r="F9697" s="48">
        <f t="shared" si="159"/>
        <v>386807</v>
      </c>
      <c r="I9697" s="52">
        <v>1097500</v>
      </c>
    </row>
    <row r="9698" spans="1:12" x14ac:dyDescent="0.3">
      <c r="A9698" s="45">
        <v>44386</v>
      </c>
      <c r="B9698" s="5" t="s">
        <v>6341</v>
      </c>
      <c r="C9698" s="5" t="s">
        <v>7726</v>
      </c>
      <c r="D9698" s="43">
        <v>25000</v>
      </c>
      <c r="E9698" s="43"/>
      <c r="F9698" s="48">
        <f t="shared" si="159"/>
        <v>361807</v>
      </c>
      <c r="I9698" s="52">
        <f>I9697/2</f>
        <v>548750</v>
      </c>
    </row>
    <row r="9699" spans="1:12" x14ac:dyDescent="0.3">
      <c r="A9699" s="45">
        <v>44386</v>
      </c>
      <c r="B9699" s="39" t="s">
        <v>54</v>
      </c>
      <c r="C9699" s="5" t="s">
        <v>7727</v>
      </c>
      <c r="D9699" s="43">
        <v>76517</v>
      </c>
      <c r="E9699" s="43"/>
      <c r="F9699" s="48">
        <f t="shared" si="159"/>
        <v>285290</v>
      </c>
    </row>
    <row r="9700" spans="1:12" x14ac:dyDescent="0.3">
      <c r="A9700" s="45">
        <v>44386</v>
      </c>
      <c r="B9700" s="39" t="s">
        <v>54</v>
      </c>
      <c r="C9700" s="5" t="s">
        <v>7728</v>
      </c>
      <c r="D9700" s="43">
        <v>35000</v>
      </c>
      <c r="E9700" s="43"/>
      <c r="F9700" s="48">
        <f t="shared" si="159"/>
        <v>250290</v>
      </c>
    </row>
    <row r="9701" spans="1:12" x14ac:dyDescent="0.3">
      <c r="A9701" s="45">
        <v>44386</v>
      </c>
      <c r="B9701" s="39" t="s">
        <v>54</v>
      </c>
      <c r="C9701" s="5" t="s">
        <v>7729</v>
      </c>
      <c r="D9701" s="43">
        <v>61617</v>
      </c>
      <c r="E9701" s="43"/>
      <c r="F9701" s="48">
        <f t="shared" si="159"/>
        <v>188673</v>
      </c>
    </row>
    <row r="9702" spans="1:12" x14ac:dyDescent="0.3">
      <c r="A9702" s="45">
        <v>44386</v>
      </c>
      <c r="B9702" s="39" t="s">
        <v>54</v>
      </c>
      <c r="C9702" s="5" t="s">
        <v>6952</v>
      </c>
      <c r="D9702" s="43">
        <v>31275</v>
      </c>
      <c r="E9702" s="43"/>
      <c r="F9702" s="48">
        <f t="shared" si="159"/>
        <v>157398</v>
      </c>
    </row>
    <row r="9703" spans="1:12" x14ac:dyDescent="0.3">
      <c r="A9703" s="45">
        <v>44386</v>
      </c>
      <c r="B9703" s="39" t="s">
        <v>54</v>
      </c>
      <c r="C9703" s="5" t="s">
        <v>6546</v>
      </c>
      <c r="D9703" s="43">
        <v>116067</v>
      </c>
      <c r="E9703" s="43"/>
      <c r="F9703" s="48">
        <f t="shared" si="159"/>
        <v>41331</v>
      </c>
    </row>
    <row r="9704" spans="1:12" x14ac:dyDescent="0.3">
      <c r="A9704" s="45">
        <v>44387</v>
      </c>
      <c r="B9704" s="5" t="s">
        <v>68</v>
      </c>
      <c r="C9704" s="5" t="s">
        <v>294</v>
      </c>
      <c r="D9704" s="43">
        <v>1000</v>
      </c>
      <c r="E9704" s="43"/>
      <c r="F9704" s="48">
        <f t="shared" si="159"/>
        <v>40331</v>
      </c>
    </row>
    <row r="9705" spans="1:12" x14ac:dyDescent="0.3">
      <c r="A9705" s="45">
        <v>44387</v>
      </c>
      <c r="B9705" s="5" t="s">
        <v>5156</v>
      </c>
      <c r="C9705" s="5" t="s">
        <v>7731</v>
      </c>
      <c r="D9705" s="43">
        <v>570</v>
      </c>
      <c r="E9705" s="43"/>
      <c r="F9705" s="48">
        <f t="shared" si="159"/>
        <v>39761</v>
      </c>
    </row>
    <row r="9706" spans="1:12" x14ac:dyDescent="0.3">
      <c r="A9706" s="45">
        <v>44387</v>
      </c>
      <c r="B9706" s="5" t="s">
        <v>4550</v>
      </c>
      <c r="C9706" s="5" t="s">
        <v>7250</v>
      </c>
      <c r="D9706" s="43">
        <v>30000</v>
      </c>
      <c r="E9706" s="43"/>
      <c r="F9706" s="48">
        <f t="shared" si="159"/>
        <v>9761</v>
      </c>
    </row>
    <row r="9707" spans="1:12" x14ac:dyDescent="0.3">
      <c r="A9707" s="45">
        <v>44387</v>
      </c>
      <c r="B9707" s="5" t="s">
        <v>6430</v>
      </c>
      <c r="C9707" s="5" t="s">
        <v>294</v>
      </c>
      <c r="D9707" s="43">
        <v>5000</v>
      </c>
      <c r="E9707" s="43"/>
      <c r="F9707" s="48">
        <f t="shared" si="159"/>
        <v>4761</v>
      </c>
    </row>
    <row r="9708" spans="1:12" x14ac:dyDescent="0.3">
      <c r="A9708" s="45">
        <v>44387</v>
      </c>
      <c r="B9708" s="5" t="s">
        <v>7606</v>
      </c>
      <c r="C9708" s="5" t="s">
        <v>7732</v>
      </c>
      <c r="D9708" s="43">
        <v>3000</v>
      </c>
      <c r="E9708" s="43"/>
      <c r="F9708" s="48">
        <f t="shared" si="159"/>
        <v>1761</v>
      </c>
    </row>
    <row r="9709" spans="1:12" x14ac:dyDescent="0.3">
      <c r="A9709" s="45">
        <v>44387</v>
      </c>
      <c r="B9709" s="739" t="s">
        <v>7734</v>
      </c>
      <c r="C9709" s="739"/>
      <c r="D9709" s="739"/>
      <c r="E9709" s="43">
        <v>51900</v>
      </c>
      <c r="F9709" s="48">
        <f t="shared" si="159"/>
        <v>53661</v>
      </c>
      <c r="J9709" s="52">
        <v>45249</v>
      </c>
      <c r="L9709" s="93"/>
    </row>
    <row r="9710" spans="1:12" x14ac:dyDescent="0.3">
      <c r="A9710" s="45">
        <v>44387</v>
      </c>
      <c r="B9710" s="5" t="s">
        <v>0</v>
      </c>
      <c r="C9710" s="5" t="s">
        <v>294</v>
      </c>
      <c r="D9710" s="43">
        <v>2000</v>
      </c>
      <c r="E9710" s="43"/>
      <c r="F9710" s="48">
        <f t="shared" si="159"/>
        <v>51661</v>
      </c>
    </row>
    <row r="9711" spans="1:12" x14ac:dyDescent="0.3">
      <c r="A9711" s="45">
        <v>44387</v>
      </c>
      <c r="B9711" s="5" t="s">
        <v>7690</v>
      </c>
      <c r="C9711" s="5" t="s">
        <v>40</v>
      </c>
      <c r="D9711" s="43">
        <v>5000</v>
      </c>
      <c r="E9711" s="43"/>
      <c r="F9711" s="48">
        <f t="shared" si="159"/>
        <v>46661</v>
      </c>
    </row>
    <row r="9712" spans="1:12" x14ac:dyDescent="0.3">
      <c r="A9712" s="45">
        <v>44387</v>
      </c>
      <c r="B9712" s="5" t="s">
        <v>7733</v>
      </c>
      <c r="C9712" s="5" t="s">
        <v>294</v>
      </c>
      <c r="D9712" s="43">
        <v>45000</v>
      </c>
      <c r="E9712" s="43"/>
      <c r="F9712" s="48">
        <f t="shared" si="159"/>
        <v>1661</v>
      </c>
    </row>
    <row r="9713" spans="1:12" x14ac:dyDescent="0.3">
      <c r="A9713" s="45">
        <v>44390</v>
      </c>
      <c r="B9713" s="739" t="s">
        <v>4106</v>
      </c>
      <c r="C9713" s="739"/>
      <c r="D9713" s="739"/>
      <c r="E9713" s="43">
        <v>200000</v>
      </c>
      <c r="F9713" s="48">
        <f t="shared" si="159"/>
        <v>201661</v>
      </c>
      <c r="J9713" s="52">
        <v>45249</v>
      </c>
      <c r="L9713" s="93"/>
    </row>
    <row r="9714" spans="1:12" x14ac:dyDescent="0.3">
      <c r="A9714" s="45">
        <v>44390</v>
      </c>
      <c r="B9714" s="5" t="s">
        <v>25</v>
      </c>
      <c r="C9714" s="5" t="s">
        <v>7736</v>
      </c>
      <c r="D9714" s="43">
        <v>6000</v>
      </c>
      <c r="E9714" s="43"/>
      <c r="F9714" s="48">
        <f t="shared" si="159"/>
        <v>195661</v>
      </c>
    </row>
    <row r="9715" spans="1:12" x14ac:dyDescent="0.3">
      <c r="A9715" s="45">
        <v>44390</v>
      </c>
      <c r="B9715" s="5" t="s">
        <v>68</v>
      </c>
      <c r="C9715" s="5" t="s">
        <v>3557</v>
      </c>
      <c r="D9715" s="43">
        <v>10000</v>
      </c>
      <c r="E9715" s="43"/>
      <c r="F9715" s="48">
        <f t="shared" si="159"/>
        <v>185661</v>
      </c>
    </row>
    <row r="9716" spans="1:12" x14ac:dyDescent="0.3">
      <c r="A9716" s="45">
        <v>44390</v>
      </c>
      <c r="B9716" s="5" t="s">
        <v>3563</v>
      </c>
      <c r="C9716" s="5" t="s">
        <v>7737</v>
      </c>
      <c r="D9716" s="43">
        <v>1140</v>
      </c>
      <c r="E9716" s="43"/>
      <c r="F9716" s="48">
        <f t="shared" ref="F9716:F9755" si="160">F9715+E9716-D9716</f>
        <v>184521</v>
      </c>
    </row>
    <row r="9717" spans="1:12" x14ac:dyDescent="0.3">
      <c r="A9717" s="45">
        <v>44390</v>
      </c>
      <c r="B9717" s="5" t="s">
        <v>25</v>
      </c>
      <c r="C9717" s="5" t="s">
        <v>7738</v>
      </c>
      <c r="D9717" s="43">
        <v>200</v>
      </c>
      <c r="E9717" s="43"/>
      <c r="F9717" s="48">
        <f t="shared" si="160"/>
        <v>184321</v>
      </c>
    </row>
    <row r="9718" spans="1:12" x14ac:dyDescent="0.3">
      <c r="A9718" s="45">
        <v>44390</v>
      </c>
      <c r="B9718" s="5" t="s">
        <v>4308</v>
      </c>
      <c r="C9718" s="5" t="s">
        <v>7739</v>
      </c>
      <c r="D9718" s="43">
        <v>20000</v>
      </c>
      <c r="E9718" s="43"/>
      <c r="F9718" s="48">
        <f t="shared" si="160"/>
        <v>164321</v>
      </c>
    </row>
    <row r="9719" spans="1:12" x14ac:dyDescent="0.3">
      <c r="A9719" s="45">
        <v>44390</v>
      </c>
      <c r="B9719" s="5" t="s">
        <v>57</v>
      </c>
      <c r="C9719" s="5" t="s">
        <v>7741</v>
      </c>
      <c r="D9719" s="43">
        <v>15000</v>
      </c>
      <c r="E9719" s="43"/>
      <c r="F9719" s="48">
        <f t="shared" si="160"/>
        <v>149321</v>
      </c>
    </row>
    <row r="9720" spans="1:12" x14ac:dyDescent="0.3">
      <c r="A9720" s="45">
        <v>44390</v>
      </c>
      <c r="B9720" s="5" t="s">
        <v>25</v>
      </c>
      <c r="C9720" s="5" t="s">
        <v>4276</v>
      </c>
      <c r="D9720" s="43">
        <v>7990</v>
      </c>
      <c r="E9720" s="43"/>
      <c r="F9720" s="48">
        <f t="shared" si="160"/>
        <v>141331</v>
      </c>
    </row>
    <row r="9721" spans="1:12" x14ac:dyDescent="0.3">
      <c r="A9721" s="45">
        <v>44390</v>
      </c>
      <c r="B9721" s="5" t="s">
        <v>5156</v>
      </c>
      <c r="C9721" s="5" t="s">
        <v>3563</v>
      </c>
      <c r="D9721" s="43">
        <f>150+150+300</f>
        <v>600</v>
      </c>
      <c r="E9721" s="43"/>
      <c r="F9721" s="48">
        <f t="shared" si="160"/>
        <v>140731</v>
      </c>
    </row>
    <row r="9722" spans="1:12" x14ac:dyDescent="0.3">
      <c r="A9722" s="45">
        <v>44390</v>
      </c>
      <c r="B9722" s="5" t="s">
        <v>51</v>
      </c>
      <c r="C9722" s="5" t="s">
        <v>3563</v>
      </c>
      <c r="D9722" s="43">
        <f>240+600+460</f>
        <v>1300</v>
      </c>
      <c r="E9722" s="43"/>
      <c r="F9722" s="48">
        <f t="shared" si="160"/>
        <v>139431</v>
      </c>
    </row>
    <row r="9723" spans="1:12" x14ac:dyDescent="0.3">
      <c r="A9723" s="45">
        <v>44390</v>
      </c>
      <c r="B9723" s="5" t="s">
        <v>14</v>
      </c>
      <c r="C9723" s="5" t="s">
        <v>294</v>
      </c>
      <c r="D9723" s="43">
        <v>5000</v>
      </c>
      <c r="E9723" s="43"/>
      <c r="F9723" s="48">
        <f t="shared" si="160"/>
        <v>134431</v>
      </c>
    </row>
    <row r="9724" spans="1:12" x14ac:dyDescent="0.3">
      <c r="A9724" s="45">
        <v>44390</v>
      </c>
      <c r="B9724" s="5" t="s">
        <v>5930</v>
      </c>
      <c r="C9724" s="5" t="s">
        <v>40</v>
      </c>
      <c r="D9724" s="43">
        <v>112150</v>
      </c>
      <c r="E9724" s="43"/>
      <c r="F9724" s="48">
        <f t="shared" si="160"/>
        <v>22281</v>
      </c>
    </row>
    <row r="9725" spans="1:12" x14ac:dyDescent="0.3">
      <c r="A9725" s="45">
        <v>44390</v>
      </c>
      <c r="B9725" s="739" t="s">
        <v>7440</v>
      </c>
      <c r="C9725" s="739"/>
      <c r="D9725" s="739"/>
      <c r="E9725" s="43">
        <v>400000</v>
      </c>
      <c r="F9725" s="48">
        <f t="shared" si="160"/>
        <v>422281</v>
      </c>
      <c r="J9725" s="52">
        <v>45249</v>
      </c>
      <c r="L9725" s="93"/>
    </row>
    <row r="9726" spans="1:12" x14ac:dyDescent="0.3">
      <c r="A9726" s="45">
        <v>44390</v>
      </c>
      <c r="B9726" s="5" t="s">
        <v>25</v>
      </c>
      <c r="C9726" s="5" t="s">
        <v>6049</v>
      </c>
      <c r="D9726" s="43">
        <v>50</v>
      </c>
      <c r="E9726" s="43"/>
      <c r="F9726" s="48">
        <f t="shared" si="160"/>
        <v>422231</v>
      </c>
    </row>
    <row r="9727" spans="1:12" x14ac:dyDescent="0.3">
      <c r="A9727" s="45">
        <v>44391</v>
      </c>
      <c r="B9727" s="5" t="s">
        <v>7606</v>
      </c>
      <c r="C9727" s="5" t="s">
        <v>294</v>
      </c>
      <c r="D9727" s="43">
        <v>1000</v>
      </c>
      <c r="E9727" s="43"/>
      <c r="F9727" s="48">
        <f t="shared" si="160"/>
        <v>421231</v>
      </c>
    </row>
    <row r="9728" spans="1:12" x14ac:dyDescent="0.3">
      <c r="A9728" s="45">
        <v>44391</v>
      </c>
      <c r="B9728" s="5" t="s">
        <v>6959</v>
      </c>
      <c r="C9728" s="5" t="s">
        <v>7742</v>
      </c>
      <c r="D9728" s="43">
        <v>400</v>
      </c>
      <c r="E9728" s="43"/>
      <c r="F9728" s="48">
        <f t="shared" si="160"/>
        <v>420831</v>
      </c>
    </row>
    <row r="9729" spans="1:7" x14ac:dyDescent="0.3">
      <c r="A9729" s="45">
        <v>44391</v>
      </c>
      <c r="B9729" s="5" t="s">
        <v>57</v>
      </c>
      <c r="C9729" s="5" t="s">
        <v>7743</v>
      </c>
      <c r="D9729" s="43">
        <v>10000</v>
      </c>
      <c r="E9729" s="43"/>
      <c r="F9729" s="48">
        <f t="shared" si="160"/>
        <v>410831</v>
      </c>
    </row>
    <row r="9730" spans="1:7" x14ac:dyDescent="0.3">
      <c r="A9730" s="45">
        <v>44392</v>
      </c>
      <c r="B9730" s="5" t="s">
        <v>14</v>
      </c>
      <c r="C9730" s="5" t="s">
        <v>294</v>
      </c>
      <c r="D9730" s="43">
        <v>25000</v>
      </c>
      <c r="E9730" s="43"/>
      <c r="F9730" s="48">
        <f t="shared" si="160"/>
        <v>385831</v>
      </c>
      <c r="G9730" s="52" t="s">
        <v>68</v>
      </c>
    </row>
    <row r="9731" spans="1:7" x14ac:dyDescent="0.3">
      <c r="A9731" s="45">
        <v>44392</v>
      </c>
      <c r="B9731" s="5" t="s">
        <v>541</v>
      </c>
      <c r="C9731" s="5" t="s">
        <v>7788</v>
      </c>
      <c r="D9731" s="43">
        <v>1200</v>
      </c>
      <c r="E9731" s="43"/>
      <c r="F9731" s="48">
        <f t="shared" si="160"/>
        <v>384631</v>
      </c>
    </row>
    <row r="9732" spans="1:7" x14ac:dyDescent="0.3">
      <c r="A9732" s="45">
        <v>44392</v>
      </c>
      <c r="B9732" s="5" t="s">
        <v>0</v>
      </c>
      <c r="C9732" s="5" t="s">
        <v>294</v>
      </c>
      <c r="D9732" s="43">
        <v>55000</v>
      </c>
      <c r="E9732" s="43"/>
      <c r="F9732" s="48">
        <f t="shared" si="160"/>
        <v>329631</v>
      </c>
    </row>
    <row r="9733" spans="1:7" x14ac:dyDescent="0.3">
      <c r="A9733" s="45">
        <v>44392</v>
      </c>
      <c r="B9733" s="5" t="s">
        <v>7744</v>
      </c>
      <c r="C9733" s="5" t="s">
        <v>294</v>
      </c>
      <c r="D9733" s="43">
        <v>75000</v>
      </c>
      <c r="E9733" s="43"/>
      <c r="F9733" s="48">
        <f t="shared" si="160"/>
        <v>254631</v>
      </c>
    </row>
    <row r="9734" spans="1:7" x14ac:dyDescent="0.3">
      <c r="A9734" s="45">
        <v>44392</v>
      </c>
      <c r="B9734" s="5" t="s">
        <v>7745</v>
      </c>
      <c r="C9734" s="5" t="s">
        <v>7721</v>
      </c>
      <c r="D9734" s="43">
        <v>3500</v>
      </c>
      <c r="E9734" s="43"/>
      <c r="F9734" s="48">
        <f t="shared" si="160"/>
        <v>251131</v>
      </c>
    </row>
    <row r="9735" spans="1:7" x14ac:dyDescent="0.3">
      <c r="A9735" s="45">
        <v>44392</v>
      </c>
      <c r="B9735" s="5" t="s">
        <v>7711</v>
      </c>
      <c r="C9735" s="5" t="s">
        <v>6486</v>
      </c>
      <c r="D9735" s="43">
        <v>1000</v>
      </c>
      <c r="E9735" s="43"/>
      <c r="F9735" s="48">
        <f t="shared" si="160"/>
        <v>250131</v>
      </c>
    </row>
    <row r="9736" spans="1:7" x14ac:dyDescent="0.3">
      <c r="A9736" s="45">
        <v>44392</v>
      </c>
      <c r="B9736" s="5" t="s">
        <v>68</v>
      </c>
      <c r="C9736" s="5" t="s">
        <v>294</v>
      </c>
      <c r="D9736" s="43">
        <v>15000</v>
      </c>
      <c r="E9736" s="43"/>
      <c r="F9736" s="48">
        <f t="shared" si="160"/>
        <v>235131</v>
      </c>
    </row>
    <row r="9737" spans="1:7" x14ac:dyDescent="0.3">
      <c r="A9737" s="45">
        <v>44392</v>
      </c>
      <c r="B9737" s="5" t="s">
        <v>7745</v>
      </c>
      <c r="C9737" s="5" t="s">
        <v>7746</v>
      </c>
      <c r="D9737" s="43">
        <v>2000</v>
      </c>
      <c r="E9737" s="43"/>
      <c r="F9737" s="48">
        <f t="shared" si="160"/>
        <v>233131</v>
      </c>
    </row>
    <row r="9738" spans="1:7" x14ac:dyDescent="0.3">
      <c r="A9738" s="45">
        <v>44392</v>
      </c>
      <c r="B9738" s="5" t="s">
        <v>1074</v>
      </c>
      <c r="C9738" s="5" t="s">
        <v>7747</v>
      </c>
      <c r="D9738" s="43">
        <v>9290</v>
      </c>
      <c r="E9738" s="43"/>
      <c r="F9738" s="48">
        <f t="shared" si="160"/>
        <v>223841</v>
      </c>
    </row>
    <row r="9739" spans="1:7" x14ac:dyDescent="0.3">
      <c r="A9739" s="45">
        <v>44392</v>
      </c>
      <c r="B9739" s="5" t="s">
        <v>3724</v>
      </c>
      <c r="C9739" s="5" t="s">
        <v>40</v>
      </c>
      <c r="D9739" s="43">
        <v>4090</v>
      </c>
      <c r="E9739" s="43"/>
      <c r="F9739" s="48">
        <f t="shared" si="160"/>
        <v>219751</v>
      </c>
    </row>
    <row r="9740" spans="1:7" x14ac:dyDescent="0.3">
      <c r="A9740" s="45">
        <v>44392</v>
      </c>
      <c r="B9740" s="5" t="s">
        <v>6430</v>
      </c>
      <c r="C9740" s="5" t="s">
        <v>7758</v>
      </c>
      <c r="D9740" s="43">
        <v>5000</v>
      </c>
      <c r="E9740" s="43"/>
      <c r="F9740" s="48">
        <f t="shared" si="160"/>
        <v>214751</v>
      </c>
    </row>
    <row r="9741" spans="1:7" x14ac:dyDescent="0.3">
      <c r="A9741" s="45">
        <v>44392</v>
      </c>
      <c r="B9741" s="5" t="s">
        <v>2948</v>
      </c>
      <c r="C9741" s="5" t="s">
        <v>7759</v>
      </c>
      <c r="D9741" s="43">
        <v>1300</v>
      </c>
      <c r="E9741" s="43"/>
      <c r="F9741" s="48">
        <f t="shared" si="160"/>
        <v>213451</v>
      </c>
    </row>
    <row r="9742" spans="1:7" x14ac:dyDescent="0.3">
      <c r="A9742" s="45">
        <v>44392</v>
      </c>
      <c r="B9742" s="5" t="s">
        <v>84</v>
      </c>
      <c r="C9742" s="5" t="s">
        <v>7760</v>
      </c>
      <c r="D9742" s="43">
        <v>5000</v>
      </c>
      <c r="E9742" s="43"/>
      <c r="F9742" s="48">
        <f t="shared" si="160"/>
        <v>208451</v>
      </c>
    </row>
    <row r="9743" spans="1:7" x14ac:dyDescent="0.3">
      <c r="A9743" s="45">
        <v>44392</v>
      </c>
      <c r="B9743" s="5" t="s">
        <v>110</v>
      </c>
      <c r="C9743" s="5" t="s">
        <v>640</v>
      </c>
      <c r="D9743" s="43">
        <v>3000</v>
      </c>
      <c r="E9743" s="43"/>
      <c r="F9743" s="48">
        <f t="shared" si="160"/>
        <v>205451</v>
      </c>
    </row>
    <row r="9744" spans="1:7" ht="15.75" customHeight="1" x14ac:dyDescent="0.3">
      <c r="A9744" s="45">
        <v>44392</v>
      </c>
      <c r="B9744" s="5" t="s">
        <v>7761</v>
      </c>
      <c r="C9744" s="5" t="s">
        <v>7762</v>
      </c>
      <c r="D9744" s="43">
        <v>30000</v>
      </c>
      <c r="E9744" s="43"/>
      <c r="F9744" s="48">
        <f t="shared" si="160"/>
        <v>175451</v>
      </c>
    </row>
    <row r="9745" spans="1:12" x14ac:dyDescent="0.3">
      <c r="A9745" s="45">
        <v>44392</v>
      </c>
      <c r="B9745" s="5" t="s">
        <v>84</v>
      </c>
      <c r="C9745" s="5" t="s">
        <v>7763</v>
      </c>
      <c r="D9745" s="43">
        <v>3000</v>
      </c>
      <c r="E9745" s="43"/>
      <c r="F9745" s="48">
        <f t="shared" si="160"/>
        <v>172451</v>
      </c>
    </row>
    <row r="9746" spans="1:12" ht="37.5" x14ac:dyDescent="0.3">
      <c r="A9746" s="45">
        <v>44393</v>
      </c>
      <c r="B9746" s="5" t="s">
        <v>4281</v>
      </c>
      <c r="C9746" s="92" t="s">
        <v>7764</v>
      </c>
      <c r="D9746" s="43">
        <v>9000</v>
      </c>
      <c r="E9746" s="43"/>
      <c r="F9746" s="48">
        <f t="shared" si="160"/>
        <v>163451</v>
      </c>
    </row>
    <row r="9747" spans="1:12" x14ac:dyDescent="0.3">
      <c r="A9747" s="45">
        <v>44393</v>
      </c>
      <c r="B9747" s="5" t="s">
        <v>7776</v>
      </c>
      <c r="C9747" s="5" t="s">
        <v>7778</v>
      </c>
      <c r="D9747" s="43">
        <v>600</v>
      </c>
      <c r="E9747" s="43"/>
      <c r="F9747" s="48">
        <f t="shared" si="160"/>
        <v>162851</v>
      </c>
    </row>
    <row r="9748" spans="1:12" x14ac:dyDescent="0.3">
      <c r="A9748" s="45">
        <v>44393</v>
      </c>
      <c r="B9748" s="5" t="s">
        <v>84</v>
      </c>
      <c r="C9748" s="5" t="s">
        <v>7777</v>
      </c>
      <c r="D9748" s="43">
        <v>7000</v>
      </c>
      <c r="E9748" s="43"/>
      <c r="F9748" s="48">
        <f t="shared" si="160"/>
        <v>155851</v>
      </c>
    </row>
    <row r="9749" spans="1:12" x14ac:dyDescent="0.3">
      <c r="A9749" s="45">
        <v>44394</v>
      </c>
      <c r="B9749" s="5" t="s">
        <v>7779</v>
      </c>
      <c r="C9749" s="5" t="s">
        <v>7780</v>
      </c>
      <c r="D9749" s="43">
        <v>30000</v>
      </c>
      <c r="E9749" s="43"/>
      <c r="F9749" s="48">
        <f t="shared" si="160"/>
        <v>125851</v>
      </c>
    </row>
    <row r="9750" spans="1:12" x14ac:dyDescent="0.3">
      <c r="A9750" s="45">
        <v>44394</v>
      </c>
      <c r="B9750" s="5" t="s">
        <v>7606</v>
      </c>
      <c r="C9750" s="5" t="s">
        <v>7781</v>
      </c>
      <c r="D9750" s="43">
        <v>3000</v>
      </c>
      <c r="E9750" s="43"/>
      <c r="F9750" s="48">
        <f t="shared" si="160"/>
        <v>122851</v>
      </c>
    </row>
    <row r="9751" spans="1:12" x14ac:dyDescent="0.3">
      <c r="A9751" s="45">
        <v>44394</v>
      </c>
      <c r="B9751" s="5" t="s">
        <v>6341</v>
      </c>
      <c r="C9751" s="5" t="s">
        <v>7783</v>
      </c>
      <c r="D9751" s="43">
        <v>14200</v>
      </c>
      <c r="E9751" s="43"/>
      <c r="F9751" s="48">
        <f t="shared" si="160"/>
        <v>108651</v>
      </c>
    </row>
    <row r="9752" spans="1:12" x14ac:dyDescent="0.3">
      <c r="A9752" s="45">
        <v>44394</v>
      </c>
      <c r="B9752" s="5" t="s">
        <v>7690</v>
      </c>
      <c r="C9752" s="5" t="s">
        <v>7782</v>
      </c>
      <c r="D9752" s="43">
        <v>20000</v>
      </c>
      <c r="E9752" s="43"/>
      <c r="F9752" s="48">
        <f t="shared" si="160"/>
        <v>88651</v>
      </c>
    </row>
    <row r="9753" spans="1:12" x14ac:dyDescent="0.3">
      <c r="A9753" s="45">
        <v>44394</v>
      </c>
      <c r="B9753" s="250" t="s">
        <v>54</v>
      </c>
      <c r="C9753" s="250" t="s">
        <v>7785</v>
      </c>
      <c r="D9753" s="256">
        <v>54271</v>
      </c>
      <c r="E9753" s="43"/>
      <c r="F9753" s="48">
        <f t="shared" si="160"/>
        <v>34380</v>
      </c>
    </row>
    <row r="9754" spans="1:12" x14ac:dyDescent="0.3">
      <c r="A9754" s="45">
        <v>44396</v>
      </c>
      <c r="B9754" s="5" t="s">
        <v>5979</v>
      </c>
      <c r="C9754" s="5" t="s">
        <v>6067</v>
      </c>
      <c r="D9754" s="43">
        <v>10000</v>
      </c>
      <c r="E9754" s="43"/>
      <c r="F9754" s="48">
        <f t="shared" si="160"/>
        <v>24380</v>
      </c>
    </row>
    <row r="9755" spans="1:12" x14ac:dyDescent="0.3">
      <c r="A9755" s="45">
        <v>44396</v>
      </c>
      <c r="B9755" s="5" t="s">
        <v>5618</v>
      </c>
      <c r="C9755" s="5" t="s">
        <v>7787</v>
      </c>
      <c r="D9755" s="43">
        <v>10000</v>
      </c>
      <c r="E9755" s="43"/>
      <c r="F9755" s="48">
        <f t="shared" si="160"/>
        <v>14380</v>
      </c>
    </row>
    <row r="9756" spans="1:12" x14ac:dyDescent="0.3">
      <c r="A9756" s="45">
        <v>44396</v>
      </c>
      <c r="B9756" s="739" t="s">
        <v>7793</v>
      </c>
      <c r="C9756" s="739"/>
      <c r="D9756" s="739"/>
      <c r="E9756" s="43">
        <v>450000</v>
      </c>
      <c r="F9756" s="48">
        <f>F9755+E9756-D9756</f>
        <v>464380</v>
      </c>
      <c r="J9756" s="52">
        <v>45249</v>
      </c>
      <c r="L9756" s="93"/>
    </row>
    <row r="9757" spans="1:12" x14ac:dyDescent="0.3">
      <c r="A9757" s="45">
        <v>44396</v>
      </c>
      <c r="B9757" s="5" t="s">
        <v>7692</v>
      </c>
      <c r="C9757" s="5" t="s">
        <v>7789</v>
      </c>
      <c r="D9757" s="43">
        <v>30000</v>
      </c>
      <c r="E9757" s="43"/>
      <c r="F9757" s="48">
        <f>F9756+E9757-D9757</f>
        <v>434380</v>
      </c>
    </row>
    <row r="9758" spans="1:12" x14ac:dyDescent="0.3">
      <c r="A9758" s="45">
        <v>44396</v>
      </c>
      <c r="B9758" s="5" t="s">
        <v>7790</v>
      </c>
      <c r="C9758" s="5" t="s">
        <v>7791</v>
      </c>
      <c r="D9758" s="43">
        <v>3500</v>
      </c>
      <c r="E9758" s="43"/>
      <c r="F9758" s="48">
        <f t="shared" ref="F9758:F9821" si="161">F9757+E9758-D9758</f>
        <v>430880</v>
      </c>
    </row>
    <row r="9759" spans="1:12" x14ac:dyDescent="0.3">
      <c r="A9759" s="45">
        <v>44396</v>
      </c>
      <c r="B9759" s="5" t="s">
        <v>84</v>
      </c>
      <c r="C9759" s="5" t="s">
        <v>7794</v>
      </c>
      <c r="D9759" s="43">
        <v>5000</v>
      </c>
      <c r="E9759" s="43"/>
      <c r="F9759" s="48">
        <f t="shared" si="161"/>
        <v>425880</v>
      </c>
    </row>
    <row r="9760" spans="1:12" x14ac:dyDescent="0.3">
      <c r="A9760" s="45">
        <v>44396</v>
      </c>
      <c r="B9760" s="5" t="s">
        <v>84</v>
      </c>
      <c r="C9760" s="5" t="s">
        <v>7795</v>
      </c>
      <c r="D9760" s="43">
        <v>5000</v>
      </c>
      <c r="E9760" s="43"/>
      <c r="F9760" s="48">
        <f t="shared" si="161"/>
        <v>420880</v>
      </c>
      <c r="H9760" s="52" t="s">
        <v>7804</v>
      </c>
    </row>
    <row r="9761" spans="1:6" x14ac:dyDescent="0.3">
      <c r="A9761" s="45">
        <v>44396</v>
      </c>
      <c r="B9761" s="5" t="s">
        <v>84</v>
      </c>
      <c r="C9761" s="5" t="s">
        <v>7796</v>
      </c>
      <c r="D9761" s="43">
        <v>5000</v>
      </c>
      <c r="E9761" s="43"/>
      <c r="F9761" s="48">
        <f t="shared" si="161"/>
        <v>415880</v>
      </c>
    </row>
    <row r="9762" spans="1:6" x14ac:dyDescent="0.3">
      <c r="A9762" s="45">
        <v>44396</v>
      </c>
      <c r="B9762" s="5" t="s">
        <v>4055</v>
      </c>
      <c r="C9762" s="5" t="s">
        <v>7797</v>
      </c>
      <c r="D9762" s="43">
        <v>45000</v>
      </c>
      <c r="E9762" s="43"/>
      <c r="F9762" s="48">
        <f t="shared" si="161"/>
        <v>370880</v>
      </c>
    </row>
    <row r="9763" spans="1:6" x14ac:dyDescent="0.3">
      <c r="A9763" s="45">
        <v>44396</v>
      </c>
      <c r="B9763" s="5" t="s">
        <v>7733</v>
      </c>
      <c r="C9763" s="5" t="s">
        <v>7798</v>
      </c>
      <c r="D9763" s="43">
        <v>50000</v>
      </c>
      <c r="E9763" s="43"/>
      <c r="F9763" s="48">
        <f t="shared" si="161"/>
        <v>320880</v>
      </c>
    </row>
    <row r="9764" spans="1:6" x14ac:dyDescent="0.3">
      <c r="A9764" s="45">
        <v>44396</v>
      </c>
      <c r="B9764" s="5" t="s">
        <v>7799</v>
      </c>
      <c r="C9764" s="5" t="s">
        <v>7800</v>
      </c>
      <c r="D9764" s="43">
        <v>19000</v>
      </c>
      <c r="E9764" s="43"/>
      <c r="F9764" s="48">
        <f t="shared" si="161"/>
        <v>301880</v>
      </c>
    </row>
    <row r="9765" spans="1:6" x14ac:dyDescent="0.3">
      <c r="A9765" s="45">
        <v>44396</v>
      </c>
      <c r="B9765" s="5" t="s">
        <v>7761</v>
      </c>
      <c r="C9765" s="5" t="s">
        <v>7801</v>
      </c>
      <c r="D9765" s="43">
        <v>30000</v>
      </c>
      <c r="E9765" s="43"/>
      <c r="F9765" s="48">
        <f t="shared" si="161"/>
        <v>271880</v>
      </c>
    </row>
    <row r="9766" spans="1:6" x14ac:dyDescent="0.3">
      <c r="A9766" s="45">
        <v>44396</v>
      </c>
      <c r="B9766" s="5" t="s">
        <v>7606</v>
      </c>
      <c r="C9766" s="5" t="s">
        <v>7802</v>
      </c>
      <c r="D9766" s="43">
        <v>3000</v>
      </c>
      <c r="E9766" s="43"/>
      <c r="F9766" s="48">
        <f t="shared" si="161"/>
        <v>268880</v>
      </c>
    </row>
    <row r="9767" spans="1:6" x14ac:dyDescent="0.3">
      <c r="A9767" s="45">
        <v>44401</v>
      </c>
      <c r="B9767" s="5" t="s">
        <v>5709</v>
      </c>
      <c r="C9767" s="5" t="s">
        <v>7806</v>
      </c>
      <c r="D9767" s="43">
        <v>1400</v>
      </c>
      <c r="E9767" s="43"/>
      <c r="F9767" s="48">
        <f t="shared" si="161"/>
        <v>267480</v>
      </c>
    </row>
    <row r="9768" spans="1:6" x14ac:dyDescent="0.3">
      <c r="A9768" s="45">
        <v>44401</v>
      </c>
      <c r="B9768" s="5" t="s">
        <v>5709</v>
      </c>
      <c r="C9768" s="5" t="s">
        <v>7805</v>
      </c>
      <c r="D9768" s="43">
        <v>20000</v>
      </c>
      <c r="E9768" s="43"/>
      <c r="F9768" s="48">
        <f t="shared" si="161"/>
        <v>247480</v>
      </c>
    </row>
    <row r="9769" spans="1:6" x14ac:dyDescent="0.3">
      <c r="A9769" s="45">
        <v>44401</v>
      </c>
      <c r="B9769" s="5" t="s">
        <v>14</v>
      </c>
      <c r="C9769" s="5" t="s">
        <v>294</v>
      </c>
      <c r="D9769" s="43">
        <v>100000</v>
      </c>
      <c r="E9769" s="43"/>
      <c r="F9769" s="48">
        <f t="shared" si="161"/>
        <v>147480</v>
      </c>
    </row>
    <row r="9770" spans="1:6" x14ac:dyDescent="0.3">
      <c r="A9770" s="45">
        <v>44401</v>
      </c>
      <c r="B9770" s="5" t="s">
        <v>6341</v>
      </c>
      <c r="C9770" s="5" t="s">
        <v>7809</v>
      </c>
      <c r="D9770" s="43">
        <v>39000</v>
      </c>
      <c r="E9770" s="43"/>
      <c r="F9770" s="48">
        <f t="shared" si="161"/>
        <v>108480</v>
      </c>
    </row>
    <row r="9771" spans="1:6" x14ac:dyDescent="0.3">
      <c r="A9771" s="45">
        <v>44401</v>
      </c>
      <c r="B9771" s="5" t="s">
        <v>0</v>
      </c>
      <c r="C9771" s="5" t="s">
        <v>294</v>
      </c>
      <c r="D9771" s="43">
        <v>5000</v>
      </c>
      <c r="E9771" s="43"/>
      <c r="F9771" s="48">
        <f t="shared" si="161"/>
        <v>103480</v>
      </c>
    </row>
    <row r="9772" spans="1:6" x14ac:dyDescent="0.3">
      <c r="A9772" s="45">
        <v>44403</v>
      </c>
      <c r="B9772" s="5" t="s">
        <v>14</v>
      </c>
      <c r="C9772" s="5" t="s">
        <v>7811</v>
      </c>
      <c r="D9772" s="43">
        <v>31354</v>
      </c>
      <c r="E9772" s="43"/>
      <c r="F9772" s="48">
        <f t="shared" si="161"/>
        <v>72126</v>
      </c>
    </row>
    <row r="9773" spans="1:6" x14ac:dyDescent="0.3">
      <c r="A9773" s="45">
        <v>44403</v>
      </c>
      <c r="B9773" s="5" t="s">
        <v>5938</v>
      </c>
      <c r="C9773" s="5" t="s">
        <v>294</v>
      </c>
      <c r="D9773" s="43">
        <v>20000</v>
      </c>
      <c r="E9773" s="43"/>
      <c r="F9773" s="48">
        <f t="shared" si="161"/>
        <v>52126</v>
      </c>
    </row>
    <row r="9774" spans="1:6" x14ac:dyDescent="0.3">
      <c r="A9774" s="45">
        <v>44403</v>
      </c>
      <c r="B9774" s="5" t="s">
        <v>1074</v>
      </c>
      <c r="C9774" s="5" t="s">
        <v>4601</v>
      </c>
      <c r="D9774" s="43">
        <f>270+250</f>
        <v>520</v>
      </c>
      <c r="E9774" s="43"/>
      <c r="F9774" s="48">
        <f t="shared" si="161"/>
        <v>51606</v>
      </c>
    </row>
    <row r="9775" spans="1:6" x14ac:dyDescent="0.3">
      <c r="A9775" s="45">
        <v>44403</v>
      </c>
      <c r="B9775" s="5" t="s">
        <v>5741</v>
      </c>
      <c r="C9775" s="5" t="s">
        <v>294</v>
      </c>
      <c r="D9775" s="43">
        <v>17300</v>
      </c>
      <c r="E9775" s="43"/>
      <c r="F9775" s="48">
        <f t="shared" si="161"/>
        <v>34306</v>
      </c>
    </row>
    <row r="9776" spans="1:6" x14ac:dyDescent="0.3">
      <c r="A9776" s="45">
        <v>44403</v>
      </c>
      <c r="B9776" s="5" t="s">
        <v>0</v>
      </c>
      <c r="C9776" s="5" t="s">
        <v>6565</v>
      </c>
      <c r="D9776" s="43">
        <v>10000</v>
      </c>
      <c r="E9776" s="43"/>
      <c r="F9776" s="48">
        <f t="shared" si="161"/>
        <v>24306</v>
      </c>
    </row>
    <row r="9777" spans="1:12" x14ac:dyDescent="0.3">
      <c r="A9777" s="45">
        <v>44403</v>
      </c>
      <c r="B9777" s="5" t="s">
        <v>25</v>
      </c>
      <c r="C9777" s="5" t="s">
        <v>7736</v>
      </c>
      <c r="D9777" s="43">
        <v>6000</v>
      </c>
      <c r="E9777" s="43"/>
      <c r="F9777" s="48">
        <f t="shared" si="161"/>
        <v>18306</v>
      </c>
    </row>
    <row r="9778" spans="1:12" x14ac:dyDescent="0.3">
      <c r="A9778" s="45">
        <v>44403</v>
      </c>
      <c r="B9778" s="739" t="s">
        <v>4106</v>
      </c>
      <c r="C9778" s="739"/>
      <c r="D9778" s="739"/>
      <c r="E9778" s="43">
        <v>200000</v>
      </c>
      <c r="F9778" s="48">
        <f t="shared" si="161"/>
        <v>218306</v>
      </c>
      <c r="J9778" s="52">
        <v>45249</v>
      </c>
      <c r="L9778" s="93"/>
    </row>
    <row r="9779" spans="1:12" x14ac:dyDescent="0.3">
      <c r="A9779" s="45">
        <v>44403</v>
      </c>
      <c r="B9779" s="5" t="s">
        <v>1074</v>
      </c>
      <c r="C9779" s="5" t="s">
        <v>7819</v>
      </c>
      <c r="D9779" s="43">
        <f>59315+15339</f>
        <v>74654</v>
      </c>
      <c r="E9779" s="43"/>
      <c r="F9779" s="48">
        <f t="shared" si="161"/>
        <v>143652</v>
      </c>
    </row>
    <row r="9780" spans="1:12" x14ac:dyDescent="0.3">
      <c r="A9780" s="45">
        <v>44403</v>
      </c>
      <c r="B9780" s="5" t="s">
        <v>7606</v>
      </c>
      <c r="C9780" s="5" t="s">
        <v>7813</v>
      </c>
      <c r="D9780" s="43">
        <v>6000</v>
      </c>
      <c r="E9780" s="43"/>
      <c r="F9780" s="48">
        <f t="shared" si="161"/>
        <v>137652</v>
      </c>
    </row>
    <row r="9781" spans="1:12" x14ac:dyDescent="0.3">
      <c r="A9781" s="45">
        <v>44404</v>
      </c>
      <c r="B9781" s="5" t="s">
        <v>25</v>
      </c>
      <c r="C9781" s="5" t="s">
        <v>7815</v>
      </c>
      <c r="D9781" s="43">
        <v>2700</v>
      </c>
      <c r="E9781" s="43"/>
      <c r="F9781" s="48">
        <f t="shared" si="161"/>
        <v>134952</v>
      </c>
    </row>
    <row r="9782" spans="1:12" x14ac:dyDescent="0.3">
      <c r="A9782" s="45">
        <v>44404</v>
      </c>
      <c r="B9782" s="5" t="s">
        <v>25</v>
      </c>
      <c r="C9782" s="5" t="s">
        <v>2231</v>
      </c>
      <c r="D9782" s="43">
        <v>770</v>
      </c>
      <c r="E9782" s="43"/>
      <c r="F9782" s="48">
        <f t="shared" si="161"/>
        <v>134182</v>
      </c>
    </row>
    <row r="9783" spans="1:12" x14ac:dyDescent="0.3">
      <c r="A9783" s="45">
        <v>44404</v>
      </c>
      <c r="B9783" s="5" t="s">
        <v>25</v>
      </c>
      <c r="C9783" s="5" t="s">
        <v>7814</v>
      </c>
      <c r="D9783" s="43">
        <v>4200</v>
      </c>
      <c r="E9783" s="43"/>
      <c r="F9783" s="48">
        <f t="shared" si="161"/>
        <v>129982</v>
      </c>
    </row>
    <row r="9784" spans="1:12" x14ac:dyDescent="0.3">
      <c r="A9784" s="45">
        <v>44404</v>
      </c>
      <c r="B9784" s="5" t="s">
        <v>30</v>
      </c>
      <c r="C9784" s="5" t="s">
        <v>7816</v>
      </c>
      <c r="D9784" s="43">
        <v>150</v>
      </c>
      <c r="E9784" s="43"/>
      <c r="F9784" s="48">
        <f t="shared" si="161"/>
        <v>129832</v>
      </c>
    </row>
    <row r="9785" spans="1:12" x14ac:dyDescent="0.3">
      <c r="A9785" s="45">
        <v>44404</v>
      </c>
      <c r="B9785" s="5" t="s">
        <v>7817</v>
      </c>
      <c r="C9785" s="5" t="s">
        <v>7818</v>
      </c>
      <c r="D9785" s="43">
        <v>1000</v>
      </c>
      <c r="E9785" s="43"/>
      <c r="F9785" s="48">
        <f t="shared" si="161"/>
        <v>128832</v>
      </c>
    </row>
    <row r="9786" spans="1:12" x14ac:dyDescent="0.3">
      <c r="A9786" s="45">
        <v>44404</v>
      </c>
      <c r="B9786" s="5" t="s">
        <v>84</v>
      </c>
      <c r="C9786" s="5" t="s">
        <v>7820</v>
      </c>
      <c r="D9786" s="43">
        <v>5000</v>
      </c>
      <c r="E9786" s="43"/>
      <c r="F9786" s="48">
        <f t="shared" si="161"/>
        <v>123832</v>
      </c>
    </row>
    <row r="9787" spans="1:12" x14ac:dyDescent="0.3">
      <c r="A9787" s="45">
        <v>44404</v>
      </c>
      <c r="B9787" s="5" t="s">
        <v>0</v>
      </c>
      <c r="C9787" s="5" t="s">
        <v>7828</v>
      </c>
      <c r="D9787" s="43">
        <v>35000</v>
      </c>
      <c r="E9787" s="43"/>
      <c r="F9787" s="48">
        <f t="shared" si="161"/>
        <v>88832</v>
      </c>
    </row>
    <row r="9788" spans="1:12" x14ac:dyDescent="0.3">
      <c r="A9788" s="45">
        <v>44404</v>
      </c>
      <c r="B9788" s="5" t="s">
        <v>7606</v>
      </c>
      <c r="C9788" s="5" t="s">
        <v>7829</v>
      </c>
      <c r="D9788" s="43">
        <v>2000</v>
      </c>
      <c r="E9788" s="43"/>
      <c r="F9788" s="48">
        <f t="shared" si="161"/>
        <v>86832</v>
      </c>
    </row>
    <row r="9789" spans="1:12" x14ac:dyDescent="0.3">
      <c r="A9789" s="45">
        <v>44404</v>
      </c>
      <c r="B9789" s="5" t="s">
        <v>14</v>
      </c>
      <c r="C9789" s="5" t="s">
        <v>640</v>
      </c>
      <c r="D9789" s="43">
        <v>1000</v>
      </c>
      <c r="E9789" s="43"/>
      <c r="F9789" s="48">
        <f t="shared" si="161"/>
        <v>85832</v>
      </c>
    </row>
    <row r="9790" spans="1:12" x14ac:dyDescent="0.3">
      <c r="A9790" s="45">
        <v>44404</v>
      </c>
      <c r="B9790" s="5" t="s">
        <v>7830</v>
      </c>
      <c r="C9790" s="5" t="s">
        <v>7831</v>
      </c>
      <c r="D9790" s="43">
        <v>63000</v>
      </c>
      <c r="E9790" s="43"/>
      <c r="F9790" s="48">
        <f t="shared" si="161"/>
        <v>22832</v>
      </c>
    </row>
    <row r="9791" spans="1:12" x14ac:dyDescent="0.3">
      <c r="A9791" s="45">
        <v>44405</v>
      </c>
      <c r="B9791" s="5" t="s">
        <v>7606</v>
      </c>
      <c r="C9791" s="5" t="s">
        <v>7835</v>
      </c>
      <c r="D9791" s="43">
        <v>500</v>
      </c>
      <c r="E9791" s="43"/>
      <c r="F9791" s="48">
        <f t="shared" si="161"/>
        <v>22332</v>
      </c>
    </row>
    <row r="9792" spans="1:12" x14ac:dyDescent="0.3">
      <c r="A9792" s="45">
        <v>44405</v>
      </c>
      <c r="B9792" s="739" t="s">
        <v>4106</v>
      </c>
      <c r="C9792" s="739"/>
      <c r="D9792" s="739"/>
      <c r="E9792" s="43">
        <v>200000</v>
      </c>
      <c r="F9792" s="48">
        <f t="shared" si="161"/>
        <v>222332</v>
      </c>
      <c r="J9792" s="52">
        <v>45249</v>
      </c>
      <c r="L9792" s="93"/>
    </row>
    <row r="9793" spans="1:11" x14ac:dyDescent="0.3">
      <c r="A9793" s="45">
        <v>44405</v>
      </c>
      <c r="B9793" s="5" t="s">
        <v>5156</v>
      </c>
      <c r="C9793" s="5" t="s">
        <v>6877</v>
      </c>
      <c r="D9793" s="43">
        <v>250</v>
      </c>
      <c r="E9793" s="43"/>
      <c r="F9793" s="48">
        <f t="shared" si="161"/>
        <v>222082</v>
      </c>
    </row>
    <row r="9794" spans="1:11" x14ac:dyDescent="0.3">
      <c r="A9794" s="45">
        <v>44405</v>
      </c>
      <c r="B9794" s="5" t="s">
        <v>7836</v>
      </c>
      <c r="C9794" s="5" t="s">
        <v>40</v>
      </c>
      <c r="D9794" s="43">
        <v>57668</v>
      </c>
      <c r="E9794" s="43"/>
      <c r="F9794" s="48">
        <f t="shared" si="161"/>
        <v>164414</v>
      </c>
    </row>
    <row r="9795" spans="1:11" x14ac:dyDescent="0.3">
      <c r="A9795" s="45">
        <v>44405</v>
      </c>
      <c r="B9795" s="5" t="s">
        <v>1512</v>
      </c>
      <c r="C9795" s="5" t="s">
        <v>7837</v>
      </c>
      <c r="D9795" s="43">
        <v>4000</v>
      </c>
      <c r="E9795" s="43"/>
      <c r="F9795" s="48">
        <f t="shared" si="161"/>
        <v>160414</v>
      </c>
    </row>
    <row r="9796" spans="1:11" x14ac:dyDescent="0.3">
      <c r="A9796" s="45">
        <v>44405</v>
      </c>
      <c r="B9796" s="5" t="s">
        <v>7606</v>
      </c>
      <c r="C9796" s="5" t="s">
        <v>7838</v>
      </c>
      <c r="D9796" s="43">
        <v>2000</v>
      </c>
      <c r="E9796" s="43"/>
      <c r="F9796" s="48">
        <f t="shared" si="161"/>
        <v>158414</v>
      </c>
    </row>
    <row r="9797" spans="1:11" x14ac:dyDescent="0.3">
      <c r="A9797" s="45">
        <v>44405</v>
      </c>
      <c r="B9797" s="5" t="s">
        <v>7606</v>
      </c>
      <c r="C9797" s="5" t="s">
        <v>7839</v>
      </c>
      <c r="D9797" s="43">
        <v>5000</v>
      </c>
      <c r="E9797" s="43"/>
      <c r="F9797" s="48">
        <f t="shared" si="161"/>
        <v>153414</v>
      </c>
    </row>
    <row r="9798" spans="1:11" x14ac:dyDescent="0.3">
      <c r="A9798" s="45">
        <v>44405</v>
      </c>
      <c r="B9798" s="5" t="s">
        <v>6221</v>
      </c>
      <c r="C9798" s="5" t="s">
        <v>7840</v>
      </c>
      <c r="D9798" s="43">
        <v>9000</v>
      </c>
      <c r="E9798" s="43"/>
      <c r="F9798" s="48">
        <f t="shared" si="161"/>
        <v>144414</v>
      </c>
    </row>
    <row r="9799" spans="1:11" x14ac:dyDescent="0.3">
      <c r="A9799" s="45">
        <v>44405</v>
      </c>
      <c r="B9799" s="5" t="s">
        <v>0</v>
      </c>
      <c r="C9799" s="5" t="s">
        <v>294</v>
      </c>
      <c r="D9799" s="43">
        <v>1000</v>
      </c>
      <c r="E9799" s="43"/>
      <c r="F9799" s="48">
        <f t="shared" si="161"/>
        <v>143414</v>
      </c>
    </row>
    <row r="9800" spans="1:11" x14ac:dyDescent="0.3">
      <c r="A9800" s="45">
        <v>44405</v>
      </c>
      <c r="B9800" s="5" t="s">
        <v>25</v>
      </c>
      <c r="C9800" s="5" t="s">
        <v>6049</v>
      </c>
      <c r="D9800" s="43">
        <v>100</v>
      </c>
      <c r="E9800" s="43"/>
      <c r="F9800" s="48">
        <f t="shared" si="161"/>
        <v>143314</v>
      </c>
    </row>
    <row r="9801" spans="1:11" x14ac:dyDescent="0.3">
      <c r="A9801" s="45">
        <v>44405</v>
      </c>
      <c r="B9801" s="5" t="s">
        <v>541</v>
      </c>
      <c r="C9801" s="5" t="s">
        <v>7841</v>
      </c>
      <c r="D9801" s="43">
        <v>10000</v>
      </c>
      <c r="E9801" s="43"/>
      <c r="F9801" s="48">
        <f t="shared" si="161"/>
        <v>133314</v>
      </c>
    </row>
    <row r="9802" spans="1:11" x14ac:dyDescent="0.3">
      <c r="A9802" s="45">
        <v>44406</v>
      </c>
      <c r="B9802" s="5" t="s">
        <v>6430</v>
      </c>
      <c r="C9802" s="5" t="s">
        <v>4512</v>
      </c>
      <c r="D9802" s="43">
        <v>1200</v>
      </c>
      <c r="E9802" s="43"/>
      <c r="F9802" s="48">
        <f t="shared" si="161"/>
        <v>132114</v>
      </c>
    </row>
    <row r="9803" spans="1:11" x14ac:dyDescent="0.3">
      <c r="A9803" s="45">
        <v>44406</v>
      </c>
      <c r="B9803" s="5" t="s">
        <v>18</v>
      </c>
      <c r="C9803" s="5" t="s">
        <v>4512</v>
      </c>
      <c r="D9803" s="43">
        <v>2500</v>
      </c>
      <c r="E9803" s="43"/>
      <c r="F9803" s="48">
        <f t="shared" si="161"/>
        <v>129614</v>
      </c>
    </row>
    <row r="9804" spans="1:11" x14ac:dyDescent="0.3">
      <c r="A9804" s="45">
        <v>44406</v>
      </c>
      <c r="B9804" s="5" t="s">
        <v>57</v>
      </c>
      <c r="C9804" s="5" t="s">
        <v>7844</v>
      </c>
      <c r="D9804" s="43">
        <v>5000</v>
      </c>
      <c r="E9804" s="43"/>
      <c r="F9804" s="48">
        <f t="shared" si="161"/>
        <v>124614</v>
      </c>
      <c r="J9804" s="52">
        <v>920000</v>
      </c>
      <c r="K9804" s="4" t="s">
        <v>7847</v>
      </c>
    </row>
    <row r="9805" spans="1:11" x14ac:dyDescent="0.3">
      <c r="A9805" s="45">
        <v>44406</v>
      </c>
      <c r="B9805" s="5" t="s">
        <v>7546</v>
      </c>
      <c r="C9805" s="5" t="s">
        <v>7845</v>
      </c>
      <c r="D9805" s="43">
        <v>2000</v>
      </c>
      <c r="E9805" s="43"/>
      <c r="F9805" s="48">
        <f t="shared" si="161"/>
        <v>122614</v>
      </c>
      <c r="J9805" s="52">
        <f>J9804/2</f>
        <v>460000</v>
      </c>
    </row>
    <row r="9806" spans="1:11" x14ac:dyDescent="0.3">
      <c r="A9806" s="45">
        <v>44406</v>
      </c>
      <c r="B9806" s="5" t="s">
        <v>25</v>
      </c>
      <c r="C9806" s="5" t="s">
        <v>4731</v>
      </c>
      <c r="D9806" s="43">
        <v>3000</v>
      </c>
      <c r="E9806" s="43"/>
      <c r="F9806" s="48">
        <f t="shared" si="161"/>
        <v>119614</v>
      </c>
      <c r="K9806" s="93"/>
    </row>
    <row r="9807" spans="1:11" x14ac:dyDescent="0.3">
      <c r="A9807" s="45">
        <v>44406</v>
      </c>
      <c r="B9807" s="5" t="s">
        <v>7606</v>
      </c>
      <c r="C9807" s="5" t="s">
        <v>7846</v>
      </c>
      <c r="D9807" s="43">
        <v>5000</v>
      </c>
      <c r="E9807" s="43"/>
      <c r="F9807" s="48">
        <f t="shared" si="161"/>
        <v>114614</v>
      </c>
    </row>
    <row r="9808" spans="1:11" x14ac:dyDescent="0.3">
      <c r="A9808" s="45">
        <v>44407</v>
      </c>
      <c r="B9808" s="5" t="s">
        <v>25</v>
      </c>
      <c r="C9808" s="5" t="s">
        <v>4276</v>
      </c>
      <c r="D9808" s="43">
        <v>2455</v>
      </c>
      <c r="E9808" s="43"/>
      <c r="F9808" s="48">
        <f t="shared" si="161"/>
        <v>112159</v>
      </c>
    </row>
    <row r="9809" spans="1:12" x14ac:dyDescent="0.3">
      <c r="A9809" s="45">
        <v>44407</v>
      </c>
      <c r="B9809" s="5" t="s">
        <v>25</v>
      </c>
      <c r="C9809" s="5" t="s">
        <v>7815</v>
      </c>
      <c r="D9809" s="43">
        <v>600</v>
      </c>
      <c r="E9809" s="43"/>
      <c r="F9809" s="48">
        <f t="shared" si="161"/>
        <v>111559</v>
      </c>
      <c r="H9809" s="52">
        <v>280000</v>
      </c>
    </row>
    <row r="9810" spans="1:12" x14ac:dyDescent="0.3">
      <c r="A9810" s="45">
        <v>44407</v>
      </c>
      <c r="B9810" s="5" t="s">
        <v>6341</v>
      </c>
      <c r="C9810" s="5" t="s">
        <v>294</v>
      </c>
      <c r="D9810" s="43">
        <v>19000</v>
      </c>
      <c r="E9810" s="43"/>
      <c r="F9810" s="48">
        <f t="shared" si="161"/>
        <v>92559</v>
      </c>
      <c r="H9810" s="52">
        <v>360000</v>
      </c>
    </row>
    <row r="9811" spans="1:12" x14ac:dyDescent="0.3">
      <c r="A9811" s="45">
        <v>44407</v>
      </c>
      <c r="B9811" s="739" t="s">
        <v>7440</v>
      </c>
      <c r="C9811" s="739"/>
      <c r="D9811" s="739"/>
      <c r="E9811" s="43">
        <v>100000</v>
      </c>
      <c r="F9811" s="48">
        <f>F9810+E9811-D9811</f>
        <v>192559</v>
      </c>
      <c r="H9811" s="52">
        <f>SUM(H9809:H9810)</f>
        <v>640000</v>
      </c>
      <c r="J9811" s="52">
        <v>45249</v>
      </c>
      <c r="L9811" s="93"/>
    </row>
    <row r="9812" spans="1:12" x14ac:dyDescent="0.3">
      <c r="A9812" s="45">
        <v>44407</v>
      </c>
      <c r="B9812" s="5" t="s">
        <v>68</v>
      </c>
      <c r="C9812" s="5" t="s">
        <v>3557</v>
      </c>
      <c r="D9812" s="43">
        <v>5000</v>
      </c>
      <c r="E9812" s="43"/>
      <c r="F9812" s="48">
        <f t="shared" si="161"/>
        <v>187559</v>
      </c>
    </row>
    <row r="9813" spans="1:12" x14ac:dyDescent="0.3">
      <c r="A9813" s="45">
        <v>44407</v>
      </c>
      <c r="B9813" s="5" t="s">
        <v>7606</v>
      </c>
      <c r="C9813" s="5" t="s">
        <v>7848</v>
      </c>
      <c r="D9813" s="43">
        <v>1000</v>
      </c>
      <c r="E9813" s="43"/>
      <c r="F9813" s="48">
        <f t="shared" si="161"/>
        <v>186559</v>
      </c>
      <c r="I9813" s="52">
        <f>H9809/H9811</f>
        <v>0.4375</v>
      </c>
    </row>
    <row r="9814" spans="1:12" x14ac:dyDescent="0.3">
      <c r="A9814" s="45">
        <v>44407</v>
      </c>
      <c r="B9814" s="5" t="s">
        <v>25</v>
      </c>
      <c r="C9814" s="5" t="s">
        <v>7849</v>
      </c>
      <c r="D9814" s="43">
        <v>300</v>
      </c>
      <c r="E9814" s="43"/>
      <c r="F9814" s="48">
        <f t="shared" si="161"/>
        <v>186259</v>
      </c>
      <c r="I9814" s="52">
        <f>H9810/H9811</f>
        <v>0.5625</v>
      </c>
    </row>
    <row r="9815" spans="1:12" x14ac:dyDescent="0.3">
      <c r="A9815" s="45">
        <v>44407</v>
      </c>
      <c r="B9815" s="5" t="s">
        <v>91</v>
      </c>
      <c r="C9815" s="5" t="s">
        <v>2444</v>
      </c>
      <c r="D9815" s="43">
        <v>650</v>
      </c>
      <c r="E9815" s="43"/>
      <c r="F9815" s="48">
        <f t="shared" si="161"/>
        <v>185609</v>
      </c>
    </row>
    <row r="9816" spans="1:12" x14ac:dyDescent="0.3">
      <c r="A9816" s="45">
        <v>44408</v>
      </c>
      <c r="B9816" s="5" t="s">
        <v>7606</v>
      </c>
      <c r="C9816" s="5" t="s">
        <v>7850</v>
      </c>
      <c r="D9816" s="43">
        <v>1000</v>
      </c>
      <c r="E9816" s="43"/>
      <c r="F9816" s="48">
        <f t="shared" si="161"/>
        <v>184609</v>
      </c>
    </row>
    <row r="9817" spans="1:12" x14ac:dyDescent="0.3">
      <c r="A9817" s="45">
        <v>44408</v>
      </c>
      <c r="B9817" s="5" t="s">
        <v>0</v>
      </c>
      <c r="C9817" s="5" t="s">
        <v>7853</v>
      </c>
      <c r="D9817" s="43">
        <v>16332</v>
      </c>
      <c r="E9817" s="43"/>
      <c r="F9817" s="48">
        <f t="shared" si="161"/>
        <v>168277</v>
      </c>
    </row>
    <row r="9818" spans="1:12" x14ac:dyDescent="0.3">
      <c r="A9818" s="45">
        <v>44408</v>
      </c>
      <c r="B9818" s="5" t="s">
        <v>0</v>
      </c>
      <c r="C9818" s="5" t="s">
        <v>294</v>
      </c>
      <c r="D9818" s="43">
        <v>15000</v>
      </c>
      <c r="E9818" s="43"/>
      <c r="F9818" s="48">
        <f t="shared" si="161"/>
        <v>153277</v>
      </c>
    </row>
    <row r="9819" spans="1:12" x14ac:dyDescent="0.3">
      <c r="A9819" s="45">
        <v>44410</v>
      </c>
      <c r="B9819" s="5" t="s">
        <v>14</v>
      </c>
      <c r="C9819" s="5" t="s">
        <v>7854</v>
      </c>
      <c r="D9819" s="43">
        <v>13969</v>
      </c>
      <c r="E9819" s="43"/>
      <c r="F9819" s="48">
        <f t="shared" si="161"/>
        <v>139308</v>
      </c>
      <c r="H9819" s="52">
        <v>170217</v>
      </c>
    </row>
    <row r="9820" spans="1:12" x14ac:dyDescent="0.3">
      <c r="A9820" s="45">
        <v>44410</v>
      </c>
      <c r="B9820" s="5" t="s">
        <v>1074</v>
      </c>
      <c r="C9820" s="5" t="s">
        <v>7855</v>
      </c>
      <c r="D9820" s="43">
        <v>2722</v>
      </c>
      <c r="E9820" s="43"/>
      <c r="F9820" s="48">
        <f t="shared" si="161"/>
        <v>136586</v>
      </c>
    </row>
    <row r="9821" spans="1:12" x14ac:dyDescent="0.3">
      <c r="A9821" s="45">
        <v>44410</v>
      </c>
      <c r="B9821" s="5" t="s">
        <v>7606</v>
      </c>
      <c r="C9821" s="5" t="s">
        <v>7856</v>
      </c>
      <c r="D9821" s="43">
        <v>2000</v>
      </c>
      <c r="E9821" s="43"/>
      <c r="F9821" s="48">
        <f t="shared" si="161"/>
        <v>134586</v>
      </c>
    </row>
    <row r="9822" spans="1:12" x14ac:dyDescent="0.3">
      <c r="A9822" s="45">
        <v>44410</v>
      </c>
      <c r="B9822" s="5" t="s">
        <v>7606</v>
      </c>
      <c r="C9822" s="5" t="s">
        <v>7857</v>
      </c>
      <c r="D9822" s="43">
        <v>1000</v>
      </c>
      <c r="E9822" s="43"/>
      <c r="F9822" s="48">
        <f t="shared" ref="F9822:F9885" si="162">F9821+E9822-D9822</f>
        <v>133586</v>
      </c>
    </row>
    <row r="9823" spans="1:12" ht="37.5" x14ac:dyDescent="0.3">
      <c r="A9823" s="45">
        <v>44410</v>
      </c>
      <c r="B9823" s="5" t="s">
        <v>7546</v>
      </c>
      <c r="C9823" s="92" t="s">
        <v>7858</v>
      </c>
      <c r="D9823" s="43">
        <v>20000</v>
      </c>
      <c r="E9823" s="43"/>
      <c r="F9823" s="48">
        <f t="shared" si="162"/>
        <v>113586</v>
      </c>
    </row>
    <row r="9824" spans="1:12" x14ac:dyDescent="0.3">
      <c r="A9824" s="45">
        <v>44410</v>
      </c>
      <c r="B9824" s="5" t="s">
        <v>57</v>
      </c>
      <c r="C9824" s="5" t="s">
        <v>7859</v>
      </c>
      <c r="D9824" s="43">
        <v>20000</v>
      </c>
      <c r="E9824" s="43"/>
      <c r="F9824" s="48">
        <f t="shared" si="162"/>
        <v>93586</v>
      </c>
      <c r="H9824" s="52">
        <v>232400</v>
      </c>
    </row>
    <row r="9825" spans="1:12" x14ac:dyDescent="0.3">
      <c r="A9825" s="45">
        <v>44411</v>
      </c>
      <c r="B9825" s="5" t="s">
        <v>14</v>
      </c>
      <c r="C9825" s="5" t="s">
        <v>294</v>
      </c>
      <c r="D9825" s="43">
        <v>5000</v>
      </c>
      <c r="E9825" s="43"/>
      <c r="F9825" s="48">
        <f t="shared" si="162"/>
        <v>88586</v>
      </c>
    </row>
    <row r="9826" spans="1:12" x14ac:dyDescent="0.3">
      <c r="A9826" s="45">
        <v>44411</v>
      </c>
      <c r="B9826" s="5" t="s">
        <v>5709</v>
      </c>
      <c r="C9826" s="5" t="s">
        <v>7861</v>
      </c>
      <c r="D9826" s="43">
        <v>10000</v>
      </c>
      <c r="E9826" s="43"/>
      <c r="F9826" s="48">
        <f t="shared" si="162"/>
        <v>78586</v>
      </c>
    </row>
    <row r="9827" spans="1:12" x14ac:dyDescent="0.3">
      <c r="A9827" s="45">
        <v>44411</v>
      </c>
      <c r="B9827" s="5" t="s">
        <v>7606</v>
      </c>
      <c r="C9827" s="5" t="s">
        <v>7864</v>
      </c>
      <c r="D9827" s="43">
        <v>1000</v>
      </c>
      <c r="E9827" s="43"/>
      <c r="F9827" s="48">
        <f t="shared" si="162"/>
        <v>77586</v>
      </c>
    </row>
    <row r="9828" spans="1:12" x14ac:dyDescent="0.3">
      <c r="A9828" s="45">
        <v>44411</v>
      </c>
      <c r="B9828" s="5" t="s">
        <v>7865</v>
      </c>
      <c r="C9828" s="5" t="s">
        <v>7866</v>
      </c>
      <c r="D9828" s="43">
        <v>40000</v>
      </c>
      <c r="E9828" s="43"/>
      <c r="F9828" s="48">
        <f t="shared" si="162"/>
        <v>37586</v>
      </c>
    </row>
    <row r="9829" spans="1:12" x14ac:dyDescent="0.3">
      <c r="A9829" s="45">
        <v>44411</v>
      </c>
      <c r="B9829" s="5" t="s">
        <v>7606</v>
      </c>
      <c r="C9829" s="5" t="s">
        <v>7867</v>
      </c>
      <c r="D9829" s="43">
        <v>2000</v>
      </c>
      <c r="E9829" s="43"/>
      <c r="F9829" s="48">
        <f t="shared" si="162"/>
        <v>35586</v>
      </c>
    </row>
    <row r="9830" spans="1:12" x14ac:dyDescent="0.3">
      <c r="A9830" s="45">
        <v>44411</v>
      </c>
      <c r="B9830" s="5" t="s">
        <v>6221</v>
      </c>
      <c r="C9830" s="5" t="s">
        <v>7868</v>
      </c>
      <c r="D9830" s="43">
        <v>25800</v>
      </c>
      <c r="E9830" s="43"/>
      <c r="F9830" s="48">
        <f t="shared" si="162"/>
        <v>9786</v>
      </c>
    </row>
    <row r="9831" spans="1:12" x14ac:dyDescent="0.3">
      <c r="A9831" s="45">
        <v>44412</v>
      </c>
      <c r="B9831" s="5" t="s">
        <v>25</v>
      </c>
      <c r="C9831" s="5" t="s">
        <v>4276</v>
      </c>
      <c r="D9831" s="43">
        <f>60+90+270+60+650+50+270+260+220+80+120+190+90+270+260+300</f>
        <v>3240</v>
      </c>
      <c r="E9831" s="43"/>
      <c r="F9831" s="48">
        <f t="shared" si="162"/>
        <v>6546</v>
      </c>
    </row>
    <row r="9832" spans="1:12" x14ac:dyDescent="0.3">
      <c r="A9832" s="45">
        <v>44412</v>
      </c>
      <c r="B9832" s="5" t="s">
        <v>25</v>
      </c>
      <c r="C9832" s="5" t="s">
        <v>7815</v>
      </c>
      <c r="D9832" s="43">
        <v>1000</v>
      </c>
      <c r="E9832" s="43"/>
      <c r="F9832" s="48">
        <f t="shared" si="162"/>
        <v>5546</v>
      </c>
    </row>
    <row r="9833" spans="1:12" x14ac:dyDescent="0.3">
      <c r="A9833" s="45">
        <v>44412</v>
      </c>
      <c r="B9833" s="5" t="s">
        <v>25</v>
      </c>
      <c r="C9833" s="5" t="s">
        <v>2231</v>
      </c>
      <c r="D9833" s="43">
        <v>450</v>
      </c>
      <c r="E9833" s="43"/>
      <c r="F9833" s="48">
        <f t="shared" si="162"/>
        <v>5096</v>
      </c>
    </row>
    <row r="9834" spans="1:12" x14ac:dyDescent="0.3">
      <c r="A9834" s="45">
        <v>44412</v>
      </c>
      <c r="B9834" s="739" t="s">
        <v>7440</v>
      </c>
      <c r="C9834" s="739"/>
      <c r="D9834" s="739"/>
      <c r="E9834" s="43">
        <v>100000</v>
      </c>
      <c r="F9834" s="48">
        <f t="shared" si="162"/>
        <v>105096</v>
      </c>
      <c r="H9834" s="52">
        <f>SUM(H9829:H9830)</f>
        <v>0</v>
      </c>
      <c r="J9834" s="52">
        <v>45249</v>
      </c>
      <c r="L9834" s="93"/>
    </row>
    <row r="9835" spans="1:12" x14ac:dyDescent="0.3">
      <c r="A9835" s="45">
        <v>44412</v>
      </c>
      <c r="B9835" s="5" t="s">
        <v>14</v>
      </c>
      <c r="C9835" s="5" t="s">
        <v>7860</v>
      </c>
      <c r="D9835" s="43">
        <v>20000</v>
      </c>
      <c r="E9835" s="43"/>
      <c r="F9835" s="48">
        <f t="shared" si="162"/>
        <v>85096</v>
      </c>
    </row>
    <row r="9836" spans="1:12" x14ac:dyDescent="0.3">
      <c r="A9836" s="45">
        <v>44413</v>
      </c>
      <c r="B9836" s="5" t="s">
        <v>25</v>
      </c>
      <c r="C9836" s="5" t="s">
        <v>5108</v>
      </c>
      <c r="D9836" s="43">
        <v>1000</v>
      </c>
      <c r="E9836" s="43"/>
      <c r="F9836" s="48">
        <f t="shared" si="162"/>
        <v>84096</v>
      </c>
    </row>
    <row r="9837" spans="1:12" x14ac:dyDescent="0.3">
      <c r="A9837" s="45">
        <v>44413</v>
      </c>
      <c r="B9837" s="739" t="s">
        <v>7440</v>
      </c>
      <c r="C9837" s="739"/>
      <c r="D9837" s="739"/>
      <c r="E9837" s="43">
        <v>100000</v>
      </c>
      <c r="F9837" s="48">
        <f>F9836+E9837-D9837</f>
        <v>184096</v>
      </c>
      <c r="H9837" s="52">
        <f>SUM(H9833:H9834)</f>
        <v>0</v>
      </c>
      <c r="J9837" s="52">
        <v>45249</v>
      </c>
      <c r="L9837" s="93"/>
    </row>
    <row r="9838" spans="1:12" x14ac:dyDescent="0.3">
      <c r="A9838" s="45">
        <v>44413</v>
      </c>
      <c r="B9838" s="5" t="s">
        <v>5709</v>
      </c>
      <c r="C9838" s="5" t="s">
        <v>4479</v>
      </c>
      <c r="D9838" s="43">
        <v>20000</v>
      </c>
      <c r="E9838" s="43"/>
      <c r="F9838" s="48">
        <f t="shared" si="162"/>
        <v>164096</v>
      </c>
    </row>
    <row r="9839" spans="1:12" x14ac:dyDescent="0.3">
      <c r="A9839" s="45">
        <v>44413</v>
      </c>
      <c r="B9839" s="5" t="s">
        <v>0</v>
      </c>
      <c r="C9839" s="5" t="s">
        <v>4479</v>
      </c>
      <c r="D9839" s="43">
        <v>20000</v>
      </c>
      <c r="E9839" s="43"/>
      <c r="F9839" s="48">
        <f t="shared" si="162"/>
        <v>144096</v>
      </c>
    </row>
    <row r="9840" spans="1:12" x14ac:dyDescent="0.3">
      <c r="A9840" s="45">
        <v>44413</v>
      </c>
      <c r="B9840" s="5" t="s">
        <v>6341</v>
      </c>
      <c r="C9840" s="5" t="s">
        <v>7873</v>
      </c>
      <c r="D9840" s="43">
        <v>10000</v>
      </c>
      <c r="E9840" s="43"/>
      <c r="F9840" s="48">
        <f t="shared" si="162"/>
        <v>134096</v>
      </c>
    </row>
    <row r="9841" spans="1:12" x14ac:dyDescent="0.3">
      <c r="A9841" s="45">
        <v>44413</v>
      </c>
      <c r="B9841" s="739" t="s">
        <v>4106</v>
      </c>
      <c r="C9841" s="739"/>
      <c r="D9841" s="739"/>
      <c r="E9841" s="43">
        <v>500000</v>
      </c>
      <c r="F9841" s="48">
        <f t="shared" si="162"/>
        <v>634096</v>
      </c>
      <c r="H9841" s="52">
        <f>SUM(H9836:H9837)</f>
        <v>0</v>
      </c>
      <c r="J9841" s="52">
        <v>45249</v>
      </c>
      <c r="L9841" s="93"/>
    </row>
    <row r="9842" spans="1:12" x14ac:dyDescent="0.3">
      <c r="A9842" s="45">
        <v>44413</v>
      </c>
      <c r="B9842" s="5" t="s">
        <v>0</v>
      </c>
      <c r="C9842" s="5" t="s">
        <v>294</v>
      </c>
      <c r="D9842" s="43">
        <v>55000</v>
      </c>
      <c r="E9842" s="43"/>
      <c r="F9842" s="48">
        <f t="shared" si="162"/>
        <v>579096</v>
      </c>
    </row>
    <row r="9843" spans="1:12" x14ac:dyDescent="0.3">
      <c r="A9843" s="45">
        <v>44413</v>
      </c>
      <c r="B9843" s="5" t="s">
        <v>1616</v>
      </c>
      <c r="C9843" s="5" t="s">
        <v>5546</v>
      </c>
      <c r="D9843" s="43">
        <v>600</v>
      </c>
      <c r="E9843" s="43"/>
      <c r="F9843" s="48">
        <f t="shared" si="162"/>
        <v>578496</v>
      </c>
      <c r="H9843" s="52">
        <v>499000</v>
      </c>
    </row>
    <row r="9844" spans="1:12" x14ac:dyDescent="0.3">
      <c r="A9844" s="45">
        <v>44413</v>
      </c>
      <c r="B9844" s="250" t="s">
        <v>54</v>
      </c>
      <c r="C9844" s="250" t="s">
        <v>118</v>
      </c>
      <c r="D9844" s="256">
        <v>89000</v>
      </c>
      <c r="E9844" s="43"/>
      <c r="F9844" s="48">
        <f t="shared" si="162"/>
        <v>489496</v>
      </c>
    </row>
    <row r="9845" spans="1:12" x14ac:dyDescent="0.3">
      <c r="A9845" s="45">
        <v>44413</v>
      </c>
      <c r="B9845" s="250" t="s">
        <v>54</v>
      </c>
      <c r="C9845" s="39" t="s">
        <v>5933</v>
      </c>
      <c r="D9845" s="40">
        <v>99318.548387096773</v>
      </c>
      <c r="E9845" s="43"/>
      <c r="F9845" s="48">
        <f t="shared" si="162"/>
        <v>390177.45161290321</v>
      </c>
    </row>
    <row r="9846" spans="1:12" x14ac:dyDescent="0.3">
      <c r="A9846" s="45">
        <v>44413</v>
      </c>
      <c r="B9846" s="250" t="s">
        <v>54</v>
      </c>
      <c r="C9846" s="39" t="s">
        <v>7882</v>
      </c>
      <c r="D9846" s="40">
        <v>94467.741935483878</v>
      </c>
      <c r="E9846" s="43"/>
      <c r="F9846" s="48">
        <f t="shared" si="162"/>
        <v>295709.70967741933</v>
      </c>
    </row>
    <row r="9847" spans="1:12" x14ac:dyDescent="0.3">
      <c r="A9847" s="45">
        <v>44413</v>
      </c>
      <c r="B9847" s="250" t="s">
        <v>54</v>
      </c>
      <c r="C9847" s="39" t="s">
        <v>7884</v>
      </c>
      <c r="D9847" s="40">
        <v>242154.83870967739</v>
      </c>
      <c r="E9847" s="43"/>
      <c r="F9847" s="48">
        <f t="shared" si="162"/>
        <v>53554.870967741939</v>
      </c>
    </row>
    <row r="9848" spans="1:12" x14ac:dyDescent="0.3">
      <c r="A9848" s="45">
        <v>44413</v>
      </c>
      <c r="B9848" s="5" t="s">
        <v>7606</v>
      </c>
      <c r="C9848" s="5" t="s">
        <v>7874</v>
      </c>
      <c r="D9848" s="43">
        <v>8000</v>
      </c>
      <c r="E9848" s="43"/>
      <c r="F9848" s="48">
        <f t="shared" si="162"/>
        <v>45554.870967741939</v>
      </c>
      <c r="H9848" s="52">
        <v>45000</v>
      </c>
    </row>
    <row r="9849" spans="1:12" x14ac:dyDescent="0.3">
      <c r="A9849" s="45">
        <v>44413</v>
      </c>
      <c r="B9849" s="5" t="s">
        <v>7128</v>
      </c>
      <c r="C9849" s="5" t="s">
        <v>7875</v>
      </c>
      <c r="D9849" s="43">
        <v>2000</v>
      </c>
      <c r="E9849" s="43"/>
      <c r="F9849" s="48">
        <f t="shared" si="162"/>
        <v>43554.870967741939</v>
      </c>
      <c r="H9849" s="52">
        <v>3760</v>
      </c>
    </row>
    <row r="9850" spans="1:12" x14ac:dyDescent="0.3">
      <c r="A9850" s="45">
        <v>44413</v>
      </c>
      <c r="B9850" s="739" t="s">
        <v>7877</v>
      </c>
      <c r="C9850" s="739"/>
      <c r="D9850" s="739"/>
      <c r="E9850" s="43">
        <v>20000</v>
      </c>
      <c r="F9850" s="48">
        <f t="shared" si="162"/>
        <v>63554.870967741939</v>
      </c>
      <c r="H9850" s="52">
        <f>SUM(H9842:H9843)</f>
        <v>499000</v>
      </c>
      <c r="J9850" s="52">
        <v>45249</v>
      </c>
      <c r="L9850" s="93"/>
    </row>
    <row r="9851" spans="1:12" x14ac:dyDescent="0.3">
      <c r="A9851" s="45">
        <v>44413</v>
      </c>
      <c r="B9851" s="5" t="s">
        <v>7546</v>
      </c>
      <c r="C9851" s="5" t="s">
        <v>7876</v>
      </c>
      <c r="D9851" s="43">
        <v>30000</v>
      </c>
      <c r="E9851" s="43"/>
      <c r="F9851" s="48">
        <f t="shared" si="162"/>
        <v>33554.870967741939</v>
      </c>
      <c r="H9851" s="52">
        <f>SUM(H9843:H9849)</f>
        <v>547760</v>
      </c>
    </row>
    <row r="9852" spans="1:12" x14ac:dyDescent="0.3">
      <c r="A9852" s="45">
        <v>44414</v>
      </c>
      <c r="B9852" s="5" t="s">
        <v>25</v>
      </c>
      <c r="C9852" s="5" t="s">
        <v>7878</v>
      </c>
      <c r="D9852" s="43">
        <v>15000</v>
      </c>
      <c r="E9852" s="43"/>
      <c r="F9852" s="48">
        <f t="shared" si="162"/>
        <v>18554.870967741939</v>
      </c>
      <c r="H9852" s="52">
        <v>537210</v>
      </c>
      <c r="I9852" s="52">
        <v>8000</v>
      </c>
    </row>
    <row r="9853" spans="1:12" x14ac:dyDescent="0.3">
      <c r="A9853" s="45">
        <v>44414</v>
      </c>
      <c r="B9853" s="5" t="s">
        <v>14</v>
      </c>
      <c r="C9853" s="5" t="s">
        <v>294</v>
      </c>
      <c r="D9853" s="43">
        <v>3000</v>
      </c>
      <c r="E9853" s="43"/>
      <c r="F9853" s="48">
        <f t="shared" si="162"/>
        <v>15554.870967741939</v>
      </c>
    </row>
    <row r="9854" spans="1:12" x14ac:dyDescent="0.3">
      <c r="A9854" s="45">
        <v>44417</v>
      </c>
      <c r="B9854" s="5" t="s">
        <v>25</v>
      </c>
      <c r="C9854" s="5" t="s">
        <v>7881</v>
      </c>
      <c r="D9854" s="43">
        <v>240</v>
      </c>
      <c r="E9854" s="43"/>
      <c r="F9854" s="48">
        <f t="shared" si="162"/>
        <v>15314.870967741939</v>
      </c>
    </row>
    <row r="9855" spans="1:12" x14ac:dyDescent="0.3">
      <c r="A9855" s="45">
        <v>44417</v>
      </c>
      <c r="B9855" s="739" t="s">
        <v>4406</v>
      </c>
      <c r="C9855" s="739"/>
      <c r="D9855" s="739"/>
      <c r="E9855" s="43">
        <v>500000</v>
      </c>
      <c r="F9855" s="48">
        <f t="shared" si="162"/>
        <v>515314.87096774194</v>
      </c>
      <c r="H9855" s="52">
        <f>SUM(H9851:H9851)</f>
        <v>547760</v>
      </c>
      <c r="J9855" s="52">
        <v>45249</v>
      </c>
      <c r="L9855" s="93"/>
    </row>
    <row r="9856" spans="1:12" x14ac:dyDescent="0.3">
      <c r="A9856" s="45">
        <v>44417</v>
      </c>
      <c r="B9856" s="250" t="s">
        <v>54</v>
      </c>
      <c r="C9856" s="39" t="s">
        <v>4935</v>
      </c>
      <c r="D9856" s="40">
        <v>210012</v>
      </c>
      <c r="E9856" s="43"/>
      <c r="F9856" s="48">
        <f t="shared" si="162"/>
        <v>305302.87096774194</v>
      </c>
    </row>
    <row r="9857" spans="1:12" x14ac:dyDescent="0.3">
      <c r="A9857" s="45">
        <v>44417</v>
      </c>
      <c r="B9857" s="250" t="s">
        <v>54</v>
      </c>
      <c r="C9857" s="39" t="s">
        <v>7883</v>
      </c>
      <c r="D9857" s="40">
        <v>44814.516129032258</v>
      </c>
      <c r="E9857" s="43"/>
      <c r="F9857" s="48">
        <f t="shared" si="162"/>
        <v>260488.3548387097</v>
      </c>
    </row>
    <row r="9858" spans="1:12" x14ac:dyDescent="0.3">
      <c r="A9858" s="45">
        <v>44417</v>
      </c>
      <c r="B9858" s="250" t="s">
        <v>54</v>
      </c>
      <c r="C9858" s="39" t="s">
        <v>7885</v>
      </c>
      <c r="D9858" s="40">
        <v>68336.693548387091</v>
      </c>
      <c r="E9858" s="43"/>
      <c r="F9858" s="48">
        <f t="shared" si="162"/>
        <v>192151.66129032261</v>
      </c>
    </row>
    <row r="9859" spans="1:12" x14ac:dyDescent="0.3">
      <c r="A9859" s="45">
        <v>44417</v>
      </c>
      <c r="B9859" s="5" t="s">
        <v>7886</v>
      </c>
      <c r="C9859" s="5" t="s">
        <v>7721</v>
      </c>
      <c r="D9859" s="43">
        <v>7000</v>
      </c>
      <c r="E9859" s="43"/>
      <c r="F9859" s="48">
        <f t="shared" si="162"/>
        <v>185151.66129032261</v>
      </c>
      <c r="H9859" s="52">
        <f>H9851-H9852</f>
        <v>10550</v>
      </c>
      <c r="I9859" s="52">
        <v>1440</v>
      </c>
    </row>
    <row r="9860" spans="1:12" x14ac:dyDescent="0.3">
      <c r="A9860" s="45">
        <v>44417</v>
      </c>
      <c r="B9860" s="5" t="s">
        <v>7713</v>
      </c>
      <c r="C9860" s="5" t="s">
        <v>6219</v>
      </c>
      <c r="D9860" s="43">
        <v>1300</v>
      </c>
      <c r="E9860" s="43"/>
      <c r="F9860" s="48">
        <f t="shared" si="162"/>
        <v>183851.66129032261</v>
      </c>
      <c r="H9860" s="52">
        <v>600</v>
      </c>
      <c r="I9860" s="52">
        <f>SUM(I9852:I9859)</f>
        <v>9440</v>
      </c>
    </row>
    <row r="9861" spans="1:12" x14ac:dyDescent="0.3">
      <c r="A9861" s="45">
        <v>44417</v>
      </c>
      <c r="B9861" s="5" t="s">
        <v>7606</v>
      </c>
      <c r="C9861" s="5" t="s">
        <v>7887</v>
      </c>
      <c r="D9861" s="43">
        <v>20000</v>
      </c>
      <c r="E9861" s="43"/>
      <c r="F9861" s="48">
        <f t="shared" si="162"/>
        <v>163851.66129032261</v>
      </c>
      <c r="H9861" s="52">
        <f>H9859-H9860</f>
        <v>9950</v>
      </c>
    </row>
    <row r="9862" spans="1:12" x14ac:dyDescent="0.3">
      <c r="A9862" s="45">
        <v>44417</v>
      </c>
      <c r="B9862" s="5" t="s">
        <v>7888</v>
      </c>
      <c r="C9862" s="61" t="s">
        <v>7889</v>
      </c>
      <c r="D9862" s="43">
        <v>2880</v>
      </c>
      <c r="E9862" s="43"/>
      <c r="F9862" s="48">
        <f t="shared" si="162"/>
        <v>160971.66129032261</v>
      </c>
    </row>
    <row r="9863" spans="1:12" x14ac:dyDescent="0.3">
      <c r="A9863" s="45">
        <v>44418</v>
      </c>
      <c r="B9863" s="5" t="s">
        <v>57</v>
      </c>
      <c r="C9863" s="5" t="s">
        <v>294</v>
      </c>
      <c r="D9863" s="43">
        <v>10000</v>
      </c>
      <c r="E9863" s="43"/>
      <c r="F9863" s="48">
        <f t="shared" si="162"/>
        <v>150971.66129032261</v>
      </c>
    </row>
    <row r="9864" spans="1:12" x14ac:dyDescent="0.3">
      <c r="A9864" s="45">
        <v>44418</v>
      </c>
      <c r="B9864" s="5" t="s">
        <v>14</v>
      </c>
      <c r="C9864" s="5" t="s">
        <v>294</v>
      </c>
      <c r="D9864" s="43">
        <v>20000</v>
      </c>
      <c r="E9864" s="43"/>
      <c r="F9864" s="48">
        <f t="shared" si="162"/>
        <v>130971.66129032261</v>
      </c>
    </row>
    <row r="9865" spans="1:12" x14ac:dyDescent="0.3">
      <c r="A9865" s="45">
        <v>44418</v>
      </c>
      <c r="B9865" s="5" t="s">
        <v>84</v>
      </c>
      <c r="C9865" s="5" t="s">
        <v>7890</v>
      </c>
      <c r="D9865" s="43">
        <v>20000</v>
      </c>
      <c r="E9865" s="43"/>
      <c r="F9865" s="48">
        <f t="shared" si="162"/>
        <v>110971.66129032261</v>
      </c>
    </row>
    <row r="9866" spans="1:12" x14ac:dyDescent="0.3">
      <c r="A9866" s="45">
        <v>44418</v>
      </c>
      <c r="B9866" s="739" t="s">
        <v>7734</v>
      </c>
      <c r="C9866" s="739"/>
      <c r="D9866" s="739"/>
      <c r="E9866" s="43">
        <v>46210</v>
      </c>
      <c r="F9866" s="48">
        <f t="shared" si="162"/>
        <v>157181.66129032261</v>
      </c>
      <c r="H9866" s="52">
        <f>SUM(H9862:H9862)</f>
        <v>0</v>
      </c>
      <c r="J9866" s="52">
        <v>45249</v>
      </c>
      <c r="L9866" s="93"/>
    </row>
    <row r="9867" spans="1:12" x14ac:dyDescent="0.3">
      <c r="A9867" s="45">
        <v>44418</v>
      </c>
      <c r="B9867" s="739" t="s">
        <v>7891</v>
      </c>
      <c r="C9867" s="739"/>
      <c r="D9867" s="739"/>
      <c r="E9867" s="43">
        <v>200000</v>
      </c>
      <c r="F9867" s="48">
        <f t="shared" si="162"/>
        <v>357181.66129032261</v>
      </c>
      <c r="H9867" s="52">
        <f>SUM(H9864:H9864)</f>
        <v>0</v>
      </c>
      <c r="J9867" s="52">
        <v>45249</v>
      </c>
      <c r="L9867" s="93"/>
    </row>
    <row r="9868" spans="1:12" x14ac:dyDescent="0.3">
      <c r="A9868" s="45">
        <v>44418</v>
      </c>
      <c r="B9868" s="5" t="s">
        <v>5930</v>
      </c>
      <c r="C9868" s="5" t="s">
        <v>40</v>
      </c>
      <c r="D9868" s="43">
        <v>164501</v>
      </c>
      <c r="E9868" s="43"/>
      <c r="F9868" s="48">
        <f t="shared" si="162"/>
        <v>192680.66129032261</v>
      </c>
    </row>
    <row r="9869" spans="1:12" x14ac:dyDescent="0.3">
      <c r="A9869" s="45">
        <v>44418</v>
      </c>
      <c r="B9869" s="5" t="s">
        <v>6341</v>
      </c>
      <c r="C9869" s="92" t="s">
        <v>7900</v>
      </c>
      <c r="D9869" s="43">
        <v>19800</v>
      </c>
      <c r="E9869" s="43"/>
      <c r="F9869" s="48">
        <f t="shared" si="162"/>
        <v>172880.66129032261</v>
      </c>
    </row>
    <row r="9870" spans="1:12" x14ac:dyDescent="0.3">
      <c r="A9870" s="45">
        <v>44418</v>
      </c>
      <c r="B9870" s="250" t="s">
        <v>54</v>
      </c>
      <c r="C9870" s="39" t="s">
        <v>7727</v>
      </c>
      <c r="D9870" s="40">
        <v>108758</v>
      </c>
      <c r="E9870" s="43"/>
      <c r="F9870" s="48">
        <f t="shared" si="162"/>
        <v>64122.661290322605</v>
      </c>
    </row>
    <row r="9871" spans="1:12" x14ac:dyDescent="0.3">
      <c r="A9871" s="45">
        <v>44418</v>
      </c>
      <c r="B9871" s="250" t="s">
        <v>54</v>
      </c>
      <c r="C9871" s="39" t="s">
        <v>7892</v>
      </c>
      <c r="D9871" s="40">
        <v>51129</v>
      </c>
      <c r="E9871" s="43"/>
      <c r="F9871" s="48">
        <f t="shared" si="162"/>
        <v>12993.661290322605</v>
      </c>
    </row>
    <row r="9872" spans="1:12" x14ac:dyDescent="0.3">
      <c r="A9872" s="45">
        <v>44418</v>
      </c>
      <c r="B9872" s="250" t="s">
        <v>54</v>
      </c>
      <c r="C9872" s="39" t="s">
        <v>7893</v>
      </c>
      <c r="D9872" s="40">
        <v>10100</v>
      </c>
      <c r="E9872" s="43"/>
      <c r="F9872" s="48">
        <f t="shared" si="162"/>
        <v>2893.6612903226051</v>
      </c>
    </row>
    <row r="9873" spans="1:12" x14ac:dyDescent="0.3">
      <c r="A9873" s="45">
        <v>44418</v>
      </c>
      <c r="B9873" s="5" t="s">
        <v>0</v>
      </c>
      <c r="C9873" s="5" t="s">
        <v>7899</v>
      </c>
      <c r="D9873" s="43">
        <v>1300</v>
      </c>
      <c r="E9873" s="43"/>
      <c r="F9873" s="48">
        <f t="shared" si="162"/>
        <v>1593.6612903226051</v>
      </c>
    </row>
    <row r="9874" spans="1:12" x14ac:dyDescent="0.3">
      <c r="A9874" s="45">
        <v>44419</v>
      </c>
      <c r="B9874" s="739" t="s">
        <v>7734</v>
      </c>
      <c r="C9874" s="739"/>
      <c r="D9874" s="739"/>
      <c r="E9874" s="43">
        <v>54271</v>
      </c>
      <c r="F9874" s="48">
        <f t="shared" si="162"/>
        <v>55864.661290322605</v>
      </c>
      <c r="L9874" s="93"/>
    </row>
    <row r="9875" spans="1:12" x14ac:dyDescent="0.3">
      <c r="A9875" s="45">
        <v>44418</v>
      </c>
      <c r="B9875" s="5" t="s">
        <v>25</v>
      </c>
      <c r="C9875" s="5" t="s">
        <v>4276</v>
      </c>
      <c r="D9875" s="43">
        <f>110+440+130+560+150+290+130+100+50+290+220+100+260+30+80</f>
        <v>2940</v>
      </c>
      <c r="E9875" s="43"/>
      <c r="F9875" s="48">
        <f t="shared" si="162"/>
        <v>52924.661290322605</v>
      </c>
    </row>
    <row r="9876" spans="1:12" x14ac:dyDescent="0.3">
      <c r="A9876" s="45">
        <v>44418</v>
      </c>
      <c r="B9876" s="5" t="s">
        <v>25</v>
      </c>
      <c r="C9876" s="5" t="s">
        <v>2231</v>
      </c>
      <c r="D9876" s="43">
        <v>192</v>
      </c>
      <c r="E9876" s="43"/>
      <c r="F9876" s="48">
        <f t="shared" si="162"/>
        <v>52732.661290322605</v>
      </c>
    </row>
    <row r="9877" spans="1:12" x14ac:dyDescent="0.3">
      <c r="A9877" s="45">
        <v>44418</v>
      </c>
      <c r="B9877" s="5" t="s">
        <v>25</v>
      </c>
      <c r="C9877" s="5" t="s">
        <v>7898</v>
      </c>
      <c r="D9877" s="43">
        <f>1200</f>
        <v>1200</v>
      </c>
      <c r="E9877" s="43"/>
      <c r="F9877" s="48">
        <f t="shared" si="162"/>
        <v>51532.661290322605</v>
      </c>
    </row>
    <row r="9878" spans="1:12" x14ac:dyDescent="0.3">
      <c r="A9878" s="45">
        <v>44419</v>
      </c>
      <c r="B9878" s="5" t="s">
        <v>7158</v>
      </c>
      <c r="C9878" s="5" t="s">
        <v>7901</v>
      </c>
      <c r="D9878" s="43">
        <v>5000</v>
      </c>
      <c r="E9878" s="43"/>
      <c r="F9878" s="48">
        <f t="shared" si="162"/>
        <v>46532.661290322605</v>
      </c>
    </row>
    <row r="9879" spans="1:12" x14ac:dyDescent="0.3">
      <c r="A9879" s="45">
        <v>44419</v>
      </c>
      <c r="B9879" s="5" t="s">
        <v>14</v>
      </c>
      <c r="C9879" s="5" t="s">
        <v>294</v>
      </c>
      <c r="D9879" s="43">
        <v>20000</v>
      </c>
      <c r="E9879" s="43"/>
      <c r="F9879" s="48">
        <f t="shared" si="162"/>
        <v>26532.661290322605</v>
      </c>
    </row>
    <row r="9880" spans="1:12" x14ac:dyDescent="0.3">
      <c r="A9880" s="45">
        <v>44419</v>
      </c>
      <c r="B9880" s="5" t="s">
        <v>4550</v>
      </c>
      <c r="C9880" s="5" t="s">
        <v>7905</v>
      </c>
      <c r="D9880" s="43">
        <v>10000</v>
      </c>
      <c r="E9880" s="43"/>
      <c r="F9880" s="48">
        <f t="shared" si="162"/>
        <v>16532.661290322605</v>
      </c>
    </row>
    <row r="9881" spans="1:12" x14ac:dyDescent="0.3">
      <c r="A9881" s="45">
        <v>44420</v>
      </c>
      <c r="B9881" s="739" t="s">
        <v>7891</v>
      </c>
      <c r="C9881" s="739"/>
      <c r="D9881" s="739"/>
      <c r="E9881" s="43">
        <v>200000</v>
      </c>
      <c r="F9881" s="48">
        <f t="shared" si="162"/>
        <v>216532.66129032261</v>
      </c>
      <c r="L9881" s="93"/>
    </row>
    <row r="9882" spans="1:12" x14ac:dyDescent="0.3">
      <c r="A9882" s="45">
        <v>44420</v>
      </c>
      <c r="B9882" s="5" t="s">
        <v>0</v>
      </c>
      <c r="C9882" s="5" t="s">
        <v>294</v>
      </c>
      <c r="D9882" s="43">
        <f>100000-25500</f>
        <v>74500</v>
      </c>
      <c r="E9882" s="43"/>
      <c r="F9882" s="48">
        <f t="shared" si="162"/>
        <v>142032.66129032261</v>
      </c>
    </row>
    <row r="9883" spans="1:12" x14ac:dyDescent="0.3">
      <c r="A9883" s="45">
        <v>44420</v>
      </c>
      <c r="B9883" s="5" t="s">
        <v>6600</v>
      </c>
      <c r="C9883" s="5" t="s">
        <v>7911</v>
      </c>
      <c r="D9883" s="43">
        <v>27000</v>
      </c>
      <c r="E9883" s="43"/>
      <c r="F9883" s="48">
        <f t="shared" si="162"/>
        <v>115032.66129032261</v>
      </c>
    </row>
    <row r="9884" spans="1:12" x14ac:dyDescent="0.3">
      <c r="A9884" s="45">
        <v>44420</v>
      </c>
      <c r="B9884" s="5" t="s">
        <v>4156</v>
      </c>
      <c r="C9884" s="5" t="s">
        <v>7912</v>
      </c>
      <c r="D9884" s="43">
        <v>50000</v>
      </c>
      <c r="E9884" s="43"/>
      <c r="F9884" s="48">
        <f t="shared" si="162"/>
        <v>65032.661290322605</v>
      </c>
    </row>
    <row r="9885" spans="1:12" x14ac:dyDescent="0.3">
      <c r="A9885" s="45">
        <v>44421</v>
      </c>
      <c r="B9885" s="5" t="s">
        <v>68</v>
      </c>
      <c r="C9885" s="5" t="s">
        <v>7913</v>
      </c>
      <c r="D9885" s="43">
        <v>8000</v>
      </c>
      <c r="E9885" s="43"/>
      <c r="F9885" s="48">
        <f t="shared" si="162"/>
        <v>57032.661290322605</v>
      </c>
      <c r="H9885" s="258"/>
    </row>
    <row r="9886" spans="1:12" x14ac:dyDescent="0.3">
      <c r="A9886" s="45">
        <v>44421</v>
      </c>
      <c r="B9886" s="5" t="s">
        <v>7692</v>
      </c>
      <c r="C9886" s="5" t="s">
        <v>7914</v>
      </c>
      <c r="D9886" s="43">
        <v>15000</v>
      </c>
      <c r="E9886" s="43"/>
      <c r="F9886" s="48">
        <f t="shared" ref="F9886:F9949" si="163">F9885+E9886-D9886</f>
        <v>42032.661290322605</v>
      </c>
      <c r="H9886" s="257"/>
    </row>
    <row r="9887" spans="1:12" x14ac:dyDescent="0.3">
      <c r="A9887" s="45">
        <v>44424</v>
      </c>
      <c r="B9887" s="5" t="s">
        <v>25</v>
      </c>
      <c r="C9887" s="5" t="s">
        <v>2637</v>
      </c>
      <c r="D9887" s="43">
        <v>1000</v>
      </c>
      <c r="E9887" s="43"/>
      <c r="F9887" s="48">
        <f t="shared" si="163"/>
        <v>41032.661290322605</v>
      </c>
    </row>
    <row r="9888" spans="1:12" x14ac:dyDescent="0.3">
      <c r="A9888" s="45">
        <v>44424</v>
      </c>
      <c r="B9888" s="5" t="s">
        <v>0</v>
      </c>
      <c r="C9888" s="5" t="s">
        <v>3183</v>
      </c>
      <c r="D9888" s="43">
        <v>8000</v>
      </c>
      <c r="E9888" s="43"/>
      <c r="F9888" s="48">
        <f t="shared" si="163"/>
        <v>33032.661290322605</v>
      </c>
    </row>
    <row r="9889" spans="1:12" x14ac:dyDescent="0.3">
      <c r="A9889" s="45">
        <v>44425</v>
      </c>
      <c r="B9889" s="5" t="s">
        <v>14</v>
      </c>
      <c r="C9889" s="5" t="s">
        <v>294</v>
      </c>
      <c r="D9889" s="43">
        <v>15000</v>
      </c>
      <c r="E9889" s="43"/>
      <c r="F9889" s="48">
        <f t="shared" si="163"/>
        <v>18032.661290322605</v>
      </c>
    </row>
    <row r="9890" spans="1:12" x14ac:dyDescent="0.3">
      <c r="A9890" s="45">
        <v>44425</v>
      </c>
      <c r="B9890" s="5" t="s">
        <v>25</v>
      </c>
      <c r="C9890" s="5" t="s">
        <v>4276</v>
      </c>
      <c r="D9890" s="43">
        <f>600+105+200+150+100+300+100+120+450+50+100+360+75+290+80+360+80+80+140+290+280</f>
        <v>4310</v>
      </c>
      <c r="E9890" s="43"/>
      <c r="F9890" s="48">
        <f t="shared" si="163"/>
        <v>13722.661290322605</v>
      </c>
    </row>
    <row r="9891" spans="1:12" x14ac:dyDescent="0.3">
      <c r="A9891" s="45">
        <v>44425</v>
      </c>
      <c r="B9891" s="5" t="s">
        <v>25</v>
      </c>
      <c r="C9891" s="5" t="s">
        <v>7915</v>
      </c>
      <c r="D9891" s="43">
        <v>1400</v>
      </c>
      <c r="E9891" s="43"/>
      <c r="F9891" s="48">
        <f t="shared" si="163"/>
        <v>12322.661290322605</v>
      </c>
    </row>
    <row r="9892" spans="1:12" x14ac:dyDescent="0.3">
      <c r="A9892" s="45">
        <v>44425</v>
      </c>
      <c r="B9892" s="5" t="s">
        <v>84</v>
      </c>
      <c r="C9892" s="5" t="s">
        <v>7916</v>
      </c>
      <c r="D9892" s="43">
        <v>3000</v>
      </c>
      <c r="E9892" s="43"/>
      <c r="F9892" s="48">
        <f t="shared" si="163"/>
        <v>9322.6612903226051</v>
      </c>
    </row>
    <row r="9893" spans="1:12" x14ac:dyDescent="0.3">
      <c r="A9893" s="45">
        <v>44425</v>
      </c>
      <c r="B9893" s="5" t="s">
        <v>84</v>
      </c>
      <c r="C9893" s="5" t="s">
        <v>7917</v>
      </c>
      <c r="D9893" s="43">
        <v>1000</v>
      </c>
      <c r="E9893" s="43"/>
      <c r="F9893" s="48">
        <f t="shared" si="163"/>
        <v>8322.6612903226051</v>
      </c>
    </row>
    <row r="9894" spans="1:12" x14ac:dyDescent="0.3">
      <c r="A9894" s="45">
        <v>44425</v>
      </c>
      <c r="B9894" s="5" t="s">
        <v>7158</v>
      </c>
      <c r="C9894" s="5" t="s">
        <v>5508</v>
      </c>
      <c r="D9894" s="43">
        <v>360</v>
      </c>
      <c r="E9894" s="43"/>
      <c r="F9894" s="48">
        <f t="shared" si="163"/>
        <v>7962.6612903226051</v>
      </c>
      <c r="I9894" s="52">
        <v>1000</v>
      </c>
    </row>
    <row r="9895" spans="1:12" x14ac:dyDescent="0.3">
      <c r="A9895" s="45">
        <v>44425</v>
      </c>
      <c r="B9895" s="5" t="s">
        <v>7158</v>
      </c>
      <c r="C9895" s="5" t="s">
        <v>4437</v>
      </c>
      <c r="D9895" s="43">
        <v>700</v>
      </c>
      <c r="E9895" s="43"/>
      <c r="F9895" s="48">
        <f t="shared" si="163"/>
        <v>7262.6612903226051</v>
      </c>
      <c r="I9895" s="52">
        <v>160</v>
      </c>
    </row>
    <row r="9896" spans="1:12" x14ac:dyDescent="0.3">
      <c r="A9896" s="45">
        <v>44425</v>
      </c>
      <c r="B9896" s="739" t="s">
        <v>7891</v>
      </c>
      <c r="C9896" s="739"/>
      <c r="D9896" s="739"/>
      <c r="E9896" s="43">
        <v>100000</v>
      </c>
      <c r="F9896" s="48">
        <f>F9895+E9896-D9896</f>
        <v>107262.66129032261</v>
      </c>
      <c r="I9896" s="52">
        <f>SUM(I9894:I9895)</f>
        <v>1160</v>
      </c>
      <c r="L9896" s="93"/>
    </row>
    <row r="9897" spans="1:12" x14ac:dyDescent="0.3">
      <c r="A9897" s="45">
        <v>44425</v>
      </c>
      <c r="B9897" s="739" t="s">
        <v>7891</v>
      </c>
      <c r="C9897" s="739"/>
      <c r="D9897" s="739"/>
      <c r="E9897" s="43">
        <v>100000</v>
      </c>
      <c r="F9897" s="48">
        <f>F9896+E9897-D9897</f>
        <v>207262.66129032261</v>
      </c>
      <c r="I9897" s="52">
        <f>I9896*7.5%</f>
        <v>87</v>
      </c>
      <c r="L9897" s="93"/>
    </row>
    <row r="9898" spans="1:12" x14ac:dyDescent="0.3">
      <c r="A9898" s="45">
        <v>44425</v>
      </c>
      <c r="B9898" s="5" t="s">
        <v>5938</v>
      </c>
      <c r="C9898" s="5" t="s">
        <v>294</v>
      </c>
      <c r="D9898" s="43">
        <v>20000</v>
      </c>
      <c r="E9898" s="43"/>
      <c r="F9898" s="48">
        <f>F9897+E9898-D9898</f>
        <v>187262.66129032261</v>
      </c>
      <c r="I9898" s="52">
        <f>I9896-I9897</f>
        <v>1073</v>
      </c>
    </row>
    <row r="9899" spans="1:12" x14ac:dyDescent="0.3">
      <c r="A9899" s="45">
        <v>44425</v>
      </c>
      <c r="B9899" s="5" t="s">
        <v>3724</v>
      </c>
      <c r="C9899" s="5" t="s">
        <v>40</v>
      </c>
      <c r="D9899" s="43">
        <v>4508</v>
      </c>
      <c r="E9899" s="43"/>
      <c r="F9899" s="48">
        <f t="shared" si="163"/>
        <v>182754.66129032261</v>
      </c>
      <c r="I9899" s="52">
        <f>I9895*20%</f>
        <v>32</v>
      </c>
    </row>
    <row r="9900" spans="1:12" x14ac:dyDescent="0.3">
      <c r="A9900" s="45">
        <v>44425</v>
      </c>
      <c r="B9900" s="5" t="s">
        <v>1074</v>
      </c>
      <c r="C9900" s="5" t="s">
        <v>7747</v>
      </c>
      <c r="D9900" s="43">
        <v>9930</v>
      </c>
      <c r="E9900" s="43"/>
      <c r="F9900" s="48">
        <f t="shared" si="163"/>
        <v>172824.66129032261</v>
      </c>
      <c r="I9900" s="52">
        <f>I9898-I9899</f>
        <v>1041</v>
      </c>
    </row>
    <row r="9901" spans="1:12" x14ac:dyDescent="0.3">
      <c r="A9901" s="45">
        <v>44425</v>
      </c>
      <c r="B9901" s="5" t="s">
        <v>5793</v>
      </c>
      <c r="C9901" s="5" t="s">
        <v>7919</v>
      </c>
      <c r="D9901" s="43">
        <v>1300</v>
      </c>
      <c r="E9901" s="43"/>
      <c r="F9901" s="48">
        <f t="shared" si="163"/>
        <v>171524.66129032261</v>
      </c>
    </row>
    <row r="9902" spans="1:12" x14ac:dyDescent="0.3">
      <c r="A9902" s="45">
        <v>44425</v>
      </c>
      <c r="B9902" s="5" t="s">
        <v>14</v>
      </c>
      <c r="C9902" s="5" t="s">
        <v>7933</v>
      </c>
      <c r="D9902" s="43">
        <v>150000</v>
      </c>
      <c r="E9902" s="43"/>
      <c r="F9902" s="48">
        <f t="shared" si="163"/>
        <v>21524.661290322605</v>
      </c>
    </row>
    <row r="9903" spans="1:12" x14ac:dyDescent="0.3">
      <c r="A9903" s="45">
        <v>44428</v>
      </c>
      <c r="B9903" s="5" t="s">
        <v>57</v>
      </c>
      <c r="C9903" s="5" t="s">
        <v>7921</v>
      </c>
      <c r="D9903" s="43">
        <v>4600</v>
      </c>
      <c r="E9903" s="43"/>
      <c r="F9903" s="48">
        <f t="shared" si="163"/>
        <v>16924.661290322605</v>
      </c>
    </row>
    <row r="9904" spans="1:12" x14ac:dyDescent="0.3">
      <c r="A9904" s="45">
        <v>44428</v>
      </c>
      <c r="B9904" s="739" t="s">
        <v>7891</v>
      </c>
      <c r="C9904" s="739"/>
      <c r="D9904" s="739"/>
      <c r="E9904" s="43">
        <v>100000</v>
      </c>
      <c r="F9904" s="48">
        <f t="shared" si="163"/>
        <v>116924.66129032261</v>
      </c>
      <c r="I9904" s="52">
        <f>SUM(I9902:I9903)</f>
        <v>0</v>
      </c>
      <c r="L9904" s="93"/>
    </row>
    <row r="9905" spans="1:12" x14ac:dyDescent="0.3">
      <c r="A9905" s="45">
        <v>44428</v>
      </c>
      <c r="B9905" s="739" t="s">
        <v>7891</v>
      </c>
      <c r="C9905" s="739"/>
      <c r="D9905" s="739"/>
      <c r="E9905" s="43">
        <v>100000</v>
      </c>
      <c r="F9905" s="48">
        <f t="shared" si="163"/>
        <v>216924.66129032261</v>
      </c>
      <c r="I9905" s="52">
        <f>SUM(I9903:I9904)</f>
        <v>0</v>
      </c>
      <c r="L9905" s="93"/>
    </row>
    <row r="9906" spans="1:12" x14ac:dyDescent="0.3">
      <c r="A9906" s="45">
        <v>44428</v>
      </c>
      <c r="B9906" s="5" t="s">
        <v>0</v>
      </c>
      <c r="C9906" s="5" t="s">
        <v>438</v>
      </c>
      <c r="D9906" s="43">
        <v>5000</v>
      </c>
      <c r="E9906" s="43"/>
      <c r="F9906" s="48">
        <f t="shared" si="163"/>
        <v>211924.66129032261</v>
      </c>
    </row>
    <row r="9907" spans="1:12" x14ac:dyDescent="0.3">
      <c r="A9907" s="45">
        <v>44429</v>
      </c>
      <c r="B9907" s="5" t="s">
        <v>5793</v>
      </c>
      <c r="C9907" s="5" t="s">
        <v>7922</v>
      </c>
      <c r="D9907" s="43">
        <v>500</v>
      </c>
      <c r="E9907" s="43"/>
      <c r="F9907" s="48">
        <f t="shared" si="163"/>
        <v>211424.66129032261</v>
      </c>
    </row>
    <row r="9908" spans="1:12" x14ac:dyDescent="0.3">
      <c r="A9908" s="45">
        <v>44429</v>
      </c>
      <c r="B9908" s="5" t="s">
        <v>4550</v>
      </c>
      <c r="C9908" s="5" t="s">
        <v>7923</v>
      </c>
      <c r="D9908" s="43">
        <v>10000</v>
      </c>
      <c r="E9908" s="43"/>
      <c r="F9908" s="48">
        <f t="shared" si="163"/>
        <v>201424.66129032261</v>
      </c>
    </row>
    <row r="9909" spans="1:12" x14ac:dyDescent="0.3">
      <c r="A9909" s="45">
        <v>44429</v>
      </c>
      <c r="B9909" s="5" t="s">
        <v>7158</v>
      </c>
      <c r="C9909" s="5" t="s">
        <v>294</v>
      </c>
      <c r="D9909" s="43">
        <v>300</v>
      </c>
      <c r="E9909" s="43"/>
      <c r="F9909" s="48">
        <f t="shared" si="163"/>
        <v>201124.66129032261</v>
      </c>
    </row>
    <row r="9910" spans="1:12" x14ac:dyDescent="0.3">
      <c r="A9910" s="45">
        <v>44431</v>
      </c>
      <c r="B9910" s="5" t="s">
        <v>0</v>
      </c>
      <c r="C9910" s="5" t="s">
        <v>294</v>
      </c>
      <c r="D9910" s="43">
        <v>20000</v>
      </c>
      <c r="E9910" s="43"/>
      <c r="F9910" s="48">
        <f t="shared" si="163"/>
        <v>181124.66129032261</v>
      </c>
    </row>
    <row r="9911" spans="1:12" x14ac:dyDescent="0.3">
      <c r="A9911" s="45">
        <v>44431</v>
      </c>
      <c r="B9911" s="5" t="s">
        <v>1074</v>
      </c>
      <c r="C9911" s="5" t="s">
        <v>7929</v>
      </c>
      <c r="D9911" s="43">
        <f>55820-9407</f>
        <v>46413</v>
      </c>
      <c r="E9911" s="43"/>
      <c r="F9911" s="48">
        <f t="shared" si="163"/>
        <v>134711.66129032261</v>
      </c>
    </row>
    <row r="9912" spans="1:12" x14ac:dyDescent="0.3">
      <c r="A9912" s="45">
        <v>44431</v>
      </c>
      <c r="B9912" s="5" t="s">
        <v>25</v>
      </c>
      <c r="C9912" s="5" t="s">
        <v>2078</v>
      </c>
      <c r="D9912" s="43">
        <v>600</v>
      </c>
      <c r="E9912" s="43"/>
      <c r="F9912" s="48">
        <f t="shared" si="163"/>
        <v>134111.66129032261</v>
      </c>
    </row>
    <row r="9913" spans="1:12" ht="37.5" x14ac:dyDescent="0.3">
      <c r="A9913" s="45">
        <v>44431</v>
      </c>
      <c r="B9913" s="5" t="s">
        <v>14</v>
      </c>
      <c r="C9913" s="92" t="s">
        <v>7932</v>
      </c>
      <c r="D9913" s="43">
        <v>100000</v>
      </c>
      <c r="E9913" s="43"/>
      <c r="F9913" s="48">
        <f t="shared" si="163"/>
        <v>34111.661290322605</v>
      </c>
    </row>
    <row r="9914" spans="1:12" x14ac:dyDescent="0.3">
      <c r="A9914" s="45">
        <v>44431</v>
      </c>
      <c r="B9914" s="5" t="s">
        <v>14</v>
      </c>
      <c r="C9914" s="5" t="s">
        <v>7927</v>
      </c>
      <c r="D9914" s="43">
        <v>9407</v>
      </c>
      <c r="E9914" s="43"/>
      <c r="F9914" s="48">
        <f t="shared" si="163"/>
        <v>24704.661290322605</v>
      </c>
    </row>
    <row r="9915" spans="1:12" x14ac:dyDescent="0.3">
      <c r="A9915" s="45">
        <v>44431</v>
      </c>
      <c r="B9915" s="5" t="s">
        <v>7158</v>
      </c>
      <c r="C9915" s="5" t="s">
        <v>7928</v>
      </c>
      <c r="D9915" s="43">
        <v>21500</v>
      </c>
      <c r="E9915" s="43"/>
      <c r="F9915" s="48">
        <f t="shared" si="163"/>
        <v>3204.6612903226051</v>
      </c>
    </row>
    <row r="9916" spans="1:12" x14ac:dyDescent="0.3">
      <c r="A9916" s="45">
        <v>44431</v>
      </c>
      <c r="B9916" s="739" t="s">
        <v>7891</v>
      </c>
      <c r="C9916" s="739"/>
      <c r="D9916" s="739"/>
      <c r="E9916" s="43">
        <v>100000</v>
      </c>
      <c r="F9916" s="48">
        <f t="shared" si="163"/>
        <v>103204.66129032261</v>
      </c>
      <c r="I9916" s="52">
        <f>SUM(I9914:I9915)</f>
        <v>0</v>
      </c>
      <c r="L9916" s="93"/>
    </row>
    <row r="9917" spans="1:12" x14ac:dyDescent="0.3">
      <c r="A9917" s="45">
        <v>44432</v>
      </c>
      <c r="B9917" s="5" t="s">
        <v>0</v>
      </c>
      <c r="C9917" s="5" t="s">
        <v>294</v>
      </c>
      <c r="D9917" s="43">
        <v>4000</v>
      </c>
      <c r="E9917" s="43"/>
      <c r="F9917" s="48">
        <f t="shared" si="163"/>
        <v>99204.661290322605</v>
      </c>
    </row>
    <row r="9918" spans="1:12" x14ac:dyDescent="0.3">
      <c r="A9918" s="45">
        <v>44432</v>
      </c>
      <c r="B9918" s="5" t="s">
        <v>25</v>
      </c>
      <c r="C9918" s="5" t="s">
        <v>7934</v>
      </c>
      <c r="D9918" s="43">
        <v>1400</v>
      </c>
      <c r="E9918" s="43"/>
      <c r="F9918" s="48">
        <f t="shared" si="163"/>
        <v>97804.661290322605</v>
      </c>
    </row>
    <row r="9919" spans="1:12" x14ac:dyDescent="0.3">
      <c r="A9919" s="45">
        <v>44432</v>
      </c>
      <c r="B9919" s="5" t="s">
        <v>25</v>
      </c>
      <c r="C9919" s="5" t="s">
        <v>4276</v>
      </c>
      <c r="D9919" s="43">
        <f>200+280+80+80+60+1100+100+180+10+40</f>
        <v>2130</v>
      </c>
      <c r="E9919" s="43"/>
      <c r="F9919" s="48">
        <f t="shared" si="163"/>
        <v>95674.661290322605</v>
      </c>
    </row>
    <row r="9920" spans="1:12" x14ac:dyDescent="0.3">
      <c r="A9920" s="45">
        <v>44432</v>
      </c>
      <c r="B9920" s="5" t="s">
        <v>25</v>
      </c>
      <c r="C9920" s="5" t="s">
        <v>7935</v>
      </c>
      <c r="D9920" s="43">
        <v>150</v>
      </c>
      <c r="E9920" s="43"/>
      <c r="F9920" s="48">
        <f t="shared" si="163"/>
        <v>95524.661290322605</v>
      </c>
    </row>
    <row r="9921" spans="1:6" x14ac:dyDescent="0.3">
      <c r="A9921" s="45">
        <v>44432</v>
      </c>
      <c r="B9921" s="5" t="s">
        <v>84</v>
      </c>
      <c r="C9921" s="5" t="s">
        <v>7936</v>
      </c>
      <c r="D9921" s="43">
        <v>4000</v>
      </c>
      <c r="E9921" s="43"/>
      <c r="F9921" s="48">
        <f t="shared" si="163"/>
        <v>91524.661290322605</v>
      </c>
    </row>
    <row r="9922" spans="1:6" x14ac:dyDescent="0.3">
      <c r="A9922" s="45">
        <v>44432</v>
      </c>
      <c r="B9922" s="5" t="s">
        <v>84</v>
      </c>
      <c r="C9922" s="5" t="s">
        <v>7937</v>
      </c>
      <c r="D9922" s="43">
        <v>3000</v>
      </c>
      <c r="E9922" s="43"/>
      <c r="F9922" s="48">
        <f t="shared" si="163"/>
        <v>88524.661290322605</v>
      </c>
    </row>
    <row r="9923" spans="1:6" x14ac:dyDescent="0.3">
      <c r="A9923" s="45">
        <v>44433</v>
      </c>
      <c r="B9923" s="5" t="s">
        <v>6430</v>
      </c>
      <c r="C9923" s="5" t="s">
        <v>7938</v>
      </c>
      <c r="D9923" s="43">
        <v>1860</v>
      </c>
      <c r="E9923" s="43"/>
      <c r="F9923" s="48">
        <f t="shared" si="163"/>
        <v>86664.661290322605</v>
      </c>
    </row>
    <row r="9924" spans="1:6" x14ac:dyDescent="0.3">
      <c r="A9924" s="45">
        <v>44433</v>
      </c>
      <c r="B9924" s="5" t="s">
        <v>84</v>
      </c>
      <c r="C9924" s="5" t="s">
        <v>7939</v>
      </c>
      <c r="D9924" s="43">
        <v>1000</v>
      </c>
      <c r="E9924" s="43"/>
      <c r="F9924" s="48">
        <f t="shared" si="163"/>
        <v>85664.661290322605</v>
      </c>
    </row>
    <row r="9925" spans="1:6" x14ac:dyDescent="0.3">
      <c r="A9925" s="45">
        <v>44433</v>
      </c>
      <c r="B9925" s="5" t="s">
        <v>7692</v>
      </c>
      <c r="C9925" s="5" t="s">
        <v>7940</v>
      </c>
      <c r="D9925" s="43">
        <v>10000</v>
      </c>
      <c r="E9925" s="43"/>
      <c r="F9925" s="48">
        <f t="shared" si="163"/>
        <v>75664.661290322605</v>
      </c>
    </row>
    <row r="9926" spans="1:6" x14ac:dyDescent="0.3">
      <c r="A9926" s="45">
        <v>44433</v>
      </c>
      <c r="B9926" s="5" t="s">
        <v>3554</v>
      </c>
      <c r="C9926" s="5" t="s">
        <v>7941</v>
      </c>
      <c r="D9926" s="43">
        <v>8000</v>
      </c>
      <c r="E9926" s="43"/>
      <c r="F9926" s="48">
        <f t="shared" si="163"/>
        <v>67664.661290322605</v>
      </c>
    </row>
    <row r="9927" spans="1:6" x14ac:dyDescent="0.3">
      <c r="A9927" s="45">
        <v>44434</v>
      </c>
      <c r="B9927" s="5" t="s">
        <v>57</v>
      </c>
      <c r="C9927" s="5" t="s">
        <v>4792</v>
      </c>
      <c r="D9927" s="43">
        <v>2000</v>
      </c>
      <c r="E9927" s="43"/>
      <c r="F9927" s="48">
        <f t="shared" si="163"/>
        <v>65664.661290322605</v>
      </c>
    </row>
    <row r="9928" spans="1:6" x14ac:dyDescent="0.3">
      <c r="A9928" s="45">
        <v>44434</v>
      </c>
      <c r="B9928" s="5" t="s">
        <v>84</v>
      </c>
      <c r="C9928" s="5" t="s">
        <v>7942</v>
      </c>
      <c r="D9928" s="43">
        <v>3000</v>
      </c>
      <c r="E9928" s="43"/>
      <c r="F9928" s="48">
        <f t="shared" si="163"/>
        <v>62664.661290322605</v>
      </c>
    </row>
    <row r="9929" spans="1:6" x14ac:dyDescent="0.3">
      <c r="A9929" s="45">
        <v>44434</v>
      </c>
      <c r="B9929" s="5" t="s">
        <v>25</v>
      </c>
      <c r="C9929" s="5" t="s">
        <v>7943</v>
      </c>
      <c r="D9929" s="43">
        <v>5000</v>
      </c>
      <c r="E9929" s="43"/>
      <c r="F9929" s="48">
        <f t="shared" si="163"/>
        <v>57664.661290322605</v>
      </c>
    </row>
    <row r="9930" spans="1:6" x14ac:dyDescent="0.3">
      <c r="A9930" s="45">
        <v>44434</v>
      </c>
      <c r="B9930" s="5" t="s">
        <v>0</v>
      </c>
      <c r="C9930" s="5" t="s">
        <v>294</v>
      </c>
      <c r="D9930" s="43">
        <v>4000</v>
      </c>
      <c r="E9930" s="43"/>
      <c r="F9930" s="48">
        <f t="shared" si="163"/>
        <v>53664.661290322605</v>
      </c>
    </row>
    <row r="9931" spans="1:6" x14ac:dyDescent="0.3">
      <c r="A9931" s="45">
        <v>44435</v>
      </c>
      <c r="B9931" s="5" t="s">
        <v>4550</v>
      </c>
      <c r="C9931" s="5" t="s">
        <v>7946</v>
      </c>
      <c r="D9931" s="43">
        <v>15000</v>
      </c>
      <c r="E9931" s="43"/>
      <c r="F9931" s="48">
        <f t="shared" si="163"/>
        <v>38664.661290322605</v>
      </c>
    </row>
    <row r="9932" spans="1:6" x14ac:dyDescent="0.3">
      <c r="A9932" s="45">
        <v>44435</v>
      </c>
      <c r="B9932" s="5" t="s">
        <v>5162</v>
      </c>
      <c r="C9932" s="5" t="s">
        <v>7947</v>
      </c>
      <c r="D9932" s="43">
        <v>600</v>
      </c>
      <c r="E9932" s="43"/>
      <c r="F9932" s="48">
        <f t="shared" si="163"/>
        <v>38064.661290322605</v>
      </c>
    </row>
    <row r="9933" spans="1:6" x14ac:dyDescent="0.3">
      <c r="A9933" s="45">
        <v>44435</v>
      </c>
      <c r="B9933" s="5" t="s">
        <v>84</v>
      </c>
      <c r="C9933" s="5" t="s">
        <v>7948</v>
      </c>
      <c r="D9933" s="43">
        <v>500</v>
      </c>
      <c r="E9933" s="43"/>
      <c r="F9933" s="48">
        <f t="shared" si="163"/>
        <v>37564.661290322605</v>
      </c>
    </row>
    <row r="9934" spans="1:6" x14ac:dyDescent="0.3">
      <c r="A9934" s="45">
        <v>44435</v>
      </c>
      <c r="B9934" s="5" t="s">
        <v>84</v>
      </c>
      <c r="C9934" s="5" t="s">
        <v>7949</v>
      </c>
      <c r="D9934" s="43">
        <v>5000</v>
      </c>
      <c r="E9934" s="43"/>
      <c r="F9934" s="48">
        <f t="shared" si="163"/>
        <v>32564.661290322605</v>
      </c>
    </row>
    <row r="9935" spans="1:6" x14ac:dyDescent="0.3">
      <c r="A9935" s="45">
        <v>44435</v>
      </c>
      <c r="B9935" s="5" t="s">
        <v>25</v>
      </c>
      <c r="C9935" s="5" t="s">
        <v>7950</v>
      </c>
      <c r="D9935" s="43">
        <v>7500</v>
      </c>
      <c r="E9935" s="43"/>
      <c r="F9935" s="48">
        <f t="shared" si="163"/>
        <v>25064.661290322605</v>
      </c>
    </row>
    <row r="9936" spans="1:6" x14ac:dyDescent="0.3">
      <c r="A9936" s="45">
        <v>44436</v>
      </c>
      <c r="B9936" s="5" t="s">
        <v>14</v>
      </c>
      <c r="C9936" s="5" t="s">
        <v>438</v>
      </c>
      <c r="D9936" s="43">
        <v>10000</v>
      </c>
      <c r="E9936" s="43"/>
      <c r="F9936" s="48">
        <f t="shared" si="163"/>
        <v>15064.661290322605</v>
      </c>
    </row>
    <row r="9937" spans="1:12" x14ac:dyDescent="0.3">
      <c r="A9937" s="45">
        <v>44436</v>
      </c>
      <c r="B9937" s="5" t="s">
        <v>18</v>
      </c>
      <c r="C9937" s="5" t="s">
        <v>438</v>
      </c>
      <c r="D9937" s="43">
        <v>3000</v>
      </c>
      <c r="E9937" s="43"/>
      <c r="F9937" s="48">
        <f t="shared" si="163"/>
        <v>12064.661290322605</v>
      </c>
    </row>
    <row r="9938" spans="1:12" x14ac:dyDescent="0.3">
      <c r="A9938" s="45">
        <v>44436</v>
      </c>
      <c r="B9938" s="5" t="s">
        <v>25</v>
      </c>
      <c r="C9938" s="5" t="s">
        <v>7934</v>
      </c>
      <c r="D9938" s="43">
        <v>800</v>
      </c>
      <c r="E9938" s="43"/>
      <c r="F9938" s="48">
        <f t="shared" si="163"/>
        <v>11264.661290322605</v>
      </c>
    </row>
    <row r="9939" spans="1:12" x14ac:dyDescent="0.3">
      <c r="A9939" s="45">
        <v>44436</v>
      </c>
      <c r="B9939" s="5" t="s">
        <v>25</v>
      </c>
      <c r="C9939" s="5" t="s">
        <v>4276</v>
      </c>
      <c r="D9939" s="43">
        <v>6700</v>
      </c>
      <c r="E9939" s="43"/>
      <c r="F9939" s="48">
        <f t="shared" si="163"/>
        <v>4564.6612903226051</v>
      </c>
    </row>
    <row r="9940" spans="1:12" x14ac:dyDescent="0.3">
      <c r="A9940" s="45">
        <v>44436</v>
      </c>
      <c r="B9940" s="739" t="s">
        <v>7951</v>
      </c>
      <c r="C9940" s="739"/>
      <c r="D9940" s="739"/>
      <c r="E9940" s="43">
        <v>31313</v>
      </c>
      <c r="F9940" s="48">
        <f t="shared" si="163"/>
        <v>35877.661290322605</v>
      </c>
      <c r="I9940" s="52">
        <f>SUM(I9938:I9939)</f>
        <v>0</v>
      </c>
      <c r="L9940" s="93"/>
    </row>
    <row r="9941" spans="1:12" x14ac:dyDescent="0.3">
      <c r="A9941" s="45">
        <v>44436</v>
      </c>
      <c r="B9941" s="5" t="s">
        <v>0</v>
      </c>
      <c r="C9941" s="5" t="s">
        <v>294</v>
      </c>
      <c r="D9941" s="43">
        <v>32000</v>
      </c>
      <c r="E9941" s="43"/>
      <c r="F9941" s="48">
        <f t="shared" si="163"/>
        <v>3877.6612903226051</v>
      </c>
    </row>
    <row r="9942" spans="1:12" x14ac:dyDescent="0.3">
      <c r="A9942" s="45">
        <v>44436</v>
      </c>
      <c r="B9942" s="739" t="s">
        <v>7953</v>
      </c>
      <c r="C9942" s="739"/>
      <c r="D9942" s="739"/>
      <c r="E9942" s="43">
        <v>2500</v>
      </c>
      <c r="F9942" s="48">
        <f t="shared" si="163"/>
        <v>6377.6612903226051</v>
      </c>
      <c r="I9942" s="52">
        <f>SUM(I9940:I9941)</f>
        <v>0</v>
      </c>
      <c r="L9942" s="93"/>
    </row>
    <row r="9943" spans="1:12" x14ac:dyDescent="0.3">
      <c r="A9943" s="45">
        <v>44454</v>
      </c>
      <c r="B9943" s="5" t="s">
        <v>25</v>
      </c>
      <c r="C9943" s="5" t="s">
        <v>7934</v>
      </c>
      <c r="D9943" s="43">
        <f>16*200</f>
        <v>3200</v>
      </c>
      <c r="E9943" s="43"/>
      <c r="F9943" s="48">
        <f t="shared" si="163"/>
        <v>3177.6612903226051</v>
      </c>
    </row>
    <row r="9944" spans="1:12" x14ac:dyDescent="0.3">
      <c r="A9944" s="45">
        <v>44454</v>
      </c>
      <c r="B9944" s="739" t="s">
        <v>4106</v>
      </c>
      <c r="C9944" s="739"/>
      <c r="D9944" s="739"/>
      <c r="E9944" s="43">
        <v>100000</v>
      </c>
      <c r="F9944" s="48">
        <f t="shared" si="163"/>
        <v>103177.66129032261</v>
      </c>
      <c r="L9944" s="93"/>
    </row>
    <row r="9945" spans="1:12" x14ac:dyDescent="0.3">
      <c r="A9945" s="45">
        <v>44454</v>
      </c>
      <c r="B9945" s="5" t="s">
        <v>25</v>
      </c>
      <c r="C9945" s="5" t="s">
        <v>4276</v>
      </c>
      <c r="D9945" s="43">
        <v>4950</v>
      </c>
      <c r="E9945" s="43"/>
      <c r="F9945" s="48">
        <f t="shared" si="163"/>
        <v>98227.661290322605</v>
      </c>
    </row>
    <row r="9946" spans="1:12" x14ac:dyDescent="0.3">
      <c r="A9946" s="45">
        <v>44454</v>
      </c>
      <c r="B9946" s="5" t="s">
        <v>1616</v>
      </c>
      <c r="C9946" s="5" t="s">
        <v>7954</v>
      </c>
      <c r="D9946" s="43">
        <v>600</v>
      </c>
      <c r="E9946" s="43"/>
      <c r="F9946" s="48">
        <f t="shared" si="163"/>
        <v>97627.661290322605</v>
      </c>
    </row>
    <row r="9947" spans="1:12" x14ac:dyDescent="0.3">
      <c r="A9947" s="45">
        <v>44454</v>
      </c>
      <c r="B9947" s="5" t="s">
        <v>5930</v>
      </c>
      <c r="C9947" s="5" t="s">
        <v>3332</v>
      </c>
      <c r="D9947" s="43">
        <v>37912</v>
      </c>
      <c r="E9947" s="43"/>
      <c r="F9947" s="48">
        <f t="shared" si="163"/>
        <v>59715.661290322605</v>
      </c>
    </row>
    <row r="9948" spans="1:12" x14ac:dyDescent="0.3">
      <c r="A9948" s="45">
        <v>44454</v>
      </c>
      <c r="B9948" s="5" t="s">
        <v>25</v>
      </c>
      <c r="C9948" s="5" t="s">
        <v>4400</v>
      </c>
      <c r="D9948" s="43">
        <v>2500</v>
      </c>
      <c r="E9948" s="43"/>
      <c r="F9948" s="48">
        <f t="shared" si="163"/>
        <v>57215.661290322605</v>
      </c>
    </row>
    <row r="9949" spans="1:12" x14ac:dyDescent="0.3">
      <c r="A9949" s="45">
        <v>44454</v>
      </c>
      <c r="B9949" s="41" t="s">
        <v>6341</v>
      </c>
      <c r="C9949" s="41" t="s">
        <v>7955</v>
      </c>
      <c r="D9949" s="42">
        <v>27000</v>
      </c>
      <c r="E9949" s="43"/>
      <c r="F9949" s="48">
        <f t="shared" si="163"/>
        <v>30215.661290322605</v>
      </c>
    </row>
    <row r="9950" spans="1:12" x14ac:dyDescent="0.3">
      <c r="A9950" s="45">
        <v>44454</v>
      </c>
      <c r="B9950" s="41" t="s">
        <v>6341</v>
      </c>
      <c r="C9950" s="41" t="s">
        <v>7956</v>
      </c>
      <c r="D9950" s="42">
        <v>20000</v>
      </c>
      <c r="E9950" s="43"/>
      <c r="F9950" s="48">
        <f t="shared" ref="F9950:F10013" si="164">F9949+E9950-D9950</f>
        <v>10215.661290322605</v>
      </c>
    </row>
    <row r="9951" spans="1:12" x14ac:dyDescent="0.3">
      <c r="A9951" s="45">
        <v>44454</v>
      </c>
      <c r="B9951" s="73" t="s">
        <v>5709</v>
      </c>
      <c r="C9951" s="73" t="s">
        <v>7957</v>
      </c>
      <c r="D9951" s="183">
        <v>3900</v>
      </c>
      <c r="E9951" s="43"/>
      <c r="F9951" s="48">
        <f t="shared" si="164"/>
        <v>6315.6612903226051</v>
      </c>
    </row>
    <row r="9952" spans="1:12" x14ac:dyDescent="0.3">
      <c r="A9952" s="45">
        <v>44454</v>
      </c>
      <c r="B9952" s="739" t="s">
        <v>5431</v>
      </c>
      <c r="C9952" s="739"/>
      <c r="D9952" s="739"/>
      <c r="E9952" s="43">
        <v>1000000</v>
      </c>
      <c r="F9952" s="48">
        <f t="shared" si="164"/>
        <v>1006315.6612903227</v>
      </c>
      <c r="H9952" s="52">
        <v>443536</v>
      </c>
      <c r="I9952" s="52">
        <f>SUM(I9950:I9951)</f>
        <v>0</v>
      </c>
      <c r="L9952" s="93"/>
    </row>
    <row r="9953" spans="1:8" x14ac:dyDescent="0.3">
      <c r="A9953" s="45">
        <v>44454</v>
      </c>
      <c r="B9953" s="5" t="s">
        <v>6341</v>
      </c>
      <c r="C9953" s="5" t="s">
        <v>7958</v>
      </c>
      <c r="D9953" s="43">
        <v>10000</v>
      </c>
      <c r="E9953" s="43"/>
      <c r="F9953" s="48">
        <f t="shared" si="164"/>
        <v>996315.66129032266</v>
      </c>
    </row>
    <row r="9954" spans="1:8" x14ac:dyDescent="0.3">
      <c r="A9954" s="45">
        <v>44454</v>
      </c>
      <c r="B9954" s="5" t="s">
        <v>0</v>
      </c>
      <c r="C9954" s="5" t="s">
        <v>294</v>
      </c>
      <c r="D9954" s="43">
        <v>33000</v>
      </c>
      <c r="E9954" s="43"/>
      <c r="F9954" s="48">
        <f t="shared" si="164"/>
        <v>963315.66129032266</v>
      </c>
    </row>
    <row r="9955" spans="1:8" x14ac:dyDescent="0.3">
      <c r="A9955" s="45">
        <v>44454</v>
      </c>
      <c r="B9955" s="5" t="s">
        <v>541</v>
      </c>
      <c r="C9955" s="5" t="s">
        <v>7959</v>
      </c>
      <c r="D9955" s="43">
        <v>30000</v>
      </c>
      <c r="E9955" s="43"/>
      <c r="F9955" s="48">
        <f t="shared" si="164"/>
        <v>933315.66129032266</v>
      </c>
    </row>
    <row r="9956" spans="1:8" x14ac:dyDescent="0.3">
      <c r="A9956" s="45">
        <v>44454</v>
      </c>
      <c r="B9956" s="5" t="s">
        <v>25</v>
      </c>
      <c r="C9956" s="5" t="s">
        <v>7960</v>
      </c>
      <c r="D9956" s="43">
        <v>2250</v>
      </c>
      <c r="E9956" s="43"/>
      <c r="F9956" s="48">
        <f t="shared" si="164"/>
        <v>931065.66129032266</v>
      </c>
    </row>
    <row r="9957" spans="1:8" x14ac:dyDescent="0.3">
      <c r="A9957" s="45">
        <v>44454</v>
      </c>
      <c r="B9957" s="5" t="s">
        <v>7128</v>
      </c>
      <c r="C9957" s="5" t="s">
        <v>7961</v>
      </c>
      <c r="D9957" s="43">
        <v>2000</v>
      </c>
      <c r="E9957" s="43"/>
      <c r="F9957" s="48">
        <f t="shared" si="164"/>
        <v>929065.66129032266</v>
      </c>
    </row>
    <row r="9958" spans="1:8" x14ac:dyDescent="0.3">
      <c r="A9958" s="45">
        <v>44454</v>
      </c>
      <c r="B9958" s="5" t="s">
        <v>7962</v>
      </c>
      <c r="C9958" s="5" t="s">
        <v>30</v>
      </c>
      <c r="D9958" s="43">
        <v>100</v>
      </c>
      <c r="E9958" s="43"/>
      <c r="F9958" s="48">
        <f t="shared" si="164"/>
        <v>928965.66129032266</v>
      </c>
      <c r="H9958" s="52">
        <v>100</v>
      </c>
    </row>
    <row r="9959" spans="1:8" x14ac:dyDescent="0.3">
      <c r="A9959" s="45">
        <v>44454</v>
      </c>
      <c r="B9959" s="5" t="s">
        <v>0</v>
      </c>
      <c r="C9959" s="5" t="s">
        <v>7963</v>
      </c>
      <c r="D9959" s="43">
        <v>6000</v>
      </c>
      <c r="E9959" s="43"/>
      <c r="F9959" s="48">
        <f t="shared" si="164"/>
        <v>922965.66129032266</v>
      </c>
      <c r="H9959" s="52">
        <v>120</v>
      </c>
    </row>
    <row r="9960" spans="1:8" x14ac:dyDescent="0.3">
      <c r="A9960" s="45">
        <v>44454</v>
      </c>
      <c r="B9960" s="5" t="s">
        <v>7964</v>
      </c>
      <c r="C9960" s="5" t="s">
        <v>7965</v>
      </c>
      <c r="D9960" s="43">
        <v>797020</v>
      </c>
      <c r="E9960" s="43"/>
      <c r="F9960" s="48">
        <f t="shared" si="164"/>
        <v>125945.66129032266</v>
      </c>
      <c r="H9960" s="52">
        <v>150</v>
      </c>
    </row>
    <row r="9961" spans="1:8" x14ac:dyDescent="0.3">
      <c r="A9961" s="45">
        <v>44454</v>
      </c>
      <c r="B9961" s="5" t="s">
        <v>3559</v>
      </c>
      <c r="C9961" s="5" t="s">
        <v>7966</v>
      </c>
      <c r="D9961" s="43">
        <v>650</v>
      </c>
      <c r="E9961" s="43"/>
      <c r="F9961" s="48">
        <f t="shared" si="164"/>
        <v>125295.66129032266</v>
      </c>
      <c r="H9961" s="52">
        <v>120</v>
      </c>
    </row>
    <row r="9962" spans="1:8" x14ac:dyDescent="0.3">
      <c r="A9962" s="45">
        <v>44454</v>
      </c>
      <c r="B9962" s="5" t="s">
        <v>5793</v>
      </c>
      <c r="C9962" s="5" t="s">
        <v>7967</v>
      </c>
      <c r="D9962" s="43">
        <v>500</v>
      </c>
      <c r="E9962" s="43"/>
      <c r="F9962" s="48">
        <f t="shared" si="164"/>
        <v>124795.66129032266</v>
      </c>
      <c r="H9962" s="52">
        <v>150</v>
      </c>
    </row>
    <row r="9963" spans="1:8" x14ac:dyDescent="0.3">
      <c r="A9963" s="45">
        <v>44454</v>
      </c>
      <c r="B9963" s="5" t="s">
        <v>5793</v>
      </c>
      <c r="C9963" s="5" t="s">
        <v>7968</v>
      </c>
      <c r="D9963" s="43">
        <v>300</v>
      </c>
      <c r="E9963" s="43"/>
      <c r="F9963" s="48">
        <f t="shared" si="164"/>
        <v>124495.66129032266</v>
      </c>
      <c r="H9963" s="52">
        <v>300</v>
      </c>
    </row>
    <row r="9964" spans="1:8" x14ac:dyDescent="0.3">
      <c r="A9964" s="45">
        <v>44454</v>
      </c>
      <c r="B9964" s="5" t="s">
        <v>6959</v>
      </c>
      <c r="C9964" s="5" t="s">
        <v>30</v>
      </c>
      <c r="D9964" s="43">
        <v>100</v>
      </c>
      <c r="E9964" s="43"/>
      <c r="F9964" s="48">
        <f t="shared" si="164"/>
        <v>124395.66129032266</v>
      </c>
      <c r="H9964" s="52">
        <v>190</v>
      </c>
    </row>
    <row r="9965" spans="1:8" x14ac:dyDescent="0.3">
      <c r="A9965" s="45">
        <v>44454</v>
      </c>
      <c r="B9965" s="5" t="s">
        <v>25</v>
      </c>
      <c r="C9965" s="5" t="s">
        <v>5108</v>
      </c>
      <c r="D9965" s="43">
        <v>1000</v>
      </c>
      <c r="E9965" s="43"/>
      <c r="F9965" s="48">
        <f t="shared" si="164"/>
        <v>123395.66129032266</v>
      </c>
      <c r="H9965" s="52">
        <v>130</v>
      </c>
    </row>
    <row r="9966" spans="1:8" x14ac:dyDescent="0.3">
      <c r="A9966" s="45">
        <v>44455</v>
      </c>
      <c r="B9966" s="5" t="s">
        <v>84</v>
      </c>
      <c r="C9966" s="5" t="s">
        <v>7969</v>
      </c>
      <c r="D9966" s="43">
        <v>10000</v>
      </c>
      <c r="E9966" s="43"/>
      <c r="F9966" s="48">
        <f t="shared" si="164"/>
        <v>113395.66129032266</v>
      </c>
      <c r="H9966" s="52">
        <v>652</v>
      </c>
    </row>
    <row r="9967" spans="1:8" x14ac:dyDescent="0.3">
      <c r="A9967" s="45">
        <v>44455</v>
      </c>
      <c r="B9967" s="5" t="s">
        <v>5618</v>
      </c>
      <c r="C9967" s="5" t="s">
        <v>7252</v>
      </c>
      <c r="D9967" s="43">
        <v>12000</v>
      </c>
      <c r="E9967" s="43"/>
      <c r="F9967" s="48">
        <f t="shared" si="164"/>
        <v>101395.66129032266</v>
      </c>
      <c r="H9967" s="52">
        <v>1000</v>
      </c>
    </row>
    <row r="9968" spans="1:8" x14ac:dyDescent="0.3">
      <c r="A9968" s="45">
        <v>44455</v>
      </c>
      <c r="B9968" s="5" t="s">
        <v>14</v>
      </c>
      <c r="C9968" s="5" t="s">
        <v>294</v>
      </c>
      <c r="D9968" s="43">
        <v>10000</v>
      </c>
      <c r="E9968" s="43"/>
      <c r="F9968" s="48">
        <f t="shared" si="164"/>
        <v>91395.661290322663</v>
      </c>
      <c r="H9968" s="52">
        <v>1230</v>
      </c>
    </row>
    <row r="9969" spans="1:12" x14ac:dyDescent="0.3">
      <c r="A9969" s="45">
        <v>44455</v>
      </c>
      <c r="B9969" s="5" t="s">
        <v>1616</v>
      </c>
      <c r="C9969" s="5" t="s">
        <v>7970</v>
      </c>
      <c r="D9969" s="43">
        <v>3500</v>
      </c>
      <c r="E9969" s="43"/>
      <c r="F9969" s="48">
        <f t="shared" si="164"/>
        <v>87895.661290322663</v>
      </c>
      <c r="H9969" s="52">
        <v>400</v>
      </c>
    </row>
    <row r="9970" spans="1:12" x14ac:dyDescent="0.3">
      <c r="A9970" s="45">
        <v>44455</v>
      </c>
      <c r="B9970" s="5" t="s">
        <v>5793</v>
      </c>
      <c r="C9970" s="5" t="s">
        <v>7971</v>
      </c>
      <c r="D9970" s="43">
        <v>700</v>
      </c>
      <c r="E9970" s="43"/>
      <c r="F9970" s="48">
        <f t="shared" si="164"/>
        <v>87195.661290322663</v>
      </c>
      <c r="H9970" s="52">
        <v>420</v>
      </c>
    </row>
    <row r="9971" spans="1:12" x14ac:dyDescent="0.3">
      <c r="A9971" s="45">
        <v>44455</v>
      </c>
      <c r="B9971" s="5" t="s">
        <v>1410</v>
      </c>
      <c r="C9971" s="5" t="s">
        <v>5508</v>
      </c>
      <c r="D9971" s="43">
        <v>20000</v>
      </c>
      <c r="E9971" s="43"/>
      <c r="F9971" s="48">
        <f t="shared" si="164"/>
        <v>67195.661290322663</v>
      </c>
      <c r="H9971" s="52">
        <v>800</v>
      </c>
    </row>
    <row r="9972" spans="1:12" x14ac:dyDescent="0.3">
      <c r="A9972" s="45">
        <v>44455</v>
      </c>
      <c r="B9972" s="5" t="s">
        <v>84</v>
      </c>
      <c r="C9972" s="5" t="s">
        <v>7972</v>
      </c>
      <c r="D9972" s="43">
        <v>10000</v>
      </c>
      <c r="E9972" s="43"/>
      <c r="F9972" s="48">
        <f t="shared" si="164"/>
        <v>57195.661290322663</v>
      </c>
      <c r="H9972" s="52">
        <v>500</v>
      </c>
    </row>
    <row r="9973" spans="1:12" x14ac:dyDescent="0.3">
      <c r="A9973" s="45">
        <v>44455</v>
      </c>
      <c r="B9973" s="739" t="s">
        <v>7977</v>
      </c>
      <c r="C9973" s="739"/>
      <c r="D9973" s="739"/>
      <c r="E9973" s="43">
        <v>85000</v>
      </c>
      <c r="F9973" s="48">
        <f t="shared" si="164"/>
        <v>142195.66129032266</v>
      </c>
      <c r="H9973" s="52">
        <v>443536</v>
      </c>
      <c r="I9973" s="52">
        <f>SUM(I9971:I9972)</f>
        <v>0</v>
      </c>
      <c r="L9973" s="93"/>
    </row>
    <row r="9974" spans="1:12" x14ac:dyDescent="0.3">
      <c r="A9974" s="45">
        <v>44456</v>
      </c>
      <c r="B9974" s="5" t="s">
        <v>7978</v>
      </c>
      <c r="C9974" s="5" t="s">
        <v>7979</v>
      </c>
      <c r="D9974" s="43">
        <v>45000</v>
      </c>
      <c r="E9974" s="43"/>
      <c r="F9974" s="48">
        <f t="shared" si="164"/>
        <v>97195.661290322663</v>
      </c>
      <c r="H9974" s="52">
        <f>SUM(H9958:H9973)</f>
        <v>449798</v>
      </c>
    </row>
    <row r="9975" spans="1:12" x14ac:dyDescent="0.3">
      <c r="A9975" s="45">
        <v>44456</v>
      </c>
      <c r="B9975" s="5" t="s">
        <v>7779</v>
      </c>
      <c r="C9975" s="5" t="s">
        <v>7980</v>
      </c>
      <c r="D9975" s="43">
        <v>40000</v>
      </c>
      <c r="E9975" s="43"/>
      <c r="F9975" s="48">
        <f t="shared" si="164"/>
        <v>57195.661290322663</v>
      </c>
    </row>
    <row r="9976" spans="1:12" x14ac:dyDescent="0.3">
      <c r="A9976" s="45">
        <v>44456</v>
      </c>
      <c r="B9976" s="5" t="s">
        <v>7546</v>
      </c>
      <c r="C9976" s="5" t="s">
        <v>294</v>
      </c>
      <c r="D9976" s="43">
        <v>40000</v>
      </c>
      <c r="E9976" s="43"/>
      <c r="F9976" s="48">
        <f t="shared" si="164"/>
        <v>17195.661290322663</v>
      </c>
    </row>
    <row r="9977" spans="1:12" x14ac:dyDescent="0.3">
      <c r="A9977" s="45">
        <v>44456</v>
      </c>
      <c r="B9977" s="5" t="s">
        <v>7779</v>
      </c>
      <c r="C9977" s="5" t="s">
        <v>7981</v>
      </c>
      <c r="D9977" s="43">
        <v>1300</v>
      </c>
      <c r="E9977" s="43"/>
      <c r="F9977" s="48">
        <f t="shared" si="164"/>
        <v>15895.661290322663</v>
      </c>
    </row>
    <row r="9978" spans="1:12" x14ac:dyDescent="0.3">
      <c r="A9978" s="45">
        <v>44456</v>
      </c>
      <c r="B9978" s="5" t="s">
        <v>0</v>
      </c>
      <c r="C9978" s="5" t="s">
        <v>7982</v>
      </c>
      <c r="D9978" s="43">
        <v>1250</v>
      </c>
      <c r="E9978" s="43"/>
      <c r="F9978" s="48">
        <f t="shared" si="164"/>
        <v>14645.661290322663</v>
      </c>
    </row>
    <row r="9979" spans="1:12" x14ac:dyDescent="0.3">
      <c r="A9979" s="45">
        <v>44456</v>
      </c>
      <c r="B9979" s="5" t="s">
        <v>54</v>
      </c>
      <c r="C9979" s="5" t="s">
        <v>7998</v>
      </c>
      <c r="D9979" s="43">
        <v>2000</v>
      </c>
      <c r="E9979" s="43"/>
      <c r="F9979" s="48">
        <f t="shared" si="164"/>
        <v>12645.661290322663</v>
      </c>
    </row>
    <row r="9980" spans="1:12" x14ac:dyDescent="0.3">
      <c r="A9980" s="45">
        <v>44457</v>
      </c>
      <c r="B9980" s="5" t="s">
        <v>25</v>
      </c>
      <c r="C9980" s="5" t="s">
        <v>7934</v>
      </c>
      <c r="D9980" s="43">
        <v>1200</v>
      </c>
      <c r="E9980" s="43"/>
      <c r="F9980" s="48">
        <f t="shared" si="164"/>
        <v>11445.661290322663</v>
      </c>
      <c r="G9980" s="52" t="s">
        <v>4329</v>
      </c>
    </row>
    <row r="9981" spans="1:12" x14ac:dyDescent="0.3">
      <c r="A9981" s="45">
        <v>44457</v>
      </c>
      <c r="B9981" s="5" t="s">
        <v>25</v>
      </c>
      <c r="C9981" s="5" t="s">
        <v>4276</v>
      </c>
      <c r="D9981" s="43">
        <v>4409</v>
      </c>
      <c r="E9981" s="43"/>
      <c r="F9981" s="48">
        <f t="shared" si="164"/>
        <v>7036.6612903226633</v>
      </c>
      <c r="G9981" s="52" t="s">
        <v>861</v>
      </c>
    </row>
    <row r="9982" spans="1:12" x14ac:dyDescent="0.3">
      <c r="A9982" s="45">
        <v>44459</v>
      </c>
      <c r="B9982" s="5" t="s">
        <v>5793</v>
      </c>
      <c r="C9982" s="5" t="s">
        <v>8008</v>
      </c>
      <c r="D9982" s="43">
        <v>1500</v>
      </c>
      <c r="E9982" s="43"/>
      <c r="F9982" s="48">
        <f t="shared" si="164"/>
        <v>5536.6612903226633</v>
      </c>
      <c r="I9982" s="52">
        <f>12500*7</f>
        <v>87500</v>
      </c>
    </row>
    <row r="9983" spans="1:12" x14ac:dyDescent="0.3">
      <c r="A9983" s="45">
        <v>44459</v>
      </c>
      <c r="B9983" s="5" t="s">
        <v>14</v>
      </c>
      <c r="C9983" s="5" t="s">
        <v>294</v>
      </c>
      <c r="D9983" s="43">
        <v>1000</v>
      </c>
      <c r="E9983" s="43"/>
      <c r="F9983" s="48">
        <f t="shared" si="164"/>
        <v>4536.6612903226633</v>
      </c>
    </row>
    <row r="9984" spans="1:12" x14ac:dyDescent="0.3">
      <c r="A9984" s="45">
        <v>44459</v>
      </c>
      <c r="B9984" s="739" t="s">
        <v>861</v>
      </c>
      <c r="C9984" s="739"/>
      <c r="D9984" s="739"/>
      <c r="E9984" s="43">
        <v>100000</v>
      </c>
      <c r="F9984" s="48">
        <f t="shared" si="164"/>
        <v>104536.66129032266</v>
      </c>
      <c r="H9984" s="52">
        <v>443536</v>
      </c>
      <c r="I9984" s="52">
        <f>SUM(I9981:I9982)</f>
        <v>87500</v>
      </c>
      <c r="L9984" s="93"/>
    </row>
    <row r="9985" spans="1:10" x14ac:dyDescent="0.3">
      <c r="A9985" s="45">
        <v>44459</v>
      </c>
      <c r="B9985" s="5" t="s">
        <v>1074</v>
      </c>
      <c r="C9985" s="5" t="s">
        <v>7339</v>
      </c>
      <c r="D9985" s="43">
        <f>1150+1400+5580+1290</f>
        <v>9420</v>
      </c>
      <c r="E9985" s="43"/>
      <c r="F9985" s="48">
        <f t="shared" si="164"/>
        <v>95116.661290322663</v>
      </c>
      <c r="H9985" s="52">
        <v>1513512</v>
      </c>
      <c r="I9985" s="52">
        <v>31200</v>
      </c>
    </row>
    <row r="9986" spans="1:10" x14ac:dyDescent="0.3">
      <c r="A9986" s="45">
        <v>44459</v>
      </c>
      <c r="B9986" s="5" t="s">
        <v>8009</v>
      </c>
      <c r="C9986" s="5" t="s">
        <v>8010</v>
      </c>
      <c r="D9986" s="43">
        <v>1000</v>
      </c>
      <c r="E9986" s="43"/>
      <c r="F9986" s="48">
        <f t="shared" si="164"/>
        <v>94116.661290322663</v>
      </c>
      <c r="H9986" s="52">
        <v>2313450</v>
      </c>
      <c r="I9986" s="52">
        <f>SUM(I9982:I9985)</f>
        <v>206200</v>
      </c>
    </row>
    <row r="9987" spans="1:10" x14ac:dyDescent="0.3">
      <c r="A9987" s="45">
        <v>44459</v>
      </c>
      <c r="B9987" s="5" t="s">
        <v>4281</v>
      </c>
      <c r="C9987" s="5" t="s">
        <v>8011</v>
      </c>
      <c r="D9987" s="43">
        <v>200</v>
      </c>
      <c r="E9987" s="43"/>
      <c r="F9987" s="48">
        <f t="shared" si="164"/>
        <v>93916.661290322663</v>
      </c>
      <c r="H9987" s="52">
        <v>211581</v>
      </c>
      <c r="I9987" s="52">
        <f>1200*26</f>
        <v>31200</v>
      </c>
    </row>
    <row r="9988" spans="1:10" x14ac:dyDescent="0.3">
      <c r="A9988" s="45">
        <v>44459</v>
      </c>
      <c r="B9988" s="5" t="s">
        <v>0</v>
      </c>
      <c r="C9988" s="5" t="s">
        <v>294</v>
      </c>
      <c r="D9988" s="43">
        <v>5000</v>
      </c>
      <c r="E9988" s="43"/>
      <c r="F9988" s="48">
        <f t="shared" si="164"/>
        <v>88916.661290322663</v>
      </c>
      <c r="H9988" s="52">
        <v>80124</v>
      </c>
    </row>
    <row r="9989" spans="1:10" x14ac:dyDescent="0.3">
      <c r="A9989" s="45">
        <v>44459</v>
      </c>
      <c r="B9989" s="5" t="s">
        <v>6908</v>
      </c>
      <c r="C9989" s="5" t="s">
        <v>8012</v>
      </c>
      <c r="D9989" s="43">
        <v>1000</v>
      </c>
      <c r="E9989" s="43"/>
      <c r="F9989" s="48">
        <f t="shared" si="164"/>
        <v>87916.661290322663</v>
      </c>
      <c r="H9989" s="52">
        <v>443536</v>
      </c>
    </row>
    <row r="9990" spans="1:10" x14ac:dyDescent="0.3">
      <c r="A9990" s="45">
        <v>44459</v>
      </c>
      <c r="B9990" s="5" t="s">
        <v>1512</v>
      </c>
      <c r="C9990" s="5" t="s">
        <v>8013</v>
      </c>
      <c r="D9990" s="43">
        <v>4600</v>
      </c>
      <c r="E9990" s="43"/>
      <c r="F9990" s="48">
        <f t="shared" si="164"/>
        <v>83316.661290322663</v>
      </c>
      <c r="H9990" s="52">
        <f>SUM(H9985:H9989)</f>
        <v>4562203</v>
      </c>
      <c r="J9990" s="52">
        <v>5580</v>
      </c>
    </row>
    <row r="9991" spans="1:10" x14ac:dyDescent="0.3">
      <c r="A9991" s="45">
        <v>44460</v>
      </c>
      <c r="B9991" s="5" t="s">
        <v>14</v>
      </c>
      <c r="C9991" s="5" t="s">
        <v>294</v>
      </c>
      <c r="D9991" s="43">
        <v>2000</v>
      </c>
      <c r="E9991" s="43"/>
      <c r="F9991" s="48">
        <f t="shared" si="164"/>
        <v>81316.661290322663</v>
      </c>
      <c r="H9991" s="52">
        <v>2032139</v>
      </c>
      <c r="J9991" s="52">
        <v>1290</v>
      </c>
    </row>
    <row r="9992" spans="1:10" x14ac:dyDescent="0.3">
      <c r="A9992" s="45">
        <v>44460</v>
      </c>
      <c r="B9992" s="5" t="s">
        <v>5709</v>
      </c>
      <c r="C9992" s="5" t="s">
        <v>8015</v>
      </c>
      <c r="D9992" s="43">
        <v>4660</v>
      </c>
      <c r="E9992" s="43"/>
      <c r="F9992" s="48">
        <f t="shared" si="164"/>
        <v>76656.661290322663</v>
      </c>
      <c r="H9992" s="52">
        <f>H9990-H9991</f>
        <v>2530064</v>
      </c>
      <c r="J9992" s="52">
        <f>SUM(J9990:J9991)</f>
        <v>6870</v>
      </c>
    </row>
    <row r="9993" spans="1:10" x14ac:dyDescent="0.3">
      <c r="A9993" s="45">
        <v>44460</v>
      </c>
      <c r="B9993" s="5" t="s">
        <v>5709</v>
      </c>
      <c r="C9993" s="5" t="s">
        <v>8016</v>
      </c>
      <c r="D9993" s="43">
        <v>3500</v>
      </c>
      <c r="E9993" s="43"/>
      <c r="F9993" s="48">
        <f t="shared" si="164"/>
        <v>73156.661290322663</v>
      </c>
      <c r="H9993" s="52">
        <v>250000</v>
      </c>
    </row>
    <row r="9994" spans="1:10" x14ac:dyDescent="0.3">
      <c r="A9994" s="45">
        <v>44461</v>
      </c>
      <c r="B9994" s="5" t="s">
        <v>6908</v>
      </c>
      <c r="C9994" s="5" t="s">
        <v>8017</v>
      </c>
      <c r="D9994" s="43">
        <v>500</v>
      </c>
      <c r="E9994" s="43"/>
      <c r="F9994" s="48">
        <f t="shared" si="164"/>
        <v>72656.661290322663</v>
      </c>
      <c r="H9994" s="52">
        <f>H9992-H9993</f>
        <v>2280064</v>
      </c>
    </row>
    <row r="9995" spans="1:10" x14ac:dyDescent="0.3">
      <c r="A9995" s="45">
        <v>44461</v>
      </c>
      <c r="B9995" s="5" t="s">
        <v>14</v>
      </c>
      <c r="C9995" s="5" t="s">
        <v>8018</v>
      </c>
      <c r="D9995" s="43">
        <v>8986</v>
      </c>
      <c r="E9995" s="43"/>
      <c r="F9995" s="48">
        <f t="shared" si="164"/>
        <v>63670.661290322663</v>
      </c>
      <c r="H9995" s="52">
        <v>250000</v>
      </c>
    </row>
    <row r="9996" spans="1:10" x14ac:dyDescent="0.3">
      <c r="A9996" s="45">
        <v>44461</v>
      </c>
      <c r="B9996" s="5" t="s">
        <v>3559</v>
      </c>
      <c r="C9996" s="5" t="s">
        <v>8019</v>
      </c>
      <c r="D9996" s="43">
        <v>32367</v>
      </c>
      <c r="E9996" s="43"/>
      <c r="F9996" s="48">
        <f t="shared" si="164"/>
        <v>31303.661290322663</v>
      </c>
      <c r="H9996" s="52">
        <f>H9994-H9995</f>
        <v>2030064</v>
      </c>
    </row>
    <row r="9997" spans="1:10" x14ac:dyDescent="0.3">
      <c r="A9997" s="45">
        <v>44461</v>
      </c>
      <c r="B9997" s="5" t="s">
        <v>25</v>
      </c>
      <c r="C9997" s="5" t="s">
        <v>8019</v>
      </c>
      <c r="D9997" s="43">
        <v>9247</v>
      </c>
      <c r="E9997" s="43"/>
      <c r="F9997" s="48">
        <f t="shared" si="164"/>
        <v>22056.661290322663</v>
      </c>
      <c r="H9997" s="52">
        <v>200000</v>
      </c>
    </row>
    <row r="9998" spans="1:10" x14ac:dyDescent="0.3">
      <c r="A9998" s="45">
        <v>44461</v>
      </c>
      <c r="B9998" s="5" t="s">
        <v>14</v>
      </c>
      <c r="C9998" s="5" t="s">
        <v>294</v>
      </c>
      <c r="D9998" s="43">
        <v>15000</v>
      </c>
      <c r="E9998" s="43"/>
      <c r="F9998" s="48">
        <f t="shared" si="164"/>
        <v>7056.6612903226633</v>
      </c>
      <c r="H9998" s="52">
        <v>300000</v>
      </c>
    </row>
    <row r="9999" spans="1:10" x14ac:dyDescent="0.3">
      <c r="A9999" s="45">
        <v>44461</v>
      </c>
      <c r="B9999" s="739" t="s">
        <v>4329</v>
      </c>
      <c r="C9999" s="739"/>
      <c r="D9999" s="739"/>
      <c r="E9999" s="43">
        <v>200000</v>
      </c>
      <c r="F9999" s="48">
        <f t="shared" si="164"/>
        <v>207056.66129032266</v>
      </c>
      <c r="H9999" s="52">
        <v>243000</v>
      </c>
    </row>
    <row r="10000" spans="1:10" x14ac:dyDescent="0.3">
      <c r="A10000" s="45">
        <v>44461</v>
      </c>
      <c r="B10000" s="5" t="s">
        <v>0</v>
      </c>
      <c r="C10000" s="5" t="s">
        <v>294</v>
      </c>
      <c r="D10000" s="43">
        <v>30000</v>
      </c>
      <c r="E10000" s="43"/>
      <c r="F10000" s="48">
        <f t="shared" si="164"/>
        <v>177056.66129032266</v>
      </c>
      <c r="H10000" s="52">
        <f>H9996-H9997-H9998-H9999</f>
        <v>1287064</v>
      </c>
    </row>
    <row r="10001" spans="1:12" x14ac:dyDescent="0.3">
      <c r="A10001" s="45">
        <v>44461</v>
      </c>
      <c r="B10001" s="5" t="s">
        <v>5162</v>
      </c>
      <c r="C10001" s="5" t="s">
        <v>8024</v>
      </c>
      <c r="D10001" s="43">
        <v>850</v>
      </c>
      <c r="E10001" s="43"/>
      <c r="F10001" s="48">
        <f t="shared" si="164"/>
        <v>176206.66129032266</v>
      </c>
    </row>
    <row r="10002" spans="1:12" x14ac:dyDescent="0.3">
      <c r="A10002" s="45">
        <v>44461</v>
      </c>
      <c r="B10002" s="5" t="s">
        <v>5162</v>
      </c>
      <c r="C10002" s="5" t="s">
        <v>8025</v>
      </c>
      <c r="D10002" s="43">
        <v>600</v>
      </c>
      <c r="E10002" s="43"/>
      <c r="F10002" s="48">
        <f t="shared" si="164"/>
        <v>175606.66129032266</v>
      </c>
    </row>
    <row r="10003" spans="1:12" x14ac:dyDescent="0.3">
      <c r="A10003" s="45">
        <v>44462</v>
      </c>
      <c r="B10003" s="41" t="s">
        <v>8026</v>
      </c>
      <c r="C10003" s="41" t="s">
        <v>8027</v>
      </c>
      <c r="D10003" s="42">
        <v>87300</v>
      </c>
      <c r="E10003" s="43"/>
      <c r="F10003" s="48">
        <f t="shared" si="164"/>
        <v>88306.661290322663</v>
      </c>
    </row>
    <row r="10004" spans="1:12" x14ac:dyDescent="0.3">
      <c r="A10004" s="45">
        <v>44462</v>
      </c>
      <c r="B10004" s="5" t="s">
        <v>4550</v>
      </c>
      <c r="C10004" s="5" t="s">
        <v>294</v>
      </c>
      <c r="D10004" s="43">
        <v>12250</v>
      </c>
      <c r="E10004" s="43"/>
      <c r="F10004" s="48">
        <f t="shared" si="164"/>
        <v>76056.661290322663</v>
      </c>
    </row>
    <row r="10005" spans="1:12" x14ac:dyDescent="0.3">
      <c r="A10005" s="45">
        <v>44462</v>
      </c>
      <c r="B10005" s="61" t="s">
        <v>4550</v>
      </c>
      <c r="C10005" s="61" t="s">
        <v>294</v>
      </c>
      <c r="D10005" s="62">
        <v>5000</v>
      </c>
      <c r="E10005" s="43"/>
      <c r="F10005" s="48">
        <f t="shared" si="164"/>
        <v>71056.661290322663</v>
      </c>
    </row>
    <row r="10006" spans="1:12" x14ac:dyDescent="0.3">
      <c r="A10006" s="45">
        <v>44462</v>
      </c>
      <c r="B10006" s="5" t="s">
        <v>0</v>
      </c>
      <c r="C10006" s="5" t="s">
        <v>294</v>
      </c>
      <c r="D10006" s="43">
        <v>2000</v>
      </c>
      <c r="E10006" s="43"/>
      <c r="F10006" s="48">
        <f t="shared" si="164"/>
        <v>69056.661290322663</v>
      </c>
    </row>
    <row r="10007" spans="1:12" x14ac:dyDescent="0.3">
      <c r="A10007" s="45">
        <v>44462</v>
      </c>
      <c r="B10007" s="5" t="s">
        <v>4504</v>
      </c>
      <c r="C10007" s="5" t="s">
        <v>8029</v>
      </c>
      <c r="D10007" s="43">
        <v>15000</v>
      </c>
      <c r="E10007" s="43"/>
      <c r="F10007" s="48">
        <f t="shared" si="164"/>
        <v>54056.661290322663</v>
      </c>
    </row>
    <row r="10008" spans="1:12" x14ac:dyDescent="0.3">
      <c r="A10008" s="45">
        <v>44463</v>
      </c>
      <c r="B10008" s="5" t="s">
        <v>14</v>
      </c>
      <c r="C10008" s="5" t="s">
        <v>294</v>
      </c>
      <c r="D10008" s="43">
        <v>10000</v>
      </c>
      <c r="E10008" s="43"/>
      <c r="F10008" s="48">
        <f t="shared" si="164"/>
        <v>44056.661290322663</v>
      </c>
      <c r="I10008" s="52">
        <v>1780000</v>
      </c>
    </row>
    <row r="10009" spans="1:12" x14ac:dyDescent="0.3">
      <c r="A10009" s="45">
        <v>44463</v>
      </c>
      <c r="B10009" s="5" t="s">
        <v>5938</v>
      </c>
      <c r="C10009" s="5" t="s">
        <v>8030</v>
      </c>
      <c r="D10009" s="43">
        <v>20000</v>
      </c>
      <c r="E10009" s="43"/>
      <c r="F10009" s="48">
        <f t="shared" si="164"/>
        <v>24056.661290322663</v>
      </c>
      <c r="I10009" s="52">
        <v>600000</v>
      </c>
    </row>
    <row r="10010" spans="1:12" x14ac:dyDescent="0.3">
      <c r="A10010" s="45">
        <v>44463</v>
      </c>
      <c r="B10010" s="5" t="s">
        <v>6430</v>
      </c>
      <c r="C10010" s="5" t="s">
        <v>4512</v>
      </c>
      <c r="D10010" s="43">
        <v>4550</v>
      </c>
      <c r="E10010" s="43"/>
      <c r="F10010" s="48">
        <f t="shared" si="164"/>
        <v>19506.661290322663</v>
      </c>
      <c r="I10010" s="52">
        <f>I10008-I10009</f>
        <v>1180000</v>
      </c>
    </row>
    <row r="10011" spans="1:12" x14ac:dyDescent="0.3">
      <c r="A10011" s="45">
        <v>44463</v>
      </c>
      <c r="B10011" s="5" t="s">
        <v>25</v>
      </c>
      <c r="C10011" s="5" t="s">
        <v>7934</v>
      </c>
      <c r="D10011" s="43">
        <v>1600</v>
      </c>
      <c r="E10011" s="43"/>
      <c r="F10011" s="48">
        <f t="shared" si="164"/>
        <v>17906.661290322663</v>
      </c>
      <c r="I10011" s="52">
        <v>120000</v>
      </c>
    </row>
    <row r="10012" spans="1:12" x14ac:dyDescent="0.3">
      <c r="A10012" s="45">
        <v>44463</v>
      </c>
      <c r="B10012" s="5" t="s">
        <v>25</v>
      </c>
      <c r="C10012" s="5" t="s">
        <v>4276</v>
      </c>
      <c r="D10012" s="43">
        <v>1850</v>
      </c>
      <c r="E10012" s="43"/>
      <c r="F10012" s="48">
        <f t="shared" si="164"/>
        <v>16056.661290322663</v>
      </c>
      <c r="I10012" s="52">
        <v>120000</v>
      </c>
    </row>
    <row r="10013" spans="1:12" x14ac:dyDescent="0.3">
      <c r="A10013" s="45">
        <v>44464</v>
      </c>
      <c r="B10013" s="5" t="s">
        <v>84</v>
      </c>
      <c r="C10013" s="5" t="s">
        <v>8031</v>
      </c>
      <c r="D10013" s="43">
        <v>2000</v>
      </c>
      <c r="E10013" s="43"/>
      <c r="F10013" s="48">
        <f t="shared" si="164"/>
        <v>14056.661290322663</v>
      </c>
      <c r="I10013" s="52">
        <v>120000</v>
      </c>
    </row>
    <row r="10014" spans="1:12" x14ac:dyDescent="0.3">
      <c r="A10014" s="45">
        <v>44464</v>
      </c>
      <c r="B10014" s="5" t="s">
        <v>84</v>
      </c>
      <c r="C10014" s="5" t="s">
        <v>8032</v>
      </c>
      <c r="D10014" s="43">
        <v>6000</v>
      </c>
      <c r="E10014" s="43"/>
      <c r="F10014" s="48">
        <f t="shared" ref="F10014:F10019" si="165">F10013+E10014-D10014</f>
        <v>8056.6612903226633</v>
      </c>
      <c r="I10014" s="52">
        <v>150000</v>
      </c>
    </row>
    <row r="10015" spans="1:12" x14ac:dyDescent="0.3">
      <c r="A10015" s="45">
        <v>44464</v>
      </c>
      <c r="B10015" s="739" t="s">
        <v>8034</v>
      </c>
      <c r="C10015" s="739"/>
      <c r="D10015" s="739"/>
      <c r="E10015" s="43">
        <v>26000</v>
      </c>
      <c r="F10015" s="48">
        <f t="shared" si="165"/>
        <v>34056.661290322663</v>
      </c>
      <c r="L10015" s="93"/>
    </row>
    <row r="10016" spans="1:12" x14ac:dyDescent="0.3">
      <c r="A10016" s="45">
        <v>44464</v>
      </c>
      <c r="B10016" s="5" t="s">
        <v>0</v>
      </c>
      <c r="C10016" s="5" t="s">
        <v>8033</v>
      </c>
      <c r="D10016" s="43">
        <v>14000</v>
      </c>
      <c r="E10016" s="43"/>
      <c r="F10016" s="48">
        <f t="shared" si="165"/>
        <v>20056.661290322663</v>
      </c>
      <c r="I10016" s="52">
        <v>50000</v>
      </c>
    </row>
    <row r="10017" spans="1:12" x14ac:dyDescent="0.3">
      <c r="A10017" s="45">
        <v>44464</v>
      </c>
      <c r="B10017" s="739" t="s">
        <v>8035</v>
      </c>
      <c r="C10017" s="739"/>
      <c r="D10017" s="739"/>
      <c r="E10017" s="43">
        <v>134000</v>
      </c>
      <c r="F10017" s="48">
        <f>F10016+E10017-D10017</f>
        <v>154056.66129032266</v>
      </c>
      <c r="L10017" s="93"/>
    </row>
    <row r="10018" spans="1:12" x14ac:dyDescent="0.3">
      <c r="A10018" s="45">
        <v>44464</v>
      </c>
      <c r="B10018" s="5" t="s">
        <v>3563</v>
      </c>
      <c r="C10018" s="5" t="s">
        <v>8039</v>
      </c>
      <c r="D10018" s="43">
        <v>2500</v>
      </c>
      <c r="E10018" s="43"/>
      <c r="F10018" s="48">
        <f t="shared" si="165"/>
        <v>151556.66129032266</v>
      </c>
      <c r="H10018" s="52">
        <v>0.32</v>
      </c>
    </row>
    <row r="10019" spans="1:12" x14ac:dyDescent="0.3">
      <c r="A10019" s="45">
        <v>44464</v>
      </c>
      <c r="B10019" s="5" t="s">
        <v>8040</v>
      </c>
      <c r="C10019" s="5" t="s">
        <v>5508</v>
      </c>
      <c r="D10019" s="43">
        <v>340</v>
      </c>
      <c r="E10019" s="43"/>
      <c r="F10019" s="48">
        <f t="shared" si="165"/>
        <v>151216.66129032266</v>
      </c>
    </row>
    <row r="10020" spans="1:12" x14ac:dyDescent="0.3">
      <c r="A10020" s="45">
        <v>44464</v>
      </c>
      <c r="B10020" s="5" t="s">
        <v>84</v>
      </c>
      <c r="C10020" s="5" t="s">
        <v>8041</v>
      </c>
      <c r="D10020" s="43">
        <v>15000</v>
      </c>
      <c r="E10020" s="43"/>
      <c r="F10020" s="48">
        <f>F10019+E10020-D10020</f>
        <v>136216.66129032266</v>
      </c>
      <c r="I10020" s="52">
        <v>120000</v>
      </c>
    </row>
    <row r="10021" spans="1:12" x14ac:dyDescent="0.3">
      <c r="A10021" s="45">
        <v>44466</v>
      </c>
      <c r="B10021" s="5" t="s">
        <v>84</v>
      </c>
      <c r="C10021" s="61" t="s">
        <v>8042</v>
      </c>
      <c r="D10021" s="43">
        <v>1000</v>
      </c>
      <c r="E10021" s="43"/>
      <c r="F10021" s="48">
        <f t="shared" ref="F10021:F10084" si="166">F10020+E10021-D10021</f>
        <v>135216.66129032266</v>
      </c>
      <c r="I10021" s="52">
        <v>120000</v>
      </c>
    </row>
    <row r="10022" spans="1:12" x14ac:dyDescent="0.3">
      <c r="A10022" s="45">
        <v>44466</v>
      </c>
      <c r="B10022" s="5" t="s">
        <v>0</v>
      </c>
      <c r="C10022" s="5" t="s">
        <v>8043</v>
      </c>
      <c r="D10022" s="43">
        <v>4000</v>
      </c>
      <c r="E10022" s="43"/>
      <c r="F10022" s="48">
        <f t="shared" si="166"/>
        <v>131216.66129032266</v>
      </c>
      <c r="H10022" s="52">
        <f>H10020*0.32%</f>
        <v>0</v>
      </c>
    </row>
    <row r="10023" spans="1:12" x14ac:dyDescent="0.3">
      <c r="A10023" s="45">
        <v>44466</v>
      </c>
      <c r="B10023" s="5" t="s">
        <v>7692</v>
      </c>
      <c r="C10023" s="5" t="s">
        <v>8044</v>
      </c>
      <c r="D10023" s="43">
        <v>10000</v>
      </c>
      <c r="E10023" s="43"/>
      <c r="F10023" s="48">
        <f t="shared" si="166"/>
        <v>121216.66129032266</v>
      </c>
      <c r="H10023" s="52">
        <f>H10022*12</f>
        <v>0</v>
      </c>
    </row>
    <row r="10024" spans="1:12" x14ac:dyDescent="0.3">
      <c r="A10024" s="45">
        <v>44466</v>
      </c>
      <c r="B10024" s="739" t="s">
        <v>4415</v>
      </c>
      <c r="C10024" s="739"/>
      <c r="D10024" s="739"/>
      <c r="E10024" s="43">
        <v>300000</v>
      </c>
      <c r="F10024" s="48">
        <f t="shared" si="166"/>
        <v>421216.66129032266</v>
      </c>
      <c r="L10024" s="93"/>
    </row>
    <row r="10025" spans="1:12" x14ac:dyDescent="0.3">
      <c r="A10025" s="45">
        <v>44467</v>
      </c>
      <c r="B10025" s="5" t="s">
        <v>8045</v>
      </c>
      <c r="C10025" s="5" t="s">
        <v>8046</v>
      </c>
      <c r="D10025" s="43">
        <v>380754</v>
      </c>
      <c r="E10025" s="43"/>
      <c r="F10025" s="48">
        <f t="shared" si="166"/>
        <v>40462.661290322663</v>
      </c>
      <c r="H10025" s="52">
        <v>300000</v>
      </c>
    </row>
    <row r="10026" spans="1:12" x14ac:dyDescent="0.3">
      <c r="A10026" s="45">
        <v>44467</v>
      </c>
      <c r="B10026" s="273" t="s">
        <v>4504</v>
      </c>
      <c r="C10026" s="273" t="s">
        <v>8047</v>
      </c>
      <c r="D10026" s="274"/>
      <c r="E10026" s="274">
        <v>15000</v>
      </c>
      <c r="F10026" s="48">
        <f t="shared" si="166"/>
        <v>55462.661290322663</v>
      </c>
      <c r="H10026" s="52">
        <v>2.75E-2</v>
      </c>
    </row>
    <row r="10027" spans="1:12" x14ac:dyDescent="0.3">
      <c r="A10027" s="45">
        <v>44467</v>
      </c>
      <c r="B10027" s="5" t="s">
        <v>3559</v>
      </c>
      <c r="C10027" s="5" t="s">
        <v>7966</v>
      </c>
      <c r="D10027" s="43">
        <v>630</v>
      </c>
      <c r="E10027" s="43"/>
      <c r="F10027" s="48">
        <f t="shared" si="166"/>
        <v>54832.661290322663</v>
      </c>
      <c r="H10027" s="52">
        <f>H10026*H10025</f>
        <v>8250</v>
      </c>
    </row>
    <row r="10028" spans="1:12" x14ac:dyDescent="0.3">
      <c r="A10028" s="45">
        <v>44467</v>
      </c>
      <c r="B10028" s="5" t="s">
        <v>5162</v>
      </c>
      <c r="C10028" s="5" t="s">
        <v>8048</v>
      </c>
      <c r="D10028" s="43">
        <v>1000</v>
      </c>
      <c r="E10028" s="43"/>
      <c r="F10028" s="48">
        <f t="shared" si="166"/>
        <v>53832.661290322663</v>
      </c>
    </row>
    <row r="10029" spans="1:12" x14ac:dyDescent="0.3">
      <c r="A10029" s="45">
        <v>44467</v>
      </c>
      <c r="B10029" s="739" t="s">
        <v>8049</v>
      </c>
      <c r="C10029" s="739"/>
      <c r="D10029" s="739"/>
      <c r="E10029" s="43">
        <v>20000</v>
      </c>
      <c r="F10029" s="48">
        <f t="shared" si="166"/>
        <v>73832.661290322663</v>
      </c>
      <c r="L10029" s="93"/>
    </row>
    <row r="10030" spans="1:12" x14ac:dyDescent="0.3">
      <c r="A10030" s="45">
        <v>44467</v>
      </c>
      <c r="B10030" s="5" t="s">
        <v>3985</v>
      </c>
      <c r="C10030" s="5" t="s">
        <v>8050</v>
      </c>
      <c r="D10030" s="43">
        <v>50000</v>
      </c>
      <c r="E10030" s="43"/>
      <c r="F10030" s="48">
        <f t="shared" si="166"/>
        <v>23832.661290322663</v>
      </c>
    </row>
    <row r="10031" spans="1:12" x14ac:dyDescent="0.3">
      <c r="A10031" s="45">
        <v>44467</v>
      </c>
      <c r="B10031" s="5" t="s">
        <v>84</v>
      </c>
      <c r="C10031" s="5" t="s">
        <v>8051</v>
      </c>
      <c r="D10031" s="43">
        <v>2000</v>
      </c>
      <c r="E10031" s="43"/>
      <c r="F10031" s="48">
        <f t="shared" si="166"/>
        <v>21832.661290322663</v>
      </c>
      <c r="I10031" s="52">
        <v>120000</v>
      </c>
    </row>
    <row r="10032" spans="1:12" x14ac:dyDescent="0.3">
      <c r="A10032" s="45">
        <v>44468</v>
      </c>
      <c r="B10032" s="5" t="s">
        <v>25</v>
      </c>
      <c r="C10032" s="5" t="s">
        <v>7934</v>
      </c>
      <c r="D10032" s="43">
        <v>1000</v>
      </c>
      <c r="E10032" s="43"/>
      <c r="F10032" s="48">
        <f t="shared" si="166"/>
        <v>20832.661290322663</v>
      </c>
    </row>
    <row r="10033" spans="1:12" x14ac:dyDescent="0.3">
      <c r="A10033" s="45">
        <v>44468</v>
      </c>
      <c r="B10033" s="5" t="s">
        <v>25</v>
      </c>
      <c r="C10033" s="5" t="s">
        <v>4276</v>
      </c>
      <c r="D10033" s="43">
        <f>528+180+110+200+750+160+30+280+50+280+50+600+150+80</f>
        <v>3448</v>
      </c>
      <c r="E10033" s="43"/>
      <c r="F10033" s="48">
        <f t="shared" si="166"/>
        <v>17384.661290322663</v>
      </c>
    </row>
    <row r="10034" spans="1:12" x14ac:dyDescent="0.3">
      <c r="A10034" s="45">
        <v>44468</v>
      </c>
      <c r="B10034" s="5" t="s">
        <v>14</v>
      </c>
      <c r="C10034" s="5" t="s">
        <v>294</v>
      </c>
      <c r="D10034" s="43">
        <v>9000</v>
      </c>
      <c r="E10034" s="43"/>
      <c r="F10034" s="48">
        <f t="shared" si="166"/>
        <v>8384.6612903226633</v>
      </c>
    </row>
    <row r="10035" spans="1:12" x14ac:dyDescent="0.3">
      <c r="A10035" s="45">
        <v>44468</v>
      </c>
      <c r="B10035" s="5" t="s">
        <v>25</v>
      </c>
      <c r="C10035" s="5" t="s">
        <v>6049</v>
      </c>
      <c r="D10035" s="43">
        <v>50</v>
      </c>
      <c r="E10035" s="43"/>
      <c r="F10035" s="48">
        <f t="shared" si="166"/>
        <v>8334.6612903226633</v>
      </c>
      <c r="H10035" s="52">
        <v>9850</v>
      </c>
    </row>
    <row r="10036" spans="1:12" x14ac:dyDescent="0.3">
      <c r="A10036" s="45">
        <v>44468</v>
      </c>
      <c r="B10036" s="5" t="s">
        <v>110</v>
      </c>
      <c r="C10036" s="5" t="s">
        <v>7954</v>
      </c>
      <c r="D10036" s="43">
        <v>3000</v>
      </c>
      <c r="E10036" s="43"/>
      <c r="F10036" s="48">
        <f t="shared" si="166"/>
        <v>5334.6612903226633</v>
      </c>
      <c r="H10036" s="52">
        <f>H10035*12</f>
        <v>118200</v>
      </c>
    </row>
    <row r="10037" spans="1:12" x14ac:dyDescent="0.3">
      <c r="A10037" s="45">
        <v>44468</v>
      </c>
      <c r="B10037" s="739" t="s">
        <v>861</v>
      </c>
      <c r="C10037" s="739"/>
      <c r="D10037" s="739"/>
      <c r="E10037" s="43">
        <v>100000</v>
      </c>
      <c r="F10037" s="48">
        <f t="shared" si="166"/>
        <v>105334.66129032266</v>
      </c>
      <c r="L10037" s="93"/>
    </row>
    <row r="10038" spans="1:12" x14ac:dyDescent="0.3">
      <c r="A10038" s="45">
        <v>44468</v>
      </c>
      <c r="B10038" s="273" t="s">
        <v>325</v>
      </c>
      <c r="C10038" s="273" t="s">
        <v>8053</v>
      </c>
      <c r="D10038" s="274">
        <v>20000</v>
      </c>
      <c r="E10038" s="274"/>
      <c r="F10038" s="48">
        <f t="shared" si="166"/>
        <v>85334.661290322663</v>
      </c>
      <c r="H10038" s="52">
        <v>2.75E-2</v>
      </c>
    </row>
    <row r="10039" spans="1:12" x14ac:dyDescent="0.3">
      <c r="A10039" s="45">
        <v>44468</v>
      </c>
      <c r="B10039" s="5" t="s">
        <v>1837</v>
      </c>
      <c r="C10039" s="5" t="s">
        <v>8054</v>
      </c>
      <c r="D10039" s="43">
        <v>1500</v>
      </c>
      <c r="E10039" s="43"/>
      <c r="F10039" s="48">
        <f t="shared" si="166"/>
        <v>83834.661290322663</v>
      </c>
    </row>
    <row r="10040" spans="1:12" x14ac:dyDescent="0.3">
      <c r="A10040" s="45">
        <v>44468</v>
      </c>
      <c r="B10040" s="5" t="s">
        <v>5156</v>
      </c>
      <c r="C10040" s="5" t="s">
        <v>8055</v>
      </c>
      <c r="D10040" s="43">
        <v>650</v>
      </c>
      <c r="E10040" s="43"/>
      <c r="F10040" s="48">
        <f t="shared" si="166"/>
        <v>83184.661290322663</v>
      </c>
    </row>
    <row r="10041" spans="1:12" x14ac:dyDescent="0.3">
      <c r="A10041" s="45">
        <v>44469</v>
      </c>
      <c r="B10041" s="5" t="s">
        <v>84</v>
      </c>
      <c r="C10041" s="5" t="s">
        <v>8056</v>
      </c>
      <c r="D10041" s="43">
        <v>2000</v>
      </c>
      <c r="E10041" s="43"/>
      <c r="F10041" s="48">
        <f t="shared" si="166"/>
        <v>81184.661290322663</v>
      </c>
      <c r="I10041" s="52">
        <v>120000</v>
      </c>
    </row>
    <row r="10042" spans="1:12" x14ac:dyDescent="0.3">
      <c r="A10042" s="45">
        <v>44469</v>
      </c>
      <c r="B10042" s="5" t="s">
        <v>8057</v>
      </c>
      <c r="C10042" s="5" t="s">
        <v>6516</v>
      </c>
      <c r="D10042" s="43">
        <v>20000</v>
      </c>
      <c r="E10042" s="43"/>
      <c r="F10042" s="48">
        <f t="shared" si="166"/>
        <v>61184.661290322663</v>
      </c>
    </row>
    <row r="10043" spans="1:12" x14ac:dyDescent="0.3">
      <c r="A10043" s="45">
        <v>44469</v>
      </c>
      <c r="B10043" s="5" t="s">
        <v>7745</v>
      </c>
      <c r="C10043" s="5" t="s">
        <v>8058</v>
      </c>
      <c r="D10043" s="43">
        <v>10000</v>
      </c>
      <c r="E10043" s="43"/>
      <c r="F10043" s="48">
        <f t="shared" si="166"/>
        <v>51184.661290322663</v>
      </c>
      <c r="H10043" s="52">
        <v>4836595</v>
      </c>
    </row>
    <row r="10044" spans="1:12" x14ac:dyDescent="0.3">
      <c r="A10044" s="45">
        <v>44469</v>
      </c>
      <c r="B10044" s="5" t="s">
        <v>4550</v>
      </c>
      <c r="C10044" s="5" t="s">
        <v>294</v>
      </c>
      <c r="D10044" s="43">
        <v>10000</v>
      </c>
      <c r="E10044" s="43"/>
      <c r="F10044" s="48">
        <f t="shared" si="166"/>
        <v>41184.661290322663</v>
      </c>
      <c r="H10044" s="52">
        <v>179250</v>
      </c>
    </row>
    <row r="10045" spans="1:12" x14ac:dyDescent="0.3">
      <c r="A10045" s="45">
        <v>44469</v>
      </c>
      <c r="B10045" s="5" t="s">
        <v>3559</v>
      </c>
      <c r="C10045" s="5" t="s">
        <v>8059</v>
      </c>
      <c r="D10045" s="43">
        <v>8500</v>
      </c>
      <c r="E10045" s="43"/>
      <c r="F10045" s="48">
        <f t="shared" si="166"/>
        <v>32684.661290322663</v>
      </c>
      <c r="H10045" s="52">
        <f>H10044+H10043</f>
        <v>5015845</v>
      </c>
    </row>
    <row r="10046" spans="1:12" x14ac:dyDescent="0.3">
      <c r="A10046" s="45">
        <v>44469</v>
      </c>
      <c r="B10046" s="5" t="s">
        <v>6908</v>
      </c>
      <c r="C10046" s="5" t="s">
        <v>8060</v>
      </c>
      <c r="D10046" s="43">
        <v>1400</v>
      </c>
      <c r="E10046" s="43"/>
      <c r="F10046" s="48">
        <f t="shared" si="166"/>
        <v>31284.661290322663</v>
      </c>
    </row>
    <row r="10047" spans="1:12" x14ac:dyDescent="0.3">
      <c r="A10047" s="45">
        <v>44469</v>
      </c>
      <c r="B10047" s="5" t="s">
        <v>84</v>
      </c>
      <c r="C10047" s="5" t="s">
        <v>8061</v>
      </c>
      <c r="D10047" s="43">
        <v>22000</v>
      </c>
      <c r="E10047" s="43"/>
      <c r="F10047" s="48">
        <f t="shared" si="166"/>
        <v>9284.6612903226633</v>
      </c>
      <c r="H10047" s="52">
        <v>2000000</v>
      </c>
    </row>
    <row r="10048" spans="1:12" x14ac:dyDescent="0.3">
      <c r="A10048" s="45">
        <v>44469</v>
      </c>
      <c r="B10048" s="5" t="s">
        <v>4281</v>
      </c>
      <c r="C10048" s="5" t="s">
        <v>8062</v>
      </c>
      <c r="D10048" s="43">
        <v>400</v>
      </c>
      <c r="E10048" s="43"/>
      <c r="F10048" s="48">
        <f t="shared" si="166"/>
        <v>8884.6612903226633</v>
      </c>
      <c r="H10048" s="52">
        <v>232867</v>
      </c>
    </row>
    <row r="10049" spans="1:12" x14ac:dyDescent="0.3">
      <c r="A10049" s="45">
        <v>44471</v>
      </c>
      <c r="B10049" s="739" t="s">
        <v>4415</v>
      </c>
      <c r="C10049" s="739"/>
      <c r="D10049" s="739"/>
      <c r="E10049" s="43">
        <v>100000</v>
      </c>
      <c r="F10049" s="48">
        <f t="shared" si="166"/>
        <v>108884.66129032266</v>
      </c>
      <c r="L10049" s="93"/>
    </row>
    <row r="10050" spans="1:12" x14ac:dyDescent="0.3">
      <c r="A10050" s="45">
        <v>44471</v>
      </c>
      <c r="B10050" s="5" t="s">
        <v>68</v>
      </c>
      <c r="C10050" s="5" t="s">
        <v>8063</v>
      </c>
      <c r="D10050" s="43">
        <v>1000</v>
      </c>
      <c r="E10050" s="43"/>
      <c r="F10050" s="48">
        <f t="shared" si="166"/>
        <v>107884.66129032266</v>
      </c>
      <c r="H10050" s="52">
        <f>H10045-H10047-H10048</f>
        <v>2782978</v>
      </c>
    </row>
    <row r="10051" spans="1:12" x14ac:dyDescent="0.3">
      <c r="A10051" s="45">
        <v>44471</v>
      </c>
      <c r="B10051" s="5" t="s">
        <v>0</v>
      </c>
      <c r="C10051" s="5" t="s">
        <v>294</v>
      </c>
      <c r="D10051" s="43">
        <v>60000</v>
      </c>
      <c r="E10051" s="43"/>
      <c r="F10051" s="48">
        <f t="shared" si="166"/>
        <v>47884.661290322663</v>
      </c>
    </row>
    <row r="10052" spans="1:12" x14ac:dyDescent="0.3">
      <c r="A10052" s="45">
        <v>44471</v>
      </c>
      <c r="B10052" s="5" t="s">
        <v>4550</v>
      </c>
      <c r="C10052" s="5" t="s">
        <v>8064</v>
      </c>
      <c r="D10052" s="43">
        <v>5000</v>
      </c>
      <c r="E10052" s="43"/>
      <c r="F10052" s="48">
        <f t="shared" si="166"/>
        <v>42884.661290322663</v>
      </c>
      <c r="H10052" s="52">
        <v>2424478</v>
      </c>
    </row>
    <row r="10053" spans="1:12" x14ac:dyDescent="0.3">
      <c r="A10053" s="45">
        <v>44471</v>
      </c>
      <c r="B10053" s="5" t="s">
        <v>84</v>
      </c>
      <c r="C10053" s="61" t="s">
        <v>8065</v>
      </c>
      <c r="D10053" s="43">
        <v>1000</v>
      </c>
      <c r="E10053" s="43"/>
      <c r="F10053" s="48">
        <f t="shared" si="166"/>
        <v>41884.661290322663</v>
      </c>
    </row>
    <row r="10054" spans="1:12" x14ac:dyDescent="0.3">
      <c r="A10054" s="45">
        <v>44471</v>
      </c>
      <c r="B10054" s="5" t="s">
        <v>25</v>
      </c>
      <c r="C10054" s="5" t="s">
        <v>7934</v>
      </c>
      <c r="D10054" s="43">
        <v>400</v>
      </c>
      <c r="E10054" s="43"/>
      <c r="F10054" s="48">
        <f t="shared" si="166"/>
        <v>41484.661290322663</v>
      </c>
      <c r="H10054" s="52">
        <f>H10050-H10052</f>
        <v>358500</v>
      </c>
    </row>
    <row r="10055" spans="1:12" x14ac:dyDescent="0.3">
      <c r="A10055" s="45">
        <v>44471</v>
      </c>
      <c r="B10055" s="5" t="s">
        <v>25</v>
      </c>
      <c r="C10055" s="5" t="s">
        <v>4276</v>
      </c>
      <c r="D10055" s="43">
        <f>280+140+70+50+30+100+100+110+1000+255</f>
        <v>2135</v>
      </c>
      <c r="E10055" s="43"/>
      <c r="F10055" s="48">
        <f t="shared" si="166"/>
        <v>39349.661290322663</v>
      </c>
    </row>
    <row r="10056" spans="1:12" x14ac:dyDescent="0.3">
      <c r="A10056" s="45">
        <v>44471</v>
      </c>
      <c r="B10056" s="5" t="s">
        <v>3563</v>
      </c>
      <c r="C10056" s="5" t="s">
        <v>8067</v>
      </c>
      <c r="D10056" s="43">
        <v>1300</v>
      </c>
      <c r="E10056" s="43"/>
      <c r="F10056" s="48">
        <f t="shared" si="166"/>
        <v>38049.661290322663</v>
      </c>
    </row>
    <row r="10057" spans="1:12" x14ac:dyDescent="0.3">
      <c r="A10057" s="45">
        <v>44471</v>
      </c>
      <c r="B10057" s="5" t="s">
        <v>14</v>
      </c>
      <c r="C10057" s="5" t="s">
        <v>8070</v>
      </c>
      <c r="D10057" s="43">
        <v>20000</v>
      </c>
      <c r="E10057" s="43"/>
      <c r="F10057" s="48">
        <f t="shared" si="166"/>
        <v>18049.661290322663</v>
      </c>
    </row>
    <row r="10058" spans="1:12" x14ac:dyDescent="0.3">
      <c r="A10058" s="45">
        <v>44471</v>
      </c>
      <c r="B10058" s="5" t="s">
        <v>18</v>
      </c>
      <c r="C10058" s="5" t="s">
        <v>8068</v>
      </c>
      <c r="D10058" s="43">
        <v>3000</v>
      </c>
      <c r="E10058" s="43"/>
      <c r="F10058" s="48">
        <f t="shared" si="166"/>
        <v>15049.661290322663</v>
      </c>
    </row>
    <row r="10059" spans="1:12" x14ac:dyDescent="0.3">
      <c r="A10059" s="45">
        <v>44471</v>
      </c>
      <c r="B10059" s="5" t="s">
        <v>84</v>
      </c>
      <c r="C10059" s="5" t="s">
        <v>8051</v>
      </c>
      <c r="D10059" s="43">
        <v>2000</v>
      </c>
      <c r="E10059" s="43"/>
      <c r="F10059" s="48">
        <f t="shared" si="166"/>
        <v>13049.661290322663</v>
      </c>
      <c r="I10059" s="52">
        <v>120000</v>
      </c>
    </row>
    <row r="10060" spans="1:12" x14ac:dyDescent="0.3">
      <c r="A10060" s="45">
        <v>44471</v>
      </c>
      <c r="B10060" s="5" t="s">
        <v>84</v>
      </c>
      <c r="C10060" s="5" t="s">
        <v>8069</v>
      </c>
      <c r="D10060" s="43">
        <v>2000</v>
      </c>
      <c r="E10060" s="43"/>
      <c r="F10060" s="48">
        <f t="shared" si="166"/>
        <v>11049.661290322663</v>
      </c>
      <c r="I10060" s="52">
        <v>120000</v>
      </c>
    </row>
    <row r="10061" spans="1:12" x14ac:dyDescent="0.3">
      <c r="A10061" s="45">
        <v>44473</v>
      </c>
      <c r="B10061" s="739" t="s">
        <v>4106</v>
      </c>
      <c r="C10061" s="739"/>
      <c r="D10061" s="739"/>
      <c r="E10061" s="43">
        <v>100000</v>
      </c>
      <c r="F10061" s="48">
        <f t="shared" si="166"/>
        <v>111049.66129032266</v>
      </c>
      <c r="L10061" s="93"/>
    </row>
    <row r="10062" spans="1:12" x14ac:dyDescent="0.3">
      <c r="A10062" s="45">
        <v>44473</v>
      </c>
      <c r="B10062" s="739" t="s">
        <v>4106</v>
      </c>
      <c r="C10062" s="739"/>
      <c r="D10062" s="739"/>
      <c r="E10062" s="43">
        <v>100000</v>
      </c>
      <c r="F10062" s="48">
        <f t="shared" si="166"/>
        <v>211049.66129032266</v>
      </c>
      <c r="L10062" s="93"/>
    </row>
    <row r="10063" spans="1:12" x14ac:dyDescent="0.3">
      <c r="A10063" s="45">
        <v>44473</v>
      </c>
      <c r="B10063" s="739" t="s">
        <v>4106</v>
      </c>
      <c r="C10063" s="739"/>
      <c r="D10063" s="739"/>
      <c r="E10063" s="43">
        <v>100000</v>
      </c>
      <c r="F10063" s="48">
        <f t="shared" si="166"/>
        <v>311049.66129032266</v>
      </c>
      <c r="L10063" s="93"/>
    </row>
    <row r="10064" spans="1:12" x14ac:dyDescent="0.3">
      <c r="A10064" s="45">
        <v>44473</v>
      </c>
      <c r="B10064" s="5" t="s">
        <v>14</v>
      </c>
      <c r="C10064" s="5" t="s">
        <v>294</v>
      </c>
      <c r="D10064" s="43">
        <v>5000</v>
      </c>
      <c r="E10064" s="43"/>
      <c r="F10064" s="48">
        <f t="shared" si="166"/>
        <v>306049.66129032266</v>
      </c>
    </row>
    <row r="10065" spans="1:12" x14ac:dyDescent="0.3">
      <c r="A10065" s="45">
        <v>44473</v>
      </c>
      <c r="B10065" s="5" t="s">
        <v>14</v>
      </c>
      <c r="C10065" s="5" t="s">
        <v>8071</v>
      </c>
      <c r="D10065" s="43"/>
      <c r="E10065" s="43"/>
      <c r="F10065" s="48">
        <f t="shared" si="166"/>
        <v>306049.66129032266</v>
      </c>
    </row>
    <row r="10066" spans="1:12" x14ac:dyDescent="0.3">
      <c r="A10066" s="45">
        <v>44473</v>
      </c>
      <c r="B10066" s="739" t="s">
        <v>8072</v>
      </c>
      <c r="C10066" s="739"/>
      <c r="D10066" s="739"/>
      <c r="E10066" s="43">
        <v>14500</v>
      </c>
      <c r="F10066" s="48">
        <f t="shared" si="166"/>
        <v>320549.66129032266</v>
      </c>
      <c r="L10066" s="93"/>
    </row>
    <row r="10067" spans="1:12" x14ac:dyDescent="0.3">
      <c r="A10067" s="45">
        <v>44473</v>
      </c>
      <c r="B10067" s="5" t="s">
        <v>2175</v>
      </c>
      <c r="C10067" s="5" t="s">
        <v>8073</v>
      </c>
      <c r="D10067" s="43">
        <v>13500</v>
      </c>
      <c r="E10067" s="43"/>
      <c r="F10067" s="48">
        <f t="shared" si="166"/>
        <v>307049.66129032266</v>
      </c>
    </row>
    <row r="10068" spans="1:12" x14ac:dyDescent="0.3">
      <c r="A10068" s="45">
        <v>44473</v>
      </c>
      <c r="B10068" s="5" t="s">
        <v>3724</v>
      </c>
      <c r="C10068" s="5" t="s">
        <v>40</v>
      </c>
      <c r="D10068" s="65">
        <v>4089</v>
      </c>
      <c r="E10068" s="43"/>
      <c r="F10068" s="48">
        <f t="shared" si="166"/>
        <v>302960.66129032266</v>
      </c>
    </row>
    <row r="10069" spans="1:12" x14ac:dyDescent="0.3">
      <c r="A10069" s="45">
        <v>44473</v>
      </c>
      <c r="B10069" s="5" t="s">
        <v>7779</v>
      </c>
      <c r="C10069" s="5" t="s">
        <v>8074</v>
      </c>
      <c r="D10069" s="43">
        <v>13500</v>
      </c>
      <c r="E10069" s="43"/>
      <c r="F10069" s="48">
        <f t="shared" si="166"/>
        <v>289460.66129032266</v>
      </c>
    </row>
    <row r="10070" spans="1:12" ht="37.5" x14ac:dyDescent="0.3">
      <c r="A10070" s="45">
        <v>44473</v>
      </c>
      <c r="B10070" s="5" t="s">
        <v>3554</v>
      </c>
      <c r="C10070" s="92" t="s">
        <v>8075</v>
      </c>
      <c r="D10070" s="43">
        <v>40000</v>
      </c>
      <c r="E10070" s="43"/>
      <c r="F10070" s="48">
        <f t="shared" si="166"/>
        <v>249460.66129032266</v>
      </c>
    </row>
    <row r="10071" spans="1:12" x14ac:dyDescent="0.3">
      <c r="A10071" s="45">
        <v>44473</v>
      </c>
      <c r="B10071" s="5" t="s">
        <v>3554</v>
      </c>
      <c r="C10071" s="5" t="s">
        <v>8076</v>
      </c>
      <c r="D10071" s="43">
        <v>10000</v>
      </c>
      <c r="E10071" s="43"/>
      <c r="F10071" s="48">
        <f t="shared" si="166"/>
        <v>239460.66129032266</v>
      </c>
    </row>
    <row r="10072" spans="1:12" x14ac:dyDescent="0.3">
      <c r="A10072" s="45">
        <v>44473</v>
      </c>
      <c r="B10072" s="5" t="s">
        <v>14</v>
      </c>
      <c r="C10072" s="5" t="s">
        <v>8077</v>
      </c>
      <c r="D10072" s="43">
        <v>20000</v>
      </c>
      <c r="E10072" s="43"/>
      <c r="F10072" s="48">
        <f t="shared" si="166"/>
        <v>219460.66129032266</v>
      </c>
    </row>
    <row r="10073" spans="1:12" x14ac:dyDescent="0.3">
      <c r="A10073" s="45">
        <v>44473</v>
      </c>
      <c r="B10073" s="5" t="s">
        <v>14</v>
      </c>
      <c r="C10073" s="5" t="s">
        <v>640</v>
      </c>
      <c r="D10073" s="43">
        <v>1000</v>
      </c>
      <c r="E10073" s="43"/>
      <c r="F10073" s="48">
        <f t="shared" si="166"/>
        <v>218460.66129032266</v>
      </c>
    </row>
    <row r="10074" spans="1:12" x14ac:dyDescent="0.3">
      <c r="A10074" s="45">
        <v>44473</v>
      </c>
      <c r="B10074" s="5" t="s">
        <v>541</v>
      </c>
      <c r="C10074" s="5" t="s">
        <v>294</v>
      </c>
      <c r="D10074" s="43">
        <v>1000</v>
      </c>
      <c r="E10074" s="43"/>
      <c r="F10074" s="48">
        <f t="shared" si="166"/>
        <v>217460.66129032266</v>
      </c>
    </row>
    <row r="10075" spans="1:12" x14ac:dyDescent="0.3">
      <c r="A10075" s="45">
        <v>44473</v>
      </c>
      <c r="B10075" s="5" t="s">
        <v>7522</v>
      </c>
      <c r="C10075" s="5" t="s">
        <v>8078</v>
      </c>
      <c r="D10075" s="43">
        <v>39000</v>
      </c>
      <c r="E10075" s="43"/>
      <c r="F10075" s="48">
        <f t="shared" si="166"/>
        <v>178460.66129032266</v>
      </c>
    </row>
    <row r="10076" spans="1:12" x14ac:dyDescent="0.3">
      <c r="A10076" s="45">
        <v>44473</v>
      </c>
      <c r="B10076" s="5" t="s">
        <v>68</v>
      </c>
      <c r="C10076" s="5" t="s">
        <v>8080</v>
      </c>
      <c r="D10076" s="43">
        <v>50000</v>
      </c>
      <c r="E10076" s="43"/>
      <c r="F10076" s="48">
        <f t="shared" si="166"/>
        <v>128460.66129032266</v>
      </c>
    </row>
    <row r="10077" spans="1:12" x14ac:dyDescent="0.3">
      <c r="A10077" s="45">
        <v>44473</v>
      </c>
      <c r="B10077" s="5" t="s">
        <v>25</v>
      </c>
      <c r="C10077" s="5" t="s">
        <v>4276</v>
      </c>
      <c r="D10077" s="43">
        <f>500+280+540+50+400+480+80</f>
        <v>2330</v>
      </c>
      <c r="E10077" s="43"/>
      <c r="F10077" s="48">
        <f t="shared" si="166"/>
        <v>126130.66129032266</v>
      </c>
    </row>
    <row r="10078" spans="1:12" x14ac:dyDescent="0.3">
      <c r="A10078" s="45">
        <v>44473</v>
      </c>
      <c r="B10078" s="61" t="s">
        <v>54</v>
      </c>
      <c r="C10078" s="61" t="s">
        <v>8081</v>
      </c>
      <c r="D10078" s="62">
        <v>8000</v>
      </c>
      <c r="E10078" s="43"/>
      <c r="F10078" s="48">
        <f t="shared" si="166"/>
        <v>118130.66129032266</v>
      </c>
    </row>
    <row r="10079" spans="1:12" x14ac:dyDescent="0.3">
      <c r="A10079" s="45">
        <v>44473</v>
      </c>
      <c r="B10079" s="61" t="s">
        <v>54</v>
      </c>
      <c r="C10079" s="61" t="s">
        <v>6387</v>
      </c>
      <c r="D10079" s="62">
        <v>97833</v>
      </c>
      <c r="E10079" s="43"/>
      <c r="F10079" s="48">
        <f t="shared" si="166"/>
        <v>20297.661290322663</v>
      </c>
    </row>
    <row r="10080" spans="1:12" x14ac:dyDescent="0.3">
      <c r="A10080" s="45">
        <v>44473</v>
      </c>
      <c r="B10080" s="5" t="s">
        <v>5793</v>
      </c>
      <c r="C10080" s="5" t="s">
        <v>8082</v>
      </c>
      <c r="D10080" s="43">
        <v>1000</v>
      </c>
      <c r="E10080" s="43"/>
      <c r="F10080" s="48">
        <f t="shared" si="166"/>
        <v>19297.661290322663</v>
      </c>
    </row>
    <row r="10081" spans="1:12" x14ac:dyDescent="0.3">
      <c r="A10081" s="45">
        <v>44474</v>
      </c>
      <c r="B10081" s="5" t="s">
        <v>14</v>
      </c>
      <c r="C10081" s="5" t="s">
        <v>294</v>
      </c>
      <c r="D10081" s="43">
        <v>10000</v>
      </c>
      <c r="E10081" s="43"/>
      <c r="F10081" s="48">
        <f t="shared" si="166"/>
        <v>9297.6612903226633</v>
      </c>
    </row>
    <row r="10082" spans="1:12" x14ac:dyDescent="0.3">
      <c r="A10082" s="45">
        <v>44474</v>
      </c>
      <c r="B10082" s="5" t="s">
        <v>25</v>
      </c>
      <c r="C10082" s="5" t="s">
        <v>8086</v>
      </c>
      <c r="D10082" s="43">
        <v>900</v>
      </c>
      <c r="E10082" s="43"/>
      <c r="F10082" s="48">
        <f t="shared" si="166"/>
        <v>8397.6612903226633</v>
      </c>
    </row>
    <row r="10083" spans="1:12" x14ac:dyDescent="0.3">
      <c r="A10083" s="45">
        <v>44474</v>
      </c>
      <c r="B10083" s="5" t="s">
        <v>8087</v>
      </c>
      <c r="C10083" s="5" t="s">
        <v>8088</v>
      </c>
      <c r="D10083" s="43">
        <v>2000</v>
      </c>
      <c r="E10083" s="43"/>
      <c r="F10083" s="48">
        <f t="shared" si="166"/>
        <v>6397.6612903226633</v>
      </c>
      <c r="H10083" s="52">
        <f>D10089+D10090+D10091+40000+9000</f>
        <v>77331</v>
      </c>
    </row>
    <row r="10084" spans="1:12" x14ac:dyDescent="0.3">
      <c r="A10084" s="45">
        <v>44474</v>
      </c>
      <c r="B10084" s="5" t="s">
        <v>25</v>
      </c>
      <c r="C10084" s="5" t="s">
        <v>6049</v>
      </c>
      <c r="D10084" s="43">
        <v>50</v>
      </c>
      <c r="E10084" s="43"/>
      <c r="F10084" s="48">
        <f t="shared" si="166"/>
        <v>6347.6612903226633</v>
      </c>
    </row>
    <row r="10085" spans="1:12" x14ac:dyDescent="0.3">
      <c r="A10085" s="45">
        <v>44474</v>
      </c>
      <c r="B10085" s="739" t="s">
        <v>4106</v>
      </c>
      <c r="C10085" s="739"/>
      <c r="D10085" s="739"/>
      <c r="E10085" s="43">
        <v>150000</v>
      </c>
      <c r="F10085" s="48">
        <f t="shared" ref="F10085:F10148" si="167">F10084+E10085-D10085</f>
        <v>156347.66129032266</v>
      </c>
      <c r="L10085" s="93"/>
    </row>
    <row r="10086" spans="1:12" x14ac:dyDescent="0.3">
      <c r="A10086" s="45">
        <v>44474</v>
      </c>
      <c r="B10086" s="739" t="s">
        <v>4415</v>
      </c>
      <c r="C10086" s="739"/>
      <c r="D10086" s="739"/>
      <c r="E10086" s="43">
        <v>350000</v>
      </c>
      <c r="F10086" s="48">
        <f t="shared" si="167"/>
        <v>506347.66129032266</v>
      </c>
      <c r="L10086" s="93"/>
    </row>
    <row r="10087" spans="1:12" x14ac:dyDescent="0.3">
      <c r="A10087" s="45">
        <v>44474</v>
      </c>
      <c r="B10087" s="739" t="s">
        <v>4415</v>
      </c>
      <c r="C10087" s="739"/>
      <c r="D10087" s="739"/>
      <c r="E10087" s="43">
        <v>300000</v>
      </c>
      <c r="F10087" s="48">
        <f t="shared" si="167"/>
        <v>806347.66129032266</v>
      </c>
      <c r="L10087" s="93"/>
    </row>
    <row r="10088" spans="1:12" x14ac:dyDescent="0.3">
      <c r="A10088" s="45">
        <v>44474</v>
      </c>
      <c r="B10088" s="739" t="s">
        <v>4415</v>
      </c>
      <c r="C10088" s="739"/>
      <c r="D10088" s="739"/>
      <c r="E10088" s="43">
        <v>100000</v>
      </c>
      <c r="F10088" s="48">
        <f t="shared" si="167"/>
        <v>906347.66129032266</v>
      </c>
      <c r="L10088" s="93"/>
    </row>
    <row r="10089" spans="1:12" ht="21.75" customHeight="1" x14ac:dyDescent="0.3">
      <c r="A10089" s="45">
        <v>44474</v>
      </c>
      <c r="B10089" s="5" t="s">
        <v>1074</v>
      </c>
      <c r="C10089" s="5" t="s">
        <v>8085</v>
      </c>
      <c r="D10089" s="43">
        <f>11110+1320+1190+1550</f>
        <v>15170</v>
      </c>
      <c r="E10089" s="43"/>
      <c r="F10089" s="48">
        <f t="shared" si="167"/>
        <v>891177.66129032266</v>
      </c>
    </row>
    <row r="10090" spans="1:12" ht="21.75" customHeight="1" x14ac:dyDescent="0.3">
      <c r="A10090" s="45">
        <v>44474</v>
      </c>
      <c r="B10090" s="5" t="s">
        <v>1074</v>
      </c>
      <c r="C10090" s="5" t="s">
        <v>5905</v>
      </c>
      <c r="D10090" s="43">
        <f>2284+465</f>
        <v>2749</v>
      </c>
      <c r="E10090" s="43"/>
      <c r="F10090" s="48">
        <f t="shared" si="167"/>
        <v>888428.66129032266</v>
      </c>
    </row>
    <row r="10091" spans="1:12" ht="21.75" customHeight="1" x14ac:dyDescent="0.3">
      <c r="A10091" s="45">
        <v>44474</v>
      </c>
      <c r="B10091" s="5" t="s">
        <v>1074</v>
      </c>
      <c r="C10091" s="5" t="s">
        <v>6112</v>
      </c>
      <c r="D10091" s="43">
        <f>3424+280+6708</f>
        <v>10412</v>
      </c>
      <c r="E10091" s="43"/>
      <c r="F10091" s="48">
        <f t="shared" si="167"/>
        <v>878016.66129032266</v>
      </c>
    </row>
    <row r="10092" spans="1:12" x14ac:dyDescent="0.3">
      <c r="A10092" s="45">
        <v>44474</v>
      </c>
      <c r="B10092" s="61" t="s">
        <v>54</v>
      </c>
      <c r="C10092" s="61" t="s">
        <v>8089</v>
      </c>
      <c r="D10092" s="62">
        <v>74000</v>
      </c>
      <c r="E10092" s="43"/>
      <c r="F10092" s="48">
        <f t="shared" si="167"/>
        <v>804016.66129032266</v>
      </c>
    </row>
    <row r="10093" spans="1:12" x14ac:dyDescent="0.3">
      <c r="A10093" s="45">
        <v>44474</v>
      </c>
      <c r="B10093" s="61" t="s">
        <v>54</v>
      </c>
      <c r="C10093" s="61" t="s">
        <v>8090</v>
      </c>
      <c r="D10093" s="62">
        <v>207925</v>
      </c>
      <c r="E10093" s="43"/>
      <c r="F10093" s="48">
        <f t="shared" si="167"/>
        <v>596091.66129032266</v>
      </c>
    </row>
    <row r="10094" spans="1:12" x14ac:dyDescent="0.3">
      <c r="A10094" s="45">
        <v>44474</v>
      </c>
      <c r="B10094" s="61" t="s">
        <v>54</v>
      </c>
      <c r="C10094" s="61" t="s">
        <v>8091</v>
      </c>
      <c r="D10094" s="62">
        <v>257031</v>
      </c>
      <c r="E10094" s="43"/>
      <c r="F10094" s="48">
        <f t="shared" si="167"/>
        <v>339060.66129032266</v>
      </c>
    </row>
    <row r="10095" spans="1:12" x14ac:dyDescent="0.3">
      <c r="A10095" s="45">
        <v>44474</v>
      </c>
      <c r="B10095" s="61" t="s">
        <v>54</v>
      </c>
      <c r="C10095" s="61" t="s">
        <v>6556</v>
      </c>
      <c r="D10095" s="62">
        <v>109900</v>
      </c>
      <c r="E10095" s="43"/>
      <c r="F10095" s="48">
        <f t="shared" si="167"/>
        <v>229160.66129032266</v>
      </c>
    </row>
    <row r="10096" spans="1:12" x14ac:dyDescent="0.3">
      <c r="A10096" s="45">
        <v>44474</v>
      </c>
      <c r="B10096" s="61" t="s">
        <v>54</v>
      </c>
      <c r="C10096" s="61" t="s">
        <v>8092</v>
      </c>
      <c r="D10096" s="62">
        <v>45229</v>
      </c>
      <c r="E10096" s="43"/>
      <c r="F10096" s="48">
        <f t="shared" si="167"/>
        <v>183931.66129032266</v>
      </c>
    </row>
    <row r="10097" spans="1:6" x14ac:dyDescent="0.3">
      <c r="A10097" s="45">
        <v>44474</v>
      </c>
      <c r="B10097" s="61" t="s">
        <v>54</v>
      </c>
      <c r="C10097" s="61" t="s">
        <v>7892</v>
      </c>
      <c r="D10097" s="62">
        <v>57000</v>
      </c>
      <c r="E10097" s="43"/>
      <c r="F10097" s="48">
        <f t="shared" si="167"/>
        <v>126931.66129032266</v>
      </c>
    </row>
    <row r="10098" spans="1:6" x14ac:dyDescent="0.3">
      <c r="A10098" s="45">
        <v>44474</v>
      </c>
      <c r="B10098" s="61" t="s">
        <v>54</v>
      </c>
      <c r="C10098" s="61" t="s">
        <v>8095</v>
      </c>
      <c r="D10098" s="62">
        <v>90359</v>
      </c>
      <c r="E10098" s="43"/>
      <c r="F10098" s="48">
        <f t="shared" si="167"/>
        <v>36572.661290322663</v>
      </c>
    </row>
    <row r="10099" spans="1:6" x14ac:dyDescent="0.3">
      <c r="A10099" s="45">
        <v>44474</v>
      </c>
      <c r="B10099" s="5" t="s">
        <v>14</v>
      </c>
      <c r="C10099" s="5" t="s">
        <v>294</v>
      </c>
      <c r="D10099" s="43">
        <v>5000</v>
      </c>
      <c r="E10099" s="43"/>
      <c r="F10099" s="48">
        <f t="shared" si="167"/>
        <v>31572.661290322663</v>
      </c>
    </row>
    <row r="10100" spans="1:6" x14ac:dyDescent="0.3">
      <c r="A10100" s="45">
        <v>44474</v>
      </c>
      <c r="B10100" s="739" t="s">
        <v>8093</v>
      </c>
      <c r="C10100" s="739"/>
      <c r="D10100" s="739"/>
      <c r="E10100" s="43">
        <v>62000</v>
      </c>
      <c r="F10100" s="48">
        <f t="shared" si="167"/>
        <v>93572.661290322663</v>
      </c>
    </row>
    <row r="10101" spans="1:6" x14ac:dyDescent="0.3">
      <c r="A10101" s="45">
        <v>44474</v>
      </c>
      <c r="B10101" s="739" t="s">
        <v>8094</v>
      </c>
      <c r="C10101" s="739"/>
      <c r="D10101" s="739"/>
      <c r="E10101" s="43">
        <v>15500</v>
      </c>
      <c r="F10101" s="48">
        <f t="shared" si="167"/>
        <v>109072.66129032266</v>
      </c>
    </row>
    <row r="10102" spans="1:6" x14ac:dyDescent="0.3">
      <c r="A10102" s="45">
        <v>44475</v>
      </c>
      <c r="B10102" s="5" t="s">
        <v>68</v>
      </c>
      <c r="C10102" s="5" t="s">
        <v>8080</v>
      </c>
      <c r="D10102" s="43">
        <v>16000</v>
      </c>
      <c r="E10102" s="43"/>
      <c r="F10102" s="48">
        <f t="shared" si="167"/>
        <v>93072.661290322663</v>
      </c>
    </row>
    <row r="10103" spans="1:6" x14ac:dyDescent="0.3">
      <c r="A10103" s="45">
        <v>44475</v>
      </c>
      <c r="B10103" s="5" t="s">
        <v>68</v>
      </c>
      <c r="C10103" s="5" t="s">
        <v>8098</v>
      </c>
      <c r="D10103" s="43">
        <v>3000</v>
      </c>
      <c r="E10103" s="43"/>
      <c r="F10103" s="48">
        <f t="shared" si="167"/>
        <v>90072.661290322663</v>
      </c>
    </row>
    <row r="10104" spans="1:6" x14ac:dyDescent="0.3">
      <c r="A10104" s="45">
        <v>44475</v>
      </c>
      <c r="B10104" s="61" t="s">
        <v>54</v>
      </c>
      <c r="C10104" s="61" t="s">
        <v>1378</v>
      </c>
      <c r="D10104" s="62">
        <v>5000</v>
      </c>
      <c r="E10104" s="43"/>
      <c r="F10104" s="48">
        <f t="shared" si="167"/>
        <v>85072.661290322663</v>
      </c>
    </row>
    <row r="10105" spans="1:6" x14ac:dyDescent="0.3">
      <c r="A10105" s="45">
        <v>44475</v>
      </c>
      <c r="B10105" s="5" t="s">
        <v>0</v>
      </c>
      <c r="C10105" s="5" t="s">
        <v>3183</v>
      </c>
      <c r="D10105" s="43">
        <v>55000</v>
      </c>
      <c r="E10105" s="43"/>
      <c r="F10105" s="48">
        <f t="shared" si="167"/>
        <v>30072.661290322663</v>
      </c>
    </row>
    <row r="10106" spans="1:6" x14ac:dyDescent="0.3">
      <c r="A10106" s="45">
        <v>44475</v>
      </c>
      <c r="B10106" s="5" t="s">
        <v>25</v>
      </c>
      <c r="C10106" s="5" t="s">
        <v>8099</v>
      </c>
      <c r="D10106" s="43">
        <v>5000</v>
      </c>
      <c r="E10106" s="43"/>
      <c r="F10106" s="48">
        <f t="shared" si="167"/>
        <v>25072.661290322663</v>
      </c>
    </row>
    <row r="10107" spans="1:6" x14ac:dyDescent="0.3">
      <c r="A10107" s="45">
        <v>44476</v>
      </c>
      <c r="B10107" s="5" t="s">
        <v>5741</v>
      </c>
      <c r="C10107" s="5" t="s">
        <v>294</v>
      </c>
      <c r="D10107" s="43">
        <v>16160</v>
      </c>
      <c r="E10107" s="43"/>
      <c r="F10107" s="48">
        <f t="shared" si="167"/>
        <v>8912.6612903226633</v>
      </c>
    </row>
    <row r="10108" spans="1:6" x14ac:dyDescent="0.3">
      <c r="A10108" s="45">
        <v>44476</v>
      </c>
      <c r="B10108" s="5" t="s">
        <v>5793</v>
      </c>
      <c r="C10108" s="5" t="s">
        <v>8100</v>
      </c>
      <c r="D10108" s="43">
        <v>1000</v>
      </c>
      <c r="E10108" s="43"/>
      <c r="F10108" s="48">
        <f t="shared" si="167"/>
        <v>7912.6612903226633</v>
      </c>
    </row>
    <row r="10109" spans="1:6" x14ac:dyDescent="0.3">
      <c r="A10109" s="45">
        <v>44476</v>
      </c>
      <c r="B10109" s="41" t="s">
        <v>18</v>
      </c>
      <c r="C10109" s="41" t="s">
        <v>8101</v>
      </c>
      <c r="D10109" s="42">
        <v>5000</v>
      </c>
      <c r="E10109" s="43"/>
      <c r="F10109" s="48">
        <f t="shared" si="167"/>
        <v>2912.6612903226633</v>
      </c>
    </row>
    <row r="10110" spans="1:6" x14ac:dyDescent="0.3">
      <c r="A10110" s="45">
        <v>44476</v>
      </c>
      <c r="B10110" s="5" t="s">
        <v>25</v>
      </c>
      <c r="C10110" s="5" t="s">
        <v>8102</v>
      </c>
      <c r="D10110" s="43">
        <v>1000</v>
      </c>
      <c r="E10110" s="43"/>
      <c r="F10110" s="48">
        <f t="shared" si="167"/>
        <v>1912.6612903226633</v>
      </c>
    </row>
    <row r="10111" spans="1:6" x14ac:dyDescent="0.3">
      <c r="A10111" s="45">
        <v>44476</v>
      </c>
      <c r="B10111" s="5" t="s">
        <v>3563</v>
      </c>
      <c r="C10111" s="5" t="s">
        <v>8109</v>
      </c>
      <c r="D10111" s="43">
        <v>270</v>
      </c>
      <c r="E10111" s="43"/>
      <c r="F10111" s="48">
        <f t="shared" si="167"/>
        <v>1642.6612903226633</v>
      </c>
    </row>
    <row r="10112" spans="1:6" x14ac:dyDescent="0.3">
      <c r="A10112" s="45">
        <v>44477</v>
      </c>
      <c r="B10112" s="5" t="s">
        <v>25</v>
      </c>
      <c r="C10112" s="5" t="s">
        <v>6049</v>
      </c>
      <c r="D10112" s="43">
        <v>100</v>
      </c>
      <c r="E10112" s="43"/>
      <c r="F10112" s="48">
        <f t="shared" si="167"/>
        <v>1542.6612903226633</v>
      </c>
    </row>
    <row r="10113" spans="1:12" x14ac:dyDescent="0.3">
      <c r="A10113" s="45">
        <v>44477</v>
      </c>
      <c r="B10113" s="5" t="s">
        <v>25</v>
      </c>
      <c r="C10113" s="5" t="s">
        <v>8110</v>
      </c>
      <c r="D10113" s="43">
        <v>130</v>
      </c>
      <c r="E10113" s="43"/>
      <c r="F10113" s="48">
        <f t="shared" si="167"/>
        <v>1412.6612903226633</v>
      </c>
    </row>
    <row r="10114" spans="1:12" x14ac:dyDescent="0.3">
      <c r="A10114" s="45">
        <v>44478</v>
      </c>
      <c r="B10114" s="739" t="s">
        <v>4415</v>
      </c>
      <c r="C10114" s="739"/>
      <c r="D10114" s="739"/>
      <c r="E10114" s="43">
        <v>100000</v>
      </c>
      <c r="F10114" s="48">
        <f t="shared" si="167"/>
        <v>101412.66129032266</v>
      </c>
      <c r="L10114" s="93"/>
    </row>
    <row r="10115" spans="1:12" x14ac:dyDescent="0.3">
      <c r="A10115" s="45">
        <v>44478</v>
      </c>
      <c r="B10115" s="5" t="s">
        <v>1616</v>
      </c>
      <c r="C10115" s="5" t="s">
        <v>640</v>
      </c>
      <c r="D10115" s="43">
        <v>1500</v>
      </c>
      <c r="E10115" s="43"/>
      <c r="F10115" s="48">
        <f t="shared" si="167"/>
        <v>99912.661290322663</v>
      </c>
    </row>
    <row r="10116" spans="1:12" x14ac:dyDescent="0.3">
      <c r="A10116" s="45">
        <v>44478</v>
      </c>
      <c r="B10116" s="5" t="s">
        <v>0</v>
      </c>
      <c r="C10116" s="5" t="s">
        <v>8115</v>
      </c>
      <c r="D10116" s="43">
        <v>3160</v>
      </c>
      <c r="E10116" s="43"/>
      <c r="F10116" s="48">
        <f t="shared" si="167"/>
        <v>96752.661290322663</v>
      </c>
    </row>
    <row r="10117" spans="1:12" x14ac:dyDescent="0.3">
      <c r="A10117" s="45">
        <v>44478</v>
      </c>
      <c r="B10117" s="5" t="s">
        <v>25</v>
      </c>
      <c r="C10117" s="5" t="s">
        <v>4731</v>
      </c>
      <c r="D10117" s="43">
        <v>3000</v>
      </c>
      <c r="E10117" s="43"/>
      <c r="F10117" s="48">
        <f t="shared" si="167"/>
        <v>93752.661290322663</v>
      </c>
      <c r="G10117" s="52">
        <v>20000</v>
      </c>
    </row>
    <row r="10118" spans="1:12" x14ac:dyDescent="0.3">
      <c r="A10118" s="45">
        <v>44478</v>
      </c>
      <c r="B10118" s="5" t="s">
        <v>4550</v>
      </c>
      <c r="C10118" s="5" t="s">
        <v>7250</v>
      </c>
      <c r="D10118" s="43">
        <v>10000</v>
      </c>
      <c r="E10118" s="43"/>
      <c r="F10118" s="48">
        <f t="shared" si="167"/>
        <v>83752.661290322663</v>
      </c>
      <c r="G10118" s="52">
        <v>3160</v>
      </c>
    </row>
    <row r="10119" spans="1:12" x14ac:dyDescent="0.3">
      <c r="A10119" s="45">
        <v>44478</v>
      </c>
      <c r="B10119" s="5" t="s">
        <v>5793</v>
      </c>
      <c r="C10119" s="5" t="s">
        <v>8111</v>
      </c>
      <c r="D10119" s="43">
        <v>2000</v>
      </c>
      <c r="E10119" s="43"/>
      <c r="F10119" s="48">
        <f t="shared" si="167"/>
        <v>81752.661290322663</v>
      </c>
      <c r="G10119" s="52">
        <f>G10117-G10118</f>
        <v>16840</v>
      </c>
    </row>
    <row r="10120" spans="1:12" x14ac:dyDescent="0.3">
      <c r="A10120" s="45">
        <v>44478</v>
      </c>
      <c r="B10120" s="61" t="s">
        <v>54</v>
      </c>
      <c r="C10120" s="61" t="s">
        <v>6238</v>
      </c>
      <c r="D10120" s="62">
        <v>38240</v>
      </c>
      <c r="E10120" s="43"/>
      <c r="F10120" s="48">
        <f t="shared" si="167"/>
        <v>43512.661290322663</v>
      </c>
      <c r="G10120" s="52">
        <v>4000</v>
      </c>
    </row>
    <row r="10121" spans="1:12" x14ac:dyDescent="0.3">
      <c r="A10121" s="45">
        <v>44478</v>
      </c>
      <c r="B10121" s="739" t="s">
        <v>8112</v>
      </c>
      <c r="C10121" s="739"/>
      <c r="D10121" s="739"/>
      <c r="E10121" s="43">
        <v>4000</v>
      </c>
      <c r="F10121" s="48">
        <f t="shared" si="167"/>
        <v>47512.661290322663</v>
      </c>
      <c r="L10121" s="93"/>
    </row>
    <row r="10122" spans="1:12" x14ac:dyDescent="0.3">
      <c r="A10122" s="45">
        <v>44478</v>
      </c>
      <c r="B10122" s="5" t="s">
        <v>5930</v>
      </c>
      <c r="C10122" s="5" t="s">
        <v>40</v>
      </c>
      <c r="D10122" s="43">
        <v>37880</v>
      </c>
      <c r="E10122" s="43"/>
      <c r="F10122" s="48">
        <f t="shared" si="167"/>
        <v>9632.6612903226633</v>
      </c>
    </row>
    <row r="10123" spans="1:12" x14ac:dyDescent="0.3">
      <c r="A10123" s="45">
        <v>44478</v>
      </c>
      <c r="B10123" s="5" t="s">
        <v>54</v>
      </c>
      <c r="C10123" s="5" t="s">
        <v>8113</v>
      </c>
      <c r="D10123" s="43">
        <v>2000</v>
      </c>
      <c r="E10123" s="43"/>
      <c r="F10123" s="48">
        <f t="shared" si="167"/>
        <v>7632.6612903226633</v>
      </c>
    </row>
    <row r="10124" spans="1:12" x14ac:dyDescent="0.3">
      <c r="A10124" s="45">
        <v>44478</v>
      </c>
      <c r="B10124" s="5" t="s">
        <v>25</v>
      </c>
      <c r="C10124" s="5" t="s">
        <v>8114</v>
      </c>
      <c r="D10124" s="43">
        <v>150</v>
      </c>
      <c r="E10124" s="43"/>
      <c r="F10124" s="48">
        <f t="shared" si="167"/>
        <v>7482.6612903226633</v>
      </c>
    </row>
    <row r="10125" spans="1:12" x14ac:dyDescent="0.3">
      <c r="A10125" s="45">
        <v>44480</v>
      </c>
      <c r="B10125" s="5" t="s">
        <v>14</v>
      </c>
      <c r="C10125" s="5" t="s">
        <v>294</v>
      </c>
      <c r="D10125" s="43">
        <v>2000</v>
      </c>
      <c r="E10125" s="43"/>
      <c r="F10125" s="48">
        <f t="shared" si="167"/>
        <v>5482.6612903226633</v>
      </c>
    </row>
    <row r="10126" spans="1:12" x14ac:dyDescent="0.3">
      <c r="A10126" s="45">
        <v>44480</v>
      </c>
      <c r="B10126" s="5" t="s">
        <v>25</v>
      </c>
      <c r="C10126" s="5" t="s">
        <v>8116</v>
      </c>
      <c r="D10126" s="43">
        <v>140</v>
      </c>
      <c r="E10126" s="43"/>
      <c r="F10126" s="48">
        <f t="shared" si="167"/>
        <v>5342.6612903226633</v>
      </c>
    </row>
    <row r="10127" spans="1:12" x14ac:dyDescent="0.3">
      <c r="A10127" s="45">
        <v>44480</v>
      </c>
      <c r="B10127" s="739" t="s">
        <v>4106</v>
      </c>
      <c r="C10127" s="739"/>
      <c r="D10127" s="739"/>
      <c r="E10127" s="43">
        <v>100000</v>
      </c>
      <c r="F10127" s="48">
        <f t="shared" si="167"/>
        <v>105342.66129032266</v>
      </c>
      <c r="L10127" s="93"/>
    </row>
    <row r="10128" spans="1:12" x14ac:dyDescent="0.3">
      <c r="A10128" s="45">
        <v>44480</v>
      </c>
      <c r="B10128" s="5" t="s">
        <v>5709</v>
      </c>
      <c r="C10128" s="5" t="s">
        <v>8117</v>
      </c>
      <c r="D10128" s="43">
        <v>27000</v>
      </c>
      <c r="E10128" s="43"/>
      <c r="F10128" s="48">
        <f t="shared" si="167"/>
        <v>78342.661290322663</v>
      </c>
    </row>
    <row r="10129" spans="1:12" x14ac:dyDescent="0.3">
      <c r="A10129" s="45">
        <v>44480</v>
      </c>
      <c r="B10129" s="61" t="s">
        <v>54</v>
      </c>
      <c r="C10129" s="61" t="s">
        <v>6239</v>
      </c>
      <c r="D10129" s="62">
        <v>37000</v>
      </c>
      <c r="E10129" s="43"/>
      <c r="F10129" s="48">
        <f t="shared" si="167"/>
        <v>41342.661290322663</v>
      </c>
      <c r="G10129" s="52">
        <v>4000</v>
      </c>
    </row>
    <row r="10130" spans="1:12" x14ac:dyDescent="0.3">
      <c r="A10130" s="45">
        <v>44480</v>
      </c>
      <c r="B10130" s="61" t="s">
        <v>54</v>
      </c>
      <c r="C10130" s="61" t="s">
        <v>8118</v>
      </c>
      <c r="D10130" s="62">
        <v>20000</v>
      </c>
      <c r="E10130" s="43"/>
      <c r="F10130" s="48">
        <f t="shared" si="167"/>
        <v>21342.661290322663</v>
      </c>
      <c r="G10130" s="52">
        <v>4000</v>
      </c>
    </row>
    <row r="10131" spans="1:12" x14ac:dyDescent="0.3">
      <c r="A10131" s="45">
        <v>44480</v>
      </c>
      <c r="B10131" s="5" t="s">
        <v>6341</v>
      </c>
      <c r="C10131" s="5" t="s">
        <v>8119</v>
      </c>
      <c r="D10131" s="43">
        <v>18000</v>
      </c>
      <c r="E10131" s="43"/>
      <c r="F10131" s="48">
        <f t="shared" si="167"/>
        <v>3342.6612903226633</v>
      </c>
    </row>
    <row r="10132" spans="1:12" x14ac:dyDescent="0.3">
      <c r="A10132" s="45">
        <v>44480</v>
      </c>
      <c r="B10132" s="5" t="s">
        <v>25</v>
      </c>
      <c r="C10132" s="5" t="s">
        <v>6049</v>
      </c>
      <c r="D10132" s="43">
        <v>250</v>
      </c>
      <c r="E10132" s="43"/>
      <c r="F10132" s="48">
        <f t="shared" si="167"/>
        <v>3092.6612903226633</v>
      </c>
    </row>
    <row r="10133" spans="1:12" x14ac:dyDescent="0.3">
      <c r="A10133" s="45">
        <v>44480</v>
      </c>
      <c r="B10133" s="5" t="s">
        <v>68</v>
      </c>
      <c r="C10133" s="5" t="s">
        <v>3557</v>
      </c>
      <c r="D10133" s="43">
        <v>1000</v>
      </c>
      <c r="E10133" s="43"/>
      <c r="F10133" s="48">
        <f t="shared" si="167"/>
        <v>2092.6612903226633</v>
      </c>
    </row>
    <row r="10134" spans="1:12" x14ac:dyDescent="0.3">
      <c r="A10134" s="45">
        <v>44480</v>
      </c>
      <c r="B10134" s="5" t="s">
        <v>110</v>
      </c>
      <c r="C10134" s="5" t="s">
        <v>7049</v>
      </c>
      <c r="D10134" s="43">
        <v>1000</v>
      </c>
      <c r="E10134" s="43"/>
      <c r="F10134" s="48">
        <f t="shared" si="167"/>
        <v>1092.6612903226633</v>
      </c>
    </row>
    <row r="10135" spans="1:12" x14ac:dyDescent="0.3">
      <c r="A10135" s="45">
        <v>44481</v>
      </c>
      <c r="B10135" s="739" t="s">
        <v>4106</v>
      </c>
      <c r="C10135" s="739"/>
      <c r="D10135" s="739"/>
      <c r="E10135" s="43">
        <v>200000</v>
      </c>
      <c r="F10135" s="48">
        <f t="shared" si="167"/>
        <v>201092.66129032266</v>
      </c>
      <c r="L10135" s="93"/>
    </row>
    <row r="10136" spans="1:12" x14ac:dyDescent="0.3">
      <c r="A10136" s="45">
        <v>44481</v>
      </c>
      <c r="B10136" s="5" t="s">
        <v>5793</v>
      </c>
      <c r="C10136" s="5" t="s">
        <v>8121</v>
      </c>
      <c r="D10136" s="43">
        <v>800</v>
      </c>
      <c r="E10136" s="43"/>
      <c r="F10136" s="48">
        <f t="shared" si="167"/>
        <v>200292.66129032266</v>
      </c>
    </row>
    <row r="10137" spans="1:12" x14ac:dyDescent="0.3">
      <c r="A10137" s="45">
        <v>44481</v>
      </c>
      <c r="B10137" s="5" t="s">
        <v>57</v>
      </c>
      <c r="C10137" s="5" t="s">
        <v>3557</v>
      </c>
      <c r="D10137" s="43">
        <v>150000</v>
      </c>
      <c r="E10137" s="43"/>
      <c r="F10137" s="48">
        <f t="shared" si="167"/>
        <v>50292.661290322663</v>
      </c>
    </row>
    <row r="10138" spans="1:12" x14ac:dyDescent="0.3">
      <c r="A10138" s="45">
        <v>44481</v>
      </c>
      <c r="B10138" s="5" t="s">
        <v>6430</v>
      </c>
      <c r="C10138" s="5" t="s">
        <v>8122</v>
      </c>
      <c r="D10138" s="43">
        <v>1300</v>
      </c>
      <c r="E10138" s="43"/>
      <c r="F10138" s="48">
        <f t="shared" si="167"/>
        <v>48992.661290322663</v>
      </c>
    </row>
    <row r="10139" spans="1:12" x14ac:dyDescent="0.3">
      <c r="A10139" s="45">
        <v>44481</v>
      </c>
      <c r="B10139" s="5" t="s">
        <v>6430</v>
      </c>
      <c r="C10139" s="5" t="s">
        <v>3557</v>
      </c>
      <c r="D10139" s="43">
        <v>3000</v>
      </c>
      <c r="E10139" s="43"/>
      <c r="F10139" s="48">
        <f t="shared" si="167"/>
        <v>45992.661290322663</v>
      </c>
    </row>
    <row r="10140" spans="1:12" x14ac:dyDescent="0.3">
      <c r="A10140" s="45">
        <v>44482</v>
      </c>
      <c r="B10140" s="5" t="s">
        <v>8040</v>
      </c>
      <c r="C10140" s="5" t="s">
        <v>8123</v>
      </c>
      <c r="D10140" s="43">
        <v>430</v>
      </c>
      <c r="E10140" s="43"/>
      <c r="F10140" s="48">
        <f t="shared" si="167"/>
        <v>45562.661290322663</v>
      </c>
    </row>
    <row r="10141" spans="1:12" x14ac:dyDescent="0.3">
      <c r="A10141" s="45">
        <v>44482</v>
      </c>
      <c r="B10141" s="5" t="s">
        <v>8040</v>
      </c>
      <c r="C10141" s="5" t="s">
        <v>8124</v>
      </c>
      <c r="D10141" s="43">
        <v>500</v>
      </c>
      <c r="E10141" s="43"/>
      <c r="F10141" s="48">
        <f t="shared" si="167"/>
        <v>45062.661290322663</v>
      </c>
    </row>
    <row r="10142" spans="1:12" x14ac:dyDescent="0.3">
      <c r="A10142" s="45">
        <v>44482</v>
      </c>
      <c r="B10142" s="5" t="s">
        <v>57</v>
      </c>
      <c r="C10142" s="5" t="s">
        <v>3172</v>
      </c>
      <c r="D10142" s="43">
        <v>1160</v>
      </c>
      <c r="E10142" s="43"/>
      <c r="F10142" s="48">
        <f t="shared" si="167"/>
        <v>43902.661290322663</v>
      </c>
    </row>
    <row r="10143" spans="1:12" x14ac:dyDescent="0.3">
      <c r="A10143" s="45">
        <v>44482</v>
      </c>
      <c r="B10143" s="5" t="s">
        <v>57</v>
      </c>
      <c r="C10143" s="5" t="s">
        <v>294</v>
      </c>
      <c r="D10143" s="43">
        <v>20000</v>
      </c>
      <c r="E10143" s="43"/>
      <c r="F10143" s="48">
        <f t="shared" si="167"/>
        <v>23902.661290322663</v>
      </c>
      <c r="H10143" s="52">
        <v>2782978</v>
      </c>
    </row>
    <row r="10144" spans="1:12" x14ac:dyDescent="0.3">
      <c r="A10144" s="45">
        <v>44482</v>
      </c>
      <c r="B10144" s="5" t="s">
        <v>8128</v>
      </c>
      <c r="C10144" s="5" t="s">
        <v>8129</v>
      </c>
      <c r="D10144" s="43">
        <v>15000</v>
      </c>
      <c r="E10144" s="43"/>
      <c r="F10144" s="48">
        <f t="shared" si="167"/>
        <v>8902.6612903226633</v>
      </c>
      <c r="H10144" s="52">
        <f>H10143*13%</f>
        <v>361787.14</v>
      </c>
    </row>
    <row r="10145" spans="1:12" x14ac:dyDescent="0.3">
      <c r="A10145" s="45">
        <v>44482</v>
      </c>
      <c r="B10145" s="5" t="s">
        <v>14</v>
      </c>
      <c r="C10145" s="5" t="s">
        <v>294</v>
      </c>
      <c r="D10145" s="43">
        <v>2000</v>
      </c>
      <c r="E10145" s="43"/>
      <c r="F10145" s="48">
        <f t="shared" si="167"/>
        <v>6902.6612903226633</v>
      </c>
      <c r="H10145" s="52">
        <f>H10143-H10144</f>
        <v>2421190.86</v>
      </c>
    </row>
    <row r="10146" spans="1:12" x14ac:dyDescent="0.3">
      <c r="A10146" s="45">
        <v>44482</v>
      </c>
      <c r="B10146" s="5" t="s">
        <v>5156</v>
      </c>
      <c r="C10146" s="5" t="s">
        <v>8130</v>
      </c>
      <c r="D10146" s="43">
        <v>470</v>
      </c>
      <c r="E10146" s="43"/>
      <c r="F10146" s="48">
        <f t="shared" si="167"/>
        <v>6432.6612903226633</v>
      </c>
    </row>
    <row r="10147" spans="1:12" x14ac:dyDescent="0.3">
      <c r="A10147" s="45">
        <v>44482</v>
      </c>
      <c r="B10147" s="5" t="s">
        <v>5156</v>
      </c>
      <c r="C10147" s="5" t="s">
        <v>8131</v>
      </c>
      <c r="D10147" s="43">
        <v>750</v>
      </c>
      <c r="E10147" s="43"/>
      <c r="F10147" s="48">
        <f t="shared" si="167"/>
        <v>5682.6612903226633</v>
      </c>
    </row>
    <row r="10148" spans="1:12" x14ac:dyDescent="0.3">
      <c r="A10148" s="45">
        <v>44483</v>
      </c>
      <c r="B10148" s="5" t="s">
        <v>84</v>
      </c>
      <c r="C10148" s="61" t="s">
        <v>8132</v>
      </c>
      <c r="D10148" s="43">
        <v>1000</v>
      </c>
      <c r="E10148" s="43"/>
      <c r="F10148" s="48">
        <f t="shared" si="167"/>
        <v>4682.6612903226633</v>
      </c>
    </row>
    <row r="10149" spans="1:12" x14ac:dyDescent="0.3">
      <c r="A10149" s="45">
        <v>44483</v>
      </c>
      <c r="B10149" s="5" t="s">
        <v>57</v>
      </c>
      <c r="C10149" s="5" t="s">
        <v>8133</v>
      </c>
      <c r="D10149" s="43">
        <v>1000</v>
      </c>
      <c r="E10149" s="43"/>
      <c r="F10149" s="48">
        <f t="shared" ref="F10149:F10212" si="168">F10148+E10149-D10149</f>
        <v>3682.6612903226633</v>
      </c>
    </row>
    <row r="10150" spans="1:12" x14ac:dyDescent="0.3">
      <c r="A10150" s="45">
        <v>44483</v>
      </c>
      <c r="B10150" s="739" t="s">
        <v>8134</v>
      </c>
      <c r="C10150" s="739"/>
      <c r="D10150" s="739"/>
      <c r="E10150" s="43">
        <v>9340</v>
      </c>
      <c r="F10150" s="48">
        <f t="shared" si="168"/>
        <v>13022.661290322663</v>
      </c>
      <c r="I10150" s="52">
        <v>24000</v>
      </c>
      <c r="L10150" s="93"/>
    </row>
    <row r="10151" spans="1:12" x14ac:dyDescent="0.3">
      <c r="A10151" s="45">
        <v>44483</v>
      </c>
      <c r="B10151" s="5" t="s">
        <v>25</v>
      </c>
      <c r="C10151" s="5" t="s">
        <v>8135</v>
      </c>
      <c r="D10151" s="43">
        <v>900</v>
      </c>
      <c r="E10151" s="43"/>
      <c r="F10151" s="48">
        <f t="shared" si="168"/>
        <v>12122.661290322663</v>
      </c>
      <c r="I10151" s="52">
        <f>I10150*20%</f>
        <v>4800</v>
      </c>
    </row>
    <row r="10152" spans="1:12" x14ac:dyDescent="0.3">
      <c r="A10152" s="45">
        <v>44483</v>
      </c>
      <c r="B10152" s="5" t="s">
        <v>5162</v>
      </c>
      <c r="C10152" s="5" t="s">
        <v>7002</v>
      </c>
      <c r="D10152" s="43">
        <v>600</v>
      </c>
      <c r="E10152" s="43"/>
      <c r="F10152" s="48">
        <f t="shared" si="168"/>
        <v>11522.661290322663</v>
      </c>
      <c r="I10152" s="52">
        <f>I10150-I10151</f>
        <v>19200</v>
      </c>
    </row>
    <row r="10153" spans="1:12" x14ac:dyDescent="0.3">
      <c r="A10153" s="45">
        <v>44483</v>
      </c>
      <c r="B10153" s="5" t="s">
        <v>5162</v>
      </c>
      <c r="C10153" s="5" t="s">
        <v>8136</v>
      </c>
      <c r="D10153" s="43">
        <v>500</v>
      </c>
      <c r="E10153" s="43"/>
      <c r="F10153" s="48">
        <f t="shared" si="168"/>
        <v>11022.661290322663</v>
      </c>
    </row>
    <row r="10154" spans="1:12" x14ac:dyDescent="0.3">
      <c r="A10154" s="45">
        <v>44483</v>
      </c>
      <c r="B10154" s="5" t="s">
        <v>108</v>
      </c>
      <c r="C10154" s="5" t="s">
        <v>8137</v>
      </c>
      <c r="D10154" s="43">
        <v>450</v>
      </c>
      <c r="E10154" s="43"/>
      <c r="F10154" s="48">
        <f t="shared" si="168"/>
        <v>10572.661290322663</v>
      </c>
    </row>
    <row r="10155" spans="1:12" x14ac:dyDescent="0.3">
      <c r="A10155" s="45">
        <v>44484</v>
      </c>
      <c r="B10155" s="5" t="s">
        <v>5793</v>
      </c>
      <c r="C10155" s="5" t="s">
        <v>8138</v>
      </c>
      <c r="D10155" s="43">
        <v>1200</v>
      </c>
      <c r="E10155" s="43"/>
      <c r="F10155" s="48">
        <f t="shared" si="168"/>
        <v>9372.6612903226633</v>
      </c>
    </row>
    <row r="10156" spans="1:12" x14ac:dyDescent="0.3">
      <c r="A10156" s="45">
        <v>44484</v>
      </c>
      <c r="B10156" s="5" t="s">
        <v>25</v>
      </c>
      <c r="C10156" s="5" t="s">
        <v>8139</v>
      </c>
      <c r="D10156" s="43">
        <f>2150-500</f>
        <v>1650</v>
      </c>
      <c r="E10156" s="43"/>
      <c r="F10156" s="48">
        <f t="shared" si="168"/>
        <v>7722.6612903226633</v>
      </c>
      <c r="H10156" s="52">
        <v>3740</v>
      </c>
    </row>
    <row r="10157" spans="1:12" x14ac:dyDescent="0.3">
      <c r="A10157" s="45">
        <v>44485</v>
      </c>
      <c r="B10157" s="5" t="s">
        <v>1616</v>
      </c>
      <c r="C10157" s="5" t="s">
        <v>7002</v>
      </c>
      <c r="D10157" s="43">
        <v>600</v>
      </c>
      <c r="E10157" s="43"/>
      <c r="F10157" s="48">
        <f t="shared" si="168"/>
        <v>7122.6612903226633</v>
      </c>
      <c r="H10157" s="52" t="e">
        <f>H10156-#REF!</f>
        <v>#REF!</v>
      </c>
    </row>
    <row r="10158" spans="1:12" x14ac:dyDescent="0.3">
      <c r="A10158" s="45">
        <v>44485</v>
      </c>
      <c r="B10158" s="5" t="s">
        <v>25</v>
      </c>
      <c r="C10158" s="5" t="s">
        <v>6049</v>
      </c>
      <c r="D10158" s="43">
        <v>300</v>
      </c>
      <c r="E10158" s="43"/>
      <c r="F10158" s="48">
        <f t="shared" si="168"/>
        <v>6822.6612903226633</v>
      </c>
    </row>
    <row r="10159" spans="1:12" x14ac:dyDescent="0.3">
      <c r="A10159" s="45">
        <v>44485</v>
      </c>
      <c r="B10159" s="5" t="s">
        <v>25</v>
      </c>
      <c r="C10159" s="5" t="s">
        <v>5799</v>
      </c>
      <c r="D10159" s="43">
        <v>200</v>
      </c>
      <c r="E10159" s="43"/>
      <c r="F10159" s="48">
        <f t="shared" si="168"/>
        <v>6622.6612903226633</v>
      </c>
    </row>
    <row r="10160" spans="1:12" x14ac:dyDescent="0.3">
      <c r="A10160" s="45">
        <v>44485</v>
      </c>
      <c r="B10160" s="5" t="s">
        <v>14</v>
      </c>
      <c r="C10160" s="5" t="s">
        <v>294</v>
      </c>
      <c r="D10160" s="43">
        <v>5000</v>
      </c>
      <c r="E10160" s="43"/>
      <c r="F10160" s="48">
        <f t="shared" si="168"/>
        <v>1622.6612903226633</v>
      </c>
    </row>
    <row r="10161" spans="1:12" x14ac:dyDescent="0.3">
      <c r="A10161" s="45">
        <v>44485</v>
      </c>
      <c r="B10161" s="739" t="s">
        <v>8034</v>
      </c>
      <c r="C10161" s="739"/>
      <c r="D10161" s="739"/>
      <c r="E10161" s="43">
        <v>30000</v>
      </c>
      <c r="F10161" s="48">
        <f t="shared" si="168"/>
        <v>31622.661290322663</v>
      </c>
      <c r="I10161" s="52">
        <v>24000</v>
      </c>
      <c r="L10161" s="93"/>
    </row>
    <row r="10162" spans="1:12" x14ac:dyDescent="0.3">
      <c r="A10162" s="45">
        <v>44485</v>
      </c>
      <c r="B10162" s="5" t="s">
        <v>84</v>
      </c>
      <c r="C10162" s="61" t="s">
        <v>8142</v>
      </c>
      <c r="D10162" s="43">
        <v>2000</v>
      </c>
      <c r="E10162" s="43"/>
      <c r="F10162" s="48">
        <f t="shared" si="168"/>
        <v>29622.661290322663</v>
      </c>
    </row>
    <row r="10163" spans="1:12" x14ac:dyDescent="0.3">
      <c r="A10163" s="45">
        <v>44485</v>
      </c>
      <c r="B10163" s="5" t="s">
        <v>84</v>
      </c>
      <c r="C10163" s="5" t="s">
        <v>8143</v>
      </c>
      <c r="D10163" s="43">
        <v>5000</v>
      </c>
      <c r="E10163" s="43"/>
      <c r="F10163" s="48">
        <f t="shared" si="168"/>
        <v>24622.661290322663</v>
      </c>
    </row>
    <row r="10164" spans="1:12" x14ac:dyDescent="0.3">
      <c r="A10164" s="45">
        <v>44485</v>
      </c>
      <c r="B10164" s="5" t="s">
        <v>57</v>
      </c>
      <c r="C10164" s="5" t="s">
        <v>3557</v>
      </c>
      <c r="D10164" s="43">
        <v>19460</v>
      </c>
      <c r="E10164" s="43"/>
      <c r="F10164" s="48">
        <f t="shared" si="168"/>
        <v>5162.6612903226633</v>
      </c>
    </row>
    <row r="10165" spans="1:12" x14ac:dyDescent="0.3">
      <c r="A10165" s="45">
        <v>44487</v>
      </c>
      <c r="B10165" s="5" t="s">
        <v>107</v>
      </c>
      <c r="C10165" s="5" t="s">
        <v>8144</v>
      </c>
      <c r="D10165" s="43">
        <v>890</v>
      </c>
      <c r="E10165" s="43"/>
      <c r="F10165" s="48">
        <f t="shared" si="168"/>
        <v>4272.6612903226633</v>
      </c>
    </row>
    <row r="10166" spans="1:12" x14ac:dyDescent="0.3">
      <c r="A10166" s="45">
        <v>44487</v>
      </c>
      <c r="B10166" s="5" t="s">
        <v>25</v>
      </c>
      <c r="C10166" s="5" t="s">
        <v>6049</v>
      </c>
      <c r="D10166" s="43">
        <v>100</v>
      </c>
      <c r="E10166" s="43"/>
      <c r="F10166" s="48">
        <f t="shared" si="168"/>
        <v>4172.6612903226633</v>
      </c>
    </row>
    <row r="10167" spans="1:12" x14ac:dyDescent="0.3">
      <c r="A10167" s="45">
        <v>44487</v>
      </c>
      <c r="B10167" s="5" t="s">
        <v>25</v>
      </c>
      <c r="C10167" s="5" t="s">
        <v>8163</v>
      </c>
      <c r="D10167" s="43">
        <v>2000</v>
      </c>
      <c r="E10167" s="43"/>
      <c r="F10167" s="48">
        <f t="shared" si="168"/>
        <v>2172.6612903226633</v>
      </c>
    </row>
    <row r="10168" spans="1:12" x14ac:dyDescent="0.3">
      <c r="A10168" s="45">
        <v>44489</v>
      </c>
      <c r="B10168" s="5" t="s">
        <v>8040</v>
      </c>
      <c r="C10168" s="5" t="s">
        <v>8124</v>
      </c>
      <c r="D10168" s="43">
        <v>1000</v>
      </c>
      <c r="E10168" s="43"/>
      <c r="F10168" s="48">
        <f t="shared" si="168"/>
        <v>1172.6612903226633</v>
      </c>
    </row>
    <row r="10169" spans="1:12" x14ac:dyDescent="0.3">
      <c r="A10169" s="45">
        <v>44489</v>
      </c>
      <c r="B10169" s="739" t="s">
        <v>3444</v>
      </c>
      <c r="C10169" s="739"/>
      <c r="D10169" s="739"/>
      <c r="E10169" s="43">
        <v>100000</v>
      </c>
      <c r="F10169" s="48">
        <f t="shared" si="168"/>
        <v>101172.66129032266</v>
      </c>
      <c r="I10169" s="52">
        <v>24000</v>
      </c>
      <c r="L10169" s="93"/>
    </row>
    <row r="10170" spans="1:12" x14ac:dyDescent="0.3">
      <c r="A10170" s="45">
        <v>44489</v>
      </c>
      <c r="B10170" s="5" t="s">
        <v>8146</v>
      </c>
      <c r="C10170" s="5" t="s">
        <v>8147</v>
      </c>
      <c r="D10170" s="43">
        <v>15000</v>
      </c>
      <c r="E10170" s="43"/>
      <c r="F10170" s="48">
        <f t="shared" si="168"/>
        <v>86172.661290322663</v>
      </c>
    </row>
    <row r="10171" spans="1:12" x14ac:dyDescent="0.3">
      <c r="A10171" s="45">
        <v>44489</v>
      </c>
      <c r="B10171" s="5" t="s">
        <v>14</v>
      </c>
      <c r="C10171" s="5" t="s">
        <v>294</v>
      </c>
      <c r="D10171" s="43">
        <v>35000</v>
      </c>
      <c r="E10171" s="43"/>
      <c r="F10171" s="48">
        <f t="shared" si="168"/>
        <v>51172.661290322663</v>
      </c>
    </row>
    <row r="10172" spans="1:12" x14ac:dyDescent="0.3">
      <c r="A10172" s="45">
        <v>44489</v>
      </c>
      <c r="B10172" s="5" t="s">
        <v>25</v>
      </c>
      <c r="C10172" s="5" t="s">
        <v>8149</v>
      </c>
      <c r="D10172" s="43">
        <v>1000</v>
      </c>
      <c r="E10172" s="43"/>
      <c r="F10172" s="48">
        <f t="shared" si="168"/>
        <v>50172.661290322663</v>
      </c>
    </row>
    <row r="10173" spans="1:12" x14ac:dyDescent="0.3">
      <c r="A10173" s="45">
        <v>44489</v>
      </c>
      <c r="B10173" s="5" t="s">
        <v>3563</v>
      </c>
      <c r="C10173" s="5" t="s">
        <v>7737</v>
      </c>
      <c r="D10173" s="43">
        <v>1000</v>
      </c>
      <c r="E10173" s="43"/>
      <c r="F10173" s="48">
        <f t="shared" si="168"/>
        <v>49172.661290322663</v>
      </c>
    </row>
    <row r="10174" spans="1:12" x14ac:dyDescent="0.3">
      <c r="A10174" s="45">
        <v>44490</v>
      </c>
      <c r="B10174" s="5" t="s">
        <v>4550</v>
      </c>
      <c r="C10174" s="5" t="s">
        <v>294</v>
      </c>
      <c r="D10174" s="43">
        <v>15000</v>
      </c>
      <c r="E10174" s="43"/>
      <c r="F10174" s="48">
        <f t="shared" si="168"/>
        <v>34172.661290322663</v>
      </c>
    </row>
    <row r="10175" spans="1:12" x14ac:dyDescent="0.3">
      <c r="A10175" s="45">
        <v>44490</v>
      </c>
      <c r="B10175" s="5" t="s">
        <v>25</v>
      </c>
      <c r="C10175" s="5" t="s">
        <v>8152</v>
      </c>
      <c r="D10175" s="43">
        <v>1040</v>
      </c>
      <c r="E10175" s="43"/>
      <c r="F10175" s="48">
        <f t="shared" si="168"/>
        <v>33132.661290322663</v>
      </c>
    </row>
    <row r="10176" spans="1:12" x14ac:dyDescent="0.3">
      <c r="A10176" s="45">
        <v>44490</v>
      </c>
      <c r="B10176" s="5" t="s">
        <v>68</v>
      </c>
      <c r="C10176" s="5" t="s">
        <v>3557</v>
      </c>
      <c r="D10176" s="43">
        <v>10000</v>
      </c>
      <c r="E10176" s="43"/>
      <c r="F10176" s="48">
        <f t="shared" si="168"/>
        <v>23132.661290322663</v>
      </c>
      <c r="G10176" s="52">
        <v>2000</v>
      </c>
      <c r="H10176" s="52" t="s">
        <v>3205</v>
      </c>
    </row>
    <row r="10177" spans="1:12" x14ac:dyDescent="0.3">
      <c r="A10177" s="45">
        <v>44491</v>
      </c>
      <c r="B10177" s="5" t="s">
        <v>14</v>
      </c>
      <c r="C10177" s="5" t="s">
        <v>294</v>
      </c>
      <c r="D10177" s="43">
        <v>20000</v>
      </c>
      <c r="E10177" s="43"/>
      <c r="F10177" s="48">
        <f t="shared" si="168"/>
        <v>3132.6612903226633</v>
      </c>
    </row>
    <row r="10178" spans="1:12" x14ac:dyDescent="0.3">
      <c r="A10178" s="45">
        <v>44491</v>
      </c>
      <c r="B10178" s="739" t="s">
        <v>4106</v>
      </c>
      <c r="C10178" s="739"/>
      <c r="D10178" s="739"/>
      <c r="E10178" s="43">
        <v>100000</v>
      </c>
      <c r="F10178" s="48">
        <f t="shared" si="168"/>
        <v>103132.66129032266</v>
      </c>
      <c r="I10178" s="52">
        <v>24000</v>
      </c>
      <c r="L10178" s="93"/>
    </row>
    <row r="10179" spans="1:12" x14ac:dyDescent="0.3">
      <c r="A10179" s="45">
        <v>44491</v>
      </c>
      <c r="B10179" s="5" t="s">
        <v>8164</v>
      </c>
      <c r="C10179" s="5" t="s">
        <v>8165</v>
      </c>
      <c r="D10179" s="43">
        <v>40000</v>
      </c>
      <c r="E10179" s="43"/>
      <c r="F10179" s="48">
        <f t="shared" si="168"/>
        <v>63132.661290322663</v>
      </c>
    </row>
    <row r="10180" spans="1:12" x14ac:dyDescent="0.3">
      <c r="A10180" s="45">
        <v>44491</v>
      </c>
      <c r="B10180" s="5" t="s">
        <v>1012</v>
      </c>
      <c r="C10180" s="5" t="s">
        <v>8169</v>
      </c>
      <c r="D10180" s="43">
        <v>40000</v>
      </c>
      <c r="E10180" s="43"/>
      <c r="F10180" s="48">
        <f t="shared" si="168"/>
        <v>23132.661290322663</v>
      </c>
    </row>
    <row r="10181" spans="1:12" x14ac:dyDescent="0.3">
      <c r="A10181" s="45">
        <v>44491</v>
      </c>
      <c r="B10181" s="5" t="s">
        <v>84</v>
      </c>
      <c r="C10181" s="61" t="s">
        <v>8142</v>
      </c>
      <c r="D10181" s="43">
        <v>2000</v>
      </c>
      <c r="E10181" s="43"/>
      <c r="F10181" s="48">
        <f t="shared" si="168"/>
        <v>21132.661290322663</v>
      </c>
    </row>
    <row r="10182" spans="1:12" x14ac:dyDescent="0.3">
      <c r="A10182" s="45">
        <v>44491</v>
      </c>
      <c r="B10182" s="5" t="s">
        <v>84</v>
      </c>
      <c r="C10182" s="5" t="s">
        <v>8166</v>
      </c>
      <c r="D10182" s="43">
        <v>5000</v>
      </c>
      <c r="E10182" s="43"/>
      <c r="F10182" s="48">
        <f t="shared" si="168"/>
        <v>16132.661290322663</v>
      </c>
      <c r="H10182" s="52">
        <v>1000000</v>
      </c>
    </row>
    <row r="10183" spans="1:12" x14ac:dyDescent="0.3">
      <c r="A10183" s="45">
        <v>44491</v>
      </c>
      <c r="B10183" s="5" t="s">
        <v>25</v>
      </c>
      <c r="C10183" s="5" t="s">
        <v>8167</v>
      </c>
      <c r="D10183" s="43">
        <v>5000</v>
      </c>
      <c r="E10183" s="43"/>
      <c r="F10183" s="48">
        <f t="shared" si="168"/>
        <v>11132.661290322663</v>
      </c>
      <c r="H10183" s="52">
        <v>1000000</v>
      </c>
    </row>
    <row r="10184" spans="1:12" x14ac:dyDescent="0.3">
      <c r="A10184" s="45">
        <v>44492</v>
      </c>
      <c r="B10184" s="5" t="s">
        <v>6430</v>
      </c>
      <c r="C10184" s="5" t="s">
        <v>8168</v>
      </c>
      <c r="D10184" s="43">
        <v>1830</v>
      </c>
      <c r="E10184" s="43"/>
      <c r="F10184" s="48">
        <f t="shared" si="168"/>
        <v>9302.6612903226633</v>
      </c>
      <c r="H10184" s="52">
        <v>1000000</v>
      </c>
    </row>
    <row r="10185" spans="1:12" x14ac:dyDescent="0.3">
      <c r="A10185" s="45">
        <v>44492</v>
      </c>
      <c r="B10185" s="5" t="s">
        <v>84</v>
      </c>
      <c r="C10185" s="5" t="s">
        <v>8143</v>
      </c>
      <c r="D10185" s="43">
        <v>5000</v>
      </c>
      <c r="E10185" s="43"/>
      <c r="F10185" s="48">
        <f t="shared" si="168"/>
        <v>4302.6612903226633</v>
      </c>
      <c r="H10185" s="52">
        <f>SUM(H10182:H10184)</f>
        <v>3000000</v>
      </c>
    </row>
    <row r="10186" spans="1:12" x14ac:dyDescent="0.3">
      <c r="A10186" s="45">
        <v>44494</v>
      </c>
      <c r="B10186" s="739" t="s">
        <v>4364</v>
      </c>
      <c r="C10186" s="739"/>
      <c r="D10186" s="739"/>
      <c r="E10186" s="43">
        <v>100000</v>
      </c>
      <c r="F10186" s="48">
        <f t="shared" si="168"/>
        <v>104302.66129032266</v>
      </c>
      <c r="I10186" s="52">
        <v>24000</v>
      </c>
      <c r="L10186" s="93"/>
    </row>
    <row r="10187" spans="1:12" x14ac:dyDescent="0.3">
      <c r="A10187" s="45">
        <v>44494</v>
      </c>
      <c r="B10187" s="5" t="s">
        <v>57</v>
      </c>
      <c r="C10187" s="5" t="s">
        <v>4350</v>
      </c>
      <c r="D10187" s="43">
        <v>6000</v>
      </c>
      <c r="E10187" s="43"/>
      <c r="F10187" s="48">
        <f t="shared" si="168"/>
        <v>98302.661290322663</v>
      </c>
      <c r="H10187" s="52">
        <f>H10185*6.5%</f>
        <v>195000</v>
      </c>
    </row>
    <row r="10188" spans="1:12" x14ac:dyDescent="0.3">
      <c r="A10188" s="45">
        <v>44494</v>
      </c>
      <c r="B10188" s="5" t="s">
        <v>2995</v>
      </c>
      <c r="C10188" s="5" t="s">
        <v>8171</v>
      </c>
      <c r="D10188" s="43">
        <v>27200</v>
      </c>
      <c r="E10188" s="43"/>
      <c r="F10188" s="48">
        <f t="shared" si="168"/>
        <v>71102.661290322663</v>
      </c>
      <c r="H10188" s="52">
        <f>H10185-H10187</f>
        <v>2805000</v>
      </c>
    </row>
    <row r="10189" spans="1:12" x14ac:dyDescent="0.3">
      <c r="A10189" s="45">
        <v>44494</v>
      </c>
      <c r="B10189" s="5" t="s">
        <v>3554</v>
      </c>
      <c r="C10189" s="5" t="s">
        <v>8172</v>
      </c>
      <c r="D10189" s="43">
        <v>12000</v>
      </c>
      <c r="E10189" s="43"/>
      <c r="F10189" s="48">
        <f t="shared" si="168"/>
        <v>59102.661290322663</v>
      </c>
    </row>
    <row r="10190" spans="1:12" x14ac:dyDescent="0.3">
      <c r="A10190" s="45">
        <v>44494</v>
      </c>
      <c r="B10190" s="5" t="s">
        <v>3554</v>
      </c>
      <c r="C10190" s="5" t="s">
        <v>8173</v>
      </c>
      <c r="D10190" s="43">
        <v>8000</v>
      </c>
      <c r="E10190" s="43"/>
      <c r="F10190" s="48">
        <f t="shared" si="168"/>
        <v>51102.661290322663</v>
      </c>
    </row>
    <row r="10191" spans="1:12" x14ac:dyDescent="0.3">
      <c r="A10191" s="45">
        <v>44494</v>
      </c>
      <c r="B10191" s="5" t="s">
        <v>14</v>
      </c>
      <c r="C10191" s="5" t="s">
        <v>8181</v>
      </c>
      <c r="D10191" s="43">
        <v>10744</v>
      </c>
      <c r="E10191" s="43"/>
      <c r="F10191" s="48">
        <f t="shared" si="168"/>
        <v>40358.661290322663</v>
      </c>
    </row>
    <row r="10192" spans="1:12" x14ac:dyDescent="0.3">
      <c r="A10192" s="45">
        <v>44494</v>
      </c>
      <c r="B10192" s="5" t="s">
        <v>4156</v>
      </c>
      <c r="C10192" s="41" t="s">
        <v>8182</v>
      </c>
      <c r="D10192" s="42">
        <v>13500</v>
      </c>
      <c r="E10192" s="43"/>
      <c r="F10192" s="48">
        <f t="shared" si="168"/>
        <v>26858.661290322663</v>
      </c>
    </row>
    <row r="10193" spans="1:12" x14ac:dyDescent="0.3">
      <c r="A10193" s="45">
        <v>44494</v>
      </c>
      <c r="B10193" s="5" t="s">
        <v>25</v>
      </c>
      <c r="C10193" s="5" t="s">
        <v>8152</v>
      </c>
      <c r="D10193" s="43">
        <v>2000</v>
      </c>
      <c r="E10193" s="43"/>
      <c r="F10193" s="48">
        <f t="shared" si="168"/>
        <v>24858.661290322663</v>
      </c>
    </row>
    <row r="10194" spans="1:12" x14ac:dyDescent="0.3">
      <c r="A10194" s="45">
        <v>44494</v>
      </c>
      <c r="B10194" s="739" t="s">
        <v>4364</v>
      </c>
      <c r="C10194" s="739"/>
      <c r="D10194" s="739"/>
      <c r="E10194" s="43">
        <v>40000</v>
      </c>
      <c r="F10194" s="48">
        <f t="shared" si="168"/>
        <v>64858.661290322663</v>
      </c>
      <c r="I10194" s="52">
        <v>24000</v>
      </c>
      <c r="L10194" s="93"/>
    </row>
    <row r="10195" spans="1:12" x14ac:dyDescent="0.3">
      <c r="A10195" s="45">
        <v>44494</v>
      </c>
      <c r="B10195" s="5" t="s">
        <v>8184</v>
      </c>
      <c r="C10195" s="5" t="s">
        <v>8185</v>
      </c>
      <c r="D10195" s="43">
        <v>34100</v>
      </c>
      <c r="E10195" s="43"/>
      <c r="F10195" s="48">
        <f t="shared" si="168"/>
        <v>30758.661290322663</v>
      </c>
    </row>
    <row r="10196" spans="1:12" x14ac:dyDescent="0.3">
      <c r="A10196" s="45">
        <v>44495</v>
      </c>
      <c r="B10196" s="5" t="s">
        <v>57</v>
      </c>
      <c r="C10196" s="5" t="s">
        <v>294</v>
      </c>
      <c r="D10196" s="43">
        <v>1000</v>
      </c>
      <c r="E10196" s="43"/>
      <c r="F10196" s="48">
        <f t="shared" si="168"/>
        <v>29758.661290322663</v>
      </c>
      <c r="H10196" s="52">
        <v>200000</v>
      </c>
    </row>
    <row r="10197" spans="1:12" x14ac:dyDescent="0.3">
      <c r="A10197" s="45">
        <v>44495</v>
      </c>
      <c r="B10197" s="5" t="s">
        <v>14</v>
      </c>
      <c r="C10197" s="5" t="s">
        <v>640</v>
      </c>
      <c r="D10197" s="43">
        <v>1000</v>
      </c>
      <c r="E10197" s="43"/>
      <c r="F10197" s="48">
        <f t="shared" si="168"/>
        <v>28758.661290322663</v>
      </c>
    </row>
    <row r="10198" spans="1:12" x14ac:dyDescent="0.3">
      <c r="A10198" s="45">
        <v>44495</v>
      </c>
      <c r="B10198" s="5" t="s">
        <v>84</v>
      </c>
      <c r="C10198" s="5" t="s">
        <v>8186</v>
      </c>
      <c r="D10198" s="43">
        <v>6000</v>
      </c>
      <c r="E10198" s="43"/>
      <c r="F10198" s="48">
        <f t="shared" si="168"/>
        <v>22758.661290322663</v>
      </c>
      <c r="H10198" s="52">
        <f>H10196*13%</f>
        <v>26000</v>
      </c>
    </row>
    <row r="10199" spans="1:12" x14ac:dyDescent="0.3">
      <c r="A10199" s="45">
        <v>44495</v>
      </c>
      <c r="B10199" s="5" t="s">
        <v>84</v>
      </c>
      <c r="C10199" s="5" t="s">
        <v>8187</v>
      </c>
      <c r="D10199" s="43">
        <v>4000</v>
      </c>
      <c r="E10199" s="43"/>
      <c r="F10199" s="48">
        <f t="shared" si="168"/>
        <v>18758.661290322663</v>
      </c>
    </row>
    <row r="10200" spans="1:12" x14ac:dyDescent="0.3">
      <c r="A10200" s="45">
        <v>44495</v>
      </c>
      <c r="B10200" s="5" t="s">
        <v>84</v>
      </c>
      <c r="C10200" s="5" t="s">
        <v>8188</v>
      </c>
      <c r="D10200" s="43">
        <v>3000</v>
      </c>
      <c r="E10200" s="43"/>
      <c r="F10200" s="48">
        <f t="shared" si="168"/>
        <v>15758.661290322663</v>
      </c>
    </row>
    <row r="10201" spans="1:12" x14ac:dyDescent="0.3">
      <c r="A10201" s="45">
        <v>44495</v>
      </c>
      <c r="B10201" s="739" t="s">
        <v>4106</v>
      </c>
      <c r="C10201" s="739"/>
      <c r="D10201" s="739"/>
      <c r="E10201" s="43">
        <v>100000</v>
      </c>
      <c r="F10201" s="48">
        <f t="shared" si="168"/>
        <v>115758.66129032266</v>
      </c>
      <c r="I10201" s="52">
        <v>24000</v>
      </c>
      <c r="L10201" s="93"/>
    </row>
    <row r="10202" spans="1:12" x14ac:dyDescent="0.3">
      <c r="A10202" s="45">
        <v>44495</v>
      </c>
      <c r="B10202" s="5" t="s">
        <v>1074</v>
      </c>
      <c r="C10202" s="5" t="s">
        <v>8189</v>
      </c>
      <c r="D10202" s="43">
        <v>52200</v>
      </c>
      <c r="E10202" s="43"/>
      <c r="F10202" s="48">
        <f t="shared" si="168"/>
        <v>63558.661290322663</v>
      </c>
    </row>
    <row r="10203" spans="1:12" ht="37.5" x14ac:dyDescent="0.3">
      <c r="A10203" s="45">
        <v>44495</v>
      </c>
      <c r="B10203" s="5" t="s">
        <v>4550</v>
      </c>
      <c r="C10203" s="92" t="s">
        <v>8190</v>
      </c>
      <c r="D10203" s="43">
        <v>10000</v>
      </c>
      <c r="E10203" s="43"/>
      <c r="F10203" s="48">
        <f t="shared" si="168"/>
        <v>53558.661290322663</v>
      </c>
    </row>
    <row r="10204" spans="1:12" x14ac:dyDescent="0.3">
      <c r="A10204" s="45">
        <v>44495</v>
      </c>
      <c r="B10204" s="5" t="s">
        <v>693</v>
      </c>
      <c r="C10204" s="5" t="s">
        <v>8191</v>
      </c>
      <c r="D10204" s="43">
        <v>1000</v>
      </c>
      <c r="E10204" s="43"/>
      <c r="F10204" s="48">
        <f t="shared" si="168"/>
        <v>52558.661290322663</v>
      </c>
      <c r="I10204" s="278" t="s">
        <v>8196</v>
      </c>
      <c r="J10204" s="43">
        <v>300000</v>
      </c>
    </row>
    <row r="10205" spans="1:12" x14ac:dyDescent="0.3">
      <c r="A10205" s="45">
        <v>44495</v>
      </c>
      <c r="B10205" s="5" t="s">
        <v>1837</v>
      </c>
      <c r="C10205" s="5" t="s">
        <v>3715</v>
      </c>
      <c r="D10205" s="43">
        <v>1000</v>
      </c>
      <c r="E10205" s="43"/>
      <c r="F10205" s="48">
        <f t="shared" si="168"/>
        <v>51558.661290322663</v>
      </c>
      <c r="I10205" s="278" t="s">
        <v>8197</v>
      </c>
      <c r="J10205" s="43">
        <f>J10204*13%</f>
        <v>39000</v>
      </c>
    </row>
    <row r="10206" spans="1:12" x14ac:dyDescent="0.3">
      <c r="A10206" s="45">
        <v>44495</v>
      </c>
      <c r="B10206" s="5" t="s">
        <v>84</v>
      </c>
      <c r="C10206" s="5" t="s">
        <v>8192</v>
      </c>
      <c r="D10206" s="43">
        <v>3000</v>
      </c>
      <c r="E10206" s="43"/>
      <c r="F10206" s="48">
        <f t="shared" si="168"/>
        <v>48558.661290322663</v>
      </c>
      <c r="H10206" s="52">
        <v>2782978</v>
      </c>
      <c r="I10206" s="278" t="s">
        <v>7769</v>
      </c>
      <c r="J10206" s="43">
        <f>SUM(J10204:J10205)</f>
        <v>339000</v>
      </c>
    </row>
    <row r="10207" spans="1:12" x14ac:dyDescent="0.3">
      <c r="A10207" s="45">
        <v>44496</v>
      </c>
      <c r="B10207" s="5" t="s">
        <v>57</v>
      </c>
      <c r="C10207" s="5" t="s">
        <v>4703</v>
      </c>
      <c r="D10207" s="43">
        <v>2000</v>
      </c>
      <c r="E10207" s="43"/>
      <c r="F10207" s="48">
        <f t="shared" si="168"/>
        <v>46558.661290322663</v>
      </c>
      <c r="G10207" s="52" t="s">
        <v>8193</v>
      </c>
      <c r="H10207" s="52">
        <v>1531307</v>
      </c>
      <c r="I10207" s="278" t="s">
        <v>8198</v>
      </c>
      <c r="J10207" s="43">
        <f>J10206*7.5%</f>
        <v>25425</v>
      </c>
    </row>
    <row r="10208" spans="1:12" ht="37.5" x14ac:dyDescent="0.3">
      <c r="A10208" s="45">
        <v>44496</v>
      </c>
      <c r="B10208" s="5" t="s">
        <v>1012</v>
      </c>
      <c r="C10208" s="92" t="s">
        <v>8194</v>
      </c>
      <c r="D10208" s="43">
        <v>30000</v>
      </c>
      <c r="E10208" s="43"/>
      <c r="F10208" s="48">
        <f t="shared" si="168"/>
        <v>16558.661290322663</v>
      </c>
      <c r="H10208" s="52">
        <f>H10206-H10207</f>
        <v>1251671</v>
      </c>
      <c r="I10208" s="278" t="s">
        <v>8199</v>
      </c>
      <c r="J10208" s="43">
        <f>J10206-J10207</f>
        <v>313575</v>
      </c>
    </row>
    <row r="10209" spans="1:12" x14ac:dyDescent="0.3">
      <c r="A10209" s="45">
        <v>44496</v>
      </c>
      <c r="B10209" s="5" t="s">
        <v>84</v>
      </c>
      <c r="C10209" s="5" t="s">
        <v>8195</v>
      </c>
      <c r="D10209" s="43">
        <v>10000</v>
      </c>
      <c r="E10209" s="43"/>
      <c r="F10209" s="48">
        <f t="shared" si="168"/>
        <v>6558.6612903226633</v>
      </c>
      <c r="H10209" s="52">
        <v>2782978</v>
      </c>
      <c r="I10209" s="278" t="s">
        <v>8201</v>
      </c>
      <c r="J10209" s="43">
        <f>J10205*20%</f>
        <v>7800</v>
      </c>
    </row>
    <row r="10210" spans="1:12" x14ac:dyDescent="0.3">
      <c r="A10210" s="45">
        <v>44497</v>
      </c>
      <c r="B10210" s="5" t="s">
        <v>57</v>
      </c>
      <c r="C10210" s="5" t="s">
        <v>294</v>
      </c>
      <c r="D10210" s="43">
        <v>3000</v>
      </c>
      <c r="E10210" s="43"/>
      <c r="F10210" s="48">
        <f t="shared" si="168"/>
        <v>3558.6612903226633</v>
      </c>
      <c r="I10210" s="278" t="s">
        <v>8200</v>
      </c>
      <c r="J10210" s="43">
        <f>J10208-J10209</f>
        <v>305775</v>
      </c>
    </row>
    <row r="10211" spans="1:12" x14ac:dyDescent="0.3">
      <c r="A10211" s="45">
        <v>44497</v>
      </c>
      <c r="B10211" s="739" t="s">
        <v>4106</v>
      </c>
      <c r="C10211" s="739"/>
      <c r="D10211" s="739"/>
      <c r="E10211" s="43">
        <v>200000</v>
      </c>
      <c r="F10211" s="48">
        <f t="shared" si="168"/>
        <v>203558.66129032266</v>
      </c>
      <c r="I10211" s="52">
        <v>24000</v>
      </c>
      <c r="L10211" s="93"/>
    </row>
    <row r="10212" spans="1:12" x14ac:dyDescent="0.3">
      <c r="A10212" s="45">
        <v>44497</v>
      </c>
      <c r="B10212" s="5" t="s">
        <v>14</v>
      </c>
      <c r="C10212" s="5" t="s">
        <v>294</v>
      </c>
      <c r="D10212" s="43">
        <v>15000</v>
      </c>
      <c r="E10212" s="43"/>
      <c r="F10212" s="48">
        <f t="shared" si="168"/>
        <v>188558.66129032266</v>
      </c>
      <c r="I10212" s="278" t="s">
        <v>8202</v>
      </c>
      <c r="J10212" s="43">
        <f>J10205*80%</f>
        <v>31200</v>
      </c>
    </row>
    <row r="10213" spans="1:12" x14ac:dyDescent="0.3">
      <c r="A10213" s="45">
        <v>44497</v>
      </c>
      <c r="B10213" s="5" t="s">
        <v>25</v>
      </c>
      <c r="C10213" s="5" t="s">
        <v>8152</v>
      </c>
      <c r="D10213" s="43">
        <v>2600</v>
      </c>
      <c r="E10213" s="43"/>
      <c r="F10213" s="48">
        <f t="shared" ref="F10213:F10276" si="169">F10212+E10213-D10213</f>
        <v>185958.66129032266</v>
      </c>
      <c r="H10213" s="52">
        <v>6345906</v>
      </c>
      <c r="I10213" s="278" t="s">
        <v>8203</v>
      </c>
      <c r="J10213" s="43">
        <f>J10210-J10212</f>
        <v>274575</v>
      </c>
    </row>
    <row r="10214" spans="1:12" x14ac:dyDescent="0.3">
      <c r="A10214" s="45">
        <v>44498</v>
      </c>
      <c r="B10214" s="5" t="s">
        <v>4550</v>
      </c>
      <c r="C10214" s="5" t="s">
        <v>294</v>
      </c>
      <c r="D10214" s="43">
        <v>10000</v>
      </c>
      <c r="E10214" s="43"/>
      <c r="F10214" s="48">
        <f t="shared" si="169"/>
        <v>175958.66129032266</v>
      </c>
      <c r="H10214" s="52">
        <v>620384</v>
      </c>
      <c r="J10214" s="52" t="e">
        <f>#REF!*6.5%</f>
        <v>#REF!</v>
      </c>
    </row>
    <row r="10215" spans="1:12" x14ac:dyDescent="0.3">
      <c r="A10215" s="45">
        <v>44498</v>
      </c>
      <c r="B10215" s="5" t="s">
        <v>84</v>
      </c>
      <c r="C10215" s="61" t="s">
        <v>8205</v>
      </c>
      <c r="D10215" s="43">
        <v>2000</v>
      </c>
      <c r="E10215" s="43"/>
      <c r="F10215" s="48">
        <f t="shared" si="169"/>
        <v>173958.66129032266</v>
      </c>
      <c r="H10215" s="52">
        <v>2782978</v>
      </c>
      <c r="I10215" s="278" t="s">
        <v>8201</v>
      </c>
      <c r="J10215" s="43">
        <f>J10211*20%</f>
        <v>0</v>
      </c>
    </row>
    <row r="10216" spans="1:12" x14ac:dyDescent="0.3">
      <c r="A10216" s="45">
        <v>44498</v>
      </c>
      <c r="B10216" s="5" t="s">
        <v>57</v>
      </c>
      <c r="C10216" s="5" t="s">
        <v>294</v>
      </c>
      <c r="D10216" s="43">
        <v>4000</v>
      </c>
      <c r="E10216" s="43"/>
      <c r="F10216" s="48">
        <f t="shared" si="169"/>
        <v>169958.66129032266</v>
      </c>
      <c r="J10216" s="52">
        <v>2805000</v>
      </c>
    </row>
    <row r="10217" spans="1:12" x14ac:dyDescent="0.3">
      <c r="A10217" s="45">
        <v>44498</v>
      </c>
      <c r="B10217" s="5" t="s">
        <v>14</v>
      </c>
      <c r="C10217" s="5" t="s">
        <v>294</v>
      </c>
      <c r="D10217" s="43">
        <v>1000</v>
      </c>
      <c r="E10217" s="43"/>
      <c r="F10217" s="48">
        <f t="shared" si="169"/>
        <v>168958.66129032266</v>
      </c>
      <c r="I10217" s="52">
        <f>H10215*6.5%</f>
        <v>180893.57</v>
      </c>
      <c r="J10217" s="52">
        <f>J10216+J10215</f>
        <v>2805000</v>
      </c>
    </row>
    <row r="10218" spans="1:12" x14ac:dyDescent="0.3">
      <c r="A10218" s="45">
        <v>44498</v>
      </c>
      <c r="B10218" s="5" t="s">
        <v>84</v>
      </c>
      <c r="C10218" s="5" t="s">
        <v>8206</v>
      </c>
      <c r="D10218" s="43">
        <v>15000</v>
      </c>
      <c r="E10218" s="43"/>
      <c r="F10218" s="48">
        <f t="shared" si="169"/>
        <v>153958.66129032266</v>
      </c>
      <c r="H10218" s="52">
        <v>2782978</v>
      </c>
      <c r="I10218" s="278" t="s">
        <v>8201</v>
      </c>
      <c r="J10218" s="43" t="e">
        <f>J10214*20%</f>
        <v>#REF!</v>
      </c>
    </row>
    <row r="10219" spans="1:12" x14ac:dyDescent="0.3">
      <c r="A10219" s="45">
        <v>44498</v>
      </c>
      <c r="B10219" s="5" t="s">
        <v>25</v>
      </c>
      <c r="C10219" s="5" t="s">
        <v>6428</v>
      </c>
      <c r="D10219" s="43">
        <v>900</v>
      </c>
      <c r="E10219" s="43"/>
      <c r="F10219" s="48">
        <f t="shared" si="169"/>
        <v>153058.66129032266</v>
      </c>
    </row>
    <row r="10220" spans="1:12" x14ac:dyDescent="0.3">
      <c r="A10220" s="45">
        <v>44498</v>
      </c>
      <c r="B10220" s="5" t="s">
        <v>14</v>
      </c>
      <c r="C10220" s="5" t="s">
        <v>294</v>
      </c>
      <c r="D10220" s="43">
        <v>50000</v>
      </c>
      <c r="E10220" s="43"/>
      <c r="F10220" s="48">
        <f t="shared" si="169"/>
        <v>103058.66129032266</v>
      </c>
    </row>
    <row r="10221" spans="1:12" x14ac:dyDescent="0.3">
      <c r="A10221" s="45">
        <v>44499</v>
      </c>
      <c r="B10221" s="5" t="s">
        <v>8207</v>
      </c>
      <c r="C10221" s="5" t="s">
        <v>8208</v>
      </c>
      <c r="D10221" s="43">
        <v>2500</v>
      </c>
      <c r="E10221" s="43"/>
      <c r="F10221" s="48">
        <f t="shared" si="169"/>
        <v>100558.66129032266</v>
      </c>
    </row>
    <row r="10222" spans="1:12" x14ac:dyDescent="0.3">
      <c r="A10222" s="45">
        <v>44499</v>
      </c>
      <c r="B10222" s="5" t="s">
        <v>8210</v>
      </c>
      <c r="C10222" s="5" t="s">
        <v>8211</v>
      </c>
      <c r="D10222" s="43">
        <v>14000</v>
      </c>
      <c r="E10222" s="43"/>
      <c r="F10222" s="48">
        <f t="shared" si="169"/>
        <v>86558.661290322663</v>
      </c>
    </row>
    <row r="10223" spans="1:12" x14ac:dyDescent="0.3">
      <c r="A10223" s="45">
        <v>44499</v>
      </c>
      <c r="B10223" s="5" t="s">
        <v>25</v>
      </c>
      <c r="C10223" s="5" t="s">
        <v>8212</v>
      </c>
      <c r="D10223" s="43">
        <v>700</v>
      </c>
      <c r="E10223" s="43"/>
      <c r="F10223" s="48">
        <f t="shared" si="169"/>
        <v>85858.661290322663</v>
      </c>
    </row>
    <row r="10224" spans="1:12" x14ac:dyDescent="0.3">
      <c r="A10224" s="45">
        <v>44499</v>
      </c>
      <c r="B10224" s="5" t="s">
        <v>5709</v>
      </c>
      <c r="C10224" s="5" t="s">
        <v>5673</v>
      </c>
      <c r="D10224" s="43">
        <v>3000</v>
      </c>
      <c r="E10224" s="43"/>
      <c r="F10224" s="48">
        <f t="shared" si="169"/>
        <v>82858.661290322663</v>
      </c>
    </row>
    <row r="10225" spans="1:12" x14ac:dyDescent="0.3">
      <c r="A10225" s="45">
        <v>44501</v>
      </c>
      <c r="B10225" s="5" t="s">
        <v>57</v>
      </c>
      <c r="C10225" s="5" t="s">
        <v>294</v>
      </c>
      <c r="D10225" s="43">
        <v>15000</v>
      </c>
      <c r="E10225" s="43"/>
      <c r="F10225" s="48">
        <f t="shared" si="169"/>
        <v>67858.661290322663</v>
      </c>
    </row>
    <row r="10226" spans="1:12" x14ac:dyDescent="0.3">
      <c r="A10226" s="45">
        <v>44501</v>
      </c>
      <c r="B10226" s="5" t="s">
        <v>14</v>
      </c>
      <c r="C10226" s="5" t="s">
        <v>8213</v>
      </c>
      <c r="D10226" s="43">
        <v>11290</v>
      </c>
      <c r="E10226" s="43"/>
      <c r="F10226" s="48">
        <f t="shared" si="169"/>
        <v>56568.661290322663</v>
      </c>
    </row>
    <row r="10227" spans="1:12" x14ac:dyDescent="0.3">
      <c r="A10227" s="45">
        <v>44501</v>
      </c>
      <c r="B10227" s="5" t="s">
        <v>25</v>
      </c>
      <c r="C10227" s="5" t="s">
        <v>8214</v>
      </c>
      <c r="D10227" s="43">
        <v>3459</v>
      </c>
      <c r="E10227" s="43"/>
      <c r="F10227" s="48">
        <f t="shared" si="169"/>
        <v>53109.661290322663</v>
      </c>
    </row>
    <row r="10228" spans="1:12" x14ac:dyDescent="0.3">
      <c r="A10228" s="45">
        <v>44501</v>
      </c>
      <c r="B10228" s="5" t="s">
        <v>25</v>
      </c>
      <c r="C10228" s="5" t="s">
        <v>8215</v>
      </c>
      <c r="D10228" s="43">
        <v>1500</v>
      </c>
      <c r="E10228" s="43"/>
      <c r="F10228" s="48">
        <f t="shared" si="169"/>
        <v>51609.661290322663</v>
      </c>
    </row>
    <row r="10229" spans="1:12" x14ac:dyDescent="0.3">
      <c r="A10229" s="45">
        <v>44501</v>
      </c>
      <c r="B10229" s="5" t="s">
        <v>25</v>
      </c>
      <c r="C10229" s="5" t="s">
        <v>8216</v>
      </c>
      <c r="D10229" s="43">
        <v>600</v>
      </c>
      <c r="E10229" s="43"/>
      <c r="F10229" s="48">
        <f t="shared" si="169"/>
        <v>51009.661290322663</v>
      </c>
    </row>
    <row r="10230" spans="1:12" x14ac:dyDescent="0.3">
      <c r="A10230" s="45">
        <v>44502</v>
      </c>
      <c r="B10230" s="5" t="s">
        <v>25</v>
      </c>
      <c r="C10230" s="5" t="s">
        <v>4400</v>
      </c>
      <c r="D10230" s="43">
        <v>2500</v>
      </c>
      <c r="E10230" s="43"/>
      <c r="F10230" s="48">
        <f t="shared" si="169"/>
        <v>48509.661290322663</v>
      </c>
    </row>
    <row r="10231" spans="1:12" x14ac:dyDescent="0.3">
      <c r="A10231" s="45">
        <v>44502</v>
      </c>
      <c r="B10231" s="5" t="s">
        <v>25</v>
      </c>
      <c r="C10231" s="5" t="s">
        <v>8139</v>
      </c>
      <c r="D10231" s="43">
        <v>2200</v>
      </c>
      <c r="E10231" s="43"/>
      <c r="F10231" s="48">
        <f t="shared" si="169"/>
        <v>46309.661290322663</v>
      </c>
      <c r="G10231" s="52">
        <v>2080</v>
      </c>
    </row>
    <row r="10232" spans="1:12" x14ac:dyDescent="0.3">
      <c r="A10232" s="45">
        <v>44502</v>
      </c>
      <c r="B10232" s="5" t="s">
        <v>84</v>
      </c>
      <c r="C10232" s="5" t="s">
        <v>8188</v>
      </c>
      <c r="D10232" s="43">
        <v>2000</v>
      </c>
      <c r="E10232" s="43"/>
      <c r="F10232" s="48">
        <f t="shared" si="169"/>
        <v>44309.661290322663</v>
      </c>
      <c r="H10232" s="52">
        <v>2782978</v>
      </c>
      <c r="I10232" s="278" t="s">
        <v>8201</v>
      </c>
      <c r="J10232" s="43">
        <f>J10229*20%</f>
        <v>0</v>
      </c>
    </row>
    <row r="10233" spans="1:12" x14ac:dyDescent="0.3">
      <c r="A10233" s="45">
        <v>44502</v>
      </c>
      <c r="B10233" s="5" t="s">
        <v>84</v>
      </c>
      <c r="C10233" s="5" t="s">
        <v>8218</v>
      </c>
      <c r="D10233" s="43">
        <v>15000</v>
      </c>
      <c r="E10233" s="43"/>
      <c r="F10233" s="48">
        <f t="shared" si="169"/>
        <v>29309.661290322663</v>
      </c>
      <c r="H10233" s="52">
        <v>2782978</v>
      </c>
      <c r="I10233" s="278" t="s">
        <v>8201</v>
      </c>
      <c r="J10233" s="43">
        <f>J10230*20%</f>
        <v>0</v>
      </c>
    </row>
    <row r="10234" spans="1:12" x14ac:dyDescent="0.3">
      <c r="A10234" s="45">
        <v>44502</v>
      </c>
      <c r="B10234" s="5" t="s">
        <v>3563</v>
      </c>
      <c r="C10234" s="5" t="s">
        <v>7737</v>
      </c>
      <c r="D10234" s="43">
        <v>160</v>
      </c>
      <c r="E10234" s="43"/>
      <c r="F10234" s="48">
        <f t="shared" si="169"/>
        <v>29149.661290322663</v>
      </c>
    </row>
    <row r="10235" spans="1:12" x14ac:dyDescent="0.3">
      <c r="A10235" s="45">
        <v>44502</v>
      </c>
      <c r="B10235" s="5" t="s">
        <v>25</v>
      </c>
      <c r="C10235" s="5" t="s">
        <v>8219</v>
      </c>
      <c r="D10235" s="43">
        <v>300</v>
      </c>
      <c r="E10235" s="43"/>
      <c r="F10235" s="48">
        <f t="shared" si="169"/>
        <v>28849.661290322663</v>
      </c>
    </row>
    <row r="10236" spans="1:12" x14ac:dyDescent="0.3">
      <c r="A10236" s="45">
        <v>44503</v>
      </c>
      <c r="B10236" s="5" t="s">
        <v>14</v>
      </c>
      <c r="C10236" s="5" t="s">
        <v>7860</v>
      </c>
      <c r="D10236" s="43">
        <v>20000</v>
      </c>
      <c r="E10236" s="43"/>
      <c r="F10236" s="48">
        <f t="shared" si="169"/>
        <v>8849.6612903226633</v>
      </c>
    </row>
    <row r="10237" spans="1:12" x14ac:dyDescent="0.3">
      <c r="A10237" s="45">
        <v>44503</v>
      </c>
      <c r="B10237" s="739" t="s">
        <v>7440</v>
      </c>
      <c r="C10237" s="739"/>
      <c r="D10237" s="739"/>
      <c r="E10237" s="43">
        <v>50000</v>
      </c>
      <c r="F10237" s="48">
        <f t="shared" si="169"/>
        <v>58849.661290322663</v>
      </c>
      <c r="I10237" s="52">
        <v>24000</v>
      </c>
      <c r="L10237" s="93"/>
    </row>
    <row r="10238" spans="1:12" x14ac:dyDescent="0.3">
      <c r="A10238" s="45">
        <v>44503</v>
      </c>
      <c r="B10238" s="5" t="s">
        <v>14</v>
      </c>
      <c r="C10238" s="5" t="s">
        <v>294</v>
      </c>
      <c r="D10238" s="52">
        <v>5000</v>
      </c>
      <c r="E10238" s="43"/>
      <c r="F10238" s="48">
        <f t="shared" si="169"/>
        <v>53849.661290322663</v>
      </c>
    </row>
    <row r="10239" spans="1:12" x14ac:dyDescent="0.3">
      <c r="A10239" s="45">
        <v>44503</v>
      </c>
      <c r="B10239" s="5" t="s">
        <v>1012</v>
      </c>
      <c r="C10239" s="5" t="s">
        <v>294</v>
      </c>
      <c r="D10239" s="43">
        <v>15000</v>
      </c>
      <c r="E10239" s="43"/>
      <c r="F10239" s="48">
        <f t="shared" si="169"/>
        <v>38849.661290322663</v>
      </c>
    </row>
    <row r="10240" spans="1:12" x14ac:dyDescent="0.3">
      <c r="A10240" s="45">
        <v>44503</v>
      </c>
      <c r="B10240" s="5" t="s">
        <v>8207</v>
      </c>
      <c r="C10240" s="5" t="s">
        <v>8208</v>
      </c>
      <c r="D10240" s="43">
        <v>1500</v>
      </c>
      <c r="E10240" s="43"/>
      <c r="F10240" s="48">
        <f t="shared" si="169"/>
        <v>37349.661290322663</v>
      </c>
    </row>
    <row r="10241" spans="1:12" x14ac:dyDescent="0.3">
      <c r="A10241" s="45">
        <v>44503</v>
      </c>
      <c r="B10241" s="5" t="s">
        <v>84</v>
      </c>
      <c r="C10241" s="61" t="s">
        <v>8142</v>
      </c>
      <c r="D10241" s="43">
        <v>2000</v>
      </c>
      <c r="E10241" s="43"/>
      <c r="F10241" s="48">
        <f t="shared" si="169"/>
        <v>35349.661290322663</v>
      </c>
    </row>
    <row r="10242" spans="1:12" x14ac:dyDescent="0.3">
      <c r="A10242" s="45">
        <v>44504</v>
      </c>
      <c r="B10242" s="5" t="s">
        <v>6430</v>
      </c>
      <c r="C10242" s="5" t="s">
        <v>294</v>
      </c>
      <c r="D10242" s="43">
        <v>3000</v>
      </c>
      <c r="E10242" s="43"/>
      <c r="F10242" s="48">
        <f t="shared" si="169"/>
        <v>32349.661290322663</v>
      </c>
    </row>
    <row r="10243" spans="1:12" x14ac:dyDescent="0.3">
      <c r="A10243" s="45">
        <v>44504</v>
      </c>
      <c r="B10243" s="5" t="s">
        <v>68</v>
      </c>
      <c r="C10243" s="5" t="s">
        <v>294</v>
      </c>
      <c r="D10243" s="43">
        <v>20000</v>
      </c>
      <c r="E10243" s="43"/>
      <c r="F10243" s="48">
        <f t="shared" si="169"/>
        <v>12349.661290322663</v>
      </c>
    </row>
    <row r="10244" spans="1:12" x14ac:dyDescent="0.3">
      <c r="A10244" s="45">
        <v>44505</v>
      </c>
      <c r="B10244" s="5" t="s">
        <v>25</v>
      </c>
      <c r="C10244" s="5" t="s">
        <v>8221</v>
      </c>
      <c r="D10244" s="43">
        <v>1000</v>
      </c>
      <c r="E10244" s="43"/>
      <c r="F10244" s="48">
        <f t="shared" si="169"/>
        <v>11349.661290322663</v>
      </c>
    </row>
    <row r="10245" spans="1:12" x14ac:dyDescent="0.3">
      <c r="A10245" s="45">
        <v>44505</v>
      </c>
      <c r="B10245" s="739" t="s">
        <v>4106</v>
      </c>
      <c r="C10245" s="739"/>
      <c r="D10245" s="739"/>
      <c r="E10245" s="43">
        <v>200000</v>
      </c>
      <c r="F10245" s="48">
        <f t="shared" si="169"/>
        <v>211349.66129032266</v>
      </c>
      <c r="I10245" s="52">
        <v>24000</v>
      </c>
      <c r="L10245" s="93"/>
    </row>
    <row r="10246" spans="1:12" x14ac:dyDescent="0.3">
      <c r="A10246" s="45">
        <v>44505</v>
      </c>
      <c r="B10246" s="5" t="s">
        <v>57</v>
      </c>
      <c r="C10246" s="5" t="s">
        <v>294</v>
      </c>
      <c r="D10246" s="43">
        <v>25000</v>
      </c>
      <c r="E10246" s="43"/>
      <c r="F10246" s="48">
        <f t="shared" si="169"/>
        <v>186349.66129032266</v>
      </c>
      <c r="H10246" s="52">
        <v>130</v>
      </c>
      <c r="I10246" s="52">
        <v>376</v>
      </c>
      <c r="J10246" s="52">
        <f>I10246*H10246</f>
        <v>48880</v>
      </c>
    </row>
    <row r="10247" spans="1:12" x14ac:dyDescent="0.3">
      <c r="A10247" s="45">
        <v>44505</v>
      </c>
      <c r="B10247" s="739" t="s">
        <v>3444</v>
      </c>
      <c r="C10247" s="739"/>
      <c r="D10247" s="739"/>
      <c r="E10247" s="43">
        <v>350000</v>
      </c>
      <c r="F10247" s="48">
        <f t="shared" si="169"/>
        <v>536349.66129032266</v>
      </c>
      <c r="I10247" s="52">
        <v>24000</v>
      </c>
      <c r="L10247" s="93"/>
    </row>
    <row r="10248" spans="1:12" x14ac:dyDescent="0.3">
      <c r="A10248" s="45">
        <v>44505</v>
      </c>
      <c r="B10248" s="5" t="s">
        <v>14</v>
      </c>
      <c r="C10248" s="5" t="s">
        <v>294</v>
      </c>
      <c r="D10248" s="43">
        <v>5000</v>
      </c>
      <c r="E10248" s="43"/>
      <c r="F10248" s="48">
        <f t="shared" si="169"/>
        <v>531349.66129032266</v>
      </c>
      <c r="J10248" s="52">
        <f>SUM(J10246:J10247)</f>
        <v>48880</v>
      </c>
    </row>
    <row r="10249" spans="1:12" x14ac:dyDescent="0.3">
      <c r="A10249" s="45">
        <v>44505</v>
      </c>
      <c r="B10249" s="5" t="s">
        <v>5914</v>
      </c>
      <c r="C10249" s="5" t="s">
        <v>7961</v>
      </c>
      <c r="D10249" s="43">
        <v>2000</v>
      </c>
      <c r="E10249" s="43"/>
      <c r="F10249" s="48">
        <f t="shared" si="169"/>
        <v>529349.66129032266</v>
      </c>
    </row>
    <row r="10250" spans="1:12" x14ac:dyDescent="0.3">
      <c r="A10250" s="45">
        <v>44505</v>
      </c>
      <c r="B10250" s="61" t="s">
        <v>54</v>
      </c>
      <c r="C10250" s="61" t="s">
        <v>8091</v>
      </c>
      <c r="D10250" s="62">
        <v>127214</v>
      </c>
      <c r="E10250" s="43"/>
      <c r="F10250" s="48">
        <f t="shared" si="169"/>
        <v>402135.66129032266</v>
      </c>
    </row>
    <row r="10251" spans="1:12" x14ac:dyDescent="0.3">
      <c r="A10251" s="45">
        <v>44505</v>
      </c>
      <c r="B10251" s="61" t="s">
        <v>54</v>
      </c>
      <c r="C10251" s="61" t="s">
        <v>6556</v>
      </c>
      <c r="D10251" s="62">
        <v>82500</v>
      </c>
      <c r="E10251" s="43"/>
      <c r="F10251" s="48">
        <f t="shared" si="169"/>
        <v>319635.66129032266</v>
      </c>
    </row>
    <row r="10252" spans="1:12" x14ac:dyDescent="0.3">
      <c r="A10252" s="45">
        <v>44505</v>
      </c>
      <c r="B10252" s="61" t="s">
        <v>54</v>
      </c>
      <c r="C10252" s="61" t="s">
        <v>6387</v>
      </c>
      <c r="D10252" s="62">
        <v>102782</v>
      </c>
      <c r="E10252" s="43"/>
      <c r="F10252" s="48">
        <f t="shared" si="169"/>
        <v>216853.66129032266</v>
      </c>
    </row>
    <row r="10253" spans="1:12" x14ac:dyDescent="0.3">
      <c r="A10253" s="45">
        <v>44505</v>
      </c>
      <c r="B10253" s="61" t="s">
        <v>54</v>
      </c>
      <c r="C10253" s="61" t="s">
        <v>6842</v>
      </c>
      <c r="D10253" s="62">
        <v>90500</v>
      </c>
      <c r="E10253" s="43"/>
      <c r="F10253" s="48">
        <f t="shared" si="169"/>
        <v>126353.66129032266</v>
      </c>
    </row>
    <row r="10254" spans="1:12" x14ac:dyDescent="0.3">
      <c r="A10254" s="45">
        <v>44505</v>
      </c>
      <c r="B10254" s="61" t="s">
        <v>54</v>
      </c>
      <c r="C10254" s="61" t="s">
        <v>8223</v>
      </c>
      <c r="D10254" s="62">
        <v>48911</v>
      </c>
      <c r="E10254" s="43"/>
      <c r="F10254" s="48">
        <f t="shared" si="169"/>
        <v>77442.661290322663</v>
      </c>
    </row>
    <row r="10255" spans="1:12" x14ac:dyDescent="0.3">
      <c r="A10255" s="45">
        <v>44505</v>
      </c>
      <c r="B10255" s="5" t="s">
        <v>5930</v>
      </c>
      <c r="C10255" s="5" t="s">
        <v>40</v>
      </c>
      <c r="D10255" s="43">
        <v>58760</v>
      </c>
      <c r="E10255" s="43"/>
      <c r="F10255" s="48">
        <f t="shared" si="169"/>
        <v>18682.661290322663</v>
      </c>
      <c r="G10255" s="52">
        <v>10615391</v>
      </c>
    </row>
    <row r="10256" spans="1:12" x14ac:dyDescent="0.3">
      <c r="A10256" s="45">
        <v>44505</v>
      </c>
      <c r="B10256" s="5" t="s">
        <v>107</v>
      </c>
      <c r="C10256" s="5" t="s">
        <v>8224</v>
      </c>
      <c r="D10256" s="43">
        <v>7000</v>
      </c>
      <c r="E10256" s="43"/>
      <c r="F10256" s="48">
        <f t="shared" si="169"/>
        <v>11682.661290322663</v>
      </c>
    </row>
    <row r="10257" spans="1:12" x14ac:dyDescent="0.3">
      <c r="A10257" s="45">
        <v>44506</v>
      </c>
      <c r="B10257" s="5" t="s">
        <v>84</v>
      </c>
      <c r="C10257" s="5" t="s">
        <v>8225</v>
      </c>
      <c r="D10257" s="43">
        <v>1000</v>
      </c>
      <c r="E10257" s="43"/>
      <c r="F10257" s="48">
        <f t="shared" si="169"/>
        <v>10682.661290322663</v>
      </c>
      <c r="G10257" s="52">
        <v>15767</v>
      </c>
    </row>
    <row r="10258" spans="1:12" x14ac:dyDescent="0.3">
      <c r="A10258" s="45">
        <v>44506</v>
      </c>
      <c r="B10258" s="5" t="s">
        <v>25</v>
      </c>
      <c r="C10258" s="5" t="s">
        <v>8152</v>
      </c>
      <c r="D10258" s="43">
        <v>2080</v>
      </c>
      <c r="E10258" s="43"/>
      <c r="F10258" s="48">
        <f t="shared" si="169"/>
        <v>8602.6612903226633</v>
      </c>
      <c r="G10258" s="253">
        <f>G10257/G10255*100%</f>
        <v>1.4852962081189473E-3</v>
      </c>
    </row>
    <row r="10259" spans="1:12" ht="37.5" x14ac:dyDescent="0.3">
      <c r="A10259" s="45">
        <v>44508</v>
      </c>
      <c r="B10259" s="5" t="s">
        <v>4504</v>
      </c>
      <c r="C10259" s="92" t="s">
        <v>8233</v>
      </c>
      <c r="D10259" s="43">
        <v>5000</v>
      </c>
      <c r="E10259" s="43"/>
      <c r="F10259" s="48">
        <f t="shared" si="169"/>
        <v>3602.6612903226633</v>
      </c>
    </row>
    <row r="10260" spans="1:12" ht="37.5" x14ac:dyDescent="0.3">
      <c r="A10260" s="45">
        <v>44508</v>
      </c>
      <c r="B10260" s="5" t="s">
        <v>4504</v>
      </c>
      <c r="C10260" s="92" t="s">
        <v>8234</v>
      </c>
      <c r="D10260" s="43">
        <v>3000</v>
      </c>
      <c r="E10260" s="43"/>
      <c r="F10260" s="48">
        <f t="shared" si="169"/>
        <v>602.66129032266326</v>
      </c>
    </row>
    <row r="10261" spans="1:12" x14ac:dyDescent="0.3">
      <c r="A10261" s="45">
        <v>44508</v>
      </c>
      <c r="B10261" s="5" t="s">
        <v>25</v>
      </c>
      <c r="C10261" s="5" t="s">
        <v>6049</v>
      </c>
      <c r="D10261" s="43">
        <v>100</v>
      </c>
      <c r="E10261" s="43"/>
      <c r="F10261" s="48">
        <f t="shared" si="169"/>
        <v>502.66129032266326</v>
      </c>
    </row>
    <row r="10262" spans="1:12" x14ac:dyDescent="0.3">
      <c r="A10262" s="45">
        <v>44508</v>
      </c>
      <c r="B10262" s="739" t="s">
        <v>4106</v>
      </c>
      <c r="C10262" s="739"/>
      <c r="D10262" s="739"/>
      <c r="E10262" s="43">
        <v>250000</v>
      </c>
      <c r="F10262" s="48">
        <f t="shared" si="169"/>
        <v>250502.66129032266</v>
      </c>
      <c r="I10262" s="52">
        <v>24000</v>
      </c>
      <c r="L10262" s="93"/>
    </row>
    <row r="10263" spans="1:12" x14ac:dyDescent="0.3">
      <c r="A10263" s="45">
        <v>44508</v>
      </c>
      <c r="B10263" s="739" t="s">
        <v>4106</v>
      </c>
      <c r="C10263" s="739"/>
      <c r="D10263" s="739"/>
      <c r="E10263" s="43">
        <v>250000</v>
      </c>
      <c r="F10263" s="48">
        <f t="shared" si="169"/>
        <v>500502.66129032266</v>
      </c>
      <c r="I10263" s="52">
        <v>24000</v>
      </c>
      <c r="L10263" s="93"/>
    </row>
    <row r="10264" spans="1:12" x14ac:dyDescent="0.3">
      <c r="A10264" s="45">
        <v>44508</v>
      </c>
      <c r="B10264" s="61" t="s">
        <v>54</v>
      </c>
      <c r="C10264" s="61" t="s">
        <v>8245</v>
      </c>
      <c r="D10264" s="62">
        <v>111016</v>
      </c>
      <c r="E10264" s="43"/>
      <c r="F10264" s="48">
        <f t="shared" si="169"/>
        <v>389486.66129032266</v>
      </c>
    </row>
    <row r="10265" spans="1:12" x14ac:dyDescent="0.3">
      <c r="A10265" s="45">
        <v>44508</v>
      </c>
      <c r="B10265" s="61" t="s">
        <v>54</v>
      </c>
      <c r="C10265" s="61" t="s">
        <v>8236</v>
      </c>
      <c r="D10265" s="62">
        <v>37544</v>
      </c>
      <c r="E10265" s="43"/>
      <c r="F10265" s="48">
        <f t="shared" si="169"/>
        <v>351942.66129032266</v>
      </c>
    </row>
    <row r="10266" spans="1:12" x14ac:dyDescent="0.3">
      <c r="A10266" s="45">
        <v>44508</v>
      </c>
      <c r="B10266" s="61" t="s">
        <v>54</v>
      </c>
      <c r="C10266" s="61" t="s">
        <v>8240</v>
      </c>
      <c r="D10266" s="62">
        <v>77502</v>
      </c>
      <c r="E10266" s="43"/>
      <c r="F10266" s="48">
        <f t="shared" si="169"/>
        <v>274440.66129032266</v>
      </c>
    </row>
    <row r="10267" spans="1:12" x14ac:dyDescent="0.3">
      <c r="A10267" s="45">
        <v>44508</v>
      </c>
      <c r="B10267" s="61" t="s">
        <v>54</v>
      </c>
      <c r="C10267" s="61" t="s">
        <v>8237</v>
      </c>
      <c r="D10267" s="62">
        <v>81065</v>
      </c>
      <c r="E10267" s="43"/>
      <c r="F10267" s="48">
        <f t="shared" si="169"/>
        <v>193375.66129032266</v>
      </c>
    </row>
    <row r="10268" spans="1:12" x14ac:dyDescent="0.3">
      <c r="A10268" s="45">
        <v>44508</v>
      </c>
      <c r="B10268" s="61" t="s">
        <v>54</v>
      </c>
      <c r="C10268" s="61" t="s">
        <v>8238</v>
      </c>
      <c r="D10268" s="62">
        <v>58355</v>
      </c>
      <c r="E10268" s="43"/>
      <c r="F10268" s="48">
        <f t="shared" si="169"/>
        <v>135020.66129032266</v>
      </c>
    </row>
    <row r="10269" spans="1:12" x14ac:dyDescent="0.3">
      <c r="A10269" s="45">
        <v>44508</v>
      </c>
      <c r="B10269" s="61" t="s">
        <v>54</v>
      </c>
      <c r="C10269" s="61" t="s">
        <v>8239</v>
      </c>
      <c r="D10269" s="62">
        <v>104403</v>
      </c>
      <c r="E10269" s="43"/>
      <c r="F10269" s="48">
        <f t="shared" si="169"/>
        <v>30617.661290322663</v>
      </c>
      <c r="H10269" s="52" t="s">
        <v>8235</v>
      </c>
    </row>
    <row r="10270" spans="1:12" x14ac:dyDescent="0.3">
      <c r="A10270" s="45">
        <v>44508</v>
      </c>
      <c r="B10270" s="5" t="s">
        <v>5162</v>
      </c>
      <c r="C10270" s="5" t="s">
        <v>8242</v>
      </c>
      <c r="D10270" s="43">
        <v>600</v>
      </c>
      <c r="E10270" s="43"/>
      <c r="F10270" s="48">
        <f t="shared" si="169"/>
        <v>30017.661290322663</v>
      </c>
      <c r="H10270" s="52" t="s">
        <v>567</v>
      </c>
    </row>
    <row r="10271" spans="1:12" x14ac:dyDescent="0.3">
      <c r="A10271" s="45">
        <v>44509</v>
      </c>
      <c r="B10271" s="5" t="s">
        <v>6430</v>
      </c>
      <c r="C10271" s="5" t="s">
        <v>294</v>
      </c>
      <c r="D10271" s="43">
        <v>10000</v>
      </c>
      <c r="E10271" s="43"/>
      <c r="F10271" s="48">
        <f t="shared" si="169"/>
        <v>20017.661290322663</v>
      </c>
      <c r="H10271" s="52" t="s">
        <v>629</v>
      </c>
    </row>
    <row r="10272" spans="1:12" x14ac:dyDescent="0.3">
      <c r="A10272" s="45">
        <v>44509</v>
      </c>
      <c r="B10272" s="5" t="s">
        <v>25</v>
      </c>
      <c r="C10272" s="5" t="s">
        <v>8241</v>
      </c>
      <c r="D10272" s="43">
        <v>2170</v>
      </c>
      <c r="E10272" s="43"/>
      <c r="F10272" s="48">
        <f t="shared" si="169"/>
        <v>17847.661290322663</v>
      </c>
      <c r="H10272" s="52">
        <v>2180</v>
      </c>
    </row>
    <row r="10273" spans="1:12" x14ac:dyDescent="0.3">
      <c r="A10273" s="45">
        <v>44509</v>
      </c>
      <c r="B10273" s="5" t="s">
        <v>14</v>
      </c>
      <c r="C10273" s="5" t="s">
        <v>294</v>
      </c>
      <c r="D10273" s="43">
        <v>15000</v>
      </c>
      <c r="E10273" s="43"/>
      <c r="F10273" s="48">
        <f t="shared" si="169"/>
        <v>2847.6612903226633</v>
      </c>
    </row>
    <row r="10274" spans="1:12" x14ac:dyDescent="0.3">
      <c r="A10274" s="45">
        <v>44509</v>
      </c>
      <c r="B10274" s="73" t="s">
        <v>25</v>
      </c>
      <c r="C10274" s="73" t="s">
        <v>6049</v>
      </c>
      <c r="D10274" s="183">
        <v>350</v>
      </c>
      <c r="E10274" s="43"/>
      <c r="F10274" s="48">
        <f t="shared" si="169"/>
        <v>2497.6612903226633</v>
      </c>
    </row>
    <row r="10275" spans="1:12" x14ac:dyDescent="0.3">
      <c r="A10275" s="45">
        <v>44510</v>
      </c>
      <c r="B10275" s="739" t="s">
        <v>7440</v>
      </c>
      <c r="C10275" s="739"/>
      <c r="D10275" s="739"/>
      <c r="E10275" s="43">
        <v>10000</v>
      </c>
      <c r="F10275" s="48">
        <f t="shared" si="169"/>
        <v>12497.661290322663</v>
      </c>
      <c r="I10275" s="52">
        <v>24000</v>
      </c>
      <c r="L10275" s="93"/>
    </row>
    <row r="10276" spans="1:12" x14ac:dyDescent="0.3">
      <c r="A10276" s="45">
        <v>44510</v>
      </c>
      <c r="B10276" s="5" t="s">
        <v>57</v>
      </c>
      <c r="C10276" s="5" t="s">
        <v>294</v>
      </c>
      <c r="D10276" s="43">
        <v>10000</v>
      </c>
      <c r="E10276" s="43"/>
      <c r="F10276" s="48">
        <f t="shared" si="169"/>
        <v>2497.6612903226633</v>
      </c>
    </row>
    <row r="10277" spans="1:12" x14ac:dyDescent="0.3">
      <c r="A10277" s="45">
        <v>44511</v>
      </c>
      <c r="B10277" s="739" t="s">
        <v>7440</v>
      </c>
      <c r="C10277" s="739"/>
      <c r="D10277" s="739"/>
      <c r="E10277" s="43">
        <v>100000</v>
      </c>
      <c r="F10277" s="48">
        <f t="shared" ref="F10277:F10340" si="170">F10276+E10277-D10277</f>
        <v>102497.66129032266</v>
      </c>
      <c r="I10277" s="52">
        <v>24000</v>
      </c>
      <c r="L10277" s="93"/>
    </row>
    <row r="10278" spans="1:12" x14ac:dyDescent="0.3">
      <c r="A10278" s="45">
        <v>44510</v>
      </c>
      <c r="B10278" s="5" t="s">
        <v>1616</v>
      </c>
      <c r="C10278" s="5" t="s">
        <v>8246</v>
      </c>
      <c r="D10278" s="43">
        <v>4500</v>
      </c>
      <c r="E10278" s="43"/>
      <c r="F10278" s="48">
        <f t="shared" si="170"/>
        <v>97997.661290322663</v>
      </c>
    </row>
    <row r="10279" spans="1:12" x14ac:dyDescent="0.3">
      <c r="A10279" s="45">
        <v>44511</v>
      </c>
      <c r="B10279" s="5" t="s">
        <v>25</v>
      </c>
      <c r="C10279" s="5" t="s">
        <v>8249</v>
      </c>
      <c r="D10279" s="43">
        <v>1680</v>
      </c>
      <c r="E10279" s="43"/>
      <c r="F10279" s="48">
        <f t="shared" si="170"/>
        <v>96317.661290322663</v>
      </c>
    </row>
    <row r="10280" spans="1:12" x14ac:dyDescent="0.3">
      <c r="A10280" s="45">
        <v>44511</v>
      </c>
      <c r="B10280" s="5" t="s">
        <v>36</v>
      </c>
      <c r="C10280" s="5" t="s">
        <v>8250</v>
      </c>
      <c r="D10280" s="43">
        <v>3000</v>
      </c>
      <c r="E10280" s="43"/>
      <c r="F10280" s="48">
        <f t="shared" si="170"/>
        <v>93317.661290322663</v>
      </c>
    </row>
    <row r="10281" spans="1:12" x14ac:dyDescent="0.3">
      <c r="A10281" s="45">
        <v>44511</v>
      </c>
      <c r="B10281" s="73" t="s">
        <v>25</v>
      </c>
      <c r="C10281" s="73" t="s">
        <v>6049</v>
      </c>
      <c r="D10281" s="183">
        <v>150</v>
      </c>
      <c r="E10281" s="183"/>
      <c r="F10281" s="48">
        <f t="shared" si="170"/>
        <v>93167.661290322663</v>
      </c>
    </row>
    <row r="10282" spans="1:12" x14ac:dyDescent="0.3">
      <c r="A10282" s="45">
        <v>44511</v>
      </c>
      <c r="B10282" s="73" t="s">
        <v>25</v>
      </c>
      <c r="C10282" s="5" t="s">
        <v>294</v>
      </c>
      <c r="D10282" s="43">
        <v>7000</v>
      </c>
      <c r="E10282" s="43"/>
      <c r="F10282" s="48">
        <f t="shared" si="170"/>
        <v>86167.661290322663</v>
      </c>
      <c r="H10282" s="52">
        <v>3676000</v>
      </c>
    </row>
    <row r="10283" spans="1:12" x14ac:dyDescent="0.3">
      <c r="A10283" s="45">
        <v>44511</v>
      </c>
      <c r="B10283" s="5" t="s">
        <v>5709</v>
      </c>
      <c r="C10283" s="5" t="s">
        <v>294</v>
      </c>
      <c r="D10283" s="43">
        <v>4000</v>
      </c>
      <c r="E10283" s="43"/>
      <c r="F10283" s="48">
        <f t="shared" si="170"/>
        <v>82167.661290322663</v>
      </c>
      <c r="H10283" s="52">
        <f>H10282*35%</f>
        <v>1286600</v>
      </c>
    </row>
    <row r="10284" spans="1:12" x14ac:dyDescent="0.3">
      <c r="A10284" s="45">
        <v>44511</v>
      </c>
      <c r="B10284" s="5" t="s">
        <v>8252</v>
      </c>
      <c r="C10284" s="5" t="s">
        <v>8253</v>
      </c>
      <c r="D10284" s="43">
        <v>12000</v>
      </c>
      <c r="E10284" s="43"/>
      <c r="F10284" s="48">
        <f t="shared" si="170"/>
        <v>70167.661290322663</v>
      </c>
    </row>
    <row r="10285" spans="1:12" x14ac:dyDescent="0.3">
      <c r="A10285" s="45">
        <v>44511</v>
      </c>
      <c r="B10285" s="5" t="s">
        <v>14</v>
      </c>
      <c r="C10285" s="5" t="s">
        <v>294</v>
      </c>
      <c r="D10285" s="43">
        <v>1000</v>
      </c>
      <c r="E10285" s="43"/>
      <c r="F10285" s="48">
        <f t="shared" si="170"/>
        <v>69167.661290322663</v>
      </c>
      <c r="H10285" s="52">
        <f>H10282-H10283</f>
        <v>2389400</v>
      </c>
    </row>
    <row r="10286" spans="1:12" x14ac:dyDescent="0.3">
      <c r="A10286" s="45">
        <v>44512</v>
      </c>
      <c r="B10286" s="5" t="s">
        <v>14</v>
      </c>
      <c r="C10286" s="5" t="s">
        <v>8254</v>
      </c>
      <c r="D10286" s="43">
        <v>65000</v>
      </c>
      <c r="E10286" s="43"/>
      <c r="F10286" s="48">
        <f t="shared" si="170"/>
        <v>4167.6612903226633</v>
      </c>
    </row>
    <row r="10287" spans="1:12" x14ac:dyDescent="0.3">
      <c r="A10287" s="45">
        <v>44512</v>
      </c>
      <c r="B10287" s="739" t="s">
        <v>7440</v>
      </c>
      <c r="C10287" s="739"/>
      <c r="D10287" s="739"/>
      <c r="E10287" s="43">
        <v>200000</v>
      </c>
      <c r="F10287" s="48">
        <f t="shared" si="170"/>
        <v>204167.66129032266</v>
      </c>
      <c r="I10287" s="52">
        <v>24000</v>
      </c>
      <c r="L10287" s="93"/>
    </row>
    <row r="10288" spans="1:12" x14ac:dyDescent="0.3">
      <c r="A10288" s="45">
        <v>44512</v>
      </c>
      <c r="B10288" s="61" t="s">
        <v>54</v>
      </c>
      <c r="C10288" s="61" t="s">
        <v>8255</v>
      </c>
      <c r="D10288" s="62">
        <v>28500</v>
      </c>
      <c r="E10288" s="43"/>
      <c r="F10288" s="48">
        <f t="shared" si="170"/>
        <v>175667.66129032266</v>
      </c>
      <c r="H10288" s="52" t="s">
        <v>8235</v>
      </c>
    </row>
    <row r="10289" spans="1:12" x14ac:dyDescent="0.3">
      <c r="A10289" s="45">
        <v>44512</v>
      </c>
      <c r="B10289" s="5" t="s">
        <v>4550</v>
      </c>
      <c r="C10289" s="5" t="s">
        <v>8256</v>
      </c>
      <c r="D10289" s="43">
        <v>25000</v>
      </c>
      <c r="E10289" s="43"/>
      <c r="F10289" s="48">
        <f t="shared" si="170"/>
        <v>150667.66129032266</v>
      </c>
    </row>
    <row r="10290" spans="1:12" x14ac:dyDescent="0.3">
      <c r="A10290" s="45">
        <v>44512</v>
      </c>
      <c r="B10290" s="5" t="s">
        <v>1012</v>
      </c>
      <c r="C10290" s="5" t="s">
        <v>8257</v>
      </c>
      <c r="D10290" s="43">
        <v>22000</v>
      </c>
      <c r="E10290" s="43"/>
      <c r="F10290" s="48">
        <f t="shared" si="170"/>
        <v>128667.66129032266</v>
      </c>
    </row>
    <row r="10291" spans="1:12" x14ac:dyDescent="0.3">
      <c r="A10291" s="45">
        <v>44512</v>
      </c>
      <c r="B10291" s="5" t="s">
        <v>84</v>
      </c>
      <c r="C10291" s="5" t="s">
        <v>8259</v>
      </c>
      <c r="D10291" s="43">
        <v>10000</v>
      </c>
      <c r="E10291" s="43"/>
      <c r="F10291" s="48">
        <f t="shared" si="170"/>
        <v>118667.66129032266</v>
      </c>
      <c r="G10291" s="52">
        <v>15767</v>
      </c>
    </row>
    <row r="10292" spans="1:12" x14ac:dyDescent="0.3">
      <c r="A10292" s="45">
        <v>44513</v>
      </c>
      <c r="B10292" s="5" t="s">
        <v>14</v>
      </c>
      <c r="C10292" s="5" t="s">
        <v>640</v>
      </c>
      <c r="D10292" s="43">
        <v>1000</v>
      </c>
      <c r="E10292" s="43"/>
      <c r="F10292" s="48">
        <f t="shared" si="170"/>
        <v>117667.66129032266</v>
      </c>
    </row>
    <row r="10293" spans="1:12" x14ac:dyDescent="0.3">
      <c r="A10293" s="45">
        <v>44513</v>
      </c>
      <c r="B10293" s="739" t="s">
        <v>8272</v>
      </c>
      <c r="C10293" s="739"/>
      <c r="D10293" s="739"/>
      <c r="E10293" s="43">
        <v>4000</v>
      </c>
      <c r="F10293" s="48">
        <f t="shared" si="170"/>
        <v>121667.66129032266</v>
      </c>
      <c r="I10293" s="52">
        <v>24000</v>
      </c>
      <c r="L10293" s="93"/>
    </row>
    <row r="10294" spans="1:12" x14ac:dyDescent="0.3">
      <c r="A10294" s="45">
        <v>44513</v>
      </c>
      <c r="B10294" s="739" t="s">
        <v>8260</v>
      </c>
      <c r="C10294" s="739"/>
      <c r="D10294" s="739"/>
      <c r="E10294" s="43">
        <v>500</v>
      </c>
      <c r="F10294" s="48">
        <f t="shared" si="170"/>
        <v>122167.66129032266</v>
      </c>
      <c r="I10294" s="52">
        <v>24000</v>
      </c>
      <c r="L10294" s="93"/>
    </row>
    <row r="10295" spans="1:12" x14ac:dyDescent="0.3">
      <c r="A10295" s="45">
        <v>44513</v>
      </c>
      <c r="B10295" s="5" t="s">
        <v>14</v>
      </c>
      <c r="C10295" s="5" t="s">
        <v>294</v>
      </c>
      <c r="D10295" s="43">
        <v>25000</v>
      </c>
      <c r="E10295" s="43"/>
      <c r="F10295" s="48">
        <f t="shared" si="170"/>
        <v>97167.661290322663</v>
      </c>
    </row>
    <row r="10296" spans="1:12" x14ac:dyDescent="0.3">
      <c r="A10296" s="45">
        <v>44513</v>
      </c>
      <c r="B10296" s="5" t="s">
        <v>25</v>
      </c>
      <c r="C10296" s="5" t="s">
        <v>64</v>
      </c>
      <c r="D10296" s="43">
        <v>1000</v>
      </c>
      <c r="E10296" s="43"/>
      <c r="F10296" s="48">
        <f t="shared" si="170"/>
        <v>96167.661290322663</v>
      </c>
    </row>
    <row r="10297" spans="1:12" x14ac:dyDescent="0.3">
      <c r="A10297" s="45">
        <v>44513</v>
      </c>
      <c r="B10297" s="5" t="s">
        <v>2995</v>
      </c>
      <c r="C10297" s="5" t="s">
        <v>8267</v>
      </c>
      <c r="D10297" s="43">
        <v>26000</v>
      </c>
      <c r="E10297" s="43"/>
      <c r="F10297" s="48">
        <f t="shared" si="170"/>
        <v>70167.661290322663</v>
      </c>
    </row>
    <row r="10298" spans="1:12" x14ac:dyDescent="0.3">
      <c r="A10298" s="45">
        <v>44513</v>
      </c>
      <c r="B10298" s="5" t="s">
        <v>6341</v>
      </c>
      <c r="C10298" s="5" t="s">
        <v>8271</v>
      </c>
      <c r="D10298" s="43">
        <v>20000</v>
      </c>
      <c r="F10298" s="48">
        <f t="shared" si="170"/>
        <v>50167.661290322663</v>
      </c>
    </row>
    <row r="10299" spans="1:12" x14ac:dyDescent="0.3">
      <c r="A10299" s="45">
        <v>44513</v>
      </c>
      <c r="B10299" s="5" t="s">
        <v>6341</v>
      </c>
      <c r="C10299" s="5" t="s">
        <v>8270</v>
      </c>
      <c r="D10299" s="43">
        <v>10000</v>
      </c>
      <c r="E10299" s="43"/>
      <c r="F10299" s="48">
        <f t="shared" si="170"/>
        <v>40167.661290322663</v>
      </c>
    </row>
    <row r="10300" spans="1:12" x14ac:dyDescent="0.3">
      <c r="A10300" s="45">
        <v>44514</v>
      </c>
      <c r="B10300" s="5" t="s">
        <v>1074</v>
      </c>
      <c r="C10300" s="5" t="s">
        <v>8274</v>
      </c>
      <c r="D10300" s="43">
        <f>5240+1290</f>
        <v>6530</v>
      </c>
      <c r="E10300" s="43"/>
      <c r="F10300" s="48">
        <f t="shared" si="170"/>
        <v>33637.661290322663</v>
      </c>
    </row>
    <row r="10301" spans="1:12" x14ac:dyDescent="0.3">
      <c r="A10301" s="45">
        <v>44514</v>
      </c>
      <c r="B10301" s="5" t="s">
        <v>1074</v>
      </c>
      <c r="C10301" s="5" t="s">
        <v>8273</v>
      </c>
      <c r="D10301" s="43">
        <f>1340+2090</f>
        <v>3430</v>
      </c>
      <c r="E10301" s="43"/>
      <c r="F10301" s="48">
        <f t="shared" si="170"/>
        <v>30207.661290322663</v>
      </c>
      <c r="G10301" s="52">
        <f>INDEX(D10295:D10306,MATCH(B10306,B10295:B10306,0))</f>
        <v>1000</v>
      </c>
    </row>
    <row r="10302" spans="1:12" x14ac:dyDescent="0.3">
      <c r="A10302" s="45">
        <v>44514</v>
      </c>
      <c r="B10302" s="5" t="s">
        <v>57</v>
      </c>
      <c r="C10302" s="5" t="s">
        <v>294</v>
      </c>
      <c r="D10302" s="43">
        <v>10000</v>
      </c>
      <c r="E10302" s="43"/>
      <c r="F10302" s="48">
        <f t="shared" si="170"/>
        <v>20207.661290322663</v>
      </c>
    </row>
    <row r="10303" spans="1:12" x14ac:dyDescent="0.3">
      <c r="A10303" s="45">
        <v>44514</v>
      </c>
      <c r="B10303" s="5" t="s">
        <v>6430</v>
      </c>
      <c r="C10303" s="5" t="s">
        <v>294</v>
      </c>
      <c r="D10303" s="43">
        <v>2000</v>
      </c>
      <c r="E10303" s="43"/>
      <c r="F10303" s="48">
        <f t="shared" si="170"/>
        <v>18207.661290322663</v>
      </c>
    </row>
    <row r="10304" spans="1:12" x14ac:dyDescent="0.3">
      <c r="A10304" s="45">
        <v>44514</v>
      </c>
      <c r="B10304" s="5" t="s">
        <v>4247</v>
      </c>
      <c r="C10304" s="5" t="s">
        <v>8276</v>
      </c>
      <c r="D10304" s="43">
        <v>10000</v>
      </c>
      <c r="E10304" s="43"/>
      <c r="F10304" s="48">
        <f t="shared" si="170"/>
        <v>8207.6612903226633</v>
      </c>
    </row>
    <row r="10305" spans="1:12" x14ac:dyDescent="0.3">
      <c r="A10305" s="45">
        <v>44514</v>
      </c>
      <c r="B10305" s="5" t="s">
        <v>3724</v>
      </c>
      <c r="C10305" s="5" t="s">
        <v>40</v>
      </c>
      <c r="D10305" s="43">
        <v>4200</v>
      </c>
      <c r="E10305" s="43"/>
      <c r="F10305" s="48">
        <f t="shared" si="170"/>
        <v>4007.6612903226633</v>
      </c>
    </row>
    <row r="10306" spans="1:12" x14ac:dyDescent="0.3">
      <c r="A10306" s="45">
        <v>44514</v>
      </c>
      <c r="B10306" s="73" t="s">
        <v>25</v>
      </c>
      <c r="C10306" s="73" t="s">
        <v>6049</v>
      </c>
      <c r="D10306" s="183">
        <v>100</v>
      </c>
      <c r="E10306" s="183"/>
      <c r="F10306" s="48">
        <f t="shared" si="170"/>
        <v>3907.6612903226633</v>
      </c>
    </row>
    <row r="10307" spans="1:12" x14ac:dyDescent="0.3">
      <c r="A10307" s="45">
        <v>44516</v>
      </c>
      <c r="B10307" s="739" t="s">
        <v>7440</v>
      </c>
      <c r="C10307" s="739"/>
      <c r="D10307" s="739"/>
      <c r="E10307" s="43">
        <v>20000</v>
      </c>
      <c r="F10307" s="48">
        <f t="shared" si="170"/>
        <v>23907.661290322663</v>
      </c>
      <c r="I10307" s="52">
        <v>24000</v>
      </c>
      <c r="L10307" s="93"/>
    </row>
    <row r="10308" spans="1:12" x14ac:dyDescent="0.3">
      <c r="A10308" s="45">
        <v>44516</v>
      </c>
      <c r="B10308" s="5" t="s">
        <v>8282</v>
      </c>
      <c r="C10308" s="5" t="s">
        <v>8283</v>
      </c>
      <c r="D10308" s="43">
        <f>4500+3000</f>
        <v>7500</v>
      </c>
      <c r="E10308" s="43"/>
      <c r="F10308" s="48">
        <f t="shared" si="170"/>
        <v>16407.661290322663</v>
      </c>
    </row>
    <row r="10309" spans="1:12" x14ac:dyDescent="0.3">
      <c r="A10309" s="45">
        <v>44516</v>
      </c>
      <c r="B10309" s="5" t="s">
        <v>25</v>
      </c>
      <c r="C10309" s="5" t="s">
        <v>8291</v>
      </c>
      <c r="D10309" s="43">
        <v>2900</v>
      </c>
      <c r="E10309" s="43"/>
      <c r="F10309" s="48">
        <f t="shared" si="170"/>
        <v>13507.661290322663</v>
      </c>
    </row>
    <row r="10310" spans="1:12" x14ac:dyDescent="0.3">
      <c r="A10310" s="45">
        <v>44516</v>
      </c>
      <c r="B10310" s="5" t="s">
        <v>57</v>
      </c>
      <c r="C10310" s="5" t="s">
        <v>294</v>
      </c>
      <c r="D10310" s="43">
        <v>5000</v>
      </c>
      <c r="E10310" s="43"/>
      <c r="F10310" s="48">
        <f t="shared" si="170"/>
        <v>8507.6612903226633</v>
      </c>
    </row>
    <row r="10311" spans="1:12" x14ac:dyDescent="0.3">
      <c r="A10311" s="45">
        <v>44517</v>
      </c>
      <c r="B10311" s="5" t="s">
        <v>57</v>
      </c>
      <c r="C10311" s="5" t="s">
        <v>8287</v>
      </c>
      <c r="D10311" s="43">
        <v>5000</v>
      </c>
      <c r="E10311" s="43"/>
      <c r="F10311" s="48">
        <f t="shared" si="170"/>
        <v>3507.6612903226633</v>
      </c>
    </row>
    <row r="10312" spans="1:12" x14ac:dyDescent="0.3">
      <c r="A10312" s="45">
        <v>44517</v>
      </c>
      <c r="B10312" s="739" t="s">
        <v>8290</v>
      </c>
      <c r="C10312" s="739"/>
      <c r="D10312" s="739"/>
      <c r="E10312" s="43">
        <v>20000</v>
      </c>
      <c r="F10312" s="48">
        <f t="shared" si="170"/>
        <v>23507.661290322663</v>
      </c>
      <c r="I10312" s="52">
        <v>24000</v>
      </c>
      <c r="L10312" s="93"/>
    </row>
    <row r="10313" spans="1:12" x14ac:dyDescent="0.3">
      <c r="A10313" s="45">
        <v>44517</v>
      </c>
      <c r="B10313" s="5" t="s">
        <v>57</v>
      </c>
      <c r="C10313" s="5" t="s">
        <v>8292</v>
      </c>
      <c r="D10313" s="43">
        <v>5000</v>
      </c>
      <c r="E10313" s="43"/>
      <c r="F10313" s="48">
        <f t="shared" si="170"/>
        <v>18507.661290322663</v>
      </c>
    </row>
    <row r="10314" spans="1:12" x14ac:dyDescent="0.3">
      <c r="A10314" s="45">
        <v>44517</v>
      </c>
      <c r="B10314" s="5" t="s">
        <v>57</v>
      </c>
      <c r="C10314" s="5" t="s">
        <v>8288</v>
      </c>
      <c r="D10314" s="43">
        <v>5000</v>
      </c>
      <c r="E10314" s="43"/>
      <c r="F10314" s="48">
        <f t="shared" si="170"/>
        <v>13507.661290322663</v>
      </c>
    </row>
    <row r="10315" spans="1:12" x14ac:dyDescent="0.3">
      <c r="A10315" s="45">
        <v>44517</v>
      </c>
      <c r="B10315" s="5" t="s">
        <v>57</v>
      </c>
      <c r="C10315" s="5" t="s">
        <v>8293</v>
      </c>
      <c r="D10315" s="43">
        <v>2000</v>
      </c>
      <c r="E10315" s="43"/>
      <c r="F10315" s="48">
        <f t="shared" si="170"/>
        <v>11507.661290322663</v>
      </c>
    </row>
    <row r="10316" spans="1:12" x14ac:dyDescent="0.3">
      <c r="A10316" s="45">
        <v>44518</v>
      </c>
      <c r="B10316" s="5" t="s">
        <v>1616</v>
      </c>
      <c r="C10316" s="5" t="s">
        <v>3904</v>
      </c>
      <c r="D10316" s="43">
        <v>600</v>
      </c>
      <c r="E10316" s="43"/>
      <c r="F10316" s="48">
        <f t="shared" si="170"/>
        <v>10907.661290322663</v>
      </c>
    </row>
    <row r="10317" spans="1:12" x14ac:dyDescent="0.3">
      <c r="A10317" s="45">
        <v>44518</v>
      </c>
      <c r="B10317" s="739" t="s">
        <v>7440</v>
      </c>
      <c r="C10317" s="739"/>
      <c r="D10317" s="739"/>
      <c r="E10317" s="43">
        <v>100000</v>
      </c>
      <c r="F10317" s="48">
        <f t="shared" si="170"/>
        <v>110907.66129032266</v>
      </c>
      <c r="I10317" s="52">
        <v>24000</v>
      </c>
      <c r="L10317" s="93"/>
    </row>
    <row r="10318" spans="1:12" x14ac:dyDescent="0.3">
      <c r="A10318" s="45">
        <v>44518</v>
      </c>
      <c r="B10318" s="5" t="s">
        <v>7571</v>
      </c>
      <c r="C10318" s="5" t="s">
        <v>8550</v>
      </c>
      <c r="D10318" s="43">
        <v>20000</v>
      </c>
      <c r="E10318" s="43"/>
      <c r="F10318" s="48">
        <f t="shared" si="170"/>
        <v>90907.661290322663</v>
      </c>
    </row>
    <row r="10319" spans="1:12" x14ac:dyDescent="0.3">
      <c r="A10319" s="45">
        <v>44518</v>
      </c>
      <c r="B10319" s="5" t="s">
        <v>68</v>
      </c>
      <c r="C10319" s="5" t="s">
        <v>8551</v>
      </c>
      <c r="D10319" s="43">
        <v>5000</v>
      </c>
      <c r="E10319" s="43"/>
      <c r="F10319" s="48">
        <f t="shared" si="170"/>
        <v>85907.661290322663</v>
      </c>
      <c r="G10319" s="4"/>
    </row>
    <row r="10320" spans="1:12" x14ac:dyDescent="0.3">
      <c r="A10320" s="45">
        <v>44519</v>
      </c>
      <c r="B10320" s="5" t="s">
        <v>4504</v>
      </c>
      <c r="C10320" s="5" t="s">
        <v>8552</v>
      </c>
      <c r="D10320" s="43">
        <v>15000</v>
      </c>
      <c r="E10320" s="43"/>
      <c r="F10320" s="48">
        <f t="shared" si="170"/>
        <v>70907.661290322663</v>
      </c>
      <c r="G10320" s="4"/>
    </row>
    <row r="10321" spans="1:12" x14ac:dyDescent="0.3">
      <c r="A10321" s="45">
        <v>44519</v>
      </c>
      <c r="B10321" s="5" t="s">
        <v>8553</v>
      </c>
      <c r="C10321" s="5" t="s">
        <v>2013</v>
      </c>
      <c r="D10321" s="43">
        <v>250</v>
      </c>
      <c r="E10321" s="43"/>
      <c r="F10321" s="48">
        <f t="shared" si="170"/>
        <v>70657.661290322663</v>
      </c>
      <c r="G10321" s="4"/>
    </row>
    <row r="10322" spans="1:12" x14ac:dyDescent="0.3">
      <c r="A10322" s="45">
        <v>44519</v>
      </c>
      <c r="B10322" s="5" t="s">
        <v>14</v>
      </c>
      <c r="C10322" s="5" t="s">
        <v>294</v>
      </c>
      <c r="D10322" s="43">
        <v>25000</v>
      </c>
      <c r="E10322" s="43"/>
      <c r="F10322" s="48">
        <f t="shared" si="170"/>
        <v>45657.661290322663</v>
      </c>
      <c r="G10322" s="4"/>
    </row>
    <row r="10323" spans="1:12" x14ac:dyDescent="0.3">
      <c r="A10323" s="45">
        <v>44520</v>
      </c>
      <c r="B10323" s="5" t="s">
        <v>14</v>
      </c>
      <c r="C10323" s="5" t="s">
        <v>294</v>
      </c>
      <c r="D10323" s="43">
        <v>20000</v>
      </c>
      <c r="E10323" s="43"/>
      <c r="F10323" s="48">
        <f t="shared" si="170"/>
        <v>25657.661290322663</v>
      </c>
      <c r="G10323" s="4"/>
    </row>
    <row r="10324" spans="1:12" x14ac:dyDescent="0.3">
      <c r="A10324" s="45">
        <v>44520</v>
      </c>
      <c r="B10324" s="5" t="s">
        <v>25</v>
      </c>
      <c r="C10324" s="5" t="s">
        <v>8291</v>
      </c>
      <c r="D10324" s="43">
        <v>1600</v>
      </c>
      <c r="E10324" s="43"/>
      <c r="F10324" s="48">
        <f t="shared" si="170"/>
        <v>24057.661290322663</v>
      </c>
      <c r="G10324" s="4"/>
    </row>
    <row r="10325" spans="1:12" x14ac:dyDescent="0.3">
      <c r="A10325" s="45">
        <v>44522</v>
      </c>
      <c r="B10325" s="61" t="s">
        <v>8560</v>
      </c>
      <c r="C10325" s="61" t="s">
        <v>8561</v>
      </c>
      <c r="D10325" s="62">
        <v>23000</v>
      </c>
      <c r="E10325" s="43"/>
      <c r="F10325" s="48">
        <f t="shared" si="170"/>
        <v>1057.6612903226633</v>
      </c>
      <c r="G10325" s="4"/>
    </row>
    <row r="10326" spans="1:12" x14ac:dyDescent="0.3">
      <c r="A10326" s="45">
        <v>44522</v>
      </c>
      <c r="B10326" s="5" t="s">
        <v>6154</v>
      </c>
      <c r="C10326" s="5" t="s">
        <v>8562</v>
      </c>
      <c r="D10326" s="43">
        <v>200</v>
      </c>
      <c r="E10326" s="43"/>
      <c r="F10326" s="48">
        <f t="shared" si="170"/>
        <v>857.66129032266326</v>
      </c>
      <c r="G10326" s="4"/>
    </row>
    <row r="10327" spans="1:12" x14ac:dyDescent="0.3">
      <c r="A10327" s="45">
        <v>44522</v>
      </c>
      <c r="B10327" s="739" t="s">
        <v>7440</v>
      </c>
      <c r="C10327" s="739"/>
      <c r="D10327" s="739"/>
      <c r="E10327" s="43">
        <v>100000</v>
      </c>
      <c r="F10327" s="48">
        <f t="shared" si="170"/>
        <v>100857.66129032266</v>
      </c>
      <c r="I10327" s="52">
        <v>24000</v>
      </c>
      <c r="L10327" s="93"/>
    </row>
    <row r="10328" spans="1:12" x14ac:dyDescent="0.3">
      <c r="A10328" s="45">
        <v>44522</v>
      </c>
      <c r="B10328" s="5" t="s">
        <v>3554</v>
      </c>
      <c r="C10328" s="5" t="s">
        <v>8050</v>
      </c>
      <c r="D10328" s="43">
        <v>5000</v>
      </c>
      <c r="E10328" s="43"/>
      <c r="F10328" s="48">
        <f t="shared" si="170"/>
        <v>95857.661290322663</v>
      </c>
      <c r="G10328" s="4"/>
    </row>
    <row r="10329" spans="1:12" x14ac:dyDescent="0.3">
      <c r="A10329" s="45">
        <v>44522</v>
      </c>
      <c r="B10329" s="41" t="s">
        <v>3554</v>
      </c>
      <c r="C10329" s="41" t="s">
        <v>8563</v>
      </c>
      <c r="D10329" s="42">
        <v>15000</v>
      </c>
      <c r="E10329" s="43"/>
      <c r="F10329" s="48">
        <f t="shared" si="170"/>
        <v>80857.661290322663</v>
      </c>
      <c r="G10329" s="4"/>
    </row>
    <row r="10330" spans="1:12" x14ac:dyDescent="0.3">
      <c r="A10330" s="45">
        <v>44522</v>
      </c>
      <c r="B10330" s="5" t="s">
        <v>5156</v>
      </c>
      <c r="C10330" s="5" t="s">
        <v>8564</v>
      </c>
      <c r="D10330" s="43">
        <v>1360</v>
      </c>
      <c r="E10330" s="43"/>
      <c r="F10330" s="48">
        <f t="shared" si="170"/>
        <v>79497.661290322663</v>
      </c>
      <c r="G10330" s="4"/>
    </row>
    <row r="10331" spans="1:12" x14ac:dyDescent="0.3">
      <c r="A10331" s="45">
        <v>44522</v>
      </c>
      <c r="B10331" s="5" t="s">
        <v>1012</v>
      </c>
      <c r="C10331" s="5" t="s">
        <v>8565</v>
      </c>
      <c r="D10331" s="43">
        <v>10000</v>
      </c>
      <c r="E10331" s="43"/>
      <c r="F10331" s="48">
        <f t="shared" si="170"/>
        <v>69497.661290322663</v>
      </c>
      <c r="G10331" s="4"/>
    </row>
    <row r="10332" spans="1:12" x14ac:dyDescent="0.3">
      <c r="A10332" s="45">
        <v>44522</v>
      </c>
      <c r="B10332" s="5" t="s">
        <v>14</v>
      </c>
      <c r="C10332" s="5" t="s">
        <v>294</v>
      </c>
      <c r="D10332" s="43">
        <v>5000</v>
      </c>
      <c r="E10332" s="43"/>
      <c r="F10332" s="48">
        <f t="shared" si="170"/>
        <v>64497.661290322663</v>
      </c>
      <c r="G10332" s="4"/>
    </row>
    <row r="10333" spans="1:12" x14ac:dyDescent="0.3">
      <c r="A10333" s="45">
        <v>44522</v>
      </c>
      <c r="B10333" s="5" t="s">
        <v>36</v>
      </c>
      <c r="C10333" s="5" t="s">
        <v>8566</v>
      </c>
      <c r="D10333" s="43">
        <v>3000</v>
      </c>
      <c r="E10333" s="43"/>
      <c r="F10333" s="48">
        <f t="shared" si="170"/>
        <v>61497.661290322663</v>
      </c>
    </row>
    <row r="10334" spans="1:12" x14ac:dyDescent="0.3">
      <c r="A10334" s="45">
        <v>44523</v>
      </c>
      <c r="B10334" s="5" t="s">
        <v>57</v>
      </c>
      <c r="C10334" s="5" t="s">
        <v>3715</v>
      </c>
      <c r="D10334" s="43">
        <v>5000</v>
      </c>
      <c r="E10334" s="43"/>
      <c r="F10334" s="48">
        <f t="shared" si="170"/>
        <v>56497.661290322663</v>
      </c>
      <c r="G10334" s="4"/>
    </row>
    <row r="10335" spans="1:12" x14ac:dyDescent="0.3">
      <c r="A10335" s="45">
        <v>44523</v>
      </c>
      <c r="B10335" s="5" t="s">
        <v>1074</v>
      </c>
      <c r="C10335" s="5" t="s">
        <v>8567</v>
      </c>
      <c r="D10335" s="43">
        <v>9271</v>
      </c>
      <c r="E10335" s="43"/>
      <c r="F10335" s="48">
        <f t="shared" si="170"/>
        <v>47226.661290322663</v>
      </c>
      <c r="G10335" s="4"/>
    </row>
    <row r="10336" spans="1:12" x14ac:dyDescent="0.3">
      <c r="A10336" s="45">
        <v>44523</v>
      </c>
      <c r="B10336" s="5" t="s">
        <v>1074</v>
      </c>
      <c r="C10336" s="5" t="s">
        <v>8568</v>
      </c>
      <c r="D10336" s="43">
        <f>14722+5677</f>
        <v>20399</v>
      </c>
      <c r="E10336" s="43"/>
      <c r="F10336" s="48">
        <f t="shared" si="170"/>
        <v>26827.661290322663</v>
      </c>
      <c r="G10336" s="4"/>
    </row>
    <row r="10337" spans="1:12" x14ac:dyDescent="0.3">
      <c r="A10337" s="45">
        <v>44524</v>
      </c>
      <c r="B10337" s="5" t="s">
        <v>25</v>
      </c>
      <c r="C10337" s="5" t="s">
        <v>8291</v>
      </c>
      <c r="D10337" s="43">
        <v>3450</v>
      </c>
      <c r="E10337" s="43"/>
      <c r="F10337" s="48">
        <f t="shared" si="170"/>
        <v>23377.661290322663</v>
      </c>
      <c r="G10337" s="4"/>
    </row>
    <row r="10338" spans="1:12" x14ac:dyDescent="0.3">
      <c r="A10338" s="45">
        <v>44524</v>
      </c>
      <c r="B10338" s="5" t="s">
        <v>57</v>
      </c>
      <c r="C10338" s="5" t="s">
        <v>294</v>
      </c>
      <c r="D10338" s="43">
        <v>20000</v>
      </c>
      <c r="E10338" s="43"/>
      <c r="F10338" s="48">
        <f t="shared" si="170"/>
        <v>3377.6612903226633</v>
      </c>
      <c r="G10338" s="4">
        <v>2550</v>
      </c>
      <c r="H10338" s="52" t="s">
        <v>3205</v>
      </c>
    </row>
    <row r="10339" spans="1:12" x14ac:dyDescent="0.3">
      <c r="A10339" s="45">
        <v>44524</v>
      </c>
      <c r="B10339" s="739" t="s">
        <v>7440</v>
      </c>
      <c r="C10339" s="739"/>
      <c r="D10339" s="739"/>
      <c r="E10339" s="43">
        <v>30000</v>
      </c>
      <c r="F10339" s="48">
        <f t="shared" si="170"/>
        <v>33377.661290322663</v>
      </c>
      <c r="I10339" s="52">
        <v>24000</v>
      </c>
      <c r="L10339" s="93"/>
    </row>
    <row r="10340" spans="1:12" x14ac:dyDescent="0.3">
      <c r="A10340" s="45">
        <v>44524</v>
      </c>
      <c r="B10340" s="5" t="s">
        <v>1616</v>
      </c>
      <c r="C10340" s="5" t="s">
        <v>8572</v>
      </c>
      <c r="D10340" s="43">
        <v>26000</v>
      </c>
      <c r="E10340" s="43"/>
      <c r="F10340" s="48">
        <f t="shared" si="170"/>
        <v>7377.6612903226633</v>
      </c>
      <c r="G10340" s="4"/>
    </row>
    <row r="10341" spans="1:12" x14ac:dyDescent="0.3">
      <c r="A10341" s="45">
        <v>44526</v>
      </c>
      <c r="B10341" s="739" t="s">
        <v>8290</v>
      </c>
      <c r="C10341" s="739"/>
      <c r="D10341" s="739"/>
      <c r="E10341" s="43">
        <v>5000</v>
      </c>
      <c r="F10341" s="48">
        <f t="shared" ref="F10341:F10404" si="171">F10340+E10341-D10341</f>
        <v>12377.661290322663</v>
      </c>
      <c r="I10341" s="52">
        <v>24000</v>
      </c>
      <c r="L10341" s="93"/>
    </row>
    <row r="10342" spans="1:12" x14ac:dyDescent="0.3">
      <c r="A10342" s="45">
        <v>44526</v>
      </c>
      <c r="B10342" s="5" t="s">
        <v>1012</v>
      </c>
      <c r="C10342" s="5" t="s">
        <v>294</v>
      </c>
      <c r="D10342" s="43">
        <v>5000</v>
      </c>
      <c r="E10342" s="43"/>
      <c r="F10342" s="48">
        <f t="shared" si="171"/>
        <v>7377.6612903226633</v>
      </c>
      <c r="G10342" s="4"/>
    </row>
    <row r="10343" spans="1:12" x14ac:dyDescent="0.3">
      <c r="A10343" s="45">
        <v>44526</v>
      </c>
      <c r="B10343" s="5" t="s">
        <v>6430</v>
      </c>
      <c r="C10343" s="5" t="s">
        <v>294</v>
      </c>
      <c r="D10343" s="43">
        <v>3000</v>
      </c>
      <c r="E10343" s="43"/>
      <c r="F10343" s="48">
        <f t="shared" si="171"/>
        <v>4377.6612903226633</v>
      </c>
      <c r="G10343" s="4"/>
    </row>
    <row r="10344" spans="1:12" x14ac:dyDescent="0.3">
      <c r="A10344" s="45">
        <v>44527</v>
      </c>
      <c r="B10344" s="739" t="s">
        <v>4106</v>
      </c>
      <c r="C10344" s="739"/>
      <c r="D10344" s="739"/>
      <c r="E10344" s="43">
        <v>200000</v>
      </c>
      <c r="F10344" s="48">
        <f t="shared" si="171"/>
        <v>204377.66129032266</v>
      </c>
      <c r="I10344" s="52">
        <v>24000</v>
      </c>
      <c r="L10344" s="93"/>
    </row>
    <row r="10345" spans="1:12" x14ac:dyDescent="0.3">
      <c r="A10345" s="45">
        <v>44527</v>
      </c>
      <c r="B10345" s="5" t="s">
        <v>8573</v>
      </c>
      <c r="C10345" s="5" t="s">
        <v>294</v>
      </c>
      <c r="D10345" s="43">
        <v>17000</v>
      </c>
      <c r="E10345" s="43"/>
      <c r="F10345" s="48">
        <f t="shared" si="171"/>
        <v>187377.66129032266</v>
      </c>
      <c r="G10345" s="4"/>
    </row>
    <row r="10346" spans="1:12" x14ac:dyDescent="0.3">
      <c r="A10346" s="45">
        <v>44527</v>
      </c>
      <c r="B10346" s="5" t="s">
        <v>84</v>
      </c>
      <c r="C10346" s="5" t="s">
        <v>8577</v>
      </c>
      <c r="D10346" s="43">
        <v>1000</v>
      </c>
      <c r="E10346" s="43"/>
      <c r="F10346" s="48">
        <f t="shared" si="171"/>
        <v>186377.66129032266</v>
      </c>
      <c r="G10346" s="4"/>
    </row>
    <row r="10347" spans="1:12" x14ac:dyDescent="0.3">
      <c r="A10347" s="45">
        <v>44527</v>
      </c>
      <c r="B10347" s="5" t="s">
        <v>25</v>
      </c>
      <c r="C10347" s="5" t="s">
        <v>8574</v>
      </c>
      <c r="D10347" s="43">
        <v>500</v>
      </c>
      <c r="E10347" s="43"/>
      <c r="F10347" s="48">
        <f t="shared" si="171"/>
        <v>185877.66129032266</v>
      </c>
      <c r="G10347" s="4"/>
    </row>
    <row r="10348" spans="1:12" x14ac:dyDescent="0.3">
      <c r="A10348" s="45">
        <v>44527</v>
      </c>
      <c r="B10348" s="5" t="s">
        <v>6430</v>
      </c>
      <c r="C10348" s="5" t="s">
        <v>438</v>
      </c>
      <c r="D10348" s="43">
        <v>400</v>
      </c>
      <c r="E10348" s="43"/>
      <c r="F10348" s="48">
        <f t="shared" si="171"/>
        <v>185477.66129032266</v>
      </c>
      <c r="G10348" s="4"/>
    </row>
    <row r="10349" spans="1:12" x14ac:dyDescent="0.3">
      <c r="A10349" s="45">
        <v>44527</v>
      </c>
      <c r="B10349" s="5" t="s">
        <v>84</v>
      </c>
      <c r="C10349" s="5" t="s">
        <v>8575</v>
      </c>
      <c r="D10349" s="43">
        <v>2500</v>
      </c>
      <c r="E10349" s="43"/>
      <c r="F10349" s="48">
        <f t="shared" si="171"/>
        <v>182977.66129032266</v>
      </c>
      <c r="G10349" s="4"/>
    </row>
    <row r="10350" spans="1:12" x14ac:dyDescent="0.3">
      <c r="A10350" s="45">
        <v>44527</v>
      </c>
      <c r="B10350" s="5" t="s">
        <v>84</v>
      </c>
      <c r="C10350" s="5" t="s">
        <v>8187</v>
      </c>
      <c r="D10350" s="43">
        <v>2500</v>
      </c>
      <c r="E10350" s="43"/>
      <c r="F10350" s="48">
        <f t="shared" si="171"/>
        <v>180477.66129032266</v>
      </c>
      <c r="G10350" s="4"/>
    </row>
    <row r="10351" spans="1:12" x14ac:dyDescent="0.3">
      <c r="A10351" s="45">
        <v>44527</v>
      </c>
      <c r="B10351" s="5" t="s">
        <v>1787</v>
      </c>
      <c r="C10351" s="5" t="s">
        <v>8576</v>
      </c>
      <c r="D10351" s="43">
        <v>1800</v>
      </c>
      <c r="E10351" s="43"/>
      <c r="F10351" s="48">
        <f t="shared" si="171"/>
        <v>178677.66129032266</v>
      </c>
      <c r="G10351" s="4"/>
    </row>
    <row r="10352" spans="1:12" x14ac:dyDescent="0.3">
      <c r="A10352" s="45">
        <v>44527</v>
      </c>
      <c r="B10352" s="5" t="s">
        <v>57</v>
      </c>
      <c r="C10352" s="5" t="s">
        <v>294</v>
      </c>
      <c r="D10352" s="43">
        <v>40000</v>
      </c>
      <c r="E10352" s="43"/>
      <c r="F10352" s="48">
        <f t="shared" si="171"/>
        <v>138677.66129032266</v>
      </c>
      <c r="G10352" s="4"/>
    </row>
    <row r="10353" spans="1:8" x14ac:dyDescent="0.3">
      <c r="A10353" s="45">
        <v>44527</v>
      </c>
      <c r="B10353" s="5" t="s">
        <v>84</v>
      </c>
      <c r="C10353" s="5" t="s">
        <v>8578</v>
      </c>
      <c r="D10353" s="43">
        <v>3000</v>
      </c>
      <c r="E10353" s="43"/>
      <c r="F10353" s="48">
        <f t="shared" si="171"/>
        <v>135677.66129032266</v>
      </c>
      <c r="G10353" s="4"/>
    </row>
    <row r="10354" spans="1:8" x14ac:dyDescent="0.3">
      <c r="A10354" s="45">
        <v>44527</v>
      </c>
      <c r="B10354" s="5" t="s">
        <v>541</v>
      </c>
      <c r="C10354" s="5" t="s">
        <v>294</v>
      </c>
      <c r="D10354" s="43">
        <v>10000</v>
      </c>
      <c r="E10354" s="43"/>
      <c r="F10354" s="48">
        <f t="shared" si="171"/>
        <v>125677.66129032266</v>
      </c>
      <c r="G10354" s="4"/>
    </row>
    <row r="10355" spans="1:8" x14ac:dyDescent="0.3">
      <c r="A10355" s="45">
        <v>44527</v>
      </c>
      <c r="B10355" s="5" t="s">
        <v>36</v>
      </c>
      <c r="C10355" s="5" t="s">
        <v>8566</v>
      </c>
      <c r="D10355" s="43">
        <v>8000</v>
      </c>
      <c r="E10355" s="43"/>
      <c r="F10355" s="48">
        <f t="shared" si="171"/>
        <v>117677.66129032266</v>
      </c>
      <c r="G10355" s="4">
        <v>3550</v>
      </c>
      <c r="H10355" s="52" t="s">
        <v>3205</v>
      </c>
    </row>
    <row r="10356" spans="1:8" x14ac:dyDescent="0.3">
      <c r="A10356" s="45">
        <v>44527</v>
      </c>
      <c r="B10356" s="5" t="s">
        <v>84</v>
      </c>
      <c r="C10356" s="5" t="s">
        <v>8579</v>
      </c>
      <c r="D10356" s="43">
        <v>1000</v>
      </c>
      <c r="E10356" s="43"/>
      <c r="F10356" s="48">
        <f t="shared" si="171"/>
        <v>116677.66129032266</v>
      </c>
      <c r="G10356" s="4"/>
    </row>
    <row r="10357" spans="1:8" x14ac:dyDescent="0.3">
      <c r="A10357" s="45">
        <v>44527</v>
      </c>
      <c r="B10357" s="5" t="s">
        <v>84</v>
      </c>
      <c r="C10357" s="5" t="s">
        <v>8580</v>
      </c>
      <c r="D10357" s="43">
        <v>3000</v>
      </c>
      <c r="E10357" s="43"/>
      <c r="F10357" s="48">
        <f t="shared" si="171"/>
        <v>113677.66129032266</v>
      </c>
      <c r="G10357" s="4"/>
    </row>
    <row r="10358" spans="1:8" x14ac:dyDescent="0.3">
      <c r="A10358" s="45">
        <v>44529</v>
      </c>
      <c r="B10358" s="5" t="s">
        <v>57</v>
      </c>
      <c r="C10358" s="5" t="s">
        <v>294</v>
      </c>
      <c r="D10358" s="43">
        <v>2000</v>
      </c>
      <c r="E10358" s="43"/>
      <c r="F10358" s="48">
        <f t="shared" si="171"/>
        <v>111677.66129032266</v>
      </c>
      <c r="G10358" s="4"/>
    </row>
    <row r="10359" spans="1:8" x14ac:dyDescent="0.3">
      <c r="A10359" s="45">
        <v>44529</v>
      </c>
      <c r="B10359" s="5" t="s">
        <v>25</v>
      </c>
      <c r="C10359" s="5" t="s">
        <v>8582</v>
      </c>
      <c r="D10359" s="43">
        <v>600</v>
      </c>
      <c r="E10359" s="43"/>
      <c r="F10359" s="48">
        <f t="shared" si="171"/>
        <v>111077.66129032266</v>
      </c>
      <c r="G10359" s="4"/>
    </row>
    <row r="10360" spans="1:8" x14ac:dyDescent="0.3">
      <c r="A10360" s="45">
        <v>44529</v>
      </c>
      <c r="B10360" s="5" t="s">
        <v>84</v>
      </c>
      <c r="C10360" s="5" t="s">
        <v>8583</v>
      </c>
      <c r="D10360" s="43">
        <v>4000</v>
      </c>
      <c r="E10360" s="43"/>
      <c r="F10360" s="48">
        <f t="shared" si="171"/>
        <v>107077.66129032266</v>
      </c>
      <c r="G10360" s="4"/>
    </row>
    <row r="10361" spans="1:8" x14ac:dyDescent="0.3">
      <c r="A10361" s="45">
        <v>44529</v>
      </c>
      <c r="B10361" s="5" t="s">
        <v>3554</v>
      </c>
      <c r="C10361" s="5" t="s">
        <v>8584</v>
      </c>
      <c r="D10361" s="43">
        <v>10000</v>
      </c>
      <c r="E10361" s="43"/>
      <c r="F10361" s="48">
        <f t="shared" si="171"/>
        <v>97077.661290322663</v>
      </c>
      <c r="G10361" s="4">
        <v>4550</v>
      </c>
      <c r="H10361" s="52" t="s">
        <v>3205</v>
      </c>
    </row>
    <row r="10362" spans="1:8" x14ac:dyDescent="0.3">
      <c r="A10362" s="45">
        <v>44529</v>
      </c>
      <c r="B10362" s="5" t="s">
        <v>57</v>
      </c>
      <c r="C10362" s="5" t="s">
        <v>294</v>
      </c>
      <c r="D10362" s="43">
        <v>5000</v>
      </c>
      <c r="E10362" s="43"/>
      <c r="F10362" s="48">
        <f t="shared" si="171"/>
        <v>92077.661290322663</v>
      </c>
      <c r="G10362" s="4"/>
    </row>
    <row r="10363" spans="1:8" x14ac:dyDescent="0.3">
      <c r="A10363" s="45">
        <v>44530</v>
      </c>
      <c r="B10363" s="5" t="s">
        <v>14</v>
      </c>
      <c r="C10363" s="5" t="s">
        <v>294</v>
      </c>
      <c r="D10363" s="43">
        <v>500</v>
      </c>
      <c r="E10363" s="43"/>
      <c r="F10363" s="48">
        <f t="shared" si="171"/>
        <v>91577.661290322663</v>
      </c>
      <c r="G10363" s="4"/>
    </row>
    <row r="10364" spans="1:8" x14ac:dyDescent="0.3">
      <c r="A10364" s="45">
        <v>44530</v>
      </c>
      <c r="B10364" s="5" t="s">
        <v>14</v>
      </c>
      <c r="C10364" s="5" t="s">
        <v>8588</v>
      </c>
      <c r="D10364" s="43">
        <v>7198</v>
      </c>
      <c r="E10364" s="43"/>
      <c r="F10364" s="48">
        <f t="shared" si="171"/>
        <v>84379.661290322663</v>
      </c>
      <c r="G10364" s="4"/>
    </row>
    <row r="10365" spans="1:8" x14ac:dyDescent="0.3">
      <c r="A10365" s="45">
        <v>44530</v>
      </c>
      <c r="B10365" s="5" t="s">
        <v>1074</v>
      </c>
      <c r="C10365" s="5" t="s">
        <v>8590</v>
      </c>
      <c r="D10365" s="43">
        <f>370+260</f>
        <v>630</v>
      </c>
      <c r="E10365" s="43"/>
      <c r="F10365" s="48">
        <f t="shared" si="171"/>
        <v>83749.661290322663</v>
      </c>
      <c r="G10365" s="4"/>
    </row>
    <row r="10366" spans="1:8" x14ac:dyDescent="0.3">
      <c r="A10366" s="45">
        <v>44530</v>
      </c>
      <c r="B10366" s="5" t="s">
        <v>1074</v>
      </c>
      <c r="C10366" s="5" t="s">
        <v>8589</v>
      </c>
      <c r="D10366" s="43">
        <f>2284+465</f>
        <v>2749</v>
      </c>
      <c r="E10366" s="43"/>
      <c r="F10366" s="48">
        <f t="shared" si="171"/>
        <v>81000.661290322663</v>
      </c>
      <c r="G10366" s="4"/>
    </row>
    <row r="10367" spans="1:8" x14ac:dyDescent="0.3">
      <c r="A10367" s="45">
        <v>44530</v>
      </c>
      <c r="B10367" s="5" t="s">
        <v>8040</v>
      </c>
      <c r="C10367" s="5" t="s">
        <v>8587</v>
      </c>
      <c r="D10367" s="43">
        <v>1000</v>
      </c>
      <c r="E10367" s="43"/>
      <c r="F10367" s="48">
        <f t="shared" si="171"/>
        <v>80000.661290322663</v>
      </c>
      <c r="G10367" s="4"/>
    </row>
    <row r="10368" spans="1:8" x14ac:dyDescent="0.3">
      <c r="A10368" s="45">
        <v>44530</v>
      </c>
      <c r="B10368" s="41" t="s">
        <v>8573</v>
      </c>
      <c r="C10368" s="41" t="s">
        <v>294</v>
      </c>
      <c r="D10368" s="43">
        <v>30000</v>
      </c>
      <c r="E10368" s="43"/>
      <c r="F10368" s="48">
        <f t="shared" si="171"/>
        <v>50000.661290322663</v>
      </c>
      <c r="G10368" s="4"/>
    </row>
    <row r="10369" spans="1:12" x14ac:dyDescent="0.3">
      <c r="A10369" s="45">
        <v>44530</v>
      </c>
      <c r="B10369" s="739" t="s">
        <v>7440</v>
      </c>
      <c r="C10369" s="739"/>
      <c r="D10369" s="739"/>
      <c r="E10369" s="43">
        <v>100000</v>
      </c>
      <c r="F10369" s="48">
        <f t="shared" si="171"/>
        <v>150000.66129032266</v>
      </c>
      <c r="I10369" s="52">
        <v>24000</v>
      </c>
      <c r="L10369" s="93"/>
    </row>
    <row r="10370" spans="1:12" x14ac:dyDescent="0.3">
      <c r="A10370" s="45">
        <v>44530</v>
      </c>
      <c r="B10370" s="41" t="s">
        <v>3554</v>
      </c>
      <c r="C10370" s="41" t="s">
        <v>8593</v>
      </c>
      <c r="D10370" s="43">
        <v>30000</v>
      </c>
      <c r="E10370" s="43"/>
      <c r="F10370" s="48">
        <f t="shared" si="171"/>
        <v>120000.66129032266</v>
      </c>
      <c r="G10370" s="4"/>
      <c r="H10370" s="52">
        <f>H10369*4%</f>
        <v>0</v>
      </c>
    </row>
    <row r="10371" spans="1:12" x14ac:dyDescent="0.3">
      <c r="A10371" s="45">
        <v>44530</v>
      </c>
      <c r="B10371" s="5" t="s">
        <v>57</v>
      </c>
      <c r="C10371" s="5" t="s">
        <v>294</v>
      </c>
      <c r="D10371" s="43">
        <v>17000</v>
      </c>
      <c r="E10371" s="43"/>
      <c r="F10371" s="48">
        <f t="shared" si="171"/>
        <v>103000.66129032266</v>
      </c>
      <c r="G10371" s="4"/>
      <c r="H10371" s="52">
        <f>H10370+H10369</f>
        <v>0</v>
      </c>
    </row>
    <row r="10372" spans="1:12" x14ac:dyDescent="0.3">
      <c r="A10372" s="45">
        <v>44530</v>
      </c>
      <c r="B10372" s="5" t="s">
        <v>25</v>
      </c>
      <c r="C10372" s="5" t="s">
        <v>8591</v>
      </c>
      <c r="D10372" s="43">
        <v>200</v>
      </c>
      <c r="E10372" s="43"/>
      <c r="F10372" s="48">
        <f t="shared" si="171"/>
        <v>102800.66129032266</v>
      </c>
      <c r="G10372" s="4"/>
    </row>
    <row r="10373" spans="1:12" x14ac:dyDescent="0.3">
      <c r="A10373" s="45">
        <v>44530</v>
      </c>
      <c r="B10373" s="5" t="s">
        <v>14</v>
      </c>
      <c r="C10373" s="5" t="s">
        <v>8592</v>
      </c>
      <c r="D10373" s="43">
        <v>4000</v>
      </c>
      <c r="E10373" s="43"/>
      <c r="F10373" s="48">
        <f t="shared" si="171"/>
        <v>98800.661290322663</v>
      </c>
      <c r="G10373" s="4"/>
    </row>
    <row r="10374" spans="1:12" x14ac:dyDescent="0.3">
      <c r="A10374" s="45">
        <v>44530</v>
      </c>
      <c r="B10374" s="5" t="s">
        <v>8594</v>
      </c>
      <c r="C10374" s="5" t="s">
        <v>8053</v>
      </c>
      <c r="D10374" s="43">
        <v>5000</v>
      </c>
      <c r="E10374" s="43"/>
      <c r="F10374" s="48">
        <f t="shared" si="171"/>
        <v>93800.661290322663</v>
      </c>
      <c r="G10374" s="4"/>
    </row>
    <row r="10375" spans="1:12" x14ac:dyDescent="0.3">
      <c r="A10375" s="45">
        <v>44530</v>
      </c>
      <c r="B10375" s="5" t="s">
        <v>25</v>
      </c>
      <c r="C10375" s="5" t="s">
        <v>4731</v>
      </c>
      <c r="D10375" s="43">
        <v>2500</v>
      </c>
      <c r="E10375" s="43"/>
      <c r="F10375" s="48">
        <f t="shared" si="171"/>
        <v>91300.661290322663</v>
      </c>
      <c r="G10375" s="4"/>
    </row>
    <row r="10376" spans="1:12" x14ac:dyDescent="0.3">
      <c r="A10376" s="45">
        <v>44530</v>
      </c>
      <c r="B10376" s="5" t="s">
        <v>5709</v>
      </c>
      <c r="C10376" s="5" t="s">
        <v>5673</v>
      </c>
      <c r="D10376" s="43">
        <v>900</v>
      </c>
      <c r="E10376" s="43"/>
      <c r="F10376" s="48">
        <f t="shared" si="171"/>
        <v>90400.661290322663</v>
      </c>
      <c r="G10376" s="4"/>
    </row>
    <row r="10377" spans="1:12" x14ac:dyDescent="0.3">
      <c r="A10377" s="45">
        <v>44530</v>
      </c>
      <c r="B10377" s="5" t="s">
        <v>5709</v>
      </c>
      <c r="C10377" s="5" t="s">
        <v>3557</v>
      </c>
      <c r="D10377" s="43">
        <v>60000</v>
      </c>
      <c r="E10377" s="43"/>
      <c r="F10377" s="48">
        <f t="shared" si="171"/>
        <v>30400.661290322663</v>
      </c>
      <c r="G10377" s="4"/>
    </row>
    <row r="10378" spans="1:12" x14ac:dyDescent="0.3">
      <c r="A10378" s="45">
        <v>44531</v>
      </c>
      <c r="B10378" s="739" t="s">
        <v>4406</v>
      </c>
      <c r="C10378" s="739"/>
      <c r="D10378" s="739"/>
      <c r="E10378" s="43">
        <v>200000</v>
      </c>
      <c r="F10378" s="48">
        <f t="shared" si="171"/>
        <v>230400.66129032266</v>
      </c>
      <c r="G10378" s="52">
        <f>D10385+D10386+D10400+D10401+D10414+D10419+D10421+D10439+D10451+D10466+D10480+D10481+D10482+D10483+D10494+D10506</f>
        <v>25549</v>
      </c>
      <c r="I10378" s="52">
        <v>24000</v>
      </c>
      <c r="L10378" s="93"/>
    </row>
    <row r="10379" spans="1:12" x14ac:dyDescent="0.3">
      <c r="A10379" s="45">
        <v>44531</v>
      </c>
      <c r="B10379" s="5" t="s">
        <v>57</v>
      </c>
      <c r="C10379" s="5" t="s">
        <v>294</v>
      </c>
      <c r="D10379" s="43">
        <v>33000</v>
      </c>
      <c r="E10379" s="43"/>
      <c r="F10379" s="48">
        <f t="shared" si="171"/>
        <v>197400.66129032266</v>
      </c>
      <c r="G10379" s="4"/>
    </row>
    <row r="10380" spans="1:12" x14ac:dyDescent="0.3">
      <c r="A10380" s="45">
        <v>44531</v>
      </c>
      <c r="B10380" s="5" t="s">
        <v>18</v>
      </c>
      <c r="C10380" s="5" t="s">
        <v>8595</v>
      </c>
      <c r="D10380" s="43">
        <v>2000</v>
      </c>
      <c r="E10380" s="43"/>
      <c r="F10380" s="48">
        <f t="shared" si="171"/>
        <v>195400.66129032266</v>
      </c>
      <c r="G10380" s="4"/>
    </row>
    <row r="10381" spans="1:12" x14ac:dyDescent="0.3">
      <c r="A10381" s="45">
        <v>44531</v>
      </c>
      <c r="B10381" s="5" t="s">
        <v>5156</v>
      </c>
      <c r="C10381" s="5" t="s">
        <v>8596</v>
      </c>
      <c r="D10381" s="43">
        <v>2120</v>
      </c>
      <c r="E10381" s="43"/>
      <c r="F10381" s="48">
        <f t="shared" si="171"/>
        <v>193280.66129032266</v>
      </c>
      <c r="G10381" s="4"/>
    </row>
    <row r="10382" spans="1:12" x14ac:dyDescent="0.3">
      <c r="A10382" s="45">
        <v>44531</v>
      </c>
      <c r="B10382" s="5" t="s">
        <v>693</v>
      </c>
      <c r="C10382" s="5" t="s">
        <v>8597</v>
      </c>
      <c r="D10382" s="43">
        <v>360</v>
      </c>
      <c r="E10382" s="43"/>
      <c r="F10382" s="48">
        <f t="shared" si="171"/>
        <v>192920.66129032266</v>
      </c>
      <c r="G10382" s="4"/>
    </row>
    <row r="10383" spans="1:12" x14ac:dyDescent="0.3">
      <c r="A10383" s="45">
        <v>44531</v>
      </c>
      <c r="B10383" s="5" t="s">
        <v>5162</v>
      </c>
      <c r="C10383" s="5" t="s">
        <v>2013</v>
      </c>
      <c r="D10383" s="43">
        <v>140</v>
      </c>
      <c r="E10383" s="43"/>
      <c r="F10383" s="48">
        <f t="shared" si="171"/>
        <v>192780.66129032266</v>
      </c>
      <c r="G10383" s="4"/>
    </row>
    <row r="10384" spans="1:12" x14ac:dyDescent="0.3">
      <c r="A10384" s="45">
        <v>44531</v>
      </c>
      <c r="B10384" s="5" t="s">
        <v>14</v>
      </c>
      <c r="C10384" s="5" t="s">
        <v>294</v>
      </c>
      <c r="D10384" s="43">
        <v>50000</v>
      </c>
      <c r="E10384" s="43"/>
      <c r="F10384" s="48">
        <f t="shared" si="171"/>
        <v>142780.66129032266</v>
      </c>
      <c r="G10384" s="4"/>
    </row>
    <row r="10385" spans="1:12" x14ac:dyDescent="0.3">
      <c r="A10385" s="45">
        <v>44531</v>
      </c>
      <c r="B10385" s="5" t="s">
        <v>25</v>
      </c>
      <c r="C10385" s="5" t="s">
        <v>8221</v>
      </c>
      <c r="D10385" s="43">
        <v>1000</v>
      </c>
      <c r="E10385" s="43"/>
      <c r="F10385" s="48">
        <f t="shared" si="171"/>
        <v>141780.66129032266</v>
      </c>
      <c r="G10385" s="4"/>
    </row>
    <row r="10386" spans="1:12" x14ac:dyDescent="0.3">
      <c r="A10386" s="45">
        <v>44531</v>
      </c>
      <c r="B10386" s="5" t="s">
        <v>25</v>
      </c>
      <c r="C10386" s="5" t="s">
        <v>8249</v>
      </c>
      <c r="D10386" s="43">
        <v>3850</v>
      </c>
      <c r="E10386" s="43"/>
      <c r="F10386" s="48">
        <f t="shared" si="171"/>
        <v>137930.66129032266</v>
      </c>
      <c r="G10386" s="4">
        <v>1700</v>
      </c>
      <c r="H10386" s="52" t="s">
        <v>3205</v>
      </c>
    </row>
    <row r="10387" spans="1:12" x14ac:dyDescent="0.3">
      <c r="A10387" s="45">
        <v>44531</v>
      </c>
      <c r="B10387" s="5" t="s">
        <v>8602</v>
      </c>
      <c r="C10387" s="5" t="s">
        <v>8603</v>
      </c>
      <c r="D10387" s="43">
        <v>5000</v>
      </c>
      <c r="E10387" s="43"/>
      <c r="F10387" s="48">
        <f t="shared" si="171"/>
        <v>132930.66129032266</v>
      </c>
      <c r="G10387" s="4"/>
    </row>
    <row r="10388" spans="1:12" x14ac:dyDescent="0.3">
      <c r="A10388" s="45">
        <v>44532</v>
      </c>
      <c r="B10388" s="5" t="s">
        <v>84</v>
      </c>
      <c r="C10388" s="5" t="s">
        <v>8604</v>
      </c>
      <c r="D10388" s="43">
        <v>20000</v>
      </c>
      <c r="E10388" s="43"/>
      <c r="F10388" s="48">
        <f t="shared" si="171"/>
        <v>112930.66129032266</v>
      </c>
      <c r="G10388" s="4"/>
    </row>
    <row r="10389" spans="1:12" x14ac:dyDescent="0.3">
      <c r="A10389" s="45">
        <v>44532</v>
      </c>
      <c r="B10389" s="5" t="s">
        <v>63</v>
      </c>
      <c r="C10389" s="5" t="s">
        <v>4381</v>
      </c>
      <c r="D10389" s="43">
        <v>650</v>
      </c>
      <c r="E10389" s="43"/>
      <c r="F10389" s="48">
        <f t="shared" si="171"/>
        <v>112280.66129032266</v>
      </c>
      <c r="G10389" s="4"/>
    </row>
    <row r="10390" spans="1:12" x14ac:dyDescent="0.3">
      <c r="A10390" s="45">
        <v>44532</v>
      </c>
      <c r="B10390" s="5" t="s">
        <v>5793</v>
      </c>
      <c r="C10390" s="5" t="s">
        <v>8611</v>
      </c>
      <c r="D10390" s="43">
        <v>2500</v>
      </c>
      <c r="E10390" s="43"/>
      <c r="F10390" s="48">
        <f t="shared" si="171"/>
        <v>109780.66129032266</v>
      </c>
      <c r="G10390" s="4"/>
    </row>
    <row r="10391" spans="1:12" x14ac:dyDescent="0.3">
      <c r="A10391" s="45">
        <v>44532</v>
      </c>
      <c r="B10391" s="5" t="s">
        <v>84</v>
      </c>
      <c r="C10391" s="5" t="s">
        <v>8612</v>
      </c>
      <c r="D10391" s="43">
        <v>3000</v>
      </c>
      <c r="E10391" s="43"/>
      <c r="F10391" s="48">
        <f t="shared" si="171"/>
        <v>106780.66129032266</v>
      </c>
      <c r="G10391" s="4"/>
    </row>
    <row r="10392" spans="1:12" x14ac:dyDescent="0.3">
      <c r="A10392" s="45">
        <v>44532</v>
      </c>
      <c r="B10392" s="739" t="s">
        <v>8290</v>
      </c>
      <c r="C10392" s="739"/>
      <c r="D10392" s="739"/>
      <c r="E10392" s="43">
        <v>10000</v>
      </c>
      <c r="F10392" s="48">
        <f t="shared" si="171"/>
        <v>116780.66129032266</v>
      </c>
      <c r="I10392" s="52">
        <v>24000</v>
      </c>
      <c r="L10392" s="93"/>
    </row>
    <row r="10393" spans="1:12" x14ac:dyDescent="0.3">
      <c r="A10393" s="45">
        <v>44532</v>
      </c>
      <c r="B10393" s="5" t="s">
        <v>84</v>
      </c>
      <c r="C10393" s="5" t="s">
        <v>8613</v>
      </c>
      <c r="D10393" s="43">
        <v>10000</v>
      </c>
      <c r="E10393" s="43"/>
      <c r="F10393" s="48">
        <f t="shared" si="171"/>
        <v>106780.66129032266</v>
      </c>
      <c r="G10393" s="4"/>
    </row>
    <row r="10394" spans="1:12" x14ac:dyDescent="0.3">
      <c r="A10394" s="45">
        <v>44533</v>
      </c>
      <c r="B10394" s="5" t="s">
        <v>57</v>
      </c>
      <c r="C10394" s="5" t="s">
        <v>40</v>
      </c>
      <c r="D10394" s="43">
        <v>150</v>
      </c>
      <c r="E10394" s="43"/>
      <c r="F10394" s="48">
        <f t="shared" si="171"/>
        <v>106630.66129032266</v>
      </c>
      <c r="G10394" s="4"/>
    </row>
    <row r="10395" spans="1:12" x14ac:dyDescent="0.3">
      <c r="A10395" s="45">
        <v>44533</v>
      </c>
      <c r="B10395" s="218" t="s">
        <v>54</v>
      </c>
      <c r="C10395" s="218" t="s">
        <v>8614</v>
      </c>
      <c r="D10395" s="211">
        <v>35000</v>
      </c>
      <c r="E10395" s="43"/>
      <c r="F10395" s="48">
        <f t="shared" si="171"/>
        <v>71630.661290322663</v>
      </c>
      <c r="G10395" s="4"/>
    </row>
    <row r="10396" spans="1:12" x14ac:dyDescent="0.3">
      <c r="A10396" s="45">
        <v>44533</v>
      </c>
      <c r="B10396" s="218" t="s">
        <v>54</v>
      </c>
      <c r="C10396" s="218" t="s">
        <v>1378</v>
      </c>
      <c r="D10396" s="211">
        <v>5000</v>
      </c>
      <c r="E10396" s="43"/>
      <c r="F10396" s="48">
        <f t="shared" si="171"/>
        <v>66630.661290322663</v>
      </c>
      <c r="G10396" s="4"/>
    </row>
    <row r="10397" spans="1:12" x14ac:dyDescent="0.3">
      <c r="A10397" s="45">
        <v>44533</v>
      </c>
      <c r="B10397" s="218" t="s">
        <v>54</v>
      </c>
      <c r="C10397" s="218" t="s">
        <v>8615</v>
      </c>
      <c r="D10397" s="211">
        <v>16000</v>
      </c>
      <c r="E10397" s="43"/>
      <c r="F10397" s="48">
        <f t="shared" si="171"/>
        <v>50630.661290322663</v>
      </c>
      <c r="G10397" s="4"/>
    </row>
    <row r="10398" spans="1:12" x14ac:dyDescent="0.3">
      <c r="A10398" s="45">
        <v>44533</v>
      </c>
      <c r="B10398" s="218" t="s">
        <v>54</v>
      </c>
      <c r="C10398" s="218" t="s">
        <v>8616</v>
      </c>
      <c r="D10398" s="211">
        <v>33000</v>
      </c>
      <c r="E10398" s="43"/>
      <c r="F10398" s="48">
        <f t="shared" si="171"/>
        <v>17630.661290322663</v>
      </c>
      <c r="G10398" s="4"/>
    </row>
    <row r="10399" spans="1:12" x14ac:dyDescent="0.3">
      <c r="A10399" s="45">
        <v>44534</v>
      </c>
      <c r="B10399" s="5" t="s">
        <v>5156</v>
      </c>
      <c r="C10399" s="5" t="s">
        <v>3563</v>
      </c>
      <c r="D10399" s="43">
        <v>340</v>
      </c>
      <c r="E10399" s="43"/>
      <c r="F10399" s="48">
        <f t="shared" si="171"/>
        <v>17290.661290322663</v>
      </c>
      <c r="G10399" s="4"/>
    </row>
    <row r="10400" spans="1:12" x14ac:dyDescent="0.3">
      <c r="A10400" s="45">
        <v>44534</v>
      </c>
      <c r="B10400" s="5" t="s">
        <v>25</v>
      </c>
      <c r="C10400" s="5" t="s">
        <v>6049</v>
      </c>
      <c r="D10400" s="43">
        <v>100</v>
      </c>
      <c r="E10400" s="43"/>
      <c r="F10400" s="48">
        <f t="shared" si="171"/>
        <v>17190.661290322663</v>
      </c>
      <c r="G10400" s="4"/>
    </row>
    <row r="10401" spans="1:12" x14ac:dyDescent="0.3">
      <c r="A10401" s="45">
        <v>44534</v>
      </c>
      <c r="B10401" s="5" t="s">
        <v>25</v>
      </c>
      <c r="C10401" s="5" t="s">
        <v>8291</v>
      </c>
      <c r="D10401" s="43">
        <v>1700</v>
      </c>
      <c r="E10401" s="43"/>
      <c r="F10401" s="48">
        <f t="shared" si="171"/>
        <v>15490.661290322663</v>
      </c>
      <c r="G10401" s="4"/>
    </row>
    <row r="10402" spans="1:12" x14ac:dyDescent="0.3">
      <c r="A10402" s="45">
        <v>44534</v>
      </c>
      <c r="B10402" s="5" t="s">
        <v>25</v>
      </c>
      <c r="C10402" s="5" t="s">
        <v>8620</v>
      </c>
      <c r="D10402" s="43">
        <v>1000</v>
      </c>
      <c r="E10402" s="43"/>
      <c r="F10402" s="48">
        <f t="shared" si="171"/>
        <v>14490.661290322663</v>
      </c>
      <c r="G10402" s="4"/>
      <c r="H10402" s="52">
        <v>2782978</v>
      </c>
    </row>
    <row r="10403" spans="1:12" x14ac:dyDescent="0.3">
      <c r="A10403" s="45">
        <v>44534</v>
      </c>
      <c r="B10403" s="5" t="s">
        <v>25</v>
      </c>
      <c r="C10403" s="5" t="s">
        <v>3627</v>
      </c>
      <c r="D10403" s="43">
        <v>1200</v>
      </c>
      <c r="E10403" s="43"/>
      <c r="F10403" s="48">
        <f t="shared" si="171"/>
        <v>13290.661290322663</v>
      </c>
      <c r="G10403" s="4"/>
      <c r="H10403" s="52">
        <v>8.4699999999999998E-2</v>
      </c>
    </row>
    <row r="10404" spans="1:12" x14ac:dyDescent="0.3">
      <c r="A10404" s="45">
        <v>44534</v>
      </c>
      <c r="B10404" s="739" t="s">
        <v>7440</v>
      </c>
      <c r="C10404" s="739"/>
      <c r="D10404" s="739"/>
      <c r="E10404" s="43">
        <v>360000</v>
      </c>
      <c r="F10404" s="48">
        <f t="shared" si="171"/>
        <v>373290.66129032266</v>
      </c>
      <c r="I10404" s="52">
        <v>24000</v>
      </c>
      <c r="L10404" s="93"/>
    </row>
    <row r="10405" spans="1:12" x14ac:dyDescent="0.3">
      <c r="A10405" s="45">
        <v>44534</v>
      </c>
      <c r="B10405" s="218" t="s">
        <v>54</v>
      </c>
      <c r="C10405" s="218" t="s">
        <v>8621</v>
      </c>
      <c r="D10405" s="43">
        <v>40000</v>
      </c>
      <c r="E10405" s="43"/>
      <c r="F10405" s="48">
        <f t="shared" ref="F10405:F10468" si="172">F10404+E10405-D10405</f>
        <v>333290.66129032266</v>
      </c>
      <c r="G10405" s="4"/>
      <c r="H10405" s="52">
        <f>H10404*H10403</f>
        <v>0</v>
      </c>
    </row>
    <row r="10406" spans="1:12" x14ac:dyDescent="0.3">
      <c r="A10406" s="45">
        <v>44534</v>
      </c>
      <c r="B10406" s="218" t="s">
        <v>54</v>
      </c>
      <c r="C10406" s="218" t="s">
        <v>8627</v>
      </c>
      <c r="D10406" s="43">
        <f>26563+21667</f>
        <v>48230</v>
      </c>
      <c r="E10406" s="43"/>
      <c r="F10406" s="48">
        <f t="shared" si="172"/>
        <v>285060.66129032266</v>
      </c>
      <c r="G10406" s="4"/>
      <c r="H10406" s="52" t="e">
        <f>#REF!*H10404</f>
        <v>#REF!</v>
      </c>
    </row>
    <row r="10407" spans="1:12" x14ac:dyDescent="0.3">
      <c r="A10407" s="45">
        <v>44536</v>
      </c>
      <c r="B10407" s="5" t="s">
        <v>8148</v>
      </c>
      <c r="C10407" s="73" t="s">
        <v>8623</v>
      </c>
      <c r="D10407" s="58">
        <v>10060</v>
      </c>
      <c r="E10407" s="58"/>
      <c r="F10407" s="48">
        <f t="shared" si="172"/>
        <v>275000.66129032266</v>
      </c>
      <c r="G10407" s="4"/>
      <c r="H10407" s="102"/>
      <c r="I10407" s="102"/>
      <c r="J10407" s="102"/>
    </row>
    <row r="10408" spans="1:12" x14ac:dyDescent="0.3">
      <c r="A10408" s="45">
        <v>44536</v>
      </c>
      <c r="B10408" s="218" t="s">
        <v>54</v>
      </c>
      <c r="C10408" s="218" t="s">
        <v>8635</v>
      </c>
      <c r="D10408" s="43">
        <v>202231</v>
      </c>
      <c r="E10408" s="43"/>
      <c r="F10408" s="48">
        <f t="shared" si="172"/>
        <v>72769.661290322663</v>
      </c>
      <c r="G10408" s="4"/>
      <c r="H10408" s="52">
        <f>H10419*H10418</f>
        <v>0</v>
      </c>
    </row>
    <row r="10409" spans="1:12" x14ac:dyDescent="0.3">
      <c r="A10409" s="45">
        <v>44536</v>
      </c>
      <c r="B10409" s="5" t="s">
        <v>3724</v>
      </c>
      <c r="C10409" s="73" t="s">
        <v>40</v>
      </c>
      <c r="D10409" s="58">
        <v>4089</v>
      </c>
      <c r="E10409" s="58"/>
      <c r="F10409" s="48">
        <f t="shared" si="172"/>
        <v>68680.661290322663</v>
      </c>
      <c r="G10409" s="4"/>
      <c r="H10409" s="102"/>
      <c r="I10409" s="102"/>
      <c r="J10409" s="102"/>
    </row>
    <row r="10410" spans="1:12" x14ac:dyDescent="0.3">
      <c r="A10410" s="45">
        <v>44536</v>
      </c>
      <c r="B10410" s="5" t="s">
        <v>8594</v>
      </c>
      <c r="C10410" s="5" t="s">
        <v>8053</v>
      </c>
      <c r="D10410" s="58">
        <v>10000</v>
      </c>
      <c r="E10410" s="58"/>
      <c r="F10410" s="48">
        <f t="shared" si="172"/>
        <v>58680.661290322663</v>
      </c>
      <c r="G10410" s="4"/>
      <c r="H10410" s="102"/>
      <c r="I10410" s="102"/>
      <c r="J10410" s="102"/>
    </row>
    <row r="10411" spans="1:12" x14ac:dyDescent="0.3">
      <c r="A10411" s="45">
        <v>44536</v>
      </c>
      <c r="B10411" s="5" t="s">
        <v>8624</v>
      </c>
      <c r="C10411" s="5" t="s">
        <v>8625</v>
      </c>
      <c r="D10411" s="58">
        <v>1800</v>
      </c>
      <c r="E10411" s="58"/>
      <c r="F10411" s="48">
        <f t="shared" si="172"/>
        <v>56880.661290322663</v>
      </c>
      <c r="G10411" s="4"/>
      <c r="H10411" s="102"/>
      <c r="I10411" s="102"/>
      <c r="J10411" s="102"/>
    </row>
    <row r="10412" spans="1:12" x14ac:dyDescent="0.3">
      <c r="A10412" s="45">
        <v>44536</v>
      </c>
      <c r="B10412" s="739" t="s">
        <v>8626</v>
      </c>
      <c r="C10412" s="739"/>
      <c r="D10412" s="739"/>
      <c r="E10412" s="43">
        <v>10000</v>
      </c>
      <c r="F10412" s="48">
        <f t="shared" si="172"/>
        <v>66880.661290322663</v>
      </c>
      <c r="I10412" s="52">
        <v>24000</v>
      </c>
      <c r="L10412" s="93"/>
    </row>
    <row r="10413" spans="1:12" x14ac:dyDescent="0.3">
      <c r="A10413" s="45">
        <v>44537</v>
      </c>
      <c r="B10413" s="5" t="s">
        <v>57</v>
      </c>
      <c r="C10413" s="5" t="s">
        <v>5398</v>
      </c>
      <c r="D10413" s="43">
        <v>1000</v>
      </c>
      <c r="E10413" s="43"/>
      <c r="F10413" s="48">
        <f t="shared" si="172"/>
        <v>65880.661290322663</v>
      </c>
      <c r="G10413" s="4"/>
      <c r="H10413" s="52">
        <v>2151307</v>
      </c>
    </row>
    <row r="10414" spans="1:12" x14ac:dyDescent="0.3">
      <c r="A10414" s="45">
        <v>44537</v>
      </c>
      <c r="B10414" s="5" t="s">
        <v>25</v>
      </c>
      <c r="C10414" s="5" t="s">
        <v>2637</v>
      </c>
      <c r="D10414" s="43">
        <v>1000</v>
      </c>
      <c r="E10414" s="43"/>
      <c r="F10414" s="48">
        <f t="shared" si="172"/>
        <v>64880.661290322663</v>
      </c>
      <c r="G10414" s="4"/>
    </row>
    <row r="10415" spans="1:12" x14ac:dyDescent="0.3">
      <c r="A10415" s="45">
        <v>44537</v>
      </c>
      <c r="B10415" s="5" t="s">
        <v>4156</v>
      </c>
      <c r="C10415" s="5" t="s">
        <v>8628</v>
      </c>
      <c r="D10415" s="43">
        <v>5000</v>
      </c>
      <c r="E10415" s="43"/>
      <c r="F10415" s="48">
        <f t="shared" si="172"/>
        <v>59880.661290322663</v>
      </c>
      <c r="G10415" s="4"/>
    </row>
    <row r="10416" spans="1:12" x14ac:dyDescent="0.3">
      <c r="A10416" s="45">
        <v>44537</v>
      </c>
      <c r="B10416" s="739" t="s">
        <v>4106</v>
      </c>
      <c r="C10416" s="739"/>
      <c r="D10416" s="739"/>
      <c r="E10416" s="43">
        <v>500000</v>
      </c>
      <c r="F10416" s="48">
        <f t="shared" si="172"/>
        <v>559880.66129032266</v>
      </c>
      <c r="I10416" s="52">
        <v>24000</v>
      </c>
      <c r="L10416" s="93"/>
    </row>
    <row r="10417" spans="1:8" x14ac:dyDescent="0.3">
      <c r="A10417" s="45">
        <v>44537</v>
      </c>
      <c r="B10417" s="5" t="s">
        <v>541</v>
      </c>
      <c r="C10417" s="5" t="s">
        <v>294</v>
      </c>
      <c r="D10417" s="43">
        <v>15000</v>
      </c>
      <c r="E10417" s="43"/>
      <c r="F10417" s="48">
        <f t="shared" si="172"/>
        <v>544880.66129032266</v>
      </c>
      <c r="G10417" s="4"/>
    </row>
    <row r="10418" spans="1:8" x14ac:dyDescent="0.3">
      <c r="A10418" s="45">
        <v>44537</v>
      </c>
      <c r="B10418" s="5" t="s">
        <v>8624</v>
      </c>
      <c r="C10418" s="5" t="s">
        <v>8629</v>
      </c>
      <c r="D10418" s="43">
        <v>116000</v>
      </c>
      <c r="E10418" s="43"/>
      <c r="F10418" s="48">
        <f t="shared" si="172"/>
        <v>428880.66129032266</v>
      </c>
      <c r="G10418" s="4"/>
    </row>
    <row r="10419" spans="1:8" x14ac:dyDescent="0.3">
      <c r="A10419" s="45">
        <v>44537</v>
      </c>
      <c r="B10419" s="5" t="s">
        <v>25</v>
      </c>
      <c r="C10419" s="5" t="s">
        <v>8630</v>
      </c>
      <c r="D10419" s="43">
        <v>150</v>
      </c>
      <c r="E10419" s="43"/>
      <c r="F10419" s="48">
        <f t="shared" si="172"/>
        <v>428730.66129032266</v>
      </c>
      <c r="G10419" s="4"/>
    </row>
    <row r="10420" spans="1:8" x14ac:dyDescent="0.3">
      <c r="A10420" s="45">
        <v>44537</v>
      </c>
      <c r="B10420" s="5" t="s">
        <v>8631</v>
      </c>
      <c r="C10420" s="5" t="s">
        <v>8632</v>
      </c>
      <c r="D10420" s="43">
        <v>2000</v>
      </c>
      <c r="E10420" s="43"/>
      <c r="F10420" s="48">
        <f t="shared" si="172"/>
        <v>426730.66129032266</v>
      </c>
      <c r="G10420" s="4"/>
    </row>
    <row r="10421" spans="1:8" x14ac:dyDescent="0.3">
      <c r="A10421" s="45">
        <v>44537</v>
      </c>
      <c r="B10421" s="5" t="s">
        <v>25</v>
      </c>
      <c r="C10421" s="5" t="s">
        <v>8152</v>
      </c>
      <c r="D10421" s="43">
        <v>2000</v>
      </c>
      <c r="E10421" s="43"/>
      <c r="F10421" s="48">
        <f t="shared" si="172"/>
        <v>424730.66129032266</v>
      </c>
      <c r="G10421" s="4"/>
    </row>
    <row r="10422" spans="1:8" x14ac:dyDescent="0.3">
      <c r="A10422" s="45">
        <v>44537</v>
      </c>
      <c r="B10422" s="5" t="s">
        <v>14</v>
      </c>
      <c r="C10422" s="5" t="s">
        <v>8633</v>
      </c>
      <c r="D10422" s="43">
        <v>10000</v>
      </c>
      <c r="E10422" s="43"/>
      <c r="F10422" s="48">
        <f t="shared" si="172"/>
        <v>414730.66129032266</v>
      </c>
      <c r="G10422" s="4"/>
    </row>
    <row r="10423" spans="1:8" x14ac:dyDescent="0.3">
      <c r="A10423" s="45">
        <v>44537</v>
      </c>
      <c r="B10423" s="218" t="s">
        <v>54</v>
      </c>
      <c r="C10423" s="218" t="s">
        <v>8634</v>
      </c>
      <c r="D10423" s="43">
        <v>49500</v>
      </c>
      <c r="E10423" s="43"/>
      <c r="F10423" s="48">
        <f t="shared" si="172"/>
        <v>365230.66129032266</v>
      </c>
      <c r="G10423" s="4"/>
      <c r="H10423" s="52">
        <f>H10434*H10433</f>
        <v>0</v>
      </c>
    </row>
    <row r="10424" spans="1:8" x14ac:dyDescent="0.3">
      <c r="A10424" s="45">
        <v>44537</v>
      </c>
      <c r="B10424" s="218" t="s">
        <v>54</v>
      </c>
      <c r="C10424" s="218" t="s">
        <v>8636</v>
      </c>
      <c r="D10424" s="43">
        <v>100304</v>
      </c>
      <c r="E10424" s="43"/>
      <c r="F10424" s="48">
        <f t="shared" si="172"/>
        <v>264926.66129032266</v>
      </c>
      <c r="G10424" s="4"/>
      <c r="H10424" s="52">
        <f>H10435*H10434</f>
        <v>0</v>
      </c>
    </row>
    <row r="10425" spans="1:8" x14ac:dyDescent="0.3">
      <c r="A10425" s="45">
        <v>44537</v>
      </c>
      <c r="B10425" s="218" t="s">
        <v>54</v>
      </c>
      <c r="C10425" s="218" t="s">
        <v>8637</v>
      </c>
      <c r="D10425" s="43">
        <v>78283</v>
      </c>
      <c r="E10425" s="43"/>
      <c r="F10425" s="48">
        <f t="shared" si="172"/>
        <v>186643.66129032266</v>
      </c>
      <c r="G10425" s="4"/>
      <c r="H10425" s="52">
        <f>H10436*H10435</f>
        <v>0</v>
      </c>
    </row>
    <row r="10426" spans="1:8" x14ac:dyDescent="0.3">
      <c r="A10426" s="45">
        <v>44537</v>
      </c>
      <c r="B10426" s="218" t="s">
        <v>54</v>
      </c>
      <c r="C10426" s="218" t="s">
        <v>8638</v>
      </c>
      <c r="D10426" s="43">
        <v>71000</v>
      </c>
      <c r="E10426" s="43"/>
      <c r="F10426" s="48">
        <f t="shared" si="172"/>
        <v>115643.66129032266</v>
      </c>
      <c r="G10426" s="4"/>
      <c r="H10426" s="52">
        <f>H10437*H10436</f>
        <v>0</v>
      </c>
    </row>
    <row r="10427" spans="1:8" x14ac:dyDescent="0.3">
      <c r="A10427" s="45">
        <v>44537</v>
      </c>
      <c r="B10427" s="218" t="s">
        <v>54</v>
      </c>
      <c r="C10427" s="218" t="s">
        <v>8639</v>
      </c>
      <c r="D10427" s="43">
        <v>1500</v>
      </c>
      <c r="E10427" s="43"/>
      <c r="F10427" s="48">
        <f t="shared" si="172"/>
        <v>114143.66129032266</v>
      </c>
      <c r="G10427" s="4"/>
      <c r="H10427" s="52">
        <f>H10438*H10437</f>
        <v>0</v>
      </c>
    </row>
    <row r="10428" spans="1:8" x14ac:dyDescent="0.3">
      <c r="A10428" s="45">
        <v>44537</v>
      </c>
      <c r="B10428" s="5" t="s">
        <v>68</v>
      </c>
      <c r="C10428" s="5" t="s">
        <v>8080</v>
      </c>
      <c r="D10428" s="43">
        <v>10000</v>
      </c>
      <c r="E10428" s="43"/>
      <c r="F10428" s="48">
        <f t="shared" si="172"/>
        <v>104143.66129032266</v>
      </c>
      <c r="G10428" s="4"/>
    </row>
    <row r="10429" spans="1:8" x14ac:dyDescent="0.3">
      <c r="A10429" s="45">
        <v>44537</v>
      </c>
      <c r="B10429" s="218" t="s">
        <v>54</v>
      </c>
      <c r="C10429" s="218" t="s">
        <v>6244</v>
      </c>
      <c r="D10429" s="43">
        <v>13570</v>
      </c>
      <c r="E10429" s="43"/>
      <c r="F10429" s="48">
        <f t="shared" si="172"/>
        <v>90573.661290322663</v>
      </c>
      <c r="G10429" s="4"/>
      <c r="H10429" s="52" t="e">
        <f>H10452*H10439</f>
        <v>#VALUE!</v>
      </c>
    </row>
    <row r="10430" spans="1:8" x14ac:dyDescent="0.3">
      <c r="A10430" s="45">
        <v>44537</v>
      </c>
      <c r="B10430" s="218" t="s">
        <v>54</v>
      </c>
      <c r="C10430" s="218" t="s">
        <v>6239</v>
      </c>
      <c r="D10430" s="43">
        <v>34067</v>
      </c>
      <c r="E10430" s="43"/>
      <c r="F10430" s="48">
        <f t="shared" si="172"/>
        <v>56506.661290322663</v>
      </c>
      <c r="G10430" s="4"/>
      <c r="H10430" s="52" t="e">
        <f>H10441*H10452</f>
        <v>#VALUE!</v>
      </c>
    </row>
    <row r="10431" spans="1:8" x14ac:dyDescent="0.3">
      <c r="A10431" s="45">
        <v>44538</v>
      </c>
      <c r="B10431" s="5" t="s">
        <v>8640</v>
      </c>
      <c r="C10431" s="5" t="s">
        <v>40</v>
      </c>
      <c r="D10431" s="43">
        <v>1000</v>
      </c>
      <c r="E10431" s="43"/>
      <c r="F10431" s="48">
        <f t="shared" si="172"/>
        <v>55506.661290322663</v>
      </c>
      <c r="G10431" s="4"/>
    </row>
    <row r="10432" spans="1:8" x14ac:dyDescent="0.3">
      <c r="A10432" s="45">
        <v>44538</v>
      </c>
      <c r="B10432" s="5" t="s">
        <v>63</v>
      </c>
      <c r="C10432" s="5" t="s">
        <v>8643</v>
      </c>
      <c r="D10432" s="43">
        <v>1500</v>
      </c>
      <c r="E10432" s="43"/>
      <c r="F10432" s="48">
        <f t="shared" si="172"/>
        <v>54006.661290322663</v>
      </c>
      <c r="G10432" s="4"/>
    </row>
    <row r="10433" spans="1:12" x14ac:dyDescent="0.3">
      <c r="A10433" s="45">
        <v>44538</v>
      </c>
      <c r="B10433" s="739" t="s">
        <v>4106</v>
      </c>
      <c r="C10433" s="739"/>
      <c r="D10433" s="739"/>
      <c r="E10433" s="43">
        <v>400000</v>
      </c>
      <c r="F10433" s="48">
        <f t="shared" si="172"/>
        <v>454006.66129032266</v>
      </c>
      <c r="I10433" s="52">
        <v>24000</v>
      </c>
      <c r="L10433" s="93"/>
    </row>
    <row r="10434" spans="1:12" x14ac:dyDescent="0.3">
      <c r="A10434" s="45">
        <v>44538</v>
      </c>
      <c r="B10434" s="5" t="s">
        <v>541</v>
      </c>
      <c r="C10434" s="5" t="s">
        <v>294</v>
      </c>
      <c r="D10434" s="43">
        <v>150000</v>
      </c>
      <c r="E10434" s="43"/>
      <c r="F10434" s="48">
        <f t="shared" si="172"/>
        <v>304006.66129032266</v>
      </c>
      <c r="G10434" s="4"/>
    </row>
    <row r="10435" spans="1:12" x14ac:dyDescent="0.3">
      <c r="A10435" s="45">
        <v>44539</v>
      </c>
      <c r="B10435" s="5" t="s">
        <v>57</v>
      </c>
      <c r="C10435" s="5" t="s">
        <v>294</v>
      </c>
      <c r="D10435" s="43">
        <v>10000</v>
      </c>
      <c r="E10435" s="43"/>
      <c r="F10435" s="48">
        <f t="shared" si="172"/>
        <v>294006.66129032266</v>
      </c>
      <c r="G10435" s="4"/>
    </row>
    <row r="10436" spans="1:12" x14ac:dyDescent="0.3">
      <c r="A10436" s="45">
        <v>44539</v>
      </c>
      <c r="B10436" s="218" t="s">
        <v>54</v>
      </c>
      <c r="C10436" s="218" t="s">
        <v>8645</v>
      </c>
      <c r="D10436" s="43">
        <v>133000</v>
      </c>
      <c r="E10436" s="43"/>
      <c r="F10436" s="48">
        <f t="shared" si="172"/>
        <v>161006.66129032266</v>
      </c>
      <c r="G10436" s="4"/>
      <c r="H10436" s="52">
        <f>H10447*H10446</f>
        <v>0</v>
      </c>
    </row>
    <row r="10437" spans="1:12" x14ac:dyDescent="0.3">
      <c r="A10437" s="45">
        <v>44539</v>
      </c>
      <c r="B10437" s="218" t="s">
        <v>54</v>
      </c>
      <c r="C10437" s="218" t="s">
        <v>8646</v>
      </c>
      <c r="D10437" s="43">
        <v>109971</v>
      </c>
      <c r="E10437" s="43"/>
      <c r="F10437" s="48">
        <f t="shared" si="172"/>
        <v>51035.661290322663</v>
      </c>
      <c r="G10437" s="4"/>
      <c r="H10437" s="52">
        <f>H10448*H10447</f>
        <v>0</v>
      </c>
    </row>
    <row r="10438" spans="1:12" x14ac:dyDescent="0.3">
      <c r="A10438" s="45">
        <v>44539</v>
      </c>
      <c r="B10438" s="5" t="s">
        <v>5709</v>
      </c>
      <c r="C10438" s="5" t="s">
        <v>8647</v>
      </c>
      <c r="D10438" s="43">
        <v>20000</v>
      </c>
      <c r="E10438" s="43"/>
      <c r="F10438" s="48">
        <f t="shared" si="172"/>
        <v>31035.661290322663</v>
      </c>
      <c r="G10438" s="4"/>
    </row>
    <row r="10439" spans="1:12" x14ac:dyDescent="0.3">
      <c r="A10439" s="45">
        <v>44539</v>
      </c>
      <c r="B10439" s="5" t="s">
        <v>25</v>
      </c>
      <c r="C10439" s="5" t="s">
        <v>8152</v>
      </c>
      <c r="D10439" s="43">
        <v>1700</v>
      </c>
      <c r="E10439" s="43"/>
      <c r="F10439" s="48">
        <f t="shared" si="172"/>
        <v>29335.661290322663</v>
      </c>
      <c r="G10439" s="4"/>
    </row>
    <row r="10440" spans="1:12" x14ac:dyDescent="0.3">
      <c r="A10440" s="45">
        <v>44539</v>
      </c>
      <c r="B10440" s="5" t="s">
        <v>1616</v>
      </c>
      <c r="C10440" s="5" t="s">
        <v>7002</v>
      </c>
      <c r="D10440" s="43">
        <v>600</v>
      </c>
      <c r="E10440" s="43"/>
      <c r="F10440" s="48">
        <f t="shared" si="172"/>
        <v>28735.661290322663</v>
      </c>
    </row>
    <row r="10441" spans="1:12" x14ac:dyDescent="0.3">
      <c r="A10441" s="45">
        <v>44539</v>
      </c>
      <c r="B10441" s="5" t="s">
        <v>8649</v>
      </c>
      <c r="C10441" s="5" t="s">
        <v>8650</v>
      </c>
      <c r="D10441" s="43">
        <v>15000</v>
      </c>
      <c r="E10441" s="43"/>
      <c r="F10441" s="48">
        <f t="shared" si="172"/>
        <v>13735.661290322663</v>
      </c>
      <c r="G10441" s="4"/>
    </row>
    <row r="10442" spans="1:12" x14ac:dyDescent="0.3">
      <c r="A10442" s="45">
        <v>44541</v>
      </c>
      <c r="B10442" s="5" t="s">
        <v>107</v>
      </c>
      <c r="C10442" s="5" t="s">
        <v>294</v>
      </c>
      <c r="D10442" s="43">
        <v>1000</v>
      </c>
      <c r="E10442" s="43"/>
      <c r="F10442" s="48">
        <f t="shared" si="172"/>
        <v>12735.661290322663</v>
      </c>
      <c r="G10442" s="4"/>
    </row>
    <row r="10443" spans="1:12" x14ac:dyDescent="0.3">
      <c r="A10443" s="45">
        <v>44543</v>
      </c>
      <c r="B10443" s="739" t="s">
        <v>7440</v>
      </c>
      <c r="C10443" s="739"/>
      <c r="D10443" s="739"/>
      <c r="E10443" s="43">
        <v>100000</v>
      </c>
      <c r="F10443" s="48">
        <f t="shared" si="172"/>
        <v>112735.66129032266</v>
      </c>
      <c r="I10443" s="52">
        <v>24000</v>
      </c>
      <c r="L10443" s="93"/>
    </row>
    <row r="10444" spans="1:12" x14ac:dyDescent="0.3">
      <c r="A10444" s="45">
        <v>44543</v>
      </c>
      <c r="B10444" s="5" t="s">
        <v>3554</v>
      </c>
      <c r="C10444" s="5" t="s">
        <v>8651</v>
      </c>
      <c r="D10444" s="43">
        <v>20000</v>
      </c>
      <c r="E10444" s="43"/>
      <c r="F10444" s="48">
        <f t="shared" si="172"/>
        <v>92735.661290322663</v>
      </c>
      <c r="G10444" s="4"/>
      <c r="H10444" s="52">
        <v>12000</v>
      </c>
    </row>
    <row r="10445" spans="1:12" x14ac:dyDescent="0.3">
      <c r="A10445" s="45">
        <v>44543</v>
      </c>
      <c r="B10445" s="5" t="s">
        <v>3554</v>
      </c>
      <c r="C10445" s="5" t="s">
        <v>8652</v>
      </c>
      <c r="D10445" s="43">
        <v>20000</v>
      </c>
      <c r="E10445" s="43"/>
      <c r="F10445" s="48">
        <f t="shared" si="172"/>
        <v>72735.661290322663</v>
      </c>
      <c r="G10445" s="4"/>
      <c r="H10445" s="52">
        <v>12</v>
      </c>
    </row>
    <row r="10446" spans="1:12" x14ac:dyDescent="0.3">
      <c r="A10446" s="45">
        <v>44544</v>
      </c>
      <c r="B10446" s="5" t="s">
        <v>57</v>
      </c>
      <c r="C10446" s="5" t="s">
        <v>294</v>
      </c>
      <c r="D10446" s="43">
        <v>2000</v>
      </c>
      <c r="E10446" s="43"/>
      <c r="F10446" s="48">
        <f t="shared" si="172"/>
        <v>70735.661290322663</v>
      </c>
      <c r="G10446" s="4"/>
      <c r="H10446" s="52">
        <f>H10445*H10444</f>
        <v>144000</v>
      </c>
      <c r="I10446" s="52">
        <v>12</v>
      </c>
      <c r="J10446" s="52">
        <f>I10446*H10446</f>
        <v>1728000</v>
      </c>
    </row>
    <row r="10447" spans="1:12" x14ac:dyDescent="0.3">
      <c r="A10447" s="45">
        <v>44544</v>
      </c>
      <c r="B10447" s="5" t="s">
        <v>5709</v>
      </c>
      <c r="C10447" s="5" t="s">
        <v>8658</v>
      </c>
      <c r="D10447" s="43">
        <v>6545</v>
      </c>
      <c r="E10447" s="43"/>
      <c r="F10447" s="48">
        <f t="shared" si="172"/>
        <v>64190.661290322663</v>
      </c>
      <c r="G10447" s="4"/>
    </row>
    <row r="10448" spans="1:12" x14ac:dyDescent="0.3">
      <c r="A10448" s="45">
        <v>44544</v>
      </c>
      <c r="B10448" s="5" t="s">
        <v>5709</v>
      </c>
      <c r="C10448" s="5" t="s">
        <v>8659</v>
      </c>
      <c r="D10448" s="43">
        <v>1500</v>
      </c>
      <c r="E10448" s="43"/>
      <c r="F10448" s="48">
        <f t="shared" si="172"/>
        <v>62690.661290322663</v>
      </c>
      <c r="G10448" s="4"/>
    </row>
    <row r="10449" spans="1:12" x14ac:dyDescent="0.3">
      <c r="A10449" s="45">
        <v>44546</v>
      </c>
      <c r="B10449" s="5" t="s">
        <v>57</v>
      </c>
      <c r="C10449" s="5" t="s">
        <v>294</v>
      </c>
      <c r="D10449" s="43">
        <v>4000</v>
      </c>
      <c r="E10449" s="43"/>
      <c r="F10449" s="48">
        <f t="shared" si="172"/>
        <v>58690.661290322663</v>
      </c>
      <c r="G10449" s="4"/>
    </row>
    <row r="10450" spans="1:12" x14ac:dyDescent="0.3">
      <c r="A10450" s="45">
        <v>44546</v>
      </c>
      <c r="B10450" s="5" t="s">
        <v>107</v>
      </c>
      <c r="C10450" s="5" t="s">
        <v>294</v>
      </c>
      <c r="D10450" s="43">
        <v>1000</v>
      </c>
      <c r="E10450" s="43"/>
      <c r="F10450" s="48">
        <f t="shared" si="172"/>
        <v>57690.661290322663</v>
      </c>
      <c r="G10450" s="4"/>
    </row>
    <row r="10451" spans="1:12" x14ac:dyDescent="0.3">
      <c r="A10451" s="45">
        <v>44546</v>
      </c>
      <c r="B10451" s="5" t="s">
        <v>25</v>
      </c>
      <c r="C10451" s="5" t="s">
        <v>8152</v>
      </c>
      <c r="D10451" s="43">
        <v>2300</v>
      </c>
      <c r="E10451" s="43"/>
      <c r="F10451" s="48">
        <f t="shared" si="172"/>
        <v>55390.661290322663</v>
      </c>
      <c r="G10451" s="4"/>
    </row>
    <row r="10452" spans="1:12" x14ac:dyDescent="0.3">
      <c r="A10452" s="45">
        <v>44546</v>
      </c>
      <c r="B10452" s="5" t="s">
        <v>1074</v>
      </c>
      <c r="C10452" s="5" t="s">
        <v>8662</v>
      </c>
      <c r="D10452" s="43">
        <f>4630+1320</f>
        <v>5950</v>
      </c>
      <c r="E10452" s="43"/>
      <c r="F10452" s="48">
        <f t="shared" si="172"/>
        <v>49440.661290322663</v>
      </c>
      <c r="G10452" s="4">
        <v>2000</v>
      </c>
      <c r="H10452" s="52" t="s">
        <v>3205</v>
      </c>
    </row>
    <row r="10453" spans="1:12" x14ac:dyDescent="0.3">
      <c r="A10453" s="45">
        <v>44546</v>
      </c>
      <c r="B10453" s="5" t="s">
        <v>1074</v>
      </c>
      <c r="C10453" s="5" t="s">
        <v>8663</v>
      </c>
      <c r="D10453" s="43">
        <f>1460+1130</f>
        <v>2590</v>
      </c>
      <c r="E10453" s="43"/>
      <c r="F10453" s="48">
        <f t="shared" si="172"/>
        <v>46850.661290322663</v>
      </c>
      <c r="G10453" s="4"/>
    </row>
    <row r="10454" spans="1:12" x14ac:dyDescent="0.3">
      <c r="A10454" s="45">
        <v>44547</v>
      </c>
      <c r="B10454" s="5" t="s">
        <v>14</v>
      </c>
      <c r="C10454" s="5" t="s">
        <v>294</v>
      </c>
      <c r="D10454" s="43">
        <v>3000</v>
      </c>
      <c r="E10454" s="43"/>
      <c r="F10454" s="48">
        <f t="shared" si="172"/>
        <v>43850.661290322663</v>
      </c>
      <c r="G10454" s="4"/>
    </row>
    <row r="10455" spans="1:12" x14ac:dyDescent="0.3">
      <c r="A10455" s="45">
        <v>44548</v>
      </c>
      <c r="B10455" s="5" t="s">
        <v>57</v>
      </c>
      <c r="C10455" s="5" t="s">
        <v>294</v>
      </c>
      <c r="D10455" s="43">
        <v>5000</v>
      </c>
      <c r="E10455" s="43"/>
      <c r="F10455" s="48">
        <f t="shared" si="172"/>
        <v>38850.661290322663</v>
      </c>
      <c r="G10455" s="4"/>
    </row>
    <row r="10456" spans="1:12" x14ac:dyDescent="0.3">
      <c r="A10456" s="45">
        <v>44548</v>
      </c>
      <c r="B10456" s="5" t="s">
        <v>84</v>
      </c>
      <c r="C10456" s="5" t="s">
        <v>8664</v>
      </c>
      <c r="D10456" s="43">
        <v>8000</v>
      </c>
      <c r="E10456" s="43"/>
      <c r="F10456" s="48">
        <f t="shared" si="172"/>
        <v>30850.661290322663</v>
      </c>
      <c r="G10456" s="4"/>
    </row>
    <row r="10457" spans="1:12" x14ac:dyDescent="0.3">
      <c r="A10457" s="45">
        <v>44548</v>
      </c>
      <c r="B10457" s="5" t="s">
        <v>84</v>
      </c>
      <c r="C10457" s="5" t="s">
        <v>8665</v>
      </c>
      <c r="D10457" s="43">
        <v>8000</v>
      </c>
      <c r="E10457" s="43"/>
      <c r="F10457" s="48">
        <f t="shared" si="172"/>
        <v>22850.661290322663</v>
      </c>
      <c r="G10457" s="4"/>
    </row>
    <row r="10458" spans="1:12" x14ac:dyDescent="0.3">
      <c r="A10458" s="45">
        <v>44550</v>
      </c>
      <c r="B10458" s="5" t="s">
        <v>68</v>
      </c>
      <c r="C10458" s="5" t="s">
        <v>294</v>
      </c>
      <c r="D10458" s="43">
        <v>1000</v>
      </c>
      <c r="E10458" s="43"/>
      <c r="F10458" s="48">
        <f t="shared" si="172"/>
        <v>21850.661290322663</v>
      </c>
      <c r="G10458" s="4"/>
    </row>
    <row r="10459" spans="1:12" x14ac:dyDescent="0.3">
      <c r="A10459" s="45">
        <v>44550</v>
      </c>
      <c r="B10459" s="5" t="s">
        <v>14</v>
      </c>
      <c r="C10459" s="5" t="s">
        <v>294</v>
      </c>
      <c r="D10459" s="43">
        <v>15000</v>
      </c>
      <c r="E10459" s="43"/>
      <c r="F10459" s="48">
        <f t="shared" si="172"/>
        <v>6850.6612903226633</v>
      </c>
      <c r="G10459" s="4"/>
    </row>
    <row r="10460" spans="1:12" x14ac:dyDescent="0.3">
      <c r="A10460" s="45">
        <v>44550</v>
      </c>
      <c r="B10460" s="5" t="s">
        <v>5709</v>
      </c>
      <c r="C10460" s="5" t="s">
        <v>294</v>
      </c>
      <c r="D10460" s="43">
        <v>500</v>
      </c>
      <c r="E10460" s="43"/>
      <c r="F10460" s="48">
        <f t="shared" si="172"/>
        <v>6350.6612903226633</v>
      </c>
      <c r="G10460" s="4"/>
    </row>
    <row r="10461" spans="1:12" x14ac:dyDescent="0.3">
      <c r="A10461" s="45">
        <v>44550</v>
      </c>
      <c r="B10461" s="739" t="s">
        <v>8290</v>
      </c>
      <c r="C10461" s="739"/>
      <c r="D10461" s="739"/>
      <c r="E10461" s="43">
        <v>40000</v>
      </c>
      <c r="F10461" s="48">
        <f t="shared" si="172"/>
        <v>46350.661290322663</v>
      </c>
      <c r="I10461" s="52">
        <v>24000</v>
      </c>
      <c r="L10461" s="93"/>
    </row>
    <row r="10462" spans="1:12" x14ac:dyDescent="0.3">
      <c r="A10462" s="45">
        <v>44550</v>
      </c>
      <c r="B10462" s="5" t="s">
        <v>84</v>
      </c>
      <c r="C10462" s="5" t="s">
        <v>8666</v>
      </c>
      <c r="D10462" s="43">
        <v>30000</v>
      </c>
      <c r="E10462" s="43"/>
      <c r="F10462" s="48">
        <f t="shared" si="172"/>
        <v>16350.661290322663</v>
      </c>
      <c r="G10462" s="4"/>
    </row>
    <row r="10463" spans="1:12" x14ac:dyDescent="0.3">
      <c r="A10463" s="45">
        <v>44550</v>
      </c>
      <c r="B10463" s="5" t="s">
        <v>84</v>
      </c>
      <c r="C10463" s="5" t="s">
        <v>8667</v>
      </c>
      <c r="D10463" s="43">
        <v>10000</v>
      </c>
      <c r="E10463" s="43"/>
      <c r="F10463" s="48">
        <f t="shared" si="172"/>
        <v>6350.6612903226633</v>
      </c>
      <c r="G10463" s="4"/>
    </row>
    <row r="10464" spans="1:12" x14ac:dyDescent="0.3">
      <c r="A10464" s="45">
        <v>44550</v>
      </c>
      <c r="B10464" s="5" t="s">
        <v>5162</v>
      </c>
      <c r="C10464" s="5" t="s">
        <v>6552</v>
      </c>
      <c r="D10464" s="43">
        <v>600</v>
      </c>
      <c r="E10464" s="43"/>
      <c r="F10464" s="48">
        <f t="shared" si="172"/>
        <v>5750.6612903226633</v>
      </c>
      <c r="G10464" s="4"/>
    </row>
    <row r="10465" spans="1:12" x14ac:dyDescent="0.3">
      <c r="A10465" s="45">
        <v>44550</v>
      </c>
      <c r="B10465" s="5" t="s">
        <v>5156</v>
      </c>
      <c r="C10465" s="5" t="s">
        <v>3563</v>
      </c>
      <c r="D10465" s="43">
        <v>1500</v>
      </c>
      <c r="E10465" s="43"/>
      <c r="F10465" s="48">
        <f t="shared" si="172"/>
        <v>4250.6612903226633</v>
      </c>
      <c r="G10465" s="4"/>
    </row>
    <row r="10466" spans="1:12" x14ac:dyDescent="0.3">
      <c r="A10466" s="45">
        <v>44551</v>
      </c>
      <c r="B10466" s="5" t="s">
        <v>25</v>
      </c>
      <c r="C10466" s="5" t="s">
        <v>8152</v>
      </c>
      <c r="D10466" s="43">
        <v>2250</v>
      </c>
      <c r="E10466" s="43"/>
      <c r="F10466" s="48">
        <f t="shared" si="172"/>
        <v>2000.6612903226633</v>
      </c>
      <c r="G10466" s="4"/>
    </row>
    <row r="10467" spans="1:12" x14ac:dyDescent="0.3">
      <c r="A10467" s="45">
        <v>44551</v>
      </c>
      <c r="B10467" s="739" t="s">
        <v>4106</v>
      </c>
      <c r="C10467" s="739"/>
      <c r="D10467" s="739"/>
      <c r="E10467" s="43">
        <v>100000</v>
      </c>
      <c r="F10467" s="48">
        <f t="shared" si="172"/>
        <v>102000.66129032266</v>
      </c>
      <c r="G10467" s="4">
        <v>2750</v>
      </c>
      <c r="H10467" s="52" t="s">
        <v>3205</v>
      </c>
      <c r="I10467" s="52">
        <v>24000</v>
      </c>
      <c r="L10467" s="93"/>
    </row>
    <row r="10468" spans="1:12" x14ac:dyDescent="0.3">
      <c r="A10468" s="45">
        <v>44551</v>
      </c>
      <c r="B10468" s="5" t="s">
        <v>6430</v>
      </c>
      <c r="C10468" s="5" t="s">
        <v>8668</v>
      </c>
      <c r="D10468" s="43">
        <v>1700</v>
      </c>
      <c r="E10468" s="43"/>
      <c r="F10468" s="48">
        <f t="shared" si="172"/>
        <v>100300.66129032266</v>
      </c>
      <c r="G10468" s="4"/>
    </row>
    <row r="10469" spans="1:12" x14ac:dyDescent="0.3">
      <c r="A10469" s="45">
        <v>44552</v>
      </c>
      <c r="B10469" s="5" t="s">
        <v>57</v>
      </c>
      <c r="C10469" s="5" t="s">
        <v>294</v>
      </c>
      <c r="D10469" s="43">
        <v>2000</v>
      </c>
      <c r="E10469" s="43"/>
      <c r="F10469" s="48">
        <f t="shared" ref="F10469:F10532" si="173">F10468+E10469-D10469</f>
        <v>98300.661290322663</v>
      </c>
      <c r="G10469" s="4"/>
    </row>
    <row r="10470" spans="1:12" x14ac:dyDescent="0.3">
      <c r="A10470" s="45">
        <v>44552</v>
      </c>
      <c r="B10470" s="5" t="s">
        <v>8669</v>
      </c>
      <c r="C10470" s="5" t="s">
        <v>8670</v>
      </c>
      <c r="D10470" s="43">
        <v>30000</v>
      </c>
      <c r="E10470" s="43"/>
      <c r="F10470" s="48">
        <f t="shared" si="173"/>
        <v>68300.661290322663</v>
      </c>
      <c r="G10470" s="4"/>
    </row>
    <row r="10471" spans="1:12" x14ac:dyDescent="0.3">
      <c r="A10471" s="45">
        <v>44552</v>
      </c>
      <c r="B10471" s="139" t="s">
        <v>8594</v>
      </c>
      <c r="C10471" s="139" t="s">
        <v>8550</v>
      </c>
      <c r="D10471" s="140">
        <v>40000</v>
      </c>
      <c r="E10471" s="43"/>
      <c r="F10471" s="48">
        <f t="shared" si="173"/>
        <v>28300.661290322663</v>
      </c>
      <c r="G10471" s="4"/>
      <c r="H10471" s="52">
        <v>54000</v>
      </c>
    </row>
    <row r="10472" spans="1:12" x14ac:dyDescent="0.3">
      <c r="A10472" s="45">
        <v>44552</v>
      </c>
      <c r="B10472" s="5" t="s">
        <v>84</v>
      </c>
      <c r="C10472" s="5" t="s">
        <v>8672</v>
      </c>
      <c r="D10472" s="43">
        <v>2000</v>
      </c>
      <c r="E10472" s="43"/>
      <c r="F10472" s="48">
        <f t="shared" si="173"/>
        <v>26300.661290322663</v>
      </c>
      <c r="G10472" s="4"/>
      <c r="H10472" s="52">
        <f>25850+7200+9900</f>
        <v>42950</v>
      </c>
    </row>
    <row r="10473" spans="1:12" x14ac:dyDescent="0.3">
      <c r="A10473" s="45">
        <v>44552</v>
      </c>
      <c r="B10473" s="5" t="s">
        <v>3563</v>
      </c>
      <c r="C10473" s="5" t="s">
        <v>8671</v>
      </c>
      <c r="D10473" s="43">
        <v>900</v>
      </c>
      <c r="E10473" s="43"/>
      <c r="F10473" s="48">
        <f t="shared" si="173"/>
        <v>25400.661290322663</v>
      </c>
      <c r="G10473" s="4"/>
      <c r="H10473" s="52">
        <v>122910</v>
      </c>
    </row>
    <row r="10474" spans="1:12" x14ac:dyDescent="0.3">
      <c r="A10474" s="45">
        <v>44552</v>
      </c>
      <c r="B10474" s="5" t="s">
        <v>18</v>
      </c>
      <c r="C10474" s="5" t="s">
        <v>640</v>
      </c>
      <c r="D10474" s="43">
        <v>800</v>
      </c>
      <c r="E10474" s="43"/>
      <c r="F10474" s="48">
        <f t="shared" si="173"/>
        <v>24600.661290322663</v>
      </c>
      <c r="G10474" s="4"/>
      <c r="H10474" s="52">
        <v>39060</v>
      </c>
    </row>
    <row r="10475" spans="1:12" x14ac:dyDescent="0.3">
      <c r="A10475" s="45">
        <v>44552</v>
      </c>
      <c r="B10475" s="5" t="s">
        <v>84</v>
      </c>
      <c r="C10475" s="5" t="s">
        <v>8665</v>
      </c>
      <c r="D10475" s="43">
        <v>3000</v>
      </c>
      <c r="E10475" s="43"/>
      <c r="F10475" s="48">
        <f t="shared" si="173"/>
        <v>21600.661290322663</v>
      </c>
      <c r="G10475" s="4"/>
      <c r="H10475" s="52">
        <f>25850+7200+9900</f>
        <v>42950</v>
      </c>
    </row>
    <row r="10476" spans="1:12" x14ac:dyDescent="0.3">
      <c r="A10476" s="45">
        <v>44552</v>
      </c>
      <c r="B10476" s="5" t="s">
        <v>5162</v>
      </c>
      <c r="C10476" s="5" t="s">
        <v>8673</v>
      </c>
      <c r="D10476" s="43">
        <v>2000</v>
      </c>
      <c r="E10476" s="43"/>
      <c r="F10476" s="48">
        <f t="shared" si="173"/>
        <v>19600.661290322663</v>
      </c>
      <c r="G10476" s="4"/>
    </row>
    <row r="10477" spans="1:12" x14ac:dyDescent="0.3">
      <c r="A10477" s="45">
        <v>44553</v>
      </c>
      <c r="B10477" s="5" t="s">
        <v>4550</v>
      </c>
      <c r="C10477" s="5" t="s">
        <v>294</v>
      </c>
      <c r="D10477" s="43">
        <v>5000</v>
      </c>
      <c r="E10477" s="43"/>
      <c r="F10477" s="48">
        <f t="shared" si="173"/>
        <v>14600.661290322663</v>
      </c>
      <c r="G10477" s="4"/>
    </row>
    <row r="10478" spans="1:12" x14ac:dyDescent="0.3">
      <c r="A10478" s="45">
        <v>44553</v>
      </c>
      <c r="B10478" s="139" t="s">
        <v>8560</v>
      </c>
      <c r="C10478" s="139" t="s">
        <v>8674</v>
      </c>
      <c r="D10478" s="140"/>
      <c r="E10478" s="140">
        <v>23000</v>
      </c>
      <c r="F10478" s="48">
        <f t="shared" si="173"/>
        <v>37600.661290322663</v>
      </c>
      <c r="G10478" s="4"/>
    </row>
    <row r="10479" spans="1:12" x14ac:dyDescent="0.3">
      <c r="A10479" s="45">
        <v>44553</v>
      </c>
      <c r="B10479" s="5" t="s">
        <v>84</v>
      </c>
      <c r="C10479" s="5" t="s">
        <v>8691</v>
      </c>
      <c r="D10479" s="43">
        <v>15000</v>
      </c>
      <c r="E10479" s="43"/>
      <c r="F10479" s="48">
        <f t="shared" si="173"/>
        <v>22600.661290322663</v>
      </c>
      <c r="G10479" s="4"/>
      <c r="H10479" s="52">
        <f>25850+7200+9900</f>
        <v>42950</v>
      </c>
    </row>
    <row r="10480" spans="1:12" x14ac:dyDescent="0.3">
      <c r="A10480" s="45">
        <v>44553</v>
      </c>
      <c r="B10480" s="5" t="s">
        <v>25</v>
      </c>
      <c r="C10480" s="5" t="s">
        <v>8692</v>
      </c>
      <c r="D10480" s="43">
        <v>100</v>
      </c>
      <c r="E10480" s="43"/>
      <c r="F10480" s="48">
        <f t="shared" si="173"/>
        <v>22500.661290322663</v>
      </c>
      <c r="G10480" s="4"/>
    </row>
    <row r="10481" spans="1:12" x14ac:dyDescent="0.3">
      <c r="A10481" s="45">
        <v>44553</v>
      </c>
      <c r="B10481" s="5" t="s">
        <v>25</v>
      </c>
      <c r="C10481" s="5" t="s">
        <v>8152</v>
      </c>
      <c r="D10481" s="43">
        <v>2250</v>
      </c>
      <c r="E10481" s="43"/>
      <c r="F10481" s="48">
        <f t="shared" si="173"/>
        <v>20250.661290322663</v>
      </c>
      <c r="G10481" s="4"/>
    </row>
    <row r="10482" spans="1:12" x14ac:dyDescent="0.3">
      <c r="A10482" s="45">
        <v>44553</v>
      </c>
      <c r="B10482" s="5" t="s">
        <v>6959</v>
      </c>
      <c r="C10482" s="5" t="s">
        <v>2013</v>
      </c>
      <c r="D10482" s="43">
        <v>150</v>
      </c>
      <c r="E10482" s="43"/>
      <c r="F10482" s="48">
        <f t="shared" si="173"/>
        <v>20100.661290322663</v>
      </c>
      <c r="G10482" s="4">
        <v>2300</v>
      </c>
      <c r="H10482" s="52" t="s">
        <v>3205</v>
      </c>
    </row>
    <row r="10483" spans="1:12" x14ac:dyDescent="0.3">
      <c r="A10483" s="45">
        <v>44553</v>
      </c>
      <c r="B10483" s="5" t="s">
        <v>25</v>
      </c>
      <c r="C10483" s="5" t="s">
        <v>2637</v>
      </c>
      <c r="D10483" s="43">
        <v>1000</v>
      </c>
      <c r="E10483" s="43"/>
      <c r="F10483" s="48">
        <f t="shared" si="173"/>
        <v>19100.661290322663</v>
      </c>
      <c r="G10483" s="4"/>
    </row>
    <row r="10484" spans="1:12" x14ac:dyDescent="0.3">
      <c r="A10484" s="45">
        <v>44554</v>
      </c>
      <c r="B10484" s="5" t="s">
        <v>25</v>
      </c>
      <c r="C10484" s="5" t="s">
        <v>8693</v>
      </c>
      <c r="D10484" s="43">
        <v>3000</v>
      </c>
      <c r="E10484" s="43"/>
      <c r="F10484" s="48">
        <f t="shared" si="173"/>
        <v>16100.661290322663</v>
      </c>
      <c r="G10484" s="4"/>
    </row>
    <row r="10485" spans="1:12" x14ac:dyDescent="0.3">
      <c r="A10485" s="45">
        <v>44554</v>
      </c>
      <c r="B10485" s="739" t="s">
        <v>4106</v>
      </c>
      <c r="C10485" s="739"/>
      <c r="D10485" s="739"/>
      <c r="E10485" s="43">
        <v>300000</v>
      </c>
      <c r="F10485" s="48">
        <f t="shared" si="173"/>
        <v>316100.66129032266</v>
      </c>
      <c r="G10485" s="4">
        <v>2750</v>
      </c>
      <c r="H10485" s="52" t="s">
        <v>3205</v>
      </c>
      <c r="I10485" s="52">
        <v>24000</v>
      </c>
      <c r="L10485" s="93"/>
    </row>
    <row r="10486" spans="1:12" x14ac:dyDescent="0.3">
      <c r="A10486" s="45">
        <v>44554</v>
      </c>
      <c r="B10486" s="5" t="s">
        <v>541</v>
      </c>
      <c r="C10486" s="5" t="s">
        <v>543</v>
      </c>
      <c r="D10486" s="43">
        <v>120000</v>
      </c>
      <c r="E10486" s="43"/>
      <c r="F10486" s="48">
        <f t="shared" si="173"/>
        <v>196100.66129032266</v>
      </c>
      <c r="G10486" s="4"/>
    </row>
    <row r="10487" spans="1:12" x14ac:dyDescent="0.3">
      <c r="A10487" s="45">
        <v>44557</v>
      </c>
      <c r="B10487" s="5" t="s">
        <v>6959</v>
      </c>
      <c r="C10487" s="5" t="s">
        <v>8702</v>
      </c>
      <c r="D10487" s="43">
        <v>200</v>
      </c>
      <c r="E10487" s="43"/>
      <c r="F10487" s="48">
        <f t="shared" si="173"/>
        <v>195900.66129032266</v>
      </c>
      <c r="G10487" s="4">
        <f>20114+550</f>
        <v>20664</v>
      </c>
    </row>
    <row r="10488" spans="1:12" x14ac:dyDescent="0.3">
      <c r="A10488" s="45">
        <v>44557</v>
      </c>
      <c r="B10488" s="5" t="s">
        <v>57</v>
      </c>
      <c r="C10488" s="5" t="s">
        <v>40</v>
      </c>
      <c r="D10488" s="43">
        <v>500</v>
      </c>
      <c r="E10488" s="43"/>
      <c r="F10488" s="48">
        <f t="shared" si="173"/>
        <v>195400.66129032266</v>
      </c>
      <c r="G10488" s="4">
        <v>20817</v>
      </c>
      <c r="H10488" s="52">
        <f>G10489+G10488</f>
        <v>27036</v>
      </c>
    </row>
    <row r="10489" spans="1:12" x14ac:dyDescent="0.3">
      <c r="A10489" s="45">
        <v>44557</v>
      </c>
      <c r="B10489" s="5" t="s">
        <v>14</v>
      </c>
      <c r="C10489" s="5" t="s">
        <v>8704</v>
      </c>
      <c r="D10489" s="43">
        <v>4765</v>
      </c>
      <c r="E10489" s="43"/>
      <c r="F10489" s="48">
        <f t="shared" si="173"/>
        <v>190635.66129032266</v>
      </c>
      <c r="G10489" s="4">
        <f>47700-G10488-G10487</f>
        <v>6219</v>
      </c>
    </row>
    <row r="10490" spans="1:12" x14ac:dyDescent="0.3">
      <c r="A10490" s="45">
        <v>44557</v>
      </c>
      <c r="B10490" s="5" t="s">
        <v>84</v>
      </c>
      <c r="C10490" s="5" t="s">
        <v>8705</v>
      </c>
      <c r="D10490" s="43">
        <v>4000</v>
      </c>
      <c r="E10490" s="43"/>
      <c r="F10490" s="48">
        <f t="shared" si="173"/>
        <v>186635.66129032266</v>
      </c>
      <c r="G10490" s="4"/>
      <c r="H10490" s="52">
        <f>25850+7200+9900</f>
        <v>42950</v>
      </c>
    </row>
    <row r="10491" spans="1:12" x14ac:dyDescent="0.3">
      <c r="A10491" s="45">
        <v>44558</v>
      </c>
      <c r="B10491" s="5" t="s">
        <v>14</v>
      </c>
      <c r="C10491" s="5" t="s">
        <v>294</v>
      </c>
      <c r="D10491" s="43">
        <v>1000</v>
      </c>
      <c r="E10491" s="43"/>
      <c r="F10491" s="48">
        <f t="shared" si="173"/>
        <v>185635.66129032266</v>
      </c>
      <c r="G10491" s="4"/>
    </row>
    <row r="10492" spans="1:12" x14ac:dyDescent="0.3">
      <c r="A10492" s="45">
        <v>44558</v>
      </c>
      <c r="B10492" s="5" t="s">
        <v>57</v>
      </c>
      <c r="C10492" s="5" t="s">
        <v>294</v>
      </c>
      <c r="D10492" s="43">
        <v>1000</v>
      </c>
      <c r="E10492" s="43"/>
      <c r="F10492" s="48">
        <f t="shared" si="173"/>
        <v>184635.66129032266</v>
      </c>
      <c r="G10492" s="4"/>
    </row>
    <row r="10493" spans="1:12" x14ac:dyDescent="0.3">
      <c r="A10493" s="45">
        <v>44558</v>
      </c>
      <c r="B10493" s="5" t="s">
        <v>68</v>
      </c>
      <c r="C10493" s="5" t="s">
        <v>294</v>
      </c>
      <c r="D10493" s="43">
        <v>53300</v>
      </c>
      <c r="E10493" s="43"/>
      <c r="F10493" s="48">
        <f t="shared" si="173"/>
        <v>131335.66129032266</v>
      </c>
      <c r="G10493" s="4"/>
    </row>
    <row r="10494" spans="1:12" x14ac:dyDescent="0.3">
      <c r="A10494" s="45">
        <v>44558</v>
      </c>
      <c r="B10494" s="5" t="s">
        <v>25</v>
      </c>
      <c r="C10494" s="5" t="s">
        <v>8152</v>
      </c>
      <c r="D10494" s="43">
        <v>3250</v>
      </c>
      <c r="E10494" s="43"/>
      <c r="F10494" s="48">
        <f t="shared" si="173"/>
        <v>128085.66129032266</v>
      </c>
      <c r="G10494" s="4" t="s">
        <v>3205</v>
      </c>
      <c r="H10494" s="52">
        <v>3000</v>
      </c>
    </row>
    <row r="10495" spans="1:12" x14ac:dyDescent="0.3">
      <c r="A10495" s="45">
        <v>44559</v>
      </c>
      <c r="B10495" s="5" t="s">
        <v>68</v>
      </c>
      <c r="C10495" s="5" t="s">
        <v>8707</v>
      </c>
      <c r="D10495" s="43">
        <v>10000</v>
      </c>
      <c r="E10495" s="43"/>
      <c r="F10495" s="48">
        <f t="shared" si="173"/>
        <v>118085.66129032266</v>
      </c>
      <c r="G10495" s="4"/>
    </row>
    <row r="10496" spans="1:12" x14ac:dyDescent="0.3">
      <c r="A10496" s="45">
        <v>44559</v>
      </c>
      <c r="B10496" s="5" t="s">
        <v>8708</v>
      </c>
      <c r="C10496" s="5" t="s">
        <v>8709</v>
      </c>
      <c r="D10496" s="43">
        <v>1000</v>
      </c>
      <c r="E10496" s="43"/>
      <c r="F10496" s="48">
        <f t="shared" si="173"/>
        <v>117085.66129032266</v>
      </c>
      <c r="G10496" s="4"/>
    </row>
    <row r="10497" spans="1:8" x14ac:dyDescent="0.3">
      <c r="A10497" s="45">
        <v>44559</v>
      </c>
      <c r="B10497" s="5" t="s">
        <v>18</v>
      </c>
      <c r="C10497" s="5" t="s">
        <v>8711</v>
      </c>
      <c r="D10497" s="43">
        <v>3000</v>
      </c>
      <c r="E10497" s="43"/>
      <c r="F10497" s="48">
        <f t="shared" si="173"/>
        <v>114085.66129032266</v>
      </c>
      <c r="G10497" s="4"/>
    </row>
    <row r="10498" spans="1:8" x14ac:dyDescent="0.3">
      <c r="A10498" s="45">
        <v>44559</v>
      </c>
      <c r="B10498" s="5" t="s">
        <v>18</v>
      </c>
      <c r="C10498" s="5" t="s">
        <v>8712</v>
      </c>
      <c r="D10498" s="43">
        <v>5000</v>
      </c>
      <c r="E10498" s="43"/>
      <c r="F10498" s="48">
        <f t="shared" si="173"/>
        <v>109085.66129032266</v>
      </c>
      <c r="G10498" s="4"/>
    </row>
    <row r="10499" spans="1:8" x14ac:dyDescent="0.3">
      <c r="A10499" s="45">
        <v>44560</v>
      </c>
      <c r="B10499" s="5" t="s">
        <v>84</v>
      </c>
      <c r="C10499" s="5" t="s">
        <v>8713</v>
      </c>
      <c r="D10499" s="43">
        <v>5000</v>
      </c>
      <c r="E10499" s="43"/>
      <c r="F10499" s="48">
        <f t="shared" si="173"/>
        <v>104085.66129032266</v>
      </c>
      <c r="G10499" s="4"/>
      <c r="H10499" s="52">
        <f>25850+7200+9900</f>
        <v>42950</v>
      </c>
    </row>
    <row r="10500" spans="1:8" x14ac:dyDescent="0.3">
      <c r="A10500" s="45">
        <v>44560</v>
      </c>
      <c r="B10500" s="5" t="s">
        <v>541</v>
      </c>
      <c r="C10500" s="5" t="s">
        <v>8714</v>
      </c>
      <c r="D10500" s="43">
        <v>5000</v>
      </c>
      <c r="E10500" s="43"/>
      <c r="F10500" s="48">
        <f t="shared" si="173"/>
        <v>99085.661290322663</v>
      </c>
      <c r="G10500" s="4"/>
    </row>
    <row r="10501" spans="1:8" x14ac:dyDescent="0.3">
      <c r="A10501" s="45">
        <v>44560</v>
      </c>
      <c r="B10501" s="5" t="s">
        <v>63</v>
      </c>
      <c r="C10501" s="5" t="s">
        <v>91</v>
      </c>
      <c r="D10501" s="43">
        <v>650</v>
      </c>
      <c r="E10501" s="43"/>
      <c r="F10501" s="48">
        <f t="shared" si="173"/>
        <v>98435.661290322663</v>
      </c>
      <c r="G10501" s="4"/>
    </row>
    <row r="10502" spans="1:8" x14ac:dyDescent="0.3">
      <c r="A10502" s="45">
        <v>44560</v>
      </c>
      <c r="B10502" s="5" t="s">
        <v>8715</v>
      </c>
      <c r="C10502" s="5" t="s">
        <v>8716</v>
      </c>
      <c r="D10502" s="43">
        <v>2000</v>
      </c>
      <c r="E10502" s="43"/>
      <c r="F10502" s="48">
        <f t="shared" si="173"/>
        <v>96435.661290322663</v>
      </c>
      <c r="G10502" s="4"/>
    </row>
    <row r="10503" spans="1:8" x14ac:dyDescent="0.3">
      <c r="A10503" s="45">
        <v>44560</v>
      </c>
      <c r="B10503" s="5" t="s">
        <v>4550</v>
      </c>
      <c r="C10503" s="5" t="s">
        <v>7250</v>
      </c>
      <c r="D10503" s="43">
        <v>10000</v>
      </c>
      <c r="E10503" s="43"/>
      <c r="F10503" s="48">
        <f t="shared" si="173"/>
        <v>86435.661290322663</v>
      </c>
      <c r="G10503" s="4"/>
    </row>
    <row r="10504" spans="1:8" x14ac:dyDescent="0.3">
      <c r="A10504" s="45">
        <v>44561</v>
      </c>
      <c r="B10504" s="5" t="s">
        <v>84</v>
      </c>
      <c r="C10504" s="5" t="s">
        <v>8717</v>
      </c>
      <c r="D10504" s="43">
        <v>3500</v>
      </c>
      <c r="E10504" s="43"/>
      <c r="F10504" s="48">
        <f t="shared" si="173"/>
        <v>82935.661290322663</v>
      </c>
      <c r="G10504" s="4"/>
    </row>
    <row r="10505" spans="1:8" x14ac:dyDescent="0.3">
      <c r="A10505" s="45">
        <v>44561</v>
      </c>
      <c r="B10505" s="5" t="s">
        <v>14</v>
      </c>
      <c r="C10505" s="5" t="s">
        <v>8718</v>
      </c>
      <c r="D10505" s="43">
        <v>1500</v>
      </c>
      <c r="E10505" s="43"/>
      <c r="F10505" s="48">
        <f t="shared" si="173"/>
        <v>81435.661290322663</v>
      </c>
      <c r="G10505" s="4"/>
    </row>
    <row r="10506" spans="1:8" x14ac:dyDescent="0.3">
      <c r="A10506" s="45">
        <v>44561</v>
      </c>
      <c r="B10506" s="5" t="s">
        <v>25</v>
      </c>
      <c r="C10506" s="5" t="s">
        <v>8719</v>
      </c>
      <c r="D10506" s="43">
        <f>2284+465</f>
        <v>2749</v>
      </c>
      <c r="E10506" s="43"/>
      <c r="F10506" s="48">
        <f t="shared" si="173"/>
        <v>78686.661290322663</v>
      </c>
      <c r="G10506" s="4"/>
    </row>
    <row r="10507" spans="1:8" x14ac:dyDescent="0.3">
      <c r="A10507" s="45">
        <v>44562</v>
      </c>
      <c r="B10507" s="5" t="s">
        <v>14</v>
      </c>
      <c r="C10507" s="5" t="s">
        <v>8704</v>
      </c>
      <c r="D10507" s="43">
        <f>9534+2788+520</f>
        <v>12842</v>
      </c>
      <c r="E10507" s="43"/>
      <c r="F10507" s="48">
        <f t="shared" si="173"/>
        <v>65844.661290322663</v>
      </c>
      <c r="G10507" s="4"/>
    </row>
    <row r="10508" spans="1:8" x14ac:dyDescent="0.3">
      <c r="A10508" s="45">
        <v>44562</v>
      </c>
      <c r="B10508" s="5" t="s">
        <v>8720</v>
      </c>
      <c r="C10508" s="5" t="s">
        <v>5508</v>
      </c>
      <c r="D10508" s="43">
        <v>15000</v>
      </c>
      <c r="E10508" s="43"/>
      <c r="F10508" s="48">
        <f t="shared" si="173"/>
        <v>50844.661290322663</v>
      </c>
      <c r="G10508" s="4"/>
    </row>
    <row r="10509" spans="1:8" x14ac:dyDescent="0.3">
      <c r="A10509" s="45">
        <v>44562</v>
      </c>
      <c r="B10509" s="5" t="s">
        <v>84</v>
      </c>
      <c r="C10509" s="5" t="s">
        <v>8721</v>
      </c>
      <c r="D10509" s="43">
        <v>15000</v>
      </c>
      <c r="E10509" s="43"/>
      <c r="F10509" s="48">
        <f t="shared" si="173"/>
        <v>35844.661290322663</v>
      </c>
      <c r="G10509" s="4"/>
    </row>
    <row r="10510" spans="1:8" x14ac:dyDescent="0.3">
      <c r="A10510" s="45">
        <v>44562</v>
      </c>
      <c r="B10510" s="5" t="s">
        <v>84</v>
      </c>
      <c r="C10510" s="5" t="s">
        <v>8722</v>
      </c>
      <c r="D10510" s="43">
        <v>1000</v>
      </c>
      <c r="E10510" s="43"/>
      <c r="F10510" s="48">
        <f t="shared" si="173"/>
        <v>34844.661290322663</v>
      </c>
      <c r="G10510" s="4"/>
    </row>
    <row r="10511" spans="1:8" x14ac:dyDescent="0.3">
      <c r="A10511" s="45">
        <v>44564</v>
      </c>
      <c r="B10511" s="5" t="s">
        <v>25</v>
      </c>
      <c r="C10511" s="5" t="s">
        <v>8152</v>
      </c>
      <c r="D10511" s="43">
        <v>3500</v>
      </c>
      <c r="E10511" s="43"/>
      <c r="F10511" s="48">
        <f t="shared" si="173"/>
        <v>31344.661290322663</v>
      </c>
      <c r="G10511" s="4"/>
    </row>
    <row r="10512" spans="1:8" x14ac:dyDescent="0.3">
      <c r="A10512" s="45">
        <v>44564</v>
      </c>
      <c r="B10512" s="5" t="s">
        <v>1616</v>
      </c>
      <c r="C10512" s="5" t="s">
        <v>7002</v>
      </c>
      <c r="D10512" s="43">
        <v>620</v>
      </c>
      <c r="E10512" s="43"/>
      <c r="F10512" s="48">
        <f t="shared" si="173"/>
        <v>30724.661290322663</v>
      </c>
      <c r="G10512" s="4" t="s">
        <v>3205</v>
      </c>
      <c r="H10512" s="52">
        <v>3000</v>
      </c>
    </row>
    <row r="10513" spans="1:12" x14ac:dyDescent="0.3">
      <c r="A10513" s="45">
        <v>44564</v>
      </c>
      <c r="B10513" s="5" t="s">
        <v>14</v>
      </c>
      <c r="C10513" s="5" t="s">
        <v>8723</v>
      </c>
      <c r="D10513" s="43">
        <v>20000</v>
      </c>
      <c r="E10513" s="43"/>
      <c r="F10513" s="48">
        <f t="shared" si="173"/>
        <v>10724.661290322663</v>
      </c>
      <c r="G10513" s="4"/>
    </row>
    <row r="10514" spans="1:12" x14ac:dyDescent="0.3">
      <c r="A10514" s="45">
        <v>44564</v>
      </c>
      <c r="B10514" s="5" t="s">
        <v>8573</v>
      </c>
      <c r="C10514" s="5" t="s">
        <v>8724</v>
      </c>
      <c r="D10514" s="43">
        <v>3500</v>
      </c>
      <c r="E10514" s="43"/>
      <c r="F10514" s="48">
        <f t="shared" si="173"/>
        <v>7224.6612903226633</v>
      </c>
      <c r="G10514" s="93"/>
    </row>
    <row r="10515" spans="1:12" x14ac:dyDescent="0.3">
      <c r="A10515" s="45">
        <v>44565</v>
      </c>
      <c r="B10515" s="739" t="s">
        <v>4106</v>
      </c>
      <c r="C10515" s="739"/>
      <c r="D10515" s="739"/>
      <c r="E10515" s="43">
        <v>900000</v>
      </c>
      <c r="F10515" s="48">
        <f t="shared" si="173"/>
        <v>907224.66129032266</v>
      </c>
      <c r="G10515" s="4"/>
    </row>
    <row r="10516" spans="1:12" x14ac:dyDescent="0.3">
      <c r="A10516" s="45">
        <v>44565</v>
      </c>
      <c r="B10516" s="5" t="s">
        <v>541</v>
      </c>
      <c r="C10516" s="5" t="s">
        <v>294</v>
      </c>
      <c r="D10516" s="43">
        <v>30000</v>
      </c>
      <c r="E10516" s="43"/>
      <c r="F10516" s="48">
        <f t="shared" si="173"/>
        <v>877224.66129032266</v>
      </c>
      <c r="G10516" s="4"/>
    </row>
    <row r="10517" spans="1:12" x14ac:dyDescent="0.3">
      <c r="A10517" s="45">
        <v>44565</v>
      </c>
      <c r="B10517" s="5" t="s">
        <v>25</v>
      </c>
      <c r="C10517" s="5" t="s">
        <v>8221</v>
      </c>
      <c r="D10517" s="43">
        <v>1000</v>
      </c>
      <c r="E10517" s="43"/>
      <c r="F10517" s="48">
        <f t="shared" si="173"/>
        <v>876224.66129032266</v>
      </c>
      <c r="G10517" s="4"/>
    </row>
    <row r="10518" spans="1:12" x14ac:dyDescent="0.3">
      <c r="A10518" s="45">
        <v>44566</v>
      </c>
      <c r="B10518" s="5" t="s">
        <v>64</v>
      </c>
      <c r="C10518" s="5" t="s">
        <v>40</v>
      </c>
      <c r="D10518" s="43">
        <v>700</v>
      </c>
      <c r="E10518" s="43"/>
      <c r="F10518" s="48">
        <f t="shared" si="173"/>
        <v>875524.66129032266</v>
      </c>
      <c r="G10518" s="4"/>
    </row>
    <row r="10519" spans="1:12" x14ac:dyDescent="0.3">
      <c r="A10519" s="45">
        <v>44567</v>
      </c>
      <c r="B10519" s="5" t="s">
        <v>14</v>
      </c>
      <c r="C10519" s="5" t="s">
        <v>294</v>
      </c>
      <c r="D10519" s="43">
        <v>5000</v>
      </c>
      <c r="E10519" s="43"/>
      <c r="F10519" s="48">
        <f t="shared" si="173"/>
        <v>870524.66129032266</v>
      </c>
      <c r="G10519" s="4"/>
    </row>
    <row r="10520" spans="1:12" x14ac:dyDescent="0.3">
      <c r="A10520" s="45">
        <v>44567</v>
      </c>
      <c r="B10520" s="5" t="s">
        <v>107</v>
      </c>
      <c r="C10520" s="5" t="s">
        <v>8730</v>
      </c>
      <c r="D10520" s="43">
        <v>10000</v>
      </c>
      <c r="E10520" s="43"/>
      <c r="F10520" s="48">
        <f t="shared" si="173"/>
        <v>860524.66129032266</v>
      </c>
      <c r="G10520" s="4"/>
    </row>
    <row r="10521" spans="1:12" x14ac:dyDescent="0.3">
      <c r="A10521" s="45">
        <v>44567</v>
      </c>
      <c r="B10521" s="218" t="s">
        <v>54</v>
      </c>
      <c r="C10521" s="218" t="s">
        <v>8645</v>
      </c>
      <c r="D10521" s="43">
        <v>188935</v>
      </c>
      <c r="E10521" s="43"/>
      <c r="F10521" s="48">
        <f t="shared" si="173"/>
        <v>671589.66129032266</v>
      </c>
      <c r="G10521" s="4"/>
    </row>
    <row r="10522" spans="1:12" x14ac:dyDescent="0.3">
      <c r="A10522" s="45">
        <v>44567</v>
      </c>
      <c r="B10522" s="218" t="s">
        <v>54</v>
      </c>
      <c r="C10522" s="218" t="s">
        <v>8646</v>
      </c>
      <c r="D10522" s="43">
        <v>92740</v>
      </c>
      <c r="E10522" s="43"/>
      <c r="F10522" s="48">
        <f t="shared" si="173"/>
        <v>578849.66129032266</v>
      </c>
      <c r="G10522" s="4"/>
    </row>
    <row r="10523" spans="1:12" x14ac:dyDescent="0.3">
      <c r="A10523" s="45">
        <v>44567</v>
      </c>
      <c r="B10523" s="218" t="s">
        <v>54</v>
      </c>
      <c r="C10523" s="218" t="s">
        <v>8636</v>
      </c>
      <c r="D10523" s="43">
        <v>81165</v>
      </c>
      <c r="E10523" s="43"/>
      <c r="F10523" s="48">
        <f t="shared" si="173"/>
        <v>497684.66129032266</v>
      </c>
      <c r="G10523" s="4"/>
    </row>
    <row r="10524" spans="1:12" x14ac:dyDescent="0.3">
      <c r="A10524" s="45">
        <v>44567</v>
      </c>
      <c r="B10524" s="218" t="s">
        <v>54</v>
      </c>
      <c r="C10524" s="218" t="s">
        <v>8637</v>
      </c>
      <c r="D10524" s="43">
        <v>87081</v>
      </c>
      <c r="E10524" s="43"/>
      <c r="F10524" s="48">
        <f t="shared" si="173"/>
        <v>410603.66129032266</v>
      </c>
      <c r="G10524" s="4"/>
    </row>
    <row r="10525" spans="1:12" x14ac:dyDescent="0.3">
      <c r="A10525" s="45">
        <v>44567</v>
      </c>
      <c r="B10525" s="218" t="s">
        <v>54</v>
      </c>
      <c r="C10525" s="218" t="s">
        <v>6842</v>
      </c>
      <c r="D10525" s="43">
        <v>92000</v>
      </c>
      <c r="E10525" s="43"/>
      <c r="F10525" s="48">
        <f t="shared" si="173"/>
        <v>318603.66129032266</v>
      </c>
      <c r="G10525" s="4"/>
    </row>
    <row r="10526" spans="1:12" x14ac:dyDescent="0.3">
      <c r="A10526" s="45">
        <v>44567</v>
      </c>
      <c r="B10526" s="218" t="s">
        <v>54</v>
      </c>
      <c r="C10526" s="218" t="s">
        <v>8130</v>
      </c>
      <c r="D10526" s="43">
        <v>64640</v>
      </c>
      <c r="E10526" s="43"/>
      <c r="F10526" s="48">
        <f t="shared" si="173"/>
        <v>253963.66129032266</v>
      </c>
      <c r="G10526" s="93" t="e">
        <f>D10526+D10525+#REF!+D10524+D10523+D10522+D10521</f>
        <v>#REF!</v>
      </c>
    </row>
    <row r="10527" spans="1:12" x14ac:dyDescent="0.3">
      <c r="A10527" s="45">
        <v>44567</v>
      </c>
      <c r="B10527" s="218" t="s">
        <v>54</v>
      </c>
      <c r="C10527" s="218" t="s">
        <v>8634</v>
      </c>
      <c r="D10527" s="43">
        <v>31101</v>
      </c>
      <c r="E10527" s="43"/>
      <c r="F10527" s="48">
        <f t="shared" si="173"/>
        <v>222862.66129032266</v>
      </c>
      <c r="G10527" s="93"/>
    </row>
    <row r="10528" spans="1:12" x14ac:dyDescent="0.3">
      <c r="A10528" s="45">
        <v>44567</v>
      </c>
      <c r="B10528" s="739" t="s">
        <v>8290</v>
      </c>
      <c r="C10528" s="739"/>
      <c r="D10528" s="739"/>
      <c r="E10528" s="43">
        <v>100000</v>
      </c>
      <c r="F10528" s="48">
        <f t="shared" si="173"/>
        <v>322862.66129032266</v>
      </c>
      <c r="I10528" s="52">
        <v>24000</v>
      </c>
      <c r="L10528" s="93"/>
    </row>
    <row r="10529" spans="1:12" x14ac:dyDescent="0.3">
      <c r="A10529" s="45">
        <v>44567</v>
      </c>
      <c r="B10529" s="218" t="s">
        <v>54</v>
      </c>
      <c r="C10529" s="218" t="s">
        <v>8738</v>
      </c>
      <c r="D10529" s="43">
        <v>97359</v>
      </c>
      <c r="E10529" s="43"/>
      <c r="F10529" s="48">
        <f t="shared" si="173"/>
        <v>225503.66129032266</v>
      </c>
      <c r="G10529" s="93"/>
    </row>
    <row r="10530" spans="1:12" x14ac:dyDescent="0.3">
      <c r="A10530" s="45">
        <v>44567</v>
      </c>
      <c r="B10530" s="5" t="s">
        <v>5914</v>
      </c>
      <c r="C10530" s="5" t="s">
        <v>8735</v>
      </c>
      <c r="D10530" s="43">
        <v>2000</v>
      </c>
      <c r="E10530" s="43"/>
      <c r="F10530" s="48">
        <f t="shared" si="173"/>
        <v>223503.66129032266</v>
      </c>
      <c r="G10530" s="4"/>
    </row>
    <row r="10531" spans="1:12" x14ac:dyDescent="0.3">
      <c r="A10531" s="45">
        <v>44567</v>
      </c>
      <c r="B10531" s="5" t="s">
        <v>84</v>
      </c>
      <c r="C10531" s="5" t="s">
        <v>8736</v>
      </c>
      <c r="D10531" s="43">
        <v>1000</v>
      </c>
      <c r="E10531" s="43"/>
      <c r="F10531" s="48">
        <f t="shared" si="173"/>
        <v>222503.66129032266</v>
      </c>
      <c r="G10531" s="4"/>
    </row>
    <row r="10532" spans="1:12" x14ac:dyDescent="0.3">
      <c r="A10532" s="45">
        <v>44568</v>
      </c>
      <c r="B10532" s="218" t="s">
        <v>54</v>
      </c>
      <c r="C10532" s="218" t="s">
        <v>8737</v>
      </c>
      <c r="D10532" s="43">
        <v>13065</v>
      </c>
      <c r="E10532" s="43"/>
      <c r="F10532" s="48">
        <f t="shared" si="173"/>
        <v>209438.66129032266</v>
      </c>
      <c r="G10532" s="93"/>
    </row>
    <row r="10533" spans="1:12" x14ac:dyDescent="0.3">
      <c r="A10533" s="45">
        <v>44569</v>
      </c>
      <c r="B10533" s="5" t="s">
        <v>25</v>
      </c>
      <c r="C10533" s="5" t="s">
        <v>8152</v>
      </c>
      <c r="D10533" s="43">
        <v>3480</v>
      </c>
      <c r="E10533" s="43"/>
      <c r="F10533" s="48">
        <f t="shared" ref="F10533:F10596" si="174">F10532+E10533-D10533</f>
        <v>205958.66129032266</v>
      </c>
      <c r="G10533" s="4"/>
    </row>
    <row r="10534" spans="1:12" x14ac:dyDescent="0.3">
      <c r="A10534" s="45">
        <v>44569</v>
      </c>
      <c r="B10534" s="5" t="s">
        <v>14</v>
      </c>
      <c r="C10534" s="5" t="s">
        <v>294</v>
      </c>
      <c r="D10534" s="43">
        <v>15000</v>
      </c>
      <c r="E10534" s="43"/>
      <c r="F10534" s="48">
        <f t="shared" si="174"/>
        <v>190958.66129032266</v>
      </c>
      <c r="G10534" s="4"/>
    </row>
    <row r="10535" spans="1:12" x14ac:dyDescent="0.3">
      <c r="A10535" s="45">
        <v>44569</v>
      </c>
      <c r="B10535" s="5" t="s">
        <v>68</v>
      </c>
      <c r="C10535" s="5" t="s">
        <v>294</v>
      </c>
      <c r="D10535" s="43">
        <v>8000</v>
      </c>
      <c r="E10535" s="43"/>
      <c r="F10535" s="48">
        <f t="shared" si="174"/>
        <v>182958.66129032266</v>
      </c>
      <c r="G10535" s="4"/>
    </row>
    <row r="10536" spans="1:12" x14ac:dyDescent="0.3">
      <c r="A10536" s="45">
        <v>44569</v>
      </c>
      <c r="B10536" s="5" t="s">
        <v>84</v>
      </c>
      <c r="C10536" s="5" t="s">
        <v>8740</v>
      </c>
      <c r="D10536" s="43">
        <v>1000</v>
      </c>
      <c r="E10536" s="43"/>
      <c r="F10536" s="48">
        <f t="shared" si="174"/>
        <v>181958.66129032266</v>
      </c>
      <c r="G10536" s="4"/>
    </row>
    <row r="10537" spans="1:12" x14ac:dyDescent="0.3">
      <c r="A10537" s="45">
        <v>44569</v>
      </c>
      <c r="B10537" s="218" t="s">
        <v>54</v>
      </c>
      <c r="C10537" s="218" t="s">
        <v>8739</v>
      </c>
      <c r="D10537" s="43">
        <v>22661</v>
      </c>
      <c r="E10537" s="43"/>
      <c r="F10537" s="48">
        <f t="shared" si="174"/>
        <v>159297.66129032266</v>
      </c>
      <c r="G10537" s="93"/>
    </row>
    <row r="10538" spans="1:12" x14ac:dyDescent="0.3">
      <c r="A10538" s="45">
        <v>44571</v>
      </c>
      <c r="B10538" s="5" t="s">
        <v>4550</v>
      </c>
      <c r="C10538" s="5" t="s">
        <v>8731</v>
      </c>
      <c r="D10538" s="43">
        <v>150000</v>
      </c>
      <c r="E10538" s="43"/>
      <c r="F10538" s="48">
        <f t="shared" si="174"/>
        <v>9297.6612903226633</v>
      </c>
      <c r="G10538" s="4"/>
    </row>
    <row r="10539" spans="1:12" x14ac:dyDescent="0.3">
      <c r="A10539" s="45">
        <v>44571</v>
      </c>
      <c r="B10539" s="5" t="s">
        <v>14</v>
      </c>
      <c r="C10539" s="5" t="s">
        <v>294</v>
      </c>
      <c r="D10539" s="43">
        <v>5000</v>
      </c>
      <c r="E10539" s="43"/>
      <c r="F10539" s="48">
        <f t="shared" si="174"/>
        <v>4297.6612903226633</v>
      </c>
      <c r="G10539" s="4"/>
    </row>
    <row r="10540" spans="1:12" x14ac:dyDescent="0.3">
      <c r="A10540" s="45">
        <v>44571</v>
      </c>
      <c r="B10540" s="739" t="s">
        <v>4106</v>
      </c>
      <c r="C10540" s="739"/>
      <c r="D10540" s="739"/>
      <c r="E10540" s="43">
        <v>350000</v>
      </c>
      <c r="F10540" s="48">
        <f t="shared" si="174"/>
        <v>354297.66129032266</v>
      </c>
      <c r="I10540" s="52">
        <v>24000</v>
      </c>
      <c r="L10540" s="93"/>
    </row>
    <row r="10541" spans="1:12" x14ac:dyDescent="0.3">
      <c r="A10541" s="45">
        <v>44571</v>
      </c>
      <c r="B10541" s="218" t="s">
        <v>54</v>
      </c>
      <c r="C10541" s="218" t="s">
        <v>8742</v>
      </c>
      <c r="D10541" s="43">
        <v>23000</v>
      </c>
      <c r="E10541" s="43"/>
      <c r="F10541" s="48">
        <f t="shared" si="174"/>
        <v>331297.66129032266</v>
      </c>
      <c r="G10541" s="93"/>
    </row>
    <row r="10542" spans="1:12" x14ac:dyDescent="0.3">
      <c r="A10542" s="45">
        <v>44571</v>
      </c>
      <c r="B10542" s="218" t="s">
        <v>54</v>
      </c>
      <c r="C10542" s="218" t="s">
        <v>8743</v>
      </c>
      <c r="D10542" s="43">
        <v>28327</v>
      </c>
      <c r="E10542" s="43"/>
      <c r="F10542" s="48">
        <f t="shared" si="174"/>
        <v>302970.66129032266</v>
      </c>
      <c r="G10542" s="93"/>
    </row>
    <row r="10543" spans="1:12" x14ac:dyDescent="0.3">
      <c r="A10543" s="45">
        <v>44571</v>
      </c>
      <c r="B10543" s="5" t="s">
        <v>8594</v>
      </c>
      <c r="C10543" s="5" t="s">
        <v>8550</v>
      </c>
      <c r="D10543" s="43">
        <v>100000</v>
      </c>
      <c r="E10543" s="43"/>
      <c r="F10543" s="48">
        <f t="shared" si="174"/>
        <v>202970.66129032266</v>
      </c>
      <c r="G10543" s="4"/>
    </row>
    <row r="10544" spans="1:12" x14ac:dyDescent="0.3">
      <c r="A10544" s="45">
        <v>44571</v>
      </c>
      <c r="B10544" s="218" t="s">
        <v>54</v>
      </c>
      <c r="C10544" s="218" t="s">
        <v>8744</v>
      </c>
      <c r="D10544" s="43">
        <v>87319</v>
      </c>
      <c r="E10544" s="43"/>
      <c r="F10544" s="48">
        <f t="shared" si="174"/>
        <v>115651.66129032266</v>
      </c>
      <c r="G10544" s="93"/>
    </row>
    <row r="10545" spans="1:8" x14ac:dyDescent="0.3">
      <c r="A10545" s="45">
        <v>44572</v>
      </c>
      <c r="B10545" s="5" t="s">
        <v>84</v>
      </c>
      <c r="C10545" s="5" t="s">
        <v>8745</v>
      </c>
      <c r="D10545" s="43">
        <v>1000</v>
      </c>
      <c r="E10545" s="43"/>
      <c r="F10545" s="48">
        <f t="shared" si="174"/>
        <v>114651.66129032266</v>
      </c>
      <c r="G10545" s="4"/>
    </row>
    <row r="10546" spans="1:8" x14ac:dyDescent="0.3">
      <c r="A10546" s="45">
        <v>44572</v>
      </c>
      <c r="B10546" s="5" t="s">
        <v>8148</v>
      </c>
      <c r="C10546" s="5" t="s">
        <v>8752</v>
      </c>
      <c r="D10546" s="43">
        <v>35000</v>
      </c>
      <c r="E10546" s="43"/>
      <c r="F10546" s="48">
        <f t="shared" si="174"/>
        <v>79651.661290322663</v>
      </c>
      <c r="G10546" s="4"/>
    </row>
    <row r="10547" spans="1:8" x14ac:dyDescent="0.3">
      <c r="A10547" s="45">
        <v>44572</v>
      </c>
      <c r="B10547" s="5" t="s">
        <v>5156</v>
      </c>
      <c r="C10547" s="5" t="s">
        <v>3563</v>
      </c>
      <c r="D10547" s="43">
        <v>950</v>
      </c>
      <c r="E10547" s="43"/>
      <c r="F10547" s="48">
        <f t="shared" si="174"/>
        <v>78701.661290322663</v>
      </c>
      <c r="G10547" s="4"/>
    </row>
    <row r="10548" spans="1:8" x14ac:dyDescent="0.3">
      <c r="A10548" s="45">
        <v>44572</v>
      </c>
      <c r="B10548" s="5" t="s">
        <v>25</v>
      </c>
      <c r="C10548" s="5" t="s">
        <v>8753</v>
      </c>
      <c r="D10548" s="43">
        <v>570</v>
      </c>
      <c r="E10548" s="43"/>
      <c r="F10548" s="48">
        <f t="shared" si="174"/>
        <v>78131.661290322663</v>
      </c>
      <c r="G10548" s="4"/>
    </row>
    <row r="10549" spans="1:8" x14ac:dyDescent="0.3">
      <c r="A10549" s="45">
        <v>44572</v>
      </c>
      <c r="B10549" s="5" t="s">
        <v>25</v>
      </c>
      <c r="C10549" s="5" t="s">
        <v>8754</v>
      </c>
      <c r="D10549" s="43">
        <v>200</v>
      </c>
      <c r="E10549" s="43"/>
      <c r="F10549" s="48">
        <f t="shared" si="174"/>
        <v>77931.661290322663</v>
      </c>
      <c r="G10549" s="4"/>
    </row>
    <row r="10550" spans="1:8" x14ac:dyDescent="0.3">
      <c r="A10550" s="45">
        <v>44572</v>
      </c>
      <c r="B10550" s="5" t="s">
        <v>1787</v>
      </c>
      <c r="C10550" s="5" t="s">
        <v>8755</v>
      </c>
      <c r="D10550" s="43">
        <v>1200</v>
      </c>
      <c r="E10550" s="43"/>
      <c r="F10550" s="48">
        <f t="shared" si="174"/>
        <v>76731.661290322663</v>
      </c>
      <c r="G10550" s="4"/>
    </row>
    <row r="10551" spans="1:8" x14ac:dyDescent="0.3">
      <c r="A10551" s="45">
        <v>44572</v>
      </c>
      <c r="B10551" s="5" t="s">
        <v>57</v>
      </c>
      <c r="C10551" s="5" t="s">
        <v>294</v>
      </c>
      <c r="D10551" s="43">
        <v>15000</v>
      </c>
      <c r="E10551" s="43"/>
      <c r="F10551" s="48">
        <f t="shared" si="174"/>
        <v>61731.661290322663</v>
      </c>
      <c r="G10551" s="4"/>
    </row>
    <row r="10552" spans="1:8" x14ac:dyDescent="0.3">
      <c r="A10552" s="45">
        <v>44572</v>
      </c>
      <c r="B10552" s="5" t="s">
        <v>7214</v>
      </c>
      <c r="C10552" s="5" t="s">
        <v>8758</v>
      </c>
      <c r="D10552" s="43">
        <v>10000</v>
      </c>
      <c r="E10552" s="43"/>
      <c r="F10552" s="48">
        <f t="shared" si="174"/>
        <v>51731.661290322663</v>
      </c>
      <c r="G10552" s="4"/>
    </row>
    <row r="10553" spans="1:8" x14ac:dyDescent="0.3">
      <c r="A10553" s="45">
        <v>44573</v>
      </c>
      <c r="B10553" s="5" t="s">
        <v>25</v>
      </c>
      <c r="C10553" s="5" t="s">
        <v>8249</v>
      </c>
      <c r="D10553" s="43">
        <v>3250</v>
      </c>
      <c r="E10553" s="43"/>
      <c r="F10553" s="48">
        <f t="shared" si="174"/>
        <v>48481.661290322663</v>
      </c>
      <c r="G10553" s="4"/>
    </row>
    <row r="10554" spans="1:8" x14ac:dyDescent="0.3">
      <c r="A10554" s="45">
        <v>44573</v>
      </c>
      <c r="B10554" s="5" t="s">
        <v>18</v>
      </c>
      <c r="C10554" s="5" t="s">
        <v>8757</v>
      </c>
      <c r="D10554" s="43">
        <v>500</v>
      </c>
      <c r="E10554" s="43"/>
      <c r="F10554" s="48">
        <f t="shared" si="174"/>
        <v>47981.661290322663</v>
      </c>
      <c r="G10554" s="4"/>
    </row>
    <row r="10555" spans="1:8" x14ac:dyDescent="0.3">
      <c r="A10555" s="45">
        <v>44573</v>
      </c>
      <c r="B10555" s="5" t="s">
        <v>8573</v>
      </c>
      <c r="C10555" s="5" t="s">
        <v>8759</v>
      </c>
      <c r="D10555" s="43">
        <v>5000</v>
      </c>
      <c r="E10555" s="43"/>
      <c r="F10555" s="48">
        <f t="shared" si="174"/>
        <v>42981.661290322663</v>
      </c>
      <c r="G10555" s="4" t="s">
        <v>3205</v>
      </c>
      <c r="H10555" s="52">
        <v>3000</v>
      </c>
    </row>
    <row r="10556" spans="1:8" x14ac:dyDescent="0.3">
      <c r="A10556" s="45">
        <v>44573</v>
      </c>
      <c r="B10556" s="328" t="s">
        <v>54</v>
      </c>
      <c r="C10556" s="328" t="s">
        <v>8774</v>
      </c>
      <c r="D10556" s="329">
        <v>20710</v>
      </c>
      <c r="E10556" s="43"/>
      <c r="F10556" s="48">
        <f t="shared" si="174"/>
        <v>22271.661290322663</v>
      </c>
      <c r="G10556" s="4"/>
    </row>
    <row r="10557" spans="1:8" x14ac:dyDescent="0.3">
      <c r="A10557" s="45">
        <v>44573</v>
      </c>
      <c r="B10557" s="5" t="s">
        <v>1616</v>
      </c>
      <c r="C10557" s="5" t="s">
        <v>640</v>
      </c>
      <c r="D10557" s="43">
        <v>1500</v>
      </c>
      <c r="E10557" s="43"/>
      <c r="F10557" s="48">
        <f t="shared" si="174"/>
        <v>20771.661290322663</v>
      </c>
      <c r="G10557" s="4"/>
    </row>
    <row r="10558" spans="1:8" x14ac:dyDescent="0.3">
      <c r="A10558" s="45">
        <v>44573</v>
      </c>
      <c r="B10558" s="5" t="s">
        <v>1616</v>
      </c>
      <c r="C10558" s="5" t="s">
        <v>7002</v>
      </c>
      <c r="D10558" s="43">
        <v>620</v>
      </c>
      <c r="E10558" s="43"/>
      <c r="F10558" s="48">
        <f t="shared" si="174"/>
        <v>20151.661290322663</v>
      </c>
      <c r="G10558" s="4"/>
    </row>
    <row r="10559" spans="1:8" x14ac:dyDescent="0.3">
      <c r="A10559" s="45">
        <v>44573</v>
      </c>
      <c r="B10559" s="5" t="s">
        <v>8760</v>
      </c>
      <c r="C10559" s="5" t="s">
        <v>8761</v>
      </c>
      <c r="D10559" s="43">
        <v>1150</v>
      </c>
      <c r="E10559" s="43"/>
      <c r="F10559" s="48">
        <f t="shared" si="174"/>
        <v>19001.661290322663</v>
      </c>
      <c r="G10559" s="4"/>
    </row>
    <row r="10560" spans="1:8" x14ac:dyDescent="0.3">
      <c r="A10560" s="45">
        <v>44574</v>
      </c>
      <c r="B10560" s="61" t="s">
        <v>8762</v>
      </c>
      <c r="C10560" s="61" t="s">
        <v>8763</v>
      </c>
      <c r="D10560" s="62">
        <v>9320</v>
      </c>
      <c r="E10560" s="43"/>
      <c r="F10560" s="48">
        <f t="shared" si="174"/>
        <v>9681.6612903226633</v>
      </c>
      <c r="G10560" s="4"/>
    </row>
    <row r="10561" spans="1:12" x14ac:dyDescent="0.3">
      <c r="A10561" s="45">
        <v>44574</v>
      </c>
      <c r="B10561" s="739" t="s">
        <v>4106</v>
      </c>
      <c r="C10561" s="739"/>
      <c r="D10561" s="739"/>
      <c r="E10561" s="43">
        <v>200000</v>
      </c>
      <c r="F10561" s="48">
        <f t="shared" si="174"/>
        <v>209681.66129032266</v>
      </c>
      <c r="I10561" s="52">
        <v>24000</v>
      </c>
      <c r="L10561" s="93"/>
    </row>
    <row r="10562" spans="1:12" x14ac:dyDescent="0.3">
      <c r="A10562" s="45">
        <v>44574</v>
      </c>
      <c r="B10562" s="5" t="s">
        <v>8764</v>
      </c>
      <c r="C10562" s="5" t="s">
        <v>8765</v>
      </c>
      <c r="D10562" s="43">
        <v>10000</v>
      </c>
      <c r="E10562" s="43"/>
      <c r="F10562" s="48">
        <f t="shared" si="174"/>
        <v>199681.66129032266</v>
      </c>
      <c r="G10562" s="4"/>
    </row>
    <row r="10563" spans="1:12" x14ac:dyDescent="0.3">
      <c r="A10563" s="45">
        <v>44574</v>
      </c>
      <c r="B10563" s="218" t="s">
        <v>54</v>
      </c>
      <c r="C10563" s="218" t="s">
        <v>8766</v>
      </c>
      <c r="D10563" s="43">
        <v>1975</v>
      </c>
      <c r="E10563" s="43"/>
      <c r="F10563" s="48">
        <f t="shared" si="174"/>
        <v>197706.66129032266</v>
      </c>
      <c r="G10563" s="93"/>
    </row>
    <row r="10564" spans="1:12" x14ac:dyDescent="0.3">
      <c r="A10564" s="45">
        <v>44574</v>
      </c>
      <c r="B10564" s="5" t="s">
        <v>8767</v>
      </c>
      <c r="C10564" s="5" t="s">
        <v>8768</v>
      </c>
      <c r="D10564" s="43">
        <v>25000</v>
      </c>
      <c r="E10564" s="43"/>
      <c r="F10564" s="48">
        <f t="shared" si="174"/>
        <v>172706.66129032266</v>
      </c>
      <c r="G10564" s="4"/>
    </row>
    <row r="10565" spans="1:12" x14ac:dyDescent="0.3">
      <c r="A10565" s="45">
        <v>44574</v>
      </c>
      <c r="B10565" s="5" t="s">
        <v>25</v>
      </c>
      <c r="C10565" s="5" t="s">
        <v>64</v>
      </c>
      <c r="D10565" s="43">
        <v>1000</v>
      </c>
      <c r="E10565" s="43"/>
      <c r="F10565" s="48">
        <f t="shared" si="174"/>
        <v>171706.66129032266</v>
      </c>
      <c r="G10565" s="4"/>
    </row>
    <row r="10566" spans="1:12" x14ac:dyDescent="0.3">
      <c r="A10566" s="45">
        <v>44575</v>
      </c>
      <c r="B10566" s="5" t="s">
        <v>5709</v>
      </c>
      <c r="C10566" s="5" t="s">
        <v>8769</v>
      </c>
      <c r="D10566" s="43">
        <v>13000</v>
      </c>
      <c r="E10566" s="43"/>
      <c r="F10566" s="48">
        <f t="shared" si="174"/>
        <v>158706.66129032266</v>
      </c>
      <c r="G10566" s="4"/>
    </row>
    <row r="10567" spans="1:12" x14ac:dyDescent="0.3">
      <c r="A10567" s="45">
        <v>44575</v>
      </c>
      <c r="B10567" s="61" t="s">
        <v>8624</v>
      </c>
      <c r="C10567" s="61" t="s">
        <v>8770</v>
      </c>
      <c r="D10567" s="62">
        <v>12300</v>
      </c>
      <c r="E10567" s="43"/>
      <c r="F10567" s="48">
        <f t="shared" si="174"/>
        <v>146406.66129032266</v>
      </c>
      <c r="G10567" s="4"/>
    </row>
    <row r="10568" spans="1:12" x14ac:dyDescent="0.3">
      <c r="A10568" s="45">
        <v>44575</v>
      </c>
      <c r="B10568" s="5" t="s">
        <v>14</v>
      </c>
      <c r="C10568" s="5" t="s">
        <v>8771</v>
      </c>
      <c r="D10568" s="43">
        <v>20000</v>
      </c>
      <c r="E10568" s="43"/>
      <c r="F10568" s="48">
        <f t="shared" si="174"/>
        <v>126406.66129032266</v>
      </c>
      <c r="G10568" s="4"/>
      <c r="H10568" s="52">
        <v>55771</v>
      </c>
    </row>
    <row r="10569" spans="1:12" x14ac:dyDescent="0.3">
      <c r="A10569" s="45">
        <v>44575</v>
      </c>
      <c r="B10569" s="5" t="s">
        <v>1074</v>
      </c>
      <c r="C10569" s="5" t="s">
        <v>8772</v>
      </c>
      <c r="D10569" s="43">
        <f>4240+1330</f>
        <v>5570</v>
      </c>
      <c r="E10569" s="43"/>
      <c r="F10569" s="48">
        <f t="shared" si="174"/>
        <v>120836.66129032266</v>
      </c>
      <c r="G10569" s="4"/>
      <c r="H10569" s="52">
        <f>H10568*17%</f>
        <v>9481.0700000000015</v>
      </c>
    </row>
    <row r="10570" spans="1:12" x14ac:dyDescent="0.3">
      <c r="A10570" s="45">
        <v>44575</v>
      </c>
      <c r="B10570" s="5" t="s">
        <v>1074</v>
      </c>
      <c r="C10570" s="5" t="s">
        <v>8273</v>
      </c>
      <c r="D10570" s="43">
        <f>980+1440</f>
        <v>2420</v>
      </c>
      <c r="E10570" s="43"/>
      <c r="F10570" s="48">
        <f t="shared" si="174"/>
        <v>118416.66129032266</v>
      </c>
      <c r="G10570" s="4"/>
      <c r="H10570" s="52">
        <f>SUM(H10568:H10569)</f>
        <v>65252.07</v>
      </c>
    </row>
    <row r="10571" spans="1:12" x14ac:dyDescent="0.3">
      <c r="A10571" s="45">
        <v>44575</v>
      </c>
      <c r="B10571" s="5" t="s">
        <v>14</v>
      </c>
      <c r="C10571" s="5" t="s">
        <v>640</v>
      </c>
      <c r="D10571" s="43">
        <v>1000</v>
      </c>
      <c r="E10571" s="43"/>
      <c r="F10571" s="48">
        <f t="shared" si="174"/>
        <v>117416.66129032266</v>
      </c>
      <c r="G10571" s="4"/>
    </row>
    <row r="10572" spans="1:12" x14ac:dyDescent="0.3">
      <c r="A10572" s="45">
        <v>44575</v>
      </c>
      <c r="B10572" s="5" t="s">
        <v>54</v>
      </c>
      <c r="C10572" s="5" t="s">
        <v>8773</v>
      </c>
      <c r="D10572" s="43">
        <v>9162</v>
      </c>
      <c r="E10572" s="43"/>
      <c r="F10572" s="48">
        <f t="shared" si="174"/>
        <v>108254.66129032266</v>
      </c>
      <c r="G10572" s="4"/>
    </row>
    <row r="10573" spans="1:12" x14ac:dyDescent="0.3">
      <c r="A10573" s="45">
        <v>44575</v>
      </c>
      <c r="B10573" s="5" t="s">
        <v>25</v>
      </c>
      <c r="C10573" s="5" t="s">
        <v>8152</v>
      </c>
      <c r="D10573" s="43">
        <v>3250</v>
      </c>
      <c r="E10573" s="43"/>
      <c r="F10573" s="48">
        <f t="shared" si="174"/>
        <v>105004.66129032266</v>
      </c>
      <c r="G10573" s="4"/>
    </row>
    <row r="10574" spans="1:12" x14ac:dyDescent="0.3">
      <c r="A10574" s="45">
        <v>44578</v>
      </c>
      <c r="B10574" s="5" t="s">
        <v>68</v>
      </c>
      <c r="C10574" s="5" t="s">
        <v>294</v>
      </c>
      <c r="D10574" s="43">
        <v>3000</v>
      </c>
      <c r="E10574" s="43"/>
      <c r="F10574" s="48">
        <f t="shared" si="174"/>
        <v>102004.66129032266</v>
      </c>
      <c r="G10574" s="4"/>
    </row>
    <row r="10575" spans="1:12" x14ac:dyDescent="0.3">
      <c r="A10575" s="45">
        <v>44578</v>
      </c>
      <c r="B10575" s="5" t="s">
        <v>3554</v>
      </c>
      <c r="C10575" s="5" t="s">
        <v>8775</v>
      </c>
      <c r="D10575" s="43">
        <v>30000</v>
      </c>
      <c r="E10575" s="43"/>
      <c r="F10575" s="48">
        <f t="shared" si="174"/>
        <v>72004.661290322663</v>
      </c>
      <c r="G10575" s="4"/>
    </row>
    <row r="10576" spans="1:12" x14ac:dyDescent="0.3">
      <c r="A10576" s="45">
        <v>44578</v>
      </c>
      <c r="B10576" s="5" t="s">
        <v>84</v>
      </c>
      <c r="C10576" s="5" t="s">
        <v>8776</v>
      </c>
      <c r="D10576" s="43">
        <v>3000</v>
      </c>
      <c r="E10576" s="43"/>
      <c r="F10576" s="48">
        <f t="shared" si="174"/>
        <v>69004.661290322663</v>
      </c>
      <c r="G10576" s="4"/>
    </row>
    <row r="10577" spans="1:12" x14ac:dyDescent="0.3">
      <c r="A10577" s="45">
        <v>44579</v>
      </c>
      <c r="B10577" s="5" t="s">
        <v>57</v>
      </c>
      <c r="C10577" s="5" t="s">
        <v>294</v>
      </c>
      <c r="D10577" s="43">
        <v>32000</v>
      </c>
      <c r="E10577" s="43"/>
      <c r="F10577" s="48">
        <f t="shared" si="174"/>
        <v>37004.661290322663</v>
      </c>
      <c r="G10577" s="4"/>
      <c r="H10577" s="52">
        <v>413252</v>
      </c>
    </row>
    <row r="10578" spans="1:12" x14ac:dyDescent="0.3">
      <c r="A10578" s="45">
        <v>44579</v>
      </c>
      <c r="B10578" s="5" t="s">
        <v>8782</v>
      </c>
      <c r="C10578" s="5" t="s">
        <v>3194</v>
      </c>
      <c r="D10578" s="43">
        <v>25000</v>
      </c>
      <c r="E10578" s="43"/>
      <c r="F10578" s="48">
        <f t="shared" si="174"/>
        <v>12004.661290322663</v>
      </c>
      <c r="G10578" s="4"/>
      <c r="H10578" s="52">
        <f>H10577*10%</f>
        <v>41325.200000000004</v>
      </c>
    </row>
    <row r="10579" spans="1:12" x14ac:dyDescent="0.3">
      <c r="A10579" s="45">
        <v>44579</v>
      </c>
      <c r="B10579" s="5" t="s">
        <v>3724</v>
      </c>
      <c r="C10579" s="5" t="s">
        <v>40</v>
      </c>
      <c r="D10579" s="43">
        <v>4090</v>
      </c>
      <c r="E10579" s="43"/>
      <c r="F10579" s="48">
        <f t="shared" si="174"/>
        <v>7914.6612903226633</v>
      </c>
      <c r="G10579" s="4"/>
      <c r="H10579" s="52">
        <f>H10577-H10578</f>
        <v>371926.8</v>
      </c>
    </row>
    <row r="10580" spans="1:12" x14ac:dyDescent="0.3">
      <c r="A10580" s="45">
        <v>44579</v>
      </c>
      <c r="B10580" s="5" t="s">
        <v>25</v>
      </c>
      <c r="C10580" s="5" t="s">
        <v>4731</v>
      </c>
      <c r="D10580" s="43">
        <v>1500</v>
      </c>
      <c r="E10580" s="43"/>
      <c r="F10580" s="48">
        <f t="shared" si="174"/>
        <v>6414.6612903226633</v>
      </c>
      <c r="G10580" s="4"/>
      <c r="H10580" s="52">
        <f>H10579/2</f>
        <v>185963.4</v>
      </c>
    </row>
    <row r="10581" spans="1:12" x14ac:dyDescent="0.3">
      <c r="A10581" s="45">
        <v>44579</v>
      </c>
      <c r="B10581" s="5" t="s">
        <v>5162</v>
      </c>
      <c r="C10581" s="5" t="s">
        <v>8783</v>
      </c>
      <c r="D10581" s="43">
        <v>1000</v>
      </c>
      <c r="E10581" s="43"/>
      <c r="F10581" s="48">
        <f t="shared" si="174"/>
        <v>5414.6612903226633</v>
      </c>
      <c r="G10581" s="4"/>
    </row>
    <row r="10582" spans="1:12" x14ac:dyDescent="0.3">
      <c r="A10582" s="45">
        <v>44581</v>
      </c>
      <c r="B10582" s="5" t="s">
        <v>6430</v>
      </c>
      <c r="C10582" s="5" t="s">
        <v>294</v>
      </c>
      <c r="D10582" s="43">
        <v>1800</v>
      </c>
      <c r="E10582" s="43"/>
      <c r="F10582" s="48">
        <f t="shared" si="174"/>
        <v>3614.6612903226633</v>
      </c>
      <c r="G10582" s="4"/>
    </row>
    <row r="10583" spans="1:12" x14ac:dyDescent="0.3">
      <c r="A10583" s="45">
        <v>44585</v>
      </c>
      <c r="B10583" s="5" t="s">
        <v>14</v>
      </c>
      <c r="C10583" s="5" t="s">
        <v>294</v>
      </c>
      <c r="D10583" s="43">
        <v>500</v>
      </c>
      <c r="E10583" s="43"/>
      <c r="F10583" s="48">
        <f t="shared" si="174"/>
        <v>3114.6612903226633</v>
      </c>
      <c r="G10583" s="4"/>
    </row>
    <row r="10584" spans="1:12" x14ac:dyDescent="0.3">
      <c r="A10584" s="45">
        <v>44585</v>
      </c>
      <c r="B10584" s="5" t="s">
        <v>25</v>
      </c>
      <c r="C10584" s="5" t="s">
        <v>8784</v>
      </c>
      <c r="D10584" s="43">
        <v>150</v>
      </c>
      <c r="E10584" s="43"/>
      <c r="F10584" s="48">
        <f t="shared" si="174"/>
        <v>2964.6612903226633</v>
      </c>
      <c r="G10584" s="4"/>
    </row>
    <row r="10585" spans="1:12" x14ac:dyDescent="0.3">
      <c r="A10585" s="45">
        <v>44585</v>
      </c>
      <c r="B10585" s="5" t="s">
        <v>18</v>
      </c>
      <c r="C10585" s="5" t="s">
        <v>6038</v>
      </c>
      <c r="D10585" s="43">
        <v>500</v>
      </c>
      <c r="E10585" s="43"/>
      <c r="F10585" s="48">
        <f t="shared" si="174"/>
        <v>2464.6612903226633</v>
      </c>
      <c r="G10585" s="4"/>
    </row>
    <row r="10586" spans="1:12" x14ac:dyDescent="0.3">
      <c r="A10586" s="45">
        <v>44585</v>
      </c>
      <c r="B10586" s="739" t="s">
        <v>4106</v>
      </c>
      <c r="C10586" s="739"/>
      <c r="D10586" s="739"/>
      <c r="E10586" s="43">
        <v>100000</v>
      </c>
      <c r="F10586" s="48">
        <f t="shared" si="174"/>
        <v>102464.66129032266</v>
      </c>
      <c r="I10586" s="52">
        <v>24000</v>
      </c>
      <c r="L10586" s="93"/>
    </row>
    <row r="10587" spans="1:12" x14ac:dyDescent="0.3">
      <c r="A10587" s="45">
        <v>44586</v>
      </c>
      <c r="B10587" s="5" t="s">
        <v>14</v>
      </c>
      <c r="C10587" s="5" t="s">
        <v>8704</v>
      </c>
      <c r="D10587" s="43">
        <v>2649</v>
      </c>
      <c r="E10587" s="43"/>
      <c r="F10587" s="48">
        <f t="shared" si="174"/>
        <v>99815.661290322663</v>
      </c>
      <c r="G10587" s="4"/>
    </row>
    <row r="10588" spans="1:12" x14ac:dyDescent="0.3">
      <c r="A10588" s="45">
        <v>44586</v>
      </c>
      <c r="B10588" s="5" t="s">
        <v>1074</v>
      </c>
      <c r="C10588" s="5" t="s">
        <v>8789</v>
      </c>
      <c r="D10588" s="43">
        <f>18390+4477</f>
        <v>22867</v>
      </c>
      <c r="E10588" s="43"/>
      <c r="F10588" s="48">
        <f t="shared" si="174"/>
        <v>76948.661290322663</v>
      </c>
      <c r="G10588" s="4"/>
      <c r="H10588" s="52">
        <v>7176</v>
      </c>
      <c r="I10588" s="52">
        <f>H10588*1.17</f>
        <v>8395.92</v>
      </c>
    </row>
    <row r="10589" spans="1:12" x14ac:dyDescent="0.3">
      <c r="A10589" s="45">
        <v>44586</v>
      </c>
      <c r="B10589" s="5" t="s">
        <v>1074</v>
      </c>
      <c r="C10589" s="5" t="s">
        <v>8790</v>
      </c>
      <c r="D10589" s="43">
        <f>250+5618</f>
        <v>5868</v>
      </c>
      <c r="E10589" s="43"/>
      <c r="F10589" s="48">
        <f t="shared" si="174"/>
        <v>71080.661290322663</v>
      </c>
      <c r="G10589" s="4"/>
    </row>
    <row r="10590" spans="1:12" x14ac:dyDescent="0.3">
      <c r="A10590" s="45">
        <v>44586</v>
      </c>
      <c r="B10590" s="5" t="s">
        <v>14</v>
      </c>
      <c r="C10590" s="5" t="s">
        <v>294</v>
      </c>
      <c r="D10590" s="43">
        <v>12000</v>
      </c>
      <c r="E10590" s="43"/>
      <c r="F10590" s="48">
        <f t="shared" si="174"/>
        <v>59080.661290322663</v>
      </c>
      <c r="G10590" s="4"/>
    </row>
    <row r="10591" spans="1:12" x14ac:dyDescent="0.3">
      <c r="A10591" s="45">
        <v>44586</v>
      </c>
      <c r="B10591" s="5" t="s">
        <v>25</v>
      </c>
      <c r="C10591" s="5" t="s">
        <v>6361</v>
      </c>
      <c r="D10591" s="43">
        <v>4890</v>
      </c>
      <c r="E10591" s="43"/>
      <c r="F10591" s="48">
        <f t="shared" si="174"/>
        <v>54190.661290322663</v>
      </c>
      <c r="G10591" s="4">
        <v>3110</v>
      </c>
    </row>
    <row r="10592" spans="1:12" x14ac:dyDescent="0.3">
      <c r="A10592" s="45">
        <v>44586</v>
      </c>
      <c r="B10592" s="5" t="s">
        <v>541</v>
      </c>
      <c r="C10592" s="5" t="s">
        <v>8791</v>
      </c>
      <c r="D10592" s="43">
        <v>9000</v>
      </c>
      <c r="E10592" s="43"/>
      <c r="F10592" s="48">
        <f t="shared" si="174"/>
        <v>45190.661290322663</v>
      </c>
      <c r="G10592" s="4"/>
    </row>
    <row r="10593" spans="1:12" x14ac:dyDescent="0.3">
      <c r="A10593" s="45">
        <v>44586</v>
      </c>
      <c r="B10593" s="5" t="s">
        <v>84</v>
      </c>
      <c r="C10593" s="5" t="s">
        <v>8792</v>
      </c>
      <c r="D10593" s="43">
        <v>2000</v>
      </c>
      <c r="E10593" s="43"/>
      <c r="F10593" s="48">
        <f t="shared" si="174"/>
        <v>43190.661290322663</v>
      </c>
      <c r="G10593" s="4"/>
    </row>
    <row r="10594" spans="1:12" x14ac:dyDescent="0.3">
      <c r="A10594" s="45">
        <v>44587</v>
      </c>
      <c r="B10594" s="5" t="s">
        <v>84</v>
      </c>
      <c r="C10594" s="5" t="s">
        <v>8793</v>
      </c>
      <c r="D10594" s="43">
        <v>6000</v>
      </c>
      <c r="E10594" s="43"/>
      <c r="F10594" s="48">
        <f t="shared" si="174"/>
        <v>37190.661290322663</v>
      </c>
      <c r="G10594" s="4"/>
    </row>
    <row r="10595" spans="1:12" x14ac:dyDescent="0.3">
      <c r="A10595" s="45">
        <v>44587</v>
      </c>
      <c r="B10595" s="5" t="s">
        <v>14</v>
      </c>
      <c r="C10595" s="5" t="s">
        <v>294</v>
      </c>
      <c r="D10595" s="43">
        <v>20000</v>
      </c>
      <c r="E10595" s="43"/>
      <c r="F10595" s="48">
        <f t="shared" si="174"/>
        <v>17190.661290322663</v>
      </c>
      <c r="G10595" s="4"/>
    </row>
    <row r="10596" spans="1:12" x14ac:dyDescent="0.3">
      <c r="A10596" s="45">
        <v>44587</v>
      </c>
      <c r="B10596" s="5" t="s">
        <v>84</v>
      </c>
      <c r="C10596" s="5" t="s">
        <v>8795</v>
      </c>
      <c r="D10596" s="43">
        <v>10000</v>
      </c>
      <c r="E10596" s="43"/>
      <c r="F10596" s="48">
        <f t="shared" si="174"/>
        <v>7190.6612903226633</v>
      </c>
      <c r="G10596" s="4"/>
    </row>
    <row r="10597" spans="1:12" x14ac:dyDescent="0.3">
      <c r="A10597" s="45">
        <v>44588</v>
      </c>
      <c r="B10597" s="5" t="s">
        <v>25</v>
      </c>
      <c r="C10597" s="5" t="s">
        <v>5641</v>
      </c>
      <c r="D10597" s="43">
        <v>650</v>
      </c>
      <c r="E10597" s="43"/>
      <c r="F10597" s="48">
        <f t="shared" ref="F10597:F10660" si="175">F10596+E10597-D10597</f>
        <v>6540.6612903226633</v>
      </c>
      <c r="G10597" s="4"/>
    </row>
    <row r="10598" spans="1:12" x14ac:dyDescent="0.3">
      <c r="A10598" s="45">
        <v>44588</v>
      </c>
      <c r="B10598" s="5" t="s">
        <v>1616</v>
      </c>
      <c r="C10598" s="5" t="s">
        <v>8796</v>
      </c>
      <c r="D10598" s="43">
        <v>3000</v>
      </c>
      <c r="E10598" s="43"/>
      <c r="F10598" s="48">
        <f t="shared" si="175"/>
        <v>3540.6612903226633</v>
      </c>
      <c r="G10598" s="4"/>
    </row>
    <row r="10599" spans="1:12" x14ac:dyDescent="0.3">
      <c r="A10599" s="45">
        <v>44588</v>
      </c>
      <c r="B10599" s="5" t="s">
        <v>25</v>
      </c>
      <c r="C10599" s="5" t="s">
        <v>8800</v>
      </c>
      <c r="D10599" s="43">
        <v>1250</v>
      </c>
      <c r="E10599" s="43"/>
      <c r="F10599" s="48">
        <f t="shared" si="175"/>
        <v>2290.6612903226633</v>
      </c>
      <c r="G10599" s="4"/>
    </row>
    <row r="10600" spans="1:12" x14ac:dyDescent="0.3">
      <c r="A10600" s="45">
        <v>44588</v>
      </c>
      <c r="B10600" s="5" t="s">
        <v>25</v>
      </c>
      <c r="C10600" s="5" t="s">
        <v>8152</v>
      </c>
      <c r="D10600" s="43">
        <f>3180-1250</f>
        <v>1930</v>
      </c>
      <c r="E10600" s="43"/>
      <c r="F10600" s="48">
        <f t="shared" si="175"/>
        <v>360.66129032266326</v>
      </c>
      <c r="G10600" s="4"/>
    </row>
    <row r="10601" spans="1:12" x14ac:dyDescent="0.3">
      <c r="A10601" s="45">
        <v>44589</v>
      </c>
      <c r="B10601" s="739" t="s">
        <v>8801</v>
      </c>
      <c r="C10601" s="739"/>
      <c r="D10601" s="739"/>
      <c r="E10601" s="43">
        <v>16867</v>
      </c>
      <c r="F10601" s="48">
        <f t="shared" si="175"/>
        <v>17227.661290322663</v>
      </c>
      <c r="I10601" s="52">
        <v>24000</v>
      </c>
      <c r="L10601" s="93"/>
    </row>
    <row r="10602" spans="1:12" x14ac:dyDescent="0.3">
      <c r="A10602" s="45">
        <v>44589</v>
      </c>
      <c r="B10602" s="5" t="s">
        <v>7214</v>
      </c>
      <c r="C10602" s="5" t="s">
        <v>8802</v>
      </c>
      <c r="D10602" s="43">
        <v>4000</v>
      </c>
      <c r="E10602" s="43"/>
      <c r="F10602" s="48">
        <f t="shared" si="175"/>
        <v>13227.661290322663</v>
      </c>
      <c r="G10602" s="4"/>
    </row>
    <row r="10603" spans="1:12" x14ac:dyDescent="0.3">
      <c r="A10603" s="45">
        <v>44589</v>
      </c>
      <c r="B10603" s="5" t="s">
        <v>8803</v>
      </c>
      <c r="C10603" s="5" t="s">
        <v>91</v>
      </c>
      <c r="D10603" s="43">
        <v>650</v>
      </c>
      <c r="E10603" s="43"/>
      <c r="F10603" s="48">
        <f t="shared" si="175"/>
        <v>12577.661290322663</v>
      </c>
      <c r="G10603" s="4"/>
    </row>
    <row r="10604" spans="1:12" x14ac:dyDescent="0.3">
      <c r="A10604" s="45">
        <v>44589</v>
      </c>
      <c r="B10604" s="5" t="s">
        <v>4946</v>
      </c>
      <c r="C10604" s="5" t="s">
        <v>8804</v>
      </c>
      <c r="D10604" s="43">
        <v>580</v>
      </c>
      <c r="E10604" s="43"/>
      <c r="F10604" s="48">
        <f t="shared" si="175"/>
        <v>11997.661290322663</v>
      </c>
      <c r="G10604" s="4"/>
    </row>
    <row r="10605" spans="1:12" x14ac:dyDescent="0.3">
      <c r="A10605" s="45">
        <v>44592</v>
      </c>
      <c r="B10605" s="5" t="s">
        <v>84</v>
      </c>
      <c r="C10605" s="5" t="s">
        <v>8806</v>
      </c>
      <c r="D10605" s="43">
        <v>1000</v>
      </c>
      <c r="E10605" s="43"/>
      <c r="F10605" s="48">
        <f t="shared" si="175"/>
        <v>10997.661290322663</v>
      </c>
      <c r="G10605" s="4"/>
    </row>
    <row r="10606" spans="1:12" x14ac:dyDescent="0.3">
      <c r="A10606" s="45">
        <v>44593</v>
      </c>
      <c r="B10606" s="5" t="s">
        <v>25</v>
      </c>
      <c r="C10606" s="5" t="s">
        <v>8249</v>
      </c>
      <c r="D10606" s="43">
        <v>3180</v>
      </c>
      <c r="E10606" s="43"/>
      <c r="F10606" s="48">
        <f t="shared" si="175"/>
        <v>7817.6612903226633</v>
      </c>
      <c r="G10606" s="4"/>
    </row>
    <row r="10607" spans="1:12" x14ac:dyDescent="0.3">
      <c r="A10607" s="45">
        <v>44593</v>
      </c>
      <c r="B10607" s="5" t="s">
        <v>18</v>
      </c>
      <c r="C10607" s="5" t="s">
        <v>2013</v>
      </c>
      <c r="D10607" s="43">
        <v>1000</v>
      </c>
      <c r="E10607" s="43"/>
      <c r="F10607" s="48">
        <f t="shared" si="175"/>
        <v>6817.6612903226633</v>
      </c>
      <c r="G10607" s="4">
        <v>360</v>
      </c>
      <c r="H10607" s="52">
        <f>G10607/2</f>
        <v>180</v>
      </c>
      <c r="I10607" s="52">
        <f>H10607</f>
        <v>180</v>
      </c>
      <c r="J10607" s="52">
        <f>I10607*1.17</f>
        <v>210.6</v>
      </c>
    </row>
    <row r="10608" spans="1:12" x14ac:dyDescent="0.3">
      <c r="A10608" s="45">
        <v>44593</v>
      </c>
      <c r="B10608" s="5" t="s">
        <v>57</v>
      </c>
      <c r="C10608" s="5" t="s">
        <v>8807</v>
      </c>
      <c r="D10608" s="43">
        <v>1500</v>
      </c>
      <c r="E10608" s="43"/>
      <c r="F10608" s="48">
        <f t="shared" si="175"/>
        <v>5317.6612903226633</v>
      </c>
      <c r="G10608" s="4"/>
    </row>
    <row r="10609" spans="1:12" x14ac:dyDescent="0.3">
      <c r="A10609" s="45">
        <v>44594</v>
      </c>
      <c r="B10609" s="739" t="s">
        <v>7440</v>
      </c>
      <c r="C10609" s="739"/>
      <c r="D10609" s="739"/>
      <c r="E10609" s="43">
        <v>500000</v>
      </c>
      <c r="F10609" s="48">
        <f t="shared" si="175"/>
        <v>505317.66129032266</v>
      </c>
      <c r="I10609" s="52">
        <v>24000</v>
      </c>
      <c r="L10609" s="93"/>
    </row>
    <row r="10610" spans="1:12" x14ac:dyDescent="0.3">
      <c r="A10610" s="45">
        <v>44594</v>
      </c>
      <c r="B10610" s="5" t="s">
        <v>541</v>
      </c>
      <c r="C10610" s="5" t="s">
        <v>8812</v>
      </c>
      <c r="D10610" s="43">
        <v>5770</v>
      </c>
      <c r="E10610" s="43"/>
      <c r="F10610" s="48">
        <f t="shared" si="175"/>
        <v>499547.66129032266</v>
      </c>
      <c r="G10610" s="93"/>
    </row>
    <row r="10611" spans="1:12" x14ac:dyDescent="0.3">
      <c r="A10611" s="45">
        <v>44594</v>
      </c>
      <c r="B10611" s="5" t="s">
        <v>541</v>
      </c>
      <c r="C10611" s="5" t="s">
        <v>8816</v>
      </c>
      <c r="D10611" s="43">
        <v>20840</v>
      </c>
      <c r="E10611" s="43"/>
      <c r="F10611" s="48">
        <f t="shared" si="175"/>
        <v>478707.66129032266</v>
      </c>
      <c r="G10611" s="4"/>
    </row>
    <row r="10612" spans="1:12" x14ac:dyDescent="0.3">
      <c r="A10612" s="45">
        <v>44594</v>
      </c>
      <c r="B10612" s="5" t="s">
        <v>25</v>
      </c>
      <c r="C10612" s="5" t="s">
        <v>8152</v>
      </c>
      <c r="D10612" s="43">
        <v>2000</v>
      </c>
      <c r="E10612" s="43"/>
      <c r="F10612" s="48">
        <f t="shared" si="175"/>
        <v>476707.66129032266</v>
      </c>
      <c r="G10612" s="4"/>
    </row>
    <row r="10613" spans="1:12" x14ac:dyDescent="0.3">
      <c r="A10613" s="45">
        <v>44594</v>
      </c>
      <c r="B10613" s="5" t="s">
        <v>68</v>
      </c>
      <c r="C10613" s="5" t="s">
        <v>8813</v>
      </c>
      <c r="D10613" s="43">
        <v>2000</v>
      </c>
      <c r="E10613" s="43"/>
      <c r="F10613" s="48">
        <f t="shared" si="175"/>
        <v>474707.66129032266</v>
      </c>
      <c r="G10613" s="4"/>
    </row>
    <row r="10614" spans="1:12" x14ac:dyDescent="0.3">
      <c r="A10614" s="45">
        <v>44594</v>
      </c>
      <c r="B10614" s="5" t="s">
        <v>25</v>
      </c>
      <c r="C10614" s="5" t="s">
        <v>8814</v>
      </c>
      <c r="D10614" s="43">
        <v>4600</v>
      </c>
      <c r="E10614" s="43"/>
      <c r="F10614" s="48">
        <f t="shared" si="175"/>
        <v>470107.66129032266</v>
      </c>
      <c r="G10614" s="4"/>
    </row>
    <row r="10615" spans="1:12" x14ac:dyDescent="0.3">
      <c r="A10615" s="45">
        <v>44594</v>
      </c>
      <c r="B10615" s="5" t="s">
        <v>25</v>
      </c>
      <c r="C10615" s="5" t="s">
        <v>8815</v>
      </c>
      <c r="D10615" s="43">
        <v>1000</v>
      </c>
      <c r="E10615" s="43"/>
      <c r="F10615" s="48">
        <f t="shared" si="175"/>
        <v>469107.66129032266</v>
      </c>
      <c r="G10615" s="4"/>
    </row>
    <row r="10616" spans="1:12" x14ac:dyDescent="0.3">
      <c r="A10616" s="45">
        <v>44594</v>
      </c>
      <c r="B10616" s="5" t="s">
        <v>25</v>
      </c>
      <c r="C10616" s="5" t="s">
        <v>8719</v>
      </c>
      <c r="D10616" s="43">
        <f>2284+465</f>
        <v>2749</v>
      </c>
      <c r="E10616" s="43"/>
      <c r="F10616" s="48">
        <f t="shared" si="175"/>
        <v>466358.66129032266</v>
      </c>
      <c r="G10616" s="4"/>
    </row>
    <row r="10617" spans="1:12" x14ac:dyDescent="0.3">
      <c r="A10617" s="45">
        <v>44594</v>
      </c>
      <c r="B10617" s="73" t="s">
        <v>5162</v>
      </c>
      <c r="C10617" s="73" t="s">
        <v>8817</v>
      </c>
      <c r="D10617" s="183">
        <v>3680</v>
      </c>
      <c r="E10617" s="43"/>
      <c r="F10617" s="48">
        <f t="shared" si="175"/>
        <v>462678.66129032266</v>
      </c>
      <c r="G10617" s="4"/>
      <c r="H10617" s="52">
        <v>6330</v>
      </c>
    </row>
    <row r="10618" spans="1:12" x14ac:dyDescent="0.3">
      <c r="A10618" s="45">
        <v>44594</v>
      </c>
      <c r="B10618" s="73" t="s">
        <v>5162</v>
      </c>
      <c r="C10618" s="5" t="s">
        <v>2013</v>
      </c>
      <c r="D10618" s="43">
        <v>120</v>
      </c>
      <c r="E10618" s="43"/>
      <c r="F10618" s="48">
        <f t="shared" si="175"/>
        <v>462558.66129032266</v>
      </c>
      <c r="G10618" s="4"/>
      <c r="H10618" s="52">
        <v>20</v>
      </c>
      <c r="I10618" s="52" t="s">
        <v>8808</v>
      </c>
    </row>
    <row r="10619" spans="1:12" x14ac:dyDescent="0.3">
      <c r="A10619" s="45">
        <v>44595</v>
      </c>
      <c r="B10619" s="5" t="s">
        <v>84</v>
      </c>
      <c r="C10619" s="5" t="s">
        <v>8818</v>
      </c>
      <c r="D10619" s="43">
        <v>1000</v>
      </c>
      <c r="E10619" s="43"/>
      <c r="F10619" s="48">
        <f t="shared" si="175"/>
        <v>461558.66129032266</v>
      </c>
      <c r="G10619" s="4"/>
    </row>
    <row r="10620" spans="1:12" x14ac:dyDescent="0.3">
      <c r="A10620" s="45">
        <v>44595</v>
      </c>
      <c r="B10620" s="739" t="s">
        <v>7440</v>
      </c>
      <c r="C10620" s="739"/>
      <c r="D10620" s="739"/>
      <c r="E10620" s="43">
        <v>250000</v>
      </c>
      <c r="F10620" s="48">
        <f t="shared" si="175"/>
        <v>711558.66129032266</v>
      </c>
      <c r="I10620" s="52">
        <v>24000</v>
      </c>
      <c r="L10620" s="93"/>
    </row>
    <row r="10621" spans="1:12" x14ac:dyDescent="0.3">
      <c r="A10621" s="45">
        <v>44595</v>
      </c>
      <c r="B10621" s="218" t="s">
        <v>54</v>
      </c>
      <c r="C10621" s="218" t="s">
        <v>6842</v>
      </c>
      <c r="D10621" s="43">
        <v>96000</v>
      </c>
      <c r="E10621" s="43"/>
      <c r="F10621" s="48">
        <f t="shared" si="175"/>
        <v>615558.66129032266</v>
      </c>
      <c r="G10621" s="93"/>
    </row>
    <row r="10622" spans="1:12" x14ac:dyDescent="0.3">
      <c r="A10622" s="45">
        <v>44595</v>
      </c>
      <c r="B10622" s="218" t="s">
        <v>54</v>
      </c>
      <c r="C10622" s="218" t="s">
        <v>8645</v>
      </c>
      <c r="D10622" s="43">
        <v>206657</v>
      </c>
      <c r="E10622" s="43"/>
      <c r="F10622" s="48">
        <f t="shared" si="175"/>
        <v>408901.66129032266</v>
      </c>
      <c r="G10622" s="4"/>
    </row>
    <row r="10623" spans="1:12" x14ac:dyDescent="0.3">
      <c r="A10623" s="45">
        <v>44595</v>
      </c>
      <c r="B10623" s="218" t="s">
        <v>54</v>
      </c>
      <c r="C10623" s="218" t="s">
        <v>8636</v>
      </c>
      <c r="D10623" s="43">
        <v>113407</v>
      </c>
      <c r="E10623" s="43"/>
      <c r="F10623" s="48">
        <f t="shared" si="175"/>
        <v>295494.66129032266</v>
      </c>
      <c r="G10623" s="4"/>
    </row>
    <row r="10624" spans="1:12" x14ac:dyDescent="0.3">
      <c r="A10624" s="45">
        <v>44595</v>
      </c>
      <c r="B10624" s="218" t="s">
        <v>54</v>
      </c>
      <c r="C10624" s="218" t="s">
        <v>8637</v>
      </c>
      <c r="D10624" s="43">
        <v>71629</v>
      </c>
      <c r="E10624" s="43"/>
      <c r="F10624" s="48">
        <f t="shared" si="175"/>
        <v>223865.66129032266</v>
      </c>
      <c r="G10624" s="4"/>
      <c r="J10624" s="52" t="s">
        <v>7745</v>
      </c>
    </row>
    <row r="10625" spans="1:12" x14ac:dyDescent="0.3">
      <c r="A10625" s="45">
        <v>44595</v>
      </c>
      <c r="B10625" s="218" t="s">
        <v>54</v>
      </c>
      <c r="C10625" s="218" t="s">
        <v>8819</v>
      </c>
      <c r="D10625" s="43">
        <v>68895</v>
      </c>
      <c r="E10625" s="43"/>
      <c r="F10625" s="48">
        <f t="shared" si="175"/>
        <v>154970.66129032266</v>
      </c>
      <c r="G10625" s="4">
        <v>750000</v>
      </c>
      <c r="J10625" s="52">
        <v>335000</v>
      </c>
    </row>
    <row r="10626" spans="1:12" x14ac:dyDescent="0.3">
      <c r="A10626" s="45">
        <v>44595</v>
      </c>
      <c r="B10626" s="218" t="s">
        <v>54</v>
      </c>
      <c r="C10626" s="218" t="s">
        <v>6531</v>
      </c>
      <c r="D10626" s="43">
        <v>24016</v>
      </c>
      <c r="E10626" s="43"/>
      <c r="F10626" s="48">
        <f t="shared" si="175"/>
        <v>130954.66129032266</v>
      </c>
      <c r="G10626" s="4">
        <v>84600</v>
      </c>
      <c r="I10626" s="52">
        <v>0.13</v>
      </c>
      <c r="J10626" s="52">
        <f>J10625*13%</f>
        <v>43550</v>
      </c>
    </row>
    <row r="10627" spans="1:12" x14ac:dyDescent="0.3">
      <c r="A10627" s="45">
        <v>44596</v>
      </c>
      <c r="B10627" s="218" t="s">
        <v>54</v>
      </c>
      <c r="C10627" s="218" t="s">
        <v>8820</v>
      </c>
      <c r="D10627" s="43">
        <v>30000</v>
      </c>
      <c r="E10627" s="43"/>
      <c r="F10627" s="48">
        <f t="shared" si="175"/>
        <v>100954.66129032266</v>
      </c>
      <c r="G10627" s="4">
        <f>G10625-G10626</f>
        <v>665400</v>
      </c>
      <c r="J10627" s="52">
        <f>J10626+J10625</f>
        <v>378550</v>
      </c>
    </row>
    <row r="10628" spans="1:12" x14ac:dyDescent="0.3">
      <c r="A10628" s="45">
        <v>44596</v>
      </c>
      <c r="B10628" s="218" t="s">
        <v>54</v>
      </c>
      <c r="C10628" s="218" t="s">
        <v>8823</v>
      </c>
      <c r="D10628" s="43">
        <v>19000</v>
      </c>
      <c r="E10628" s="43"/>
      <c r="F10628" s="48">
        <f t="shared" si="175"/>
        <v>81954.661290322663</v>
      </c>
      <c r="G10628" s="4">
        <v>896000</v>
      </c>
      <c r="I10628" s="52">
        <v>7.35</v>
      </c>
      <c r="J10628" s="52">
        <f>J10627*7.5%</f>
        <v>28391.25</v>
      </c>
    </row>
    <row r="10629" spans="1:12" x14ac:dyDescent="0.3">
      <c r="A10629" s="45">
        <v>44596</v>
      </c>
      <c r="B10629" s="218" t="s">
        <v>54</v>
      </c>
      <c r="C10629" s="218" t="s">
        <v>8824</v>
      </c>
      <c r="D10629" s="43">
        <v>23650</v>
      </c>
      <c r="E10629" s="43"/>
      <c r="F10629" s="48">
        <f t="shared" si="175"/>
        <v>58304.661290322663</v>
      </c>
      <c r="G10629" s="4"/>
      <c r="J10629" s="52">
        <f>J10627-J10628</f>
        <v>350158.75</v>
      </c>
    </row>
    <row r="10630" spans="1:12" x14ac:dyDescent="0.3">
      <c r="A10630" s="45">
        <v>44596</v>
      </c>
      <c r="B10630" s="336" t="s">
        <v>84</v>
      </c>
      <c r="C10630" s="336" t="s">
        <v>8821</v>
      </c>
      <c r="D10630" s="337">
        <v>30000</v>
      </c>
      <c r="E10630" s="43"/>
      <c r="F10630" s="48">
        <f t="shared" si="175"/>
        <v>28304.661290322663</v>
      </c>
      <c r="G10630" s="4">
        <f>G10628-G10627</f>
        <v>230600</v>
      </c>
      <c r="H10630" s="52">
        <f>H10619/3.28</f>
        <v>0</v>
      </c>
      <c r="I10630" s="52">
        <v>0.2</v>
      </c>
      <c r="J10630" s="52">
        <f>J10626*20%</f>
        <v>8710</v>
      </c>
    </row>
    <row r="10631" spans="1:12" x14ac:dyDescent="0.3">
      <c r="A10631" s="45">
        <v>44596</v>
      </c>
      <c r="B10631" s="5" t="s">
        <v>5914</v>
      </c>
      <c r="C10631" s="5" t="s">
        <v>5915</v>
      </c>
      <c r="D10631" s="43">
        <v>2000</v>
      </c>
      <c r="E10631" s="43"/>
      <c r="F10631" s="48">
        <f t="shared" si="175"/>
        <v>26304.661290322663</v>
      </c>
      <c r="G10631" s="4"/>
      <c r="J10631" s="52">
        <f>J10629-J10630</f>
        <v>341448.75</v>
      </c>
    </row>
    <row r="10632" spans="1:12" x14ac:dyDescent="0.3">
      <c r="A10632" s="45">
        <v>44596</v>
      </c>
      <c r="B10632" s="5" t="s">
        <v>18</v>
      </c>
      <c r="C10632" s="5" t="s">
        <v>2013</v>
      </c>
      <c r="D10632" s="43">
        <v>500</v>
      </c>
      <c r="E10632" s="43"/>
      <c r="F10632" s="48">
        <f t="shared" si="175"/>
        <v>25804.661290322663</v>
      </c>
      <c r="G10632" s="4"/>
      <c r="I10632" s="52">
        <v>0.8</v>
      </c>
      <c r="J10632" s="52">
        <f>J10626*80%</f>
        <v>34840</v>
      </c>
    </row>
    <row r="10633" spans="1:12" x14ac:dyDescent="0.3">
      <c r="A10633" s="45">
        <v>44596</v>
      </c>
      <c r="B10633" s="5" t="s">
        <v>57</v>
      </c>
      <c r="C10633" s="5" t="s">
        <v>8822</v>
      </c>
      <c r="D10633" s="43">
        <v>2000</v>
      </c>
      <c r="E10633" s="43"/>
      <c r="F10633" s="48">
        <f t="shared" si="175"/>
        <v>23804.661290322663</v>
      </c>
      <c r="G10633" s="4"/>
      <c r="J10633" s="52">
        <f>J10631-J10632</f>
        <v>306608.75</v>
      </c>
    </row>
    <row r="10634" spans="1:12" x14ac:dyDescent="0.3">
      <c r="A10634" s="45">
        <v>44596</v>
      </c>
      <c r="B10634" s="5" t="s">
        <v>57</v>
      </c>
      <c r="C10634" s="5" t="s">
        <v>5973</v>
      </c>
      <c r="D10634" s="43">
        <v>5000</v>
      </c>
      <c r="E10634" s="43"/>
      <c r="F10634" s="48">
        <f t="shared" si="175"/>
        <v>18804.661290322663</v>
      </c>
      <c r="G10634" s="4"/>
    </row>
    <row r="10635" spans="1:12" x14ac:dyDescent="0.3">
      <c r="A10635" s="45">
        <v>44596</v>
      </c>
      <c r="B10635" s="5" t="s">
        <v>25</v>
      </c>
      <c r="C10635" s="5" t="s">
        <v>8836</v>
      </c>
      <c r="D10635" s="43">
        <v>1825</v>
      </c>
      <c r="E10635" s="43"/>
      <c r="F10635" s="48">
        <f t="shared" si="175"/>
        <v>16979.661290322663</v>
      </c>
      <c r="G10635" s="4"/>
    </row>
    <row r="10636" spans="1:12" x14ac:dyDescent="0.3">
      <c r="A10636" s="45">
        <v>44596</v>
      </c>
      <c r="B10636" s="66" t="s">
        <v>14</v>
      </c>
      <c r="C10636" s="66" t="s">
        <v>640</v>
      </c>
      <c r="D10636" s="67">
        <v>1000</v>
      </c>
      <c r="E10636" s="43"/>
      <c r="F10636" s="48">
        <f t="shared" si="175"/>
        <v>15979.661290322663</v>
      </c>
      <c r="G10636" s="93"/>
      <c r="H10636" s="52">
        <f>H10617/7.6</f>
        <v>832.89473684210532</v>
      </c>
    </row>
    <row r="10637" spans="1:12" x14ac:dyDescent="0.3">
      <c r="A10637" s="333">
        <v>44599</v>
      </c>
      <c r="B10637" s="743" t="s">
        <v>4106</v>
      </c>
      <c r="C10637" s="744"/>
      <c r="D10637" s="745"/>
      <c r="E10637" s="249">
        <v>250000</v>
      </c>
      <c r="F10637" s="48">
        <f t="shared" si="175"/>
        <v>265979.66129032266</v>
      </c>
      <c r="I10637" s="52">
        <v>24000</v>
      </c>
      <c r="L10637" s="93"/>
    </row>
    <row r="10638" spans="1:12" x14ac:dyDescent="0.3">
      <c r="A10638" s="333">
        <v>44599</v>
      </c>
      <c r="B10638" s="743" t="s">
        <v>4106</v>
      </c>
      <c r="C10638" s="744"/>
      <c r="D10638" s="745"/>
      <c r="E10638" s="249">
        <v>250000</v>
      </c>
      <c r="F10638" s="48">
        <f t="shared" si="175"/>
        <v>515979.66129032266</v>
      </c>
      <c r="I10638" s="52">
        <v>24000</v>
      </c>
      <c r="L10638" s="93"/>
    </row>
    <row r="10639" spans="1:12" x14ac:dyDescent="0.3">
      <c r="A10639" s="45">
        <v>44599</v>
      </c>
      <c r="B10639" s="78" t="s">
        <v>541</v>
      </c>
      <c r="C10639" s="78" t="s">
        <v>294</v>
      </c>
      <c r="D10639" s="77">
        <v>200000</v>
      </c>
      <c r="E10639" s="43"/>
      <c r="F10639" s="48">
        <f t="shared" si="175"/>
        <v>315979.66129032266</v>
      </c>
      <c r="G10639" s="4"/>
      <c r="H10639" s="52">
        <f>H10638/3.28</f>
        <v>0</v>
      </c>
    </row>
    <row r="10640" spans="1:12" x14ac:dyDescent="0.3">
      <c r="A10640" s="45">
        <v>44599</v>
      </c>
      <c r="B10640" s="218" t="s">
        <v>54</v>
      </c>
      <c r="C10640" s="218" t="s">
        <v>8646</v>
      </c>
      <c r="D10640" s="43">
        <v>111752</v>
      </c>
      <c r="E10640" s="43"/>
      <c r="F10640" s="48">
        <f t="shared" si="175"/>
        <v>204227.66129032266</v>
      </c>
      <c r="G10640" s="4"/>
      <c r="J10640" s="52">
        <f>J10638-J10639</f>
        <v>0</v>
      </c>
    </row>
    <row r="10641" spans="1:12" x14ac:dyDescent="0.3">
      <c r="A10641" s="45">
        <v>44599</v>
      </c>
      <c r="B10641" s="218" t="s">
        <v>54</v>
      </c>
      <c r="C10641" s="218" t="s">
        <v>6945</v>
      </c>
      <c r="D10641" s="43">
        <v>33266</v>
      </c>
      <c r="E10641" s="43"/>
      <c r="F10641" s="48">
        <f t="shared" si="175"/>
        <v>170961.66129032266</v>
      </c>
      <c r="G10641" s="4"/>
      <c r="J10641" s="52">
        <f>J10639-J10640</f>
        <v>0</v>
      </c>
    </row>
    <row r="10642" spans="1:12" x14ac:dyDescent="0.3">
      <c r="A10642" s="45">
        <v>44599</v>
      </c>
      <c r="B10642" s="218" t="s">
        <v>54</v>
      </c>
      <c r="C10642" s="332" t="s">
        <v>8739</v>
      </c>
      <c r="D10642" s="43">
        <v>27984</v>
      </c>
      <c r="E10642" s="43"/>
      <c r="F10642" s="48">
        <f t="shared" si="175"/>
        <v>142977.66129032266</v>
      </c>
      <c r="G10642" s="4"/>
      <c r="J10642" s="52">
        <f>J10640-J10641</f>
        <v>0</v>
      </c>
    </row>
    <row r="10643" spans="1:12" x14ac:dyDescent="0.3">
      <c r="A10643" s="45">
        <v>44600</v>
      </c>
      <c r="B10643" s="5" t="s">
        <v>5156</v>
      </c>
      <c r="C10643" s="78" t="s">
        <v>8832</v>
      </c>
      <c r="D10643" s="43">
        <v>150</v>
      </c>
      <c r="E10643" s="43"/>
      <c r="F10643" s="48">
        <f t="shared" si="175"/>
        <v>142827.66129032266</v>
      </c>
      <c r="G10643" s="4"/>
    </row>
    <row r="10644" spans="1:12" x14ac:dyDescent="0.3">
      <c r="A10644" s="45">
        <v>44600</v>
      </c>
      <c r="B10644" s="5" t="s">
        <v>68</v>
      </c>
      <c r="C10644" s="5" t="s">
        <v>8833</v>
      </c>
      <c r="D10644" s="43">
        <v>80000</v>
      </c>
      <c r="E10644" s="43"/>
      <c r="F10644" s="48">
        <f t="shared" si="175"/>
        <v>62827.661290322663</v>
      </c>
      <c r="G10644" s="4"/>
    </row>
    <row r="10645" spans="1:12" x14ac:dyDescent="0.3">
      <c r="A10645" s="45">
        <v>44600</v>
      </c>
      <c r="B10645" s="5" t="s">
        <v>14</v>
      </c>
      <c r="C10645" s="5" t="s">
        <v>8835</v>
      </c>
      <c r="D10645" s="43">
        <v>20000</v>
      </c>
      <c r="E10645" s="43"/>
      <c r="F10645" s="48">
        <f t="shared" si="175"/>
        <v>42827.661290322663</v>
      </c>
      <c r="G10645" s="4"/>
    </row>
    <row r="10646" spans="1:12" x14ac:dyDescent="0.3">
      <c r="A10646" s="45">
        <v>44601</v>
      </c>
      <c r="B10646" s="5" t="s">
        <v>25</v>
      </c>
      <c r="C10646" s="5" t="s">
        <v>8836</v>
      </c>
      <c r="D10646" s="43">
        <v>3250</v>
      </c>
      <c r="E10646" s="43"/>
      <c r="F10646" s="48">
        <f t="shared" si="175"/>
        <v>39577.661290322663</v>
      </c>
      <c r="G10646" s="4"/>
    </row>
    <row r="10647" spans="1:12" x14ac:dyDescent="0.3">
      <c r="A10647" s="45">
        <v>44601</v>
      </c>
      <c r="B10647" s="743" t="s">
        <v>8837</v>
      </c>
      <c r="C10647" s="744"/>
      <c r="D10647" s="745"/>
      <c r="E10647" s="249">
        <v>4000</v>
      </c>
      <c r="F10647" s="48">
        <f t="shared" si="175"/>
        <v>43577.661290322663</v>
      </c>
      <c r="I10647" s="52">
        <v>24000</v>
      </c>
      <c r="L10647" s="93"/>
    </row>
    <row r="10648" spans="1:12" x14ac:dyDescent="0.3">
      <c r="A10648" s="45">
        <v>44601</v>
      </c>
      <c r="B10648" s="5" t="s">
        <v>25</v>
      </c>
      <c r="C10648" s="5" t="s">
        <v>4731</v>
      </c>
      <c r="D10648" s="43">
        <v>2500</v>
      </c>
      <c r="E10648" s="43"/>
      <c r="F10648" s="48">
        <f t="shared" si="175"/>
        <v>41077.661290322663</v>
      </c>
      <c r="G10648" s="4"/>
    </row>
    <row r="10649" spans="1:12" x14ac:dyDescent="0.3">
      <c r="A10649" s="45">
        <v>44601</v>
      </c>
      <c r="B10649" s="5" t="s">
        <v>68</v>
      </c>
      <c r="C10649" s="5" t="s">
        <v>8838</v>
      </c>
      <c r="D10649" s="43">
        <v>10000</v>
      </c>
      <c r="E10649" s="43"/>
      <c r="F10649" s="48">
        <f t="shared" si="175"/>
        <v>31077.661290322663</v>
      </c>
      <c r="G10649" s="4"/>
    </row>
    <row r="10650" spans="1:12" x14ac:dyDescent="0.3">
      <c r="A10650" s="45">
        <v>44601</v>
      </c>
      <c r="B10650" s="743" t="s">
        <v>8839</v>
      </c>
      <c r="C10650" s="744"/>
      <c r="D10650" s="745"/>
      <c r="E10650" s="249">
        <v>50000</v>
      </c>
      <c r="F10650" s="48">
        <f t="shared" si="175"/>
        <v>81077.661290322663</v>
      </c>
      <c r="I10650" s="52">
        <v>24000</v>
      </c>
      <c r="L10650" s="93"/>
    </row>
    <row r="10651" spans="1:12" x14ac:dyDescent="0.3">
      <c r="A10651" s="45">
        <v>44601</v>
      </c>
      <c r="B10651" s="218" t="s">
        <v>54</v>
      </c>
      <c r="C10651" s="332" t="s">
        <v>8238</v>
      </c>
      <c r="D10651" s="43">
        <v>79940</v>
      </c>
      <c r="E10651" s="43"/>
      <c r="F10651" s="48">
        <f t="shared" si="175"/>
        <v>1137.6612903226633</v>
      </c>
      <c r="G10651" s="4"/>
      <c r="J10651" s="52">
        <f>J10649-J10650</f>
        <v>0</v>
      </c>
    </row>
    <row r="10652" spans="1:12" x14ac:dyDescent="0.3">
      <c r="A10652" s="45">
        <v>44602</v>
      </c>
      <c r="B10652" s="5" t="s">
        <v>6959</v>
      </c>
      <c r="C10652" s="5" t="s">
        <v>8842</v>
      </c>
      <c r="D10652" s="43">
        <v>500</v>
      </c>
      <c r="E10652" s="43"/>
      <c r="F10652" s="48">
        <f t="shared" si="175"/>
        <v>637.66129032266326</v>
      </c>
      <c r="G10652" s="4"/>
    </row>
    <row r="10653" spans="1:12" x14ac:dyDescent="0.3">
      <c r="A10653" s="45">
        <v>44602</v>
      </c>
      <c r="B10653" s="743" t="s">
        <v>4106</v>
      </c>
      <c r="C10653" s="744"/>
      <c r="D10653" s="745"/>
      <c r="E10653" s="249">
        <v>100000</v>
      </c>
      <c r="F10653" s="48">
        <f t="shared" si="175"/>
        <v>100637.66129032266</v>
      </c>
      <c r="I10653" s="52">
        <v>24000</v>
      </c>
      <c r="L10653" s="93"/>
    </row>
    <row r="10654" spans="1:12" x14ac:dyDescent="0.3">
      <c r="A10654" s="45">
        <v>44602</v>
      </c>
      <c r="B10654" s="5" t="s">
        <v>8594</v>
      </c>
      <c r="C10654" s="5" t="s">
        <v>8550</v>
      </c>
      <c r="D10654" s="43">
        <v>50000</v>
      </c>
      <c r="E10654" s="43"/>
      <c r="F10654" s="48">
        <f t="shared" si="175"/>
        <v>50637.661290322663</v>
      </c>
      <c r="G10654" s="4"/>
    </row>
    <row r="10655" spans="1:12" x14ac:dyDescent="0.3">
      <c r="A10655" s="45">
        <v>44603</v>
      </c>
      <c r="B10655" s="5" t="s">
        <v>8843</v>
      </c>
      <c r="C10655" s="5" t="s">
        <v>8844</v>
      </c>
      <c r="D10655" s="43">
        <v>4500</v>
      </c>
      <c r="E10655" s="43"/>
      <c r="F10655" s="48">
        <f t="shared" si="175"/>
        <v>46137.661290322663</v>
      </c>
      <c r="G10655" s="4"/>
    </row>
    <row r="10656" spans="1:12" x14ac:dyDescent="0.3">
      <c r="A10656" s="45">
        <v>44603</v>
      </c>
      <c r="B10656" s="5" t="s">
        <v>3563</v>
      </c>
      <c r="C10656" s="5" t="s">
        <v>8845</v>
      </c>
      <c r="D10656" s="43">
        <v>4080</v>
      </c>
      <c r="E10656" s="43"/>
      <c r="F10656" s="48">
        <f t="shared" si="175"/>
        <v>42057.661290322663</v>
      </c>
      <c r="G10656" s="4"/>
    </row>
    <row r="10657" spans="1:12" x14ac:dyDescent="0.3">
      <c r="A10657" s="45">
        <v>44603</v>
      </c>
      <c r="B10657" s="5" t="s">
        <v>1616</v>
      </c>
      <c r="C10657" s="5" t="s">
        <v>8848</v>
      </c>
      <c r="D10657" s="43">
        <v>650</v>
      </c>
      <c r="E10657" s="43"/>
      <c r="F10657" s="48">
        <f t="shared" si="175"/>
        <v>41407.661290322663</v>
      </c>
      <c r="G10657" s="4"/>
    </row>
    <row r="10658" spans="1:12" x14ac:dyDescent="0.3">
      <c r="A10658" s="45">
        <v>44603</v>
      </c>
      <c r="B10658" s="5" t="s">
        <v>1616</v>
      </c>
      <c r="C10658" s="5" t="s">
        <v>8849</v>
      </c>
      <c r="D10658" s="43">
        <v>1500</v>
      </c>
      <c r="E10658" s="43"/>
      <c r="F10658" s="48">
        <f t="shared" si="175"/>
        <v>39907.661290322663</v>
      </c>
      <c r="G10658" s="4"/>
    </row>
    <row r="10659" spans="1:12" x14ac:dyDescent="0.3">
      <c r="A10659" s="45">
        <v>44604</v>
      </c>
      <c r="B10659" s="5" t="s">
        <v>5162</v>
      </c>
      <c r="C10659" s="5" t="s">
        <v>7002</v>
      </c>
      <c r="D10659" s="43">
        <v>1000</v>
      </c>
      <c r="E10659" s="43"/>
      <c r="F10659" s="48">
        <f t="shared" si="175"/>
        <v>38907.661290322663</v>
      </c>
      <c r="G10659" s="4">
        <v>3500</v>
      </c>
    </row>
    <row r="10660" spans="1:12" x14ac:dyDescent="0.3">
      <c r="A10660" s="45">
        <v>44604</v>
      </c>
      <c r="B10660" s="5" t="s">
        <v>84</v>
      </c>
      <c r="C10660" s="5" t="s">
        <v>8846</v>
      </c>
      <c r="D10660" s="43">
        <v>1000</v>
      </c>
      <c r="E10660" s="43"/>
      <c r="F10660" s="48">
        <f t="shared" si="175"/>
        <v>37907.661290322663</v>
      </c>
      <c r="G10660" s="4"/>
    </row>
    <row r="10661" spans="1:12" x14ac:dyDescent="0.3">
      <c r="A10661" s="45">
        <v>44606</v>
      </c>
      <c r="B10661" s="5" t="s">
        <v>18</v>
      </c>
      <c r="C10661" s="5" t="s">
        <v>8847</v>
      </c>
      <c r="D10661" s="43">
        <v>3000</v>
      </c>
      <c r="E10661" s="43"/>
      <c r="F10661" s="48">
        <f t="shared" ref="F10661:F10724" si="176">F10660+E10661-D10661</f>
        <v>34907.661290322663</v>
      </c>
      <c r="G10661" s="4"/>
    </row>
    <row r="10662" spans="1:12" x14ac:dyDescent="0.3">
      <c r="A10662" s="45">
        <v>44606</v>
      </c>
      <c r="B10662" s="5" t="s">
        <v>68</v>
      </c>
      <c r="C10662" s="5" t="s">
        <v>294</v>
      </c>
      <c r="D10662" s="43">
        <v>2000</v>
      </c>
      <c r="E10662" s="43"/>
      <c r="F10662" s="48">
        <f t="shared" si="176"/>
        <v>32907.661290322663</v>
      </c>
      <c r="G10662" s="4"/>
    </row>
    <row r="10663" spans="1:12" x14ac:dyDescent="0.3">
      <c r="A10663" s="45">
        <v>44606</v>
      </c>
      <c r="B10663" s="5" t="s">
        <v>25</v>
      </c>
      <c r="C10663" s="5" t="s">
        <v>8850</v>
      </c>
      <c r="D10663" s="43">
        <v>3950</v>
      </c>
      <c r="E10663" s="43"/>
      <c r="F10663" s="48">
        <f t="shared" si="176"/>
        <v>28957.661290322663</v>
      </c>
      <c r="G10663" s="4"/>
    </row>
    <row r="10664" spans="1:12" x14ac:dyDescent="0.3">
      <c r="A10664" s="45">
        <v>44606</v>
      </c>
      <c r="B10664" s="743" t="s">
        <v>7440</v>
      </c>
      <c r="C10664" s="744"/>
      <c r="D10664" s="745"/>
      <c r="E10664" s="249">
        <v>50000</v>
      </c>
      <c r="F10664" s="48">
        <f t="shared" si="176"/>
        <v>78957.661290322663</v>
      </c>
      <c r="I10664" s="52">
        <v>24000</v>
      </c>
      <c r="L10664" s="93"/>
    </row>
    <row r="10665" spans="1:12" x14ac:dyDescent="0.3">
      <c r="A10665" s="45">
        <v>44606</v>
      </c>
      <c r="B10665" s="5" t="s">
        <v>6430</v>
      </c>
      <c r="C10665" s="5" t="s">
        <v>8851</v>
      </c>
      <c r="D10665" s="43">
        <v>22000</v>
      </c>
      <c r="E10665" s="43"/>
      <c r="F10665" s="48">
        <f t="shared" si="176"/>
        <v>56957.661290322663</v>
      </c>
      <c r="G10665" s="4"/>
    </row>
    <row r="10666" spans="1:12" x14ac:dyDescent="0.3">
      <c r="A10666" s="45">
        <v>44606</v>
      </c>
      <c r="B10666" s="5" t="s">
        <v>14</v>
      </c>
      <c r="C10666" s="5" t="s">
        <v>294</v>
      </c>
      <c r="D10666" s="43">
        <v>5000</v>
      </c>
      <c r="E10666" s="43"/>
      <c r="F10666" s="48">
        <f t="shared" si="176"/>
        <v>51957.661290322663</v>
      </c>
      <c r="G10666" s="4"/>
      <c r="H10666" s="52">
        <f>H10664*7.5%</f>
        <v>0</v>
      </c>
    </row>
    <row r="10667" spans="1:12" x14ac:dyDescent="0.3">
      <c r="A10667" s="45">
        <v>44606</v>
      </c>
      <c r="B10667" s="5" t="s">
        <v>3554</v>
      </c>
      <c r="C10667" s="5" t="s">
        <v>8852</v>
      </c>
      <c r="D10667" s="43">
        <v>5000</v>
      </c>
      <c r="E10667" s="43"/>
      <c r="F10667" s="48">
        <f t="shared" si="176"/>
        <v>46957.661290322663</v>
      </c>
      <c r="G10667" s="4"/>
    </row>
    <row r="10668" spans="1:12" x14ac:dyDescent="0.3">
      <c r="A10668" s="45">
        <v>44606</v>
      </c>
      <c r="B10668" s="5" t="s">
        <v>3554</v>
      </c>
      <c r="C10668" s="5" t="s">
        <v>8853</v>
      </c>
      <c r="D10668" s="43">
        <v>10000</v>
      </c>
      <c r="E10668" s="43"/>
      <c r="F10668" s="48">
        <f t="shared" si="176"/>
        <v>36957.661290322663</v>
      </c>
      <c r="G10668" s="4"/>
      <c r="H10668" s="52">
        <f>H10664-H10666</f>
        <v>0</v>
      </c>
    </row>
    <row r="10669" spans="1:12" x14ac:dyDescent="0.3">
      <c r="A10669" s="45">
        <v>44607</v>
      </c>
      <c r="B10669" s="5" t="s">
        <v>25</v>
      </c>
      <c r="C10669" s="5" t="s">
        <v>3627</v>
      </c>
      <c r="D10669" s="43">
        <v>900</v>
      </c>
      <c r="E10669" s="43"/>
      <c r="F10669" s="48">
        <f t="shared" si="176"/>
        <v>36057.661290322663</v>
      </c>
      <c r="G10669" s="4"/>
    </row>
    <row r="10670" spans="1:12" x14ac:dyDescent="0.3">
      <c r="A10670" s="45">
        <v>44607</v>
      </c>
      <c r="B10670" s="5" t="s">
        <v>84</v>
      </c>
      <c r="C10670" s="5" t="s">
        <v>8855</v>
      </c>
      <c r="D10670" s="43">
        <v>1000</v>
      </c>
      <c r="E10670" s="43"/>
      <c r="F10670" s="48">
        <f t="shared" si="176"/>
        <v>35057.661290322663</v>
      </c>
      <c r="G10670" s="4"/>
    </row>
    <row r="10671" spans="1:12" x14ac:dyDescent="0.3">
      <c r="A10671" s="45">
        <v>44607</v>
      </c>
      <c r="B10671" s="5" t="s">
        <v>84</v>
      </c>
      <c r="C10671" s="5" t="s">
        <v>8854</v>
      </c>
      <c r="D10671" s="43">
        <v>4000</v>
      </c>
      <c r="E10671" s="43"/>
      <c r="F10671" s="48">
        <f t="shared" si="176"/>
        <v>31057.661290322663</v>
      </c>
      <c r="G10671" s="4"/>
    </row>
    <row r="10672" spans="1:12" x14ac:dyDescent="0.3">
      <c r="A10672" s="45">
        <v>44608</v>
      </c>
      <c r="B10672" s="743" t="s">
        <v>8856</v>
      </c>
      <c r="C10672" s="744"/>
      <c r="D10672" s="745"/>
      <c r="E10672" s="249">
        <v>15000</v>
      </c>
      <c r="F10672" s="48">
        <f t="shared" si="176"/>
        <v>46057.661290322663</v>
      </c>
      <c r="I10672" s="52">
        <v>24000</v>
      </c>
      <c r="L10672" s="93"/>
    </row>
    <row r="10673" spans="1:12" x14ac:dyDescent="0.3">
      <c r="A10673" s="45">
        <v>44608</v>
      </c>
      <c r="B10673" s="5" t="s">
        <v>14</v>
      </c>
      <c r="C10673" s="5" t="s">
        <v>8857</v>
      </c>
      <c r="D10673" s="43">
        <v>30000</v>
      </c>
      <c r="E10673" s="43"/>
      <c r="F10673" s="48">
        <f t="shared" si="176"/>
        <v>16057.661290322663</v>
      </c>
      <c r="G10673" s="4"/>
      <c r="I10673" s="52">
        <v>479600</v>
      </c>
      <c r="J10673" s="52">
        <f>I10673*30%</f>
        <v>143880</v>
      </c>
    </row>
    <row r="10674" spans="1:12" x14ac:dyDescent="0.3">
      <c r="A10674" s="45">
        <v>44608</v>
      </c>
      <c r="B10674" s="5" t="s">
        <v>1074</v>
      </c>
      <c r="C10674" s="5" t="s">
        <v>8858</v>
      </c>
      <c r="D10674" s="43">
        <f>1370+4530</f>
        <v>5900</v>
      </c>
      <c r="E10674" s="43"/>
      <c r="F10674" s="48">
        <f t="shared" si="176"/>
        <v>10157.661290322663</v>
      </c>
      <c r="G10674" s="4"/>
      <c r="H10674" s="52">
        <v>550000</v>
      </c>
      <c r="J10674" s="238">
        <f>J10673*13%</f>
        <v>18704.400000000001</v>
      </c>
    </row>
    <row r="10675" spans="1:12" x14ac:dyDescent="0.3">
      <c r="A10675" s="45">
        <v>44608</v>
      </c>
      <c r="B10675" s="5" t="s">
        <v>1074</v>
      </c>
      <c r="C10675" s="5" t="s">
        <v>8859</v>
      </c>
      <c r="D10675" s="43">
        <f>1190+1070</f>
        <v>2260</v>
      </c>
      <c r="E10675" s="43"/>
      <c r="F10675" s="48">
        <f t="shared" si="176"/>
        <v>7897.6612903226633</v>
      </c>
      <c r="G10675" s="4"/>
      <c r="H10675" s="52">
        <f>H10674*13%</f>
        <v>71500</v>
      </c>
    </row>
    <row r="10676" spans="1:12" x14ac:dyDescent="0.3">
      <c r="A10676" s="45">
        <v>44608</v>
      </c>
      <c r="B10676" s="5" t="s">
        <v>6931</v>
      </c>
      <c r="C10676" s="5" t="s">
        <v>2013</v>
      </c>
      <c r="D10676" s="43">
        <v>150</v>
      </c>
      <c r="E10676" s="43"/>
      <c r="F10676" s="48">
        <f t="shared" si="176"/>
        <v>7747.6612903226633</v>
      </c>
      <c r="G10676" s="4"/>
      <c r="H10676" s="52">
        <f>H10675+H10674</f>
        <v>621500</v>
      </c>
    </row>
    <row r="10677" spans="1:12" x14ac:dyDescent="0.3">
      <c r="A10677" s="45">
        <v>44608</v>
      </c>
      <c r="B10677" s="743" t="s">
        <v>8290</v>
      </c>
      <c r="C10677" s="744"/>
      <c r="D10677" s="745"/>
      <c r="E10677" s="249">
        <v>50000</v>
      </c>
      <c r="F10677" s="48">
        <f t="shared" si="176"/>
        <v>57747.661290322663</v>
      </c>
      <c r="I10677" s="52">
        <v>24000</v>
      </c>
      <c r="L10677" s="93"/>
    </row>
    <row r="10678" spans="1:12" x14ac:dyDescent="0.3">
      <c r="A10678" s="45">
        <v>44608</v>
      </c>
      <c r="B10678" s="5" t="s">
        <v>14</v>
      </c>
      <c r="C10678" s="5" t="s">
        <v>438</v>
      </c>
      <c r="D10678" s="43">
        <v>50000</v>
      </c>
      <c r="E10678" s="43"/>
      <c r="F10678" s="48">
        <f t="shared" si="176"/>
        <v>7747.6612903226633</v>
      </c>
      <c r="G10678" s="4"/>
      <c r="H10678" s="52">
        <f>H10676-H10677</f>
        <v>621500</v>
      </c>
    </row>
    <row r="10679" spans="1:12" x14ac:dyDescent="0.3">
      <c r="A10679" s="45">
        <v>44610</v>
      </c>
      <c r="B10679" s="743" t="s">
        <v>7440</v>
      </c>
      <c r="C10679" s="744"/>
      <c r="D10679" s="745"/>
      <c r="E10679" s="249">
        <v>100000</v>
      </c>
      <c r="F10679" s="48">
        <f t="shared" si="176"/>
        <v>107747.66129032266</v>
      </c>
      <c r="I10679" s="52">
        <v>24000</v>
      </c>
      <c r="L10679" s="93"/>
    </row>
    <row r="10680" spans="1:12" x14ac:dyDescent="0.3">
      <c r="A10680" s="45">
        <v>44610</v>
      </c>
      <c r="B10680" s="5" t="s">
        <v>68</v>
      </c>
      <c r="C10680" s="5" t="s">
        <v>8833</v>
      </c>
      <c r="D10680" s="43">
        <v>50000</v>
      </c>
      <c r="E10680" s="43"/>
      <c r="F10680" s="48">
        <f t="shared" si="176"/>
        <v>57747.661290322663</v>
      </c>
      <c r="G10680" s="4"/>
    </row>
    <row r="10681" spans="1:12" x14ac:dyDescent="0.3">
      <c r="A10681" s="45">
        <v>44611</v>
      </c>
      <c r="B10681" s="5" t="s">
        <v>8594</v>
      </c>
      <c r="C10681" s="5" t="s">
        <v>8550</v>
      </c>
      <c r="D10681" s="43">
        <v>50000</v>
      </c>
      <c r="E10681" s="43"/>
      <c r="F10681" s="48">
        <f t="shared" si="176"/>
        <v>7747.6612903226633</v>
      </c>
      <c r="G10681" s="4"/>
    </row>
    <row r="10682" spans="1:12" x14ac:dyDescent="0.3">
      <c r="A10682" s="45">
        <v>44611</v>
      </c>
      <c r="B10682" s="5" t="s">
        <v>25</v>
      </c>
      <c r="C10682" s="5" t="s">
        <v>8152</v>
      </c>
      <c r="D10682" s="43">
        <v>3481</v>
      </c>
      <c r="E10682" s="43"/>
      <c r="F10682" s="48">
        <f t="shared" si="176"/>
        <v>4266.6612903226633</v>
      </c>
      <c r="G10682" s="4"/>
    </row>
    <row r="10683" spans="1:12" x14ac:dyDescent="0.3">
      <c r="A10683" s="45">
        <v>44613</v>
      </c>
      <c r="B10683" s="5" t="s">
        <v>1616</v>
      </c>
      <c r="C10683" s="5" t="s">
        <v>8866</v>
      </c>
      <c r="D10683" s="43">
        <v>754</v>
      </c>
      <c r="E10683" s="43"/>
      <c r="F10683" s="48">
        <f t="shared" si="176"/>
        <v>3512.6612903226633</v>
      </c>
      <c r="G10683" s="4"/>
    </row>
    <row r="10684" spans="1:12" x14ac:dyDescent="0.3">
      <c r="A10684" s="45">
        <v>44613</v>
      </c>
      <c r="B10684" s="743" t="s">
        <v>8290</v>
      </c>
      <c r="C10684" s="744"/>
      <c r="D10684" s="745"/>
      <c r="E10684" s="249">
        <v>10000</v>
      </c>
      <c r="F10684" s="48">
        <f t="shared" si="176"/>
        <v>13512.661290322663</v>
      </c>
      <c r="I10684" s="52">
        <v>24000</v>
      </c>
      <c r="L10684" s="93"/>
    </row>
    <row r="10685" spans="1:12" x14ac:dyDescent="0.3">
      <c r="A10685" s="45">
        <v>44613</v>
      </c>
      <c r="B10685" s="5" t="s">
        <v>68</v>
      </c>
      <c r="C10685" s="5" t="s">
        <v>8833</v>
      </c>
      <c r="D10685" s="43">
        <v>10000</v>
      </c>
      <c r="E10685" s="43"/>
      <c r="F10685" s="48">
        <f t="shared" si="176"/>
        <v>3512.6612903226633</v>
      </c>
      <c r="G10685" s="4"/>
    </row>
    <row r="10686" spans="1:12" x14ac:dyDescent="0.3">
      <c r="A10686" s="45">
        <v>44613</v>
      </c>
      <c r="B10686" s="5" t="s">
        <v>25</v>
      </c>
      <c r="C10686" s="5" t="s">
        <v>8152</v>
      </c>
      <c r="D10686" s="43">
        <v>1570</v>
      </c>
      <c r="E10686" s="43"/>
      <c r="F10686" s="48">
        <f t="shared" si="176"/>
        <v>1942.6612903226633</v>
      </c>
      <c r="G10686" s="4"/>
    </row>
    <row r="10687" spans="1:12" x14ac:dyDescent="0.3">
      <c r="A10687" s="45">
        <v>44614</v>
      </c>
      <c r="B10687" s="743" t="s">
        <v>3444</v>
      </c>
      <c r="C10687" s="744"/>
      <c r="D10687" s="745"/>
      <c r="E10687" s="249">
        <v>150000</v>
      </c>
      <c r="F10687" s="48">
        <f t="shared" si="176"/>
        <v>151942.66129032266</v>
      </c>
      <c r="I10687" s="52">
        <v>24000</v>
      </c>
      <c r="L10687" s="93"/>
    </row>
    <row r="10688" spans="1:12" x14ac:dyDescent="0.3">
      <c r="A10688" s="45">
        <v>44614</v>
      </c>
      <c r="B10688" s="5" t="s">
        <v>57</v>
      </c>
      <c r="C10688" s="5" t="s">
        <v>8868</v>
      </c>
      <c r="D10688" s="43">
        <v>5000</v>
      </c>
      <c r="E10688" s="43"/>
      <c r="F10688" s="48">
        <f t="shared" si="176"/>
        <v>146942.66129032266</v>
      </c>
      <c r="G10688" s="4"/>
    </row>
    <row r="10689" spans="1:12" x14ac:dyDescent="0.3">
      <c r="A10689" s="45">
        <v>44614</v>
      </c>
      <c r="B10689" s="5" t="s">
        <v>84</v>
      </c>
      <c r="C10689" s="5" t="s">
        <v>8869</v>
      </c>
      <c r="D10689" s="43">
        <v>1000</v>
      </c>
      <c r="E10689" s="43"/>
      <c r="F10689" s="48">
        <f t="shared" si="176"/>
        <v>145942.66129032266</v>
      </c>
      <c r="G10689" s="4"/>
    </row>
    <row r="10690" spans="1:12" x14ac:dyDescent="0.3">
      <c r="A10690" s="45">
        <v>44614</v>
      </c>
      <c r="B10690" s="5" t="s">
        <v>18</v>
      </c>
      <c r="C10690" s="5" t="s">
        <v>8870</v>
      </c>
      <c r="D10690" s="43">
        <v>5000</v>
      </c>
      <c r="E10690" s="43"/>
      <c r="F10690" s="48">
        <f t="shared" si="176"/>
        <v>140942.66129032266</v>
      </c>
      <c r="G10690" s="4"/>
    </row>
    <row r="10691" spans="1:12" x14ac:dyDescent="0.3">
      <c r="A10691" s="45">
        <v>44614</v>
      </c>
      <c r="B10691" s="5" t="s">
        <v>3554</v>
      </c>
      <c r="C10691" s="5" t="s">
        <v>8871</v>
      </c>
      <c r="D10691" s="43">
        <v>5000</v>
      </c>
      <c r="E10691" s="43"/>
      <c r="F10691" s="48">
        <f t="shared" si="176"/>
        <v>135942.66129032266</v>
      </c>
      <c r="G10691" s="4"/>
    </row>
    <row r="10692" spans="1:12" x14ac:dyDescent="0.3">
      <c r="A10692" s="45">
        <v>44614</v>
      </c>
      <c r="B10692" s="5" t="s">
        <v>3554</v>
      </c>
      <c r="C10692" s="5" t="s">
        <v>8872</v>
      </c>
      <c r="D10692" s="43">
        <v>2000</v>
      </c>
      <c r="E10692" s="43"/>
      <c r="F10692" s="48">
        <f t="shared" si="176"/>
        <v>133942.66129032266</v>
      </c>
      <c r="G10692" s="4">
        <f>3000-570</f>
        <v>2430</v>
      </c>
    </row>
    <row r="10693" spans="1:12" x14ac:dyDescent="0.3">
      <c r="A10693" s="45">
        <v>44614</v>
      </c>
      <c r="B10693" s="5" t="s">
        <v>14</v>
      </c>
      <c r="C10693" s="5" t="s">
        <v>294</v>
      </c>
      <c r="D10693" s="43">
        <v>50000</v>
      </c>
      <c r="E10693" s="43"/>
      <c r="F10693" s="48">
        <f t="shared" si="176"/>
        <v>83942.661290322663</v>
      </c>
      <c r="G10693" s="4"/>
    </row>
    <row r="10694" spans="1:12" x14ac:dyDescent="0.3">
      <c r="A10694" s="45">
        <v>44615</v>
      </c>
      <c r="B10694" s="5" t="s">
        <v>1012</v>
      </c>
      <c r="C10694" s="5" t="s">
        <v>8873</v>
      </c>
      <c r="D10694" s="43">
        <v>20000</v>
      </c>
      <c r="E10694" s="43"/>
      <c r="F10694" s="48">
        <f t="shared" si="176"/>
        <v>63942.661290322663</v>
      </c>
      <c r="G10694" s="4"/>
    </row>
    <row r="10695" spans="1:12" x14ac:dyDescent="0.3">
      <c r="A10695" s="45">
        <v>44615</v>
      </c>
      <c r="B10695" s="5" t="s">
        <v>3724</v>
      </c>
      <c r="C10695" s="5" t="s">
        <v>40</v>
      </c>
      <c r="D10695" s="43">
        <v>4660</v>
      </c>
      <c r="E10695" s="43"/>
      <c r="F10695" s="48">
        <f t="shared" si="176"/>
        <v>59282.661290322663</v>
      </c>
      <c r="G10695" s="4"/>
    </row>
    <row r="10696" spans="1:12" x14ac:dyDescent="0.3">
      <c r="A10696" s="45">
        <v>44615</v>
      </c>
      <c r="B10696" s="5" t="s">
        <v>1074</v>
      </c>
      <c r="C10696" s="5" t="s">
        <v>8567</v>
      </c>
      <c r="D10696" s="43">
        <v>3928</v>
      </c>
      <c r="E10696" s="43"/>
      <c r="F10696" s="48">
        <f t="shared" si="176"/>
        <v>55354.661290322663</v>
      </c>
      <c r="G10696" s="4"/>
    </row>
    <row r="10697" spans="1:12" x14ac:dyDescent="0.3">
      <c r="A10697" s="45">
        <v>44615</v>
      </c>
      <c r="B10697" s="5" t="s">
        <v>1074</v>
      </c>
      <c r="C10697" s="5" t="s">
        <v>8874</v>
      </c>
      <c r="D10697" s="43">
        <f>17245+3426</f>
        <v>20671</v>
      </c>
      <c r="E10697" s="43"/>
      <c r="F10697" s="48">
        <f t="shared" si="176"/>
        <v>34683.661290322663</v>
      </c>
      <c r="G10697" s="4"/>
    </row>
    <row r="10698" spans="1:12" x14ac:dyDescent="0.3">
      <c r="A10698" s="45">
        <v>44615</v>
      </c>
      <c r="B10698" s="5" t="s">
        <v>14</v>
      </c>
      <c r="C10698" s="5" t="s">
        <v>8875</v>
      </c>
      <c r="D10698" s="43">
        <v>2720</v>
      </c>
      <c r="E10698" s="43"/>
      <c r="F10698" s="48">
        <f t="shared" si="176"/>
        <v>31963.661290322663</v>
      </c>
      <c r="G10698" s="4"/>
    </row>
    <row r="10699" spans="1:12" x14ac:dyDescent="0.3">
      <c r="A10699" s="45">
        <v>44615</v>
      </c>
      <c r="B10699" s="5" t="s">
        <v>4550</v>
      </c>
      <c r="C10699" s="5" t="s">
        <v>8064</v>
      </c>
      <c r="D10699" s="43">
        <v>10000</v>
      </c>
      <c r="E10699" s="43"/>
      <c r="F10699" s="48">
        <f t="shared" si="176"/>
        <v>21963.661290322663</v>
      </c>
      <c r="G10699" s="4"/>
    </row>
    <row r="10700" spans="1:12" x14ac:dyDescent="0.3">
      <c r="A10700" s="45">
        <v>44615</v>
      </c>
      <c r="B10700" s="5" t="s">
        <v>25</v>
      </c>
      <c r="C10700" s="5" t="s">
        <v>8878</v>
      </c>
      <c r="D10700" s="43">
        <v>10000</v>
      </c>
      <c r="E10700" s="43"/>
      <c r="F10700" s="48">
        <f t="shared" si="176"/>
        <v>11963.661290322663</v>
      </c>
      <c r="G10700" s="4"/>
    </row>
    <row r="10701" spans="1:12" x14ac:dyDescent="0.3">
      <c r="A10701" s="45">
        <v>44615</v>
      </c>
      <c r="B10701" s="5" t="s">
        <v>6430</v>
      </c>
      <c r="C10701" s="5" t="s">
        <v>8876</v>
      </c>
      <c r="D10701" s="43">
        <v>2100</v>
      </c>
      <c r="E10701" s="43"/>
      <c r="F10701" s="48">
        <f t="shared" si="176"/>
        <v>9863.6612903226633</v>
      </c>
      <c r="G10701" s="4"/>
    </row>
    <row r="10702" spans="1:12" x14ac:dyDescent="0.3">
      <c r="A10702" s="45">
        <v>44615</v>
      </c>
      <c r="B10702" s="5" t="s">
        <v>84</v>
      </c>
      <c r="C10702" s="5" t="s">
        <v>8877</v>
      </c>
      <c r="D10702" s="43">
        <v>6000</v>
      </c>
      <c r="E10702" s="43"/>
      <c r="F10702" s="48">
        <f t="shared" si="176"/>
        <v>3863.6612903226633</v>
      </c>
      <c r="G10702" s="4"/>
    </row>
    <row r="10703" spans="1:12" x14ac:dyDescent="0.3">
      <c r="A10703" s="45">
        <v>44615</v>
      </c>
      <c r="B10703" s="743" t="s">
        <v>8290</v>
      </c>
      <c r="C10703" s="744"/>
      <c r="D10703" s="745"/>
      <c r="E10703" s="249">
        <v>70000</v>
      </c>
      <c r="F10703" s="48">
        <f t="shared" si="176"/>
        <v>73863.661290322663</v>
      </c>
      <c r="L10703" s="93"/>
    </row>
    <row r="10704" spans="1:12" x14ac:dyDescent="0.3">
      <c r="A10704" s="45">
        <v>44615</v>
      </c>
      <c r="B10704" s="5" t="s">
        <v>8767</v>
      </c>
      <c r="C10704" s="5" t="s">
        <v>8879</v>
      </c>
      <c r="D10704" s="43">
        <v>20000</v>
      </c>
      <c r="E10704" s="43"/>
      <c r="F10704" s="48">
        <f t="shared" si="176"/>
        <v>53863.661290322663</v>
      </c>
      <c r="G10704" s="4"/>
    </row>
    <row r="10705" spans="1:8" x14ac:dyDescent="0.3">
      <c r="A10705" s="45">
        <v>44616</v>
      </c>
      <c r="B10705" s="5" t="s">
        <v>84</v>
      </c>
      <c r="C10705" s="5" t="s">
        <v>8880</v>
      </c>
      <c r="D10705" s="43">
        <v>1000</v>
      </c>
      <c r="E10705" s="43"/>
      <c r="F10705" s="48">
        <f t="shared" si="176"/>
        <v>52863.661290322663</v>
      </c>
      <c r="G10705" s="4"/>
    </row>
    <row r="10706" spans="1:8" x14ac:dyDescent="0.3">
      <c r="A10706" s="45">
        <v>44617</v>
      </c>
      <c r="B10706" s="5" t="s">
        <v>8900</v>
      </c>
      <c r="C10706" s="5" t="s">
        <v>8901</v>
      </c>
      <c r="D10706" s="43">
        <v>25000</v>
      </c>
      <c r="E10706" s="43"/>
      <c r="F10706" s="48">
        <f t="shared" si="176"/>
        <v>27863.661290322663</v>
      </c>
      <c r="G10706" s="4"/>
    </row>
    <row r="10707" spans="1:8" x14ac:dyDescent="0.3">
      <c r="A10707" s="45">
        <v>44617</v>
      </c>
      <c r="B10707" s="5" t="s">
        <v>14</v>
      </c>
      <c r="C10707" s="5" t="s">
        <v>294</v>
      </c>
      <c r="D10707" s="43">
        <v>25000</v>
      </c>
      <c r="E10707" s="43"/>
      <c r="F10707" s="48">
        <f t="shared" si="176"/>
        <v>2863.6612903226633</v>
      </c>
      <c r="G10707" s="4"/>
    </row>
    <row r="10708" spans="1:8" x14ac:dyDescent="0.3">
      <c r="A10708" s="45">
        <v>44620</v>
      </c>
      <c r="B10708" s="5" t="s">
        <v>14</v>
      </c>
      <c r="C10708" s="5" t="s">
        <v>640</v>
      </c>
      <c r="D10708" s="43">
        <v>1000</v>
      </c>
      <c r="E10708" s="43"/>
      <c r="F10708" s="48">
        <f t="shared" si="176"/>
        <v>1863.6612903226633</v>
      </c>
      <c r="G10708" s="4"/>
    </row>
    <row r="10709" spans="1:8" x14ac:dyDescent="0.3">
      <c r="A10709" s="45">
        <v>44620</v>
      </c>
      <c r="B10709" s="743" t="s">
        <v>4106</v>
      </c>
      <c r="C10709" s="744"/>
      <c r="D10709" s="745"/>
      <c r="E10709" s="249">
        <v>300000</v>
      </c>
      <c r="F10709" s="48">
        <f t="shared" si="176"/>
        <v>301863.66129032266</v>
      </c>
      <c r="G10709" s="4"/>
    </row>
    <row r="10710" spans="1:8" x14ac:dyDescent="0.3">
      <c r="A10710" s="45">
        <v>44620</v>
      </c>
      <c r="B10710" s="743" t="s">
        <v>4106</v>
      </c>
      <c r="C10710" s="744"/>
      <c r="D10710" s="745"/>
      <c r="E10710" s="43">
        <v>200000</v>
      </c>
      <c r="F10710" s="48">
        <f t="shared" si="176"/>
        <v>501863.66129032266</v>
      </c>
      <c r="G10710" s="4"/>
    </row>
    <row r="10711" spans="1:8" x14ac:dyDescent="0.3">
      <c r="A10711" s="45">
        <v>44620</v>
      </c>
      <c r="B10711" s="5" t="s">
        <v>14</v>
      </c>
      <c r="C10711" s="5" t="s">
        <v>294</v>
      </c>
      <c r="D10711" s="43">
        <v>100000</v>
      </c>
      <c r="E10711" s="43"/>
      <c r="F10711" s="48">
        <f t="shared" si="176"/>
        <v>401863.66129032266</v>
      </c>
      <c r="G10711" s="4"/>
    </row>
    <row r="10712" spans="1:8" x14ac:dyDescent="0.3">
      <c r="A10712" s="45">
        <v>44620</v>
      </c>
      <c r="B10712" s="5" t="s">
        <v>68</v>
      </c>
      <c r="C10712" s="5" t="s">
        <v>8833</v>
      </c>
      <c r="D10712" s="43">
        <v>3000</v>
      </c>
      <c r="E10712" s="43"/>
      <c r="F10712" s="48">
        <f t="shared" si="176"/>
        <v>398863.66129032266</v>
      </c>
      <c r="G10712" s="4">
        <f>10809/4</f>
        <v>2702.25</v>
      </c>
    </row>
    <row r="10713" spans="1:8" x14ac:dyDescent="0.3">
      <c r="A10713" s="45">
        <v>44620</v>
      </c>
      <c r="B10713" s="5" t="s">
        <v>14</v>
      </c>
      <c r="C10713" s="5" t="s">
        <v>294</v>
      </c>
      <c r="D10713" s="43">
        <v>28800</v>
      </c>
      <c r="E10713" s="43"/>
      <c r="F10713" s="48">
        <f t="shared" si="176"/>
        <v>370063.66129032266</v>
      </c>
      <c r="G10713" s="4"/>
    </row>
    <row r="10714" spans="1:8" x14ac:dyDescent="0.3">
      <c r="A10714" s="45">
        <v>44620</v>
      </c>
      <c r="B10714" s="5" t="s">
        <v>3554</v>
      </c>
      <c r="C10714" s="5" t="s">
        <v>8902</v>
      </c>
      <c r="D10714" s="43">
        <v>10000</v>
      </c>
      <c r="E10714" s="43"/>
      <c r="F10714" s="48">
        <f t="shared" si="176"/>
        <v>360063.66129032266</v>
      </c>
      <c r="G10714" s="4"/>
      <c r="H10714" s="52">
        <v>26174746</v>
      </c>
    </row>
    <row r="10715" spans="1:8" x14ac:dyDescent="0.3">
      <c r="A10715" s="45">
        <v>44620</v>
      </c>
      <c r="B10715" s="5" t="s">
        <v>14</v>
      </c>
      <c r="C10715" s="5" t="s">
        <v>640</v>
      </c>
      <c r="D10715" s="43">
        <v>1000</v>
      </c>
      <c r="E10715" s="43"/>
      <c r="F10715" s="48">
        <f t="shared" si="176"/>
        <v>359063.66129032266</v>
      </c>
      <c r="G10715" s="4"/>
      <c r="H10715" s="52">
        <f>H10714*15%</f>
        <v>3926211.9</v>
      </c>
    </row>
    <row r="10716" spans="1:8" x14ac:dyDescent="0.3">
      <c r="A10716" s="45">
        <v>44620</v>
      </c>
      <c r="B10716" s="41" t="s">
        <v>8903</v>
      </c>
      <c r="C10716" s="41" t="s">
        <v>8904</v>
      </c>
      <c r="D10716" s="42">
        <v>10000</v>
      </c>
      <c r="E10716" s="43"/>
      <c r="F10716" s="48">
        <f t="shared" si="176"/>
        <v>349063.66129032266</v>
      </c>
      <c r="G10716" s="4"/>
    </row>
    <row r="10717" spans="1:8" x14ac:dyDescent="0.3">
      <c r="A10717" s="45">
        <v>44620</v>
      </c>
      <c r="B10717" s="218" t="s">
        <v>7571</v>
      </c>
      <c r="C10717" s="218" t="s">
        <v>8053</v>
      </c>
      <c r="D10717" s="211">
        <v>80000</v>
      </c>
      <c r="E10717" s="43"/>
      <c r="F10717" s="48">
        <f t="shared" si="176"/>
        <v>269063.66129032266</v>
      </c>
      <c r="G10717" s="4"/>
    </row>
    <row r="10718" spans="1:8" x14ac:dyDescent="0.3">
      <c r="A10718" s="45">
        <v>44620</v>
      </c>
      <c r="B10718" s="5" t="s">
        <v>25</v>
      </c>
      <c r="C10718" s="5" t="s">
        <v>4731</v>
      </c>
      <c r="D10718" s="43">
        <v>2500</v>
      </c>
      <c r="E10718" s="43"/>
      <c r="F10718" s="48">
        <f t="shared" si="176"/>
        <v>266563.66129032266</v>
      </c>
      <c r="G10718" s="4"/>
    </row>
    <row r="10719" spans="1:8" x14ac:dyDescent="0.3">
      <c r="A10719" s="45">
        <v>44620</v>
      </c>
      <c r="B10719" s="5" t="s">
        <v>84</v>
      </c>
      <c r="C10719" s="5" t="s">
        <v>8905</v>
      </c>
      <c r="D10719" s="43">
        <v>10000</v>
      </c>
      <c r="E10719" s="43"/>
      <c r="F10719" s="48">
        <f t="shared" si="176"/>
        <v>256563.66129032266</v>
      </c>
      <c r="G10719" s="4"/>
    </row>
    <row r="10720" spans="1:8" x14ac:dyDescent="0.3">
      <c r="A10720" s="45">
        <v>44620</v>
      </c>
      <c r="B10720" s="5" t="s">
        <v>54</v>
      </c>
      <c r="C10720" s="5" t="s">
        <v>8906</v>
      </c>
      <c r="D10720" s="43">
        <f>700*6</f>
        <v>4200</v>
      </c>
      <c r="E10720" s="43"/>
      <c r="F10720" s="48">
        <f t="shared" si="176"/>
        <v>252363.66129032266</v>
      </c>
      <c r="G10720" s="4"/>
    </row>
    <row r="10721" spans="1:7" x14ac:dyDescent="0.3">
      <c r="A10721" s="45">
        <v>44620</v>
      </c>
      <c r="B10721" s="5" t="s">
        <v>54</v>
      </c>
      <c r="C10721" s="5" t="s">
        <v>8906</v>
      </c>
      <c r="D10721" s="43">
        <f>700*6</f>
        <v>4200</v>
      </c>
      <c r="E10721" s="43"/>
      <c r="F10721" s="48">
        <f t="shared" si="176"/>
        <v>248163.66129032266</v>
      </c>
      <c r="G10721" s="4"/>
    </row>
    <row r="10722" spans="1:7" x14ac:dyDescent="0.3">
      <c r="A10722" s="45">
        <v>44620</v>
      </c>
      <c r="B10722" s="5" t="s">
        <v>84</v>
      </c>
      <c r="C10722" s="5" t="s">
        <v>8880</v>
      </c>
      <c r="D10722" s="43">
        <v>2000</v>
      </c>
      <c r="E10722" s="43"/>
      <c r="F10722" s="48">
        <f t="shared" si="176"/>
        <v>246163.66129032266</v>
      </c>
      <c r="G10722" s="4"/>
    </row>
    <row r="10723" spans="1:7" x14ac:dyDescent="0.3">
      <c r="A10723" s="45">
        <v>44620</v>
      </c>
      <c r="B10723" s="5" t="s">
        <v>84</v>
      </c>
      <c r="C10723" s="5" t="s">
        <v>8907</v>
      </c>
      <c r="D10723" s="43">
        <v>2000</v>
      </c>
      <c r="E10723" s="43"/>
      <c r="F10723" s="48">
        <f t="shared" si="176"/>
        <v>244163.66129032266</v>
      </c>
      <c r="G10723" s="4"/>
    </row>
    <row r="10724" spans="1:7" x14ac:dyDescent="0.3">
      <c r="A10724" s="45">
        <v>44620</v>
      </c>
      <c r="B10724" s="5" t="s">
        <v>84</v>
      </c>
      <c r="C10724" s="5" t="s">
        <v>8908</v>
      </c>
      <c r="D10724" s="43">
        <v>2000</v>
      </c>
      <c r="E10724" s="43"/>
      <c r="F10724" s="48">
        <f t="shared" si="176"/>
        <v>242163.66129032266</v>
      </c>
      <c r="G10724" s="4"/>
    </row>
    <row r="10725" spans="1:7" x14ac:dyDescent="0.3">
      <c r="A10725" s="45">
        <v>44621</v>
      </c>
      <c r="B10725" s="5" t="s">
        <v>8573</v>
      </c>
      <c r="C10725" s="5" t="s">
        <v>8909</v>
      </c>
      <c r="D10725" s="43">
        <v>14000</v>
      </c>
      <c r="E10725" s="43"/>
      <c r="F10725" s="48">
        <f t="shared" ref="F10725:F10788" si="177">F10724+E10725-D10725</f>
        <v>228163.66129032266</v>
      </c>
      <c r="G10725" s="4"/>
    </row>
    <row r="10726" spans="1:7" x14ac:dyDescent="0.3">
      <c r="A10726" s="45">
        <v>44621</v>
      </c>
      <c r="B10726" s="5" t="s">
        <v>14</v>
      </c>
      <c r="C10726" s="5" t="s">
        <v>294</v>
      </c>
      <c r="D10726" s="43">
        <v>50000</v>
      </c>
      <c r="E10726" s="43"/>
      <c r="F10726" s="48">
        <f t="shared" si="177"/>
        <v>178163.66129032266</v>
      </c>
      <c r="G10726" s="4"/>
    </row>
    <row r="10727" spans="1:7" x14ac:dyDescent="0.3">
      <c r="A10727" s="45">
        <v>44621</v>
      </c>
      <c r="B10727" s="41" t="s">
        <v>8903</v>
      </c>
      <c r="C10727" s="41" t="s">
        <v>8904</v>
      </c>
      <c r="D10727" s="42">
        <v>5000</v>
      </c>
      <c r="E10727" s="43"/>
      <c r="F10727" s="48">
        <f t="shared" si="177"/>
        <v>173163.66129032266</v>
      </c>
      <c r="G10727" s="4"/>
    </row>
    <row r="10728" spans="1:7" x14ac:dyDescent="0.3">
      <c r="A10728" s="45">
        <v>44621</v>
      </c>
      <c r="B10728" s="41" t="s">
        <v>8903</v>
      </c>
      <c r="C10728" s="41" t="s">
        <v>8904</v>
      </c>
      <c r="D10728" s="42">
        <v>5000</v>
      </c>
      <c r="E10728" s="43"/>
      <c r="F10728" s="48">
        <f t="shared" si="177"/>
        <v>168163.66129032266</v>
      </c>
      <c r="G10728" s="4"/>
    </row>
    <row r="10729" spans="1:7" x14ac:dyDescent="0.3">
      <c r="A10729" s="45">
        <v>44621</v>
      </c>
      <c r="B10729" s="5" t="s">
        <v>5741</v>
      </c>
      <c r="C10729" s="5" t="s">
        <v>8910</v>
      </c>
      <c r="D10729" s="43">
        <v>25000</v>
      </c>
      <c r="E10729" s="43"/>
      <c r="F10729" s="48">
        <f t="shared" si="177"/>
        <v>143163.66129032266</v>
      </c>
      <c r="G10729" s="4"/>
    </row>
    <row r="10730" spans="1:7" x14ac:dyDescent="0.3">
      <c r="A10730" s="45">
        <v>44621</v>
      </c>
      <c r="B10730" s="5" t="s">
        <v>14</v>
      </c>
      <c r="C10730" s="5" t="s">
        <v>8723</v>
      </c>
      <c r="D10730" s="43">
        <v>20000</v>
      </c>
      <c r="E10730" s="43"/>
      <c r="F10730" s="48">
        <f t="shared" si="177"/>
        <v>123163.66129032266</v>
      </c>
      <c r="G10730" s="4"/>
    </row>
    <row r="10731" spans="1:7" x14ac:dyDescent="0.3">
      <c r="A10731" s="45">
        <v>44621</v>
      </c>
      <c r="B10731" s="5" t="s">
        <v>8803</v>
      </c>
      <c r="C10731" s="5" t="s">
        <v>91</v>
      </c>
      <c r="D10731" s="43">
        <v>670</v>
      </c>
      <c r="E10731" s="43"/>
      <c r="F10731" s="48">
        <f t="shared" si="177"/>
        <v>122493.66129032266</v>
      </c>
      <c r="G10731" s="4"/>
    </row>
    <row r="10732" spans="1:7" x14ac:dyDescent="0.3">
      <c r="A10732" s="45">
        <v>44622</v>
      </c>
      <c r="B10732" s="5" t="s">
        <v>1012</v>
      </c>
      <c r="C10732" s="5" t="s">
        <v>8913</v>
      </c>
      <c r="D10732" s="43">
        <v>10000</v>
      </c>
      <c r="E10732" s="43"/>
      <c r="F10732" s="48">
        <f t="shared" si="177"/>
        <v>112493.66129032266</v>
      </c>
      <c r="G10732" s="4"/>
    </row>
    <row r="10733" spans="1:7" x14ac:dyDescent="0.3">
      <c r="A10733" s="45">
        <v>44622</v>
      </c>
      <c r="B10733" s="5" t="s">
        <v>25</v>
      </c>
      <c r="C10733" s="5" t="s">
        <v>5641</v>
      </c>
      <c r="D10733" s="43">
        <v>650</v>
      </c>
      <c r="E10733" s="43"/>
      <c r="F10733" s="48">
        <f t="shared" si="177"/>
        <v>111843.66129032266</v>
      </c>
      <c r="G10733" s="4"/>
    </row>
    <row r="10734" spans="1:7" x14ac:dyDescent="0.3">
      <c r="A10734" s="45">
        <v>44623</v>
      </c>
      <c r="B10734" s="5" t="s">
        <v>8914</v>
      </c>
      <c r="C10734" s="5" t="s">
        <v>8910</v>
      </c>
      <c r="D10734" s="43">
        <v>4000</v>
      </c>
      <c r="E10734" s="43"/>
      <c r="F10734" s="48">
        <f t="shared" si="177"/>
        <v>107843.66129032266</v>
      </c>
      <c r="G10734" s="4"/>
    </row>
    <row r="10735" spans="1:7" x14ac:dyDescent="0.3">
      <c r="A10735" s="45">
        <v>44623</v>
      </c>
      <c r="B10735" s="5" t="s">
        <v>8915</v>
      </c>
      <c r="C10735" s="5" t="s">
        <v>8916</v>
      </c>
      <c r="D10735" s="43">
        <v>43200</v>
      </c>
      <c r="E10735" s="43"/>
      <c r="F10735" s="48">
        <f t="shared" si="177"/>
        <v>64643.661290322663</v>
      </c>
      <c r="G10735" s="4"/>
    </row>
    <row r="10736" spans="1:7" x14ac:dyDescent="0.3">
      <c r="A10736" s="45">
        <v>44623</v>
      </c>
      <c r="B10736" s="5" t="s">
        <v>14</v>
      </c>
      <c r="C10736" s="5" t="s">
        <v>8213</v>
      </c>
      <c r="D10736" s="43">
        <v>3476</v>
      </c>
      <c r="E10736" s="43"/>
      <c r="F10736" s="48">
        <f t="shared" si="177"/>
        <v>61167.661290322663</v>
      </c>
      <c r="G10736" s="4"/>
    </row>
    <row r="10737" spans="1:12" x14ac:dyDescent="0.3">
      <c r="A10737" s="45">
        <v>44623</v>
      </c>
      <c r="B10737" s="5" t="s">
        <v>25</v>
      </c>
      <c r="C10737" s="5" t="s">
        <v>8917</v>
      </c>
      <c r="D10737" s="43">
        <v>925</v>
      </c>
      <c r="E10737" s="43"/>
      <c r="F10737" s="48">
        <f t="shared" si="177"/>
        <v>60242.661290322663</v>
      </c>
      <c r="G10737" s="4"/>
    </row>
    <row r="10738" spans="1:12" x14ac:dyDescent="0.3">
      <c r="A10738" s="45">
        <v>44623</v>
      </c>
      <c r="B10738" s="5" t="s">
        <v>57</v>
      </c>
      <c r="C10738" s="5" t="s">
        <v>294</v>
      </c>
      <c r="D10738" s="43">
        <v>2000</v>
      </c>
      <c r="E10738" s="43"/>
      <c r="F10738" s="48">
        <f t="shared" si="177"/>
        <v>58242.661290322663</v>
      </c>
      <c r="G10738" s="4"/>
    </row>
    <row r="10739" spans="1:12" x14ac:dyDescent="0.3">
      <c r="A10739" s="45">
        <v>44623</v>
      </c>
      <c r="B10739" s="5" t="s">
        <v>4550</v>
      </c>
      <c r="C10739" s="5" t="s">
        <v>8919</v>
      </c>
      <c r="D10739" s="43">
        <v>20000</v>
      </c>
      <c r="E10739" s="43"/>
      <c r="F10739" s="48">
        <f t="shared" si="177"/>
        <v>38242.661290322663</v>
      </c>
      <c r="G10739" s="4"/>
    </row>
    <row r="10740" spans="1:12" x14ac:dyDescent="0.3">
      <c r="A10740" s="45">
        <v>44624</v>
      </c>
      <c r="B10740" s="5" t="s">
        <v>8920</v>
      </c>
      <c r="C10740" s="5" t="s">
        <v>8956</v>
      </c>
      <c r="D10740" s="43">
        <v>25000</v>
      </c>
      <c r="E10740" s="43"/>
      <c r="F10740" s="48">
        <f t="shared" si="177"/>
        <v>13242.661290322663</v>
      </c>
      <c r="G10740" s="4"/>
    </row>
    <row r="10741" spans="1:12" x14ac:dyDescent="0.3">
      <c r="A10741" s="45">
        <v>44624</v>
      </c>
      <c r="B10741" s="5" t="s">
        <v>84</v>
      </c>
      <c r="C10741" s="5" t="s">
        <v>8921</v>
      </c>
      <c r="D10741" s="43">
        <v>2000</v>
      </c>
      <c r="E10741" s="43"/>
      <c r="F10741" s="48">
        <f t="shared" si="177"/>
        <v>11242.661290322663</v>
      </c>
      <c r="G10741" s="4"/>
    </row>
    <row r="10742" spans="1:12" x14ac:dyDescent="0.3">
      <c r="A10742" s="45">
        <v>44624</v>
      </c>
      <c r="B10742" s="5" t="s">
        <v>5162</v>
      </c>
      <c r="C10742" s="5" t="s">
        <v>8922</v>
      </c>
      <c r="D10742" s="43">
        <v>650</v>
      </c>
      <c r="E10742" s="43"/>
      <c r="F10742" s="48">
        <f t="shared" si="177"/>
        <v>10592.661290322663</v>
      </c>
      <c r="G10742" s="4"/>
    </row>
    <row r="10743" spans="1:12" x14ac:dyDescent="0.3">
      <c r="A10743" s="45">
        <v>44624</v>
      </c>
      <c r="B10743" s="5" t="s">
        <v>2995</v>
      </c>
      <c r="C10743" s="5" t="s">
        <v>8923</v>
      </c>
      <c r="D10743" s="43">
        <v>7000</v>
      </c>
      <c r="E10743" s="43"/>
      <c r="F10743" s="48">
        <f t="shared" si="177"/>
        <v>3592.6612903226633</v>
      </c>
      <c r="G10743" s="4"/>
    </row>
    <row r="10744" spans="1:12" x14ac:dyDescent="0.3">
      <c r="A10744" s="184">
        <v>44627</v>
      </c>
      <c r="B10744" s="740" t="s">
        <v>7440</v>
      </c>
      <c r="C10744" s="741"/>
      <c r="D10744" s="742"/>
      <c r="E10744" s="338">
        <v>200000</v>
      </c>
      <c r="F10744" s="48">
        <f t="shared" si="177"/>
        <v>203592.66129032266</v>
      </c>
      <c r="I10744" s="52">
        <v>24000</v>
      </c>
      <c r="L10744" s="93"/>
    </row>
    <row r="10745" spans="1:12" x14ac:dyDescent="0.3">
      <c r="A10745" s="45">
        <v>44627</v>
      </c>
      <c r="B10745" s="5" t="s">
        <v>14</v>
      </c>
      <c r="C10745" s="5" t="s">
        <v>294</v>
      </c>
      <c r="D10745" s="43">
        <v>5000</v>
      </c>
      <c r="E10745" s="43"/>
      <c r="F10745" s="48">
        <f t="shared" si="177"/>
        <v>198592.66129032266</v>
      </c>
      <c r="G10745" s="4"/>
    </row>
    <row r="10746" spans="1:12" x14ac:dyDescent="0.3">
      <c r="A10746" s="45">
        <v>44627</v>
      </c>
      <c r="B10746" s="5" t="s">
        <v>8924</v>
      </c>
      <c r="C10746" s="5" t="s">
        <v>8931</v>
      </c>
      <c r="D10746" s="43">
        <v>360</v>
      </c>
      <c r="E10746" s="43"/>
      <c r="F10746" s="48">
        <f t="shared" si="177"/>
        <v>198232.66129032266</v>
      </c>
      <c r="G10746" s="4"/>
    </row>
    <row r="10747" spans="1:12" x14ac:dyDescent="0.3">
      <c r="A10747" s="45">
        <v>44627</v>
      </c>
      <c r="B10747" s="73" t="s">
        <v>6931</v>
      </c>
      <c r="C10747" s="73" t="s">
        <v>8946</v>
      </c>
      <c r="D10747" s="58">
        <v>10000</v>
      </c>
      <c r="E10747" s="43"/>
      <c r="F10747" s="48">
        <f t="shared" si="177"/>
        <v>188232.66129032266</v>
      </c>
      <c r="G10747" s="4"/>
    </row>
    <row r="10748" spans="1:12" x14ac:dyDescent="0.3">
      <c r="A10748" s="45">
        <v>44627</v>
      </c>
      <c r="B10748" s="5" t="s">
        <v>1012</v>
      </c>
      <c r="C10748" s="5" t="s">
        <v>8925</v>
      </c>
      <c r="D10748" s="43">
        <v>10000</v>
      </c>
      <c r="E10748" s="43"/>
      <c r="F10748" s="48">
        <f t="shared" si="177"/>
        <v>178232.66129032266</v>
      </c>
      <c r="G10748" s="4"/>
    </row>
    <row r="10749" spans="1:12" x14ac:dyDescent="0.3">
      <c r="A10749" s="45">
        <v>44627</v>
      </c>
      <c r="B10749" s="218" t="s">
        <v>54</v>
      </c>
      <c r="C10749" s="332" t="s">
        <v>6245</v>
      </c>
      <c r="D10749" s="43">
        <v>36400</v>
      </c>
      <c r="E10749" s="43"/>
      <c r="F10749" s="48">
        <f t="shared" si="177"/>
        <v>141832.66129032266</v>
      </c>
      <c r="G10749" s="4"/>
      <c r="J10749" s="52">
        <f>J10746-J10748</f>
        <v>0</v>
      </c>
    </row>
    <row r="10750" spans="1:12" x14ac:dyDescent="0.3">
      <c r="A10750" s="45">
        <v>44627</v>
      </c>
      <c r="B10750" s="218" t="s">
        <v>54</v>
      </c>
      <c r="C10750" s="332" t="s">
        <v>8932</v>
      </c>
      <c r="D10750" s="43">
        <f>15000+5000</f>
        <v>20000</v>
      </c>
      <c r="E10750" s="43"/>
      <c r="F10750" s="48">
        <f t="shared" si="177"/>
        <v>121832.66129032266</v>
      </c>
      <c r="G10750" s="4"/>
    </row>
    <row r="10751" spans="1:12" x14ac:dyDescent="0.3">
      <c r="A10751" s="45">
        <v>44627</v>
      </c>
      <c r="B10751" s="5" t="s">
        <v>14</v>
      </c>
      <c r="C10751" s="5" t="s">
        <v>294</v>
      </c>
      <c r="D10751" s="43">
        <v>7000</v>
      </c>
      <c r="E10751" s="43"/>
      <c r="F10751" s="48">
        <f t="shared" si="177"/>
        <v>114832.66129032266</v>
      </c>
      <c r="G10751" s="4"/>
    </row>
    <row r="10752" spans="1:12" x14ac:dyDescent="0.3">
      <c r="A10752" s="45">
        <v>44627</v>
      </c>
      <c r="B10752" s="5" t="s">
        <v>25</v>
      </c>
      <c r="C10752" s="5" t="s">
        <v>8221</v>
      </c>
      <c r="D10752" s="43">
        <v>1000</v>
      </c>
      <c r="E10752" s="43"/>
      <c r="F10752" s="48">
        <f t="shared" si="177"/>
        <v>113832.66129032266</v>
      </c>
      <c r="G10752" s="4"/>
    </row>
    <row r="10753" spans="1:8" x14ac:dyDescent="0.3">
      <c r="A10753" s="45">
        <v>44628</v>
      </c>
      <c r="B10753" s="5" t="s">
        <v>14</v>
      </c>
      <c r="C10753" s="5" t="s">
        <v>8930</v>
      </c>
      <c r="D10753" s="43">
        <v>100000</v>
      </c>
      <c r="E10753" s="43"/>
      <c r="F10753" s="48">
        <f t="shared" si="177"/>
        <v>13832.661290322663</v>
      </c>
      <c r="G10753" s="4"/>
    </row>
    <row r="10754" spans="1:8" x14ac:dyDescent="0.3">
      <c r="A10754" s="45">
        <v>44628</v>
      </c>
      <c r="B10754" s="743" t="s">
        <v>4106</v>
      </c>
      <c r="C10754" s="744"/>
      <c r="D10754" s="745"/>
      <c r="E10754" s="43">
        <v>250000</v>
      </c>
      <c r="F10754" s="48">
        <f t="shared" si="177"/>
        <v>263832.66129032266</v>
      </c>
      <c r="G10754" s="4"/>
    </row>
    <row r="10755" spans="1:8" x14ac:dyDescent="0.3">
      <c r="A10755" s="45">
        <v>44628</v>
      </c>
      <c r="B10755" s="743" t="s">
        <v>4106</v>
      </c>
      <c r="C10755" s="744"/>
      <c r="D10755" s="745"/>
      <c r="E10755" s="43">
        <v>250000</v>
      </c>
      <c r="F10755" s="48">
        <f t="shared" si="177"/>
        <v>513832.66129032266</v>
      </c>
      <c r="G10755" s="4"/>
    </row>
    <row r="10756" spans="1:8" x14ac:dyDescent="0.3">
      <c r="A10756" s="45">
        <v>44628</v>
      </c>
      <c r="B10756" s="740" t="s">
        <v>7440</v>
      </c>
      <c r="C10756" s="741"/>
      <c r="D10756" s="742"/>
      <c r="E10756" s="338">
        <v>50000</v>
      </c>
      <c r="F10756" s="48">
        <f t="shared" si="177"/>
        <v>563832.66129032266</v>
      </c>
      <c r="G10756" s="4"/>
    </row>
    <row r="10757" spans="1:8" x14ac:dyDescent="0.3">
      <c r="A10757" s="45">
        <v>44628</v>
      </c>
      <c r="B10757" s="5" t="s">
        <v>25</v>
      </c>
      <c r="C10757" s="5" t="s">
        <v>64</v>
      </c>
      <c r="D10757" s="43">
        <v>900</v>
      </c>
      <c r="E10757" s="43"/>
      <c r="F10757" s="48">
        <f t="shared" si="177"/>
        <v>562932.66129032266</v>
      </c>
      <c r="G10757" s="4"/>
    </row>
    <row r="10758" spans="1:8" x14ac:dyDescent="0.3">
      <c r="A10758" s="45">
        <v>44628</v>
      </c>
      <c r="B10758" s="5" t="s">
        <v>1616</v>
      </c>
      <c r="C10758" s="5" t="s">
        <v>8643</v>
      </c>
      <c r="D10758" s="43">
        <v>1500</v>
      </c>
      <c r="E10758" s="43"/>
      <c r="F10758" s="48">
        <f t="shared" si="177"/>
        <v>561432.66129032266</v>
      </c>
      <c r="G10758" s="4"/>
    </row>
    <row r="10759" spans="1:8" x14ac:dyDescent="0.3">
      <c r="A10759" s="45">
        <v>44628</v>
      </c>
      <c r="B10759" s="5" t="s">
        <v>1616</v>
      </c>
      <c r="C10759" s="5" t="s">
        <v>6509</v>
      </c>
      <c r="D10759" s="43">
        <v>650</v>
      </c>
      <c r="E10759" s="43"/>
      <c r="F10759" s="48">
        <f t="shared" si="177"/>
        <v>560782.66129032266</v>
      </c>
      <c r="G10759" s="4"/>
    </row>
    <row r="10760" spans="1:8" x14ac:dyDescent="0.3">
      <c r="A10760" s="45">
        <v>44628</v>
      </c>
      <c r="B10760" s="5" t="s">
        <v>8720</v>
      </c>
      <c r="C10760" s="5" t="s">
        <v>8934</v>
      </c>
      <c r="D10760" s="43">
        <v>15000</v>
      </c>
      <c r="E10760" s="43"/>
      <c r="F10760" s="48">
        <f t="shared" si="177"/>
        <v>545782.66129032266</v>
      </c>
      <c r="G10760" s="4"/>
    </row>
    <row r="10761" spans="1:8" x14ac:dyDescent="0.3">
      <c r="A10761" s="45">
        <v>44628</v>
      </c>
      <c r="B10761" s="218" t="s">
        <v>54</v>
      </c>
      <c r="C10761" s="332" t="s">
        <v>8637</v>
      </c>
      <c r="D10761" s="43">
        <v>70643</v>
      </c>
      <c r="E10761" s="43"/>
      <c r="F10761" s="48">
        <f t="shared" si="177"/>
        <v>475139.66129032266</v>
      </c>
      <c r="G10761" s="4"/>
    </row>
    <row r="10762" spans="1:8" x14ac:dyDescent="0.3">
      <c r="A10762" s="45">
        <v>44628</v>
      </c>
      <c r="B10762" s="218" t="s">
        <v>54</v>
      </c>
      <c r="C10762" s="332" t="s">
        <v>8645</v>
      </c>
      <c r="D10762" s="43">
        <v>204339</v>
      </c>
      <c r="E10762" s="43"/>
      <c r="F10762" s="48">
        <f t="shared" si="177"/>
        <v>270800.66129032266</v>
      </c>
      <c r="G10762" s="4"/>
    </row>
    <row r="10763" spans="1:8" x14ac:dyDescent="0.3">
      <c r="A10763" s="45">
        <v>44628</v>
      </c>
      <c r="B10763" s="218" t="s">
        <v>54</v>
      </c>
      <c r="C10763" s="332" t="s">
        <v>8933</v>
      </c>
      <c r="D10763" s="43">
        <v>74000</v>
      </c>
      <c r="E10763" s="43"/>
      <c r="F10763" s="48">
        <f t="shared" si="177"/>
        <v>196800.66129032266</v>
      </c>
      <c r="G10763" s="4"/>
    </row>
    <row r="10764" spans="1:8" x14ac:dyDescent="0.3">
      <c r="A10764" s="45">
        <v>44628</v>
      </c>
      <c r="B10764" s="218" t="s">
        <v>54</v>
      </c>
      <c r="C10764" s="332" t="s">
        <v>6531</v>
      </c>
      <c r="D10764" s="58">
        <v>26125</v>
      </c>
      <c r="E10764" s="43"/>
      <c r="F10764" s="48">
        <f t="shared" si="177"/>
        <v>170675.66129032266</v>
      </c>
      <c r="G10764" s="4"/>
    </row>
    <row r="10765" spans="1:8" x14ac:dyDescent="0.3">
      <c r="A10765" s="45">
        <v>44628</v>
      </c>
      <c r="B10765" s="218" t="s">
        <v>54</v>
      </c>
      <c r="C10765" s="218" t="s">
        <v>8952</v>
      </c>
      <c r="D10765" s="58">
        <v>112374</v>
      </c>
      <c r="E10765" s="43"/>
      <c r="F10765" s="48">
        <f t="shared" si="177"/>
        <v>58301.661290322663</v>
      </c>
      <c r="G10765" s="4"/>
    </row>
    <row r="10766" spans="1:8" x14ac:dyDescent="0.3">
      <c r="A10766" s="45">
        <v>44628</v>
      </c>
      <c r="B10766" s="218" t="s">
        <v>54</v>
      </c>
      <c r="C10766" s="218" t="s">
        <v>8739</v>
      </c>
      <c r="D10766" s="58">
        <v>25000</v>
      </c>
      <c r="E10766" s="43"/>
      <c r="F10766" s="48">
        <f t="shared" si="177"/>
        <v>33301.661290322663</v>
      </c>
      <c r="G10766" s="4"/>
    </row>
    <row r="10767" spans="1:8" x14ac:dyDescent="0.3">
      <c r="A10767" s="45">
        <v>44629</v>
      </c>
      <c r="B10767" s="5" t="s">
        <v>1616</v>
      </c>
      <c r="C10767" s="5" t="s">
        <v>3172</v>
      </c>
      <c r="D10767" s="43">
        <v>12000</v>
      </c>
      <c r="E10767" s="43"/>
      <c r="F10767" s="48">
        <f t="shared" si="177"/>
        <v>21301.661290322663</v>
      </c>
      <c r="G10767" s="4"/>
    </row>
    <row r="10768" spans="1:8" x14ac:dyDescent="0.3">
      <c r="A10768" s="45">
        <v>44629</v>
      </c>
      <c r="B10768" s="5" t="s">
        <v>8935</v>
      </c>
      <c r="C10768" s="5" t="s">
        <v>2013</v>
      </c>
      <c r="D10768" s="43">
        <v>100</v>
      </c>
      <c r="E10768" s="43"/>
      <c r="F10768" s="48">
        <f t="shared" si="177"/>
        <v>21201.661290322663</v>
      </c>
      <c r="G10768" s="4"/>
      <c r="H10768" s="52">
        <v>550000</v>
      </c>
    </row>
    <row r="10769" spans="1:8" x14ac:dyDescent="0.3">
      <c r="A10769" s="45">
        <v>44628</v>
      </c>
      <c r="B10769" s="740" t="s">
        <v>8938</v>
      </c>
      <c r="C10769" s="741"/>
      <c r="D10769" s="742"/>
      <c r="E10769" s="338">
        <v>26125</v>
      </c>
      <c r="F10769" s="48">
        <f t="shared" si="177"/>
        <v>47326.661290322663</v>
      </c>
      <c r="G10769" s="4"/>
      <c r="H10769" s="52" t="e">
        <f>#REF!+H10768</f>
        <v>#REF!</v>
      </c>
    </row>
    <row r="10770" spans="1:8" x14ac:dyDescent="0.3">
      <c r="A10770" s="45">
        <v>44629</v>
      </c>
      <c r="B10770" s="5" t="s">
        <v>8939</v>
      </c>
      <c r="C10770" s="5" t="s">
        <v>8940</v>
      </c>
      <c r="D10770" s="43">
        <v>19000</v>
      </c>
      <c r="E10770" s="43"/>
      <c r="F10770" s="48">
        <f t="shared" si="177"/>
        <v>28326.661290322663</v>
      </c>
      <c r="G10770" s="4"/>
    </row>
    <row r="10771" spans="1:8" x14ac:dyDescent="0.3">
      <c r="A10771" s="45">
        <v>44629</v>
      </c>
      <c r="B10771" s="740" t="s">
        <v>8941</v>
      </c>
      <c r="C10771" s="741"/>
      <c r="D10771" s="742"/>
      <c r="E10771" s="338">
        <v>500</v>
      </c>
      <c r="F10771" s="48">
        <f t="shared" si="177"/>
        <v>28826.661290322663</v>
      </c>
      <c r="G10771" s="4"/>
    </row>
    <row r="10772" spans="1:8" x14ac:dyDescent="0.3">
      <c r="A10772" s="45">
        <v>44630</v>
      </c>
      <c r="B10772" s="743" t="s">
        <v>4106</v>
      </c>
      <c r="C10772" s="744"/>
      <c r="D10772" s="745"/>
      <c r="E10772" s="43">
        <v>250000</v>
      </c>
      <c r="F10772" s="48">
        <f t="shared" si="177"/>
        <v>278826.66129032266</v>
      </c>
      <c r="G10772" s="4"/>
    </row>
    <row r="10773" spans="1:8" x14ac:dyDescent="0.3">
      <c r="A10773" s="45">
        <v>44630</v>
      </c>
      <c r="B10773" s="743" t="s">
        <v>4106</v>
      </c>
      <c r="C10773" s="744"/>
      <c r="D10773" s="745"/>
      <c r="E10773" s="43">
        <v>250000</v>
      </c>
      <c r="F10773" s="48">
        <f t="shared" si="177"/>
        <v>528826.66129032266</v>
      </c>
      <c r="G10773" s="4"/>
    </row>
    <row r="10774" spans="1:8" x14ac:dyDescent="0.3">
      <c r="A10774" s="45">
        <v>44630</v>
      </c>
      <c r="B10774" s="218" t="s">
        <v>54</v>
      </c>
      <c r="C10774" s="218" t="s">
        <v>8824</v>
      </c>
      <c r="D10774" s="329">
        <v>31390</v>
      </c>
      <c r="E10774" s="43"/>
      <c r="F10774" s="48">
        <f t="shared" si="177"/>
        <v>497436.66129032266</v>
      </c>
      <c r="G10774" s="4"/>
    </row>
    <row r="10775" spans="1:8" x14ac:dyDescent="0.3">
      <c r="A10775" s="45">
        <v>44630</v>
      </c>
      <c r="B10775" s="218" t="s">
        <v>54</v>
      </c>
      <c r="C10775" s="61" t="s">
        <v>6531</v>
      </c>
      <c r="D10775" s="329">
        <v>26125</v>
      </c>
      <c r="E10775" s="43"/>
      <c r="F10775" s="48">
        <f t="shared" si="177"/>
        <v>471311.66129032266</v>
      </c>
      <c r="G10775" s="4"/>
    </row>
    <row r="10776" spans="1:8" x14ac:dyDescent="0.3">
      <c r="A10776" s="45">
        <v>44630</v>
      </c>
      <c r="B10776" s="218" t="s">
        <v>54</v>
      </c>
      <c r="C10776" s="61" t="s">
        <v>8636</v>
      </c>
      <c r="D10776" s="62">
        <v>124036</v>
      </c>
      <c r="E10776" s="43"/>
      <c r="F10776" s="48">
        <f t="shared" si="177"/>
        <v>347275.66129032266</v>
      </c>
      <c r="G10776" s="4"/>
    </row>
    <row r="10777" spans="1:8" x14ac:dyDescent="0.3">
      <c r="A10777" s="45">
        <v>44630</v>
      </c>
      <c r="B10777" s="218" t="s">
        <v>54</v>
      </c>
      <c r="C10777" s="61" t="s">
        <v>8646</v>
      </c>
      <c r="D10777" s="62">
        <v>103830</v>
      </c>
      <c r="E10777" s="43"/>
      <c r="F10777" s="48">
        <f t="shared" si="177"/>
        <v>243445.66129032266</v>
      </c>
      <c r="G10777" s="4"/>
    </row>
    <row r="10778" spans="1:8" x14ac:dyDescent="0.3">
      <c r="A10778" s="45">
        <v>44630</v>
      </c>
      <c r="B10778" s="218" t="s">
        <v>54</v>
      </c>
      <c r="C10778" s="61" t="s">
        <v>8238</v>
      </c>
      <c r="D10778" s="62">
        <v>78973</v>
      </c>
      <c r="E10778" s="43"/>
      <c r="F10778" s="48">
        <f t="shared" si="177"/>
        <v>164472.66129032266</v>
      </c>
      <c r="G10778" s="4"/>
    </row>
    <row r="10779" spans="1:8" x14ac:dyDescent="0.3">
      <c r="A10779" s="45">
        <v>44630</v>
      </c>
      <c r="B10779" s="5" t="s">
        <v>5914</v>
      </c>
      <c r="C10779" s="5" t="s">
        <v>8945</v>
      </c>
      <c r="D10779" s="43">
        <v>2000</v>
      </c>
      <c r="E10779" s="43"/>
      <c r="F10779" s="48">
        <f t="shared" si="177"/>
        <v>162472.66129032266</v>
      </c>
      <c r="G10779" s="4"/>
    </row>
    <row r="10780" spans="1:8" x14ac:dyDescent="0.3">
      <c r="A10780" s="45">
        <v>44630</v>
      </c>
      <c r="B10780" s="5" t="s">
        <v>3724</v>
      </c>
      <c r="C10780" s="5" t="s">
        <v>40</v>
      </c>
      <c r="D10780" s="43">
        <v>4235</v>
      </c>
      <c r="E10780" s="43"/>
      <c r="F10780" s="48">
        <f t="shared" si="177"/>
        <v>158237.66129032266</v>
      </c>
      <c r="G10780" s="4"/>
    </row>
    <row r="10781" spans="1:8" x14ac:dyDescent="0.3">
      <c r="A10781" s="45">
        <v>44630</v>
      </c>
      <c r="B10781" s="5" t="s">
        <v>3554</v>
      </c>
      <c r="C10781" s="5" t="s">
        <v>8948</v>
      </c>
      <c r="D10781" s="43">
        <v>30000</v>
      </c>
      <c r="E10781" s="43"/>
      <c r="F10781" s="48">
        <f t="shared" si="177"/>
        <v>128237.66129032266</v>
      </c>
      <c r="G10781" s="4"/>
      <c r="H10781" s="52">
        <v>115</v>
      </c>
    </row>
    <row r="10782" spans="1:8" x14ac:dyDescent="0.3">
      <c r="A10782" s="45">
        <v>44630</v>
      </c>
      <c r="B10782" s="5" t="s">
        <v>6430</v>
      </c>
      <c r="C10782" s="5" t="s">
        <v>8949</v>
      </c>
      <c r="D10782" s="43">
        <f>2060-400</f>
        <v>1660</v>
      </c>
      <c r="E10782" s="43"/>
      <c r="F10782" s="48">
        <f t="shared" si="177"/>
        <v>126577.66129032266</v>
      </c>
      <c r="G10782" s="4"/>
      <c r="H10782" s="52">
        <v>45</v>
      </c>
    </row>
    <row r="10783" spans="1:8" x14ac:dyDescent="0.3">
      <c r="A10783" s="45">
        <v>44631</v>
      </c>
      <c r="B10783" s="5" t="s">
        <v>5741</v>
      </c>
      <c r="C10783" s="5" t="s">
        <v>8951</v>
      </c>
      <c r="D10783" s="43">
        <v>9450</v>
      </c>
      <c r="E10783" s="43"/>
      <c r="F10783" s="48">
        <f t="shared" si="177"/>
        <v>117127.66129032266</v>
      </c>
      <c r="G10783" s="4"/>
      <c r="H10783" s="52">
        <v>26</v>
      </c>
    </row>
    <row r="10784" spans="1:8" x14ac:dyDescent="0.3">
      <c r="A10784" s="45">
        <v>44631</v>
      </c>
      <c r="B10784" s="5" t="s">
        <v>1074</v>
      </c>
      <c r="C10784" s="5" t="s">
        <v>8953</v>
      </c>
      <c r="D10784" s="43">
        <f>1310+4610</f>
        <v>5920</v>
      </c>
      <c r="E10784" s="43"/>
      <c r="F10784" s="48">
        <f t="shared" si="177"/>
        <v>111207.66129032266</v>
      </c>
      <c r="G10784" s="4"/>
      <c r="H10784" s="52">
        <f>SUM(H10781:H10783)</f>
        <v>186</v>
      </c>
    </row>
    <row r="10785" spans="1:9" x14ac:dyDescent="0.3">
      <c r="A10785" s="45">
        <v>44631</v>
      </c>
      <c r="B10785" s="5" t="s">
        <v>1074</v>
      </c>
      <c r="C10785" s="5" t="s">
        <v>6356</v>
      </c>
      <c r="D10785" s="43">
        <f>900+1360</f>
        <v>2260</v>
      </c>
      <c r="E10785" s="43"/>
      <c r="F10785" s="48">
        <f t="shared" si="177"/>
        <v>108947.66129032266</v>
      </c>
      <c r="G10785" s="4"/>
      <c r="H10785" s="52">
        <v>6</v>
      </c>
    </row>
    <row r="10786" spans="1:9" x14ac:dyDescent="0.3">
      <c r="A10786" s="45">
        <v>44631</v>
      </c>
      <c r="B10786" s="5" t="s">
        <v>7214</v>
      </c>
      <c r="C10786" s="5" t="s">
        <v>8947</v>
      </c>
      <c r="D10786" s="43">
        <v>50000</v>
      </c>
      <c r="E10786" s="43"/>
      <c r="F10786" s="48">
        <f t="shared" si="177"/>
        <v>58947.661290322663</v>
      </c>
      <c r="G10786" s="4"/>
      <c r="H10786" s="52">
        <f>H10785+H10784</f>
        <v>192</v>
      </c>
      <c r="I10786" s="52">
        <v>236</v>
      </c>
    </row>
    <row r="10787" spans="1:9" x14ac:dyDescent="0.3">
      <c r="A10787" s="45">
        <v>44631</v>
      </c>
      <c r="B10787" s="5" t="s">
        <v>57</v>
      </c>
      <c r="C10787" s="5" t="s">
        <v>8954</v>
      </c>
      <c r="D10787" s="43">
        <v>5000</v>
      </c>
      <c r="E10787" s="43"/>
      <c r="F10787" s="48">
        <f t="shared" si="177"/>
        <v>53947.661290322663</v>
      </c>
      <c r="G10787" s="4"/>
      <c r="I10787" s="52">
        <f>I10786-H10786</f>
        <v>44</v>
      </c>
    </row>
    <row r="10788" spans="1:9" x14ac:dyDescent="0.3">
      <c r="A10788" s="45">
        <v>44632</v>
      </c>
      <c r="B10788" s="5" t="s">
        <v>14</v>
      </c>
      <c r="C10788" s="5" t="s">
        <v>294</v>
      </c>
      <c r="D10788" s="43">
        <v>25000</v>
      </c>
      <c r="E10788" s="43"/>
      <c r="F10788" s="48">
        <f t="shared" si="177"/>
        <v>28947.661290322663</v>
      </c>
      <c r="G10788" s="4"/>
    </row>
    <row r="10789" spans="1:9" x14ac:dyDescent="0.3">
      <c r="A10789" s="45">
        <v>44632</v>
      </c>
      <c r="B10789" s="5" t="s">
        <v>3554</v>
      </c>
      <c r="C10789" s="5" t="s">
        <v>8955</v>
      </c>
      <c r="D10789" s="43">
        <v>5000</v>
      </c>
      <c r="E10789" s="43"/>
      <c r="F10789" s="48">
        <f t="shared" ref="F10789:F10852" si="178">F10788+E10789-D10789</f>
        <v>23947.661290322663</v>
      </c>
      <c r="G10789" s="4">
        <v>1950</v>
      </c>
    </row>
    <row r="10790" spans="1:9" x14ac:dyDescent="0.3">
      <c r="A10790" s="45">
        <v>44634</v>
      </c>
      <c r="B10790" s="5" t="s">
        <v>1012</v>
      </c>
      <c r="C10790" s="5" t="s">
        <v>8960</v>
      </c>
      <c r="D10790" s="43">
        <v>1000</v>
      </c>
      <c r="E10790" s="43"/>
      <c r="F10790" s="48">
        <f t="shared" si="178"/>
        <v>22947.661290322663</v>
      </c>
      <c r="G10790" s="4">
        <v>195</v>
      </c>
    </row>
    <row r="10791" spans="1:9" x14ac:dyDescent="0.3">
      <c r="A10791" s="45">
        <v>44634</v>
      </c>
      <c r="B10791" s="5" t="s">
        <v>18</v>
      </c>
      <c r="C10791" s="5" t="s">
        <v>3183</v>
      </c>
      <c r="D10791" s="43">
        <v>5200</v>
      </c>
      <c r="E10791" s="43"/>
      <c r="F10791" s="48">
        <f t="shared" si="178"/>
        <v>17747.661290322663</v>
      </c>
      <c r="G10791" s="4">
        <f>G10789-G10790</f>
        <v>1755</v>
      </c>
    </row>
    <row r="10792" spans="1:9" x14ac:dyDescent="0.3">
      <c r="A10792" s="45">
        <v>44634</v>
      </c>
      <c r="B10792" s="5" t="s">
        <v>6931</v>
      </c>
      <c r="C10792" s="5" t="s">
        <v>8961</v>
      </c>
      <c r="D10792" s="43">
        <v>16500</v>
      </c>
      <c r="E10792" s="43"/>
      <c r="F10792" s="48">
        <f t="shared" si="178"/>
        <v>1247.6612903226633</v>
      </c>
      <c r="G10792" s="4"/>
    </row>
    <row r="10793" spans="1:9" ht="37.5" x14ac:dyDescent="0.3">
      <c r="A10793" s="45">
        <v>44634</v>
      </c>
      <c r="B10793" s="61" t="s">
        <v>3554</v>
      </c>
      <c r="C10793" s="132" t="s">
        <v>8963</v>
      </c>
      <c r="D10793" s="62">
        <v>1000</v>
      </c>
      <c r="E10793" s="43"/>
      <c r="F10793" s="48">
        <f t="shared" si="178"/>
        <v>247.66129032266326</v>
      </c>
      <c r="G10793" s="4"/>
    </row>
    <row r="10794" spans="1:9" x14ac:dyDescent="0.3">
      <c r="A10794" s="45">
        <v>44638</v>
      </c>
      <c r="B10794" s="740" t="s">
        <v>8974</v>
      </c>
      <c r="C10794" s="741"/>
      <c r="D10794" s="742"/>
      <c r="E10794" s="338">
        <v>10000</v>
      </c>
      <c r="F10794" s="48">
        <f t="shared" si="178"/>
        <v>10247.661290322663</v>
      </c>
      <c r="G10794" s="4"/>
    </row>
    <row r="10795" spans="1:9" x14ac:dyDescent="0.3">
      <c r="A10795" s="45">
        <v>44638</v>
      </c>
      <c r="B10795" s="740" t="s">
        <v>8974</v>
      </c>
      <c r="C10795" s="741"/>
      <c r="D10795" s="742"/>
      <c r="E10795" s="338">
        <v>25000</v>
      </c>
      <c r="F10795" s="48">
        <f t="shared" si="178"/>
        <v>35247.661290322663</v>
      </c>
      <c r="G10795" s="4"/>
    </row>
    <row r="10796" spans="1:9" x14ac:dyDescent="0.3">
      <c r="A10796" s="45">
        <v>44638</v>
      </c>
      <c r="B10796" s="5" t="s">
        <v>1787</v>
      </c>
      <c r="C10796" s="5" t="s">
        <v>8975</v>
      </c>
      <c r="D10796" s="43">
        <v>1500</v>
      </c>
      <c r="E10796" s="43"/>
      <c r="F10796" s="48">
        <f t="shared" si="178"/>
        <v>33747.661290322663</v>
      </c>
      <c r="G10796" s="4"/>
    </row>
    <row r="10797" spans="1:9" x14ac:dyDescent="0.3">
      <c r="A10797" s="45">
        <v>44638</v>
      </c>
      <c r="B10797" s="5" t="s">
        <v>84</v>
      </c>
      <c r="C10797" s="5" t="s">
        <v>8976</v>
      </c>
      <c r="D10797" s="65">
        <v>5000</v>
      </c>
      <c r="E10797" s="43"/>
      <c r="F10797" s="48">
        <f t="shared" si="178"/>
        <v>28747.661290322663</v>
      </c>
      <c r="G10797" s="4"/>
    </row>
    <row r="10798" spans="1:9" x14ac:dyDescent="0.3">
      <c r="A10798" s="45">
        <v>44638</v>
      </c>
      <c r="B10798" s="5" t="s">
        <v>84</v>
      </c>
      <c r="C10798" s="5" t="s">
        <v>8977</v>
      </c>
      <c r="D10798" s="65">
        <v>2500</v>
      </c>
      <c r="E10798" s="43"/>
      <c r="F10798" s="48">
        <f t="shared" si="178"/>
        <v>26247.661290322663</v>
      </c>
      <c r="G10798" s="4"/>
    </row>
    <row r="10799" spans="1:9" x14ac:dyDescent="0.3">
      <c r="A10799" s="45">
        <v>44638</v>
      </c>
      <c r="B10799" s="5" t="s">
        <v>84</v>
      </c>
      <c r="C10799" s="5" t="s">
        <v>8978</v>
      </c>
      <c r="D10799" s="65">
        <v>2500</v>
      </c>
      <c r="E10799" s="43"/>
      <c r="F10799" s="48">
        <f t="shared" si="178"/>
        <v>23747.661290322663</v>
      </c>
      <c r="G10799" s="4"/>
    </row>
    <row r="10800" spans="1:9" x14ac:dyDescent="0.3">
      <c r="A10800" s="45">
        <v>44638</v>
      </c>
      <c r="B10800" s="5" t="s">
        <v>25</v>
      </c>
      <c r="C10800" s="5" t="s">
        <v>8152</v>
      </c>
      <c r="D10800" s="43">
        <v>4020</v>
      </c>
      <c r="E10800" s="43"/>
      <c r="F10800" s="48">
        <f t="shared" si="178"/>
        <v>19727.661290322663</v>
      </c>
      <c r="G10800" s="4"/>
    </row>
    <row r="10801" spans="1:7 16384:16384" x14ac:dyDescent="0.3">
      <c r="A10801" s="45">
        <v>44638</v>
      </c>
      <c r="B10801" s="5" t="s">
        <v>14</v>
      </c>
      <c r="C10801" s="5" t="s">
        <v>640</v>
      </c>
      <c r="D10801" s="43">
        <v>1000</v>
      </c>
      <c r="E10801" s="43"/>
      <c r="F10801" s="48">
        <f t="shared" si="178"/>
        <v>18727.661290322663</v>
      </c>
      <c r="G10801" s="4"/>
    </row>
    <row r="10802" spans="1:7 16384:16384" x14ac:dyDescent="0.3">
      <c r="A10802" s="45">
        <v>44639</v>
      </c>
      <c r="B10802" s="5" t="s">
        <v>8980</v>
      </c>
      <c r="C10802" s="5" t="s">
        <v>8981</v>
      </c>
      <c r="D10802" s="43">
        <v>4500</v>
      </c>
      <c r="E10802" s="43"/>
      <c r="F10802" s="48">
        <f t="shared" si="178"/>
        <v>14227.661290322663</v>
      </c>
      <c r="G10802" s="4"/>
    </row>
    <row r="10803" spans="1:7 16384:16384" x14ac:dyDescent="0.3">
      <c r="A10803" s="45">
        <v>44639</v>
      </c>
      <c r="B10803" s="5" t="s">
        <v>4281</v>
      </c>
      <c r="C10803" s="5" t="s">
        <v>5675</v>
      </c>
      <c r="D10803" s="43">
        <v>500</v>
      </c>
      <c r="E10803" s="43"/>
      <c r="F10803" s="48">
        <f t="shared" si="178"/>
        <v>13727.661290322663</v>
      </c>
      <c r="G10803" s="4"/>
    </row>
    <row r="10804" spans="1:7 16384:16384" x14ac:dyDescent="0.3">
      <c r="A10804" s="45">
        <v>44639</v>
      </c>
      <c r="B10804" s="5" t="s">
        <v>4281</v>
      </c>
      <c r="C10804" s="5" t="s">
        <v>8993</v>
      </c>
      <c r="D10804" s="43">
        <v>1000</v>
      </c>
      <c r="E10804" s="43"/>
      <c r="F10804" s="48">
        <f t="shared" si="178"/>
        <v>12727.661290322663</v>
      </c>
      <c r="G10804" s="4"/>
    </row>
    <row r="10805" spans="1:7 16384:16384" x14ac:dyDescent="0.3">
      <c r="A10805" s="45">
        <v>44639</v>
      </c>
      <c r="B10805" s="5" t="s">
        <v>541</v>
      </c>
      <c r="C10805" s="5" t="s">
        <v>640</v>
      </c>
      <c r="D10805" s="43">
        <v>1000</v>
      </c>
      <c r="E10805" s="43"/>
      <c r="F10805" s="48">
        <f t="shared" si="178"/>
        <v>11727.661290322663</v>
      </c>
      <c r="G10805" s="4"/>
    </row>
    <row r="10806" spans="1:7 16384:16384" x14ac:dyDescent="0.3">
      <c r="A10806" s="45">
        <v>44638</v>
      </c>
      <c r="B10806" s="740" t="s">
        <v>7440</v>
      </c>
      <c r="C10806" s="741"/>
      <c r="D10806" s="742"/>
      <c r="E10806" s="338">
        <v>130000</v>
      </c>
      <c r="F10806" s="48">
        <f t="shared" si="178"/>
        <v>141727.66129032266</v>
      </c>
      <c r="G10806" s="4"/>
    </row>
    <row r="10807" spans="1:7 16384:16384" x14ac:dyDescent="0.3">
      <c r="A10807" s="45">
        <v>44639</v>
      </c>
      <c r="B10807" s="5" t="s">
        <v>3554</v>
      </c>
      <c r="C10807" s="5" t="s">
        <v>8982</v>
      </c>
      <c r="D10807" s="43">
        <v>10000</v>
      </c>
      <c r="E10807" s="43"/>
      <c r="F10807" s="48">
        <f t="shared" si="178"/>
        <v>131727.66129032266</v>
      </c>
      <c r="G10807" s="4"/>
    </row>
    <row r="10808" spans="1:7 16384:16384" x14ac:dyDescent="0.3">
      <c r="A10808" s="45">
        <v>44639</v>
      </c>
      <c r="B10808" s="5" t="s">
        <v>7214</v>
      </c>
      <c r="C10808" s="5" t="s">
        <v>8983</v>
      </c>
      <c r="D10808" s="43">
        <v>30000</v>
      </c>
      <c r="E10808" s="43"/>
      <c r="F10808" s="48">
        <f t="shared" si="178"/>
        <v>101727.66129032266</v>
      </c>
      <c r="G10808" s="4"/>
    </row>
    <row r="10809" spans="1:7 16384:16384" x14ac:dyDescent="0.3">
      <c r="A10809" s="45">
        <v>44639</v>
      </c>
      <c r="B10809" s="5" t="s">
        <v>7571</v>
      </c>
      <c r="C10809" s="5" t="s">
        <v>8550</v>
      </c>
      <c r="D10809" s="43">
        <v>35000</v>
      </c>
      <c r="E10809" s="43"/>
      <c r="F10809" s="48">
        <f t="shared" si="178"/>
        <v>66727.661290322663</v>
      </c>
      <c r="G10809" s="4"/>
    </row>
    <row r="10810" spans="1:7 16384:16384" x14ac:dyDescent="0.3">
      <c r="A10810" s="45">
        <v>44641</v>
      </c>
      <c r="B10810" s="5" t="s">
        <v>57</v>
      </c>
      <c r="C10810" s="5" t="s">
        <v>294</v>
      </c>
      <c r="D10810" s="43">
        <v>3000</v>
      </c>
      <c r="E10810" s="43"/>
      <c r="F10810" s="48">
        <f>F10809+E10810-D10810</f>
        <v>63727.661290322663</v>
      </c>
      <c r="G10810" s="4"/>
    </row>
    <row r="10811" spans="1:7 16384:16384" x14ac:dyDescent="0.3">
      <c r="A10811" s="45">
        <v>44641</v>
      </c>
      <c r="B10811" s="740" t="s">
        <v>7440</v>
      </c>
      <c r="C10811" s="741"/>
      <c r="D10811" s="742"/>
      <c r="E10811" s="338">
        <v>100000</v>
      </c>
      <c r="F10811" s="48">
        <f t="shared" ref="F10811" si="179">F10810+E10811-D10811</f>
        <v>163727.66129032266</v>
      </c>
      <c r="G10811" s="4"/>
    </row>
    <row r="10812" spans="1:7 16384:16384" x14ac:dyDescent="0.3">
      <c r="A10812" s="45">
        <v>44641</v>
      </c>
      <c r="B10812" s="5" t="s">
        <v>8553</v>
      </c>
      <c r="C10812" s="5" t="s">
        <v>8984</v>
      </c>
      <c r="D10812" s="43">
        <v>69100</v>
      </c>
      <c r="E10812" s="43"/>
      <c r="F10812" s="48">
        <f t="shared" si="178"/>
        <v>94627.661290322663</v>
      </c>
      <c r="G10812" s="346"/>
      <c r="XFD10812" s="4">
        <f>SUM(A10812:XFC10812)</f>
        <v>208368.66129032266</v>
      </c>
    </row>
    <row r="10813" spans="1:7 16384:16384" x14ac:dyDescent="0.3">
      <c r="A10813" s="45">
        <v>44641</v>
      </c>
      <c r="B10813" s="5" t="s">
        <v>84</v>
      </c>
      <c r="C10813" s="5" t="s">
        <v>8985</v>
      </c>
      <c r="D10813" s="65">
        <v>2000</v>
      </c>
      <c r="E10813" s="43"/>
      <c r="F10813" s="48">
        <f t="shared" si="178"/>
        <v>92627.661290322663</v>
      </c>
      <c r="G10813" s="4"/>
    </row>
    <row r="10814" spans="1:7 16384:16384" x14ac:dyDescent="0.3">
      <c r="A10814" s="45">
        <v>44641</v>
      </c>
      <c r="B10814" s="5" t="s">
        <v>6430</v>
      </c>
      <c r="C10814" s="5" t="s">
        <v>8986</v>
      </c>
      <c r="D10814" s="43">
        <v>1650</v>
      </c>
      <c r="E10814" s="43"/>
      <c r="F10814" s="48">
        <f t="shared" si="178"/>
        <v>90977.661290322663</v>
      </c>
      <c r="G10814" s="4"/>
    </row>
    <row r="10815" spans="1:7 16384:16384" x14ac:dyDescent="0.3">
      <c r="A10815" s="184">
        <v>44641</v>
      </c>
      <c r="B10815" s="349" t="s">
        <v>54</v>
      </c>
      <c r="C10815" s="349" t="s">
        <v>8820</v>
      </c>
      <c r="D10815" s="350">
        <v>30000</v>
      </c>
      <c r="F10815" s="351">
        <f t="shared" si="178"/>
        <v>60977.661290322663</v>
      </c>
      <c r="G10815" s="4"/>
    </row>
    <row r="10816" spans="1:7 16384:16384" x14ac:dyDescent="0.3">
      <c r="A10816" s="45">
        <v>44642</v>
      </c>
      <c r="B10816" s="5" t="s">
        <v>14</v>
      </c>
      <c r="C10816" s="5" t="s">
        <v>294</v>
      </c>
      <c r="D10816" s="43">
        <v>5000</v>
      </c>
      <c r="E10816" s="43"/>
      <c r="F10816" s="48">
        <f t="shared" si="178"/>
        <v>55977.661290322663</v>
      </c>
      <c r="G10816" s="4"/>
    </row>
    <row r="10817" spans="1:7" x14ac:dyDescent="0.3">
      <c r="A10817" s="45">
        <v>44642</v>
      </c>
      <c r="B10817" s="5" t="s">
        <v>14</v>
      </c>
      <c r="C10817" s="5" t="s">
        <v>8988</v>
      </c>
      <c r="D10817" s="43">
        <v>4120</v>
      </c>
      <c r="E10817" s="43"/>
      <c r="F10817" s="48">
        <f t="shared" si="178"/>
        <v>51857.661290322663</v>
      </c>
      <c r="G10817" s="4"/>
    </row>
    <row r="10818" spans="1:7" x14ac:dyDescent="0.3">
      <c r="A10818" s="45">
        <v>44642</v>
      </c>
      <c r="B10818" s="5" t="s">
        <v>8553</v>
      </c>
      <c r="C10818" s="5" t="s">
        <v>8989</v>
      </c>
      <c r="D10818" s="43">
        <v>8400</v>
      </c>
      <c r="E10818" s="43"/>
      <c r="F10818" s="48">
        <f t="shared" si="178"/>
        <v>43457.661290322663</v>
      </c>
      <c r="G10818" s="4"/>
    </row>
    <row r="10819" spans="1:7" x14ac:dyDescent="0.3">
      <c r="A10819" s="45">
        <v>44642</v>
      </c>
      <c r="B10819" s="5" t="s">
        <v>8990</v>
      </c>
      <c r="C10819" s="5" t="s">
        <v>4526</v>
      </c>
      <c r="D10819" s="43">
        <f>32600+600</f>
        <v>33200</v>
      </c>
      <c r="E10819" s="43"/>
      <c r="F10819" s="48">
        <f t="shared" si="178"/>
        <v>10257.661290322663</v>
      </c>
      <c r="G10819" s="4"/>
    </row>
    <row r="10820" spans="1:7" x14ac:dyDescent="0.3">
      <c r="A10820" s="45">
        <v>44642</v>
      </c>
      <c r="B10820" s="5" t="s">
        <v>84</v>
      </c>
      <c r="C10820" s="5" t="s">
        <v>8992</v>
      </c>
      <c r="D10820" s="65">
        <v>1000</v>
      </c>
      <c r="E10820" s="43"/>
      <c r="F10820" s="48">
        <f t="shared" si="178"/>
        <v>9257.6612903226633</v>
      </c>
      <c r="G10820" s="4"/>
    </row>
    <row r="10821" spans="1:7" x14ac:dyDescent="0.3">
      <c r="A10821" s="45">
        <v>44642</v>
      </c>
      <c r="B10821" s="739" t="s">
        <v>8974</v>
      </c>
      <c r="C10821" s="739"/>
      <c r="D10821" s="739"/>
      <c r="E10821" s="43">
        <v>5000</v>
      </c>
      <c r="F10821" s="48">
        <f t="shared" si="178"/>
        <v>14257.661290322663</v>
      </c>
      <c r="G10821" s="4"/>
    </row>
    <row r="10822" spans="1:7" x14ac:dyDescent="0.3">
      <c r="A10822" s="45">
        <v>44644</v>
      </c>
      <c r="B10822" s="5" t="s">
        <v>5793</v>
      </c>
      <c r="C10822" s="5" t="s">
        <v>8994</v>
      </c>
      <c r="D10822" s="43">
        <v>400</v>
      </c>
      <c r="E10822" s="43"/>
      <c r="F10822" s="48">
        <f t="shared" si="178"/>
        <v>13857.661290322663</v>
      </c>
      <c r="G10822" s="4"/>
    </row>
    <row r="10823" spans="1:7" x14ac:dyDescent="0.3">
      <c r="A10823" s="45">
        <v>44644</v>
      </c>
      <c r="B10823" s="5" t="s">
        <v>18</v>
      </c>
      <c r="C10823" s="5" t="s">
        <v>8995</v>
      </c>
      <c r="D10823" s="43">
        <v>5000</v>
      </c>
      <c r="E10823" s="43"/>
      <c r="F10823" s="48">
        <f t="shared" si="178"/>
        <v>8857.6612903226633</v>
      </c>
      <c r="G10823" s="4"/>
    </row>
    <row r="10824" spans="1:7" x14ac:dyDescent="0.3">
      <c r="A10824" s="45">
        <v>44644</v>
      </c>
      <c r="B10824" s="5" t="s">
        <v>107</v>
      </c>
      <c r="C10824" s="5" t="s">
        <v>8996</v>
      </c>
      <c r="D10824" s="43">
        <v>2000</v>
      </c>
      <c r="E10824" s="43"/>
      <c r="F10824" s="48">
        <f t="shared" si="178"/>
        <v>6857.6612903226633</v>
      </c>
      <c r="G10824" s="4"/>
    </row>
    <row r="10825" spans="1:7" x14ac:dyDescent="0.3">
      <c r="A10825" s="45">
        <v>44644</v>
      </c>
      <c r="B10825" s="739" t="s">
        <v>7440</v>
      </c>
      <c r="C10825" s="739"/>
      <c r="D10825" s="739"/>
      <c r="E10825" s="43">
        <v>100000</v>
      </c>
      <c r="F10825" s="48">
        <f t="shared" si="178"/>
        <v>106857.66129032266</v>
      </c>
      <c r="G10825" s="4"/>
    </row>
    <row r="10826" spans="1:7" x14ac:dyDescent="0.3">
      <c r="A10826" s="45">
        <v>44644</v>
      </c>
      <c r="B10826" s="5" t="s">
        <v>6908</v>
      </c>
      <c r="C10826" s="5" t="s">
        <v>9002</v>
      </c>
      <c r="D10826" s="43">
        <v>5400</v>
      </c>
      <c r="E10826" s="43"/>
      <c r="F10826" s="48">
        <f t="shared" si="178"/>
        <v>101457.66129032266</v>
      </c>
      <c r="G10826" s="4"/>
    </row>
    <row r="10827" spans="1:7" x14ac:dyDescent="0.3">
      <c r="A10827" s="45">
        <v>44644</v>
      </c>
      <c r="B10827" s="5" t="s">
        <v>6908</v>
      </c>
      <c r="C10827" s="5" t="s">
        <v>9004</v>
      </c>
      <c r="D10827" s="43">
        <v>10500</v>
      </c>
      <c r="E10827" s="43"/>
      <c r="F10827" s="48">
        <f t="shared" si="178"/>
        <v>90957.661290322663</v>
      </c>
      <c r="G10827" s="4"/>
    </row>
    <row r="10828" spans="1:7" x14ac:dyDescent="0.3">
      <c r="A10828" s="45">
        <v>44644</v>
      </c>
      <c r="B10828" s="5" t="s">
        <v>2995</v>
      </c>
      <c r="C10828" s="5" t="s">
        <v>9003</v>
      </c>
      <c r="D10828" s="43">
        <v>14000</v>
      </c>
      <c r="E10828" s="43"/>
      <c r="F10828" s="48">
        <f t="shared" si="178"/>
        <v>76957.661290322663</v>
      </c>
      <c r="G10828" s="4"/>
    </row>
    <row r="10829" spans="1:7" x14ac:dyDescent="0.3">
      <c r="A10829" s="45">
        <v>44644</v>
      </c>
      <c r="B10829" s="5" t="s">
        <v>6908</v>
      </c>
      <c r="C10829" s="5" t="s">
        <v>9005</v>
      </c>
      <c r="D10829" s="43">
        <v>500</v>
      </c>
      <c r="E10829" s="43"/>
      <c r="F10829" s="48">
        <f t="shared" si="178"/>
        <v>76457.661290322663</v>
      </c>
      <c r="G10829" s="4"/>
    </row>
    <row r="10830" spans="1:7" x14ac:dyDescent="0.3">
      <c r="A10830" s="45">
        <v>44644</v>
      </c>
      <c r="B10830" s="5" t="s">
        <v>1074</v>
      </c>
      <c r="C10830" s="5" t="s">
        <v>8790</v>
      </c>
      <c r="D10830" s="43">
        <v>4410</v>
      </c>
      <c r="E10830" s="43"/>
      <c r="F10830" s="48">
        <f t="shared" si="178"/>
        <v>72047.661290322663</v>
      </c>
      <c r="G10830" s="4"/>
    </row>
    <row r="10831" spans="1:7" x14ac:dyDescent="0.3">
      <c r="A10831" s="45">
        <v>44644</v>
      </c>
      <c r="B10831" s="5" t="s">
        <v>1074</v>
      </c>
      <c r="C10831" s="5" t="s">
        <v>9006</v>
      </c>
      <c r="D10831" s="43">
        <f>12750+3265</f>
        <v>16015</v>
      </c>
      <c r="E10831" s="43"/>
      <c r="F10831" s="48">
        <f t="shared" si="178"/>
        <v>56032.661290322663</v>
      </c>
      <c r="G10831" s="4"/>
    </row>
    <row r="10832" spans="1:7" x14ac:dyDescent="0.3">
      <c r="A10832" s="45">
        <v>44644</v>
      </c>
      <c r="B10832" s="5" t="s">
        <v>5741</v>
      </c>
      <c r="C10832" s="5" t="s">
        <v>9007</v>
      </c>
      <c r="D10832" s="43">
        <v>25600</v>
      </c>
      <c r="E10832" s="43"/>
      <c r="F10832" s="48">
        <f t="shared" si="178"/>
        <v>30432.661290322663</v>
      </c>
      <c r="G10832" s="4"/>
    </row>
    <row r="10833" spans="1:7" x14ac:dyDescent="0.3">
      <c r="A10833" s="45">
        <v>44644</v>
      </c>
      <c r="B10833" s="5" t="s">
        <v>25</v>
      </c>
      <c r="C10833" s="5" t="s">
        <v>5641</v>
      </c>
      <c r="D10833" s="43">
        <v>650</v>
      </c>
      <c r="E10833" s="43"/>
      <c r="F10833" s="48">
        <f t="shared" si="178"/>
        <v>29782.661290322663</v>
      </c>
      <c r="G10833" s="4"/>
    </row>
    <row r="10834" spans="1:7" x14ac:dyDescent="0.3">
      <c r="A10834" s="45">
        <v>44644</v>
      </c>
      <c r="B10834" s="5" t="s">
        <v>9010</v>
      </c>
      <c r="C10834" s="5" t="s">
        <v>9011</v>
      </c>
      <c r="D10834" s="43">
        <v>4100</v>
      </c>
      <c r="E10834" s="43"/>
      <c r="F10834" s="48">
        <f t="shared" si="178"/>
        <v>25682.661290322663</v>
      </c>
      <c r="G10834" s="4"/>
    </row>
    <row r="10835" spans="1:7" x14ac:dyDescent="0.3">
      <c r="A10835" s="45">
        <v>44645</v>
      </c>
      <c r="B10835" s="739" t="s">
        <v>7440</v>
      </c>
      <c r="C10835" s="739"/>
      <c r="D10835" s="739"/>
      <c r="E10835" s="43">
        <v>100000</v>
      </c>
      <c r="F10835" s="48">
        <f t="shared" si="178"/>
        <v>125682.66129032266</v>
      </c>
      <c r="G10835" s="4"/>
    </row>
    <row r="10836" spans="1:7" x14ac:dyDescent="0.3">
      <c r="A10836" s="45">
        <v>44645</v>
      </c>
      <c r="B10836" s="5" t="s">
        <v>7571</v>
      </c>
      <c r="C10836" s="5" t="s">
        <v>8550</v>
      </c>
      <c r="D10836" s="43">
        <v>5000</v>
      </c>
      <c r="E10836" s="43"/>
      <c r="F10836" s="48">
        <f t="shared" si="178"/>
        <v>120682.66129032266</v>
      </c>
      <c r="G10836" s="4"/>
    </row>
    <row r="10837" spans="1:7" x14ac:dyDescent="0.3">
      <c r="A10837" s="45">
        <v>44645</v>
      </c>
      <c r="B10837" s="5" t="s">
        <v>25</v>
      </c>
      <c r="C10837" s="5" t="s">
        <v>4400</v>
      </c>
      <c r="D10837" s="43">
        <v>2500</v>
      </c>
      <c r="E10837" s="43"/>
      <c r="F10837" s="48">
        <f t="shared" si="178"/>
        <v>118182.66129032266</v>
      </c>
      <c r="G10837" s="4"/>
    </row>
    <row r="10838" spans="1:7" x14ac:dyDescent="0.3">
      <c r="A10838" s="45">
        <v>44645</v>
      </c>
      <c r="B10838" s="5" t="s">
        <v>68</v>
      </c>
      <c r="C10838" s="5" t="s">
        <v>9012</v>
      </c>
      <c r="D10838" s="43">
        <v>15000</v>
      </c>
      <c r="E10838" s="43"/>
      <c r="F10838" s="48">
        <f t="shared" si="178"/>
        <v>103182.66129032266</v>
      </c>
      <c r="G10838" s="4"/>
    </row>
    <row r="10839" spans="1:7" x14ac:dyDescent="0.3">
      <c r="A10839" s="45">
        <v>44645</v>
      </c>
      <c r="B10839" s="5" t="s">
        <v>4550</v>
      </c>
      <c r="C10839" s="5" t="s">
        <v>7904</v>
      </c>
      <c r="D10839" s="43">
        <v>60000</v>
      </c>
      <c r="E10839" s="43"/>
      <c r="F10839" s="48">
        <f t="shared" si="178"/>
        <v>43182.661290322663</v>
      </c>
      <c r="G10839" s="4"/>
    </row>
    <row r="10840" spans="1:7" x14ac:dyDescent="0.3">
      <c r="A10840" s="45">
        <v>44645</v>
      </c>
      <c r="B10840" s="5" t="s">
        <v>1787</v>
      </c>
      <c r="C10840" s="5" t="s">
        <v>9013</v>
      </c>
      <c r="D10840" s="43">
        <v>1200</v>
      </c>
      <c r="E10840" s="43"/>
      <c r="F10840" s="48">
        <f t="shared" si="178"/>
        <v>41982.661290322663</v>
      </c>
      <c r="G10840" s="4"/>
    </row>
    <row r="10841" spans="1:7" x14ac:dyDescent="0.3">
      <c r="A10841" s="45">
        <v>44645</v>
      </c>
      <c r="B10841" s="5" t="s">
        <v>84</v>
      </c>
      <c r="C10841" s="5" t="s">
        <v>9014</v>
      </c>
      <c r="D10841" s="65">
        <v>6000</v>
      </c>
      <c r="E10841" s="43"/>
      <c r="F10841" s="48">
        <f t="shared" si="178"/>
        <v>35982.661290322663</v>
      </c>
      <c r="G10841" s="4"/>
    </row>
    <row r="10842" spans="1:7" x14ac:dyDescent="0.3">
      <c r="A10842" s="45">
        <v>44645</v>
      </c>
      <c r="B10842" s="5" t="s">
        <v>25</v>
      </c>
      <c r="C10842" s="5" t="s">
        <v>8152</v>
      </c>
      <c r="D10842" s="43">
        <v>4250</v>
      </c>
      <c r="E10842" s="43"/>
      <c r="F10842" s="48">
        <f t="shared" si="178"/>
        <v>31732.661290322663</v>
      </c>
      <c r="G10842" s="4"/>
    </row>
    <row r="10843" spans="1:7" x14ac:dyDescent="0.3">
      <c r="A10843" s="45">
        <v>44648</v>
      </c>
      <c r="B10843" s="5" t="s">
        <v>6959</v>
      </c>
      <c r="C10843" s="5" t="s">
        <v>9019</v>
      </c>
      <c r="D10843" s="43">
        <v>350</v>
      </c>
      <c r="E10843" s="43"/>
      <c r="F10843" s="48">
        <f t="shared" si="178"/>
        <v>31382.661290322663</v>
      </c>
      <c r="G10843" s="4"/>
    </row>
    <row r="10844" spans="1:7" x14ac:dyDescent="0.3">
      <c r="A10844" s="45">
        <v>44648</v>
      </c>
      <c r="B10844" s="5" t="s">
        <v>5709</v>
      </c>
      <c r="C10844" s="5" t="s">
        <v>5673</v>
      </c>
      <c r="D10844" s="43">
        <v>1900</v>
      </c>
      <c r="E10844" s="43"/>
      <c r="F10844" s="48">
        <f t="shared" si="178"/>
        <v>29482.661290322663</v>
      </c>
      <c r="G10844" s="4"/>
    </row>
    <row r="10845" spans="1:7" x14ac:dyDescent="0.3">
      <c r="A10845" s="45">
        <v>44648</v>
      </c>
      <c r="B10845" s="5" t="s">
        <v>5709</v>
      </c>
      <c r="C10845" s="5" t="s">
        <v>9020</v>
      </c>
      <c r="D10845" s="43">
        <v>10000</v>
      </c>
      <c r="E10845" s="43"/>
      <c r="F10845" s="48">
        <f t="shared" si="178"/>
        <v>19482.661290322663</v>
      </c>
      <c r="G10845" s="4"/>
    </row>
    <row r="10846" spans="1:7" x14ac:dyDescent="0.3">
      <c r="A10846" s="45">
        <v>44648</v>
      </c>
      <c r="B10846" s="5" t="s">
        <v>1074</v>
      </c>
      <c r="C10846" s="5" t="s">
        <v>8875</v>
      </c>
      <c r="D10846" s="43">
        <v>1796</v>
      </c>
      <c r="E10846" s="43"/>
      <c r="F10846" s="48">
        <f t="shared" si="178"/>
        <v>17686.661290322663</v>
      </c>
      <c r="G10846" s="4"/>
    </row>
    <row r="10847" spans="1:7" x14ac:dyDescent="0.3">
      <c r="A10847" s="45">
        <v>44648</v>
      </c>
      <c r="B10847" s="739" t="s">
        <v>7440</v>
      </c>
      <c r="C10847" s="739"/>
      <c r="D10847" s="739"/>
      <c r="E10847" s="43">
        <v>100000</v>
      </c>
      <c r="F10847" s="48">
        <f t="shared" si="178"/>
        <v>117686.66129032266</v>
      </c>
      <c r="G10847" s="4"/>
    </row>
    <row r="10848" spans="1:7" x14ac:dyDescent="0.3">
      <c r="A10848" s="45">
        <v>44648</v>
      </c>
      <c r="B10848" s="5" t="s">
        <v>8573</v>
      </c>
      <c r="C10848" s="5" t="s">
        <v>9021</v>
      </c>
      <c r="D10848" s="43">
        <v>12000</v>
      </c>
      <c r="E10848" s="43"/>
      <c r="F10848" s="48">
        <f t="shared" si="178"/>
        <v>105686.66129032266</v>
      </c>
      <c r="G10848" s="4"/>
    </row>
    <row r="10849" spans="1:10" x14ac:dyDescent="0.3">
      <c r="A10849" s="45">
        <v>44648</v>
      </c>
      <c r="B10849" s="5" t="s">
        <v>57</v>
      </c>
      <c r="C10849" s="5" t="s">
        <v>9022</v>
      </c>
      <c r="D10849" s="43">
        <v>7000</v>
      </c>
      <c r="E10849" s="43"/>
      <c r="F10849" s="48">
        <f t="shared" si="178"/>
        <v>98686.661290322663</v>
      </c>
      <c r="G10849" s="4"/>
    </row>
    <row r="10850" spans="1:10" x14ac:dyDescent="0.3">
      <c r="A10850" s="45">
        <v>44648</v>
      </c>
      <c r="B10850" s="5" t="s">
        <v>84</v>
      </c>
      <c r="C10850" s="5" t="s">
        <v>8977</v>
      </c>
      <c r="D10850" s="65">
        <v>1000</v>
      </c>
      <c r="E10850" s="43"/>
      <c r="F10850" s="48">
        <f t="shared" si="178"/>
        <v>97686.661290322663</v>
      </c>
      <c r="G10850" s="4"/>
    </row>
    <row r="10851" spans="1:10" x14ac:dyDescent="0.3">
      <c r="A10851" s="45">
        <v>44648</v>
      </c>
      <c r="B10851" s="5" t="s">
        <v>84</v>
      </c>
      <c r="C10851" s="5" t="s">
        <v>8992</v>
      </c>
      <c r="D10851" s="65">
        <v>1000</v>
      </c>
      <c r="E10851" s="43"/>
      <c r="F10851" s="48">
        <f t="shared" si="178"/>
        <v>96686.661290322663</v>
      </c>
      <c r="G10851" s="4"/>
      <c r="H10851" s="62" t="s">
        <v>8881</v>
      </c>
      <c r="I10851" s="334">
        <v>4600000</v>
      </c>
    </row>
    <row r="10852" spans="1:10" x14ac:dyDescent="0.3">
      <c r="A10852" s="45">
        <v>44648</v>
      </c>
      <c r="B10852" s="5" t="s">
        <v>25</v>
      </c>
      <c r="C10852" s="5" t="s">
        <v>9024</v>
      </c>
      <c r="D10852" s="43">
        <v>30000</v>
      </c>
      <c r="E10852" s="43"/>
      <c r="F10852" s="48">
        <f t="shared" si="178"/>
        <v>66686.661290322663</v>
      </c>
      <c r="G10852" s="4"/>
      <c r="H10852" s="62" t="s">
        <v>8882</v>
      </c>
      <c r="I10852" s="334">
        <f>I10851*1.17</f>
        <v>5382000</v>
      </c>
      <c r="J10852" s="52">
        <f>I10852*30%</f>
        <v>1614600</v>
      </c>
    </row>
    <row r="10853" spans="1:10" x14ac:dyDescent="0.3">
      <c r="A10853" s="45">
        <v>44648</v>
      </c>
      <c r="B10853" s="5" t="s">
        <v>25</v>
      </c>
      <c r="C10853" s="5" t="s">
        <v>9028</v>
      </c>
      <c r="D10853" s="43">
        <v>3000</v>
      </c>
      <c r="E10853" s="43"/>
      <c r="F10853" s="48">
        <f t="shared" ref="F10853:F10916" si="180">F10852+E10853-D10853</f>
        <v>63686.661290322663</v>
      </c>
      <c r="G10853" s="4"/>
      <c r="J10853" s="52">
        <f>I10852-J10852</f>
        <v>3767400</v>
      </c>
    </row>
    <row r="10854" spans="1:10" x14ac:dyDescent="0.3">
      <c r="A10854" s="45">
        <v>44649</v>
      </c>
      <c r="B10854" s="5" t="s">
        <v>8573</v>
      </c>
      <c r="C10854" s="5" t="s">
        <v>9025</v>
      </c>
      <c r="D10854" s="43">
        <v>10000</v>
      </c>
      <c r="E10854" s="43"/>
      <c r="F10854" s="48">
        <f t="shared" si="180"/>
        <v>53686.661290322663</v>
      </c>
      <c r="G10854" s="4"/>
      <c r="H10854" s="62" t="s">
        <v>8883</v>
      </c>
      <c r="I10854" s="335">
        <v>8</v>
      </c>
    </row>
    <row r="10855" spans="1:10" x14ac:dyDescent="0.3">
      <c r="A10855" s="45">
        <v>44649</v>
      </c>
      <c r="B10855" s="5" t="s">
        <v>6931</v>
      </c>
      <c r="C10855" s="5" t="s">
        <v>2248</v>
      </c>
      <c r="D10855" s="43">
        <v>200</v>
      </c>
      <c r="E10855" s="43"/>
      <c r="F10855" s="48">
        <f t="shared" si="180"/>
        <v>53486.661290322663</v>
      </c>
      <c r="G10855" s="4"/>
      <c r="H10855" s="62" t="s">
        <v>8884</v>
      </c>
      <c r="I10855" s="335">
        <f>I10854/3.28</f>
        <v>2.4390243902439024</v>
      </c>
    </row>
    <row r="10856" spans="1:10" x14ac:dyDescent="0.3">
      <c r="A10856" s="45">
        <v>44649</v>
      </c>
      <c r="B10856" s="5" t="s">
        <v>84</v>
      </c>
      <c r="C10856" s="61" t="s">
        <v>9027</v>
      </c>
      <c r="D10856" s="65">
        <v>2000</v>
      </c>
      <c r="E10856" s="43"/>
      <c r="F10856" s="48">
        <f t="shared" si="180"/>
        <v>51486.661290322663</v>
      </c>
      <c r="G10856" s="354">
        <v>1107797</v>
      </c>
      <c r="J10856" s="52">
        <v>70000</v>
      </c>
    </row>
    <row r="10857" spans="1:10" x14ac:dyDescent="0.3">
      <c r="A10857" s="45">
        <v>44650</v>
      </c>
      <c r="B10857" s="5" t="s">
        <v>14</v>
      </c>
      <c r="C10857" s="5" t="s">
        <v>294</v>
      </c>
      <c r="D10857" s="43">
        <v>5000</v>
      </c>
      <c r="E10857" s="43"/>
      <c r="F10857" s="48">
        <f t="shared" si="180"/>
        <v>46486.661290322663</v>
      </c>
      <c r="G10857" s="4">
        <f>G10856*7.5%</f>
        <v>83084.774999999994</v>
      </c>
      <c r="H10857" s="62" t="s">
        <v>8885</v>
      </c>
      <c r="I10857" s="335">
        <v>3860</v>
      </c>
      <c r="J10857" s="52">
        <f>J10856*15%</f>
        <v>10500</v>
      </c>
    </row>
    <row r="10858" spans="1:10" x14ac:dyDescent="0.3">
      <c r="A10858" s="45">
        <v>44650</v>
      </c>
      <c r="B10858" s="5" t="s">
        <v>25</v>
      </c>
      <c r="C10858" s="5" t="s">
        <v>9028</v>
      </c>
      <c r="D10858" s="43">
        <v>500</v>
      </c>
      <c r="E10858" s="43"/>
      <c r="F10858" s="48">
        <f t="shared" si="180"/>
        <v>45986.661290322663</v>
      </c>
      <c r="G10858" s="354">
        <f>G10856-G10857</f>
        <v>1024712.225</v>
      </c>
      <c r="H10858" s="62" t="s">
        <v>8886</v>
      </c>
      <c r="I10858" s="335">
        <f>I10857/3.28</f>
        <v>1176.8292682926831</v>
      </c>
      <c r="J10858" s="52">
        <f>J10857+J10856</f>
        <v>80500</v>
      </c>
    </row>
    <row r="10859" spans="1:10" x14ac:dyDescent="0.3">
      <c r="A10859" s="45">
        <v>44650</v>
      </c>
      <c r="B10859" s="5" t="s">
        <v>8980</v>
      </c>
      <c r="C10859" s="5" t="s">
        <v>9029</v>
      </c>
      <c r="D10859" s="43">
        <v>1000</v>
      </c>
      <c r="E10859" s="43"/>
      <c r="F10859" s="48">
        <f t="shared" si="180"/>
        <v>44986.661290322663</v>
      </c>
      <c r="G10859" s="4"/>
      <c r="H10859" s="352"/>
      <c r="I10859" s="353"/>
    </row>
    <row r="10860" spans="1:10" x14ac:dyDescent="0.3">
      <c r="A10860" s="45">
        <v>44650</v>
      </c>
      <c r="B10860" s="5" t="s">
        <v>68</v>
      </c>
      <c r="C10860" s="5" t="s">
        <v>9030</v>
      </c>
      <c r="D10860" s="43">
        <v>10000</v>
      </c>
      <c r="E10860" s="43"/>
      <c r="F10860" s="48">
        <f t="shared" si="180"/>
        <v>34986.661290322663</v>
      </c>
      <c r="G10860" s="4"/>
    </row>
    <row r="10861" spans="1:10" x14ac:dyDescent="0.3">
      <c r="A10861" s="45">
        <v>44651</v>
      </c>
      <c r="B10861" s="739" t="s">
        <v>4106</v>
      </c>
      <c r="C10861" s="739"/>
      <c r="D10861" s="739"/>
      <c r="E10861" s="43">
        <v>100000</v>
      </c>
      <c r="F10861" s="48">
        <f t="shared" si="180"/>
        <v>134986.66129032266</v>
      </c>
      <c r="G10861" s="4"/>
      <c r="H10861" s="62" t="s">
        <v>8899</v>
      </c>
      <c r="I10861" s="335">
        <v>4350</v>
      </c>
    </row>
    <row r="10862" spans="1:10" x14ac:dyDescent="0.3">
      <c r="A10862" s="45">
        <v>44651</v>
      </c>
      <c r="B10862" s="5" t="s">
        <v>8900</v>
      </c>
      <c r="C10862" s="5" t="s">
        <v>9031</v>
      </c>
      <c r="D10862" s="43">
        <v>18000</v>
      </c>
      <c r="E10862" s="43"/>
      <c r="F10862" s="48">
        <f t="shared" si="180"/>
        <v>116986.66129032266</v>
      </c>
      <c r="G10862" s="4"/>
    </row>
    <row r="10863" spans="1:10" x14ac:dyDescent="0.3">
      <c r="A10863" s="45">
        <v>44651</v>
      </c>
      <c r="B10863" s="5" t="s">
        <v>8803</v>
      </c>
      <c r="C10863" s="5" t="s">
        <v>91</v>
      </c>
      <c r="D10863" s="43">
        <v>650</v>
      </c>
      <c r="E10863" s="43"/>
      <c r="F10863" s="48">
        <f t="shared" si="180"/>
        <v>116336.66129032266</v>
      </c>
      <c r="G10863" s="4"/>
      <c r="I10863" s="52">
        <v>998</v>
      </c>
    </row>
    <row r="10864" spans="1:10" x14ac:dyDescent="0.3">
      <c r="A10864" s="45">
        <v>44652</v>
      </c>
      <c r="B10864" s="5" t="s">
        <v>84</v>
      </c>
      <c r="C10864" s="5" t="s">
        <v>9032</v>
      </c>
      <c r="D10864" s="65">
        <v>15000</v>
      </c>
      <c r="E10864" s="43"/>
      <c r="F10864" s="48">
        <f t="shared" si="180"/>
        <v>101336.66129032266</v>
      </c>
      <c r="G10864" s="4"/>
      <c r="H10864" s="345"/>
      <c r="I10864" s="52">
        <f>I10863*45%</f>
        <v>449.1</v>
      </c>
    </row>
    <row r="10865" spans="1:10" x14ac:dyDescent="0.3">
      <c r="A10865" s="45">
        <v>44652</v>
      </c>
      <c r="B10865" s="5" t="s">
        <v>5709</v>
      </c>
      <c r="C10865" s="5" t="s">
        <v>9040</v>
      </c>
      <c r="D10865" s="43">
        <v>15000</v>
      </c>
      <c r="E10865" s="43"/>
      <c r="F10865" s="48">
        <f t="shared" si="180"/>
        <v>86336.661290322663</v>
      </c>
      <c r="G10865" s="4"/>
      <c r="I10865" s="52">
        <f>I10863-I10864</f>
        <v>548.9</v>
      </c>
    </row>
    <row r="10866" spans="1:10" x14ac:dyDescent="0.3">
      <c r="A10866" s="45">
        <v>44652</v>
      </c>
      <c r="B10866" s="5" t="s">
        <v>5709</v>
      </c>
      <c r="C10866" s="5" t="s">
        <v>9041</v>
      </c>
      <c r="D10866" s="43">
        <v>5000</v>
      </c>
      <c r="E10866" s="43"/>
      <c r="F10866" s="48">
        <f t="shared" si="180"/>
        <v>81336.661290322663</v>
      </c>
      <c r="G10866" s="4"/>
      <c r="H10866" s="344"/>
    </row>
    <row r="10867" spans="1:10" x14ac:dyDescent="0.3">
      <c r="A10867" s="45">
        <v>44652</v>
      </c>
      <c r="B10867" s="5" t="s">
        <v>777</v>
      </c>
      <c r="C10867" s="5" t="s">
        <v>294</v>
      </c>
      <c r="D10867" s="43">
        <v>30000</v>
      </c>
      <c r="E10867" s="43"/>
      <c r="F10867" s="48">
        <f t="shared" si="180"/>
        <v>51336.661290322663</v>
      </c>
      <c r="G10867" s="4"/>
      <c r="H10867" s="52">
        <v>19440</v>
      </c>
      <c r="I10867" s="52">
        <f>H10867*80%</f>
        <v>15552</v>
      </c>
    </row>
    <row r="10868" spans="1:10" x14ac:dyDescent="0.3">
      <c r="A10868" s="45">
        <v>44653</v>
      </c>
      <c r="B10868" s="5" t="s">
        <v>6931</v>
      </c>
      <c r="C10868" s="5" t="s">
        <v>9042</v>
      </c>
      <c r="D10868" s="43">
        <v>15000</v>
      </c>
      <c r="E10868" s="43"/>
      <c r="F10868" s="48">
        <f t="shared" si="180"/>
        <v>36336.661290322663</v>
      </c>
      <c r="G10868" s="4"/>
      <c r="H10868" s="52">
        <v>160836</v>
      </c>
      <c r="I10868" s="52">
        <f t="shared" ref="I10868:I10872" si="181">H10868*80%</f>
        <v>128668.8</v>
      </c>
    </row>
    <row r="10869" spans="1:10" x14ac:dyDescent="0.3">
      <c r="A10869" s="45">
        <v>44653</v>
      </c>
      <c r="B10869" s="5" t="s">
        <v>25</v>
      </c>
      <c r="C10869" s="5" t="s">
        <v>9043</v>
      </c>
      <c r="D10869" s="43">
        <v>6700</v>
      </c>
      <c r="E10869" s="43"/>
      <c r="F10869" s="48">
        <f t="shared" si="180"/>
        <v>29636.661290322663</v>
      </c>
      <c r="G10869" s="4"/>
      <c r="H10869" s="52">
        <v>26650</v>
      </c>
      <c r="I10869" s="52">
        <f t="shared" si="181"/>
        <v>21320</v>
      </c>
    </row>
    <row r="10870" spans="1:10" x14ac:dyDescent="0.3">
      <c r="A10870" s="45">
        <v>44653</v>
      </c>
      <c r="B10870" s="5" t="s">
        <v>9044</v>
      </c>
      <c r="C10870" s="5" t="s">
        <v>9045</v>
      </c>
      <c r="D10870" s="43">
        <v>13000</v>
      </c>
      <c r="E10870" s="43"/>
      <c r="F10870" s="48">
        <f t="shared" si="180"/>
        <v>16636.661290322663</v>
      </c>
      <c r="G10870" s="4"/>
    </row>
    <row r="10871" spans="1:10" x14ac:dyDescent="0.3">
      <c r="A10871" s="45">
        <v>44653</v>
      </c>
      <c r="B10871" s="5" t="s">
        <v>6430</v>
      </c>
      <c r="C10871" s="5" t="s">
        <v>294</v>
      </c>
      <c r="D10871" s="43">
        <v>1000</v>
      </c>
      <c r="E10871" s="43"/>
      <c r="F10871" s="48">
        <f t="shared" si="180"/>
        <v>15636.661290322663</v>
      </c>
      <c r="G10871" s="4"/>
      <c r="H10871" s="52">
        <v>20800</v>
      </c>
      <c r="I10871" s="52">
        <f t="shared" si="181"/>
        <v>16640</v>
      </c>
    </row>
    <row r="10872" spans="1:10" x14ac:dyDescent="0.3">
      <c r="A10872" s="45">
        <v>44653</v>
      </c>
      <c r="B10872" s="5" t="s">
        <v>84</v>
      </c>
      <c r="C10872" s="5" t="s">
        <v>9046</v>
      </c>
      <c r="D10872" s="65">
        <v>2000</v>
      </c>
      <c r="E10872" s="43"/>
      <c r="F10872" s="48">
        <f t="shared" si="180"/>
        <v>13636.661290322663</v>
      </c>
      <c r="G10872" s="4"/>
      <c r="H10872" s="52">
        <v>18704</v>
      </c>
      <c r="I10872" s="52">
        <f t="shared" si="181"/>
        <v>14963.2</v>
      </c>
      <c r="J10872" s="238">
        <f>13.55</f>
        <v>13.55</v>
      </c>
    </row>
    <row r="10873" spans="1:10" x14ac:dyDescent="0.3">
      <c r="A10873" s="45">
        <v>44653</v>
      </c>
      <c r="B10873" s="5" t="s">
        <v>84</v>
      </c>
      <c r="C10873" s="5" t="s">
        <v>9047</v>
      </c>
      <c r="D10873" s="65">
        <v>1000</v>
      </c>
      <c r="E10873" s="43"/>
      <c r="F10873" s="48">
        <f t="shared" si="180"/>
        <v>12636.661290322663</v>
      </c>
      <c r="G10873" s="4"/>
      <c r="J10873" s="238"/>
    </row>
    <row r="10874" spans="1:10" x14ac:dyDescent="0.3">
      <c r="A10874" s="45">
        <v>44653</v>
      </c>
      <c r="B10874" s="5" t="s">
        <v>25</v>
      </c>
      <c r="C10874" s="5" t="s">
        <v>8291</v>
      </c>
      <c r="D10874" s="43">
        <v>3800</v>
      </c>
      <c r="E10874" s="43"/>
      <c r="F10874" s="48">
        <f t="shared" si="180"/>
        <v>8836.6612903226633</v>
      </c>
      <c r="G10874" s="4"/>
      <c r="J10874" s="238"/>
    </row>
    <row r="10875" spans="1:10" x14ac:dyDescent="0.3">
      <c r="A10875" s="45">
        <v>44653</v>
      </c>
      <c r="B10875" s="739" t="s">
        <v>7440</v>
      </c>
      <c r="C10875" s="739"/>
      <c r="D10875" s="739"/>
      <c r="E10875" s="43">
        <v>25000</v>
      </c>
      <c r="F10875" s="48">
        <f t="shared" si="180"/>
        <v>33836.661290322663</v>
      </c>
      <c r="G10875" s="4"/>
      <c r="H10875" s="52">
        <v>28431</v>
      </c>
      <c r="I10875" s="52">
        <f>-(H10875*80%)</f>
        <v>-22744.800000000003</v>
      </c>
      <c r="J10875" s="238">
        <f>8.47</f>
        <v>8.4700000000000006</v>
      </c>
    </row>
    <row r="10876" spans="1:10" x14ac:dyDescent="0.3">
      <c r="A10876" s="45">
        <v>44653</v>
      </c>
      <c r="B10876" s="5" t="s">
        <v>9048</v>
      </c>
      <c r="C10876" s="5" t="s">
        <v>9049</v>
      </c>
      <c r="D10876" s="43">
        <v>10000</v>
      </c>
      <c r="E10876" s="43"/>
      <c r="F10876" s="48">
        <f t="shared" si="180"/>
        <v>23836.661290322663</v>
      </c>
      <c r="G10876" s="4"/>
      <c r="I10876" s="52">
        <f>SUM(I10867:I10875)</f>
        <v>174399.2</v>
      </c>
      <c r="J10876" s="238">
        <f>SUM(J10872:J10875)</f>
        <v>22.020000000000003</v>
      </c>
    </row>
    <row r="10877" spans="1:10" x14ac:dyDescent="0.3">
      <c r="A10877" s="45">
        <v>44656</v>
      </c>
      <c r="B10877" s="5" t="s">
        <v>57</v>
      </c>
      <c r="C10877" s="5" t="s">
        <v>5973</v>
      </c>
      <c r="D10877" s="43">
        <v>8000</v>
      </c>
      <c r="E10877" s="43"/>
      <c r="F10877" s="48">
        <f t="shared" si="180"/>
        <v>15836.661290322663</v>
      </c>
      <c r="G10877" s="4"/>
    </row>
    <row r="10878" spans="1:10" x14ac:dyDescent="0.3">
      <c r="A10878" s="45">
        <v>44656</v>
      </c>
      <c r="B10878" s="5" t="s">
        <v>5846</v>
      </c>
      <c r="C10878" s="5" t="s">
        <v>9050</v>
      </c>
      <c r="D10878" s="43">
        <v>500</v>
      </c>
      <c r="E10878" s="43"/>
      <c r="F10878" s="48">
        <f t="shared" si="180"/>
        <v>15336.661290322663</v>
      </c>
      <c r="G10878" s="4"/>
      <c r="H10878" s="52">
        <v>550000</v>
      </c>
    </row>
    <row r="10879" spans="1:10" x14ac:dyDescent="0.3">
      <c r="A10879" s="45">
        <v>44656</v>
      </c>
      <c r="B10879" s="5" t="s">
        <v>25</v>
      </c>
      <c r="C10879" s="5" t="s">
        <v>8719</v>
      </c>
      <c r="D10879" s="43">
        <v>939</v>
      </c>
      <c r="E10879" s="43"/>
      <c r="F10879" s="48">
        <f t="shared" si="180"/>
        <v>14397.661290322663</v>
      </c>
      <c r="G10879" s="4"/>
      <c r="H10879" s="52">
        <f>H10878*13%</f>
        <v>71500</v>
      </c>
    </row>
    <row r="10880" spans="1:10" x14ac:dyDescent="0.3">
      <c r="A10880" s="45">
        <v>44656</v>
      </c>
      <c r="B10880" s="739" t="s">
        <v>7440</v>
      </c>
      <c r="C10880" s="739"/>
      <c r="D10880" s="739"/>
      <c r="E10880" s="43">
        <v>187000</v>
      </c>
      <c r="F10880" s="48">
        <f t="shared" si="180"/>
        <v>201397.66129032266</v>
      </c>
      <c r="G10880" s="4"/>
      <c r="H10880" s="52">
        <v>28431</v>
      </c>
      <c r="I10880" s="52">
        <f>-(H10880*80%)</f>
        <v>-22744.800000000003</v>
      </c>
      <c r="J10880" s="238">
        <f>8.47</f>
        <v>8.4700000000000006</v>
      </c>
    </row>
    <row r="10881" spans="1:10" x14ac:dyDescent="0.3">
      <c r="A10881" s="45">
        <v>44656</v>
      </c>
      <c r="B10881" s="5" t="s">
        <v>9052</v>
      </c>
      <c r="C10881" s="5" t="s">
        <v>294</v>
      </c>
      <c r="D10881" s="43">
        <v>21600</v>
      </c>
      <c r="E10881" s="43"/>
      <c r="F10881" s="48">
        <f t="shared" si="180"/>
        <v>179797.66129032266</v>
      </c>
      <c r="G10881" s="4"/>
      <c r="H10881" s="52">
        <v>62150</v>
      </c>
    </row>
    <row r="10882" spans="1:10" x14ac:dyDescent="0.3">
      <c r="A10882" s="45">
        <v>44656</v>
      </c>
      <c r="B10882" s="5" t="s">
        <v>14</v>
      </c>
      <c r="C10882" s="5" t="s">
        <v>640</v>
      </c>
      <c r="D10882" s="43">
        <v>1000</v>
      </c>
      <c r="E10882" s="43"/>
      <c r="F10882" s="48">
        <f t="shared" si="180"/>
        <v>178797.66129032266</v>
      </c>
      <c r="G10882" s="4"/>
      <c r="H10882" s="52">
        <f>H10880-H10881</f>
        <v>-33719</v>
      </c>
    </row>
    <row r="10883" spans="1:10" x14ac:dyDescent="0.3">
      <c r="A10883" s="45">
        <v>44656</v>
      </c>
      <c r="B10883" s="5" t="s">
        <v>3554</v>
      </c>
      <c r="C10883" s="5" t="s">
        <v>9055</v>
      </c>
      <c r="D10883" s="43">
        <v>5000</v>
      </c>
      <c r="E10883" s="43"/>
      <c r="F10883" s="48">
        <f t="shared" si="180"/>
        <v>173797.66129032266</v>
      </c>
      <c r="G10883" s="4"/>
    </row>
    <row r="10884" spans="1:10" x14ac:dyDescent="0.3">
      <c r="A10884" s="45">
        <v>44656</v>
      </c>
      <c r="B10884" s="5" t="s">
        <v>9054</v>
      </c>
      <c r="C10884" s="5" t="s">
        <v>9056</v>
      </c>
      <c r="D10884" s="43">
        <v>30000</v>
      </c>
      <c r="E10884" s="43"/>
      <c r="F10884" s="48">
        <f t="shared" si="180"/>
        <v>143797.66129032266</v>
      </c>
      <c r="G10884" s="4"/>
    </row>
    <row r="10885" spans="1:10" x14ac:dyDescent="0.3">
      <c r="A10885" s="45">
        <v>44656</v>
      </c>
      <c r="B10885" s="349" t="s">
        <v>54</v>
      </c>
      <c r="C10885" s="349" t="s">
        <v>6244</v>
      </c>
      <c r="D10885" s="350">
        <v>19927</v>
      </c>
      <c r="F10885" s="48">
        <f t="shared" si="180"/>
        <v>123870.66129032266</v>
      </c>
      <c r="G10885" s="4"/>
    </row>
    <row r="10886" spans="1:10" x14ac:dyDescent="0.3">
      <c r="A10886" s="45">
        <v>44656</v>
      </c>
      <c r="B10886" s="5" t="s">
        <v>25</v>
      </c>
      <c r="C10886" s="5" t="s">
        <v>6842</v>
      </c>
      <c r="D10886" s="43">
        <v>95000</v>
      </c>
      <c r="E10886" s="43"/>
      <c r="F10886" s="48">
        <f t="shared" si="180"/>
        <v>28870.661290322663</v>
      </c>
      <c r="G10886" s="4"/>
    </row>
    <row r="10887" spans="1:10" x14ac:dyDescent="0.3">
      <c r="A10887" s="45">
        <v>44657</v>
      </c>
      <c r="B10887" s="5" t="s">
        <v>25</v>
      </c>
      <c r="C10887" s="5" t="s">
        <v>6543</v>
      </c>
      <c r="D10887" s="43">
        <v>1000</v>
      </c>
      <c r="E10887" s="43"/>
      <c r="F10887" s="48">
        <f t="shared" si="180"/>
        <v>27870.661290322663</v>
      </c>
      <c r="G10887" s="4"/>
    </row>
    <row r="10888" spans="1:10" x14ac:dyDescent="0.3">
      <c r="A10888" s="45">
        <v>44657</v>
      </c>
      <c r="B10888" s="739" t="s">
        <v>7440</v>
      </c>
      <c r="C10888" s="739"/>
      <c r="D10888" s="739"/>
      <c r="E10888" s="43">
        <v>500000</v>
      </c>
      <c r="F10888" s="48">
        <f t="shared" si="180"/>
        <v>527870.66129032266</v>
      </c>
      <c r="G10888" s="4"/>
      <c r="H10888" s="52">
        <v>28431</v>
      </c>
      <c r="I10888" s="52">
        <f>-(H10888*80%)</f>
        <v>-22744.800000000003</v>
      </c>
      <c r="J10888" s="238">
        <f>8.47</f>
        <v>8.4700000000000006</v>
      </c>
    </row>
    <row r="10889" spans="1:10" x14ac:dyDescent="0.3">
      <c r="A10889" s="5"/>
      <c r="B10889" s="5"/>
      <c r="C10889" s="5"/>
      <c r="D10889" s="43"/>
      <c r="E10889" s="43"/>
      <c r="F10889" s="48">
        <f t="shared" si="180"/>
        <v>527870.66129032266</v>
      </c>
      <c r="G10889" s="4"/>
      <c r="H10889" s="356">
        <v>1.2</v>
      </c>
    </row>
    <row r="10890" spans="1:10" x14ac:dyDescent="0.3">
      <c r="F10890" s="48">
        <f t="shared" si="180"/>
        <v>527870.66129032266</v>
      </c>
      <c r="G10890" s="4"/>
      <c r="H10890" s="52">
        <f>H10889*H10888</f>
        <v>34117.199999999997</v>
      </c>
    </row>
    <row r="10891" spans="1:10" x14ac:dyDescent="0.3">
      <c r="F10891" s="48">
        <f t="shared" si="180"/>
        <v>527870.66129032266</v>
      </c>
      <c r="G10891" s="4"/>
    </row>
    <row r="10892" spans="1:10" x14ac:dyDescent="0.3">
      <c r="F10892" s="48">
        <f t="shared" si="180"/>
        <v>527870.66129032266</v>
      </c>
      <c r="G10892" s="4"/>
      <c r="H10892" s="52">
        <v>130240</v>
      </c>
    </row>
    <row r="10893" spans="1:10" x14ac:dyDescent="0.3">
      <c r="F10893" s="48">
        <f t="shared" si="180"/>
        <v>527870.66129032266</v>
      </c>
      <c r="G10893" s="4"/>
      <c r="H10893" s="52">
        <v>130240</v>
      </c>
    </row>
    <row r="10894" spans="1:10" x14ac:dyDescent="0.3">
      <c r="F10894" s="48">
        <f t="shared" si="180"/>
        <v>527870.66129032266</v>
      </c>
      <c r="G10894" s="4"/>
      <c r="H10894" s="52">
        <v>1139600</v>
      </c>
    </row>
    <row r="10895" spans="1:10" x14ac:dyDescent="0.3">
      <c r="F10895" s="48">
        <f t="shared" si="180"/>
        <v>527870.66129032266</v>
      </c>
      <c r="G10895" s="4"/>
      <c r="H10895" s="52">
        <v>1058200</v>
      </c>
    </row>
    <row r="10896" spans="1:10" x14ac:dyDescent="0.3">
      <c r="F10896" s="48">
        <f t="shared" si="180"/>
        <v>527870.66129032266</v>
      </c>
      <c r="G10896" s="4"/>
      <c r="H10896" s="52">
        <v>111600</v>
      </c>
    </row>
    <row r="10897" spans="6:9" x14ac:dyDescent="0.3">
      <c r="F10897" s="48">
        <f t="shared" si="180"/>
        <v>527870.66129032266</v>
      </c>
      <c r="G10897" s="4"/>
      <c r="H10897" s="52">
        <v>325500</v>
      </c>
    </row>
    <row r="10898" spans="6:9" x14ac:dyDescent="0.3">
      <c r="F10898" s="48">
        <f t="shared" si="180"/>
        <v>527870.66129032266</v>
      </c>
      <c r="G10898" s="4"/>
      <c r="H10898" s="52">
        <v>288300</v>
      </c>
    </row>
    <row r="10899" spans="6:9" x14ac:dyDescent="0.3">
      <c r="F10899" s="48">
        <f t="shared" si="180"/>
        <v>527870.66129032266</v>
      </c>
      <c r="G10899" s="4"/>
      <c r="H10899" s="52">
        <v>1118480</v>
      </c>
    </row>
    <row r="10900" spans="6:9" x14ac:dyDescent="0.3">
      <c r="F10900" s="48">
        <f t="shared" si="180"/>
        <v>527870.66129032266</v>
      </c>
      <c r="G10900" s="4"/>
      <c r="H10900" s="52">
        <v>81400</v>
      </c>
    </row>
    <row r="10901" spans="6:9" x14ac:dyDescent="0.3">
      <c r="F10901" s="48">
        <f t="shared" si="180"/>
        <v>527870.66129032266</v>
      </c>
      <c r="G10901" s="4"/>
      <c r="H10901" s="52">
        <v>3388000</v>
      </c>
    </row>
    <row r="10902" spans="6:9" x14ac:dyDescent="0.3">
      <c r="F10902" s="48">
        <f t="shared" si="180"/>
        <v>527870.66129032266</v>
      </c>
      <c r="G10902" s="4"/>
      <c r="H10902" s="52">
        <v>71380</v>
      </c>
    </row>
    <row r="10903" spans="6:9" x14ac:dyDescent="0.3">
      <c r="F10903" s="48">
        <f t="shared" si="180"/>
        <v>527870.66129032266</v>
      </c>
      <c r="G10903" s="4"/>
      <c r="H10903" s="52">
        <v>55440</v>
      </c>
    </row>
    <row r="10904" spans="6:9" x14ac:dyDescent="0.3">
      <c r="F10904" s="48">
        <f t="shared" si="180"/>
        <v>527870.66129032266</v>
      </c>
      <c r="G10904" s="4"/>
      <c r="H10904" s="52">
        <v>184800</v>
      </c>
    </row>
    <row r="10905" spans="6:9" x14ac:dyDescent="0.3">
      <c r="F10905" s="48">
        <f t="shared" si="180"/>
        <v>527870.66129032266</v>
      </c>
      <c r="G10905" s="4"/>
      <c r="H10905" s="52">
        <v>816640</v>
      </c>
    </row>
    <row r="10906" spans="6:9" x14ac:dyDescent="0.3">
      <c r="F10906" s="48">
        <f t="shared" si="180"/>
        <v>527870.66129032266</v>
      </c>
      <c r="G10906" s="4"/>
      <c r="H10906" s="52">
        <v>440000</v>
      </c>
    </row>
    <row r="10907" spans="6:9" x14ac:dyDescent="0.3">
      <c r="F10907" s="48">
        <f t="shared" si="180"/>
        <v>527870.66129032266</v>
      </c>
      <c r="G10907" s="4"/>
      <c r="H10907" s="362">
        <f>SUM(H10892:H10906)</f>
        <v>9339820</v>
      </c>
    </row>
    <row r="10908" spans="6:9" x14ac:dyDescent="0.3">
      <c r="F10908" s="48">
        <f t="shared" si="180"/>
        <v>527870.66129032266</v>
      </c>
      <c r="G10908" s="4"/>
    </row>
    <row r="10909" spans="6:9" x14ac:dyDescent="0.3">
      <c r="F10909" s="48">
        <f t="shared" si="180"/>
        <v>527870.66129032266</v>
      </c>
      <c r="G10909" s="4"/>
    </row>
    <row r="10910" spans="6:9" x14ac:dyDescent="0.3">
      <c r="F10910" s="48">
        <f t="shared" si="180"/>
        <v>527870.66129032266</v>
      </c>
      <c r="G10910" s="4"/>
      <c r="H10910" s="52" t="s">
        <v>9015</v>
      </c>
      <c r="I10910" s="52" t="s">
        <v>9016</v>
      </c>
    </row>
    <row r="10911" spans="6:9" x14ac:dyDescent="0.3">
      <c r="F10911" s="48">
        <f t="shared" si="180"/>
        <v>527870.66129032266</v>
      </c>
      <c r="G10911" s="4"/>
      <c r="H10911" s="52" t="s">
        <v>9017</v>
      </c>
      <c r="I10911" s="52" t="s">
        <v>9018</v>
      </c>
    </row>
    <row r="10912" spans="6:9" x14ac:dyDescent="0.3">
      <c r="F10912" s="48">
        <f t="shared" si="180"/>
        <v>527870.66129032266</v>
      </c>
      <c r="G10912" s="4"/>
    </row>
    <row r="10913" spans="6:7" x14ac:dyDescent="0.3">
      <c r="F10913" s="48">
        <f t="shared" si="180"/>
        <v>527870.66129032266</v>
      </c>
      <c r="G10913" s="4"/>
    </row>
    <row r="10914" spans="6:7" x14ac:dyDescent="0.3">
      <c r="F10914" s="48">
        <f t="shared" si="180"/>
        <v>527870.66129032266</v>
      </c>
      <c r="G10914" s="4"/>
    </row>
    <row r="10915" spans="6:7" x14ac:dyDescent="0.3">
      <c r="F10915" s="48">
        <f t="shared" si="180"/>
        <v>527870.66129032266</v>
      </c>
      <c r="G10915" s="4"/>
    </row>
    <row r="10916" spans="6:7" x14ac:dyDescent="0.3">
      <c r="F10916" s="48">
        <f t="shared" si="180"/>
        <v>527870.66129032266</v>
      </c>
      <c r="G10916" s="4"/>
    </row>
    <row r="10917" spans="6:7" x14ac:dyDescent="0.3">
      <c r="F10917" s="48">
        <f t="shared" ref="F10917:F10980" si="182">F10916+E10917-D10917</f>
        <v>527870.66129032266</v>
      </c>
      <c r="G10917" s="4"/>
    </row>
    <row r="10918" spans="6:7" x14ac:dyDescent="0.3">
      <c r="F10918" s="48">
        <f t="shared" si="182"/>
        <v>527870.66129032266</v>
      </c>
      <c r="G10918" s="4"/>
    </row>
    <row r="10919" spans="6:7" x14ac:dyDescent="0.3">
      <c r="F10919" s="48">
        <f t="shared" si="182"/>
        <v>527870.66129032266</v>
      </c>
      <c r="G10919" s="4"/>
    </row>
    <row r="10920" spans="6:7" x14ac:dyDescent="0.3">
      <c r="F10920" s="48">
        <f t="shared" si="182"/>
        <v>527870.66129032266</v>
      </c>
      <c r="G10920" s="4"/>
    </row>
    <row r="10921" spans="6:7" x14ac:dyDescent="0.3">
      <c r="F10921" s="48">
        <f t="shared" si="182"/>
        <v>527870.66129032266</v>
      </c>
      <c r="G10921" s="4"/>
    </row>
    <row r="10922" spans="6:7" x14ac:dyDescent="0.3">
      <c r="F10922" s="48">
        <f t="shared" si="182"/>
        <v>527870.66129032266</v>
      </c>
      <c r="G10922" s="4"/>
    </row>
    <row r="10923" spans="6:7" x14ac:dyDescent="0.3">
      <c r="F10923" s="48">
        <f t="shared" si="182"/>
        <v>527870.66129032266</v>
      </c>
      <c r="G10923" s="4"/>
    </row>
    <row r="10924" spans="6:7" x14ac:dyDescent="0.3">
      <c r="F10924" s="48">
        <f t="shared" si="182"/>
        <v>527870.66129032266</v>
      </c>
      <c r="G10924" s="4"/>
    </row>
    <row r="10925" spans="6:7" x14ac:dyDescent="0.3">
      <c r="F10925" s="48">
        <f t="shared" si="182"/>
        <v>527870.66129032266</v>
      </c>
      <c r="G10925" s="4"/>
    </row>
    <row r="10926" spans="6:7" x14ac:dyDescent="0.3">
      <c r="F10926" s="48">
        <f t="shared" si="182"/>
        <v>527870.66129032266</v>
      </c>
      <c r="G10926" s="4"/>
    </row>
    <row r="10927" spans="6:7" x14ac:dyDescent="0.3">
      <c r="F10927" s="48">
        <f t="shared" si="182"/>
        <v>527870.66129032266</v>
      </c>
      <c r="G10927" s="4"/>
    </row>
    <row r="10928" spans="6:7" x14ac:dyDescent="0.3">
      <c r="F10928" s="48">
        <f t="shared" si="182"/>
        <v>527870.66129032266</v>
      </c>
      <c r="G10928" s="4"/>
    </row>
    <row r="10929" spans="6:7" x14ac:dyDescent="0.3">
      <c r="F10929" s="48">
        <f t="shared" si="182"/>
        <v>527870.66129032266</v>
      </c>
      <c r="G10929" s="4"/>
    </row>
    <row r="10930" spans="6:7" x14ac:dyDescent="0.3">
      <c r="F10930" s="48">
        <f t="shared" si="182"/>
        <v>527870.66129032266</v>
      </c>
      <c r="G10930" s="4"/>
    </row>
    <row r="10931" spans="6:7" x14ac:dyDescent="0.3">
      <c r="F10931" s="48">
        <f t="shared" si="182"/>
        <v>527870.66129032266</v>
      </c>
      <c r="G10931" s="4"/>
    </row>
    <row r="10932" spans="6:7" x14ac:dyDescent="0.3">
      <c r="F10932" s="48">
        <f t="shared" si="182"/>
        <v>527870.66129032266</v>
      </c>
      <c r="G10932" s="4"/>
    </row>
    <row r="10933" spans="6:7" x14ac:dyDescent="0.3">
      <c r="F10933" s="48">
        <f t="shared" si="182"/>
        <v>527870.66129032266</v>
      </c>
      <c r="G10933" s="4"/>
    </row>
    <row r="10934" spans="6:7" x14ac:dyDescent="0.3">
      <c r="F10934" s="48">
        <f t="shared" si="182"/>
        <v>527870.66129032266</v>
      </c>
      <c r="G10934" s="4"/>
    </row>
    <row r="10935" spans="6:7" x14ac:dyDescent="0.3">
      <c r="F10935" s="48">
        <f t="shared" si="182"/>
        <v>527870.66129032266</v>
      </c>
      <c r="G10935" s="4"/>
    </row>
    <row r="10936" spans="6:7" x14ac:dyDescent="0.3">
      <c r="F10936" s="48">
        <f t="shared" si="182"/>
        <v>527870.66129032266</v>
      </c>
      <c r="G10936" s="4"/>
    </row>
    <row r="10937" spans="6:7" x14ac:dyDescent="0.3">
      <c r="F10937" s="48">
        <f t="shared" si="182"/>
        <v>527870.66129032266</v>
      </c>
      <c r="G10937" s="4"/>
    </row>
    <row r="10938" spans="6:7" x14ac:dyDescent="0.3">
      <c r="F10938" s="48">
        <f t="shared" si="182"/>
        <v>527870.66129032266</v>
      </c>
      <c r="G10938" s="4"/>
    </row>
    <row r="10939" spans="6:7" x14ac:dyDescent="0.3">
      <c r="F10939" s="48">
        <f t="shared" si="182"/>
        <v>527870.66129032266</v>
      </c>
      <c r="G10939" s="4"/>
    </row>
    <row r="10940" spans="6:7" x14ac:dyDescent="0.3">
      <c r="F10940" s="48">
        <f t="shared" si="182"/>
        <v>527870.66129032266</v>
      </c>
      <c r="G10940" s="4"/>
    </row>
    <row r="10941" spans="6:7" x14ac:dyDescent="0.3">
      <c r="F10941" s="48">
        <f t="shared" si="182"/>
        <v>527870.66129032266</v>
      </c>
      <c r="G10941" s="4"/>
    </row>
    <row r="10942" spans="6:7" x14ac:dyDescent="0.3">
      <c r="F10942" s="48">
        <f t="shared" si="182"/>
        <v>527870.66129032266</v>
      </c>
      <c r="G10942" s="4"/>
    </row>
    <row r="10943" spans="6:7" x14ac:dyDescent="0.3">
      <c r="F10943" s="48">
        <f t="shared" si="182"/>
        <v>527870.66129032266</v>
      </c>
      <c r="G10943" s="4"/>
    </row>
    <row r="10944" spans="6:7" x14ac:dyDescent="0.3">
      <c r="F10944" s="48">
        <f t="shared" si="182"/>
        <v>527870.66129032266</v>
      </c>
      <c r="G10944" s="4"/>
    </row>
    <row r="10945" spans="6:7" x14ac:dyDescent="0.3">
      <c r="F10945" s="48">
        <f t="shared" si="182"/>
        <v>527870.66129032266</v>
      </c>
      <c r="G10945" s="4"/>
    </row>
    <row r="10946" spans="6:7" x14ac:dyDescent="0.3">
      <c r="F10946" s="48">
        <f t="shared" si="182"/>
        <v>527870.66129032266</v>
      </c>
      <c r="G10946" s="4"/>
    </row>
    <row r="10947" spans="6:7" x14ac:dyDescent="0.3">
      <c r="F10947" s="48">
        <f t="shared" si="182"/>
        <v>527870.66129032266</v>
      </c>
      <c r="G10947" s="4"/>
    </row>
    <row r="10948" spans="6:7" x14ac:dyDescent="0.3">
      <c r="F10948" s="48">
        <f t="shared" si="182"/>
        <v>527870.66129032266</v>
      </c>
      <c r="G10948" s="4"/>
    </row>
    <row r="10949" spans="6:7" x14ac:dyDescent="0.3">
      <c r="F10949" s="48">
        <f t="shared" si="182"/>
        <v>527870.66129032266</v>
      </c>
      <c r="G10949" s="4"/>
    </row>
    <row r="10950" spans="6:7" x14ac:dyDescent="0.3">
      <c r="F10950" s="48">
        <f t="shared" si="182"/>
        <v>527870.66129032266</v>
      </c>
      <c r="G10950" s="4"/>
    </row>
    <row r="10951" spans="6:7" x14ac:dyDescent="0.3">
      <c r="F10951" s="48">
        <f t="shared" si="182"/>
        <v>527870.66129032266</v>
      </c>
      <c r="G10951" s="4"/>
    </row>
    <row r="10952" spans="6:7" x14ac:dyDescent="0.3">
      <c r="F10952" s="48">
        <f t="shared" si="182"/>
        <v>527870.66129032266</v>
      </c>
      <c r="G10952" s="4"/>
    </row>
    <row r="10953" spans="6:7" x14ac:dyDescent="0.3">
      <c r="F10953" s="48">
        <f t="shared" si="182"/>
        <v>527870.66129032266</v>
      </c>
      <c r="G10953" s="4"/>
    </row>
    <row r="10954" spans="6:7" x14ac:dyDescent="0.3">
      <c r="F10954" s="48">
        <f t="shared" si="182"/>
        <v>527870.66129032266</v>
      </c>
      <c r="G10954" s="4"/>
    </row>
    <row r="10955" spans="6:7" x14ac:dyDescent="0.3">
      <c r="F10955" s="48">
        <f t="shared" si="182"/>
        <v>527870.66129032266</v>
      </c>
      <c r="G10955" s="4"/>
    </row>
    <row r="10956" spans="6:7" x14ac:dyDescent="0.3">
      <c r="F10956" s="48">
        <f t="shared" si="182"/>
        <v>527870.66129032266</v>
      </c>
      <c r="G10956" s="4"/>
    </row>
    <row r="10957" spans="6:7" x14ac:dyDescent="0.3">
      <c r="F10957" s="48">
        <f t="shared" si="182"/>
        <v>527870.66129032266</v>
      </c>
      <c r="G10957" s="4"/>
    </row>
    <row r="10958" spans="6:7" x14ac:dyDescent="0.3">
      <c r="F10958" s="48">
        <f t="shared" si="182"/>
        <v>527870.66129032266</v>
      </c>
      <c r="G10958" s="4"/>
    </row>
    <row r="10959" spans="6:7" x14ac:dyDescent="0.3">
      <c r="F10959" s="48">
        <f t="shared" si="182"/>
        <v>527870.66129032266</v>
      </c>
      <c r="G10959" s="4"/>
    </row>
    <row r="10960" spans="6:7" x14ac:dyDescent="0.3">
      <c r="F10960" s="48">
        <f t="shared" si="182"/>
        <v>527870.66129032266</v>
      </c>
      <c r="G10960" s="4"/>
    </row>
    <row r="10961" spans="6:7" x14ac:dyDescent="0.3">
      <c r="F10961" s="48">
        <f t="shared" si="182"/>
        <v>527870.66129032266</v>
      </c>
      <c r="G10961" s="4"/>
    </row>
    <row r="10962" spans="6:7" x14ac:dyDescent="0.3">
      <c r="F10962" s="48">
        <f t="shared" si="182"/>
        <v>527870.66129032266</v>
      </c>
      <c r="G10962" s="4"/>
    </row>
    <row r="10963" spans="6:7" x14ac:dyDescent="0.3">
      <c r="F10963" s="48">
        <f t="shared" si="182"/>
        <v>527870.66129032266</v>
      </c>
      <c r="G10963" s="4"/>
    </row>
    <row r="10964" spans="6:7" x14ac:dyDescent="0.3">
      <c r="F10964" s="48">
        <f t="shared" si="182"/>
        <v>527870.66129032266</v>
      </c>
      <c r="G10964" s="4"/>
    </row>
    <row r="10965" spans="6:7" x14ac:dyDescent="0.3">
      <c r="F10965" s="48">
        <f t="shared" si="182"/>
        <v>527870.66129032266</v>
      </c>
      <c r="G10965" s="4"/>
    </row>
    <row r="10966" spans="6:7" x14ac:dyDescent="0.3">
      <c r="F10966" s="48">
        <f t="shared" si="182"/>
        <v>527870.66129032266</v>
      </c>
      <c r="G10966" s="4"/>
    </row>
    <row r="10967" spans="6:7" x14ac:dyDescent="0.3">
      <c r="F10967" s="48">
        <f t="shared" si="182"/>
        <v>527870.66129032266</v>
      </c>
      <c r="G10967" s="4"/>
    </row>
    <row r="10968" spans="6:7" x14ac:dyDescent="0.3">
      <c r="F10968" s="48">
        <f t="shared" si="182"/>
        <v>527870.66129032266</v>
      </c>
      <c r="G10968" s="4"/>
    </row>
    <row r="10969" spans="6:7" x14ac:dyDescent="0.3">
      <c r="F10969" s="48">
        <f t="shared" si="182"/>
        <v>527870.66129032266</v>
      </c>
      <c r="G10969" s="4"/>
    </row>
    <row r="10970" spans="6:7" x14ac:dyDescent="0.3">
      <c r="F10970" s="48">
        <f t="shared" si="182"/>
        <v>527870.66129032266</v>
      </c>
      <c r="G10970" s="4"/>
    </row>
    <row r="10971" spans="6:7" x14ac:dyDescent="0.3">
      <c r="F10971" s="48">
        <f t="shared" si="182"/>
        <v>527870.66129032266</v>
      </c>
      <c r="G10971" s="4"/>
    </row>
    <row r="10972" spans="6:7" x14ac:dyDescent="0.3">
      <c r="F10972" s="48">
        <f t="shared" si="182"/>
        <v>527870.66129032266</v>
      </c>
      <c r="G10972" s="4"/>
    </row>
    <row r="10973" spans="6:7" x14ac:dyDescent="0.3">
      <c r="F10973" s="48">
        <f t="shared" si="182"/>
        <v>527870.66129032266</v>
      </c>
      <c r="G10973" s="4"/>
    </row>
    <row r="10974" spans="6:7" x14ac:dyDescent="0.3">
      <c r="F10974" s="48">
        <f t="shared" si="182"/>
        <v>527870.66129032266</v>
      </c>
      <c r="G10974" s="4"/>
    </row>
    <row r="10975" spans="6:7" x14ac:dyDescent="0.3">
      <c r="F10975" s="48">
        <f t="shared" si="182"/>
        <v>527870.66129032266</v>
      </c>
      <c r="G10975" s="4"/>
    </row>
    <row r="10976" spans="6:7" x14ac:dyDescent="0.3">
      <c r="F10976" s="48">
        <f t="shared" si="182"/>
        <v>527870.66129032266</v>
      </c>
      <c r="G10976" s="4"/>
    </row>
    <row r="10977" spans="6:7" x14ac:dyDescent="0.3">
      <c r="F10977" s="48">
        <f t="shared" si="182"/>
        <v>527870.66129032266</v>
      </c>
      <c r="G10977" s="4"/>
    </row>
    <row r="10978" spans="6:7" x14ac:dyDescent="0.3">
      <c r="F10978" s="48">
        <f t="shared" si="182"/>
        <v>527870.66129032266</v>
      </c>
      <c r="G10978" s="4"/>
    </row>
    <row r="10979" spans="6:7" x14ac:dyDescent="0.3">
      <c r="F10979" s="48">
        <f t="shared" si="182"/>
        <v>527870.66129032266</v>
      </c>
      <c r="G10979" s="4"/>
    </row>
    <row r="10980" spans="6:7" x14ac:dyDescent="0.3">
      <c r="F10980" s="48">
        <f t="shared" si="182"/>
        <v>527870.66129032266</v>
      </c>
      <c r="G10980" s="4"/>
    </row>
    <row r="10981" spans="6:7" x14ac:dyDescent="0.3">
      <c r="F10981" s="48">
        <f t="shared" ref="F10981:F11044" si="183">F10980+E10981-D10981</f>
        <v>527870.66129032266</v>
      </c>
      <c r="G10981" s="4"/>
    </row>
    <row r="10982" spans="6:7" x14ac:dyDescent="0.3">
      <c r="F10982" s="48">
        <f t="shared" si="183"/>
        <v>527870.66129032266</v>
      </c>
      <c r="G10982" s="4"/>
    </row>
    <row r="10983" spans="6:7" x14ac:dyDescent="0.3">
      <c r="F10983" s="48">
        <f t="shared" si="183"/>
        <v>527870.66129032266</v>
      </c>
      <c r="G10983" s="4"/>
    </row>
    <row r="10984" spans="6:7" x14ac:dyDescent="0.3">
      <c r="F10984" s="48">
        <f t="shared" si="183"/>
        <v>527870.66129032266</v>
      </c>
      <c r="G10984" s="4"/>
    </row>
    <row r="10985" spans="6:7" x14ac:dyDescent="0.3">
      <c r="F10985" s="48">
        <f t="shared" si="183"/>
        <v>527870.66129032266</v>
      </c>
      <c r="G10985" s="4"/>
    </row>
    <row r="10986" spans="6:7" x14ac:dyDescent="0.3">
      <c r="F10986" s="48">
        <f t="shared" si="183"/>
        <v>527870.66129032266</v>
      </c>
      <c r="G10986" s="4"/>
    </row>
    <row r="10987" spans="6:7" x14ac:dyDescent="0.3">
      <c r="F10987" s="48">
        <f t="shared" si="183"/>
        <v>527870.66129032266</v>
      </c>
      <c r="G10987" s="4"/>
    </row>
    <row r="10988" spans="6:7" x14ac:dyDescent="0.3">
      <c r="F10988" s="48">
        <f t="shared" si="183"/>
        <v>527870.66129032266</v>
      </c>
      <c r="G10988" s="4"/>
    </row>
    <row r="10989" spans="6:7" x14ac:dyDescent="0.3">
      <c r="F10989" s="48">
        <f t="shared" si="183"/>
        <v>527870.66129032266</v>
      </c>
      <c r="G10989" s="4"/>
    </row>
    <row r="10990" spans="6:7" x14ac:dyDescent="0.3">
      <c r="F10990" s="48">
        <f t="shared" si="183"/>
        <v>527870.66129032266</v>
      </c>
      <c r="G10990" s="4"/>
    </row>
    <row r="10991" spans="6:7" x14ac:dyDescent="0.3">
      <c r="F10991" s="48">
        <f t="shared" si="183"/>
        <v>527870.66129032266</v>
      </c>
      <c r="G10991" s="4"/>
    </row>
    <row r="10992" spans="6:7" x14ac:dyDescent="0.3">
      <c r="F10992" s="48">
        <f t="shared" si="183"/>
        <v>527870.66129032266</v>
      </c>
      <c r="G10992" s="4"/>
    </row>
    <row r="10993" spans="6:7" x14ac:dyDescent="0.3">
      <c r="F10993" s="48">
        <f t="shared" si="183"/>
        <v>527870.66129032266</v>
      </c>
      <c r="G10993" s="4"/>
    </row>
    <row r="10994" spans="6:7" x14ac:dyDescent="0.3">
      <c r="F10994" s="48">
        <f t="shared" si="183"/>
        <v>527870.66129032266</v>
      </c>
      <c r="G10994" s="4"/>
    </row>
    <row r="10995" spans="6:7" x14ac:dyDescent="0.3">
      <c r="F10995" s="48">
        <f t="shared" si="183"/>
        <v>527870.66129032266</v>
      </c>
      <c r="G10995" s="4"/>
    </row>
    <row r="10996" spans="6:7" x14ac:dyDescent="0.3">
      <c r="F10996" s="48">
        <f t="shared" si="183"/>
        <v>527870.66129032266</v>
      </c>
      <c r="G10996" s="4"/>
    </row>
    <row r="10997" spans="6:7" x14ac:dyDescent="0.3">
      <c r="F10997" s="48">
        <f t="shared" si="183"/>
        <v>527870.66129032266</v>
      </c>
      <c r="G10997" s="4"/>
    </row>
    <row r="10998" spans="6:7" x14ac:dyDescent="0.3">
      <c r="F10998" s="48">
        <f t="shared" si="183"/>
        <v>527870.66129032266</v>
      </c>
      <c r="G10998" s="4"/>
    </row>
    <row r="10999" spans="6:7" x14ac:dyDescent="0.3">
      <c r="F10999" s="48">
        <f t="shared" si="183"/>
        <v>527870.66129032266</v>
      </c>
      <c r="G10999" s="4"/>
    </row>
    <row r="11000" spans="6:7" x14ac:dyDescent="0.3">
      <c r="F11000" s="48">
        <f t="shared" si="183"/>
        <v>527870.66129032266</v>
      </c>
      <c r="G11000" s="4"/>
    </row>
    <row r="11001" spans="6:7" x14ac:dyDescent="0.3">
      <c r="F11001" s="48">
        <f t="shared" si="183"/>
        <v>527870.66129032266</v>
      </c>
      <c r="G11001" s="4"/>
    </row>
    <row r="11002" spans="6:7" x14ac:dyDescent="0.3">
      <c r="F11002" s="48">
        <f t="shared" si="183"/>
        <v>527870.66129032266</v>
      </c>
      <c r="G11002" s="4"/>
    </row>
    <row r="11003" spans="6:7" x14ac:dyDescent="0.3">
      <c r="F11003" s="48">
        <f t="shared" si="183"/>
        <v>527870.66129032266</v>
      </c>
      <c r="G11003" s="4"/>
    </row>
    <row r="11004" spans="6:7" x14ac:dyDescent="0.3">
      <c r="F11004" s="48">
        <f t="shared" si="183"/>
        <v>527870.66129032266</v>
      </c>
      <c r="G11004" s="4"/>
    </row>
    <row r="11005" spans="6:7" x14ac:dyDescent="0.3">
      <c r="F11005" s="48">
        <f t="shared" si="183"/>
        <v>527870.66129032266</v>
      </c>
      <c r="G11005" s="4"/>
    </row>
    <row r="11006" spans="6:7" x14ac:dyDescent="0.3">
      <c r="F11006" s="48">
        <f t="shared" si="183"/>
        <v>527870.66129032266</v>
      </c>
      <c r="G11006" s="4"/>
    </row>
    <row r="11007" spans="6:7" x14ac:dyDescent="0.3">
      <c r="F11007" s="48">
        <f t="shared" si="183"/>
        <v>527870.66129032266</v>
      </c>
      <c r="G11007" s="4"/>
    </row>
    <row r="11008" spans="6:7" x14ac:dyDescent="0.3">
      <c r="F11008" s="48">
        <f t="shared" si="183"/>
        <v>527870.66129032266</v>
      </c>
      <c r="G11008" s="4"/>
    </row>
    <row r="11009" spans="6:7" x14ac:dyDescent="0.3">
      <c r="F11009" s="48">
        <f t="shared" si="183"/>
        <v>527870.66129032266</v>
      </c>
      <c r="G11009" s="4"/>
    </row>
    <row r="11010" spans="6:7" x14ac:dyDescent="0.3">
      <c r="F11010" s="48">
        <f t="shared" si="183"/>
        <v>527870.66129032266</v>
      </c>
      <c r="G11010" s="4"/>
    </row>
    <row r="11011" spans="6:7" x14ac:dyDescent="0.3">
      <c r="F11011" s="48">
        <f t="shared" si="183"/>
        <v>527870.66129032266</v>
      </c>
      <c r="G11011" s="4"/>
    </row>
    <row r="11012" spans="6:7" x14ac:dyDescent="0.3">
      <c r="F11012" s="48">
        <f t="shared" si="183"/>
        <v>527870.66129032266</v>
      </c>
      <c r="G11012" s="4"/>
    </row>
    <row r="11013" spans="6:7" x14ac:dyDescent="0.3">
      <c r="F11013" s="48">
        <f t="shared" si="183"/>
        <v>527870.66129032266</v>
      </c>
      <c r="G11013" s="4"/>
    </row>
    <row r="11014" spans="6:7" x14ac:dyDescent="0.3">
      <c r="F11014" s="48">
        <f t="shared" si="183"/>
        <v>527870.66129032266</v>
      </c>
      <c r="G11014" s="4"/>
    </row>
    <row r="11015" spans="6:7" x14ac:dyDescent="0.3">
      <c r="F11015" s="48">
        <f t="shared" si="183"/>
        <v>527870.66129032266</v>
      </c>
      <c r="G11015" s="4"/>
    </row>
    <row r="11016" spans="6:7" x14ac:dyDescent="0.3">
      <c r="F11016" s="48">
        <f t="shared" si="183"/>
        <v>527870.66129032266</v>
      </c>
      <c r="G11016" s="4"/>
    </row>
    <row r="11017" spans="6:7" x14ac:dyDescent="0.3">
      <c r="F11017" s="48">
        <f t="shared" si="183"/>
        <v>527870.66129032266</v>
      </c>
      <c r="G11017" s="4"/>
    </row>
    <row r="11018" spans="6:7" x14ac:dyDescent="0.3">
      <c r="F11018" s="48">
        <f t="shared" si="183"/>
        <v>527870.66129032266</v>
      </c>
      <c r="G11018" s="4"/>
    </row>
    <row r="11019" spans="6:7" x14ac:dyDescent="0.3">
      <c r="F11019" s="48">
        <f t="shared" si="183"/>
        <v>527870.66129032266</v>
      </c>
      <c r="G11019" s="4"/>
    </row>
    <row r="11020" spans="6:7" x14ac:dyDescent="0.3">
      <c r="F11020" s="48">
        <f t="shared" si="183"/>
        <v>527870.66129032266</v>
      </c>
      <c r="G11020" s="4"/>
    </row>
    <row r="11021" spans="6:7" x14ac:dyDescent="0.3">
      <c r="F11021" s="48">
        <f t="shared" si="183"/>
        <v>527870.66129032266</v>
      </c>
      <c r="G11021" s="4"/>
    </row>
    <row r="11022" spans="6:7" x14ac:dyDescent="0.3">
      <c r="F11022" s="48">
        <f t="shared" si="183"/>
        <v>527870.66129032266</v>
      </c>
      <c r="G11022" s="4"/>
    </row>
    <row r="11023" spans="6:7" x14ac:dyDescent="0.3">
      <c r="F11023" s="48">
        <f t="shared" si="183"/>
        <v>527870.66129032266</v>
      </c>
      <c r="G11023" s="4"/>
    </row>
    <row r="11024" spans="6:7" x14ac:dyDescent="0.3">
      <c r="F11024" s="48">
        <f t="shared" si="183"/>
        <v>527870.66129032266</v>
      </c>
      <c r="G11024" s="4"/>
    </row>
    <row r="11025" spans="6:7" x14ac:dyDescent="0.3">
      <c r="F11025" s="48">
        <f t="shared" si="183"/>
        <v>527870.66129032266</v>
      </c>
      <c r="G11025" s="4"/>
    </row>
    <row r="11026" spans="6:7" x14ac:dyDescent="0.3">
      <c r="F11026" s="48">
        <f t="shared" si="183"/>
        <v>527870.66129032266</v>
      </c>
      <c r="G11026" s="4"/>
    </row>
    <row r="11027" spans="6:7" x14ac:dyDescent="0.3">
      <c r="F11027" s="48">
        <f t="shared" si="183"/>
        <v>527870.66129032266</v>
      </c>
      <c r="G11027" s="4"/>
    </row>
    <row r="11028" spans="6:7" x14ac:dyDescent="0.3">
      <c r="F11028" s="48">
        <f t="shared" si="183"/>
        <v>527870.66129032266</v>
      </c>
      <c r="G11028" s="4"/>
    </row>
    <row r="11029" spans="6:7" x14ac:dyDescent="0.3">
      <c r="F11029" s="48">
        <f t="shared" si="183"/>
        <v>527870.66129032266</v>
      </c>
      <c r="G11029" s="4"/>
    </row>
    <row r="11030" spans="6:7" x14ac:dyDescent="0.3">
      <c r="F11030" s="48">
        <f t="shared" si="183"/>
        <v>527870.66129032266</v>
      </c>
      <c r="G11030" s="4"/>
    </row>
    <row r="11031" spans="6:7" x14ac:dyDescent="0.3">
      <c r="F11031" s="48">
        <f t="shared" si="183"/>
        <v>527870.66129032266</v>
      </c>
      <c r="G11031" s="4"/>
    </row>
    <row r="11032" spans="6:7" x14ac:dyDescent="0.3">
      <c r="F11032" s="48">
        <f t="shared" si="183"/>
        <v>527870.66129032266</v>
      </c>
      <c r="G11032" s="4"/>
    </row>
    <row r="11033" spans="6:7" x14ac:dyDescent="0.3">
      <c r="F11033" s="48">
        <f t="shared" si="183"/>
        <v>527870.66129032266</v>
      </c>
      <c r="G11033" s="4"/>
    </row>
    <row r="11034" spans="6:7" x14ac:dyDescent="0.3">
      <c r="F11034" s="48">
        <f t="shared" si="183"/>
        <v>527870.66129032266</v>
      </c>
      <c r="G11034" s="4"/>
    </row>
    <row r="11035" spans="6:7" x14ac:dyDescent="0.3">
      <c r="F11035" s="48">
        <f t="shared" si="183"/>
        <v>527870.66129032266</v>
      </c>
      <c r="G11035" s="4"/>
    </row>
    <row r="11036" spans="6:7" x14ac:dyDescent="0.3">
      <c r="F11036" s="48">
        <f t="shared" si="183"/>
        <v>527870.66129032266</v>
      </c>
      <c r="G11036" s="4"/>
    </row>
    <row r="11037" spans="6:7" x14ac:dyDescent="0.3">
      <c r="F11037" s="48">
        <f t="shared" si="183"/>
        <v>527870.66129032266</v>
      </c>
      <c r="G11037" s="4"/>
    </row>
    <row r="11038" spans="6:7" x14ac:dyDescent="0.3">
      <c r="F11038" s="48">
        <f t="shared" si="183"/>
        <v>527870.66129032266</v>
      </c>
      <c r="G11038" s="4"/>
    </row>
    <row r="11039" spans="6:7" x14ac:dyDescent="0.3">
      <c r="F11039" s="48">
        <f t="shared" si="183"/>
        <v>527870.66129032266</v>
      </c>
      <c r="G11039" s="4"/>
    </row>
    <row r="11040" spans="6:7" x14ac:dyDescent="0.3">
      <c r="F11040" s="48">
        <f t="shared" si="183"/>
        <v>527870.66129032266</v>
      </c>
      <c r="G11040" s="4"/>
    </row>
    <row r="11041" spans="6:7" x14ac:dyDescent="0.3">
      <c r="F11041" s="48">
        <f t="shared" si="183"/>
        <v>527870.66129032266</v>
      </c>
      <c r="G11041" s="4"/>
    </row>
    <row r="11042" spans="6:7" x14ac:dyDescent="0.3">
      <c r="F11042" s="48">
        <f t="shared" si="183"/>
        <v>527870.66129032266</v>
      </c>
      <c r="G11042" s="4"/>
    </row>
    <row r="11043" spans="6:7" x14ac:dyDescent="0.3">
      <c r="F11043" s="48">
        <f t="shared" si="183"/>
        <v>527870.66129032266</v>
      </c>
      <c r="G11043" s="4"/>
    </row>
    <row r="11044" spans="6:7" x14ac:dyDescent="0.3">
      <c r="F11044" s="48">
        <f t="shared" si="183"/>
        <v>527870.66129032266</v>
      </c>
      <c r="G11044" s="4"/>
    </row>
    <row r="11045" spans="6:7" x14ac:dyDescent="0.3">
      <c r="F11045" s="48">
        <f t="shared" ref="F11045:F11108" si="184">F11044+E11045-D11045</f>
        <v>527870.66129032266</v>
      </c>
      <c r="G11045" s="4"/>
    </row>
    <row r="11046" spans="6:7" x14ac:dyDescent="0.3">
      <c r="F11046" s="48">
        <f t="shared" si="184"/>
        <v>527870.66129032266</v>
      </c>
      <c r="G11046" s="4"/>
    </row>
    <row r="11047" spans="6:7" x14ac:dyDescent="0.3">
      <c r="F11047" s="48">
        <f t="shared" si="184"/>
        <v>527870.66129032266</v>
      </c>
      <c r="G11047" s="4"/>
    </row>
    <row r="11048" spans="6:7" x14ac:dyDescent="0.3">
      <c r="F11048" s="48">
        <f t="shared" si="184"/>
        <v>527870.66129032266</v>
      </c>
      <c r="G11048" s="4"/>
    </row>
    <row r="11049" spans="6:7" x14ac:dyDescent="0.3">
      <c r="F11049" s="48">
        <f t="shared" si="184"/>
        <v>527870.66129032266</v>
      </c>
      <c r="G11049" s="4"/>
    </row>
    <row r="11050" spans="6:7" x14ac:dyDescent="0.3">
      <c r="F11050" s="48">
        <f t="shared" si="184"/>
        <v>527870.66129032266</v>
      </c>
      <c r="G11050" s="4"/>
    </row>
    <row r="11051" spans="6:7" x14ac:dyDescent="0.3">
      <c r="F11051" s="48">
        <f t="shared" si="184"/>
        <v>527870.66129032266</v>
      </c>
      <c r="G11051" s="4"/>
    </row>
    <row r="11052" spans="6:7" x14ac:dyDescent="0.3">
      <c r="F11052" s="48">
        <f t="shared" si="184"/>
        <v>527870.66129032266</v>
      </c>
      <c r="G11052" s="4"/>
    </row>
    <row r="11053" spans="6:7" x14ac:dyDescent="0.3">
      <c r="F11053" s="48">
        <f t="shared" si="184"/>
        <v>527870.66129032266</v>
      </c>
      <c r="G11053" s="4"/>
    </row>
    <row r="11054" spans="6:7" x14ac:dyDescent="0.3">
      <c r="F11054" s="48">
        <f t="shared" si="184"/>
        <v>527870.66129032266</v>
      </c>
      <c r="G11054" s="4"/>
    </row>
    <row r="11055" spans="6:7" x14ac:dyDescent="0.3">
      <c r="F11055" s="48">
        <f t="shared" si="184"/>
        <v>527870.66129032266</v>
      </c>
      <c r="G11055" s="4"/>
    </row>
    <row r="11056" spans="6:7" x14ac:dyDescent="0.3">
      <c r="F11056" s="48">
        <f t="shared" si="184"/>
        <v>527870.66129032266</v>
      </c>
      <c r="G11056" s="4"/>
    </row>
    <row r="11057" spans="6:7" x14ac:dyDescent="0.3">
      <c r="F11057" s="48">
        <f t="shared" si="184"/>
        <v>527870.66129032266</v>
      </c>
      <c r="G11057" s="4"/>
    </row>
    <row r="11058" spans="6:7" x14ac:dyDescent="0.3">
      <c r="F11058" s="48">
        <f t="shared" si="184"/>
        <v>527870.66129032266</v>
      </c>
      <c r="G11058" s="4"/>
    </row>
    <row r="11059" spans="6:7" x14ac:dyDescent="0.3">
      <c r="F11059" s="48">
        <f t="shared" si="184"/>
        <v>527870.66129032266</v>
      </c>
      <c r="G11059" s="4"/>
    </row>
    <row r="11060" spans="6:7" x14ac:dyDescent="0.3">
      <c r="F11060" s="48">
        <f t="shared" si="184"/>
        <v>527870.66129032266</v>
      </c>
      <c r="G11060" s="4"/>
    </row>
    <row r="11061" spans="6:7" x14ac:dyDescent="0.3">
      <c r="F11061" s="48">
        <f t="shared" si="184"/>
        <v>527870.66129032266</v>
      </c>
      <c r="G11061" s="4"/>
    </row>
    <row r="11062" spans="6:7" x14ac:dyDescent="0.3">
      <c r="F11062" s="48">
        <f t="shared" si="184"/>
        <v>527870.66129032266</v>
      </c>
      <c r="G11062" s="4"/>
    </row>
    <row r="11063" spans="6:7" x14ac:dyDescent="0.3">
      <c r="F11063" s="48">
        <f t="shared" si="184"/>
        <v>527870.66129032266</v>
      </c>
      <c r="G11063" s="4"/>
    </row>
    <row r="11064" spans="6:7" x14ac:dyDescent="0.3">
      <c r="F11064" s="48">
        <f t="shared" si="184"/>
        <v>527870.66129032266</v>
      </c>
      <c r="G11064" s="4"/>
    </row>
    <row r="11065" spans="6:7" x14ac:dyDescent="0.3">
      <c r="F11065" s="48">
        <f t="shared" si="184"/>
        <v>527870.66129032266</v>
      </c>
      <c r="G11065" s="4"/>
    </row>
    <row r="11066" spans="6:7" x14ac:dyDescent="0.3">
      <c r="F11066" s="48">
        <f t="shared" si="184"/>
        <v>527870.66129032266</v>
      </c>
      <c r="G11066" s="4"/>
    </row>
    <row r="11067" spans="6:7" x14ac:dyDescent="0.3">
      <c r="F11067" s="48">
        <f t="shared" si="184"/>
        <v>527870.66129032266</v>
      </c>
      <c r="G11067" s="4"/>
    </row>
    <row r="11068" spans="6:7" x14ac:dyDescent="0.3">
      <c r="F11068" s="48">
        <f t="shared" si="184"/>
        <v>527870.66129032266</v>
      </c>
      <c r="G11068" s="4"/>
    </row>
    <row r="11069" spans="6:7" x14ac:dyDescent="0.3">
      <c r="F11069" s="48">
        <f t="shared" si="184"/>
        <v>527870.66129032266</v>
      </c>
      <c r="G11069" s="4"/>
    </row>
    <row r="11070" spans="6:7" x14ac:dyDescent="0.3">
      <c r="F11070" s="48">
        <f t="shared" si="184"/>
        <v>527870.66129032266</v>
      </c>
      <c r="G11070" s="4"/>
    </row>
    <row r="11071" spans="6:7" x14ac:dyDescent="0.3">
      <c r="F11071" s="48">
        <f t="shared" si="184"/>
        <v>527870.66129032266</v>
      </c>
      <c r="G11071" s="4"/>
    </row>
    <row r="11072" spans="6:7" x14ac:dyDescent="0.3">
      <c r="F11072" s="48">
        <f t="shared" si="184"/>
        <v>527870.66129032266</v>
      </c>
      <c r="G11072" s="4"/>
    </row>
    <row r="11073" spans="6:7" x14ac:dyDescent="0.3">
      <c r="F11073" s="48">
        <f t="shared" si="184"/>
        <v>527870.66129032266</v>
      </c>
      <c r="G11073" s="4"/>
    </row>
    <row r="11074" spans="6:7" x14ac:dyDescent="0.3">
      <c r="F11074" s="48">
        <f t="shared" si="184"/>
        <v>527870.66129032266</v>
      </c>
      <c r="G11074" s="4"/>
    </row>
    <row r="11075" spans="6:7" x14ac:dyDescent="0.3">
      <c r="F11075" s="48">
        <f t="shared" si="184"/>
        <v>527870.66129032266</v>
      </c>
      <c r="G11075" s="4"/>
    </row>
    <row r="11076" spans="6:7" x14ac:dyDescent="0.3">
      <c r="F11076" s="48">
        <f t="shared" si="184"/>
        <v>527870.66129032266</v>
      </c>
      <c r="G11076" s="4"/>
    </row>
    <row r="11077" spans="6:7" x14ac:dyDescent="0.3">
      <c r="F11077" s="48">
        <f t="shared" si="184"/>
        <v>527870.66129032266</v>
      </c>
      <c r="G11077" s="4"/>
    </row>
    <row r="11078" spans="6:7" x14ac:dyDescent="0.3">
      <c r="F11078" s="48">
        <f t="shared" si="184"/>
        <v>527870.66129032266</v>
      </c>
      <c r="G11078" s="4"/>
    </row>
    <row r="11079" spans="6:7" x14ac:dyDescent="0.3">
      <c r="F11079" s="48">
        <f t="shared" si="184"/>
        <v>527870.66129032266</v>
      </c>
      <c r="G11079" s="4"/>
    </row>
    <row r="11080" spans="6:7" x14ac:dyDescent="0.3">
      <c r="F11080" s="48">
        <f t="shared" si="184"/>
        <v>527870.66129032266</v>
      </c>
      <c r="G11080" s="4"/>
    </row>
    <row r="11081" spans="6:7" x14ac:dyDescent="0.3">
      <c r="F11081" s="48">
        <f t="shared" si="184"/>
        <v>527870.66129032266</v>
      </c>
      <c r="G11081" s="4"/>
    </row>
    <row r="11082" spans="6:7" x14ac:dyDescent="0.3">
      <c r="F11082" s="48">
        <f t="shared" si="184"/>
        <v>527870.66129032266</v>
      </c>
      <c r="G11082" s="4"/>
    </row>
    <row r="11083" spans="6:7" x14ac:dyDescent="0.3">
      <c r="F11083" s="48">
        <f t="shared" si="184"/>
        <v>527870.66129032266</v>
      </c>
      <c r="G11083" s="4"/>
    </row>
    <row r="11084" spans="6:7" x14ac:dyDescent="0.3">
      <c r="F11084" s="48">
        <f t="shared" si="184"/>
        <v>527870.66129032266</v>
      </c>
      <c r="G11084" s="4"/>
    </row>
    <row r="11085" spans="6:7" x14ac:dyDescent="0.3">
      <c r="F11085" s="48">
        <f t="shared" si="184"/>
        <v>527870.66129032266</v>
      </c>
      <c r="G11085" s="4"/>
    </row>
    <row r="11086" spans="6:7" x14ac:dyDescent="0.3">
      <c r="F11086" s="48">
        <f t="shared" si="184"/>
        <v>527870.66129032266</v>
      </c>
      <c r="G11086" s="4"/>
    </row>
    <row r="11087" spans="6:7" x14ac:dyDescent="0.3">
      <c r="F11087" s="48">
        <f t="shared" si="184"/>
        <v>527870.66129032266</v>
      </c>
      <c r="G11087" s="4"/>
    </row>
    <row r="11088" spans="6:7" x14ac:dyDescent="0.3">
      <c r="F11088" s="48">
        <f t="shared" si="184"/>
        <v>527870.66129032266</v>
      </c>
      <c r="G11088" s="4"/>
    </row>
    <row r="11089" spans="6:7" x14ac:dyDescent="0.3">
      <c r="F11089" s="48">
        <f t="shared" si="184"/>
        <v>527870.66129032266</v>
      </c>
      <c r="G11089" s="4"/>
    </row>
    <row r="11090" spans="6:7" x14ac:dyDescent="0.3">
      <c r="F11090" s="48">
        <f t="shared" si="184"/>
        <v>527870.66129032266</v>
      </c>
      <c r="G11090" s="4"/>
    </row>
    <row r="11091" spans="6:7" x14ac:dyDescent="0.3">
      <c r="F11091" s="48">
        <f t="shared" si="184"/>
        <v>527870.66129032266</v>
      </c>
      <c r="G11091" s="4"/>
    </row>
    <row r="11092" spans="6:7" x14ac:dyDescent="0.3">
      <c r="F11092" s="48">
        <f t="shared" si="184"/>
        <v>527870.66129032266</v>
      </c>
      <c r="G11092" s="4"/>
    </row>
    <row r="11093" spans="6:7" x14ac:dyDescent="0.3">
      <c r="F11093" s="48">
        <f t="shared" si="184"/>
        <v>527870.66129032266</v>
      </c>
      <c r="G11093" s="4"/>
    </row>
    <row r="11094" spans="6:7" x14ac:dyDescent="0.3">
      <c r="F11094" s="48">
        <f t="shared" si="184"/>
        <v>527870.66129032266</v>
      </c>
      <c r="G11094" s="4"/>
    </row>
    <row r="11095" spans="6:7" x14ac:dyDescent="0.3">
      <c r="F11095" s="48">
        <f t="shared" si="184"/>
        <v>527870.66129032266</v>
      </c>
      <c r="G11095" s="4"/>
    </row>
    <row r="11096" spans="6:7" x14ac:dyDescent="0.3">
      <c r="F11096" s="48">
        <f t="shared" si="184"/>
        <v>527870.66129032266</v>
      </c>
      <c r="G11096" s="4"/>
    </row>
    <row r="11097" spans="6:7" x14ac:dyDescent="0.3">
      <c r="F11097" s="48">
        <f t="shared" si="184"/>
        <v>527870.66129032266</v>
      </c>
      <c r="G11097" s="4"/>
    </row>
    <row r="11098" spans="6:7" x14ac:dyDescent="0.3">
      <c r="F11098" s="48">
        <f t="shared" si="184"/>
        <v>527870.66129032266</v>
      </c>
      <c r="G11098" s="4"/>
    </row>
    <row r="11099" spans="6:7" x14ac:dyDescent="0.3">
      <c r="F11099" s="48">
        <f t="shared" si="184"/>
        <v>527870.66129032266</v>
      </c>
      <c r="G11099" s="4"/>
    </row>
    <row r="11100" spans="6:7" x14ac:dyDescent="0.3">
      <c r="F11100" s="48">
        <f t="shared" si="184"/>
        <v>527870.66129032266</v>
      </c>
      <c r="G11100" s="4"/>
    </row>
    <row r="11101" spans="6:7" x14ac:dyDescent="0.3">
      <c r="F11101" s="48">
        <f t="shared" si="184"/>
        <v>527870.66129032266</v>
      </c>
      <c r="G11101" s="4"/>
    </row>
    <row r="11102" spans="6:7" x14ac:dyDescent="0.3">
      <c r="F11102" s="48">
        <f t="shared" si="184"/>
        <v>527870.66129032266</v>
      </c>
      <c r="G11102" s="4"/>
    </row>
    <row r="11103" spans="6:7" x14ac:dyDescent="0.3">
      <c r="F11103" s="48">
        <f t="shared" si="184"/>
        <v>527870.66129032266</v>
      </c>
      <c r="G11103" s="4"/>
    </row>
    <row r="11104" spans="6:7" x14ac:dyDescent="0.3">
      <c r="F11104" s="48">
        <f t="shared" si="184"/>
        <v>527870.66129032266</v>
      </c>
      <c r="G11104" s="4"/>
    </row>
    <row r="11105" spans="6:7" x14ac:dyDescent="0.3">
      <c r="F11105" s="48">
        <f t="shared" si="184"/>
        <v>527870.66129032266</v>
      </c>
      <c r="G11105" s="4"/>
    </row>
    <row r="11106" spans="6:7" x14ac:dyDescent="0.3">
      <c r="F11106" s="48">
        <f t="shared" si="184"/>
        <v>527870.66129032266</v>
      </c>
      <c r="G11106" s="4"/>
    </row>
    <row r="11107" spans="6:7" x14ac:dyDescent="0.3">
      <c r="F11107" s="48">
        <f t="shared" si="184"/>
        <v>527870.66129032266</v>
      </c>
      <c r="G11107" s="4"/>
    </row>
    <row r="11108" spans="6:7" x14ac:dyDescent="0.3">
      <c r="F11108" s="48">
        <f t="shared" si="184"/>
        <v>527870.66129032266</v>
      </c>
      <c r="G11108" s="4"/>
    </row>
    <row r="11109" spans="6:7" x14ac:dyDescent="0.3">
      <c r="F11109" s="48">
        <f t="shared" ref="F11109:F11172" si="185">F11108+E11109-D11109</f>
        <v>527870.66129032266</v>
      </c>
      <c r="G11109" s="4"/>
    </row>
    <row r="11110" spans="6:7" x14ac:dyDescent="0.3">
      <c r="F11110" s="48">
        <f t="shared" si="185"/>
        <v>527870.66129032266</v>
      </c>
      <c r="G11110" s="4"/>
    </row>
    <row r="11111" spans="6:7" x14ac:dyDescent="0.3">
      <c r="F11111" s="48">
        <f t="shared" si="185"/>
        <v>527870.66129032266</v>
      </c>
      <c r="G11111" s="4"/>
    </row>
    <row r="11112" spans="6:7" x14ac:dyDescent="0.3">
      <c r="F11112" s="48">
        <f t="shared" si="185"/>
        <v>527870.66129032266</v>
      </c>
      <c r="G11112" s="4"/>
    </row>
    <row r="11113" spans="6:7" x14ac:dyDescent="0.3">
      <c r="F11113" s="48">
        <f t="shared" si="185"/>
        <v>527870.66129032266</v>
      </c>
      <c r="G11113" s="4"/>
    </row>
    <row r="11114" spans="6:7" x14ac:dyDescent="0.3">
      <c r="F11114" s="48">
        <f t="shared" si="185"/>
        <v>527870.66129032266</v>
      </c>
      <c r="G11114" s="4"/>
    </row>
    <row r="11115" spans="6:7" x14ac:dyDescent="0.3">
      <c r="F11115" s="48">
        <f t="shared" si="185"/>
        <v>527870.66129032266</v>
      </c>
      <c r="G11115" s="4"/>
    </row>
    <row r="11116" spans="6:7" x14ac:dyDescent="0.3">
      <c r="F11116" s="48">
        <f t="shared" si="185"/>
        <v>527870.66129032266</v>
      </c>
      <c r="G11116" s="4"/>
    </row>
    <row r="11117" spans="6:7" x14ac:dyDescent="0.3">
      <c r="F11117" s="48">
        <f t="shared" si="185"/>
        <v>527870.66129032266</v>
      </c>
      <c r="G11117" s="4"/>
    </row>
    <row r="11118" spans="6:7" x14ac:dyDescent="0.3">
      <c r="F11118" s="48">
        <f t="shared" si="185"/>
        <v>527870.66129032266</v>
      </c>
      <c r="G11118" s="4"/>
    </row>
    <row r="11119" spans="6:7" x14ac:dyDescent="0.3">
      <c r="F11119" s="48">
        <f t="shared" si="185"/>
        <v>527870.66129032266</v>
      </c>
      <c r="G11119" s="4"/>
    </row>
    <row r="11120" spans="6:7" x14ac:dyDescent="0.3">
      <c r="F11120" s="48">
        <f t="shared" si="185"/>
        <v>527870.66129032266</v>
      </c>
      <c r="G11120" s="4"/>
    </row>
    <row r="11121" spans="6:7" x14ac:dyDescent="0.3">
      <c r="F11121" s="48">
        <f t="shared" si="185"/>
        <v>527870.66129032266</v>
      </c>
      <c r="G11121" s="4"/>
    </row>
    <row r="11122" spans="6:7" x14ac:dyDescent="0.3">
      <c r="F11122" s="48">
        <f t="shared" si="185"/>
        <v>527870.66129032266</v>
      </c>
      <c r="G11122" s="4"/>
    </row>
    <row r="11123" spans="6:7" x14ac:dyDescent="0.3">
      <c r="F11123" s="48">
        <f t="shared" si="185"/>
        <v>527870.66129032266</v>
      </c>
      <c r="G11123" s="4"/>
    </row>
    <row r="11124" spans="6:7" x14ac:dyDescent="0.3">
      <c r="F11124" s="48">
        <f t="shared" si="185"/>
        <v>527870.66129032266</v>
      </c>
      <c r="G11124" s="4"/>
    </row>
    <row r="11125" spans="6:7" x14ac:dyDescent="0.3">
      <c r="F11125" s="48">
        <f t="shared" si="185"/>
        <v>527870.66129032266</v>
      </c>
      <c r="G11125" s="4"/>
    </row>
    <row r="11126" spans="6:7" x14ac:dyDescent="0.3">
      <c r="F11126" s="48">
        <f t="shared" si="185"/>
        <v>527870.66129032266</v>
      </c>
      <c r="G11126" s="4"/>
    </row>
    <row r="11127" spans="6:7" x14ac:dyDescent="0.3">
      <c r="F11127" s="48">
        <f t="shared" si="185"/>
        <v>527870.66129032266</v>
      </c>
      <c r="G11127" s="4"/>
    </row>
    <row r="11128" spans="6:7" x14ac:dyDescent="0.3">
      <c r="F11128" s="48">
        <f t="shared" si="185"/>
        <v>527870.66129032266</v>
      </c>
      <c r="G11128" s="4"/>
    </row>
    <row r="11129" spans="6:7" x14ac:dyDescent="0.3">
      <c r="F11129" s="48">
        <f t="shared" si="185"/>
        <v>527870.66129032266</v>
      </c>
      <c r="G11129" s="4"/>
    </row>
    <row r="11130" spans="6:7" x14ac:dyDescent="0.3">
      <c r="F11130" s="48">
        <f t="shared" si="185"/>
        <v>527870.66129032266</v>
      </c>
      <c r="G11130" s="4"/>
    </row>
    <row r="11131" spans="6:7" x14ac:dyDescent="0.3">
      <c r="F11131" s="48">
        <f t="shared" si="185"/>
        <v>527870.66129032266</v>
      </c>
      <c r="G11131" s="4"/>
    </row>
    <row r="11132" spans="6:7" x14ac:dyDescent="0.3">
      <c r="F11132" s="48">
        <f t="shared" si="185"/>
        <v>527870.66129032266</v>
      </c>
      <c r="G11132" s="4"/>
    </row>
    <row r="11133" spans="6:7" x14ac:dyDescent="0.3">
      <c r="F11133" s="48">
        <f t="shared" si="185"/>
        <v>527870.66129032266</v>
      </c>
      <c r="G11133" s="4"/>
    </row>
    <row r="11134" spans="6:7" x14ac:dyDescent="0.3">
      <c r="F11134" s="48">
        <f t="shared" si="185"/>
        <v>527870.66129032266</v>
      </c>
      <c r="G11134" s="4"/>
    </row>
    <row r="11135" spans="6:7" x14ac:dyDescent="0.3">
      <c r="F11135" s="48">
        <f t="shared" si="185"/>
        <v>527870.66129032266</v>
      </c>
      <c r="G11135" s="4"/>
    </row>
    <row r="11136" spans="6:7" x14ac:dyDescent="0.3">
      <c r="F11136" s="48">
        <f t="shared" si="185"/>
        <v>527870.66129032266</v>
      </c>
      <c r="G11136" s="4"/>
    </row>
    <row r="11137" spans="6:7" x14ac:dyDescent="0.3">
      <c r="F11137" s="48">
        <f t="shared" si="185"/>
        <v>527870.66129032266</v>
      </c>
      <c r="G11137" s="4"/>
    </row>
    <row r="11138" spans="6:7" x14ac:dyDescent="0.3">
      <c r="F11138" s="48">
        <f t="shared" si="185"/>
        <v>527870.66129032266</v>
      </c>
      <c r="G11138" s="4"/>
    </row>
    <row r="11139" spans="6:7" x14ac:dyDescent="0.3">
      <c r="F11139" s="48">
        <f t="shared" si="185"/>
        <v>527870.66129032266</v>
      </c>
      <c r="G11139" s="4"/>
    </row>
    <row r="11140" spans="6:7" x14ac:dyDescent="0.3">
      <c r="F11140" s="48">
        <f t="shared" si="185"/>
        <v>527870.66129032266</v>
      </c>
      <c r="G11140" s="4"/>
    </row>
    <row r="11141" spans="6:7" x14ac:dyDescent="0.3">
      <c r="F11141" s="48">
        <f t="shared" si="185"/>
        <v>527870.66129032266</v>
      </c>
      <c r="G11141" s="4"/>
    </row>
    <row r="11142" spans="6:7" x14ac:dyDescent="0.3">
      <c r="F11142" s="48">
        <f t="shared" si="185"/>
        <v>527870.66129032266</v>
      </c>
      <c r="G11142" s="4"/>
    </row>
    <row r="11143" spans="6:7" x14ac:dyDescent="0.3">
      <c r="F11143" s="48">
        <f t="shared" si="185"/>
        <v>527870.66129032266</v>
      </c>
      <c r="G11143" s="4"/>
    </row>
    <row r="11144" spans="6:7" x14ac:dyDescent="0.3">
      <c r="F11144" s="48">
        <f t="shared" si="185"/>
        <v>527870.66129032266</v>
      </c>
      <c r="G11144" s="4"/>
    </row>
    <row r="11145" spans="6:7" x14ac:dyDescent="0.3">
      <c r="F11145" s="48">
        <f t="shared" si="185"/>
        <v>527870.66129032266</v>
      </c>
      <c r="G11145" s="4"/>
    </row>
    <row r="11146" spans="6:7" x14ac:dyDescent="0.3">
      <c r="F11146" s="48">
        <f t="shared" si="185"/>
        <v>527870.66129032266</v>
      </c>
      <c r="G11146" s="4"/>
    </row>
    <row r="11147" spans="6:7" x14ac:dyDescent="0.3">
      <c r="F11147" s="48">
        <f t="shared" si="185"/>
        <v>527870.66129032266</v>
      </c>
      <c r="G11147" s="4"/>
    </row>
    <row r="11148" spans="6:7" x14ac:dyDescent="0.3">
      <c r="F11148" s="48">
        <f t="shared" si="185"/>
        <v>527870.66129032266</v>
      </c>
      <c r="G11148" s="4"/>
    </row>
    <row r="11149" spans="6:7" x14ac:dyDescent="0.3">
      <c r="F11149" s="48">
        <f t="shared" si="185"/>
        <v>527870.66129032266</v>
      </c>
      <c r="G11149" s="4"/>
    </row>
    <row r="11150" spans="6:7" x14ac:dyDescent="0.3">
      <c r="F11150" s="48">
        <f t="shared" si="185"/>
        <v>527870.66129032266</v>
      </c>
      <c r="G11150" s="4"/>
    </row>
    <row r="11151" spans="6:7" x14ac:dyDescent="0.3">
      <c r="F11151" s="48">
        <f t="shared" si="185"/>
        <v>527870.66129032266</v>
      </c>
      <c r="G11151" s="4"/>
    </row>
    <row r="11152" spans="6:7" x14ac:dyDescent="0.3">
      <c r="F11152" s="48">
        <f t="shared" si="185"/>
        <v>527870.66129032266</v>
      </c>
      <c r="G11152" s="4"/>
    </row>
    <row r="11153" spans="6:7" x14ac:dyDescent="0.3">
      <c r="F11153" s="48">
        <f t="shared" si="185"/>
        <v>527870.66129032266</v>
      </c>
      <c r="G11153" s="4"/>
    </row>
    <row r="11154" spans="6:7" x14ac:dyDescent="0.3">
      <c r="F11154" s="48">
        <f t="shared" si="185"/>
        <v>527870.66129032266</v>
      </c>
      <c r="G11154" s="4"/>
    </row>
    <row r="11155" spans="6:7" x14ac:dyDescent="0.3">
      <c r="F11155" s="48">
        <f t="shared" si="185"/>
        <v>527870.66129032266</v>
      </c>
      <c r="G11155" s="4"/>
    </row>
    <row r="11156" spans="6:7" x14ac:dyDescent="0.3">
      <c r="F11156" s="48">
        <f t="shared" si="185"/>
        <v>527870.66129032266</v>
      </c>
      <c r="G11156" s="4"/>
    </row>
    <row r="11157" spans="6:7" x14ac:dyDescent="0.3">
      <c r="F11157" s="48">
        <f t="shared" si="185"/>
        <v>527870.66129032266</v>
      </c>
      <c r="G11157" s="4"/>
    </row>
    <row r="11158" spans="6:7" x14ac:dyDescent="0.3">
      <c r="F11158" s="48">
        <f t="shared" si="185"/>
        <v>527870.66129032266</v>
      </c>
      <c r="G11158" s="4"/>
    </row>
    <row r="11159" spans="6:7" x14ac:dyDescent="0.3">
      <c r="F11159" s="48">
        <f t="shared" si="185"/>
        <v>527870.66129032266</v>
      </c>
      <c r="G11159" s="4"/>
    </row>
    <row r="11160" spans="6:7" x14ac:dyDescent="0.3">
      <c r="F11160" s="48">
        <f t="shared" si="185"/>
        <v>527870.66129032266</v>
      </c>
      <c r="G11160" s="4"/>
    </row>
    <row r="11161" spans="6:7" x14ac:dyDescent="0.3">
      <c r="F11161" s="48">
        <f t="shared" si="185"/>
        <v>527870.66129032266</v>
      </c>
      <c r="G11161" s="4"/>
    </row>
    <row r="11162" spans="6:7" x14ac:dyDescent="0.3">
      <c r="F11162" s="48">
        <f t="shared" si="185"/>
        <v>527870.66129032266</v>
      </c>
      <c r="G11162" s="4"/>
    </row>
    <row r="11163" spans="6:7" x14ac:dyDescent="0.3">
      <c r="F11163" s="48">
        <f t="shared" si="185"/>
        <v>527870.66129032266</v>
      </c>
      <c r="G11163" s="4"/>
    </row>
    <row r="11164" spans="6:7" x14ac:dyDescent="0.3">
      <c r="F11164" s="48">
        <f t="shared" si="185"/>
        <v>527870.66129032266</v>
      </c>
      <c r="G11164" s="4"/>
    </row>
    <row r="11165" spans="6:7" x14ac:dyDescent="0.3">
      <c r="F11165" s="48">
        <f t="shared" si="185"/>
        <v>527870.66129032266</v>
      </c>
      <c r="G11165" s="4"/>
    </row>
    <row r="11166" spans="6:7" x14ac:dyDescent="0.3">
      <c r="F11166" s="48">
        <f t="shared" si="185"/>
        <v>527870.66129032266</v>
      </c>
      <c r="G11166" s="4"/>
    </row>
    <row r="11167" spans="6:7" x14ac:dyDescent="0.3">
      <c r="F11167" s="48">
        <f t="shared" si="185"/>
        <v>527870.66129032266</v>
      </c>
      <c r="G11167" s="4"/>
    </row>
    <row r="11168" spans="6:7" x14ac:dyDescent="0.3">
      <c r="F11168" s="48">
        <f t="shared" si="185"/>
        <v>527870.66129032266</v>
      </c>
      <c r="G11168" s="4"/>
    </row>
    <row r="11169" spans="6:7" x14ac:dyDescent="0.3">
      <c r="F11169" s="48">
        <f t="shared" si="185"/>
        <v>527870.66129032266</v>
      </c>
      <c r="G11169" s="4"/>
    </row>
    <row r="11170" spans="6:7" x14ac:dyDescent="0.3">
      <c r="F11170" s="48">
        <f t="shared" si="185"/>
        <v>527870.66129032266</v>
      </c>
      <c r="G11170" s="4"/>
    </row>
    <row r="11171" spans="6:7" x14ac:dyDescent="0.3">
      <c r="F11171" s="48">
        <f t="shared" si="185"/>
        <v>527870.66129032266</v>
      </c>
      <c r="G11171" s="4"/>
    </row>
    <row r="11172" spans="6:7" x14ac:dyDescent="0.3">
      <c r="F11172" s="48">
        <f t="shared" si="185"/>
        <v>527870.66129032266</v>
      </c>
      <c r="G11172" s="4"/>
    </row>
    <row r="11173" spans="6:7" x14ac:dyDescent="0.3">
      <c r="F11173" s="48">
        <f t="shared" ref="F11173:F11236" si="186">F11172+E11173-D11173</f>
        <v>527870.66129032266</v>
      </c>
      <c r="G11173" s="4"/>
    </row>
    <row r="11174" spans="6:7" x14ac:dyDescent="0.3">
      <c r="F11174" s="48">
        <f t="shared" si="186"/>
        <v>527870.66129032266</v>
      </c>
      <c r="G11174" s="4"/>
    </row>
    <row r="11175" spans="6:7" x14ac:dyDescent="0.3">
      <c r="F11175" s="48">
        <f t="shared" si="186"/>
        <v>527870.66129032266</v>
      </c>
      <c r="G11175" s="4"/>
    </row>
    <row r="11176" spans="6:7" x14ac:dyDescent="0.3">
      <c r="F11176" s="48">
        <f t="shared" si="186"/>
        <v>527870.66129032266</v>
      </c>
      <c r="G11176" s="4"/>
    </row>
    <row r="11177" spans="6:7" x14ac:dyDescent="0.3">
      <c r="F11177" s="48">
        <f t="shared" si="186"/>
        <v>527870.66129032266</v>
      </c>
      <c r="G11177" s="4"/>
    </row>
    <row r="11178" spans="6:7" x14ac:dyDescent="0.3">
      <c r="F11178" s="48">
        <f t="shared" si="186"/>
        <v>527870.66129032266</v>
      </c>
      <c r="G11178" s="4"/>
    </row>
    <row r="11179" spans="6:7" x14ac:dyDescent="0.3">
      <c r="F11179" s="48">
        <f t="shared" si="186"/>
        <v>527870.66129032266</v>
      </c>
      <c r="G11179" s="4"/>
    </row>
    <row r="11180" spans="6:7" x14ac:dyDescent="0.3">
      <c r="F11180" s="48">
        <f t="shared" si="186"/>
        <v>527870.66129032266</v>
      </c>
      <c r="G11180" s="4"/>
    </row>
    <row r="11181" spans="6:7" x14ac:dyDescent="0.3">
      <c r="F11181" s="48">
        <f t="shared" si="186"/>
        <v>527870.66129032266</v>
      </c>
      <c r="G11181" s="4"/>
    </row>
    <row r="11182" spans="6:7" x14ac:dyDescent="0.3">
      <c r="F11182" s="48">
        <f t="shared" si="186"/>
        <v>527870.66129032266</v>
      </c>
      <c r="G11182" s="4"/>
    </row>
    <row r="11183" spans="6:7" x14ac:dyDescent="0.3">
      <c r="F11183" s="48">
        <f t="shared" si="186"/>
        <v>527870.66129032266</v>
      </c>
      <c r="G11183" s="4"/>
    </row>
    <row r="11184" spans="6:7" x14ac:dyDescent="0.3">
      <c r="F11184" s="48">
        <f t="shared" si="186"/>
        <v>527870.66129032266</v>
      </c>
      <c r="G11184" s="4"/>
    </row>
    <row r="11185" spans="6:7" x14ac:dyDescent="0.3">
      <c r="F11185" s="48">
        <f t="shared" si="186"/>
        <v>527870.66129032266</v>
      </c>
      <c r="G11185" s="4"/>
    </row>
    <row r="11186" spans="6:7" x14ac:dyDescent="0.3">
      <c r="F11186" s="48">
        <f t="shared" si="186"/>
        <v>527870.66129032266</v>
      </c>
      <c r="G11186" s="4"/>
    </row>
    <row r="11187" spans="6:7" x14ac:dyDescent="0.3">
      <c r="F11187" s="48">
        <f t="shared" si="186"/>
        <v>527870.66129032266</v>
      </c>
      <c r="G11187" s="4"/>
    </row>
    <row r="11188" spans="6:7" x14ac:dyDescent="0.3">
      <c r="F11188" s="48">
        <f t="shared" si="186"/>
        <v>527870.66129032266</v>
      </c>
      <c r="G11188" s="4"/>
    </row>
    <row r="11189" spans="6:7" x14ac:dyDescent="0.3">
      <c r="F11189" s="48">
        <f t="shared" si="186"/>
        <v>527870.66129032266</v>
      </c>
      <c r="G11189" s="4"/>
    </row>
    <row r="11190" spans="6:7" x14ac:dyDescent="0.3">
      <c r="F11190" s="48">
        <f t="shared" si="186"/>
        <v>527870.66129032266</v>
      </c>
      <c r="G11190" s="4"/>
    </row>
    <row r="11191" spans="6:7" x14ac:dyDescent="0.3">
      <c r="F11191" s="48">
        <f t="shared" si="186"/>
        <v>527870.66129032266</v>
      </c>
      <c r="G11191" s="4"/>
    </row>
    <row r="11192" spans="6:7" x14ac:dyDescent="0.3">
      <c r="F11192" s="48">
        <f t="shared" si="186"/>
        <v>527870.66129032266</v>
      </c>
      <c r="G11192" s="4"/>
    </row>
    <row r="11193" spans="6:7" x14ac:dyDescent="0.3">
      <c r="F11193" s="48">
        <f t="shared" si="186"/>
        <v>527870.66129032266</v>
      </c>
      <c r="G11193" s="4"/>
    </row>
    <row r="11194" spans="6:7" x14ac:dyDescent="0.3">
      <c r="F11194" s="48">
        <f t="shared" si="186"/>
        <v>527870.66129032266</v>
      </c>
      <c r="G11194" s="4"/>
    </row>
    <row r="11195" spans="6:7" x14ac:dyDescent="0.3">
      <c r="F11195" s="48">
        <f t="shared" si="186"/>
        <v>527870.66129032266</v>
      </c>
      <c r="G11195" s="4"/>
    </row>
    <row r="11196" spans="6:7" x14ac:dyDescent="0.3">
      <c r="F11196" s="48">
        <f t="shared" si="186"/>
        <v>527870.66129032266</v>
      </c>
      <c r="G11196" s="4"/>
    </row>
    <row r="11197" spans="6:7" x14ac:dyDescent="0.3">
      <c r="F11197" s="48">
        <f t="shared" si="186"/>
        <v>527870.66129032266</v>
      </c>
      <c r="G11197" s="4"/>
    </row>
    <row r="11198" spans="6:7" x14ac:dyDescent="0.3">
      <c r="F11198" s="48">
        <f t="shared" si="186"/>
        <v>527870.66129032266</v>
      </c>
      <c r="G11198" s="4"/>
    </row>
    <row r="11199" spans="6:7" x14ac:dyDescent="0.3">
      <c r="F11199" s="48">
        <f t="shared" si="186"/>
        <v>527870.66129032266</v>
      </c>
      <c r="G11199" s="4"/>
    </row>
    <row r="11200" spans="6:7" x14ac:dyDescent="0.3">
      <c r="F11200" s="48">
        <f t="shared" si="186"/>
        <v>527870.66129032266</v>
      </c>
      <c r="G11200" s="4"/>
    </row>
    <row r="11201" spans="6:7" x14ac:dyDescent="0.3">
      <c r="F11201" s="48">
        <f t="shared" si="186"/>
        <v>527870.66129032266</v>
      </c>
      <c r="G11201" s="4"/>
    </row>
    <row r="11202" spans="6:7" x14ac:dyDescent="0.3">
      <c r="F11202" s="48">
        <f t="shared" si="186"/>
        <v>527870.66129032266</v>
      </c>
      <c r="G11202" s="4"/>
    </row>
    <row r="11203" spans="6:7" x14ac:dyDescent="0.3">
      <c r="F11203" s="48">
        <f t="shared" si="186"/>
        <v>527870.66129032266</v>
      </c>
      <c r="G11203" s="4"/>
    </row>
    <row r="11204" spans="6:7" x14ac:dyDescent="0.3">
      <c r="F11204" s="48">
        <f t="shared" si="186"/>
        <v>527870.66129032266</v>
      </c>
      <c r="G11204" s="4"/>
    </row>
    <row r="11205" spans="6:7" x14ac:dyDescent="0.3">
      <c r="F11205" s="48">
        <f t="shared" si="186"/>
        <v>527870.66129032266</v>
      </c>
      <c r="G11205" s="4"/>
    </row>
    <row r="11206" spans="6:7" x14ac:dyDescent="0.3">
      <c r="F11206" s="48">
        <f t="shared" si="186"/>
        <v>527870.66129032266</v>
      </c>
      <c r="G11206" s="4"/>
    </row>
    <row r="11207" spans="6:7" x14ac:dyDescent="0.3">
      <c r="F11207" s="48">
        <f t="shared" si="186"/>
        <v>527870.66129032266</v>
      </c>
      <c r="G11207" s="4"/>
    </row>
    <row r="11208" spans="6:7" x14ac:dyDescent="0.3">
      <c r="F11208" s="48">
        <f t="shared" si="186"/>
        <v>527870.66129032266</v>
      </c>
      <c r="G11208" s="4"/>
    </row>
    <row r="11209" spans="6:7" x14ac:dyDescent="0.3">
      <c r="F11209" s="48">
        <f t="shared" si="186"/>
        <v>527870.66129032266</v>
      </c>
      <c r="G11209" s="4"/>
    </row>
    <row r="11210" spans="6:7" x14ac:dyDescent="0.3">
      <c r="F11210" s="48">
        <f t="shared" si="186"/>
        <v>527870.66129032266</v>
      </c>
      <c r="G11210" s="4"/>
    </row>
    <row r="11211" spans="6:7" x14ac:dyDescent="0.3">
      <c r="F11211" s="48">
        <f t="shared" si="186"/>
        <v>527870.66129032266</v>
      </c>
      <c r="G11211" s="4"/>
    </row>
    <row r="11212" spans="6:7" x14ac:dyDescent="0.3">
      <c r="F11212" s="48">
        <f t="shared" si="186"/>
        <v>527870.66129032266</v>
      </c>
      <c r="G11212" s="4"/>
    </row>
    <row r="11213" spans="6:7" x14ac:dyDescent="0.3">
      <c r="F11213" s="48">
        <f t="shared" si="186"/>
        <v>527870.66129032266</v>
      </c>
      <c r="G11213" s="4"/>
    </row>
    <row r="11214" spans="6:7" x14ac:dyDescent="0.3">
      <c r="F11214" s="48">
        <f t="shared" si="186"/>
        <v>527870.66129032266</v>
      </c>
      <c r="G11214" s="4"/>
    </row>
    <row r="11215" spans="6:7" x14ac:dyDescent="0.3">
      <c r="F11215" s="48">
        <f t="shared" si="186"/>
        <v>527870.66129032266</v>
      </c>
      <c r="G11215" s="4"/>
    </row>
    <row r="11216" spans="6:7" x14ac:dyDescent="0.3">
      <c r="F11216" s="48">
        <f t="shared" si="186"/>
        <v>527870.66129032266</v>
      </c>
      <c r="G11216" s="4"/>
    </row>
    <row r="11217" spans="6:7" x14ac:dyDescent="0.3">
      <c r="F11217" s="48">
        <f t="shared" si="186"/>
        <v>527870.66129032266</v>
      </c>
      <c r="G11217" s="4"/>
    </row>
    <row r="11218" spans="6:7" x14ac:dyDescent="0.3">
      <c r="F11218" s="48">
        <f t="shared" si="186"/>
        <v>527870.66129032266</v>
      </c>
      <c r="G11218" s="4"/>
    </row>
    <row r="11219" spans="6:7" x14ac:dyDescent="0.3">
      <c r="F11219" s="48">
        <f t="shared" si="186"/>
        <v>527870.66129032266</v>
      </c>
      <c r="G11219" s="4"/>
    </row>
    <row r="11220" spans="6:7" x14ac:dyDescent="0.3">
      <c r="F11220" s="48">
        <f t="shared" si="186"/>
        <v>527870.66129032266</v>
      </c>
      <c r="G11220" s="4"/>
    </row>
    <row r="11221" spans="6:7" x14ac:dyDescent="0.3">
      <c r="F11221" s="48">
        <f t="shared" si="186"/>
        <v>527870.66129032266</v>
      </c>
      <c r="G11221" s="4"/>
    </row>
    <row r="11222" spans="6:7" x14ac:dyDescent="0.3">
      <c r="F11222" s="48">
        <f t="shared" si="186"/>
        <v>527870.66129032266</v>
      </c>
      <c r="G11222" s="4"/>
    </row>
    <row r="11223" spans="6:7" x14ac:dyDescent="0.3">
      <c r="F11223" s="48">
        <f t="shared" si="186"/>
        <v>527870.66129032266</v>
      </c>
      <c r="G11223" s="4"/>
    </row>
    <row r="11224" spans="6:7" x14ac:dyDescent="0.3">
      <c r="F11224" s="48">
        <f t="shared" si="186"/>
        <v>527870.66129032266</v>
      </c>
      <c r="G11224" s="4"/>
    </row>
    <row r="11225" spans="6:7" x14ac:dyDescent="0.3">
      <c r="F11225" s="48">
        <f t="shared" si="186"/>
        <v>527870.66129032266</v>
      </c>
      <c r="G11225" s="4"/>
    </row>
    <row r="11226" spans="6:7" x14ac:dyDescent="0.3">
      <c r="F11226" s="48">
        <f t="shared" si="186"/>
        <v>527870.66129032266</v>
      </c>
      <c r="G11226" s="4"/>
    </row>
    <row r="11227" spans="6:7" x14ac:dyDescent="0.3">
      <c r="F11227" s="48">
        <f t="shared" si="186"/>
        <v>527870.66129032266</v>
      </c>
      <c r="G11227" s="4"/>
    </row>
    <row r="11228" spans="6:7" x14ac:dyDescent="0.3">
      <c r="F11228" s="48">
        <f t="shared" si="186"/>
        <v>527870.66129032266</v>
      </c>
      <c r="G11228" s="4"/>
    </row>
    <row r="11229" spans="6:7" x14ac:dyDescent="0.3">
      <c r="F11229" s="48">
        <f t="shared" si="186"/>
        <v>527870.66129032266</v>
      </c>
      <c r="G11229" s="4"/>
    </row>
    <row r="11230" spans="6:7" x14ac:dyDescent="0.3">
      <c r="F11230" s="48">
        <f t="shared" si="186"/>
        <v>527870.66129032266</v>
      </c>
      <c r="G11230" s="4"/>
    </row>
    <row r="11231" spans="6:7" x14ac:dyDescent="0.3">
      <c r="F11231" s="48">
        <f t="shared" si="186"/>
        <v>527870.66129032266</v>
      </c>
      <c r="G11231" s="4"/>
    </row>
    <row r="11232" spans="6:7" x14ac:dyDescent="0.3">
      <c r="F11232" s="48">
        <f t="shared" si="186"/>
        <v>527870.66129032266</v>
      </c>
      <c r="G11232" s="4"/>
    </row>
    <row r="11233" spans="6:7" x14ac:dyDescent="0.3">
      <c r="F11233" s="48">
        <f t="shared" si="186"/>
        <v>527870.66129032266</v>
      </c>
      <c r="G11233" s="4"/>
    </row>
    <row r="11234" spans="6:7" x14ac:dyDescent="0.3">
      <c r="F11234" s="48">
        <f t="shared" si="186"/>
        <v>527870.66129032266</v>
      </c>
      <c r="G11234" s="4"/>
    </row>
    <row r="11235" spans="6:7" x14ac:dyDescent="0.3">
      <c r="F11235" s="48">
        <f t="shared" si="186"/>
        <v>527870.66129032266</v>
      </c>
      <c r="G11235" s="4"/>
    </row>
    <row r="11236" spans="6:7" x14ac:dyDescent="0.3">
      <c r="F11236" s="48">
        <f t="shared" si="186"/>
        <v>527870.66129032266</v>
      </c>
      <c r="G11236" s="4"/>
    </row>
    <row r="11237" spans="6:7" x14ac:dyDescent="0.3">
      <c r="F11237" s="48">
        <f t="shared" ref="F11237:F11300" si="187">F11236+E11237-D11237</f>
        <v>527870.66129032266</v>
      </c>
      <c r="G11237" s="4"/>
    </row>
    <row r="11238" spans="6:7" x14ac:dyDescent="0.3">
      <c r="F11238" s="48">
        <f t="shared" si="187"/>
        <v>527870.66129032266</v>
      </c>
      <c r="G11238" s="4"/>
    </row>
    <row r="11239" spans="6:7" x14ac:dyDescent="0.3">
      <c r="F11239" s="48">
        <f t="shared" si="187"/>
        <v>527870.66129032266</v>
      </c>
      <c r="G11239" s="4"/>
    </row>
    <row r="11240" spans="6:7" x14ac:dyDescent="0.3">
      <c r="F11240" s="48">
        <f t="shared" si="187"/>
        <v>527870.66129032266</v>
      </c>
      <c r="G11240" s="4"/>
    </row>
    <row r="11241" spans="6:7" x14ac:dyDescent="0.3">
      <c r="F11241" s="48">
        <f t="shared" si="187"/>
        <v>527870.66129032266</v>
      </c>
      <c r="G11241" s="4"/>
    </row>
    <row r="11242" spans="6:7" x14ac:dyDescent="0.3">
      <c r="F11242" s="48">
        <f t="shared" si="187"/>
        <v>527870.66129032266</v>
      </c>
      <c r="G11242" s="4"/>
    </row>
    <row r="11243" spans="6:7" x14ac:dyDescent="0.3">
      <c r="F11243" s="48">
        <f t="shared" si="187"/>
        <v>527870.66129032266</v>
      </c>
      <c r="G11243" s="4"/>
    </row>
    <row r="11244" spans="6:7" x14ac:dyDescent="0.3">
      <c r="F11244" s="48">
        <f t="shared" si="187"/>
        <v>527870.66129032266</v>
      </c>
      <c r="G11244" s="4"/>
    </row>
    <row r="11245" spans="6:7" x14ac:dyDescent="0.3">
      <c r="F11245" s="48">
        <f t="shared" si="187"/>
        <v>527870.66129032266</v>
      </c>
      <c r="G11245" s="4"/>
    </row>
    <row r="11246" spans="6:7" x14ac:dyDescent="0.3">
      <c r="F11246" s="48">
        <f t="shared" si="187"/>
        <v>527870.66129032266</v>
      </c>
      <c r="G11246" s="4"/>
    </row>
    <row r="11247" spans="6:7" x14ac:dyDescent="0.3">
      <c r="F11247" s="48">
        <f t="shared" si="187"/>
        <v>527870.66129032266</v>
      </c>
      <c r="G11247" s="4"/>
    </row>
    <row r="11248" spans="6:7" x14ac:dyDescent="0.3">
      <c r="F11248" s="48">
        <f t="shared" si="187"/>
        <v>527870.66129032266</v>
      </c>
      <c r="G11248" s="4"/>
    </row>
    <row r="11249" spans="6:7" x14ac:dyDescent="0.3">
      <c r="F11249" s="48">
        <f t="shared" si="187"/>
        <v>527870.66129032266</v>
      </c>
      <c r="G11249" s="4"/>
    </row>
    <row r="11250" spans="6:7" x14ac:dyDescent="0.3">
      <c r="F11250" s="48">
        <f t="shared" si="187"/>
        <v>527870.66129032266</v>
      </c>
      <c r="G11250" s="4"/>
    </row>
    <row r="11251" spans="6:7" x14ac:dyDescent="0.3">
      <c r="F11251" s="48">
        <f t="shared" si="187"/>
        <v>527870.66129032266</v>
      </c>
      <c r="G11251" s="4"/>
    </row>
    <row r="11252" spans="6:7" x14ac:dyDescent="0.3">
      <c r="F11252" s="48">
        <f t="shared" si="187"/>
        <v>527870.66129032266</v>
      </c>
      <c r="G11252" s="4"/>
    </row>
    <row r="11253" spans="6:7" x14ac:dyDescent="0.3">
      <c r="F11253" s="48">
        <f t="shared" si="187"/>
        <v>527870.66129032266</v>
      </c>
      <c r="G11253" s="4"/>
    </row>
    <row r="11254" spans="6:7" x14ac:dyDescent="0.3">
      <c r="F11254" s="48">
        <f t="shared" si="187"/>
        <v>527870.66129032266</v>
      </c>
      <c r="G11254" s="4"/>
    </row>
    <row r="11255" spans="6:7" x14ac:dyDescent="0.3">
      <c r="F11255" s="48">
        <f t="shared" si="187"/>
        <v>527870.66129032266</v>
      </c>
      <c r="G11255" s="4"/>
    </row>
    <row r="11256" spans="6:7" x14ac:dyDescent="0.3">
      <c r="F11256" s="48">
        <f t="shared" si="187"/>
        <v>527870.66129032266</v>
      </c>
      <c r="G11256" s="4"/>
    </row>
    <row r="11257" spans="6:7" x14ac:dyDescent="0.3">
      <c r="F11257" s="48">
        <f t="shared" si="187"/>
        <v>527870.66129032266</v>
      </c>
      <c r="G11257" s="4"/>
    </row>
    <row r="11258" spans="6:7" x14ac:dyDescent="0.3">
      <c r="F11258" s="48">
        <f t="shared" si="187"/>
        <v>527870.66129032266</v>
      </c>
      <c r="G11258" s="4"/>
    </row>
    <row r="11259" spans="6:7" x14ac:dyDescent="0.3">
      <c r="F11259" s="48">
        <f t="shared" si="187"/>
        <v>527870.66129032266</v>
      </c>
      <c r="G11259" s="4"/>
    </row>
    <row r="11260" spans="6:7" x14ac:dyDescent="0.3">
      <c r="F11260" s="48">
        <f t="shared" si="187"/>
        <v>527870.66129032266</v>
      </c>
      <c r="G11260" s="4"/>
    </row>
    <row r="11261" spans="6:7" x14ac:dyDescent="0.3">
      <c r="F11261" s="48">
        <f t="shared" si="187"/>
        <v>527870.66129032266</v>
      </c>
      <c r="G11261" s="4"/>
    </row>
    <row r="11262" spans="6:7" x14ac:dyDescent="0.3">
      <c r="F11262" s="48">
        <f t="shared" si="187"/>
        <v>527870.66129032266</v>
      </c>
      <c r="G11262" s="4"/>
    </row>
    <row r="11263" spans="6:7" x14ac:dyDescent="0.3">
      <c r="F11263" s="48">
        <f t="shared" si="187"/>
        <v>527870.66129032266</v>
      </c>
      <c r="G11263" s="4"/>
    </row>
    <row r="11264" spans="6:7" x14ac:dyDescent="0.3">
      <c r="F11264" s="48">
        <f t="shared" si="187"/>
        <v>527870.66129032266</v>
      </c>
      <c r="G11264" s="4"/>
    </row>
    <row r="11265" spans="6:7" x14ac:dyDescent="0.3">
      <c r="F11265" s="48">
        <f t="shared" si="187"/>
        <v>527870.66129032266</v>
      </c>
      <c r="G11265" s="4"/>
    </row>
    <row r="11266" spans="6:7" x14ac:dyDescent="0.3">
      <c r="F11266" s="48">
        <f t="shared" si="187"/>
        <v>527870.66129032266</v>
      </c>
      <c r="G11266" s="4"/>
    </row>
    <row r="11267" spans="6:7" x14ac:dyDescent="0.3">
      <c r="F11267" s="48">
        <f t="shared" si="187"/>
        <v>527870.66129032266</v>
      </c>
      <c r="G11267" s="4"/>
    </row>
    <row r="11268" spans="6:7" x14ac:dyDescent="0.3">
      <c r="F11268" s="48">
        <f t="shared" si="187"/>
        <v>527870.66129032266</v>
      </c>
      <c r="G11268" s="4"/>
    </row>
    <row r="11269" spans="6:7" x14ac:dyDescent="0.3">
      <c r="F11269" s="48">
        <f t="shared" si="187"/>
        <v>527870.66129032266</v>
      </c>
      <c r="G11269" s="4"/>
    </row>
    <row r="11270" spans="6:7" x14ac:dyDescent="0.3">
      <c r="F11270" s="48">
        <f t="shared" si="187"/>
        <v>527870.66129032266</v>
      </c>
      <c r="G11270" s="4"/>
    </row>
    <row r="11271" spans="6:7" x14ac:dyDescent="0.3">
      <c r="F11271" s="48">
        <f t="shared" si="187"/>
        <v>527870.66129032266</v>
      </c>
      <c r="G11271" s="4"/>
    </row>
    <row r="11272" spans="6:7" x14ac:dyDescent="0.3">
      <c r="F11272" s="48">
        <f t="shared" si="187"/>
        <v>527870.66129032266</v>
      </c>
      <c r="G11272" s="4"/>
    </row>
    <row r="11273" spans="6:7" x14ac:dyDescent="0.3">
      <c r="F11273" s="48">
        <f t="shared" si="187"/>
        <v>527870.66129032266</v>
      </c>
      <c r="G11273" s="4"/>
    </row>
    <row r="11274" spans="6:7" x14ac:dyDescent="0.3">
      <c r="F11274" s="48">
        <f t="shared" si="187"/>
        <v>527870.66129032266</v>
      </c>
      <c r="G11274" s="4"/>
    </row>
    <row r="11275" spans="6:7" x14ac:dyDescent="0.3">
      <c r="F11275" s="48">
        <f t="shared" si="187"/>
        <v>527870.66129032266</v>
      </c>
      <c r="G11275" s="4"/>
    </row>
    <row r="11276" spans="6:7" x14ac:dyDescent="0.3">
      <c r="F11276" s="48">
        <f t="shared" si="187"/>
        <v>527870.66129032266</v>
      </c>
      <c r="G11276" s="4"/>
    </row>
    <row r="11277" spans="6:7" x14ac:dyDescent="0.3">
      <c r="F11277" s="48">
        <f t="shared" si="187"/>
        <v>527870.66129032266</v>
      </c>
      <c r="G11277" s="4"/>
    </row>
    <row r="11278" spans="6:7" x14ac:dyDescent="0.3">
      <c r="F11278" s="48">
        <f t="shared" si="187"/>
        <v>527870.66129032266</v>
      </c>
      <c r="G11278" s="4"/>
    </row>
    <row r="11279" spans="6:7" x14ac:dyDescent="0.3">
      <c r="F11279" s="48">
        <f t="shared" si="187"/>
        <v>527870.66129032266</v>
      </c>
      <c r="G11279" s="4"/>
    </row>
    <row r="11280" spans="6:7" x14ac:dyDescent="0.3">
      <c r="F11280" s="48">
        <f t="shared" si="187"/>
        <v>527870.66129032266</v>
      </c>
      <c r="G11280" s="4"/>
    </row>
    <row r="11281" spans="6:7" x14ac:dyDescent="0.3">
      <c r="F11281" s="48">
        <f t="shared" si="187"/>
        <v>527870.66129032266</v>
      </c>
      <c r="G11281" s="4"/>
    </row>
    <row r="11282" spans="6:7" x14ac:dyDescent="0.3">
      <c r="F11282" s="48">
        <f t="shared" si="187"/>
        <v>527870.66129032266</v>
      </c>
      <c r="G11282" s="4"/>
    </row>
    <row r="11283" spans="6:7" x14ac:dyDescent="0.3">
      <c r="F11283" s="48">
        <f t="shared" si="187"/>
        <v>527870.66129032266</v>
      </c>
      <c r="G11283" s="4"/>
    </row>
    <row r="11284" spans="6:7" x14ac:dyDescent="0.3">
      <c r="F11284" s="48">
        <f t="shared" si="187"/>
        <v>527870.66129032266</v>
      </c>
      <c r="G11284" s="4"/>
    </row>
    <row r="11285" spans="6:7" x14ac:dyDescent="0.3">
      <c r="F11285" s="48">
        <f t="shared" si="187"/>
        <v>527870.66129032266</v>
      </c>
      <c r="G11285" s="4"/>
    </row>
    <row r="11286" spans="6:7" x14ac:dyDescent="0.3">
      <c r="F11286" s="48">
        <f t="shared" si="187"/>
        <v>527870.66129032266</v>
      </c>
      <c r="G11286" s="4"/>
    </row>
    <row r="11287" spans="6:7" x14ac:dyDescent="0.3">
      <c r="F11287" s="48">
        <f t="shared" si="187"/>
        <v>527870.66129032266</v>
      </c>
      <c r="G11287" s="4"/>
    </row>
    <row r="11288" spans="6:7" x14ac:dyDescent="0.3">
      <c r="F11288" s="48">
        <f t="shared" si="187"/>
        <v>527870.66129032266</v>
      </c>
      <c r="G11288" s="4"/>
    </row>
    <row r="11289" spans="6:7" x14ac:dyDescent="0.3">
      <c r="F11289" s="48">
        <f t="shared" si="187"/>
        <v>527870.66129032266</v>
      </c>
      <c r="G11289" s="4"/>
    </row>
    <row r="11290" spans="6:7" x14ac:dyDescent="0.3">
      <c r="F11290" s="48">
        <f t="shared" si="187"/>
        <v>527870.66129032266</v>
      </c>
      <c r="G11290" s="4"/>
    </row>
    <row r="11291" spans="6:7" x14ac:dyDescent="0.3">
      <c r="F11291" s="48">
        <f t="shared" si="187"/>
        <v>527870.66129032266</v>
      </c>
      <c r="G11291" s="4"/>
    </row>
    <row r="11292" spans="6:7" x14ac:dyDescent="0.3">
      <c r="F11292" s="48">
        <f t="shared" si="187"/>
        <v>527870.66129032266</v>
      </c>
      <c r="G11292" s="4"/>
    </row>
    <row r="11293" spans="6:7" x14ac:dyDescent="0.3">
      <c r="F11293" s="48">
        <f t="shared" si="187"/>
        <v>527870.66129032266</v>
      </c>
      <c r="G11293" s="4"/>
    </row>
    <row r="11294" spans="6:7" x14ac:dyDescent="0.3">
      <c r="F11294" s="48">
        <f t="shared" si="187"/>
        <v>527870.66129032266</v>
      </c>
      <c r="G11294" s="4"/>
    </row>
    <row r="11295" spans="6:7" x14ac:dyDescent="0.3">
      <c r="F11295" s="48">
        <f t="shared" si="187"/>
        <v>527870.66129032266</v>
      </c>
      <c r="G11295" s="4"/>
    </row>
    <row r="11296" spans="6:7" x14ac:dyDescent="0.3">
      <c r="F11296" s="48">
        <f t="shared" si="187"/>
        <v>527870.66129032266</v>
      </c>
      <c r="G11296" s="4"/>
    </row>
    <row r="11297" spans="6:7" x14ac:dyDescent="0.3">
      <c r="F11297" s="48">
        <f t="shared" si="187"/>
        <v>527870.66129032266</v>
      </c>
      <c r="G11297" s="4"/>
    </row>
    <row r="11298" spans="6:7" x14ac:dyDescent="0.3">
      <c r="F11298" s="48">
        <f t="shared" si="187"/>
        <v>527870.66129032266</v>
      </c>
      <c r="G11298" s="4"/>
    </row>
    <row r="11299" spans="6:7" x14ac:dyDescent="0.3">
      <c r="F11299" s="48">
        <f t="shared" si="187"/>
        <v>527870.66129032266</v>
      </c>
      <c r="G11299" s="4"/>
    </row>
    <row r="11300" spans="6:7" x14ac:dyDescent="0.3">
      <c r="F11300" s="48">
        <f t="shared" si="187"/>
        <v>527870.66129032266</v>
      </c>
      <c r="G11300" s="4"/>
    </row>
    <row r="11301" spans="6:7" x14ac:dyDescent="0.3">
      <c r="F11301" s="48">
        <f t="shared" ref="F11301:F11364" si="188">F11300+E11301-D11301</f>
        <v>527870.66129032266</v>
      </c>
      <c r="G11301" s="4"/>
    </row>
    <row r="11302" spans="6:7" x14ac:dyDescent="0.3">
      <c r="F11302" s="48">
        <f t="shared" si="188"/>
        <v>527870.66129032266</v>
      </c>
      <c r="G11302" s="4"/>
    </row>
    <row r="11303" spans="6:7" x14ac:dyDescent="0.3">
      <c r="F11303" s="48">
        <f t="shared" si="188"/>
        <v>527870.66129032266</v>
      </c>
      <c r="G11303" s="4"/>
    </row>
    <row r="11304" spans="6:7" x14ac:dyDescent="0.3">
      <c r="F11304" s="48">
        <f t="shared" si="188"/>
        <v>527870.66129032266</v>
      </c>
      <c r="G11304" s="4"/>
    </row>
    <row r="11305" spans="6:7" x14ac:dyDescent="0.3">
      <c r="F11305" s="48">
        <f t="shared" si="188"/>
        <v>527870.66129032266</v>
      </c>
      <c r="G11305" s="4"/>
    </row>
    <row r="11306" spans="6:7" x14ac:dyDescent="0.3">
      <c r="F11306" s="48">
        <f t="shared" si="188"/>
        <v>527870.66129032266</v>
      </c>
      <c r="G11306" s="4"/>
    </row>
    <row r="11307" spans="6:7" x14ac:dyDescent="0.3">
      <c r="F11307" s="48">
        <f t="shared" si="188"/>
        <v>527870.66129032266</v>
      </c>
      <c r="G11307" s="4"/>
    </row>
    <row r="11308" spans="6:7" x14ac:dyDescent="0.3">
      <c r="F11308" s="48">
        <f t="shared" si="188"/>
        <v>527870.66129032266</v>
      </c>
      <c r="G11308" s="4"/>
    </row>
    <row r="11309" spans="6:7" x14ac:dyDescent="0.3">
      <c r="F11309" s="48">
        <f t="shared" si="188"/>
        <v>527870.66129032266</v>
      </c>
      <c r="G11309" s="4"/>
    </row>
    <row r="11310" spans="6:7" x14ac:dyDescent="0.3">
      <c r="F11310" s="48">
        <f t="shared" si="188"/>
        <v>527870.66129032266</v>
      </c>
      <c r="G11310" s="4"/>
    </row>
    <row r="11311" spans="6:7" x14ac:dyDescent="0.3">
      <c r="F11311" s="48">
        <f t="shared" si="188"/>
        <v>527870.66129032266</v>
      </c>
      <c r="G11311" s="4"/>
    </row>
    <row r="11312" spans="6:7" x14ac:dyDescent="0.3">
      <c r="F11312" s="48">
        <f t="shared" si="188"/>
        <v>527870.66129032266</v>
      </c>
      <c r="G11312" s="4"/>
    </row>
    <row r="11313" spans="6:7" x14ac:dyDescent="0.3">
      <c r="F11313" s="48">
        <f t="shared" si="188"/>
        <v>527870.66129032266</v>
      </c>
      <c r="G11313" s="4"/>
    </row>
    <row r="11314" spans="6:7" x14ac:dyDescent="0.3">
      <c r="F11314" s="48">
        <f t="shared" si="188"/>
        <v>527870.66129032266</v>
      </c>
      <c r="G11314" s="4"/>
    </row>
    <row r="11315" spans="6:7" x14ac:dyDescent="0.3">
      <c r="F11315" s="48">
        <f t="shared" si="188"/>
        <v>527870.66129032266</v>
      </c>
      <c r="G11315" s="4"/>
    </row>
    <row r="11316" spans="6:7" x14ac:dyDescent="0.3">
      <c r="F11316" s="48">
        <f t="shared" si="188"/>
        <v>527870.66129032266</v>
      </c>
      <c r="G11316" s="4"/>
    </row>
    <row r="11317" spans="6:7" x14ac:dyDescent="0.3">
      <c r="F11317" s="48">
        <f t="shared" si="188"/>
        <v>527870.66129032266</v>
      </c>
      <c r="G11317" s="4"/>
    </row>
    <row r="11318" spans="6:7" x14ac:dyDescent="0.3">
      <c r="F11318" s="48">
        <f t="shared" si="188"/>
        <v>527870.66129032266</v>
      </c>
      <c r="G11318" s="4"/>
    </row>
    <row r="11319" spans="6:7" x14ac:dyDescent="0.3">
      <c r="F11319" s="48">
        <f t="shared" si="188"/>
        <v>527870.66129032266</v>
      </c>
      <c r="G11319" s="4"/>
    </row>
    <row r="11320" spans="6:7" x14ac:dyDescent="0.3">
      <c r="F11320" s="48">
        <f t="shared" si="188"/>
        <v>527870.66129032266</v>
      </c>
      <c r="G11320" s="4"/>
    </row>
    <row r="11321" spans="6:7" x14ac:dyDescent="0.3">
      <c r="F11321" s="48">
        <f t="shared" si="188"/>
        <v>527870.66129032266</v>
      </c>
      <c r="G11321" s="4"/>
    </row>
    <row r="11322" spans="6:7" x14ac:dyDescent="0.3">
      <c r="F11322" s="48">
        <f t="shared" si="188"/>
        <v>527870.66129032266</v>
      </c>
      <c r="G11322" s="4"/>
    </row>
    <row r="11323" spans="6:7" x14ac:dyDescent="0.3">
      <c r="F11323" s="48">
        <f t="shared" si="188"/>
        <v>527870.66129032266</v>
      </c>
      <c r="G11323" s="4"/>
    </row>
    <row r="11324" spans="6:7" x14ac:dyDescent="0.3">
      <c r="F11324" s="48">
        <f t="shared" si="188"/>
        <v>527870.66129032266</v>
      </c>
      <c r="G11324" s="4"/>
    </row>
    <row r="11325" spans="6:7" x14ac:dyDescent="0.3">
      <c r="F11325" s="48">
        <f t="shared" si="188"/>
        <v>527870.66129032266</v>
      </c>
      <c r="G11325" s="4"/>
    </row>
    <row r="11326" spans="6:7" x14ac:dyDescent="0.3">
      <c r="F11326" s="48">
        <f t="shared" si="188"/>
        <v>527870.66129032266</v>
      </c>
      <c r="G11326" s="4"/>
    </row>
    <row r="11327" spans="6:7" x14ac:dyDescent="0.3">
      <c r="F11327" s="48">
        <f t="shared" si="188"/>
        <v>527870.66129032266</v>
      </c>
      <c r="G11327" s="4"/>
    </row>
    <row r="11328" spans="6:7" x14ac:dyDescent="0.3">
      <c r="F11328" s="48">
        <f t="shared" si="188"/>
        <v>527870.66129032266</v>
      </c>
      <c r="G11328" s="4"/>
    </row>
    <row r="11329" spans="6:7" x14ac:dyDescent="0.3">
      <c r="F11329" s="48">
        <f t="shared" si="188"/>
        <v>527870.66129032266</v>
      </c>
      <c r="G11329" s="4"/>
    </row>
    <row r="11330" spans="6:7" x14ac:dyDescent="0.3">
      <c r="F11330" s="48">
        <f t="shared" si="188"/>
        <v>527870.66129032266</v>
      </c>
      <c r="G11330" s="4"/>
    </row>
    <row r="11331" spans="6:7" x14ac:dyDescent="0.3">
      <c r="F11331" s="48">
        <f t="shared" si="188"/>
        <v>527870.66129032266</v>
      </c>
      <c r="G11331" s="4"/>
    </row>
    <row r="11332" spans="6:7" x14ac:dyDescent="0.3">
      <c r="F11332" s="48">
        <f t="shared" si="188"/>
        <v>527870.66129032266</v>
      </c>
      <c r="G11332" s="4"/>
    </row>
    <row r="11333" spans="6:7" x14ac:dyDescent="0.3">
      <c r="F11333" s="48">
        <f t="shared" si="188"/>
        <v>527870.66129032266</v>
      </c>
      <c r="G11333" s="4"/>
    </row>
    <row r="11334" spans="6:7" x14ac:dyDescent="0.3">
      <c r="F11334" s="48">
        <f t="shared" si="188"/>
        <v>527870.66129032266</v>
      </c>
      <c r="G11334" s="4"/>
    </row>
    <row r="11335" spans="6:7" x14ac:dyDescent="0.3">
      <c r="F11335" s="48">
        <f t="shared" si="188"/>
        <v>527870.66129032266</v>
      </c>
      <c r="G11335" s="4"/>
    </row>
    <row r="11336" spans="6:7" x14ac:dyDescent="0.3">
      <c r="F11336" s="48">
        <f t="shared" si="188"/>
        <v>527870.66129032266</v>
      </c>
      <c r="G11336" s="4"/>
    </row>
    <row r="11337" spans="6:7" x14ac:dyDescent="0.3">
      <c r="F11337" s="48">
        <f t="shared" si="188"/>
        <v>527870.66129032266</v>
      </c>
      <c r="G11337" s="4"/>
    </row>
    <row r="11338" spans="6:7" x14ac:dyDescent="0.3">
      <c r="F11338" s="48">
        <f t="shared" si="188"/>
        <v>527870.66129032266</v>
      </c>
      <c r="G11338" s="4"/>
    </row>
    <row r="11339" spans="6:7" x14ac:dyDescent="0.3">
      <c r="F11339" s="48">
        <f t="shared" si="188"/>
        <v>527870.66129032266</v>
      </c>
      <c r="G11339" s="4"/>
    </row>
    <row r="11340" spans="6:7" x14ac:dyDescent="0.3">
      <c r="F11340" s="48">
        <f t="shared" si="188"/>
        <v>527870.66129032266</v>
      </c>
      <c r="G11340" s="4"/>
    </row>
    <row r="11341" spans="6:7" x14ac:dyDescent="0.3">
      <c r="F11341" s="48">
        <f t="shared" si="188"/>
        <v>527870.66129032266</v>
      </c>
      <c r="G11341" s="4"/>
    </row>
    <row r="11342" spans="6:7" x14ac:dyDescent="0.3">
      <c r="F11342" s="48">
        <f t="shared" si="188"/>
        <v>527870.66129032266</v>
      </c>
      <c r="G11342" s="4"/>
    </row>
    <row r="11343" spans="6:7" x14ac:dyDescent="0.3">
      <c r="F11343" s="48">
        <f t="shared" si="188"/>
        <v>527870.66129032266</v>
      </c>
      <c r="G11343" s="4"/>
    </row>
    <row r="11344" spans="6:7" x14ac:dyDescent="0.3">
      <c r="F11344" s="48">
        <f t="shared" si="188"/>
        <v>527870.66129032266</v>
      </c>
      <c r="G11344" s="4"/>
    </row>
    <row r="11345" spans="6:7" x14ac:dyDescent="0.3">
      <c r="F11345" s="48">
        <f t="shared" si="188"/>
        <v>527870.66129032266</v>
      </c>
      <c r="G11345" s="4"/>
    </row>
    <row r="11346" spans="6:7" x14ac:dyDescent="0.3">
      <c r="F11346" s="48">
        <f t="shared" si="188"/>
        <v>527870.66129032266</v>
      </c>
      <c r="G11346" s="4"/>
    </row>
    <row r="11347" spans="6:7" x14ac:dyDescent="0.3">
      <c r="F11347" s="48">
        <f t="shared" si="188"/>
        <v>527870.66129032266</v>
      </c>
      <c r="G11347" s="4"/>
    </row>
    <row r="11348" spans="6:7" x14ac:dyDescent="0.3">
      <c r="F11348" s="48">
        <f t="shared" si="188"/>
        <v>527870.66129032266</v>
      </c>
      <c r="G11348" s="4"/>
    </row>
    <row r="11349" spans="6:7" x14ac:dyDescent="0.3">
      <c r="F11349" s="48">
        <f t="shared" si="188"/>
        <v>527870.66129032266</v>
      </c>
      <c r="G11349" s="4"/>
    </row>
    <row r="11350" spans="6:7" x14ac:dyDescent="0.3">
      <c r="F11350" s="48">
        <f t="shared" si="188"/>
        <v>527870.66129032266</v>
      </c>
      <c r="G11350" s="4"/>
    </row>
    <row r="11351" spans="6:7" x14ac:dyDescent="0.3">
      <c r="F11351" s="48">
        <f t="shared" si="188"/>
        <v>527870.66129032266</v>
      </c>
      <c r="G11351" s="4"/>
    </row>
    <row r="11352" spans="6:7" x14ac:dyDescent="0.3">
      <c r="F11352" s="48">
        <f t="shared" si="188"/>
        <v>527870.66129032266</v>
      </c>
      <c r="G11352" s="4"/>
    </row>
    <row r="11353" spans="6:7" x14ac:dyDescent="0.3">
      <c r="F11353" s="48">
        <f t="shared" si="188"/>
        <v>527870.66129032266</v>
      </c>
      <c r="G11353" s="4"/>
    </row>
    <row r="11354" spans="6:7" x14ac:dyDescent="0.3">
      <c r="F11354" s="48">
        <f t="shared" si="188"/>
        <v>527870.66129032266</v>
      </c>
      <c r="G11354" s="4"/>
    </row>
    <row r="11355" spans="6:7" x14ac:dyDescent="0.3">
      <c r="F11355" s="48">
        <f t="shared" si="188"/>
        <v>527870.66129032266</v>
      </c>
      <c r="G11355" s="4"/>
    </row>
    <row r="11356" spans="6:7" x14ac:dyDescent="0.3">
      <c r="F11356" s="48">
        <f t="shared" si="188"/>
        <v>527870.66129032266</v>
      </c>
      <c r="G11356" s="4"/>
    </row>
    <row r="11357" spans="6:7" x14ac:dyDescent="0.3">
      <c r="F11357" s="48">
        <f t="shared" si="188"/>
        <v>527870.66129032266</v>
      </c>
      <c r="G11357" s="4"/>
    </row>
    <row r="11358" spans="6:7" x14ac:dyDescent="0.3">
      <c r="F11358" s="48">
        <f t="shared" si="188"/>
        <v>527870.66129032266</v>
      </c>
      <c r="G11358" s="4"/>
    </row>
    <row r="11359" spans="6:7" x14ac:dyDescent="0.3">
      <c r="F11359" s="48">
        <f t="shared" si="188"/>
        <v>527870.66129032266</v>
      </c>
      <c r="G11359" s="4"/>
    </row>
    <row r="11360" spans="6:7" x14ac:dyDescent="0.3">
      <c r="F11360" s="48">
        <f t="shared" si="188"/>
        <v>527870.66129032266</v>
      </c>
      <c r="G11360" s="4"/>
    </row>
    <row r="11361" spans="6:7" x14ac:dyDescent="0.3">
      <c r="F11361" s="48">
        <f t="shared" si="188"/>
        <v>527870.66129032266</v>
      </c>
      <c r="G11361" s="4"/>
    </row>
    <row r="11362" spans="6:7" x14ac:dyDescent="0.3">
      <c r="F11362" s="48">
        <f t="shared" si="188"/>
        <v>527870.66129032266</v>
      </c>
      <c r="G11362" s="4"/>
    </row>
    <row r="11363" spans="6:7" x14ac:dyDescent="0.3">
      <c r="F11363" s="48">
        <f t="shared" si="188"/>
        <v>527870.66129032266</v>
      </c>
      <c r="G11363" s="4"/>
    </row>
    <row r="11364" spans="6:7" x14ac:dyDescent="0.3">
      <c r="F11364" s="48">
        <f t="shared" si="188"/>
        <v>527870.66129032266</v>
      </c>
      <c r="G11364" s="4"/>
    </row>
    <row r="11365" spans="6:7" x14ac:dyDescent="0.3">
      <c r="F11365" s="48">
        <f t="shared" ref="F11365:F11428" si="189">F11364+E11365-D11365</f>
        <v>527870.66129032266</v>
      </c>
      <c r="G11365" s="4"/>
    </row>
    <row r="11366" spans="6:7" x14ac:dyDescent="0.3">
      <c r="F11366" s="48">
        <f t="shared" si="189"/>
        <v>527870.66129032266</v>
      </c>
      <c r="G11366" s="4"/>
    </row>
    <row r="11367" spans="6:7" x14ac:dyDescent="0.3">
      <c r="F11367" s="48">
        <f t="shared" si="189"/>
        <v>527870.66129032266</v>
      </c>
      <c r="G11367" s="4"/>
    </row>
    <row r="11368" spans="6:7" x14ac:dyDescent="0.3">
      <c r="F11368" s="48">
        <f t="shared" si="189"/>
        <v>527870.66129032266</v>
      </c>
      <c r="G11368" s="4"/>
    </row>
    <row r="11369" spans="6:7" x14ac:dyDescent="0.3">
      <c r="F11369" s="48">
        <f t="shared" si="189"/>
        <v>527870.66129032266</v>
      </c>
      <c r="G11369" s="4"/>
    </row>
    <row r="11370" spans="6:7" x14ac:dyDescent="0.3">
      <c r="F11370" s="48">
        <f t="shared" si="189"/>
        <v>527870.66129032266</v>
      </c>
      <c r="G11370" s="4"/>
    </row>
    <row r="11371" spans="6:7" x14ac:dyDescent="0.3">
      <c r="F11371" s="48">
        <f t="shared" si="189"/>
        <v>527870.66129032266</v>
      </c>
      <c r="G11371" s="4"/>
    </row>
    <row r="11372" spans="6:7" x14ac:dyDescent="0.3">
      <c r="F11372" s="48">
        <f t="shared" si="189"/>
        <v>527870.66129032266</v>
      </c>
      <c r="G11372" s="4"/>
    </row>
    <row r="11373" spans="6:7" x14ac:dyDescent="0.3">
      <c r="F11373" s="48">
        <f t="shared" si="189"/>
        <v>527870.66129032266</v>
      </c>
      <c r="G11373" s="4"/>
    </row>
    <row r="11374" spans="6:7" x14ac:dyDescent="0.3">
      <c r="F11374" s="48">
        <f t="shared" si="189"/>
        <v>527870.66129032266</v>
      </c>
      <c r="G11374" s="4"/>
    </row>
    <row r="11375" spans="6:7" x14ac:dyDescent="0.3">
      <c r="F11375" s="48">
        <f t="shared" si="189"/>
        <v>527870.66129032266</v>
      </c>
      <c r="G11375" s="4"/>
    </row>
    <row r="11376" spans="6:7" x14ac:dyDescent="0.3">
      <c r="F11376" s="48">
        <f t="shared" si="189"/>
        <v>527870.66129032266</v>
      </c>
      <c r="G11376" s="4"/>
    </row>
    <row r="11377" spans="6:7" x14ac:dyDescent="0.3">
      <c r="F11377" s="48">
        <f t="shared" si="189"/>
        <v>527870.66129032266</v>
      </c>
      <c r="G11377" s="4"/>
    </row>
    <row r="11378" spans="6:7" x14ac:dyDescent="0.3">
      <c r="F11378" s="48">
        <f t="shared" si="189"/>
        <v>527870.66129032266</v>
      </c>
      <c r="G11378" s="4"/>
    </row>
    <row r="11379" spans="6:7" x14ac:dyDescent="0.3">
      <c r="F11379" s="48">
        <f t="shared" si="189"/>
        <v>527870.66129032266</v>
      </c>
      <c r="G11379" s="4"/>
    </row>
    <row r="11380" spans="6:7" x14ac:dyDescent="0.3">
      <c r="F11380" s="48">
        <f t="shared" si="189"/>
        <v>527870.66129032266</v>
      </c>
      <c r="G11380" s="4"/>
    </row>
    <row r="11381" spans="6:7" x14ac:dyDescent="0.3">
      <c r="F11381" s="48">
        <f t="shared" si="189"/>
        <v>527870.66129032266</v>
      </c>
      <c r="G11381" s="4"/>
    </row>
    <row r="11382" spans="6:7" x14ac:dyDescent="0.3">
      <c r="F11382" s="48">
        <f t="shared" si="189"/>
        <v>527870.66129032266</v>
      </c>
      <c r="G11382" s="4"/>
    </row>
    <row r="11383" spans="6:7" x14ac:dyDescent="0.3">
      <c r="F11383" s="48">
        <f t="shared" si="189"/>
        <v>527870.66129032266</v>
      </c>
      <c r="G11383" s="4"/>
    </row>
    <row r="11384" spans="6:7" x14ac:dyDescent="0.3">
      <c r="F11384" s="48">
        <f t="shared" si="189"/>
        <v>527870.66129032266</v>
      </c>
      <c r="G11384" s="4"/>
    </row>
    <row r="11385" spans="6:7" x14ac:dyDescent="0.3">
      <c r="F11385" s="48">
        <f t="shared" si="189"/>
        <v>527870.66129032266</v>
      </c>
      <c r="G11385" s="4"/>
    </row>
    <row r="11386" spans="6:7" x14ac:dyDescent="0.3">
      <c r="F11386" s="48">
        <f t="shared" si="189"/>
        <v>527870.66129032266</v>
      </c>
      <c r="G11386" s="4"/>
    </row>
    <row r="11387" spans="6:7" x14ac:dyDescent="0.3">
      <c r="F11387" s="48">
        <f t="shared" si="189"/>
        <v>527870.66129032266</v>
      </c>
      <c r="G11387" s="4"/>
    </row>
    <row r="11388" spans="6:7" x14ac:dyDescent="0.3">
      <c r="F11388" s="48">
        <f t="shared" si="189"/>
        <v>527870.66129032266</v>
      </c>
      <c r="G11388" s="4"/>
    </row>
    <row r="11389" spans="6:7" x14ac:dyDescent="0.3">
      <c r="F11389" s="48">
        <f t="shared" si="189"/>
        <v>527870.66129032266</v>
      </c>
      <c r="G11389" s="4"/>
    </row>
    <row r="11390" spans="6:7" x14ac:dyDescent="0.3">
      <c r="F11390" s="48">
        <f t="shared" si="189"/>
        <v>527870.66129032266</v>
      </c>
      <c r="G11390" s="4"/>
    </row>
    <row r="11391" spans="6:7" x14ac:dyDescent="0.3">
      <c r="F11391" s="48">
        <f t="shared" si="189"/>
        <v>527870.66129032266</v>
      </c>
      <c r="G11391" s="4"/>
    </row>
    <row r="11392" spans="6:7" x14ac:dyDescent="0.3">
      <c r="F11392" s="48">
        <f t="shared" si="189"/>
        <v>527870.66129032266</v>
      </c>
      <c r="G11392" s="4"/>
    </row>
    <row r="11393" spans="6:7" x14ac:dyDescent="0.3">
      <c r="F11393" s="48">
        <f t="shared" si="189"/>
        <v>527870.66129032266</v>
      </c>
      <c r="G11393" s="4"/>
    </row>
    <row r="11394" spans="6:7" x14ac:dyDescent="0.3">
      <c r="F11394" s="48">
        <f t="shared" si="189"/>
        <v>527870.66129032266</v>
      </c>
      <c r="G11394" s="4"/>
    </row>
    <row r="11395" spans="6:7" x14ac:dyDescent="0.3">
      <c r="F11395" s="48">
        <f t="shared" si="189"/>
        <v>527870.66129032266</v>
      </c>
      <c r="G11395" s="4"/>
    </row>
    <row r="11396" spans="6:7" x14ac:dyDescent="0.3">
      <c r="F11396" s="48">
        <f t="shared" si="189"/>
        <v>527870.66129032266</v>
      </c>
      <c r="G11396" s="4"/>
    </row>
    <row r="11397" spans="6:7" x14ac:dyDescent="0.3">
      <c r="F11397" s="48">
        <f t="shared" si="189"/>
        <v>527870.66129032266</v>
      </c>
      <c r="G11397" s="4"/>
    </row>
    <row r="11398" spans="6:7" x14ac:dyDescent="0.3">
      <c r="F11398" s="48">
        <f t="shared" si="189"/>
        <v>527870.66129032266</v>
      </c>
      <c r="G11398" s="4"/>
    </row>
    <row r="11399" spans="6:7" x14ac:dyDescent="0.3">
      <c r="F11399" s="48">
        <f t="shared" si="189"/>
        <v>527870.66129032266</v>
      </c>
      <c r="G11399" s="4"/>
    </row>
    <row r="11400" spans="6:7" x14ac:dyDescent="0.3">
      <c r="F11400" s="48">
        <f t="shared" si="189"/>
        <v>527870.66129032266</v>
      </c>
      <c r="G11400" s="4"/>
    </row>
    <row r="11401" spans="6:7" x14ac:dyDescent="0.3">
      <c r="F11401" s="48">
        <f t="shared" si="189"/>
        <v>527870.66129032266</v>
      </c>
      <c r="G11401" s="4"/>
    </row>
    <row r="11402" spans="6:7" x14ac:dyDescent="0.3">
      <c r="F11402" s="48">
        <f t="shared" si="189"/>
        <v>527870.66129032266</v>
      </c>
      <c r="G11402" s="4"/>
    </row>
    <row r="11403" spans="6:7" x14ac:dyDescent="0.3">
      <c r="F11403" s="48">
        <f t="shared" si="189"/>
        <v>527870.66129032266</v>
      </c>
      <c r="G11403" s="4"/>
    </row>
    <row r="11404" spans="6:7" x14ac:dyDescent="0.3">
      <c r="F11404" s="48">
        <f t="shared" si="189"/>
        <v>527870.66129032266</v>
      </c>
      <c r="G11404" s="4"/>
    </row>
    <row r="11405" spans="6:7" x14ac:dyDescent="0.3">
      <c r="F11405" s="48">
        <f t="shared" si="189"/>
        <v>527870.66129032266</v>
      </c>
      <c r="G11405" s="4"/>
    </row>
    <row r="11406" spans="6:7" x14ac:dyDescent="0.3">
      <c r="F11406" s="48">
        <f t="shared" si="189"/>
        <v>527870.66129032266</v>
      </c>
      <c r="G11406" s="4"/>
    </row>
    <row r="11407" spans="6:7" x14ac:dyDescent="0.3">
      <c r="F11407" s="48">
        <f t="shared" si="189"/>
        <v>527870.66129032266</v>
      </c>
      <c r="G11407" s="4"/>
    </row>
    <row r="11408" spans="6:7" x14ac:dyDescent="0.3">
      <c r="F11408" s="48">
        <f t="shared" si="189"/>
        <v>527870.66129032266</v>
      </c>
      <c r="G11408" s="4"/>
    </row>
    <row r="11409" spans="6:7" x14ac:dyDescent="0.3">
      <c r="F11409" s="48">
        <f t="shared" si="189"/>
        <v>527870.66129032266</v>
      </c>
      <c r="G11409" s="4"/>
    </row>
    <row r="11410" spans="6:7" x14ac:dyDescent="0.3">
      <c r="F11410" s="48">
        <f t="shared" si="189"/>
        <v>527870.66129032266</v>
      </c>
      <c r="G11410" s="4"/>
    </row>
    <row r="11411" spans="6:7" x14ac:dyDescent="0.3">
      <c r="F11411" s="48">
        <f t="shared" si="189"/>
        <v>527870.66129032266</v>
      </c>
      <c r="G11411" s="4"/>
    </row>
    <row r="11412" spans="6:7" x14ac:dyDescent="0.3">
      <c r="F11412" s="48">
        <f t="shared" si="189"/>
        <v>527870.66129032266</v>
      </c>
      <c r="G11412" s="4"/>
    </row>
    <row r="11413" spans="6:7" x14ac:dyDescent="0.3">
      <c r="F11413" s="48">
        <f t="shared" si="189"/>
        <v>527870.66129032266</v>
      </c>
      <c r="G11413" s="4"/>
    </row>
    <row r="11414" spans="6:7" x14ac:dyDescent="0.3">
      <c r="F11414" s="48">
        <f t="shared" si="189"/>
        <v>527870.66129032266</v>
      </c>
      <c r="G11414" s="4"/>
    </row>
    <row r="11415" spans="6:7" x14ac:dyDescent="0.3">
      <c r="F11415" s="48">
        <f t="shared" si="189"/>
        <v>527870.66129032266</v>
      </c>
      <c r="G11415" s="4"/>
    </row>
    <row r="11416" spans="6:7" x14ac:dyDescent="0.3">
      <c r="F11416" s="48">
        <f t="shared" si="189"/>
        <v>527870.66129032266</v>
      </c>
      <c r="G11416" s="4"/>
    </row>
    <row r="11417" spans="6:7" x14ac:dyDescent="0.3">
      <c r="F11417" s="48">
        <f t="shared" si="189"/>
        <v>527870.66129032266</v>
      </c>
      <c r="G11417" s="4"/>
    </row>
    <row r="11418" spans="6:7" x14ac:dyDescent="0.3">
      <c r="F11418" s="48">
        <f t="shared" si="189"/>
        <v>527870.66129032266</v>
      </c>
      <c r="G11418" s="4"/>
    </row>
    <row r="11419" spans="6:7" x14ac:dyDescent="0.3">
      <c r="F11419" s="48">
        <f t="shared" si="189"/>
        <v>527870.66129032266</v>
      </c>
      <c r="G11419" s="4"/>
    </row>
    <row r="11420" spans="6:7" x14ac:dyDescent="0.3">
      <c r="F11420" s="48">
        <f t="shared" si="189"/>
        <v>527870.66129032266</v>
      </c>
      <c r="G11420" s="4"/>
    </row>
    <row r="11421" spans="6:7" x14ac:dyDescent="0.3">
      <c r="F11421" s="48">
        <f t="shared" si="189"/>
        <v>527870.66129032266</v>
      </c>
      <c r="G11421" s="4"/>
    </row>
    <row r="11422" spans="6:7" x14ac:dyDescent="0.3">
      <c r="F11422" s="48">
        <f t="shared" si="189"/>
        <v>527870.66129032266</v>
      </c>
      <c r="G11422" s="4"/>
    </row>
    <row r="11423" spans="6:7" x14ac:dyDescent="0.3">
      <c r="F11423" s="48">
        <f t="shared" si="189"/>
        <v>527870.66129032266</v>
      </c>
      <c r="G11423" s="4"/>
    </row>
    <row r="11424" spans="6:7" x14ac:dyDescent="0.3">
      <c r="F11424" s="48">
        <f t="shared" si="189"/>
        <v>527870.66129032266</v>
      </c>
      <c r="G11424" s="4"/>
    </row>
    <row r="11425" spans="6:7" x14ac:dyDescent="0.3">
      <c r="F11425" s="48">
        <f t="shared" si="189"/>
        <v>527870.66129032266</v>
      </c>
      <c r="G11425" s="4"/>
    </row>
    <row r="11426" spans="6:7" x14ac:dyDescent="0.3">
      <c r="F11426" s="48">
        <f t="shared" si="189"/>
        <v>527870.66129032266</v>
      </c>
      <c r="G11426" s="4"/>
    </row>
    <row r="11427" spans="6:7" x14ac:dyDescent="0.3">
      <c r="F11427" s="48">
        <f t="shared" si="189"/>
        <v>527870.66129032266</v>
      </c>
      <c r="G11427" s="4"/>
    </row>
    <row r="11428" spans="6:7" x14ac:dyDescent="0.3">
      <c r="F11428" s="48">
        <f t="shared" si="189"/>
        <v>527870.66129032266</v>
      </c>
      <c r="G11428" s="4"/>
    </row>
    <row r="11429" spans="6:7" x14ac:dyDescent="0.3">
      <c r="F11429" s="48">
        <f t="shared" ref="F11429:F11492" si="190">F11428+E11429-D11429</f>
        <v>527870.66129032266</v>
      </c>
      <c r="G11429" s="4"/>
    </row>
    <row r="11430" spans="6:7" x14ac:dyDescent="0.3">
      <c r="F11430" s="48">
        <f t="shared" si="190"/>
        <v>527870.66129032266</v>
      </c>
      <c r="G11430" s="4"/>
    </row>
    <row r="11431" spans="6:7" x14ac:dyDescent="0.3">
      <c r="F11431" s="48">
        <f t="shared" si="190"/>
        <v>527870.66129032266</v>
      </c>
      <c r="G11431" s="4"/>
    </row>
    <row r="11432" spans="6:7" x14ac:dyDescent="0.3">
      <c r="F11432" s="48">
        <f t="shared" si="190"/>
        <v>527870.66129032266</v>
      </c>
      <c r="G11432" s="4"/>
    </row>
    <row r="11433" spans="6:7" x14ac:dyDescent="0.3">
      <c r="F11433" s="48">
        <f t="shared" si="190"/>
        <v>527870.66129032266</v>
      </c>
      <c r="G11433" s="4"/>
    </row>
    <row r="11434" spans="6:7" x14ac:dyDescent="0.3">
      <c r="F11434" s="48">
        <f t="shared" si="190"/>
        <v>527870.66129032266</v>
      </c>
      <c r="G11434" s="4"/>
    </row>
    <row r="11435" spans="6:7" x14ac:dyDescent="0.3">
      <c r="F11435" s="48">
        <f t="shared" si="190"/>
        <v>527870.66129032266</v>
      </c>
      <c r="G11435" s="4"/>
    </row>
    <row r="11436" spans="6:7" x14ac:dyDescent="0.3">
      <c r="F11436" s="48">
        <f t="shared" si="190"/>
        <v>527870.66129032266</v>
      </c>
      <c r="G11436" s="4"/>
    </row>
    <row r="11437" spans="6:7" x14ac:dyDescent="0.3">
      <c r="F11437" s="48">
        <f t="shared" si="190"/>
        <v>527870.66129032266</v>
      </c>
      <c r="G11437" s="4"/>
    </row>
    <row r="11438" spans="6:7" x14ac:dyDescent="0.3">
      <c r="F11438" s="48">
        <f t="shared" si="190"/>
        <v>527870.66129032266</v>
      </c>
      <c r="G11438" s="4"/>
    </row>
    <row r="11439" spans="6:7" x14ac:dyDescent="0.3">
      <c r="F11439" s="48">
        <f t="shared" si="190"/>
        <v>527870.66129032266</v>
      </c>
      <c r="G11439" s="4"/>
    </row>
    <row r="11440" spans="6:7" x14ac:dyDescent="0.3">
      <c r="F11440" s="48">
        <f t="shared" si="190"/>
        <v>527870.66129032266</v>
      </c>
      <c r="G11440" s="4"/>
    </row>
    <row r="11441" spans="6:7" x14ac:dyDescent="0.3">
      <c r="F11441" s="48">
        <f t="shared" si="190"/>
        <v>527870.66129032266</v>
      </c>
      <c r="G11441" s="4"/>
    </row>
    <row r="11442" spans="6:7" x14ac:dyDescent="0.3">
      <c r="F11442" s="48">
        <f t="shared" si="190"/>
        <v>527870.66129032266</v>
      </c>
      <c r="G11442" s="4"/>
    </row>
    <row r="11443" spans="6:7" x14ac:dyDescent="0.3">
      <c r="F11443" s="48">
        <f t="shared" si="190"/>
        <v>527870.66129032266</v>
      </c>
      <c r="G11443" s="4"/>
    </row>
    <row r="11444" spans="6:7" x14ac:dyDescent="0.3">
      <c r="F11444" s="48">
        <f t="shared" si="190"/>
        <v>527870.66129032266</v>
      </c>
      <c r="G11444" s="4"/>
    </row>
    <row r="11445" spans="6:7" x14ac:dyDescent="0.3">
      <c r="F11445" s="48">
        <f t="shared" si="190"/>
        <v>527870.66129032266</v>
      </c>
      <c r="G11445" s="4"/>
    </row>
    <row r="11446" spans="6:7" x14ac:dyDescent="0.3">
      <c r="F11446" s="48">
        <f t="shared" si="190"/>
        <v>527870.66129032266</v>
      </c>
      <c r="G11446" s="4"/>
    </row>
    <row r="11447" spans="6:7" x14ac:dyDescent="0.3">
      <c r="F11447" s="48">
        <f t="shared" si="190"/>
        <v>527870.66129032266</v>
      </c>
      <c r="G11447" s="4"/>
    </row>
    <row r="11448" spans="6:7" x14ac:dyDescent="0.3">
      <c r="F11448" s="48">
        <f t="shared" si="190"/>
        <v>527870.66129032266</v>
      </c>
      <c r="G11448" s="4"/>
    </row>
    <row r="11449" spans="6:7" x14ac:dyDescent="0.3">
      <c r="F11449" s="48">
        <f t="shared" si="190"/>
        <v>527870.66129032266</v>
      </c>
      <c r="G11449" s="4"/>
    </row>
    <row r="11450" spans="6:7" x14ac:dyDescent="0.3">
      <c r="F11450" s="48">
        <f t="shared" si="190"/>
        <v>527870.66129032266</v>
      </c>
      <c r="G11450" s="4"/>
    </row>
    <row r="11451" spans="6:7" x14ac:dyDescent="0.3">
      <c r="F11451" s="48">
        <f t="shared" si="190"/>
        <v>527870.66129032266</v>
      </c>
      <c r="G11451" s="4"/>
    </row>
    <row r="11452" spans="6:7" x14ac:dyDescent="0.3">
      <c r="F11452" s="48">
        <f t="shared" si="190"/>
        <v>527870.66129032266</v>
      </c>
      <c r="G11452" s="4"/>
    </row>
    <row r="11453" spans="6:7" x14ac:dyDescent="0.3">
      <c r="F11453" s="48">
        <f t="shared" si="190"/>
        <v>527870.66129032266</v>
      </c>
      <c r="G11453" s="4"/>
    </row>
    <row r="11454" spans="6:7" x14ac:dyDescent="0.3">
      <c r="F11454" s="48">
        <f t="shared" si="190"/>
        <v>527870.66129032266</v>
      </c>
      <c r="G11454" s="4"/>
    </row>
    <row r="11455" spans="6:7" x14ac:dyDescent="0.3">
      <c r="F11455" s="48">
        <f t="shared" si="190"/>
        <v>527870.66129032266</v>
      </c>
      <c r="G11455" s="4"/>
    </row>
    <row r="11456" spans="6:7" x14ac:dyDescent="0.3">
      <c r="F11456" s="48">
        <f t="shared" si="190"/>
        <v>527870.66129032266</v>
      </c>
      <c r="G11456" s="4"/>
    </row>
    <row r="11457" spans="6:7" x14ac:dyDescent="0.3">
      <c r="F11457" s="48">
        <f t="shared" si="190"/>
        <v>527870.66129032266</v>
      </c>
      <c r="G11457" s="4"/>
    </row>
    <row r="11458" spans="6:7" x14ac:dyDescent="0.3">
      <c r="F11458" s="48">
        <f t="shared" si="190"/>
        <v>527870.66129032266</v>
      </c>
      <c r="G11458" s="4"/>
    </row>
    <row r="11459" spans="6:7" x14ac:dyDescent="0.3">
      <c r="F11459" s="48">
        <f t="shared" si="190"/>
        <v>527870.66129032266</v>
      </c>
      <c r="G11459" s="4"/>
    </row>
    <row r="11460" spans="6:7" x14ac:dyDescent="0.3">
      <c r="F11460" s="48">
        <f t="shared" si="190"/>
        <v>527870.66129032266</v>
      </c>
      <c r="G11460" s="4"/>
    </row>
    <row r="11461" spans="6:7" x14ac:dyDescent="0.3">
      <c r="F11461" s="48">
        <f t="shared" si="190"/>
        <v>527870.66129032266</v>
      </c>
      <c r="G11461" s="4"/>
    </row>
    <row r="11462" spans="6:7" x14ac:dyDescent="0.3">
      <c r="F11462" s="48">
        <f t="shared" si="190"/>
        <v>527870.66129032266</v>
      </c>
      <c r="G11462" s="4"/>
    </row>
    <row r="11463" spans="6:7" x14ac:dyDescent="0.3">
      <c r="F11463" s="48">
        <f t="shared" si="190"/>
        <v>527870.66129032266</v>
      </c>
      <c r="G11463" s="4"/>
    </row>
    <row r="11464" spans="6:7" x14ac:dyDescent="0.3">
      <c r="F11464" s="48">
        <f t="shared" si="190"/>
        <v>527870.66129032266</v>
      </c>
      <c r="G11464" s="4"/>
    </row>
    <row r="11465" spans="6:7" x14ac:dyDescent="0.3">
      <c r="F11465" s="48">
        <f t="shared" si="190"/>
        <v>527870.66129032266</v>
      </c>
      <c r="G11465" s="4"/>
    </row>
    <row r="11466" spans="6:7" x14ac:dyDescent="0.3">
      <c r="F11466" s="48">
        <f t="shared" si="190"/>
        <v>527870.66129032266</v>
      </c>
      <c r="G11466" s="4"/>
    </row>
    <row r="11467" spans="6:7" x14ac:dyDescent="0.3">
      <c r="F11467" s="48">
        <f t="shared" si="190"/>
        <v>527870.66129032266</v>
      </c>
      <c r="G11467" s="4"/>
    </row>
    <row r="11468" spans="6:7" x14ac:dyDescent="0.3">
      <c r="F11468" s="48">
        <f t="shared" si="190"/>
        <v>527870.66129032266</v>
      </c>
      <c r="G11468" s="4"/>
    </row>
    <row r="11469" spans="6:7" x14ac:dyDescent="0.3">
      <c r="F11469" s="48">
        <f t="shared" si="190"/>
        <v>527870.66129032266</v>
      </c>
      <c r="G11469" s="4"/>
    </row>
    <row r="11470" spans="6:7" x14ac:dyDescent="0.3">
      <c r="F11470" s="48">
        <f t="shared" si="190"/>
        <v>527870.66129032266</v>
      </c>
      <c r="G11470" s="4"/>
    </row>
    <row r="11471" spans="6:7" x14ac:dyDescent="0.3">
      <c r="F11471" s="48">
        <f t="shared" si="190"/>
        <v>527870.66129032266</v>
      </c>
      <c r="G11471" s="4"/>
    </row>
    <row r="11472" spans="6:7" x14ac:dyDescent="0.3">
      <c r="F11472" s="48">
        <f t="shared" si="190"/>
        <v>527870.66129032266</v>
      </c>
      <c r="G11472" s="4"/>
    </row>
    <row r="11473" spans="6:7" x14ac:dyDescent="0.3">
      <c r="F11473" s="48">
        <f t="shared" si="190"/>
        <v>527870.66129032266</v>
      </c>
      <c r="G11473" s="4"/>
    </row>
    <row r="11474" spans="6:7" x14ac:dyDescent="0.3">
      <c r="F11474" s="48">
        <f t="shared" si="190"/>
        <v>527870.66129032266</v>
      </c>
      <c r="G11474" s="4"/>
    </row>
    <row r="11475" spans="6:7" x14ac:dyDescent="0.3">
      <c r="F11475" s="48">
        <f t="shared" si="190"/>
        <v>527870.66129032266</v>
      </c>
      <c r="G11475" s="4"/>
    </row>
    <row r="11476" spans="6:7" x14ac:dyDescent="0.3">
      <c r="F11476" s="48">
        <f t="shared" si="190"/>
        <v>527870.66129032266</v>
      </c>
      <c r="G11476" s="4"/>
    </row>
    <row r="11477" spans="6:7" x14ac:dyDescent="0.3">
      <c r="F11477" s="48">
        <f t="shared" si="190"/>
        <v>527870.66129032266</v>
      </c>
      <c r="G11477" s="4"/>
    </row>
    <row r="11478" spans="6:7" x14ac:dyDescent="0.3">
      <c r="F11478" s="48">
        <f t="shared" si="190"/>
        <v>527870.66129032266</v>
      </c>
      <c r="G11478" s="4"/>
    </row>
    <row r="11479" spans="6:7" x14ac:dyDescent="0.3">
      <c r="F11479" s="48">
        <f t="shared" si="190"/>
        <v>527870.66129032266</v>
      </c>
      <c r="G11479" s="4"/>
    </row>
    <row r="11480" spans="6:7" x14ac:dyDescent="0.3">
      <c r="F11480" s="48">
        <f t="shared" si="190"/>
        <v>527870.66129032266</v>
      </c>
      <c r="G11480" s="4"/>
    </row>
    <row r="11481" spans="6:7" x14ac:dyDescent="0.3">
      <c r="F11481" s="48">
        <f t="shared" si="190"/>
        <v>527870.66129032266</v>
      </c>
      <c r="G11481" s="4"/>
    </row>
    <row r="11482" spans="6:7" x14ac:dyDescent="0.3">
      <c r="F11482" s="48">
        <f t="shared" si="190"/>
        <v>527870.66129032266</v>
      </c>
      <c r="G11482" s="4"/>
    </row>
    <row r="11483" spans="6:7" x14ac:dyDescent="0.3">
      <c r="F11483" s="48">
        <f t="shared" si="190"/>
        <v>527870.66129032266</v>
      </c>
      <c r="G11483" s="4"/>
    </row>
    <row r="11484" spans="6:7" x14ac:dyDescent="0.3">
      <c r="F11484" s="48">
        <f t="shared" si="190"/>
        <v>527870.66129032266</v>
      </c>
      <c r="G11484" s="4"/>
    </row>
    <row r="11485" spans="6:7" x14ac:dyDescent="0.3">
      <c r="F11485" s="48">
        <f t="shared" si="190"/>
        <v>527870.66129032266</v>
      </c>
      <c r="G11485" s="4"/>
    </row>
    <row r="11486" spans="6:7" x14ac:dyDescent="0.3">
      <c r="F11486" s="48">
        <f t="shared" si="190"/>
        <v>527870.66129032266</v>
      </c>
      <c r="G11486" s="4"/>
    </row>
    <row r="11487" spans="6:7" x14ac:dyDescent="0.3">
      <c r="F11487" s="48">
        <f t="shared" si="190"/>
        <v>527870.66129032266</v>
      </c>
      <c r="G11487" s="4"/>
    </row>
    <row r="11488" spans="6:7" x14ac:dyDescent="0.3">
      <c r="F11488" s="48">
        <f t="shared" si="190"/>
        <v>527870.66129032266</v>
      </c>
      <c r="G11488" s="4"/>
    </row>
    <row r="11489" spans="6:7" x14ac:dyDescent="0.3">
      <c r="F11489" s="48">
        <f t="shared" si="190"/>
        <v>527870.66129032266</v>
      </c>
      <c r="G11489" s="4"/>
    </row>
    <row r="11490" spans="6:7" x14ac:dyDescent="0.3">
      <c r="F11490" s="48">
        <f t="shared" si="190"/>
        <v>527870.66129032266</v>
      </c>
      <c r="G11490" s="4"/>
    </row>
    <row r="11491" spans="6:7" x14ac:dyDescent="0.3">
      <c r="F11491" s="48">
        <f t="shared" si="190"/>
        <v>527870.66129032266</v>
      </c>
      <c r="G11491" s="4"/>
    </row>
    <row r="11492" spans="6:7" x14ac:dyDescent="0.3">
      <c r="F11492" s="48">
        <f t="shared" si="190"/>
        <v>527870.66129032266</v>
      </c>
      <c r="G11492" s="4"/>
    </row>
    <row r="11493" spans="6:7" x14ac:dyDescent="0.3">
      <c r="F11493" s="48">
        <f t="shared" ref="F11493:F11556" si="191">F11492+E11493-D11493</f>
        <v>527870.66129032266</v>
      </c>
      <c r="G11493" s="4"/>
    </row>
    <row r="11494" spans="6:7" x14ac:dyDescent="0.3">
      <c r="F11494" s="48">
        <f t="shared" si="191"/>
        <v>527870.66129032266</v>
      </c>
      <c r="G11494" s="4"/>
    </row>
    <row r="11495" spans="6:7" x14ac:dyDescent="0.3">
      <c r="F11495" s="48">
        <f t="shared" si="191"/>
        <v>527870.66129032266</v>
      </c>
      <c r="G11495" s="4"/>
    </row>
    <row r="11496" spans="6:7" x14ac:dyDescent="0.3">
      <c r="F11496" s="48">
        <f t="shared" si="191"/>
        <v>527870.66129032266</v>
      </c>
      <c r="G11496" s="4"/>
    </row>
    <row r="11497" spans="6:7" x14ac:dyDescent="0.3">
      <c r="F11497" s="48">
        <f t="shared" si="191"/>
        <v>527870.66129032266</v>
      </c>
      <c r="G11497" s="4"/>
    </row>
    <row r="11498" spans="6:7" x14ac:dyDescent="0.3">
      <c r="F11498" s="48">
        <f t="shared" si="191"/>
        <v>527870.66129032266</v>
      </c>
      <c r="G11498" s="4"/>
    </row>
    <row r="11499" spans="6:7" x14ac:dyDescent="0.3">
      <c r="F11499" s="48">
        <f t="shared" si="191"/>
        <v>527870.66129032266</v>
      </c>
      <c r="G11499" s="4"/>
    </row>
    <row r="11500" spans="6:7" x14ac:dyDescent="0.3">
      <c r="F11500" s="48">
        <f t="shared" si="191"/>
        <v>527870.66129032266</v>
      </c>
      <c r="G11500" s="4"/>
    </row>
    <row r="11501" spans="6:7" x14ac:dyDescent="0.3">
      <c r="F11501" s="48">
        <f t="shared" si="191"/>
        <v>527870.66129032266</v>
      </c>
      <c r="G11501" s="4"/>
    </row>
    <row r="11502" spans="6:7" x14ac:dyDescent="0.3">
      <c r="F11502" s="48">
        <f t="shared" si="191"/>
        <v>527870.66129032266</v>
      </c>
      <c r="G11502" s="4"/>
    </row>
    <row r="11503" spans="6:7" x14ac:dyDescent="0.3">
      <c r="F11503" s="48">
        <f t="shared" si="191"/>
        <v>527870.66129032266</v>
      </c>
      <c r="G11503" s="4"/>
    </row>
    <row r="11504" spans="6:7" x14ac:dyDescent="0.3">
      <c r="F11504" s="48">
        <f t="shared" si="191"/>
        <v>527870.66129032266</v>
      </c>
      <c r="G11504" s="4"/>
    </row>
    <row r="11505" spans="6:7" x14ac:dyDescent="0.3">
      <c r="F11505" s="48">
        <f t="shared" si="191"/>
        <v>527870.66129032266</v>
      </c>
      <c r="G11505" s="4"/>
    </row>
    <row r="11506" spans="6:7" x14ac:dyDescent="0.3">
      <c r="F11506" s="48">
        <f t="shared" si="191"/>
        <v>527870.66129032266</v>
      </c>
      <c r="G11506" s="4"/>
    </row>
    <row r="11507" spans="6:7" x14ac:dyDescent="0.3">
      <c r="F11507" s="48">
        <f t="shared" si="191"/>
        <v>527870.66129032266</v>
      </c>
      <c r="G11507" s="4"/>
    </row>
    <row r="11508" spans="6:7" x14ac:dyDescent="0.3">
      <c r="F11508" s="48">
        <f t="shared" si="191"/>
        <v>527870.66129032266</v>
      </c>
      <c r="G11508" s="4"/>
    </row>
    <row r="11509" spans="6:7" x14ac:dyDescent="0.3">
      <c r="F11509" s="48">
        <f t="shared" si="191"/>
        <v>527870.66129032266</v>
      </c>
      <c r="G11509" s="4"/>
    </row>
    <row r="11510" spans="6:7" x14ac:dyDescent="0.3">
      <c r="F11510" s="48">
        <f t="shared" si="191"/>
        <v>527870.66129032266</v>
      </c>
      <c r="G11510" s="4"/>
    </row>
    <row r="11511" spans="6:7" x14ac:dyDescent="0.3">
      <c r="F11511" s="48">
        <f t="shared" si="191"/>
        <v>527870.66129032266</v>
      </c>
      <c r="G11511" s="4"/>
    </row>
    <row r="11512" spans="6:7" x14ac:dyDescent="0.3">
      <c r="F11512" s="48">
        <f t="shared" si="191"/>
        <v>527870.66129032266</v>
      </c>
      <c r="G11512" s="4"/>
    </row>
    <row r="11513" spans="6:7" x14ac:dyDescent="0.3">
      <c r="F11513" s="48">
        <f t="shared" si="191"/>
        <v>527870.66129032266</v>
      </c>
      <c r="G11513" s="4"/>
    </row>
    <row r="11514" spans="6:7" x14ac:dyDescent="0.3">
      <c r="F11514" s="48">
        <f t="shared" si="191"/>
        <v>527870.66129032266</v>
      </c>
      <c r="G11514" s="4"/>
    </row>
    <row r="11515" spans="6:7" x14ac:dyDescent="0.3">
      <c r="F11515" s="48">
        <f t="shared" si="191"/>
        <v>527870.66129032266</v>
      </c>
      <c r="G11515" s="4"/>
    </row>
    <row r="11516" spans="6:7" x14ac:dyDescent="0.3">
      <c r="F11516" s="48">
        <f t="shared" si="191"/>
        <v>527870.66129032266</v>
      </c>
      <c r="G11516" s="4"/>
    </row>
    <row r="11517" spans="6:7" x14ac:dyDescent="0.3">
      <c r="F11517" s="48">
        <f t="shared" si="191"/>
        <v>527870.66129032266</v>
      </c>
      <c r="G11517" s="4"/>
    </row>
    <row r="11518" spans="6:7" x14ac:dyDescent="0.3">
      <c r="F11518" s="48">
        <f t="shared" si="191"/>
        <v>527870.66129032266</v>
      </c>
      <c r="G11518" s="4"/>
    </row>
    <row r="11519" spans="6:7" x14ac:dyDescent="0.3">
      <c r="F11519" s="48">
        <f t="shared" si="191"/>
        <v>527870.66129032266</v>
      </c>
      <c r="G11519" s="4"/>
    </row>
    <row r="11520" spans="6:7" x14ac:dyDescent="0.3">
      <c r="F11520" s="48">
        <f t="shared" si="191"/>
        <v>527870.66129032266</v>
      </c>
      <c r="G11520" s="4"/>
    </row>
    <row r="11521" spans="6:7" x14ac:dyDescent="0.3">
      <c r="F11521" s="48">
        <f t="shared" si="191"/>
        <v>527870.66129032266</v>
      </c>
      <c r="G11521" s="4"/>
    </row>
    <row r="11522" spans="6:7" x14ac:dyDescent="0.3">
      <c r="F11522" s="48">
        <f t="shared" si="191"/>
        <v>527870.66129032266</v>
      </c>
      <c r="G11522" s="4"/>
    </row>
    <row r="11523" spans="6:7" x14ac:dyDescent="0.3">
      <c r="F11523" s="48">
        <f t="shared" si="191"/>
        <v>527870.66129032266</v>
      </c>
      <c r="G11523" s="4"/>
    </row>
    <row r="11524" spans="6:7" x14ac:dyDescent="0.3">
      <c r="F11524" s="48">
        <f t="shared" si="191"/>
        <v>527870.66129032266</v>
      </c>
      <c r="G11524" s="4"/>
    </row>
    <row r="11525" spans="6:7" x14ac:dyDescent="0.3">
      <c r="F11525" s="48">
        <f t="shared" si="191"/>
        <v>527870.66129032266</v>
      </c>
      <c r="G11525" s="4"/>
    </row>
    <row r="11526" spans="6:7" x14ac:dyDescent="0.3">
      <c r="F11526" s="48">
        <f t="shared" si="191"/>
        <v>527870.66129032266</v>
      </c>
      <c r="G11526" s="4"/>
    </row>
    <row r="11527" spans="6:7" x14ac:dyDescent="0.3">
      <c r="F11527" s="48">
        <f t="shared" si="191"/>
        <v>527870.66129032266</v>
      </c>
      <c r="G11527" s="4"/>
    </row>
    <row r="11528" spans="6:7" x14ac:dyDescent="0.3">
      <c r="F11528" s="48">
        <f t="shared" si="191"/>
        <v>527870.66129032266</v>
      </c>
      <c r="G11528" s="4"/>
    </row>
    <row r="11529" spans="6:7" x14ac:dyDescent="0.3">
      <c r="F11529" s="48">
        <f t="shared" si="191"/>
        <v>527870.66129032266</v>
      </c>
      <c r="G11529" s="4"/>
    </row>
    <row r="11530" spans="6:7" x14ac:dyDescent="0.3">
      <c r="F11530" s="48">
        <f t="shared" si="191"/>
        <v>527870.66129032266</v>
      </c>
      <c r="G11530" s="4"/>
    </row>
    <row r="11531" spans="6:7" x14ac:dyDescent="0.3">
      <c r="F11531" s="48">
        <f t="shared" si="191"/>
        <v>527870.66129032266</v>
      </c>
      <c r="G11531" s="4"/>
    </row>
    <row r="11532" spans="6:7" x14ac:dyDescent="0.3">
      <c r="F11532" s="48">
        <f t="shared" si="191"/>
        <v>527870.66129032266</v>
      </c>
      <c r="G11532" s="4"/>
    </row>
    <row r="11533" spans="6:7" x14ac:dyDescent="0.3">
      <c r="F11533" s="48">
        <f t="shared" si="191"/>
        <v>527870.66129032266</v>
      </c>
      <c r="G11533" s="4"/>
    </row>
    <row r="11534" spans="6:7" x14ac:dyDescent="0.3">
      <c r="F11534" s="48">
        <f t="shared" si="191"/>
        <v>527870.66129032266</v>
      </c>
      <c r="G11534" s="4"/>
    </row>
    <row r="11535" spans="6:7" x14ac:dyDescent="0.3">
      <c r="F11535" s="48">
        <f t="shared" si="191"/>
        <v>527870.66129032266</v>
      </c>
      <c r="G11535" s="4"/>
    </row>
    <row r="11536" spans="6:7" x14ac:dyDescent="0.3">
      <c r="F11536" s="48">
        <f t="shared" si="191"/>
        <v>527870.66129032266</v>
      </c>
      <c r="G11536" s="4"/>
    </row>
    <row r="11537" spans="6:7" x14ac:dyDescent="0.3">
      <c r="F11537" s="48">
        <f t="shared" si="191"/>
        <v>527870.66129032266</v>
      </c>
      <c r="G11537" s="4"/>
    </row>
    <row r="11538" spans="6:7" x14ac:dyDescent="0.3">
      <c r="F11538" s="48">
        <f t="shared" si="191"/>
        <v>527870.66129032266</v>
      </c>
      <c r="G11538" s="4"/>
    </row>
    <row r="11539" spans="6:7" x14ac:dyDescent="0.3">
      <c r="F11539" s="48">
        <f t="shared" si="191"/>
        <v>527870.66129032266</v>
      </c>
      <c r="G11539" s="4"/>
    </row>
    <row r="11540" spans="6:7" x14ac:dyDescent="0.3">
      <c r="F11540" s="48">
        <f t="shared" si="191"/>
        <v>527870.66129032266</v>
      </c>
      <c r="G11540" s="4"/>
    </row>
    <row r="11541" spans="6:7" x14ac:dyDescent="0.3">
      <c r="F11541" s="48">
        <f t="shared" si="191"/>
        <v>527870.66129032266</v>
      </c>
      <c r="G11541" s="4"/>
    </row>
    <row r="11542" spans="6:7" x14ac:dyDescent="0.3">
      <c r="F11542" s="48">
        <f t="shared" si="191"/>
        <v>527870.66129032266</v>
      </c>
      <c r="G11542" s="4"/>
    </row>
    <row r="11543" spans="6:7" x14ac:dyDescent="0.3">
      <c r="F11543" s="48">
        <f t="shared" si="191"/>
        <v>527870.66129032266</v>
      </c>
      <c r="G11543" s="4"/>
    </row>
    <row r="11544" spans="6:7" x14ac:dyDescent="0.3">
      <c r="F11544" s="48">
        <f t="shared" si="191"/>
        <v>527870.66129032266</v>
      </c>
      <c r="G11544" s="4"/>
    </row>
    <row r="11545" spans="6:7" x14ac:dyDescent="0.3">
      <c r="F11545" s="48">
        <f t="shared" si="191"/>
        <v>527870.66129032266</v>
      </c>
      <c r="G11545" s="4"/>
    </row>
    <row r="11546" spans="6:7" x14ac:dyDescent="0.3">
      <c r="F11546" s="48">
        <f t="shared" si="191"/>
        <v>527870.66129032266</v>
      </c>
      <c r="G11546" s="4"/>
    </row>
    <row r="11547" spans="6:7" x14ac:dyDescent="0.3">
      <c r="F11547" s="48">
        <f t="shared" si="191"/>
        <v>527870.66129032266</v>
      </c>
      <c r="G11547" s="4"/>
    </row>
    <row r="11548" spans="6:7" x14ac:dyDescent="0.3">
      <c r="F11548" s="48">
        <f t="shared" si="191"/>
        <v>527870.66129032266</v>
      </c>
      <c r="G11548" s="4"/>
    </row>
    <row r="11549" spans="6:7" x14ac:dyDescent="0.3">
      <c r="F11549" s="48">
        <f t="shared" si="191"/>
        <v>527870.66129032266</v>
      </c>
      <c r="G11549" s="4"/>
    </row>
    <row r="11550" spans="6:7" x14ac:dyDescent="0.3">
      <c r="F11550" s="48">
        <f t="shared" si="191"/>
        <v>527870.66129032266</v>
      </c>
      <c r="G11550" s="4"/>
    </row>
    <row r="11551" spans="6:7" x14ac:dyDescent="0.3">
      <c r="F11551" s="48">
        <f t="shared" si="191"/>
        <v>527870.66129032266</v>
      </c>
      <c r="G11551" s="4"/>
    </row>
    <row r="11552" spans="6:7" x14ac:dyDescent="0.3">
      <c r="F11552" s="48">
        <f t="shared" si="191"/>
        <v>527870.66129032266</v>
      </c>
      <c r="G11552" s="4"/>
    </row>
    <row r="11553" spans="6:7" x14ac:dyDescent="0.3">
      <c r="F11553" s="48">
        <f t="shared" si="191"/>
        <v>527870.66129032266</v>
      </c>
      <c r="G11553" s="4"/>
    </row>
    <row r="11554" spans="6:7" x14ac:dyDescent="0.3">
      <c r="F11554" s="48">
        <f t="shared" si="191"/>
        <v>527870.66129032266</v>
      </c>
      <c r="G11554" s="4"/>
    </row>
    <row r="11555" spans="6:7" x14ac:dyDescent="0.3">
      <c r="F11555" s="48">
        <f t="shared" si="191"/>
        <v>527870.66129032266</v>
      </c>
      <c r="G11555" s="4"/>
    </row>
    <row r="11556" spans="6:7" x14ac:dyDescent="0.3">
      <c r="F11556" s="48">
        <f t="shared" si="191"/>
        <v>527870.66129032266</v>
      </c>
      <c r="G11556" s="4"/>
    </row>
    <row r="11557" spans="6:7" x14ac:dyDescent="0.3">
      <c r="F11557" s="48">
        <f t="shared" ref="F11557:F11598" si="192">F11556+E11557-D11557</f>
        <v>527870.66129032266</v>
      </c>
      <c r="G11557" s="4"/>
    </row>
    <row r="11558" spans="6:7" x14ac:dyDescent="0.3">
      <c r="F11558" s="48">
        <f t="shared" si="192"/>
        <v>527870.66129032266</v>
      </c>
      <c r="G11558" s="4"/>
    </row>
    <row r="11559" spans="6:7" x14ac:dyDescent="0.3">
      <c r="F11559" s="48">
        <f t="shared" si="192"/>
        <v>527870.66129032266</v>
      </c>
      <c r="G11559" s="4"/>
    </row>
    <row r="11560" spans="6:7" x14ac:dyDescent="0.3">
      <c r="F11560" s="48">
        <f t="shared" si="192"/>
        <v>527870.66129032266</v>
      </c>
      <c r="G11560" s="4"/>
    </row>
    <row r="11561" spans="6:7" x14ac:dyDescent="0.3">
      <c r="F11561" s="48">
        <f t="shared" si="192"/>
        <v>527870.66129032266</v>
      </c>
      <c r="G11561" s="4"/>
    </row>
    <row r="11562" spans="6:7" x14ac:dyDescent="0.3">
      <c r="F11562" s="48">
        <f t="shared" si="192"/>
        <v>527870.66129032266</v>
      </c>
      <c r="G11562" s="4"/>
    </row>
    <row r="11563" spans="6:7" x14ac:dyDescent="0.3">
      <c r="F11563" s="48">
        <f t="shared" si="192"/>
        <v>527870.66129032266</v>
      </c>
      <c r="G11563" s="4"/>
    </row>
    <row r="11564" spans="6:7" x14ac:dyDescent="0.3">
      <c r="F11564" s="48">
        <f t="shared" si="192"/>
        <v>527870.66129032266</v>
      </c>
      <c r="G11564" s="4"/>
    </row>
    <row r="11565" spans="6:7" x14ac:dyDescent="0.3">
      <c r="F11565" s="48">
        <f t="shared" si="192"/>
        <v>527870.66129032266</v>
      </c>
      <c r="G11565" s="4"/>
    </row>
    <row r="11566" spans="6:7" x14ac:dyDescent="0.3">
      <c r="F11566" s="48">
        <f t="shared" si="192"/>
        <v>527870.66129032266</v>
      </c>
      <c r="G11566" s="4"/>
    </row>
    <row r="11567" spans="6:7" x14ac:dyDescent="0.3">
      <c r="F11567" s="48">
        <f t="shared" si="192"/>
        <v>527870.66129032266</v>
      </c>
      <c r="G11567" s="4"/>
    </row>
    <row r="11568" spans="6:7" x14ac:dyDescent="0.3">
      <c r="F11568" s="48">
        <f t="shared" si="192"/>
        <v>527870.66129032266</v>
      </c>
      <c r="G11568" s="4"/>
    </row>
    <row r="11569" spans="6:7" x14ac:dyDescent="0.3">
      <c r="F11569" s="48">
        <f t="shared" si="192"/>
        <v>527870.66129032266</v>
      </c>
      <c r="G11569" s="4"/>
    </row>
    <row r="11570" spans="6:7" x14ac:dyDescent="0.3">
      <c r="F11570" s="48">
        <f t="shared" si="192"/>
        <v>527870.66129032266</v>
      </c>
      <c r="G11570" s="4"/>
    </row>
    <row r="11571" spans="6:7" x14ac:dyDescent="0.3">
      <c r="F11571" s="48">
        <f t="shared" si="192"/>
        <v>527870.66129032266</v>
      </c>
      <c r="G11571" s="4"/>
    </row>
    <row r="11572" spans="6:7" x14ac:dyDescent="0.3">
      <c r="F11572" s="48">
        <f t="shared" si="192"/>
        <v>527870.66129032266</v>
      </c>
      <c r="G11572" s="4"/>
    </row>
    <row r="11573" spans="6:7" x14ac:dyDescent="0.3">
      <c r="F11573" s="48">
        <f t="shared" si="192"/>
        <v>527870.66129032266</v>
      </c>
      <c r="G11573" s="4"/>
    </row>
    <row r="11574" spans="6:7" x14ac:dyDescent="0.3">
      <c r="F11574" s="48">
        <f t="shared" si="192"/>
        <v>527870.66129032266</v>
      </c>
      <c r="G11574" s="4"/>
    </row>
    <row r="11575" spans="6:7" x14ac:dyDescent="0.3">
      <c r="F11575" s="48">
        <f t="shared" si="192"/>
        <v>527870.66129032266</v>
      </c>
      <c r="G11575" s="4"/>
    </row>
    <row r="11576" spans="6:7" x14ac:dyDescent="0.3">
      <c r="F11576" s="48">
        <f t="shared" si="192"/>
        <v>527870.66129032266</v>
      </c>
      <c r="G11576" s="4"/>
    </row>
    <row r="11577" spans="6:7" x14ac:dyDescent="0.3">
      <c r="F11577" s="48">
        <f t="shared" si="192"/>
        <v>527870.66129032266</v>
      </c>
      <c r="G11577" s="4"/>
    </row>
    <row r="11578" spans="6:7" x14ac:dyDescent="0.3">
      <c r="F11578" s="48">
        <f t="shared" si="192"/>
        <v>527870.66129032266</v>
      </c>
      <c r="G11578" s="4"/>
    </row>
    <row r="11579" spans="6:7" x14ac:dyDescent="0.3">
      <c r="F11579" s="48">
        <f t="shared" si="192"/>
        <v>527870.66129032266</v>
      </c>
      <c r="G11579" s="4"/>
    </row>
    <row r="11580" spans="6:7" x14ac:dyDescent="0.3">
      <c r="F11580" s="48">
        <f t="shared" si="192"/>
        <v>527870.66129032266</v>
      </c>
      <c r="G11580" s="4"/>
    </row>
    <row r="11581" spans="6:7" x14ac:dyDescent="0.3">
      <c r="F11581" s="48">
        <f t="shared" si="192"/>
        <v>527870.66129032266</v>
      </c>
      <c r="G11581" s="4"/>
    </row>
    <row r="11582" spans="6:7" x14ac:dyDescent="0.3">
      <c r="F11582" s="48">
        <f t="shared" si="192"/>
        <v>527870.66129032266</v>
      </c>
      <c r="G11582" s="4"/>
    </row>
    <row r="11583" spans="6:7" x14ac:dyDescent="0.3">
      <c r="F11583" s="48">
        <f t="shared" si="192"/>
        <v>527870.66129032266</v>
      </c>
      <c r="G11583" s="4"/>
    </row>
    <row r="11584" spans="6:7" x14ac:dyDescent="0.3">
      <c r="F11584" s="48">
        <f t="shared" si="192"/>
        <v>527870.66129032266</v>
      </c>
      <c r="G11584" s="4"/>
    </row>
    <row r="11585" spans="6:7" x14ac:dyDescent="0.3">
      <c r="F11585" s="48">
        <f t="shared" si="192"/>
        <v>527870.66129032266</v>
      </c>
      <c r="G11585" s="4"/>
    </row>
    <row r="11586" spans="6:7" x14ac:dyDescent="0.3">
      <c r="F11586" s="48">
        <f t="shared" si="192"/>
        <v>527870.66129032266</v>
      </c>
      <c r="G11586" s="4"/>
    </row>
    <row r="11587" spans="6:7" x14ac:dyDescent="0.3">
      <c r="F11587" s="48">
        <f t="shared" si="192"/>
        <v>527870.66129032266</v>
      </c>
      <c r="G11587" s="4"/>
    </row>
    <row r="11588" spans="6:7" x14ac:dyDescent="0.3">
      <c r="F11588" s="48">
        <f t="shared" si="192"/>
        <v>527870.66129032266</v>
      </c>
      <c r="G11588" s="4"/>
    </row>
    <row r="11589" spans="6:7" x14ac:dyDescent="0.3">
      <c r="F11589" s="48">
        <f t="shared" si="192"/>
        <v>527870.66129032266</v>
      </c>
      <c r="G11589" s="4"/>
    </row>
    <row r="11590" spans="6:7" x14ac:dyDescent="0.3">
      <c r="F11590" s="48">
        <f t="shared" si="192"/>
        <v>527870.66129032266</v>
      </c>
      <c r="G11590" s="4"/>
    </row>
    <row r="11591" spans="6:7" x14ac:dyDescent="0.3">
      <c r="F11591" s="48">
        <f t="shared" si="192"/>
        <v>527870.66129032266</v>
      </c>
      <c r="G11591" s="4"/>
    </row>
    <row r="11592" spans="6:7" x14ac:dyDescent="0.3">
      <c r="F11592" s="48">
        <f t="shared" si="192"/>
        <v>527870.66129032266</v>
      </c>
      <c r="G11592" s="4"/>
    </row>
    <row r="11593" spans="6:7" x14ac:dyDescent="0.3">
      <c r="F11593" s="48">
        <f t="shared" si="192"/>
        <v>527870.66129032266</v>
      </c>
      <c r="G11593" s="4"/>
    </row>
    <row r="11594" spans="6:7" x14ac:dyDescent="0.3">
      <c r="F11594" s="48">
        <f t="shared" si="192"/>
        <v>527870.66129032266</v>
      </c>
      <c r="G11594" s="4"/>
    </row>
    <row r="11595" spans="6:7" x14ac:dyDescent="0.3">
      <c r="F11595" s="48">
        <f t="shared" si="192"/>
        <v>527870.66129032266</v>
      </c>
    </row>
    <row r="11596" spans="6:7" x14ac:dyDescent="0.3">
      <c r="F11596" s="48">
        <f t="shared" si="192"/>
        <v>527870.66129032266</v>
      </c>
    </row>
    <row r="11597" spans="6:7" x14ac:dyDescent="0.3">
      <c r="F11597" s="48">
        <f t="shared" si="192"/>
        <v>527870.66129032266</v>
      </c>
    </row>
    <row r="11598" spans="6:7" x14ac:dyDescent="0.3">
      <c r="F11598" s="48">
        <f t="shared" si="192"/>
        <v>527870.66129032266</v>
      </c>
    </row>
    <row r="11599" spans="6:7" x14ac:dyDescent="0.3">
      <c r="F11599" s="48"/>
    </row>
  </sheetData>
  <autoFilter ref="A1:L11593" xr:uid="{00000000-0009-0000-0000-00000A000000}"/>
  <dataConsolidate topLabels="1">
    <dataRefs count="1">
      <dataRef ref="B9728:B9739" sheet="Cash"/>
    </dataRefs>
  </dataConsolidate>
  <mergeCells count="885">
    <mergeCell ref="I309:K309"/>
    <mergeCell ref="I310:J310"/>
    <mergeCell ref="I311:J311"/>
    <mergeCell ref="I312:J312"/>
    <mergeCell ref="I313:J313"/>
    <mergeCell ref="I319:J319"/>
    <mergeCell ref="A2:E2"/>
    <mergeCell ref="B44:C44"/>
    <mergeCell ref="B169:C169"/>
    <mergeCell ref="B170:C170"/>
    <mergeCell ref="B214:C214"/>
    <mergeCell ref="B280:C280"/>
    <mergeCell ref="B503:C503"/>
    <mergeCell ref="B509:C509"/>
    <mergeCell ref="B519:C519"/>
    <mergeCell ref="B539:C539"/>
    <mergeCell ref="B552:C552"/>
    <mergeCell ref="B566:C566"/>
    <mergeCell ref="B359:C359"/>
    <mergeCell ref="B386:C386"/>
    <mergeCell ref="B407:C407"/>
    <mergeCell ref="B431:C431"/>
    <mergeCell ref="B444:C444"/>
    <mergeCell ref="B476:C476"/>
    <mergeCell ref="B748:C748"/>
    <mergeCell ref="B760:C760"/>
    <mergeCell ref="B786:C786"/>
    <mergeCell ref="B818:C818"/>
    <mergeCell ref="B844:C844"/>
    <mergeCell ref="B851:C851"/>
    <mergeCell ref="B588:C588"/>
    <mergeCell ref="B602:C602"/>
    <mergeCell ref="B607:C607"/>
    <mergeCell ref="B662:C662"/>
    <mergeCell ref="B710:C710"/>
    <mergeCell ref="B727:C727"/>
    <mergeCell ref="B957:C957"/>
    <mergeCell ref="B964:C964"/>
    <mergeCell ref="B975:C975"/>
    <mergeCell ref="B984:C984"/>
    <mergeCell ref="B1001:C1001"/>
    <mergeCell ref="B1009:C1009"/>
    <mergeCell ref="B860:C860"/>
    <mergeCell ref="B880:C880"/>
    <mergeCell ref="B892:C892"/>
    <mergeCell ref="B912:C912"/>
    <mergeCell ref="B942:C942"/>
    <mergeCell ref="B944:C944"/>
    <mergeCell ref="B1131:C1131"/>
    <mergeCell ref="B1158:C1158"/>
    <mergeCell ref="B1169:C1169"/>
    <mergeCell ref="B1195:C1195"/>
    <mergeCell ref="B1210:C1210"/>
    <mergeCell ref="B1218:C1218"/>
    <mergeCell ref="B1010:C1010"/>
    <mergeCell ref="B1021:C1021"/>
    <mergeCell ref="B1060:C1060"/>
    <mergeCell ref="B1075:C1075"/>
    <mergeCell ref="B1090:C1090"/>
    <mergeCell ref="B1121:C1121"/>
    <mergeCell ref="B1312:C1312"/>
    <mergeCell ref="B1321:C1321"/>
    <mergeCell ref="B1345:C1345"/>
    <mergeCell ref="B1366:C1366"/>
    <mergeCell ref="B1379:C1379"/>
    <mergeCell ref="B1389:C1389"/>
    <mergeCell ref="B1229:C1229"/>
    <mergeCell ref="B1234:C1234"/>
    <mergeCell ref="B1258:C1258"/>
    <mergeCell ref="B1273:C1273"/>
    <mergeCell ref="B1285:C1285"/>
    <mergeCell ref="B1297:C1297"/>
    <mergeCell ref="B1483:C1483"/>
    <mergeCell ref="B1492:C1492"/>
    <mergeCell ref="B1500:C1500"/>
    <mergeCell ref="B1510:C1510"/>
    <mergeCell ref="B1519:C1519"/>
    <mergeCell ref="B1534:C1534"/>
    <mergeCell ref="B1404:C1404"/>
    <mergeCell ref="B1414:C1414"/>
    <mergeCell ref="B1432:C1432"/>
    <mergeCell ref="B1453:C1453"/>
    <mergeCell ref="B1463:C1463"/>
    <mergeCell ref="B1467:C1467"/>
    <mergeCell ref="B1630:C1630"/>
    <mergeCell ref="B1631:C1631"/>
    <mergeCell ref="B1642:C1642"/>
    <mergeCell ref="B1650:C1650"/>
    <mergeCell ref="B1666:C1666"/>
    <mergeCell ref="B1675:C1675"/>
    <mergeCell ref="B1551:C1551"/>
    <mergeCell ref="B1570:C1570"/>
    <mergeCell ref="B1584:C1584"/>
    <mergeCell ref="B1598:C1598"/>
    <mergeCell ref="B1612:C1612"/>
    <mergeCell ref="B1618:C1618"/>
    <mergeCell ref="B1756:C1756"/>
    <mergeCell ref="B1766:C1766"/>
    <mergeCell ref="B1777:C1777"/>
    <mergeCell ref="B1778:C1778"/>
    <mergeCell ref="B1798:C1798"/>
    <mergeCell ref="B1807:C1807"/>
    <mergeCell ref="B1683:C1683"/>
    <mergeCell ref="B1695:C1695"/>
    <mergeCell ref="B1708:C1708"/>
    <mergeCell ref="B1718:C1718"/>
    <mergeCell ref="B1742:C1742"/>
    <mergeCell ref="B1746:C1746"/>
    <mergeCell ref="B1904:C1904"/>
    <mergeCell ref="B1912:C1912"/>
    <mergeCell ref="B1924:C1924"/>
    <mergeCell ref="B1932:C1932"/>
    <mergeCell ref="B1944:C1944"/>
    <mergeCell ref="B1953:C1953"/>
    <mergeCell ref="B1827:C1827"/>
    <mergeCell ref="B1836:C1836"/>
    <mergeCell ref="B1842:C1842"/>
    <mergeCell ref="B1871:C1871"/>
    <mergeCell ref="B1882:C1882"/>
    <mergeCell ref="B1891:C1891"/>
    <mergeCell ref="B2025:C2025"/>
    <mergeCell ref="B2043:C2043"/>
    <mergeCell ref="B2048:C2048"/>
    <mergeCell ref="B2053:C2053"/>
    <mergeCell ref="B2069:C2069"/>
    <mergeCell ref="B2084:C2084"/>
    <mergeCell ref="B1962:C1962"/>
    <mergeCell ref="B1965:C1965"/>
    <mergeCell ref="B1974:C1974"/>
    <mergeCell ref="B2005:C2005"/>
    <mergeCell ref="B2016:C2016"/>
    <mergeCell ref="B2019:C2019"/>
    <mergeCell ref="B2200:C2200"/>
    <mergeCell ref="B2220:C2220"/>
    <mergeCell ref="B2232:C2232"/>
    <mergeCell ref="B2286:C2286"/>
    <mergeCell ref="B2307:C2307"/>
    <mergeCell ref="B2322:C2322"/>
    <mergeCell ref="B2111:C2111"/>
    <mergeCell ref="B2120:C2120"/>
    <mergeCell ref="B2141:C2141"/>
    <mergeCell ref="B2155:C2155"/>
    <mergeCell ref="B2172:C2172"/>
    <mergeCell ref="B2192:C2192"/>
    <mergeCell ref="B2422:C2422"/>
    <mergeCell ref="B2426:C2426"/>
    <mergeCell ref="B2451:C2451"/>
    <mergeCell ref="B2452:C2452"/>
    <mergeCell ref="B2475:C2475"/>
    <mergeCell ref="B2495:C2495"/>
    <mergeCell ref="B2331:C2331"/>
    <mergeCell ref="B2361:C2361"/>
    <mergeCell ref="B2377:C2377"/>
    <mergeCell ref="B2396:C2396"/>
    <mergeCell ref="B2408:C2408"/>
    <mergeCell ref="B2409:C2409"/>
    <mergeCell ref="B2611:C2611"/>
    <mergeCell ref="B2612:C2612"/>
    <mergeCell ref="B2671:C2671"/>
    <mergeCell ref="B2703:C2703"/>
    <mergeCell ref="B2716:C2716"/>
    <mergeCell ref="B2717:C2717"/>
    <mergeCell ref="B2527:C2527"/>
    <mergeCell ref="B2560:C2560"/>
    <mergeCell ref="B2570:C2570"/>
    <mergeCell ref="B2571:C2571"/>
    <mergeCell ref="B2583:C2583"/>
    <mergeCell ref="B2593:C2593"/>
    <mergeCell ref="B2810:C2810"/>
    <mergeCell ref="B2827:C2827"/>
    <mergeCell ref="B2837:C2837"/>
    <mergeCell ref="B2855:C2855"/>
    <mergeCell ref="B2875:C2875"/>
    <mergeCell ref="B2879:C2879"/>
    <mergeCell ref="B2733:C2733"/>
    <mergeCell ref="B2747:C2747"/>
    <mergeCell ref="B2751:C2751"/>
    <mergeCell ref="B2768:C2768"/>
    <mergeCell ref="B2779:C2779"/>
    <mergeCell ref="B2798:C2798"/>
    <mergeCell ref="B3041:C3041"/>
    <mergeCell ref="B3050:C3050"/>
    <mergeCell ref="B3067:C3067"/>
    <mergeCell ref="B3068:C3068"/>
    <mergeCell ref="B3074:C3074"/>
    <mergeCell ref="B3092:C3092"/>
    <mergeCell ref="B2883:C2883"/>
    <mergeCell ref="B2917:C2917"/>
    <mergeCell ref="B2927:C2927"/>
    <mergeCell ref="B2928:C2928"/>
    <mergeCell ref="B2972:C2972"/>
    <mergeCell ref="B3027:C3027"/>
    <mergeCell ref="B3174:C3174"/>
    <mergeCell ref="B3186:C3186"/>
    <mergeCell ref="B3190:C3190"/>
    <mergeCell ref="B3201:C3201"/>
    <mergeCell ref="B3213:C3213"/>
    <mergeCell ref="B3233:C3233"/>
    <mergeCell ref="B3114:C3114"/>
    <mergeCell ref="B3128:C3128"/>
    <mergeCell ref="B3135:C3135"/>
    <mergeCell ref="B3145:C3145"/>
    <mergeCell ref="B3160:C3160"/>
    <mergeCell ref="B3170:C3170"/>
    <mergeCell ref="B3322:C3322"/>
    <mergeCell ref="B3344:C3344"/>
    <mergeCell ref="B3347:C3347"/>
    <mergeCell ref="B3361:C3361"/>
    <mergeCell ref="B3377:C3377"/>
    <mergeCell ref="B3391:C3391"/>
    <mergeCell ref="B3246:C3246"/>
    <mergeCell ref="B3256:C3256"/>
    <mergeCell ref="B3261:C3261"/>
    <mergeCell ref="B3282:C3282"/>
    <mergeCell ref="B3289:C3289"/>
    <mergeCell ref="B3305:C3305"/>
    <mergeCell ref="B3545:C3545"/>
    <mergeCell ref="B3555:C3555"/>
    <mergeCell ref="B3567:C3567"/>
    <mergeCell ref="B3616:C3616"/>
    <mergeCell ref="B3635:C3635"/>
    <mergeCell ref="B3655:C3655"/>
    <mergeCell ref="B3420:C3420"/>
    <mergeCell ref="B3466:C3466"/>
    <mergeCell ref="B3484:C3484"/>
    <mergeCell ref="B3510:C3510"/>
    <mergeCell ref="B3521:C3521"/>
    <mergeCell ref="B3536:C3536"/>
    <mergeCell ref="B3784:C3784"/>
    <mergeCell ref="B3795:C3795"/>
    <mergeCell ref="B3811:C3811"/>
    <mergeCell ref="B3816:C3816"/>
    <mergeCell ref="B3825:C3825"/>
    <mergeCell ref="B3828:C3828"/>
    <mergeCell ref="B3669:C3669"/>
    <mergeCell ref="B3699:C3699"/>
    <mergeCell ref="B3717:C3717"/>
    <mergeCell ref="B3734:C3734"/>
    <mergeCell ref="B3743:C3743"/>
    <mergeCell ref="B3773:C3773"/>
    <mergeCell ref="B3932:C3932"/>
    <mergeCell ref="B3942:C3942"/>
    <mergeCell ref="B3946:C3946"/>
    <mergeCell ref="B3955:C3955"/>
    <mergeCell ref="B3970:C3970"/>
    <mergeCell ref="B3972:C3972"/>
    <mergeCell ref="B3842:C3842"/>
    <mergeCell ref="B3846:C3846"/>
    <mergeCell ref="B3879:C3879"/>
    <mergeCell ref="B3889:C3889"/>
    <mergeCell ref="B3897:C3897"/>
    <mergeCell ref="B3918:C3918"/>
    <mergeCell ref="B4047:C4047"/>
    <mergeCell ref="B4064:C4064"/>
    <mergeCell ref="B4085:C4085"/>
    <mergeCell ref="B4090:C4090"/>
    <mergeCell ref="B4118:C4118"/>
    <mergeCell ref="B4132:C4132"/>
    <mergeCell ref="B3974:C3974"/>
    <mergeCell ref="B3991:C3991"/>
    <mergeCell ref="B3999:C3999"/>
    <mergeCell ref="B4012:C4012"/>
    <mergeCell ref="B4022:C4022"/>
    <mergeCell ref="B4036:C4036"/>
    <mergeCell ref="B4199:C4199"/>
    <mergeCell ref="B4212:C4212"/>
    <mergeCell ref="B4225:C4225"/>
    <mergeCell ref="B4260:C4260"/>
    <mergeCell ref="B4270:C4270"/>
    <mergeCell ref="B4282:C4282"/>
    <mergeCell ref="B4134:C4134"/>
    <mergeCell ref="B4154:C4154"/>
    <mergeCell ref="B4155:C4155"/>
    <mergeCell ref="B4158:C4158"/>
    <mergeCell ref="B4160:C4160"/>
    <mergeCell ref="B4180:C4180"/>
    <mergeCell ref="B4362:C4362"/>
    <mergeCell ref="B4381:C4381"/>
    <mergeCell ref="B4390:C4390"/>
    <mergeCell ref="B4396:C4396"/>
    <mergeCell ref="B4414:C4414"/>
    <mergeCell ref="B4447:C4447"/>
    <mergeCell ref="B4294:C4294"/>
    <mergeCell ref="B4320:C4320"/>
    <mergeCell ref="B4337:C4337"/>
    <mergeCell ref="B4340:C4340"/>
    <mergeCell ref="B4346:C4346"/>
    <mergeCell ref="B4359:C4359"/>
    <mergeCell ref="B4492:C4492"/>
    <mergeCell ref="B4499:C4499"/>
    <mergeCell ref="B4512:C4512"/>
    <mergeCell ref="B4519:C4519"/>
    <mergeCell ref="B4521:C4521"/>
    <mergeCell ref="B4525:C4525"/>
    <mergeCell ref="B4453:C4453"/>
    <mergeCell ref="B4456:C4456"/>
    <mergeCell ref="B4460:C4460"/>
    <mergeCell ref="B4474:C4474"/>
    <mergeCell ref="B4486:C4486"/>
    <mergeCell ref="B4487:C4487"/>
    <mergeCell ref="B4597:C4597"/>
    <mergeCell ref="B4619:C4619"/>
    <mergeCell ref="B4622:C4622"/>
    <mergeCell ref="B4630:C4630"/>
    <mergeCell ref="B4635:C4635"/>
    <mergeCell ref="B4636:C4636"/>
    <mergeCell ref="B4528:C4528"/>
    <mergeCell ref="B4530:C4530"/>
    <mergeCell ref="B4531:C4531"/>
    <mergeCell ref="B4533:C4533"/>
    <mergeCell ref="B4548:C4548"/>
    <mergeCell ref="B4570:C4570"/>
    <mergeCell ref="B4738:C4738"/>
    <mergeCell ref="B4745:C4745"/>
    <mergeCell ref="B4756:C4756"/>
    <mergeCell ref="B4770:C4770"/>
    <mergeCell ref="B4783:C4783"/>
    <mergeCell ref="B4789:C4789"/>
    <mergeCell ref="B4655:C4655"/>
    <mergeCell ref="B4664:C4664"/>
    <mergeCell ref="B4674:C4674"/>
    <mergeCell ref="B4691:C4691"/>
    <mergeCell ref="B4712:C4712"/>
    <mergeCell ref="B4723:C4723"/>
    <mergeCell ref="B4843:C4843"/>
    <mergeCell ref="B4859:C4859"/>
    <mergeCell ref="B4868:C4868"/>
    <mergeCell ref="B4876:C4876"/>
    <mergeCell ref="B4905:C4905"/>
    <mergeCell ref="B4919:C4919"/>
    <mergeCell ref="B4799:C4799"/>
    <mergeCell ref="B4812:C4812"/>
    <mergeCell ref="B4813:C4813"/>
    <mergeCell ref="B4814:C4814"/>
    <mergeCell ref="B4815:C4815"/>
    <mergeCell ref="B4822:C4822"/>
    <mergeCell ref="B4996:C4996"/>
    <mergeCell ref="B5070:C5070"/>
    <mergeCell ref="B5079:C5079"/>
    <mergeCell ref="B5087:C5087"/>
    <mergeCell ref="B5142:C5142"/>
    <mergeCell ref="B5155:C5155"/>
    <mergeCell ref="B4924:C4924"/>
    <mergeCell ref="B4930:C4930"/>
    <mergeCell ref="B4951:C4951"/>
    <mergeCell ref="B4955:C4955"/>
    <mergeCell ref="B4979:C4979"/>
    <mergeCell ref="B4990:C4990"/>
    <mergeCell ref="B5266:C5266"/>
    <mergeCell ref="B5287:C5287"/>
    <mergeCell ref="B5316:C5316"/>
    <mergeCell ref="B5323:C5323"/>
    <mergeCell ref="B5332:C5332"/>
    <mergeCell ref="B5344:C5344"/>
    <mergeCell ref="B5168:C5168"/>
    <mergeCell ref="B5182:C5182"/>
    <mergeCell ref="B5223:C5223"/>
    <mergeCell ref="B5233:C5233"/>
    <mergeCell ref="B5249:C5249"/>
    <mergeCell ref="B5256:C5256"/>
    <mergeCell ref="B5421:C5421"/>
    <mergeCell ref="B5437:C5437"/>
    <mergeCell ref="B5446:C5446"/>
    <mergeCell ref="B5451:C5451"/>
    <mergeCell ref="B5460:C5460"/>
    <mergeCell ref="B5461:C5461"/>
    <mergeCell ref="B5360:C5360"/>
    <mergeCell ref="B5363:C5363"/>
    <mergeCell ref="B5384:C5384"/>
    <mergeCell ref="B5392:C5392"/>
    <mergeCell ref="B5403:C5403"/>
    <mergeCell ref="B5419:C5419"/>
    <mergeCell ref="B5526:C5526"/>
    <mergeCell ref="B5545:C5545"/>
    <mergeCell ref="B5550:C5550"/>
    <mergeCell ref="B5554:C5554"/>
    <mergeCell ref="B5562:C5562"/>
    <mergeCell ref="B5578:C5578"/>
    <mergeCell ref="B5481:C5481"/>
    <mergeCell ref="B5485:C5485"/>
    <mergeCell ref="B5489:C5489"/>
    <mergeCell ref="B5496:C5496"/>
    <mergeCell ref="B5506:C5506"/>
    <mergeCell ref="B5507:C5507"/>
    <mergeCell ref="B5652:C5652"/>
    <mergeCell ref="B5657:C5657"/>
    <mergeCell ref="B5665:C5665"/>
    <mergeCell ref="B5677:C5677"/>
    <mergeCell ref="B5684:C5684"/>
    <mergeCell ref="B5706:C5706"/>
    <mergeCell ref="B5581:C5581"/>
    <mergeCell ref="B5593:C5593"/>
    <mergeCell ref="B5600:C5600"/>
    <mergeCell ref="B5609:C5609"/>
    <mergeCell ref="B5614:C5614"/>
    <mergeCell ref="B5651:C5651"/>
    <mergeCell ref="B5772:C5772"/>
    <mergeCell ref="B5780:C5780"/>
    <mergeCell ref="B5789:C5789"/>
    <mergeCell ref="B5794:C5794"/>
    <mergeCell ref="B5810:C5810"/>
    <mergeCell ref="B5815:C5815"/>
    <mergeCell ref="B5716:C5716"/>
    <mergeCell ref="B5729:C5729"/>
    <mergeCell ref="B5732:C5732"/>
    <mergeCell ref="B5744:C5744"/>
    <mergeCell ref="B5754:C5754"/>
    <mergeCell ref="B5765:C5765"/>
    <mergeCell ref="B5859:C5859"/>
    <mergeCell ref="B5865:C5865"/>
    <mergeCell ref="B5876:C5876"/>
    <mergeCell ref="B5883:C5883"/>
    <mergeCell ref="B5886:C5886"/>
    <mergeCell ref="B5899:C5899"/>
    <mergeCell ref="B5818:C5818"/>
    <mergeCell ref="B5827:C5827"/>
    <mergeCell ref="B5831:C5831"/>
    <mergeCell ref="B5834:C5834"/>
    <mergeCell ref="B5841:C5841"/>
    <mergeCell ref="B5848:C5848"/>
    <mergeCell ref="B5982:C5982"/>
    <mergeCell ref="B5988:C5988"/>
    <mergeCell ref="B5997:C5997"/>
    <mergeCell ref="B6001:C6001"/>
    <mergeCell ref="B6026:C6026"/>
    <mergeCell ref="B6029:C6029"/>
    <mergeCell ref="B5933:C5933"/>
    <mergeCell ref="B5948:C5948"/>
    <mergeCell ref="B5950:C5950"/>
    <mergeCell ref="B5955:C5955"/>
    <mergeCell ref="B5965:C5965"/>
    <mergeCell ref="B5973:C5973"/>
    <mergeCell ref="B6112:C6112"/>
    <mergeCell ref="B6123:C6123"/>
    <mergeCell ref="B6160:C6160"/>
    <mergeCell ref="B6169:C6169"/>
    <mergeCell ref="B6795:C6795"/>
    <mergeCell ref="B6827:D6827"/>
    <mergeCell ref="B6032:C6032"/>
    <mergeCell ref="B6045:C6045"/>
    <mergeCell ref="B6050:C6050"/>
    <mergeCell ref="B6058:C6058"/>
    <mergeCell ref="B6072:C6072"/>
    <mergeCell ref="B6089:C6089"/>
    <mergeCell ref="B6862:D6862"/>
    <mergeCell ref="B6868:D6868"/>
    <mergeCell ref="B6875:D6875"/>
    <mergeCell ref="B6877:D6877"/>
    <mergeCell ref="B6886:D6886"/>
    <mergeCell ref="B6907:D6907"/>
    <mergeCell ref="B6828:D6828"/>
    <mergeCell ref="B6829:D6829"/>
    <mergeCell ref="B6834:D6834"/>
    <mergeCell ref="B6854:D6854"/>
    <mergeCell ref="B6855:D6855"/>
    <mergeCell ref="B6860:D6860"/>
    <mergeCell ref="B6965:D6965"/>
    <mergeCell ref="B6967:D6967"/>
    <mergeCell ref="B6974:D6974"/>
    <mergeCell ref="B6977:D6977"/>
    <mergeCell ref="B6982:D6982"/>
    <mergeCell ref="B6988:D6988"/>
    <mergeCell ref="B6911:D6911"/>
    <mergeCell ref="B6919:D6919"/>
    <mergeCell ref="B6932:D6932"/>
    <mergeCell ref="B6933:D6933"/>
    <mergeCell ref="B6946:D6946"/>
    <mergeCell ref="B6951:D6951"/>
    <mergeCell ref="B7030:D7030"/>
    <mergeCell ref="B7033:D7033"/>
    <mergeCell ref="B7044:D7044"/>
    <mergeCell ref="B7058:D7058"/>
    <mergeCell ref="B7077:D7077"/>
    <mergeCell ref="B7103:D7103"/>
    <mergeCell ref="B6997:D6997"/>
    <mergeCell ref="B7000:D7000"/>
    <mergeCell ref="B7004:D7004"/>
    <mergeCell ref="B7015:D7015"/>
    <mergeCell ref="B7021:D7021"/>
    <mergeCell ref="B7024:D7024"/>
    <mergeCell ref="B7137:D7137"/>
    <mergeCell ref="B7168:D7168"/>
    <mergeCell ref="B7187:D7187"/>
    <mergeCell ref="B7200:D7200"/>
    <mergeCell ref="B7201:D7201"/>
    <mergeCell ref="B7202:D7202"/>
    <mergeCell ref="B7111:D7111"/>
    <mergeCell ref="B7124:D7124"/>
    <mergeCell ref="B7125:D7125"/>
    <mergeCell ref="B7129:D7129"/>
    <mergeCell ref="B7130:D7130"/>
    <mergeCell ref="B7131:D7131"/>
    <mergeCell ref="B7248:D7248"/>
    <mergeCell ref="B7260:D7260"/>
    <mergeCell ref="B7265:D7265"/>
    <mergeCell ref="B7268:D7268"/>
    <mergeCell ref="B7272:D7272"/>
    <mergeCell ref="B7292:D7292"/>
    <mergeCell ref="B7209:D7209"/>
    <mergeCell ref="B7219:D7219"/>
    <mergeCell ref="B7229:D7229"/>
    <mergeCell ref="B7230:D7230"/>
    <mergeCell ref="B7243:D7243"/>
    <mergeCell ref="B7245:D7245"/>
    <mergeCell ref="B7336:D7336"/>
    <mergeCell ref="B7354:D7354"/>
    <mergeCell ref="B7357:D7357"/>
    <mergeCell ref="B7360:D7360"/>
    <mergeCell ref="B7367:D7367"/>
    <mergeCell ref="B7374:D7374"/>
    <mergeCell ref="B7308:D7308"/>
    <mergeCell ref="B7309:D7309"/>
    <mergeCell ref="B7310:D7310"/>
    <mergeCell ref="B7311:D7311"/>
    <mergeCell ref="B7327:D7327"/>
    <mergeCell ref="B7331:D7331"/>
    <mergeCell ref="B7462:D7462"/>
    <mergeCell ref="B7485:D7485"/>
    <mergeCell ref="B7498:D7498"/>
    <mergeCell ref="B7508:D7508"/>
    <mergeCell ref="B7514:D7514"/>
    <mergeCell ref="B7519:D7519"/>
    <mergeCell ref="B7386:D7386"/>
    <mergeCell ref="B7416:D7416"/>
    <mergeCell ref="B7419:D7419"/>
    <mergeCell ref="B7422:D7422"/>
    <mergeCell ref="B7453:D7453"/>
    <mergeCell ref="B7454:D7454"/>
    <mergeCell ref="B7599:D7599"/>
    <mergeCell ref="B7624:D7624"/>
    <mergeCell ref="B7642:D7642"/>
    <mergeCell ref="B7658:D7658"/>
    <mergeCell ref="B7661:D7661"/>
    <mergeCell ref="B7664:D7664"/>
    <mergeCell ref="B7524:D7524"/>
    <mergeCell ref="B7533:D7533"/>
    <mergeCell ref="B7534:D7534"/>
    <mergeCell ref="B7536:D7536"/>
    <mergeCell ref="B7548:D7548"/>
    <mergeCell ref="B7595:D7595"/>
    <mergeCell ref="B7691:D7691"/>
    <mergeCell ref="B7701:D7701"/>
    <mergeCell ref="B7712:D7712"/>
    <mergeCell ref="B7717:D7717"/>
    <mergeCell ref="B7720:D7720"/>
    <mergeCell ref="B7730:D7730"/>
    <mergeCell ref="B7667:D7667"/>
    <mergeCell ref="B7671:D7671"/>
    <mergeCell ref="B7678:D7678"/>
    <mergeCell ref="B7682:D7682"/>
    <mergeCell ref="B7684:D7684"/>
    <mergeCell ref="B7688:D7688"/>
    <mergeCell ref="B7774:D7774"/>
    <mergeCell ref="B7776:D7776"/>
    <mergeCell ref="B7780:D7780"/>
    <mergeCell ref="B7784:D7784"/>
    <mergeCell ref="B7789:D7789"/>
    <mergeCell ref="B7804:D7804"/>
    <mergeCell ref="B7741:D7741"/>
    <mergeCell ref="B7745:D7745"/>
    <mergeCell ref="B7754:D7754"/>
    <mergeCell ref="B7759:D7759"/>
    <mergeCell ref="B7766:D7766"/>
    <mergeCell ref="B7772:D7772"/>
    <mergeCell ref="B7853:D7853"/>
    <mergeCell ref="B7874:D7874"/>
    <mergeCell ref="B7886:D7886"/>
    <mergeCell ref="B7896:D7896"/>
    <mergeCell ref="B7898:D7898"/>
    <mergeCell ref="B7905:D7905"/>
    <mergeCell ref="B7809:D7809"/>
    <mergeCell ref="B7820:D7820"/>
    <mergeCell ref="B7823:D7823"/>
    <mergeCell ref="B7833:D7833"/>
    <mergeCell ref="B7836:D7836"/>
    <mergeCell ref="B7839:D7839"/>
    <mergeCell ref="B7968:D7968"/>
    <mergeCell ref="B7976:D7976"/>
    <mergeCell ref="B7985:D7985"/>
    <mergeCell ref="B8001:D8001"/>
    <mergeCell ref="B8020:D8020"/>
    <mergeCell ref="B8037:D8037"/>
    <mergeCell ref="B7923:D7923"/>
    <mergeCell ref="B7925:D7925"/>
    <mergeCell ref="B7935:D7935"/>
    <mergeCell ref="B7941:D7941"/>
    <mergeCell ref="B7950:D7950"/>
    <mergeCell ref="B7961:D7961"/>
    <mergeCell ref="B8132:D8132"/>
    <mergeCell ref="B8140:D8140"/>
    <mergeCell ref="B8144:D8144"/>
    <mergeCell ref="B8176:D8176"/>
    <mergeCell ref="B8182:D8182"/>
    <mergeCell ref="B8203:D8203"/>
    <mergeCell ref="B8054:D8054"/>
    <mergeCell ref="B8068:D8068"/>
    <mergeCell ref="B8069:D8069"/>
    <mergeCell ref="B8074:D8074"/>
    <mergeCell ref="B8097:D8097"/>
    <mergeCell ref="B8122:D8122"/>
    <mergeCell ref="B8253:D8253"/>
    <mergeCell ref="B8267:D8267"/>
    <mergeCell ref="B8269:D8269"/>
    <mergeCell ref="B8277:D8277"/>
    <mergeCell ref="B8289:D8289"/>
    <mergeCell ref="B8290:D8290"/>
    <mergeCell ref="B8206:D8206"/>
    <mergeCell ref="B8215:D8215"/>
    <mergeCell ref="B8219:D8219"/>
    <mergeCell ref="B8244:D8244"/>
    <mergeCell ref="B8245:D8245"/>
    <mergeCell ref="B8246:D8246"/>
    <mergeCell ref="B8374:D8374"/>
    <mergeCell ref="B8381:D8381"/>
    <mergeCell ref="B8391:D8391"/>
    <mergeCell ref="B8437:D8437"/>
    <mergeCell ref="B8452:D8452"/>
    <mergeCell ref="B8476:D8476"/>
    <mergeCell ref="B8293:D8293"/>
    <mergeCell ref="B8306:D8306"/>
    <mergeCell ref="B8321:D8321"/>
    <mergeCell ref="B8348:D8348"/>
    <mergeCell ref="B8349:D8349"/>
    <mergeCell ref="B8371:D8371"/>
    <mergeCell ref="B8540:D8540"/>
    <mergeCell ref="B8558:D8558"/>
    <mergeCell ref="B8570:D8570"/>
    <mergeCell ref="B8587:D8587"/>
    <mergeCell ref="B8596:D8596"/>
    <mergeCell ref="B8612:D8612"/>
    <mergeCell ref="B8494:D8494"/>
    <mergeCell ref="B8501:D8501"/>
    <mergeCell ref="B8510:D8510"/>
    <mergeCell ref="B8513:D8513"/>
    <mergeCell ref="B8519:D8519"/>
    <mergeCell ref="B8529:D8529"/>
    <mergeCell ref="I8832:J8832"/>
    <mergeCell ref="B8836:D8836"/>
    <mergeCell ref="B8687:D8687"/>
    <mergeCell ref="B8698:D8698"/>
    <mergeCell ref="B8705:D8705"/>
    <mergeCell ref="B8721:D8721"/>
    <mergeCell ref="B8736:D8736"/>
    <mergeCell ref="B8742:D8742"/>
    <mergeCell ref="B8630:D8630"/>
    <mergeCell ref="B8634:D8634"/>
    <mergeCell ref="B8636:D8636"/>
    <mergeCell ref="B8651:D8651"/>
    <mergeCell ref="B8663:D8663"/>
    <mergeCell ref="B8673:D8673"/>
    <mergeCell ref="B8840:D8840"/>
    <mergeCell ref="B8859:D8859"/>
    <mergeCell ref="B8866:D8866"/>
    <mergeCell ref="B8867:D8867"/>
    <mergeCell ref="B8868:D8868"/>
    <mergeCell ref="B8884:D8884"/>
    <mergeCell ref="B8749:D8749"/>
    <mergeCell ref="B8798:D8798"/>
    <mergeCell ref="B8805:D8805"/>
    <mergeCell ref="B8830:D8830"/>
    <mergeCell ref="B8975:D8975"/>
    <mergeCell ref="B8976:D8976"/>
    <mergeCell ref="B8992:D8992"/>
    <mergeCell ref="B8993:D8993"/>
    <mergeCell ref="B9003:D9003"/>
    <mergeCell ref="B9013:D9013"/>
    <mergeCell ref="B8894:D8894"/>
    <mergeCell ref="B8901:D8901"/>
    <mergeCell ref="B8907:D8907"/>
    <mergeCell ref="B8930:D8930"/>
    <mergeCell ref="B8940:D8940"/>
    <mergeCell ref="B8947:D8947"/>
    <mergeCell ref="B9065:D9065"/>
    <mergeCell ref="B9073:D9073"/>
    <mergeCell ref="B9080:D9080"/>
    <mergeCell ref="B9094:D9094"/>
    <mergeCell ref="B9102:D9102"/>
    <mergeCell ref="B9109:D9109"/>
    <mergeCell ref="B9019:D9019"/>
    <mergeCell ref="B9021:D9021"/>
    <mergeCell ref="B9036:D9036"/>
    <mergeCell ref="B9044:D9044"/>
    <mergeCell ref="B9061:D9061"/>
    <mergeCell ref="B9063:D9063"/>
    <mergeCell ref="B9197:D9197"/>
    <mergeCell ref="B9204:D9204"/>
    <mergeCell ref="B9211:D9211"/>
    <mergeCell ref="B9226:D9226"/>
    <mergeCell ref="B9235:D9235"/>
    <mergeCell ref="B9236:D9236"/>
    <mergeCell ref="B9119:D9119"/>
    <mergeCell ref="B9135:D9135"/>
    <mergeCell ref="B9148:D9148"/>
    <mergeCell ref="B9166:D9166"/>
    <mergeCell ref="B9179:D9179"/>
    <mergeCell ref="B9183:D9183"/>
    <mergeCell ref="B9283:D9283"/>
    <mergeCell ref="B9287:D9287"/>
    <mergeCell ref="B9289:D9289"/>
    <mergeCell ref="B9300:D9300"/>
    <mergeCell ref="B9306:D9306"/>
    <mergeCell ref="B9310:D9310"/>
    <mergeCell ref="B9237:D9237"/>
    <mergeCell ref="B9242:D9242"/>
    <mergeCell ref="B9249:D9249"/>
    <mergeCell ref="B9258:D9258"/>
    <mergeCell ref="B9263:D9263"/>
    <mergeCell ref="B9274:D9274"/>
    <mergeCell ref="B9380:D9380"/>
    <mergeCell ref="B9387:D9387"/>
    <mergeCell ref="H9396:J9396"/>
    <mergeCell ref="B9397:D9397"/>
    <mergeCell ref="H9397:I9397"/>
    <mergeCell ref="H9398:I9398"/>
    <mergeCell ref="B9314:D9314"/>
    <mergeCell ref="B9340:D9340"/>
    <mergeCell ref="B9341:D9341"/>
    <mergeCell ref="B9353:D9353"/>
    <mergeCell ref="B9365:D9365"/>
    <mergeCell ref="B9368:D9368"/>
    <mergeCell ref="B9405:D9405"/>
    <mergeCell ref="B9410:D9410"/>
    <mergeCell ref="B9419:D9419"/>
    <mergeCell ref="B9439:D9439"/>
    <mergeCell ref="B9448:D9448"/>
    <mergeCell ref="B9449:D9449"/>
    <mergeCell ref="H9399:I9399"/>
    <mergeCell ref="H9400:I9400"/>
    <mergeCell ref="B9401:D9401"/>
    <mergeCell ref="H9401:I9401"/>
    <mergeCell ref="H9402:I9402"/>
    <mergeCell ref="H9403:I9403"/>
    <mergeCell ref="B9520:D9520"/>
    <mergeCell ref="B9523:D9523"/>
    <mergeCell ref="B9525:D9525"/>
    <mergeCell ref="B9534:D9534"/>
    <mergeCell ref="H9535:I9535"/>
    <mergeCell ref="B9538:D9538"/>
    <mergeCell ref="B9469:D9469"/>
    <mergeCell ref="B9475:D9475"/>
    <mergeCell ref="B9476:D9476"/>
    <mergeCell ref="B9483:D9483"/>
    <mergeCell ref="B9486:D9486"/>
    <mergeCell ref="B9496:D9496"/>
    <mergeCell ref="B9598:D9598"/>
    <mergeCell ref="B9606:D9606"/>
    <mergeCell ref="B9609:D9609"/>
    <mergeCell ref="B9620:D9620"/>
    <mergeCell ref="B9657:D9657"/>
    <mergeCell ref="B9670:D9670"/>
    <mergeCell ref="B9544:D9544"/>
    <mergeCell ref="B9556:D9556"/>
    <mergeCell ref="B9566:D9566"/>
    <mergeCell ref="B9579:D9579"/>
    <mergeCell ref="B9587:D9587"/>
    <mergeCell ref="B9591:D9591"/>
    <mergeCell ref="B9756:D9756"/>
    <mergeCell ref="B9778:D9778"/>
    <mergeCell ref="B9792:D9792"/>
    <mergeCell ref="B9811:D9811"/>
    <mergeCell ref="B9834:D9834"/>
    <mergeCell ref="B9837:D9837"/>
    <mergeCell ref="B9680:D9680"/>
    <mergeCell ref="B9690:D9690"/>
    <mergeCell ref="B9691:D9691"/>
    <mergeCell ref="B9709:D9709"/>
    <mergeCell ref="B9713:D9713"/>
    <mergeCell ref="B9725:D9725"/>
    <mergeCell ref="B9881:D9881"/>
    <mergeCell ref="B9896:D9896"/>
    <mergeCell ref="B9897:D9897"/>
    <mergeCell ref="B9904:D9904"/>
    <mergeCell ref="B9905:D9905"/>
    <mergeCell ref="B9916:D9916"/>
    <mergeCell ref="B9841:D9841"/>
    <mergeCell ref="B9850:D9850"/>
    <mergeCell ref="B9855:D9855"/>
    <mergeCell ref="B9866:D9866"/>
    <mergeCell ref="B9867:D9867"/>
    <mergeCell ref="B9874:D9874"/>
    <mergeCell ref="B9999:D9999"/>
    <mergeCell ref="B10015:D10015"/>
    <mergeCell ref="B10017:D10017"/>
    <mergeCell ref="B10024:D10024"/>
    <mergeCell ref="B10029:D10029"/>
    <mergeCell ref="B10037:D10037"/>
    <mergeCell ref="B9940:D9940"/>
    <mergeCell ref="B9942:D9942"/>
    <mergeCell ref="B9944:D9944"/>
    <mergeCell ref="B9952:D9952"/>
    <mergeCell ref="B9973:D9973"/>
    <mergeCell ref="B9984:D9984"/>
    <mergeCell ref="B10086:D10086"/>
    <mergeCell ref="B10087:D10087"/>
    <mergeCell ref="B10088:D10088"/>
    <mergeCell ref="B10100:D10100"/>
    <mergeCell ref="B10101:D10101"/>
    <mergeCell ref="B10114:D10114"/>
    <mergeCell ref="B10049:D10049"/>
    <mergeCell ref="B10061:D10061"/>
    <mergeCell ref="B10062:D10062"/>
    <mergeCell ref="B10063:D10063"/>
    <mergeCell ref="B10066:D10066"/>
    <mergeCell ref="B10085:D10085"/>
    <mergeCell ref="B10178:D10178"/>
    <mergeCell ref="B10186:D10186"/>
    <mergeCell ref="B10194:D10194"/>
    <mergeCell ref="B10201:D10201"/>
    <mergeCell ref="B10211:D10211"/>
    <mergeCell ref="B10237:D10237"/>
    <mergeCell ref="B10121:D10121"/>
    <mergeCell ref="B10127:D10127"/>
    <mergeCell ref="B10135:D10135"/>
    <mergeCell ref="B10150:D10150"/>
    <mergeCell ref="B10161:D10161"/>
    <mergeCell ref="B10169:D10169"/>
    <mergeCell ref="B10287:D10287"/>
    <mergeCell ref="B10293:D10293"/>
    <mergeCell ref="B10294:D10294"/>
    <mergeCell ref="B10307:D10307"/>
    <mergeCell ref="B10312:D10312"/>
    <mergeCell ref="B10317:D10317"/>
    <mergeCell ref="B10245:D10245"/>
    <mergeCell ref="B10247:D10247"/>
    <mergeCell ref="B10262:D10262"/>
    <mergeCell ref="B10263:D10263"/>
    <mergeCell ref="B10275:D10275"/>
    <mergeCell ref="B10277:D10277"/>
    <mergeCell ref="B10392:D10392"/>
    <mergeCell ref="B10404:D10404"/>
    <mergeCell ref="B10412:D10412"/>
    <mergeCell ref="B10416:D10416"/>
    <mergeCell ref="B10433:D10433"/>
    <mergeCell ref="B10443:D10443"/>
    <mergeCell ref="B10327:D10327"/>
    <mergeCell ref="B10339:D10339"/>
    <mergeCell ref="B10341:D10341"/>
    <mergeCell ref="B10344:D10344"/>
    <mergeCell ref="B10369:D10369"/>
    <mergeCell ref="B10378:D10378"/>
    <mergeCell ref="B10561:D10561"/>
    <mergeCell ref="B10586:D10586"/>
    <mergeCell ref="B10601:D10601"/>
    <mergeCell ref="B10609:D10609"/>
    <mergeCell ref="B10620:D10620"/>
    <mergeCell ref="B10637:D10637"/>
    <mergeCell ref="B10461:D10461"/>
    <mergeCell ref="B10467:D10467"/>
    <mergeCell ref="B10485:D10485"/>
    <mergeCell ref="B10515:D10515"/>
    <mergeCell ref="B10528:D10528"/>
    <mergeCell ref="B10540:D10540"/>
    <mergeCell ref="B10677:D10677"/>
    <mergeCell ref="B10679:D10679"/>
    <mergeCell ref="B10684:D10684"/>
    <mergeCell ref="B10687:D10687"/>
    <mergeCell ref="B10703:D10703"/>
    <mergeCell ref="B10709:D10709"/>
    <mergeCell ref="B10638:D10638"/>
    <mergeCell ref="B10647:D10647"/>
    <mergeCell ref="B10650:D10650"/>
    <mergeCell ref="B10653:D10653"/>
    <mergeCell ref="B10664:D10664"/>
    <mergeCell ref="B10672:D10672"/>
    <mergeCell ref="B10771:D10771"/>
    <mergeCell ref="B10772:D10772"/>
    <mergeCell ref="B10773:D10773"/>
    <mergeCell ref="B10794:D10794"/>
    <mergeCell ref="B10795:D10795"/>
    <mergeCell ref="B10806:D10806"/>
    <mergeCell ref="B10710:D10710"/>
    <mergeCell ref="B10744:D10744"/>
    <mergeCell ref="B10754:D10754"/>
    <mergeCell ref="B10755:D10755"/>
    <mergeCell ref="B10756:D10756"/>
    <mergeCell ref="B10769:D10769"/>
    <mergeCell ref="B10875:D10875"/>
    <mergeCell ref="B10880:D10880"/>
    <mergeCell ref="B10888:D10888"/>
    <mergeCell ref="B10811:D10811"/>
    <mergeCell ref="B10821:D10821"/>
    <mergeCell ref="B10825:D10825"/>
    <mergeCell ref="B10835:D10835"/>
    <mergeCell ref="B10847:D10847"/>
    <mergeCell ref="B10861:D10861"/>
  </mergeCells>
  <conditionalFormatting sqref="E10298">
    <cfRule type="expression" dxfId="0" priority="1">
      <formula>"if($H$10299=""15 Nov 2021"")"</formula>
    </cfRule>
    <cfRule type="expression" priority="2">
      <formula>"if($H$10299=""15-Nov 2021"")"</formula>
    </cfRule>
  </conditionalFormatting>
  <dataValidations count="1">
    <dataValidation type="list" allowBlank="1" showInputMessage="1" showErrorMessage="1" sqref="G9730:G9731" xr:uid="{00000000-0002-0000-0A00-000000000000}">
      <formula1>$B$9727:$B$9739</formula1>
    </dataValidation>
  </dataValidations>
  <printOptions horizontalCentered="1"/>
  <pageMargins left="0" right="0" top="0" bottom="0" header="0.3" footer="0.3"/>
  <pageSetup paperSize="9" scale="76" fitToHeight="19" orientation="portrait" r:id="rId1"/>
  <rowBreaks count="4" manualBreakCount="4">
    <brk id="4791" max="12" man="1"/>
    <brk id="8174" max="12" man="1"/>
    <brk id="9766" max="5" man="1"/>
    <brk id="9821" max="5" man="1"/>
  </rowBreaks>
  <colBreaks count="1" manualBreakCount="1">
    <brk id="6" max="8477" man="1"/>
  </colBreak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C630-920F-4D68-B0B1-B73656BC69FE}">
  <dimension ref="A1:H373"/>
  <sheetViews>
    <sheetView zoomScale="115" zoomScaleNormal="115" workbookViewId="0">
      <pane ySplit="2" topLeftCell="A123" activePane="bottomLeft" state="frozen"/>
      <selection activeCell="D6707" sqref="D6707"/>
      <selection pane="bottomLeft" activeCell="B133" sqref="B133"/>
    </sheetView>
  </sheetViews>
  <sheetFormatPr defaultRowHeight="18.75" x14ac:dyDescent="0.3"/>
  <cols>
    <col min="1" max="1" width="11.42578125" customWidth="1"/>
    <col min="2" max="2" width="43.42578125" style="526" customWidth="1"/>
    <col min="3" max="3" width="12.7109375" style="379" customWidth="1"/>
    <col min="4" max="4" width="12.42578125" customWidth="1"/>
    <col min="5" max="5" width="16" style="4" customWidth="1"/>
    <col min="6" max="7" width="12.28515625" bestFit="1" customWidth="1"/>
    <col min="8" max="8" width="11.85546875" bestFit="1" customWidth="1"/>
  </cols>
  <sheetData>
    <row r="1" spans="1:8" ht="18.75" customHeight="1" x14ac:dyDescent="0.25">
      <c r="A1" s="775" t="s">
        <v>11446</v>
      </c>
      <c r="B1" s="775"/>
      <c r="C1" s="775"/>
      <c r="D1" s="775"/>
      <c r="E1" s="775"/>
    </row>
    <row r="2" spans="1:8" ht="37.5" x14ac:dyDescent="0.25">
      <c r="A2" s="53" t="s">
        <v>1</v>
      </c>
      <c r="B2" s="49" t="s">
        <v>3</v>
      </c>
      <c r="C2" s="50" t="s">
        <v>11457</v>
      </c>
      <c r="D2" s="50" t="s">
        <v>11456</v>
      </c>
      <c r="E2" s="50" t="s">
        <v>7767</v>
      </c>
      <c r="F2" s="2"/>
    </row>
    <row r="3" spans="1:8" x14ac:dyDescent="0.25">
      <c r="A3" s="446">
        <v>45093</v>
      </c>
      <c r="B3" s="305" t="s">
        <v>11433</v>
      </c>
      <c r="C3" s="306"/>
      <c r="D3" s="306">
        <v>1500000</v>
      </c>
      <c r="E3" s="48">
        <f>D3</f>
        <v>1500000</v>
      </c>
    </row>
    <row r="4" spans="1:8" x14ac:dyDescent="0.25">
      <c r="A4" s="446">
        <v>45094</v>
      </c>
      <c r="B4" s="305" t="s">
        <v>11433</v>
      </c>
      <c r="C4" s="306"/>
      <c r="D4" s="306">
        <v>2000000</v>
      </c>
      <c r="E4" s="48">
        <f>E3+D4-C4</f>
        <v>3500000</v>
      </c>
    </row>
    <row r="5" spans="1:8" x14ac:dyDescent="0.25">
      <c r="A5" s="446">
        <v>45093</v>
      </c>
      <c r="B5" s="305" t="s">
        <v>11605</v>
      </c>
      <c r="C5" s="306">
        <v>200000</v>
      </c>
      <c r="D5" s="306"/>
      <c r="E5" s="48">
        <f>E4+D5-C5</f>
        <v>3300000</v>
      </c>
    </row>
    <row r="6" spans="1:8" x14ac:dyDescent="0.25">
      <c r="A6" s="446">
        <v>45093</v>
      </c>
      <c r="B6" s="305" t="s">
        <v>11606</v>
      </c>
      <c r="C6" s="306">
        <v>90000</v>
      </c>
      <c r="D6" s="306"/>
      <c r="E6" s="48">
        <f>E5+D6-C6</f>
        <v>3210000</v>
      </c>
    </row>
    <row r="7" spans="1:8" x14ac:dyDescent="0.25">
      <c r="A7" s="446">
        <v>45094</v>
      </c>
      <c r="B7" s="305" t="s">
        <v>11438</v>
      </c>
      <c r="C7" s="306">
        <v>50000</v>
      </c>
      <c r="D7" s="304"/>
      <c r="E7" s="48">
        <f t="shared" ref="E7:E72" si="0">E6+D7-C7</f>
        <v>3160000</v>
      </c>
    </row>
    <row r="8" spans="1:8" x14ac:dyDescent="0.25">
      <c r="A8" s="446">
        <v>45096</v>
      </c>
      <c r="B8" s="305" t="s">
        <v>11441</v>
      </c>
      <c r="C8" s="306">
        <v>50000</v>
      </c>
      <c r="D8" s="304"/>
      <c r="E8" s="48">
        <f t="shared" si="0"/>
        <v>3110000</v>
      </c>
    </row>
    <row r="9" spans="1:8" x14ac:dyDescent="0.25">
      <c r="A9" s="446">
        <v>45096</v>
      </c>
      <c r="B9" s="305" t="s">
        <v>11442</v>
      </c>
      <c r="C9" s="306">
        <v>250000</v>
      </c>
      <c r="D9" s="304"/>
      <c r="E9" s="48">
        <f t="shared" si="0"/>
        <v>2860000</v>
      </c>
      <c r="G9" s="277">
        <f>C9+C10</f>
        <v>332400</v>
      </c>
    </row>
    <row r="10" spans="1:8" x14ac:dyDescent="0.25">
      <c r="A10" s="446">
        <v>45096</v>
      </c>
      <c r="B10" s="305" t="s">
        <v>11442</v>
      </c>
      <c r="C10" s="306">
        <v>82400</v>
      </c>
      <c r="D10" s="304"/>
      <c r="E10" s="48">
        <f t="shared" si="0"/>
        <v>2777600</v>
      </c>
      <c r="G10" s="277"/>
    </row>
    <row r="11" spans="1:8" x14ac:dyDescent="0.25">
      <c r="A11" s="446">
        <v>45096</v>
      </c>
      <c r="B11" s="305" t="s">
        <v>11448</v>
      </c>
      <c r="C11" s="306">
        <v>250000</v>
      </c>
      <c r="D11" s="304"/>
      <c r="E11" s="48">
        <f t="shared" si="0"/>
        <v>2527600</v>
      </c>
      <c r="H11" s="277"/>
    </row>
    <row r="12" spans="1:8" x14ac:dyDescent="0.25">
      <c r="A12" s="446">
        <v>45096</v>
      </c>
      <c r="B12" s="305" t="s">
        <v>11448</v>
      </c>
      <c r="C12" s="306">
        <v>33400</v>
      </c>
      <c r="D12" s="304"/>
      <c r="E12" s="48">
        <f t="shared" si="0"/>
        <v>2494200</v>
      </c>
      <c r="G12" s="277">
        <f>C11+C12</f>
        <v>283400</v>
      </c>
    </row>
    <row r="13" spans="1:8" x14ac:dyDescent="0.25">
      <c r="A13" s="446">
        <v>45096</v>
      </c>
      <c r="B13" s="305" t="s">
        <v>11433</v>
      </c>
      <c r="C13" s="306"/>
      <c r="D13" s="306">
        <v>750000</v>
      </c>
      <c r="E13" s="48">
        <f t="shared" si="0"/>
        <v>3244200</v>
      </c>
      <c r="G13" s="277"/>
    </row>
    <row r="14" spans="1:8" x14ac:dyDescent="0.25">
      <c r="A14" s="446">
        <v>45097</v>
      </c>
      <c r="B14" s="305" t="s">
        <v>11458</v>
      </c>
      <c r="C14" s="306">
        <v>100000</v>
      </c>
      <c r="D14" s="48"/>
      <c r="E14" s="48">
        <f t="shared" si="0"/>
        <v>3144200</v>
      </c>
    </row>
    <row r="15" spans="1:8" x14ac:dyDescent="0.25">
      <c r="A15" s="446">
        <v>45097</v>
      </c>
      <c r="B15" s="305" t="s">
        <v>11464</v>
      </c>
      <c r="C15" s="306">
        <v>250000</v>
      </c>
      <c r="D15" s="306"/>
      <c r="E15" s="48">
        <f t="shared" si="0"/>
        <v>2894200</v>
      </c>
    </row>
    <row r="16" spans="1:8" x14ac:dyDescent="0.25">
      <c r="A16" s="446">
        <v>45097</v>
      </c>
      <c r="B16" s="305" t="s">
        <v>11464</v>
      </c>
      <c r="C16" s="306">
        <v>250000</v>
      </c>
      <c r="D16" s="306"/>
      <c r="E16" s="48">
        <f t="shared" si="0"/>
        <v>2644200</v>
      </c>
    </row>
    <row r="17" spans="1:7" ht="30" x14ac:dyDescent="0.25">
      <c r="A17" s="446">
        <v>45099</v>
      </c>
      <c r="B17" s="309" t="s">
        <v>11487</v>
      </c>
      <c r="C17" s="306">
        <v>150000</v>
      </c>
      <c r="D17" s="306"/>
      <c r="E17" s="48">
        <f t="shared" si="0"/>
        <v>2494200</v>
      </c>
    </row>
    <row r="18" spans="1:7" x14ac:dyDescent="0.25">
      <c r="A18" s="446">
        <v>45099</v>
      </c>
      <c r="B18" s="308" t="s">
        <v>11433</v>
      </c>
      <c r="C18" s="306"/>
      <c r="D18" s="536">
        <v>1900000</v>
      </c>
      <c r="E18" s="48">
        <f t="shared" si="0"/>
        <v>4394200</v>
      </c>
    </row>
    <row r="19" spans="1:7" ht="30" x14ac:dyDescent="0.25">
      <c r="A19" s="446">
        <v>45099</v>
      </c>
      <c r="B19" s="305" t="s">
        <v>11496</v>
      </c>
      <c r="C19" s="306">
        <v>50000</v>
      </c>
      <c r="D19" s="306"/>
      <c r="E19" s="48">
        <f t="shared" si="0"/>
        <v>4344200</v>
      </c>
    </row>
    <row r="20" spans="1:7" ht="30" x14ac:dyDescent="0.25">
      <c r="A20" s="446">
        <v>45101</v>
      </c>
      <c r="B20" s="305" t="s">
        <v>11515</v>
      </c>
      <c r="C20" s="306">
        <v>182700</v>
      </c>
      <c r="D20" s="306"/>
      <c r="E20" s="48">
        <f t="shared" si="0"/>
        <v>4161500</v>
      </c>
    </row>
    <row r="21" spans="1:7" x14ac:dyDescent="0.25">
      <c r="A21" s="446">
        <v>45101</v>
      </c>
      <c r="B21" s="305" t="s">
        <v>11600</v>
      </c>
      <c r="C21" s="306">
        <v>1700000</v>
      </c>
      <c r="D21" s="306"/>
      <c r="E21" s="48">
        <f t="shared" si="0"/>
        <v>2461500</v>
      </c>
    </row>
    <row r="22" spans="1:7" x14ac:dyDescent="0.25">
      <c r="A22" s="446">
        <v>45103</v>
      </c>
      <c r="B22" s="309" t="s">
        <v>11529</v>
      </c>
      <c r="C22" s="304">
        <v>65000</v>
      </c>
      <c r="D22" s="306"/>
      <c r="E22" s="48">
        <f t="shared" si="0"/>
        <v>2396500</v>
      </c>
    </row>
    <row r="23" spans="1:7" x14ac:dyDescent="0.25">
      <c r="A23" s="446">
        <v>45103</v>
      </c>
      <c r="B23" s="308" t="s">
        <v>11433</v>
      </c>
      <c r="C23" s="306"/>
      <c r="D23" s="536">
        <v>1900000</v>
      </c>
      <c r="E23" s="48">
        <f t="shared" si="0"/>
        <v>4296500</v>
      </c>
    </row>
    <row r="24" spans="1:7" x14ac:dyDescent="0.25">
      <c r="A24" s="446">
        <v>45103</v>
      </c>
      <c r="B24" s="308" t="s">
        <v>11433</v>
      </c>
      <c r="C24" s="306"/>
      <c r="D24" s="536">
        <v>1500000</v>
      </c>
      <c r="E24" s="48">
        <f t="shared" si="0"/>
        <v>5796500</v>
      </c>
    </row>
    <row r="25" spans="1:7" x14ac:dyDescent="0.25">
      <c r="A25" s="446">
        <v>45104</v>
      </c>
      <c r="B25" s="309" t="s">
        <v>11552</v>
      </c>
      <c r="C25" s="304">
        <v>250000</v>
      </c>
      <c r="D25" s="306"/>
      <c r="E25" s="48">
        <f t="shared" si="0"/>
        <v>5546500</v>
      </c>
    </row>
    <row r="26" spans="1:7" x14ac:dyDescent="0.25">
      <c r="A26" s="446">
        <v>45104</v>
      </c>
      <c r="B26" s="309" t="s">
        <v>11552</v>
      </c>
      <c r="C26" s="304">
        <v>150000</v>
      </c>
      <c r="D26" s="306"/>
      <c r="E26" s="48">
        <f t="shared" si="0"/>
        <v>5396500</v>
      </c>
    </row>
    <row r="27" spans="1:7" x14ac:dyDescent="0.25">
      <c r="A27" s="446">
        <v>45104</v>
      </c>
      <c r="B27" s="309" t="s">
        <v>11438</v>
      </c>
      <c r="C27" s="304">
        <v>150000</v>
      </c>
      <c r="D27" s="306"/>
      <c r="E27" s="48">
        <f t="shared" si="0"/>
        <v>5246500</v>
      </c>
    </row>
    <row r="28" spans="1:7" x14ac:dyDescent="0.25">
      <c r="A28" s="446">
        <v>45104</v>
      </c>
      <c r="B28" s="308" t="s">
        <v>11433</v>
      </c>
      <c r="C28" s="306"/>
      <c r="D28" s="536">
        <v>1000000</v>
      </c>
      <c r="E28" s="48">
        <f t="shared" si="0"/>
        <v>6246500</v>
      </c>
    </row>
    <row r="29" spans="1:7" x14ac:dyDescent="0.25">
      <c r="A29" s="446">
        <v>45104</v>
      </c>
      <c r="B29" s="308" t="s">
        <v>11433</v>
      </c>
      <c r="C29" s="306"/>
      <c r="D29" s="536">
        <v>700000</v>
      </c>
      <c r="E29" s="48">
        <f t="shared" si="0"/>
        <v>6946500</v>
      </c>
    </row>
    <row r="30" spans="1:7" x14ac:dyDescent="0.25">
      <c r="A30" s="446">
        <v>45104</v>
      </c>
      <c r="B30" s="305" t="s">
        <v>11458</v>
      </c>
      <c r="C30" s="306">
        <v>40000</v>
      </c>
      <c r="D30" s="306"/>
      <c r="E30" s="48">
        <f t="shared" si="0"/>
        <v>6906500</v>
      </c>
      <c r="G30" s="277">
        <f>D29+D28+D24+D23+D18+D13+D4+D3</f>
        <v>11250000</v>
      </c>
    </row>
    <row r="31" spans="1:7" x14ac:dyDescent="0.25">
      <c r="A31" s="446">
        <v>45104</v>
      </c>
      <c r="B31" s="305" t="s">
        <v>11576</v>
      </c>
      <c r="C31" s="306">
        <v>250000</v>
      </c>
      <c r="D31" s="306"/>
      <c r="E31" s="48">
        <f t="shared" si="0"/>
        <v>6656500</v>
      </c>
    </row>
    <row r="32" spans="1:7" ht="30" x14ac:dyDescent="0.25">
      <c r="A32" s="446">
        <v>45104</v>
      </c>
      <c r="B32" s="305" t="s">
        <v>11573</v>
      </c>
      <c r="C32" s="306">
        <v>35000</v>
      </c>
      <c r="D32" s="306"/>
      <c r="E32" s="48">
        <f t="shared" si="0"/>
        <v>6621500</v>
      </c>
    </row>
    <row r="33" spans="1:5" ht="30" x14ac:dyDescent="0.25">
      <c r="A33" s="446">
        <v>45104</v>
      </c>
      <c r="B33" s="305" t="s">
        <v>11607</v>
      </c>
      <c r="C33" s="306">
        <v>100000</v>
      </c>
      <c r="D33" s="306"/>
      <c r="E33" s="48">
        <f t="shared" si="0"/>
        <v>6521500</v>
      </c>
    </row>
    <row r="34" spans="1:5" x14ac:dyDescent="0.25">
      <c r="A34" s="446">
        <v>45104</v>
      </c>
      <c r="B34" s="305" t="s">
        <v>11574</v>
      </c>
      <c r="C34" s="306">
        <v>100000</v>
      </c>
      <c r="D34" s="306"/>
      <c r="E34" s="48">
        <f t="shared" si="0"/>
        <v>6421500</v>
      </c>
    </row>
    <row r="35" spans="1:5" ht="30" x14ac:dyDescent="0.25">
      <c r="A35" s="446">
        <v>45104</v>
      </c>
      <c r="B35" s="305" t="s">
        <v>11575</v>
      </c>
      <c r="C35" s="306">
        <v>100000</v>
      </c>
      <c r="D35" s="306"/>
      <c r="E35" s="48">
        <f t="shared" si="0"/>
        <v>6321500</v>
      </c>
    </row>
    <row r="36" spans="1:5" ht="30" x14ac:dyDescent="0.25">
      <c r="A36" s="446">
        <v>45114</v>
      </c>
      <c r="B36" s="309" t="s">
        <v>11573</v>
      </c>
      <c r="C36" s="306">
        <v>50000</v>
      </c>
      <c r="D36" s="306"/>
      <c r="E36" s="48">
        <f t="shared" si="0"/>
        <v>6271500</v>
      </c>
    </row>
    <row r="37" spans="1:5" ht="30" x14ac:dyDescent="0.25">
      <c r="A37" s="446">
        <v>45117</v>
      </c>
      <c r="B37" s="309" t="s">
        <v>11638</v>
      </c>
      <c r="C37" s="304">
        <v>25000</v>
      </c>
      <c r="D37" s="306"/>
      <c r="E37" s="48">
        <f t="shared" si="0"/>
        <v>6246500</v>
      </c>
    </row>
    <row r="38" spans="1:5" ht="30" x14ac:dyDescent="0.25">
      <c r="A38" s="446">
        <v>45117</v>
      </c>
      <c r="B38" s="309" t="s">
        <v>11642</v>
      </c>
      <c r="C38" s="304">
        <v>25000</v>
      </c>
      <c r="D38" s="306"/>
      <c r="E38" s="48">
        <f t="shared" si="0"/>
        <v>6221500</v>
      </c>
    </row>
    <row r="39" spans="1:5" ht="30" x14ac:dyDescent="0.25">
      <c r="A39" s="446">
        <v>45117</v>
      </c>
      <c r="B39" s="309" t="s">
        <v>11640</v>
      </c>
      <c r="C39" s="304">
        <v>43000</v>
      </c>
      <c r="D39" s="306"/>
      <c r="E39" s="48">
        <f t="shared" si="0"/>
        <v>6178500</v>
      </c>
    </row>
    <row r="40" spans="1:5" ht="30" x14ac:dyDescent="0.25">
      <c r="A40" s="446">
        <v>45117</v>
      </c>
      <c r="B40" s="309" t="s">
        <v>11641</v>
      </c>
      <c r="C40" s="304">
        <v>100000</v>
      </c>
      <c r="D40" s="306"/>
      <c r="E40" s="48">
        <f t="shared" si="0"/>
        <v>6078500</v>
      </c>
    </row>
    <row r="41" spans="1:5" ht="30" x14ac:dyDescent="0.25">
      <c r="A41" s="446">
        <v>45117</v>
      </c>
      <c r="B41" s="309" t="s">
        <v>11646</v>
      </c>
      <c r="C41" s="306">
        <v>250000</v>
      </c>
      <c r="D41" s="306"/>
      <c r="E41" s="48">
        <f t="shared" si="0"/>
        <v>5828500</v>
      </c>
    </row>
    <row r="42" spans="1:5" ht="30" x14ac:dyDescent="0.25">
      <c r="A42" s="446">
        <v>45117</v>
      </c>
      <c r="B42" s="309" t="s">
        <v>11646</v>
      </c>
      <c r="C42" s="306">
        <v>169000</v>
      </c>
      <c r="D42" s="306"/>
      <c r="E42" s="48">
        <f t="shared" si="0"/>
        <v>5659500</v>
      </c>
    </row>
    <row r="43" spans="1:5" ht="30" x14ac:dyDescent="0.25">
      <c r="A43" s="446">
        <v>45117</v>
      </c>
      <c r="B43" s="309" t="s">
        <v>11647</v>
      </c>
      <c r="C43" s="306">
        <v>100000</v>
      </c>
      <c r="D43" s="306"/>
      <c r="E43" s="48">
        <f t="shared" si="0"/>
        <v>5559500</v>
      </c>
    </row>
    <row r="44" spans="1:5" x14ac:dyDescent="0.25">
      <c r="A44" s="446">
        <v>45119</v>
      </c>
      <c r="B44" s="305" t="s">
        <v>11659</v>
      </c>
      <c r="C44" s="306">
        <v>250000</v>
      </c>
      <c r="D44" s="306"/>
      <c r="E44" s="48">
        <f t="shared" si="0"/>
        <v>5309500</v>
      </c>
    </row>
    <row r="45" spans="1:5" ht="30" x14ac:dyDescent="0.25">
      <c r="A45" s="446">
        <v>45119</v>
      </c>
      <c r="B45" s="309" t="s">
        <v>11665</v>
      </c>
      <c r="C45" s="306">
        <v>250000</v>
      </c>
      <c r="D45" s="306"/>
      <c r="E45" s="48">
        <f t="shared" si="0"/>
        <v>5059500</v>
      </c>
    </row>
    <row r="46" spans="1:5" ht="30" x14ac:dyDescent="0.25">
      <c r="A46" s="446">
        <v>45119</v>
      </c>
      <c r="B46" s="309" t="s">
        <v>11665</v>
      </c>
      <c r="C46" s="306">
        <v>250000</v>
      </c>
      <c r="D46" s="306"/>
      <c r="E46" s="48">
        <f t="shared" si="0"/>
        <v>4809500</v>
      </c>
    </row>
    <row r="47" spans="1:5" ht="30" x14ac:dyDescent="0.25">
      <c r="A47" s="446">
        <v>45119</v>
      </c>
      <c r="B47" s="309" t="s">
        <v>11641</v>
      </c>
      <c r="C47" s="306">
        <v>116000</v>
      </c>
      <c r="D47" s="306"/>
      <c r="E47" s="48">
        <f t="shared" si="0"/>
        <v>4693500</v>
      </c>
    </row>
    <row r="48" spans="1:5" ht="30" x14ac:dyDescent="0.25">
      <c r="A48" s="446">
        <v>45119</v>
      </c>
      <c r="B48" s="309" t="s">
        <v>11671</v>
      </c>
      <c r="C48" s="306">
        <v>51550</v>
      </c>
      <c r="D48" s="306"/>
      <c r="E48" s="48">
        <f t="shared" si="0"/>
        <v>4641950</v>
      </c>
    </row>
    <row r="49" spans="1:5" ht="30" x14ac:dyDescent="0.25">
      <c r="A49" s="446">
        <v>45119</v>
      </c>
      <c r="B49" s="309" t="s">
        <v>11673</v>
      </c>
      <c r="C49" s="306">
        <v>205200</v>
      </c>
      <c r="D49" s="306"/>
      <c r="E49" s="48">
        <f t="shared" si="0"/>
        <v>4436750</v>
      </c>
    </row>
    <row r="50" spans="1:5" x14ac:dyDescent="0.25">
      <c r="A50" s="446">
        <v>45120</v>
      </c>
      <c r="B50" s="309" t="s">
        <v>11686</v>
      </c>
      <c r="C50" s="306">
        <v>30000</v>
      </c>
      <c r="D50" s="306"/>
      <c r="E50" s="48">
        <f t="shared" si="0"/>
        <v>4406750</v>
      </c>
    </row>
    <row r="51" spans="1:5" ht="30" x14ac:dyDescent="0.25">
      <c r="A51" s="446">
        <v>45120</v>
      </c>
      <c r="B51" s="309" t="s">
        <v>11687</v>
      </c>
      <c r="C51" s="306">
        <v>30000</v>
      </c>
      <c r="D51" s="306"/>
      <c r="E51" s="48">
        <f t="shared" si="0"/>
        <v>4376750</v>
      </c>
    </row>
    <row r="52" spans="1:5" x14ac:dyDescent="0.25">
      <c r="A52" s="446">
        <v>45120</v>
      </c>
      <c r="B52" s="305" t="s">
        <v>11714</v>
      </c>
      <c r="C52" s="306">
        <v>500000</v>
      </c>
      <c r="D52" s="306"/>
      <c r="E52" s="48">
        <f t="shared" si="0"/>
        <v>3876750</v>
      </c>
    </row>
    <row r="53" spans="1:5" x14ac:dyDescent="0.25">
      <c r="A53" s="446">
        <v>45124</v>
      </c>
      <c r="B53" s="305" t="s">
        <v>11719</v>
      </c>
      <c r="C53" s="306"/>
      <c r="D53" s="306">
        <v>1000000</v>
      </c>
      <c r="E53" s="48">
        <f t="shared" si="0"/>
        <v>4876750</v>
      </c>
    </row>
    <row r="54" spans="1:5" ht="30" x14ac:dyDescent="0.25">
      <c r="A54" s="446">
        <v>45124</v>
      </c>
      <c r="B54" s="305" t="s">
        <v>11722</v>
      </c>
      <c r="C54" s="306">
        <v>82400</v>
      </c>
      <c r="D54" s="306"/>
      <c r="E54" s="48">
        <f t="shared" si="0"/>
        <v>4794350</v>
      </c>
    </row>
    <row r="55" spans="1:5" ht="30" x14ac:dyDescent="0.25">
      <c r="A55" s="446">
        <v>45127</v>
      </c>
      <c r="B55" s="309" t="s">
        <v>11755</v>
      </c>
      <c r="C55" s="306">
        <v>100000</v>
      </c>
      <c r="D55" s="306"/>
      <c r="E55" s="48">
        <f t="shared" si="0"/>
        <v>4694350</v>
      </c>
    </row>
    <row r="56" spans="1:5" ht="30" x14ac:dyDescent="0.25">
      <c r="A56" s="446">
        <v>45132</v>
      </c>
      <c r="B56" s="309" t="s">
        <v>11665</v>
      </c>
      <c r="C56" s="306">
        <v>150000</v>
      </c>
      <c r="D56" s="306"/>
      <c r="E56" s="48">
        <f t="shared" si="0"/>
        <v>4544350</v>
      </c>
    </row>
    <row r="57" spans="1:5" ht="30" x14ac:dyDescent="0.25">
      <c r="A57" s="446">
        <v>45132</v>
      </c>
      <c r="B57" s="309" t="s">
        <v>11799</v>
      </c>
      <c r="C57" s="306">
        <v>111560</v>
      </c>
      <c r="D57" s="306"/>
      <c r="E57" s="48">
        <f t="shared" si="0"/>
        <v>4432790</v>
      </c>
    </row>
    <row r="58" spans="1:5" ht="60" x14ac:dyDescent="0.25">
      <c r="A58" s="446">
        <v>45132</v>
      </c>
      <c r="B58" s="309" t="s">
        <v>11800</v>
      </c>
      <c r="C58" s="306">
        <v>47470</v>
      </c>
      <c r="D58" s="306"/>
      <c r="E58" s="48">
        <f t="shared" si="0"/>
        <v>4385320</v>
      </c>
    </row>
    <row r="59" spans="1:5" ht="30" x14ac:dyDescent="0.25">
      <c r="A59" s="446">
        <v>45132</v>
      </c>
      <c r="B59" s="309" t="s">
        <v>11802</v>
      </c>
      <c r="C59" s="306">
        <v>229500</v>
      </c>
      <c r="D59" s="306"/>
      <c r="E59" s="48">
        <f t="shared" si="0"/>
        <v>4155820</v>
      </c>
    </row>
    <row r="60" spans="1:5" s="357" customFormat="1" ht="30" x14ac:dyDescent="0.25">
      <c r="A60" s="446">
        <v>45133</v>
      </c>
      <c r="B60" s="309" t="s">
        <v>11809</v>
      </c>
      <c r="C60" s="306">
        <v>250000</v>
      </c>
      <c r="D60" s="306"/>
      <c r="E60" s="48">
        <f t="shared" si="0"/>
        <v>3905820</v>
      </c>
    </row>
    <row r="61" spans="1:5" s="357" customFormat="1" ht="30" x14ac:dyDescent="0.25">
      <c r="A61" s="446">
        <v>45133</v>
      </c>
      <c r="B61" s="309" t="s">
        <v>11809</v>
      </c>
      <c r="C61" s="306">
        <v>100000</v>
      </c>
      <c r="D61" s="306"/>
      <c r="E61" s="48">
        <f t="shared" si="0"/>
        <v>3805820</v>
      </c>
    </row>
    <row r="62" spans="1:5" x14ac:dyDescent="0.25">
      <c r="A62" s="446">
        <v>45133</v>
      </c>
      <c r="B62" s="309" t="s">
        <v>11659</v>
      </c>
      <c r="C62" s="304">
        <v>150000</v>
      </c>
      <c r="D62" s="306"/>
      <c r="E62" s="48">
        <f t="shared" si="0"/>
        <v>3655820</v>
      </c>
    </row>
    <row r="63" spans="1:5" x14ac:dyDescent="0.25">
      <c r="A63" s="446">
        <v>45136</v>
      </c>
      <c r="B63" s="309" t="s">
        <v>11823</v>
      </c>
      <c r="C63" s="304">
        <v>10000</v>
      </c>
      <c r="D63" s="306"/>
      <c r="E63" s="48">
        <f t="shared" si="0"/>
        <v>3645820</v>
      </c>
    </row>
    <row r="64" spans="1:5" x14ac:dyDescent="0.25">
      <c r="A64" s="446">
        <v>45135</v>
      </c>
      <c r="B64" s="309" t="s">
        <v>11828</v>
      </c>
      <c r="C64" s="304">
        <v>30000</v>
      </c>
      <c r="D64" s="306"/>
      <c r="E64" s="48">
        <f t="shared" si="0"/>
        <v>3615820</v>
      </c>
    </row>
    <row r="65" spans="1:5" x14ac:dyDescent="0.25">
      <c r="A65" s="446">
        <v>45136</v>
      </c>
      <c r="B65" s="309" t="s">
        <v>11829</v>
      </c>
      <c r="C65" s="304">
        <v>100000</v>
      </c>
      <c r="D65" s="306"/>
      <c r="E65" s="48">
        <f t="shared" si="0"/>
        <v>3515820</v>
      </c>
    </row>
    <row r="66" spans="1:5" x14ac:dyDescent="0.25">
      <c r="A66" s="446">
        <v>45137</v>
      </c>
      <c r="B66" s="309" t="s">
        <v>11828</v>
      </c>
      <c r="C66" s="304">
        <v>10000</v>
      </c>
      <c r="D66" s="306"/>
      <c r="E66" s="48">
        <f t="shared" si="0"/>
        <v>3505820</v>
      </c>
    </row>
    <row r="67" spans="1:5" x14ac:dyDescent="0.25">
      <c r="A67" s="446">
        <v>45138</v>
      </c>
      <c r="B67" s="309" t="s">
        <v>11837</v>
      </c>
      <c r="C67" s="306">
        <v>57000</v>
      </c>
      <c r="D67" s="306"/>
      <c r="E67" s="48">
        <f t="shared" si="0"/>
        <v>3448820</v>
      </c>
    </row>
    <row r="68" spans="1:5" x14ac:dyDescent="0.25">
      <c r="A68" s="446">
        <v>45139</v>
      </c>
      <c r="B68" s="305" t="s">
        <v>11869</v>
      </c>
      <c r="C68" s="306">
        <v>45000</v>
      </c>
      <c r="D68" s="306"/>
      <c r="E68" s="48">
        <f t="shared" si="0"/>
        <v>3403820</v>
      </c>
    </row>
    <row r="69" spans="1:5" x14ac:dyDescent="0.25">
      <c r="A69" s="446">
        <v>45139</v>
      </c>
      <c r="B69" s="305" t="s">
        <v>11841</v>
      </c>
      <c r="C69" s="306">
        <v>250000</v>
      </c>
      <c r="D69" s="306"/>
      <c r="E69" s="48">
        <f t="shared" si="0"/>
        <v>3153820</v>
      </c>
    </row>
    <row r="70" spans="1:5" x14ac:dyDescent="0.25">
      <c r="A70" s="446">
        <v>45139</v>
      </c>
      <c r="B70" s="305" t="s">
        <v>11841</v>
      </c>
      <c r="C70" s="306">
        <v>250000</v>
      </c>
      <c r="D70" s="306"/>
      <c r="E70" s="48">
        <f t="shared" si="0"/>
        <v>2903820</v>
      </c>
    </row>
    <row r="71" spans="1:5" x14ac:dyDescent="0.25">
      <c r="A71" s="446">
        <v>45139</v>
      </c>
      <c r="B71" s="305" t="s">
        <v>11841</v>
      </c>
      <c r="C71" s="306">
        <v>250000</v>
      </c>
      <c r="D71" s="306"/>
      <c r="E71" s="48">
        <f t="shared" si="0"/>
        <v>2653820</v>
      </c>
    </row>
    <row r="72" spans="1:5" x14ac:dyDescent="0.25">
      <c r="A72" s="446">
        <v>45139</v>
      </c>
      <c r="B72" s="305" t="s">
        <v>11841</v>
      </c>
      <c r="C72" s="306">
        <v>50000</v>
      </c>
      <c r="D72" s="306"/>
      <c r="E72" s="48">
        <f t="shared" si="0"/>
        <v>2603820</v>
      </c>
    </row>
    <row r="73" spans="1:5" ht="30" x14ac:dyDescent="0.25">
      <c r="A73" s="446">
        <v>45139</v>
      </c>
      <c r="B73" s="305" t="s">
        <v>11487</v>
      </c>
      <c r="C73" s="306">
        <v>100000</v>
      </c>
      <c r="D73" s="306"/>
      <c r="E73" s="48">
        <f t="shared" ref="E73:E133" si="1">E72+D73-C73</f>
        <v>2503820</v>
      </c>
    </row>
    <row r="74" spans="1:5" x14ac:dyDescent="0.25">
      <c r="A74" s="446">
        <v>45140</v>
      </c>
      <c r="B74" s="305" t="s">
        <v>11846</v>
      </c>
      <c r="C74" s="306">
        <v>100000</v>
      </c>
      <c r="D74" s="306"/>
      <c r="E74" s="48">
        <f t="shared" si="1"/>
        <v>2403820</v>
      </c>
    </row>
    <row r="75" spans="1:5" ht="30" x14ac:dyDescent="0.25">
      <c r="A75" s="446">
        <v>45142</v>
      </c>
      <c r="B75" s="305" t="s">
        <v>11859</v>
      </c>
      <c r="C75" s="306">
        <v>250000</v>
      </c>
      <c r="D75" s="306"/>
      <c r="E75" s="48">
        <f t="shared" si="1"/>
        <v>2153820</v>
      </c>
    </row>
    <row r="76" spans="1:5" ht="30" x14ac:dyDescent="0.25">
      <c r="A76" s="446">
        <v>45142</v>
      </c>
      <c r="B76" s="305" t="s">
        <v>11859</v>
      </c>
      <c r="C76" s="306">
        <v>50000</v>
      </c>
      <c r="D76" s="306"/>
      <c r="E76" s="48">
        <f t="shared" si="1"/>
        <v>2103820</v>
      </c>
    </row>
    <row r="77" spans="1:5" ht="30" x14ac:dyDescent="0.25">
      <c r="A77" s="446">
        <v>45146</v>
      </c>
      <c r="B77" s="305" t="s">
        <v>11903</v>
      </c>
      <c r="C77" s="306">
        <v>27000</v>
      </c>
      <c r="D77" s="306"/>
      <c r="E77" s="48">
        <f t="shared" si="1"/>
        <v>2076820</v>
      </c>
    </row>
    <row r="78" spans="1:5" x14ac:dyDescent="0.25">
      <c r="A78" s="446">
        <v>45147</v>
      </c>
      <c r="B78" s="305" t="s">
        <v>11933</v>
      </c>
      <c r="C78" s="306">
        <v>250000</v>
      </c>
      <c r="D78" s="306"/>
      <c r="E78" s="48">
        <f t="shared" si="1"/>
        <v>1826820</v>
      </c>
    </row>
    <row r="79" spans="1:5" ht="30" x14ac:dyDescent="0.25">
      <c r="A79" s="446">
        <v>45143</v>
      </c>
      <c r="B79" s="309" t="s">
        <v>11871</v>
      </c>
      <c r="C79" s="306">
        <v>231000</v>
      </c>
      <c r="D79" s="306"/>
      <c r="E79" s="48">
        <f t="shared" si="1"/>
        <v>1595820</v>
      </c>
    </row>
    <row r="80" spans="1:5" x14ac:dyDescent="0.25">
      <c r="A80" s="446">
        <v>45143</v>
      </c>
      <c r="B80" s="305" t="s">
        <v>11823</v>
      </c>
      <c r="C80" s="306">
        <v>20000</v>
      </c>
      <c r="D80" s="306"/>
      <c r="E80" s="48">
        <f t="shared" si="1"/>
        <v>1575820</v>
      </c>
    </row>
    <row r="81" spans="1:7" ht="30" x14ac:dyDescent="0.25">
      <c r="A81" s="446">
        <v>45145</v>
      </c>
      <c r="B81" s="305" t="s">
        <v>11890</v>
      </c>
      <c r="C81" s="304">
        <v>88000</v>
      </c>
      <c r="D81" s="306"/>
      <c r="E81" s="48">
        <f t="shared" si="1"/>
        <v>1487820</v>
      </c>
    </row>
    <row r="82" spans="1:7" ht="30" x14ac:dyDescent="0.25">
      <c r="A82" s="446">
        <v>45146</v>
      </c>
      <c r="B82" s="305" t="s">
        <v>11902</v>
      </c>
      <c r="C82" s="306">
        <v>50000</v>
      </c>
      <c r="D82" s="306"/>
      <c r="E82" s="48">
        <f t="shared" si="1"/>
        <v>1437820</v>
      </c>
    </row>
    <row r="83" spans="1:7" ht="30" x14ac:dyDescent="0.25">
      <c r="A83" s="446">
        <v>45147</v>
      </c>
      <c r="B83" s="305" t="s">
        <v>11911</v>
      </c>
      <c r="C83" s="306">
        <v>200000</v>
      </c>
      <c r="D83" s="306"/>
      <c r="E83" s="48">
        <f t="shared" si="1"/>
        <v>1237820</v>
      </c>
    </row>
    <row r="84" spans="1:7" x14ac:dyDescent="0.25">
      <c r="A84" s="446">
        <v>45147</v>
      </c>
      <c r="B84" s="309" t="s">
        <v>11967</v>
      </c>
      <c r="C84" s="306">
        <v>100000</v>
      </c>
      <c r="D84" s="306"/>
      <c r="E84" s="48">
        <f t="shared" si="1"/>
        <v>1137820</v>
      </c>
    </row>
    <row r="85" spans="1:7" ht="30" x14ac:dyDescent="0.25">
      <c r="A85" s="446">
        <v>45147</v>
      </c>
      <c r="B85" s="305" t="s">
        <v>11755</v>
      </c>
      <c r="C85" s="306">
        <v>100000</v>
      </c>
      <c r="D85" s="306"/>
      <c r="E85" s="48">
        <f t="shared" si="1"/>
        <v>1037820</v>
      </c>
    </row>
    <row r="86" spans="1:7" x14ac:dyDescent="0.25">
      <c r="A86" s="446">
        <v>45153</v>
      </c>
      <c r="B86" s="309" t="s">
        <v>11963</v>
      </c>
      <c r="C86" s="304">
        <v>205000</v>
      </c>
      <c r="D86" s="306"/>
      <c r="E86" s="48">
        <f t="shared" si="1"/>
        <v>832820</v>
      </c>
    </row>
    <row r="87" spans="1:7" ht="30" x14ac:dyDescent="0.25">
      <c r="A87" s="446">
        <v>45153</v>
      </c>
      <c r="B87" s="309" t="s">
        <v>11968</v>
      </c>
      <c r="C87" s="304">
        <v>139000</v>
      </c>
      <c r="D87" s="306"/>
      <c r="E87" s="48">
        <f t="shared" si="1"/>
        <v>693820</v>
      </c>
    </row>
    <row r="88" spans="1:7" ht="30" x14ac:dyDescent="0.25">
      <c r="A88" s="446">
        <v>45155</v>
      </c>
      <c r="B88" s="305" t="s">
        <v>12152</v>
      </c>
      <c r="C88" s="304">
        <v>100000</v>
      </c>
      <c r="D88" s="306"/>
      <c r="E88" s="48">
        <f t="shared" si="1"/>
        <v>593820</v>
      </c>
    </row>
    <row r="89" spans="1:7" x14ac:dyDescent="0.25">
      <c r="A89" s="446">
        <v>45155</v>
      </c>
      <c r="B89" s="309" t="s">
        <v>12053</v>
      </c>
      <c r="C89" s="304">
        <v>60000</v>
      </c>
      <c r="D89" s="306"/>
      <c r="E89" s="48">
        <f t="shared" si="1"/>
        <v>533820</v>
      </c>
    </row>
    <row r="90" spans="1:7" ht="30" x14ac:dyDescent="0.25">
      <c r="A90" s="446">
        <v>45157</v>
      </c>
      <c r="B90" s="309" t="s">
        <v>12001</v>
      </c>
      <c r="C90" s="304">
        <v>139500</v>
      </c>
      <c r="D90" s="306"/>
      <c r="E90" s="48">
        <f t="shared" si="1"/>
        <v>394320</v>
      </c>
    </row>
    <row r="91" spans="1:7" ht="30" x14ac:dyDescent="0.25">
      <c r="A91" s="446">
        <v>45161</v>
      </c>
      <c r="B91" s="305" t="s">
        <v>12028</v>
      </c>
      <c r="C91" s="306">
        <v>203000</v>
      </c>
      <c r="D91" s="306"/>
      <c r="E91" s="48">
        <f t="shared" si="1"/>
        <v>191320</v>
      </c>
    </row>
    <row r="92" spans="1:7" x14ac:dyDescent="0.25">
      <c r="A92" s="446">
        <v>45161</v>
      </c>
      <c r="B92" s="305" t="s">
        <v>12054</v>
      </c>
      <c r="C92" s="306">
        <v>20000</v>
      </c>
      <c r="D92" s="306"/>
      <c r="E92" s="48">
        <f t="shared" si="1"/>
        <v>171320</v>
      </c>
    </row>
    <row r="93" spans="1:7" x14ac:dyDescent="0.25">
      <c r="A93" s="446">
        <v>45161</v>
      </c>
      <c r="B93" s="305" t="s">
        <v>12054</v>
      </c>
      <c r="C93" s="306">
        <v>180000</v>
      </c>
      <c r="D93" s="306"/>
      <c r="E93" s="48">
        <f t="shared" si="1"/>
        <v>-8680</v>
      </c>
    </row>
    <row r="94" spans="1:7" x14ac:dyDescent="0.25">
      <c r="A94" s="446">
        <v>45161</v>
      </c>
      <c r="B94" s="305" t="s">
        <v>12052</v>
      </c>
      <c r="C94" s="306">
        <v>20000</v>
      </c>
      <c r="D94" s="306"/>
      <c r="E94" s="48">
        <f t="shared" si="1"/>
        <v>-28680</v>
      </c>
    </row>
    <row r="95" spans="1:7" ht="30" x14ac:dyDescent="0.25">
      <c r="A95" s="446">
        <v>45162</v>
      </c>
      <c r="B95" s="309" t="s">
        <v>11665</v>
      </c>
      <c r="C95" s="306">
        <v>200000</v>
      </c>
      <c r="D95" s="306"/>
      <c r="E95" s="48">
        <f t="shared" si="1"/>
        <v>-228680</v>
      </c>
      <c r="G95" s="378"/>
    </row>
    <row r="96" spans="1:7" x14ac:dyDescent="0.25">
      <c r="A96" s="445">
        <v>45164</v>
      </c>
      <c r="B96" s="305" t="s">
        <v>12054</v>
      </c>
      <c r="C96" s="550">
        <v>50000</v>
      </c>
      <c r="D96" s="550"/>
      <c r="E96" s="48">
        <f t="shared" si="1"/>
        <v>-278680</v>
      </c>
    </row>
    <row r="97" spans="1:5" x14ac:dyDescent="0.25">
      <c r="A97" s="445">
        <v>45164</v>
      </c>
      <c r="B97" s="305" t="s">
        <v>12049</v>
      </c>
      <c r="C97" s="550">
        <v>153000</v>
      </c>
      <c r="D97" s="550"/>
      <c r="E97" s="48">
        <f t="shared" si="1"/>
        <v>-431680</v>
      </c>
    </row>
    <row r="98" spans="1:5" ht="30" x14ac:dyDescent="0.25">
      <c r="A98" s="445">
        <v>45164</v>
      </c>
      <c r="B98" s="305" t="s">
        <v>12051</v>
      </c>
      <c r="C98" s="550">
        <v>53000</v>
      </c>
      <c r="D98" s="550"/>
      <c r="E98" s="48">
        <f t="shared" si="1"/>
        <v>-484680</v>
      </c>
    </row>
    <row r="99" spans="1:5" ht="30" x14ac:dyDescent="0.25">
      <c r="A99" s="445">
        <v>45164</v>
      </c>
      <c r="B99" s="305" t="s">
        <v>12050</v>
      </c>
      <c r="C99" s="550">
        <v>30000</v>
      </c>
      <c r="D99" s="550"/>
      <c r="E99" s="48">
        <f t="shared" si="1"/>
        <v>-514680</v>
      </c>
    </row>
    <row r="100" spans="1:5" x14ac:dyDescent="0.25">
      <c r="A100" s="445">
        <v>45167</v>
      </c>
      <c r="B100" s="305" t="s">
        <v>12062</v>
      </c>
      <c r="C100" s="306"/>
      <c r="D100" s="306">
        <v>2000000</v>
      </c>
      <c r="E100" s="48">
        <f t="shared" si="1"/>
        <v>1485320</v>
      </c>
    </row>
    <row r="101" spans="1:5" ht="30" x14ac:dyDescent="0.25">
      <c r="A101" s="445">
        <v>45167</v>
      </c>
      <c r="B101" s="305" t="s">
        <v>11799</v>
      </c>
      <c r="C101" s="306">
        <v>250000</v>
      </c>
      <c r="D101" s="306"/>
      <c r="E101" s="48">
        <f t="shared" si="1"/>
        <v>1235320</v>
      </c>
    </row>
    <row r="102" spans="1:5" ht="30" x14ac:dyDescent="0.25">
      <c r="A102" s="445">
        <v>45167</v>
      </c>
      <c r="B102" s="305" t="s">
        <v>11799</v>
      </c>
      <c r="C102" s="306">
        <v>93000</v>
      </c>
      <c r="D102" s="306"/>
      <c r="E102" s="48">
        <f t="shared" si="1"/>
        <v>1142320</v>
      </c>
    </row>
    <row r="103" spans="1:5" ht="30" x14ac:dyDescent="0.25">
      <c r="A103" s="445">
        <v>45167</v>
      </c>
      <c r="B103" s="305" t="s">
        <v>11802</v>
      </c>
      <c r="C103" s="306">
        <v>250000</v>
      </c>
      <c r="D103" s="306"/>
      <c r="E103" s="48">
        <f t="shared" si="1"/>
        <v>892320</v>
      </c>
    </row>
    <row r="104" spans="1:5" ht="30" x14ac:dyDescent="0.25">
      <c r="A104" s="445">
        <v>45167</v>
      </c>
      <c r="B104" s="305" t="s">
        <v>11802</v>
      </c>
      <c r="C104" s="306">
        <v>82800</v>
      </c>
      <c r="D104" s="306"/>
      <c r="E104" s="48">
        <f t="shared" si="1"/>
        <v>809520</v>
      </c>
    </row>
    <row r="105" spans="1:5" x14ac:dyDescent="0.25">
      <c r="A105" s="445">
        <v>45167</v>
      </c>
      <c r="B105" s="294" t="s">
        <v>12061</v>
      </c>
      <c r="C105" s="306">
        <v>200000</v>
      </c>
      <c r="D105" s="306"/>
      <c r="E105" s="48">
        <f t="shared" si="1"/>
        <v>609520</v>
      </c>
    </row>
    <row r="106" spans="1:5" ht="30" x14ac:dyDescent="0.25">
      <c r="A106" s="445">
        <v>45168</v>
      </c>
      <c r="B106" s="305" t="s">
        <v>12077</v>
      </c>
      <c r="C106" s="306">
        <v>250000</v>
      </c>
      <c r="D106" s="306"/>
      <c r="E106" s="48">
        <f t="shared" si="1"/>
        <v>359520</v>
      </c>
    </row>
    <row r="107" spans="1:5" ht="30" x14ac:dyDescent="0.25">
      <c r="A107" s="445">
        <v>45168</v>
      </c>
      <c r="B107" s="305" t="s">
        <v>12077</v>
      </c>
      <c r="C107" s="306">
        <v>150000</v>
      </c>
      <c r="D107" s="306"/>
      <c r="E107" s="48">
        <f t="shared" si="1"/>
        <v>209520</v>
      </c>
    </row>
    <row r="108" spans="1:5" ht="30" x14ac:dyDescent="0.25">
      <c r="A108" s="445">
        <v>45168</v>
      </c>
      <c r="B108" s="305" t="s">
        <v>12077</v>
      </c>
      <c r="C108" s="306">
        <v>250000</v>
      </c>
      <c r="D108" s="306"/>
      <c r="E108" s="48">
        <f t="shared" si="1"/>
        <v>-40480</v>
      </c>
    </row>
    <row r="109" spans="1:5" ht="30" x14ac:dyDescent="0.25">
      <c r="A109" s="445">
        <v>45168</v>
      </c>
      <c r="B109" s="305" t="s">
        <v>12077</v>
      </c>
      <c r="C109" s="306">
        <v>150000</v>
      </c>
      <c r="D109" s="306"/>
      <c r="E109" s="48">
        <f t="shared" si="1"/>
        <v>-190480</v>
      </c>
    </row>
    <row r="110" spans="1:5" ht="30" x14ac:dyDescent="0.25">
      <c r="A110" s="445">
        <v>45169</v>
      </c>
      <c r="B110" s="309" t="s">
        <v>12082</v>
      </c>
      <c r="C110" s="306">
        <v>228400</v>
      </c>
      <c r="D110" s="306"/>
      <c r="E110" s="48">
        <f t="shared" si="1"/>
        <v>-418880</v>
      </c>
    </row>
    <row r="111" spans="1:5" ht="30" x14ac:dyDescent="0.25">
      <c r="A111" s="445">
        <v>45174</v>
      </c>
      <c r="B111" s="305" t="s">
        <v>12117</v>
      </c>
      <c r="C111" s="306"/>
      <c r="D111" s="306">
        <v>2000000</v>
      </c>
      <c r="E111" s="48">
        <f t="shared" si="1"/>
        <v>1581120</v>
      </c>
    </row>
    <row r="112" spans="1:5" ht="30" x14ac:dyDescent="0.25">
      <c r="A112" s="445">
        <v>45174</v>
      </c>
      <c r="B112" s="309" t="s">
        <v>12118</v>
      </c>
      <c r="C112" s="306">
        <v>250000</v>
      </c>
      <c r="D112" s="306"/>
      <c r="E112" s="48">
        <f t="shared" si="1"/>
        <v>1331120</v>
      </c>
    </row>
    <row r="113" spans="1:6" ht="30" x14ac:dyDescent="0.25">
      <c r="A113" s="445">
        <v>45174</v>
      </c>
      <c r="B113" s="309" t="s">
        <v>12118</v>
      </c>
      <c r="C113" s="306">
        <v>70000</v>
      </c>
      <c r="D113" s="306"/>
      <c r="E113" s="48">
        <f t="shared" si="1"/>
        <v>1261120</v>
      </c>
    </row>
    <row r="114" spans="1:6" ht="30" x14ac:dyDescent="0.25">
      <c r="A114" s="445">
        <v>45176</v>
      </c>
      <c r="B114" s="305" t="s">
        <v>12149</v>
      </c>
      <c r="C114" s="306">
        <v>250000</v>
      </c>
      <c r="D114" s="306"/>
      <c r="E114" s="48">
        <f t="shared" si="1"/>
        <v>1011120</v>
      </c>
    </row>
    <row r="115" spans="1:6" ht="30" x14ac:dyDescent="0.25">
      <c r="A115" s="445">
        <v>45176</v>
      </c>
      <c r="B115" s="305" t="s">
        <v>12149</v>
      </c>
      <c r="C115" s="306">
        <v>250000</v>
      </c>
      <c r="D115" s="306"/>
      <c r="E115" s="48">
        <f t="shared" si="1"/>
        <v>761120</v>
      </c>
    </row>
    <row r="116" spans="1:6" ht="30" x14ac:dyDescent="0.25">
      <c r="A116" s="445">
        <v>45176</v>
      </c>
      <c r="B116" s="305" t="s">
        <v>12149</v>
      </c>
      <c r="C116" s="306">
        <v>3600</v>
      </c>
      <c r="D116" s="306"/>
      <c r="E116" s="48">
        <f t="shared" si="1"/>
        <v>757520</v>
      </c>
    </row>
    <row r="117" spans="1:6" ht="30" x14ac:dyDescent="0.25">
      <c r="A117" s="445">
        <v>45176</v>
      </c>
      <c r="B117" s="305" t="s">
        <v>12150</v>
      </c>
      <c r="C117" s="306">
        <v>40000</v>
      </c>
      <c r="D117" s="306"/>
      <c r="E117" s="48">
        <f t="shared" si="1"/>
        <v>717520</v>
      </c>
    </row>
    <row r="118" spans="1:6" x14ac:dyDescent="0.25">
      <c r="A118" s="445">
        <v>45176</v>
      </c>
      <c r="B118" s="305" t="s">
        <v>12161</v>
      </c>
      <c r="C118" s="306"/>
      <c r="D118" s="306">
        <v>2500000</v>
      </c>
      <c r="E118" s="48">
        <f t="shared" si="1"/>
        <v>3217520</v>
      </c>
    </row>
    <row r="119" spans="1:6" x14ac:dyDescent="0.25">
      <c r="A119" s="445">
        <v>45176</v>
      </c>
      <c r="B119" s="305" t="s">
        <v>12153</v>
      </c>
      <c r="C119" s="306">
        <v>1500000</v>
      </c>
      <c r="D119" s="306"/>
      <c r="E119" s="48">
        <f t="shared" si="1"/>
        <v>1717520</v>
      </c>
    </row>
    <row r="120" spans="1:6" x14ac:dyDescent="0.25">
      <c r="A120" s="446">
        <v>45178</v>
      </c>
      <c r="B120" s="309" t="s">
        <v>11837</v>
      </c>
      <c r="C120" s="306">
        <v>174000</v>
      </c>
      <c r="D120" s="306"/>
      <c r="E120" s="48">
        <f t="shared" si="1"/>
        <v>1543520</v>
      </c>
      <c r="F120" s="357"/>
    </row>
    <row r="121" spans="1:6" x14ac:dyDescent="0.25">
      <c r="A121" s="446">
        <v>45178</v>
      </c>
      <c r="B121" s="309" t="s">
        <v>12160</v>
      </c>
      <c r="C121" s="306">
        <v>100000</v>
      </c>
      <c r="D121" s="306"/>
      <c r="E121" s="48">
        <f t="shared" si="1"/>
        <v>1443520</v>
      </c>
      <c r="F121" s="357"/>
    </row>
    <row r="122" spans="1:6" x14ac:dyDescent="0.25">
      <c r="A122" s="446">
        <v>45178</v>
      </c>
      <c r="B122" s="309" t="s">
        <v>12171</v>
      </c>
      <c r="C122" s="306">
        <v>32000</v>
      </c>
      <c r="D122" s="306"/>
      <c r="E122" s="48">
        <f t="shared" si="1"/>
        <v>1411520</v>
      </c>
      <c r="F122" s="357"/>
    </row>
    <row r="123" spans="1:6" ht="30" x14ac:dyDescent="0.25">
      <c r="A123" s="446">
        <v>45180</v>
      </c>
      <c r="B123" s="309" t="s">
        <v>12170</v>
      </c>
      <c r="C123" s="306">
        <v>90000</v>
      </c>
      <c r="D123" s="306"/>
      <c r="E123" s="48">
        <f t="shared" si="1"/>
        <v>1321520</v>
      </c>
      <c r="F123" s="357"/>
    </row>
    <row r="124" spans="1:6" s="357" customFormat="1" ht="30" x14ac:dyDescent="0.25">
      <c r="A124" s="446">
        <v>45181</v>
      </c>
      <c r="B124" s="309" t="s">
        <v>12176</v>
      </c>
      <c r="C124" s="306">
        <v>200000</v>
      </c>
      <c r="D124" s="306"/>
      <c r="E124" s="48">
        <f t="shared" si="1"/>
        <v>1121520</v>
      </c>
    </row>
    <row r="125" spans="1:6" s="357" customFormat="1" ht="30" x14ac:dyDescent="0.25">
      <c r="A125" s="446">
        <v>45181</v>
      </c>
      <c r="B125" s="309" t="s">
        <v>12177</v>
      </c>
      <c r="C125" s="306">
        <v>85250</v>
      </c>
      <c r="D125" s="306"/>
      <c r="E125" s="48">
        <f t="shared" si="1"/>
        <v>1036270</v>
      </c>
    </row>
    <row r="126" spans="1:6" s="357" customFormat="1" ht="30" x14ac:dyDescent="0.25">
      <c r="A126" s="446">
        <v>45182</v>
      </c>
      <c r="B126" s="309" t="s">
        <v>12181</v>
      </c>
      <c r="C126" s="306">
        <v>50000</v>
      </c>
      <c r="D126" s="306"/>
      <c r="E126" s="48">
        <f t="shared" si="1"/>
        <v>986270</v>
      </c>
    </row>
    <row r="127" spans="1:6" x14ac:dyDescent="0.25">
      <c r="A127" s="446">
        <v>45182</v>
      </c>
      <c r="B127" s="309" t="s">
        <v>12160</v>
      </c>
      <c r="C127" s="306">
        <v>50000</v>
      </c>
      <c r="D127" s="306"/>
      <c r="E127" s="48">
        <f t="shared" si="1"/>
        <v>936270</v>
      </c>
    </row>
    <row r="128" spans="1:6" ht="30" x14ac:dyDescent="0.25">
      <c r="A128" s="446">
        <v>45184</v>
      </c>
      <c r="B128" s="309" t="s">
        <v>12200</v>
      </c>
      <c r="C128" s="306">
        <v>80000</v>
      </c>
      <c r="D128" s="306"/>
      <c r="E128" s="48">
        <f t="shared" si="1"/>
        <v>856270</v>
      </c>
    </row>
    <row r="129" spans="1:5" s="357" customFormat="1" ht="30" x14ac:dyDescent="0.25">
      <c r="A129" s="446">
        <v>45184</v>
      </c>
      <c r="B129" s="309" t="s">
        <v>12217</v>
      </c>
      <c r="C129" s="306">
        <v>35000</v>
      </c>
      <c r="D129" s="306"/>
      <c r="E129" s="48">
        <f t="shared" si="1"/>
        <v>821270</v>
      </c>
    </row>
    <row r="130" spans="1:5" x14ac:dyDescent="0.25">
      <c r="A130" s="446">
        <v>45194</v>
      </c>
      <c r="B130" s="305" t="s">
        <v>12267</v>
      </c>
      <c r="C130" s="306">
        <v>500000</v>
      </c>
      <c r="D130" s="306"/>
      <c r="E130" s="48">
        <f t="shared" si="1"/>
        <v>321270</v>
      </c>
    </row>
    <row r="131" spans="1:5" ht="30" x14ac:dyDescent="0.25">
      <c r="A131" s="446">
        <v>45195</v>
      </c>
      <c r="B131" s="309" t="s">
        <v>12276</v>
      </c>
      <c r="C131" s="306">
        <v>37000</v>
      </c>
      <c r="D131" s="306"/>
      <c r="E131" s="48">
        <f t="shared" si="1"/>
        <v>284270</v>
      </c>
    </row>
    <row r="132" spans="1:5" ht="30" x14ac:dyDescent="0.25">
      <c r="A132" s="446">
        <v>45195</v>
      </c>
      <c r="B132" s="309" t="s">
        <v>12277</v>
      </c>
      <c r="C132" s="306">
        <v>143450</v>
      </c>
      <c r="D132" s="306"/>
      <c r="E132" s="48">
        <f t="shared" si="1"/>
        <v>140820</v>
      </c>
    </row>
    <row r="133" spans="1:5" x14ac:dyDescent="0.25">
      <c r="A133" s="446">
        <v>45203</v>
      </c>
      <c r="B133" s="305" t="s">
        <v>11869</v>
      </c>
      <c r="C133" s="306">
        <v>145000</v>
      </c>
      <c r="D133" s="306"/>
      <c r="E133" s="48">
        <f t="shared" si="1"/>
        <v>-4180</v>
      </c>
    </row>
    <row r="134" spans="1:5" x14ac:dyDescent="0.25">
      <c r="A134" s="294"/>
      <c r="B134" s="305"/>
      <c r="C134" s="306"/>
      <c r="D134" s="306"/>
      <c r="E134" s="48"/>
    </row>
    <row r="135" spans="1:5" x14ac:dyDescent="0.25">
      <c r="A135" s="294"/>
      <c r="B135" s="305"/>
      <c r="C135" s="306"/>
      <c r="D135" s="306"/>
      <c r="E135" s="48"/>
    </row>
    <row r="136" spans="1:5" x14ac:dyDescent="0.25">
      <c r="A136" s="294"/>
      <c r="B136" s="305"/>
      <c r="C136" s="306"/>
      <c r="D136" s="306"/>
      <c r="E136" s="48"/>
    </row>
    <row r="137" spans="1:5" x14ac:dyDescent="0.25">
      <c r="A137" s="294"/>
      <c r="B137" s="305"/>
      <c r="C137" s="306"/>
      <c r="D137" s="306"/>
      <c r="E137" s="48"/>
    </row>
    <row r="138" spans="1:5" x14ac:dyDescent="0.25">
      <c r="A138" s="294"/>
      <c r="B138" s="305"/>
      <c r="C138" s="306"/>
      <c r="D138" s="306"/>
      <c r="E138" s="48"/>
    </row>
    <row r="139" spans="1:5" x14ac:dyDescent="0.25">
      <c r="A139" s="294"/>
      <c r="B139" s="305"/>
      <c r="C139" s="306"/>
      <c r="D139" s="306"/>
      <c r="E139" s="48"/>
    </row>
    <row r="140" spans="1:5" x14ac:dyDescent="0.25">
      <c r="A140" s="294"/>
      <c r="B140" s="305"/>
      <c r="C140" s="306"/>
      <c r="D140" s="306"/>
      <c r="E140" s="48"/>
    </row>
    <row r="141" spans="1:5" x14ac:dyDescent="0.25">
      <c r="A141" s="294"/>
      <c r="B141" s="305"/>
      <c r="C141" s="306"/>
      <c r="D141" s="306"/>
      <c r="E141" s="48"/>
    </row>
    <row r="142" spans="1:5" x14ac:dyDescent="0.25">
      <c r="A142" s="294"/>
      <c r="B142" s="305"/>
      <c r="C142" s="306"/>
      <c r="D142" s="306"/>
      <c r="E142" s="48"/>
    </row>
    <row r="143" spans="1:5" x14ac:dyDescent="0.25">
      <c r="A143" s="294"/>
      <c r="B143" s="305"/>
      <c r="C143" s="306"/>
      <c r="D143" s="306"/>
      <c r="E143" s="48"/>
    </row>
    <row r="144" spans="1:5" x14ac:dyDescent="0.25">
      <c r="A144" s="294"/>
      <c r="B144" s="305"/>
      <c r="C144" s="306"/>
      <c r="D144" s="306"/>
      <c r="E144" s="48"/>
    </row>
    <row r="145" spans="1:5" x14ac:dyDescent="0.25">
      <c r="A145" s="294"/>
      <c r="B145" s="305"/>
      <c r="C145" s="306"/>
      <c r="D145" s="306"/>
      <c r="E145" s="48"/>
    </row>
    <row r="146" spans="1:5" x14ac:dyDescent="0.25">
      <c r="A146" s="294"/>
      <c r="B146" s="305"/>
      <c r="C146" s="306"/>
      <c r="D146" s="306"/>
      <c r="E146" s="48"/>
    </row>
    <row r="147" spans="1:5" x14ac:dyDescent="0.25">
      <c r="A147" s="294"/>
      <c r="B147" s="305"/>
      <c r="C147" s="306"/>
      <c r="D147" s="306"/>
      <c r="E147" s="48"/>
    </row>
    <row r="148" spans="1:5" x14ac:dyDescent="0.25">
      <c r="A148" s="294"/>
      <c r="B148" s="305"/>
      <c r="C148" s="306"/>
      <c r="D148" s="306"/>
      <c r="E148" s="48"/>
    </row>
    <row r="149" spans="1:5" x14ac:dyDescent="0.25">
      <c r="A149" s="294"/>
      <c r="B149" s="305"/>
      <c r="C149" s="306"/>
      <c r="D149" s="306"/>
      <c r="E149" s="48"/>
    </row>
    <row r="150" spans="1:5" x14ac:dyDescent="0.25">
      <c r="A150" s="294"/>
      <c r="B150" s="305"/>
      <c r="C150" s="306"/>
      <c r="D150" s="306"/>
      <c r="E150" s="48"/>
    </row>
    <row r="151" spans="1:5" x14ac:dyDescent="0.25">
      <c r="A151" s="294"/>
      <c r="B151" s="305"/>
      <c r="C151" s="306"/>
      <c r="D151" s="306"/>
      <c r="E151" s="48"/>
    </row>
    <row r="152" spans="1:5" x14ac:dyDescent="0.25">
      <c r="A152" s="294"/>
      <c r="B152" s="305"/>
      <c r="C152" s="306"/>
      <c r="D152" s="306"/>
      <c r="E152" s="48"/>
    </row>
    <row r="153" spans="1:5" x14ac:dyDescent="0.25">
      <c r="A153" s="294"/>
      <c r="B153" s="305"/>
      <c r="C153" s="306"/>
      <c r="D153" s="306"/>
      <c r="E153" s="48"/>
    </row>
    <row r="154" spans="1:5" x14ac:dyDescent="0.25">
      <c r="A154" s="294"/>
      <c r="B154" s="305"/>
      <c r="C154" s="306"/>
      <c r="D154" s="306"/>
      <c r="E154" s="48"/>
    </row>
    <row r="155" spans="1:5" x14ac:dyDescent="0.25">
      <c r="A155" s="294"/>
      <c r="B155" s="305"/>
      <c r="C155" s="306"/>
      <c r="D155" s="306"/>
      <c r="E155" s="48"/>
    </row>
    <row r="156" spans="1:5" x14ac:dyDescent="0.25">
      <c r="A156" s="294"/>
      <c r="B156" s="305"/>
      <c r="C156" s="306"/>
      <c r="D156" s="306"/>
      <c r="E156" s="48"/>
    </row>
    <row r="157" spans="1:5" x14ac:dyDescent="0.25">
      <c r="A157" s="294"/>
      <c r="B157" s="305"/>
      <c r="C157" s="306"/>
      <c r="D157" s="306"/>
      <c r="E157" s="48"/>
    </row>
    <row r="158" spans="1:5" x14ac:dyDescent="0.25">
      <c r="A158" s="294"/>
      <c r="B158" s="305"/>
      <c r="C158" s="306"/>
      <c r="D158" s="306"/>
      <c r="E158" s="48"/>
    </row>
    <row r="159" spans="1:5" x14ac:dyDescent="0.25">
      <c r="A159" s="294"/>
      <c r="B159" s="305"/>
      <c r="C159" s="306"/>
      <c r="D159" s="306"/>
      <c r="E159" s="48"/>
    </row>
    <row r="160" spans="1:5" x14ac:dyDescent="0.25">
      <c r="A160" s="294"/>
      <c r="B160" s="305"/>
      <c r="C160" s="306"/>
      <c r="D160" s="306"/>
      <c r="E160" s="48"/>
    </row>
    <row r="161" spans="1:5" x14ac:dyDescent="0.25">
      <c r="A161" s="294"/>
      <c r="B161" s="305"/>
      <c r="C161" s="306"/>
      <c r="D161" s="306"/>
      <c r="E161" s="48"/>
    </row>
    <row r="162" spans="1:5" x14ac:dyDescent="0.25">
      <c r="A162" s="294"/>
      <c r="B162" s="305"/>
      <c r="C162" s="306"/>
      <c r="D162" s="306"/>
      <c r="E162" s="48"/>
    </row>
    <row r="163" spans="1:5" x14ac:dyDescent="0.25">
      <c r="A163" s="294"/>
      <c r="B163" s="305"/>
      <c r="C163" s="306"/>
      <c r="D163" s="306"/>
      <c r="E163" s="48"/>
    </row>
    <row r="164" spans="1:5" x14ac:dyDescent="0.25">
      <c r="A164" s="294"/>
      <c r="B164" s="305"/>
      <c r="C164" s="306"/>
      <c r="D164" s="306"/>
      <c r="E164" s="48"/>
    </row>
    <row r="165" spans="1:5" x14ac:dyDescent="0.25">
      <c r="A165" s="294"/>
      <c r="B165" s="305"/>
      <c r="C165" s="306"/>
      <c r="D165" s="306"/>
      <c r="E165" s="48"/>
    </row>
    <row r="166" spans="1:5" x14ac:dyDescent="0.25">
      <c r="A166" s="294"/>
      <c r="B166" s="305"/>
      <c r="C166" s="306"/>
      <c r="D166" s="306"/>
      <c r="E166" s="48"/>
    </row>
    <row r="167" spans="1:5" x14ac:dyDescent="0.25">
      <c r="A167" s="294"/>
      <c r="B167" s="305"/>
      <c r="C167" s="306"/>
      <c r="D167" s="306"/>
      <c r="E167" s="48"/>
    </row>
    <row r="168" spans="1:5" x14ac:dyDescent="0.25">
      <c r="A168" s="294"/>
      <c r="B168" s="305"/>
      <c r="C168" s="306"/>
      <c r="D168" s="306"/>
      <c r="E168" s="48"/>
    </row>
    <row r="169" spans="1:5" x14ac:dyDescent="0.25">
      <c r="A169" s="294"/>
      <c r="B169" s="305"/>
      <c r="C169" s="306"/>
      <c r="D169" s="306"/>
      <c r="E169" s="48"/>
    </row>
    <row r="170" spans="1:5" x14ac:dyDescent="0.25">
      <c r="A170" s="294"/>
      <c r="B170" s="305"/>
      <c r="C170" s="306"/>
      <c r="D170" s="306"/>
      <c r="E170" s="48"/>
    </row>
    <row r="171" spans="1:5" x14ac:dyDescent="0.25">
      <c r="A171" s="294"/>
      <c r="B171" s="305"/>
      <c r="C171" s="306"/>
      <c r="D171" s="306"/>
      <c r="E171" s="48"/>
    </row>
    <row r="172" spans="1:5" x14ac:dyDescent="0.25">
      <c r="A172" s="294"/>
      <c r="B172" s="305"/>
      <c r="C172" s="306"/>
      <c r="D172" s="306"/>
      <c r="E172" s="48"/>
    </row>
    <row r="173" spans="1:5" x14ac:dyDescent="0.25">
      <c r="A173" s="294"/>
      <c r="B173" s="305"/>
      <c r="C173" s="306"/>
      <c r="D173" s="306"/>
      <c r="E173" s="48"/>
    </row>
    <row r="174" spans="1:5" x14ac:dyDescent="0.25">
      <c r="A174" s="294"/>
      <c r="B174" s="305"/>
      <c r="C174" s="306"/>
      <c r="D174" s="306"/>
      <c r="E174" s="48"/>
    </row>
    <row r="175" spans="1:5" x14ac:dyDescent="0.25">
      <c r="A175" s="294"/>
      <c r="B175" s="305"/>
      <c r="C175" s="306"/>
      <c r="D175" s="306"/>
      <c r="E175" s="48"/>
    </row>
    <row r="176" spans="1:5" x14ac:dyDescent="0.25">
      <c r="A176" s="294"/>
      <c r="B176" s="305"/>
      <c r="C176" s="306"/>
      <c r="D176" s="306"/>
      <c r="E176" s="48"/>
    </row>
    <row r="177" spans="1:5" x14ac:dyDescent="0.25">
      <c r="A177" s="294"/>
      <c r="B177" s="305"/>
      <c r="C177" s="306"/>
      <c r="D177" s="306"/>
      <c r="E177" s="48"/>
    </row>
    <row r="178" spans="1:5" x14ac:dyDescent="0.25">
      <c r="A178" s="294"/>
      <c r="B178" s="305"/>
      <c r="C178" s="306"/>
      <c r="D178" s="306"/>
      <c r="E178" s="48"/>
    </row>
    <row r="179" spans="1:5" x14ac:dyDescent="0.25">
      <c r="A179" s="294"/>
      <c r="B179" s="305"/>
      <c r="C179" s="306"/>
      <c r="D179" s="306"/>
      <c r="E179" s="48"/>
    </row>
    <row r="180" spans="1:5" x14ac:dyDescent="0.25">
      <c r="A180" s="294"/>
      <c r="B180" s="305"/>
      <c r="C180" s="306"/>
      <c r="D180" s="306"/>
      <c r="E180" s="48"/>
    </row>
    <row r="181" spans="1:5" x14ac:dyDescent="0.25">
      <c r="A181" s="294"/>
      <c r="B181" s="305"/>
      <c r="C181" s="306"/>
      <c r="D181" s="306"/>
      <c r="E181" s="48"/>
    </row>
    <row r="182" spans="1:5" x14ac:dyDescent="0.25">
      <c r="A182" s="294"/>
      <c r="B182" s="305"/>
      <c r="C182" s="306"/>
      <c r="D182" s="306"/>
      <c r="E182" s="48"/>
    </row>
    <row r="183" spans="1:5" x14ac:dyDescent="0.25">
      <c r="A183" s="294"/>
      <c r="B183" s="305"/>
      <c r="C183" s="306"/>
      <c r="D183" s="306"/>
      <c r="E183" s="48"/>
    </row>
    <row r="184" spans="1:5" x14ac:dyDescent="0.25">
      <c r="A184" s="294"/>
      <c r="B184" s="305"/>
      <c r="C184" s="306"/>
      <c r="D184" s="306"/>
      <c r="E184" s="48"/>
    </row>
    <row r="185" spans="1:5" x14ac:dyDescent="0.25">
      <c r="A185" s="294"/>
      <c r="B185" s="305"/>
      <c r="C185" s="306"/>
      <c r="D185" s="306"/>
      <c r="E185" s="48"/>
    </row>
    <row r="186" spans="1:5" x14ac:dyDescent="0.25">
      <c r="A186" s="294"/>
      <c r="B186" s="305"/>
      <c r="C186" s="306"/>
      <c r="D186" s="306"/>
      <c r="E186" s="48"/>
    </row>
    <row r="187" spans="1:5" x14ac:dyDescent="0.25">
      <c r="A187" s="294"/>
      <c r="B187" s="305"/>
      <c r="C187" s="306"/>
      <c r="D187" s="306"/>
      <c r="E187" s="48"/>
    </row>
    <row r="188" spans="1:5" x14ac:dyDescent="0.25">
      <c r="A188" s="294"/>
      <c r="B188" s="305"/>
      <c r="C188" s="306"/>
      <c r="D188" s="306"/>
      <c r="E188" s="48"/>
    </row>
    <row r="189" spans="1:5" x14ac:dyDescent="0.25">
      <c r="A189" s="294"/>
      <c r="B189" s="305"/>
      <c r="C189" s="306"/>
      <c r="D189" s="306"/>
      <c r="E189" s="48"/>
    </row>
    <row r="190" spans="1:5" x14ac:dyDescent="0.25">
      <c r="A190" s="294"/>
      <c r="B190" s="305"/>
      <c r="C190" s="306"/>
      <c r="D190" s="306"/>
      <c r="E190" s="48"/>
    </row>
    <row r="191" spans="1:5" x14ac:dyDescent="0.25">
      <c r="A191" s="294"/>
      <c r="B191" s="305"/>
      <c r="C191" s="306"/>
      <c r="D191" s="306"/>
      <c r="E191" s="48"/>
    </row>
    <row r="192" spans="1:5" x14ac:dyDescent="0.25">
      <c r="A192" s="294"/>
      <c r="B192" s="305"/>
      <c r="C192" s="306"/>
      <c r="D192" s="306"/>
      <c r="E192" s="48"/>
    </row>
    <row r="193" spans="1:5" x14ac:dyDescent="0.25">
      <c r="A193" s="294"/>
      <c r="B193" s="305"/>
      <c r="C193" s="306"/>
      <c r="D193" s="306"/>
      <c r="E193" s="48"/>
    </row>
    <row r="194" spans="1:5" x14ac:dyDescent="0.25">
      <c r="A194" s="294"/>
      <c r="B194" s="305"/>
      <c r="C194" s="306"/>
      <c r="D194" s="306"/>
      <c r="E194" s="48"/>
    </row>
    <row r="195" spans="1:5" x14ac:dyDescent="0.25">
      <c r="A195" s="294"/>
      <c r="B195" s="305"/>
      <c r="C195" s="306"/>
      <c r="D195" s="306"/>
      <c r="E195" s="48"/>
    </row>
    <row r="196" spans="1:5" x14ac:dyDescent="0.25">
      <c r="A196" s="294"/>
      <c r="B196" s="305"/>
      <c r="C196" s="306"/>
      <c r="D196" s="306"/>
      <c r="E196" s="48"/>
    </row>
    <row r="197" spans="1:5" x14ac:dyDescent="0.25">
      <c r="A197" s="294"/>
      <c r="B197" s="305"/>
      <c r="C197" s="306"/>
      <c r="D197" s="306"/>
      <c r="E197" s="48"/>
    </row>
    <row r="198" spans="1:5" x14ac:dyDescent="0.25">
      <c r="A198" s="294"/>
      <c r="B198" s="305"/>
      <c r="C198" s="306"/>
      <c r="D198" s="306"/>
      <c r="E198" s="48"/>
    </row>
    <row r="199" spans="1:5" x14ac:dyDescent="0.25">
      <c r="A199" s="294"/>
      <c r="B199" s="305"/>
      <c r="C199" s="306"/>
      <c r="D199" s="306"/>
      <c r="E199" s="48"/>
    </row>
    <row r="200" spans="1:5" x14ac:dyDescent="0.25">
      <c r="A200" s="294"/>
      <c r="B200" s="305"/>
      <c r="C200" s="306"/>
      <c r="D200" s="306"/>
      <c r="E200" s="48"/>
    </row>
    <row r="201" spans="1:5" x14ac:dyDescent="0.25">
      <c r="A201" s="294"/>
      <c r="B201" s="305"/>
      <c r="C201" s="306"/>
      <c r="D201" s="306"/>
      <c r="E201" s="48"/>
    </row>
    <row r="202" spans="1:5" x14ac:dyDescent="0.25">
      <c r="A202" s="294"/>
      <c r="B202" s="305"/>
      <c r="C202" s="306"/>
      <c r="D202" s="306"/>
      <c r="E202" s="48"/>
    </row>
    <row r="203" spans="1:5" x14ac:dyDescent="0.25">
      <c r="A203" s="294"/>
      <c r="B203" s="305"/>
      <c r="C203" s="306"/>
      <c r="D203" s="306"/>
      <c r="E203" s="48"/>
    </row>
    <row r="204" spans="1:5" x14ac:dyDescent="0.25">
      <c r="A204" s="294"/>
      <c r="B204" s="305"/>
      <c r="C204" s="306"/>
      <c r="D204" s="306"/>
      <c r="E204" s="48"/>
    </row>
    <row r="205" spans="1:5" x14ac:dyDescent="0.25">
      <c r="A205" s="294"/>
      <c r="B205" s="305"/>
      <c r="C205" s="306"/>
      <c r="D205" s="306"/>
      <c r="E205" s="48"/>
    </row>
    <row r="206" spans="1:5" x14ac:dyDescent="0.25">
      <c r="A206" s="294"/>
      <c r="B206" s="305"/>
      <c r="C206" s="306"/>
      <c r="D206" s="306"/>
      <c r="E206" s="48"/>
    </row>
    <row r="207" spans="1:5" x14ac:dyDescent="0.25">
      <c r="A207" s="294"/>
      <c r="B207" s="305"/>
      <c r="C207" s="306"/>
      <c r="D207" s="306"/>
      <c r="E207" s="48"/>
    </row>
    <row r="208" spans="1:5" x14ac:dyDescent="0.25">
      <c r="A208" s="294"/>
      <c r="B208" s="305"/>
      <c r="C208" s="306"/>
      <c r="D208" s="306"/>
      <c r="E208" s="48"/>
    </row>
    <row r="209" spans="1:5" x14ac:dyDescent="0.25">
      <c r="A209" s="294"/>
      <c r="B209" s="305"/>
      <c r="C209" s="306"/>
      <c r="D209" s="306"/>
      <c r="E209" s="48"/>
    </row>
    <row r="210" spans="1:5" x14ac:dyDescent="0.25">
      <c r="A210" s="294"/>
      <c r="B210" s="305"/>
      <c r="C210" s="306"/>
      <c r="D210" s="306"/>
      <c r="E210" s="48"/>
    </row>
    <row r="211" spans="1:5" x14ac:dyDescent="0.25">
      <c r="A211" s="294"/>
      <c r="B211" s="305"/>
      <c r="C211" s="306"/>
      <c r="D211" s="306"/>
      <c r="E211" s="48"/>
    </row>
    <row r="212" spans="1:5" x14ac:dyDescent="0.25">
      <c r="A212" s="294"/>
      <c r="B212" s="305"/>
      <c r="C212" s="306"/>
      <c r="D212" s="306"/>
      <c r="E212" s="48"/>
    </row>
    <row r="213" spans="1:5" x14ac:dyDescent="0.25">
      <c r="A213" s="294"/>
      <c r="B213" s="305"/>
      <c r="C213" s="306"/>
      <c r="D213" s="306"/>
      <c r="E213" s="48"/>
    </row>
    <row r="214" spans="1:5" x14ac:dyDescent="0.25">
      <c r="A214" s="294"/>
      <c r="B214" s="305"/>
      <c r="C214" s="306"/>
      <c r="D214" s="306"/>
      <c r="E214" s="48"/>
    </row>
    <row r="215" spans="1:5" x14ac:dyDescent="0.25">
      <c r="A215" s="294"/>
      <c r="B215" s="305"/>
      <c r="C215" s="306"/>
      <c r="D215" s="306"/>
      <c r="E215" s="48"/>
    </row>
    <row r="216" spans="1:5" x14ac:dyDescent="0.25">
      <c r="A216" s="294"/>
      <c r="B216" s="305"/>
      <c r="C216" s="306"/>
      <c r="D216" s="306"/>
      <c r="E216" s="48"/>
    </row>
    <row r="217" spans="1:5" x14ac:dyDescent="0.25">
      <c r="A217" s="294"/>
      <c r="B217" s="305"/>
      <c r="C217" s="306"/>
      <c r="D217" s="306"/>
      <c r="E217" s="48"/>
    </row>
    <row r="218" spans="1:5" x14ac:dyDescent="0.25">
      <c r="A218" s="294"/>
      <c r="B218" s="305"/>
      <c r="C218" s="306"/>
      <c r="D218" s="306"/>
      <c r="E218" s="48"/>
    </row>
    <row r="219" spans="1:5" x14ac:dyDescent="0.25">
      <c r="A219" s="294"/>
      <c r="B219" s="305"/>
      <c r="C219" s="306"/>
      <c r="D219" s="306"/>
      <c r="E219" s="48"/>
    </row>
    <row r="220" spans="1:5" x14ac:dyDescent="0.25">
      <c r="A220" s="294"/>
      <c r="B220" s="305"/>
      <c r="C220" s="306"/>
      <c r="D220" s="306"/>
      <c r="E220" s="48"/>
    </row>
    <row r="221" spans="1:5" x14ac:dyDescent="0.25">
      <c r="A221" s="294"/>
      <c r="B221" s="305"/>
      <c r="C221" s="306"/>
      <c r="D221" s="306"/>
      <c r="E221" s="48"/>
    </row>
    <row r="222" spans="1:5" x14ac:dyDescent="0.25">
      <c r="A222" s="294"/>
      <c r="B222" s="305"/>
      <c r="C222" s="306"/>
      <c r="D222" s="306"/>
      <c r="E222" s="48"/>
    </row>
    <row r="223" spans="1:5" x14ac:dyDescent="0.25">
      <c r="A223" s="294"/>
      <c r="B223" s="305"/>
      <c r="C223" s="306"/>
      <c r="D223" s="306"/>
      <c r="E223" s="48"/>
    </row>
    <row r="224" spans="1:5" x14ac:dyDescent="0.25">
      <c r="A224" s="294"/>
      <c r="B224" s="305"/>
      <c r="C224" s="306"/>
      <c r="D224" s="306"/>
      <c r="E224" s="48"/>
    </row>
    <row r="225" spans="1:5" x14ac:dyDescent="0.25">
      <c r="A225" s="294"/>
      <c r="B225" s="305"/>
      <c r="C225" s="306"/>
      <c r="D225" s="306"/>
      <c r="E225" s="48"/>
    </row>
    <row r="226" spans="1:5" x14ac:dyDescent="0.25">
      <c r="A226" s="294"/>
      <c r="B226" s="305"/>
      <c r="C226" s="306"/>
      <c r="D226" s="306"/>
      <c r="E226" s="48"/>
    </row>
    <row r="227" spans="1:5" x14ac:dyDescent="0.25">
      <c r="A227" s="294"/>
      <c r="B227" s="305"/>
      <c r="C227" s="306"/>
      <c r="D227" s="306"/>
      <c r="E227" s="48"/>
    </row>
    <row r="228" spans="1:5" x14ac:dyDescent="0.25">
      <c r="A228" s="294"/>
      <c r="B228" s="305"/>
      <c r="C228" s="306"/>
      <c r="D228" s="306"/>
      <c r="E228" s="48"/>
    </row>
    <row r="229" spans="1:5" x14ac:dyDescent="0.25">
      <c r="A229" s="294"/>
      <c r="B229" s="305"/>
      <c r="C229" s="306"/>
      <c r="D229" s="306"/>
      <c r="E229" s="48"/>
    </row>
    <row r="230" spans="1:5" x14ac:dyDescent="0.25">
      <c r="A230" s="294"/>
      <c r="B230" s="305"/>
      <c r="C230" s="306"/>
      <c r="D230" s="306"/>
      <c r="E230" s="48"/>
    </row>
    <row r="231" spans="1:5" x14ac:dyDescent="0.25">
      <c r="A231" s="294"/>
      <c r="B231" s="305"/>
      <c r="C231" s="306"/>
      <c r="D231" s="306"/>
      <c r="E231" s="48"/>
    </row>
    <row r="232" spans="1:5" x14ac:dyDescent="0.25">
      <c r="A232" s="294"/>
      <c r="B232" s="305"/>
      <c r="C232" s="306"/>
      <c r="D232" s="306"/>
      <c r="E232" s="48"/>
    </row>
    <row r="233" spans="1:5" x14ac:dyDescent="0.25">
      <c r="A233" s="294"/>
      <c r="B233" s="305"/>
      <c r="C233" s="306"/>
      <c r="D233" s="306"/>
      <c r="E233" s="48"/>
    </row>
    <row r="234" spans="1:5" x14ac:dyDescent="0.25">
      <c r="A234" s="294"/>
      <c r="B234" s="305"/>
      <c r="C234" s="306"/>
      <c r="D234" s="306"/>
      <c r="E234" s="48"/>
    </row>
    <row r="235" spans="1:5" x14ac:dyDescent="0.25">
      <c r="A235" s="294"/>
      <c r="B235" s="305"/>
      <c r="C235" s="306"/>
      <c r="D235" s="306"/>
      <c r="E235" s="48"/>
    </row>
    <row r="236" spans="1:5" x14ac:dyDescent="0.25">
      <c r="A236" s="294"/>
      <c r="B236" s="305"/>
      <c r="C236" s="306"/>
      <c r="D236" s="306"/>
      <c r="E236" s="48"/>
    </row>
    <row r="237" spans="1:5" x14ac:dyDescent="0.25">
      <c r="A237" s="294"/>
      <c r="B237" s="305"/>
      <c r="C237" s="306"/>
      <c r="D237" s="306"/>
      <c r="E237" s="48"/>
    </row>
    <row r="238" spans="1:5" x14ac:dyDescent="0.25">
      <c r="A238" s="294"/>
      <c r="B238" s="305"/>
      <c r="C238" s="306"/>
      <c r="D238" s="306"/>
      <c r="E238" s="48"/>
    </row>
    <row r="239" spans="1:5" x14ac:dyDescent="0.25">
      <c r="A239" s="294"/>
      <c r="B239" s="305"/>
      <c r="C239" s="306"/>
      <c r="D239" s="306"/>
      <c r="E239" s="48"/>
    </row>
    <row r="240" spans="1:5" x14ac:dyDescent="0.25">
      <c r="A240" s="294"/>
      <c r="B240" s="305"/>
      <c r="C240" s="306"/>
      <c r="D240" s="306"/>
      <c r="E240" s="48"/>
    </row>
    <row r="241" spans="1:5" x14ac:dyDescent="0.25">
      <c r="A241" s="294"/>
      <c r="B241" s="305"/>
      <c r="C241" s="306"/>
      <c r="D241" s="306"/>
      <c r="E241" s="48"/>
    </row>
    <row r="242" spans="1:5" x14ac:dyDescent="0.25">
      <c r="A242" s="294"/>
      <c r="B242" s="305"/>
      <c r="C242" s="306"/>
      <c r="D242" s="306"/>
      <c r="E242" s="48"/>
    </row>
    <row r="243" spans="1:5" x14ac:dyDescent="0.25">
      <c r="A243" s="294"/>
      <c r="B243" s="305"/>
      <c r="C243" s="306"/>
      <c r="D243" s="306"/>
      <c r="E243" s="48"/>
    </row>
    <row r="244" spans="1:5" x14ac:dyDescent="0.25">
      <c r="A244" s="294"/>
      <c r="B244" s="305"/>
      <c r="C244" s="306"/>
      <c r="D244" s="306"/>
      <c r="E244" s="48"/>
    </row>
    <row r="245" spans="1:5" x14ac:dyDescent="0.25">
      <c r="A245" s="294"/>
      <c r="B245" s="305"/>
      <c r="C245" s="306"/>
      <c r="D245" s="306"/>
      <c r="E245" s="48"/>
    </row>
    <row r="246" spans="1:5" x14ac:dyDescent="0.25">
      <c r="A246" s="294"/>
      <c r="B246" s="305"/>
      <c r="C246" s="306"/>
      <c r="D246" s="306"/>
      <c r="E246" s="48"/>
    </row>
    <row r="247" spans="1:5" x14ac:dyDescent="0.25">
      <c r="A247" s="294"/>
      <c r="B247" s="305"/>
      <c r="C247" s="306"/>
      <c r="D247" s="306"/>
      <c r="E247" s="48"/>
    </row>
    <row r="248" spans="1:5" x14ac:dyDescent="0.25">
      <c r="A248" s="294"/>
      <c r="B248" s="305"/>
      <c r="C248" s="306"/>
      <c r="D248" s="306"/>
      <c r="E248" s="48"/>
    </row>
    <row r="249" spans="1:5" x14ac:dyDescent="0.25">
      <c r="A249" s="294"/>
      <c r="B249" s="305"/>
      <c r="C249" s="306"/>
      <c r="D249" s="306"/>
      <c r="E249" s="48"/>
    </row>
    <row r="250" spans="1:5" x14ac:dyDescent="0.25">
      <c r="A250" s="294"/>
      <c r="B250" s="305"/>
      <c r="C250" s="306"/>
      <c r="D250" s="306"/>
      <c r="E250" s="48"/>
    </row>
    <row r="251" spans="1:5" x14ac:dyDescent="0.25">
      <c r="A251" s="294"/>
      <c r="B251" s="305"/>
      <c r="C251" s="306"/>
      <c r="D251" s="306"/>
      <c r="E251" s="48"/>
    </row>
    <row r="252" spans="1:5" x14ac:dyDescent="0.25">
      <c r="A252" s="294"/>
      <c r="B252" s="305"/>
      <c r="C252" s="306"/>
      <c r="D252" s="306"/>
      <c r="E252" s="48"/>
    </row>
    <row r="253" spans="1:5" x14ac:dyDescent="0.25">
      <c r="A253" s="294"/>
      <c r="B253" s="305"/>
      <c r="C253" s="306"/>
      <c r="D253" s="306"/>
      <c r="E253" s="48"/>
    </row>
    <row r="254" spans="1:5" x14ac:dyDescent="0.25">
      <c r="A254" s="294"/>
      <c r="B254" s="305"/>
      <c r="C254" s="306"/>
      <c r="D254" s="306"/>
      <c r="E254" s="48"/>
    </row>
    <row r="255" spans="1:5" x14ac:dyDescent="0.25">
      <c r="A255" s="294"/>
      <c r="B255" s="305"/>
      <c r="C255" s="306"/>
      <c r="D255" s="306"/>
      <c r="E255" s="48"/>
    </row>
    <row r="256" spans="1:5" x14ac:dyDescent="0.25">
      <c r="A256" s="294"/>
      <c r="B256" s="305"/>
      <c r="C256" s="306"/>
      <c r="D256" s="306"/>
      <c r="E256" s="48"/>
    </row>
    <row r="257" spans="1:5" x14ac:dyDescent="0.25">
      <c r="A257" s="294"/>
      <c r="B257" s="305"/>
      <c r="C257" s="306"/>
      <c r="D257" s="306"/>
      <c r="E257" s="48"/>
    </row>
    <row r="258" spans="1:5" x14ac:dyDescent="0.25">
      <c r="A258" s="294"/>
      <c r="B258" s="305"/>
      <c r="C258" s="306"/>
      <c r="D258" s="306"/>
      <c r="E258" s="48"/>
    </row>
    <row r="259" spans="1:5" x14ac:dyDescent="0.25">
      <c r="A259" s="294"/>
      <c r="B259" s="305"/>
      <c r="C259" s="306"/>
      <c r="D259" s="306"/>
      <c r="E259" s="48"/>
    </row>
    <row r="260" spans="1:5" x14ac:dyDescent="0.25">
      <c r="A260" s="294"/>
      <c r="B260" s="305"/>
      <c r="C260" s="306"/>
      <c r="D260" s="306"/>
      <c r="E260" s="48"/>
    </row>
    <row r="261" spans="1:5" x14ac:dyDescent="0.25">
      <c r="A261" s="294"/>
      <c r="B261" s="305"/>
      <c r="C261" s="306"/>
      <c r="D261" s="306"/>
      <c r="E261" s="48"/>
    </row>
    <row r="262" spans="1:5" x14ac:dyDescent="0.25">
      <c r="A262" s="294"/>
      <c r="B262" s="305"/>
      <c r="C262" s="306"/>
      <c r="D262" s="306"/>
      <c r="E262" s="48"/>
    </row>
    <row r="263" spans="1:5" x14ac:dyDescent="0.25">
      <c r="A263" s="294"/>
      <c r="B263" s="305"/>
      <c r="C263" s="306"/>
      <c r="D263" s="306"/>
      <c r="E263" s="48"/>
    </row>
    <row r="264" spans="1:5" x14ac:dyDescent="0.25">
      <c r="A264" s="294"/>
      <c r="B264" s="305"/>
      <c r="C264" s="306"/>
      <c r="D264" s="306"/>
      <c r="E264" s="48"/>
    </row>
    <row r="265" spans="1:5" x14ac:dyDescent="0.25">
      <c r="A265" s="294"/>
      <c r="B265" s="305"/>
      <c r="C265" s="306"/>
      <c r="D265" s="306"/>
      <c r="E265" s="48"/>
    </row>
    <row r="266" spans="1:5" x14ac:dyDescent="0.25">
      <c r="A266" s="294"/>
      <c r="B266" s="305"/>
      <c r="C266" s="306"/>
      <c r="D266" s="306"/>
      <c r="E266" s="48"/>
    </row>
    <row r="267" spans="1:5" x14ac:dyDescent="0.25">
      <c r="A267" s="294"/>
      <c r="B267" s="305"/>
      <c r="C267" s="306"/>
      <c r="D267" s="306"/>
      <c r="E267" s="48"/>
    </row>
    <row r="268" spans="1:5" x14ac:dyDescent="0.25">
      <c r="A268" s="294"/>
      <c r="B268" s="305"/>
      <c r="C268" s="306"/>
      <c r="D268" s="306"/>
      <c r="E268" s="48"/>
    </row>
    <row r="269" spans="1:5" x14ac:dyDescent="0.25">
      <c r="A269" s="294"/>
      <c r="B269" s="305"/>
      <c r="C269" s="306"/>
      <c r="D269" s="306"/>
      <c r="E269" s="48"/>
    </row>
    <row r="270" spans="1:5" x14ac:dyDescent="0.25">
      <c r="A270" s="294"/>
      <c r="B270" s="305"/>
      <c r="C270" s="306"/>
      <c r="D270" s="306"/>
      <c r="E270" s="48"/>
    </row>
    <row r="271" spans="1:5" x14ac:dyDescent="0.25">
      <c r="A271" s="294"/>
      <c r="B271" s="305"/>
      <c r="C271" s="306"/>
      <c r="D271" s="306"/>
      <c r="E271" s="48"/>
    </row>
    <row r="272" spans="1:5" x14ac:dyDescent="0.25">
      <c r="A272" s="294"/>
      <c r="B272" s="305"/>
      <c r="C272" s="306"/>
      <c r="D272" s="306"/>
      <c r="E272" s="48"/>
    </row>
    <row r="273" spans="1:5" x14ac:dyDescent="0.25">
      <c r="A273" s="294"/>
      <c r="B273" s="305"/>
      <c r="C273" s="306"/>
      <c r="D273" s="306"/>
      <c r="E273" s="48"/>
    </row>
    <row r="274" spans="1:5" x14ac:dyDescent="0.25">
      <c r="A274" s="294"/>
      <c r="B274" s="305"/>
      <c r="C274" s="306"/>
      <c r="D274" s="306"/>
      <c r="E274" s="48"/>
    </row>
    <row r="275" spans="1:5" x14ac:dyDescent="0.25">
      <c r="A275" s="294"/>
      <c r="B275" s="305"/>
      <c r="C275" s="306"/>
      <c r="D275" s="306"/>
      <c r="E275" s="48"/>
    </row>
    <row r="276" spans="1:5" x14ac:dyDescent="0.25">
      <c r="A276" s="294"/>
      <c r="B276" s="305"/>
      <c r="C276" s="306"/>
      <c r="D276" s="306"/>
      <c r="E276" s="48"/>
    </row>
    <row r="277" spans="1:5" x14ac:dyDescent="0.25">
      <c r="A277" s="294"/>
      <c r="B277" s="305"/>
      <c r="C277" s="306"/>
      <c r="D277" s="306"/>
      <c r="E277" s="48"/>
    </row>
    <row r="278" spans="1:5" x14ac:dyDescent="0.25">
      <c r="A278" s="294"/>
      <c r="B278" s="305"/>
      <c r="C278" s="306"/>
      <c r="D278" s="306"/>
      <c r="E278" s="48"/>
    </row>
    <row r="279" spans="1:5" x14ac:dyDescent="0.25">
      <c r="A279" s="294"/>
      <c r="B279" s="305"/>
      <c r="C279" s="306"/>
      <c r="D279" s="306"/>
      <c r="E279" s="48"/>
    </row>
    <row r="280" spans="1:5" x14ac:dyDescent="0.25">
      <c r="A280" s="294"/>
      <c r="B280" s="305"/>
      <c r="C280" s="306"/>
      <c r="D280" s="306"/>
      <c r="E280" s="48"/>
    </row>
    <row r="281" spans="1:5" x14ac:dyDescent="0.25">
      <c r="A281" s="294"/>
      <c r="B281" s="305"/>
      <c r="C281" s="306"/>
      <c r="D281" s="306"/>
      <c r="E281" s="48"/>
    </row>
    <row r="282" spans="1:5" x14ac:dyDescent="0.25">
      <c r="A282" s="294"/>
      <c r="B282" s="305"/>
      <c r="C282" s="306"/>
      <c r="D282" s="306"/>
      <c r="E282" s="48"/>
    </row>
    <row r="283" spans="1:5" x14ac:dyDescent="0.25">
      <c r="A283" s="294"/>
      <c r="B283" s="305"/>
      <c r="C283" s="306"/>
      <c r="D283" s="306"/>
      <c r="E283" s="48"/>
    </row>
    <row r="284" spans="1:5" x14ac:dyDescent="0.25">
      <c r="A284" s="294"/>
      <c r="B284" s="305"/>
      <c r="C284" s="306"/>
      <c r="D284" s="306"/>
      <c r="E284" s="48"/>
    </row>
    <row r="285" spans="1:5" x14ac:dyDescent="0.25">
      <c r="A285" s="294"/>
      <c r="B285" s="305"/>
      <c r="C285" s="306"/>
      <c r="D285" s="306"/>
      <c r="E285" s="48"/>
    </row>
    <row r="286" spans="1:5" x14ac:dyDescent="0.25">
      <c r="A286" s="294"/>
      <c r="B286" s="305"/>
      <c r="C286" s="306"/>
      <c r="D286" s="306"/>
      <c r="E286" s="48"/>
    </row>
    <row r="287" spans="1:5" x14ac:dyDescent="0.25">
      <c r="A287" s="294"/>
      <c r="B287" s="305"/>
      <c r="C287" s="306"/>
      <c r="D287" s="306"/>
      <c r="E287" s="48"/>
    </row>
    <row r="288" spans="1:5" x14ac:dyDescent="0.25">
      <c r="A288" s="294"/>
      <c r="B288" s="305"/>
      <c r="C288" s="306"/>
      <c r="D288" s="306"/>
      <c r="E288" s="48"/>
    </row>
    <row r="289" spans="1:5" x14ac:dyDescent="0.25">
      <c r="A289" s="294"/>
      <c r="B289" s="305"/>
      <c r="C289" s="306"/>
      <c r="D289" s="306"/>
      <c r="E289" s="48"/>
    </row>
    <row r="290" spans="1:5" x14ac:dyDescent="0.25">
      <c r="A290" s="294"/>
      <c r="B290" s="305"/>
      <c r="C290" s="306"/>
      <c r="D290" s="306"/>
      <c r="E290" s="48"/>
    </row>
    <row r="291" spans="1:5" x14ac:dyDescent="0.25">
      <c r="A291" s="294"/>
      <c r="B291" s="305"/>
      <c r="C291" s="306"/>
      <c r="D291" s="306"/>
      <c r="E291" s="48"/>
    </row>
    <row r="292" spans="1:5" x14ac:dyDescent="0.25">
      <c r="A292" s="294"/>
      <c r="B292" s="305"/>
      <c r="C292" s="306"/>
      <c r="D292" s="306"/>
      <c r="E292" s="48"/>
    </row>
    <row r="293" spans="1:5" x14ac:dyDescent="0.25">
      <c r="A293" s="294"/>
      <c r="B293" s="305"/>
      <c r="C293" s="306"/>
      <c r="D293" s="306"/>
      <c r="E293" s="48"/>
    </row>
    <row r="294" spans="1:5" x14ac:dyDescent="0.25">
      <c r="A294" s="294"/>
      <c r="B294" s="305"/>
      <c r="C294" s="306"/>
      <c r="D294" s="306"/>
      <c r="E294" s="48"/>
    </row>
    <row r="295" spans="1:5" x14ac:dyDescent="0.25">
      <c r="A295" s="294"/>
      <c r="B295" s="305"/>
      <c r="C295" s="306"/>
      <c r="D295" s="306"/>
      <c r="E295" s="48"/>
    </row>
    <row r="296" spans="1:5" x14ac:dyDescent="0.25">
      <c r="A296" s="294"/>
      <c r="B296" s="305"/>
      <c r="C296" s="306"/>
      <c r="D296" s="306"/>
      <c r="E296" s="48"/>
    </row>
    <row r="297" spans="1:5" x14ac:dyDescent="0.25">
      <c r="A297" s="294"/>
      <c r="B297" s="305"/>
      <c r="C297" s="306"/>
      <c r="D297" s="306"/>
      <c r="E297" s="48"/>
    </row>
    <row r="298" spans="1:5" x14ac:dyDescent="0.25">
      <c r="A298" s="294"/>
      <c r="B298" s="305"/>
      <c r="C298" s="306"/>
      <c r="D298" s="306"/>
      <c r="E298" s="48"/>
    </row>
    <row r="299" spans="1:5" x14ac:dyDescent="0.25">
      <c r="A299" s="294"/>
      <c r="B299" s="305"/>
      <c r="C299" s="306"/>
      <c r="D299" s="306"/>
      <c r="E299" s="48"/>
    </row>
    <row r="300" spans="1:5" x14ac:dyDescent="0.25">
      <c r="A300" s="294"/>
      <c r="B300" s="305"/>
      <c r="C300" s="306"/>
      <c r="D300" s="306"/>
      <c r="E300" s="48"/>
    </row>
    <row r="301" spans="1:5" x14ac:dyDescent="0.25">
      <c r="A301" s="294"/>
      <c r="B301" s="305"/>
      <c r="C301" s="306"/>
      <c r="D301" s="306"/>
      <c r="E301" s="48"/>
    </row>
    <row r="302" spans="1:5" x14ac:dyDescent="0.25">
      <c r="A302" s="294"/>
      <c r="B302" s="305"/>
      <c r="C302" s="306"/>
      <c r="D302" s="306"/>
      <c r="E302" s="48"/>
    </row>
    <row r="303" spans="1:5" x14ac:dyDescent="0.25">
      <c r="A303" s="294"/>
      <c r="B303" s="305"/>
      <c r="C303" s="306"/>
      <c r="D303" s="306"/>
      <c r="E303" s="48"/>
    </row>
    <row r="304" spans="1:5" x14ac:dyDescent="0.25">
      <c r="A304" s="294"/>
      <c r="B304" s="305"/>
      <c r="C304" s="306"/>
      <c r="D304" s="306"/>
      <c r="E304" s="48"/>
    </row>
    <row r="305" spans="1:5" x14ac:dyDescent="0.25">
      <c r="A305" s="294"/>
      <c r="B305" s="305"/>
      <c r="C305" s="306"/>
      <c r="D305" s="306"/>
      <c r="E305" s="48"/>
    </row>
    <row r="306" spans="1:5" x14ac:dyDescent="0.25">
      <c r="A306" s="294"/>
      <c r="B306" s="305"/>
      <c r="C306" s="306"/>
      <c r="D306" s="306"/>
      <c r="E306" s="48"/>
    </row>
    <row r="307" spans="1:5" x14ac:dyDescent="0.25">
      <c r="A307" s="294"/>
      <c r="B307" s="305"/>
      <c r="C307" s="306"/>
      <c r="D307" s="306"/>
      <c r="E307" s="48"/>
    </row>
    <row r="308" spans="1:5" x14ac:dyDescent="0.25">
      <c r="A308" s="294"/>
      <c r="B308" s="305"/>
      <c r="C308" s="306"/>
      <c r="D308" s="306"/>
      <c r="E308" s="48"/>
    </row>
    <row r="309" spans="1:5" x14ac:dyDescent="0.25">
      <c r="A309" s="294"/>
      <c r="B309" s="305"/>
      <c r="C309" s="306"/>
      <c r="D309" s="306"/>
      <c r="E309" s="48"/>
    </row>
    <row r="310" spans="1:5" x14ac:dyDescent="0.25">
      <c r="A310" s="294"/>
      <c r="B310" s="305"/>
      <c r="C310" s="306"/>
      <c r="D310" s="306"/>
      <c r="E310" s="48"/>
    </row>
    <row r="311" spans="1:5" x14ac:dyDescent="0.25">
      <c r="A311" s="294"/>
      <c r="B311" s="305"/>
      <c r="C311" s="306"/>
      <c r="D311" s="306"/>
      <c r="E311" s="48"/>
    </row>
    <row r="312" spans="1:5" x14ac:dyDescent="0.25">
      <c r="A312" s="294"/>
      <c r="B312" s="305"/>
      <c r="C312" s="306"/>
      <c r="D312" s="306"/>
      <c r="E312" s="48"/>
    </row>
    <row r="313" spans="1:5" x14ac:dyDescent="0.25">
      <c r="A313" s="294"/>
      <c r="B313" s="305"/>
      <c r="C313" s="306"/>
      <c r="D313" s="306"/>
      <c r="E313" s="48"/>
    </row>
    <row r="314" spans="1:5" x14ac:dyDescent="0.25">
      <c r="A314" s="294"/>
      <c r="B314" s="305"/>
      <c r="C314" s="306"/>
      <c r="D314" s="306"/>
      <c r="E314" s="48"/>
    </row>
    <row r="315" spans="1:5" x14ac:dyDescent="0.25">
      <c r="A315" s="294"/>
      <c r="B315" s="305"/>
      <c r="C315" s="306"/>
      <c r="D315" s="306"/>
      <c r="E315" s="48"/>
    </row>
    <row r="316" spans="1:5" x14ac:dyDescent="0.25">
      <c r="A316" s="294"/>
      <c r="B316" s="305"/>
      <c r="C316" s="306"/>
      <c r="D316" s="306"/>
      <c r="E316" s="48"/>
    </row>
    <row r="317" spans="1:5" x14ac:dyDescent="0.25">
      <c r="A317" s="294"/>
      <c r="B317" s="305"/>
      <c r="C317" s="306"/>
      <c r="D317" s="306"/>
      <c r="E317" s="48"/>
    </row>
    <row r="318" spans="1:5" x14ac:dyDescent="0.25">
      <c r="A318" s="294"/>
      <c r="B318" s="305"/>
      <c r="C318" s="306"/>
      <c r="D318" s="306"/>
      <c r="E318" s="48"/>
    </row>
    <row r="319" spans="1:5" x14ac:dyDescent="0.25">
      <c r="A319" s="294"/>
      <c r="B319" s="305"/>
      <c r="C319" s="306"/>
      <c r="D319" s="306"/>
      <c r="E319" s="48"/>
    </row>
    <row r="320" spans="1:5" x14ac:dyDescent="0.25">
      <c r="A320" s="294"/>
      <c r="B320" s="305"/>
      <c r="C320" s="306"/>
      <c r="D320" s="306"/>
      <c r="E320" s="48"/>
    </row>
    <row r="321" spans="1:5" x14ac:dyDescent="0.25">
      <c r="A321" s="294"/>
      <c r="B321" s="305"/>
      <c r="C321" s="306"/>
      <c r="D321" s="306"/>
      <c r="E321" s="48"/>
    </row>
    <row r="322" spans="1:5" x14ac:dyDescent="0.25">
      <c r="A322" s="294"/>
      <c r="B322" s="305"/>
      <c r="C322" s="306"/>
      <c r="D322" s="306"/>
      <c r="E322" s="48"/>
    </row>
    <row r="323" spans="1:5" x14ac:dyDescent="0.25">
      <c r="A323" s="294"/>
      <c r="B323" s="305"/>
      <c r="C323" s="306"/>
      <c r="D323" s="306"/>
      <c r="E323" s="48"/>
    </row>
    <row r="324" spans="1:5" x14ac:dyDescent="0.25">
      <c r="A324" s="294"/>
      <c r="B324" s="305"/>
      <c r="C324" s="306"/>
      <c r="D324" s="306"/>
      <c r="E324" s="48"/>
    </row>
    <row r="325" spans="1:5" x14ac:dyDescent="0.25">
      <c r="A325" s="294"/>
      <c r="B325" s="305"/>
      <c r="C325" s="306"/>
      <c r="D325" s="306"/>
      <c r="E325" s="48"/>
    </row>
    <row r="326" spans="1:5" x14ac:dyDescent="0.25">
      <c r="A326" s="294"/>
      <c r="B326" s="305"/>
      <c r="C326" s="306"/>
      <c r="D326" s="306"/>
      <c r="E326" s="48"/>
    </row>
    <row r="327" spans="1:5" x14ac:dyDescent="0.25">
      <c r="A327" s="294"/>
      <c r="B327" s="305"/>
      <c r="C327" s="306"/>
      <c r="D327" s="306"/>
      <c r="E327" s="48"/>
    </row>
    <row r="328" spans="1:5" x14ac:dyDescent="0.25">
      <c r="A328" s="294"/>
      <c r="B328" s="305"/>
      <c r="C328" s="306"/>
      <c r="D328" s="306"/>
      <c r="E328" s="48"/>
    </row>
    <row r="329" spans="1:5" x14ac:dyDescent="0.25">
      <c r="A329" s="294"/>
      <c r="B329" s="305"/>
      <c r="C329" s="306"/>
      <c r="D329" s="306"/>
      <c r="E329" s="48"/>
    </row>
    <row r="330" spans="1:5" x14ac:dyDescent="0.25">
      <c r="A330" s="294"/>
      <c r="B330" s="305"/>
      <c r="C330" s="306"/>
      <c r="D330" s="306"/>
      <c r="E330" s="48"/>
    </row>
    <row r="331" spans="1:5" x14ac:dyDescent="0.25">
      <c r="A331" s="294"/>
      <c r="B331" s="305"/>
      <c r="C331" s="306"/>
      <c r="D331" s="306"/>
      <c r="E331" s="48"/>
    </row>
    <row r="332" spans="1:5" x14ac:dyDescent="0.25">
      <c r="A332" s="294"/>
      <c r="B332" s="305"/>
      <c r="C332" s="306"/>
      <c r="D332" s="306"/>
      <c r="E332" s="48"/>
    </row>
    <row r="333" spans="1:5" x14ac:dyDescent="0.25">
      <c r="A333" s="294"/>
      <c r="B333" s="305"/>
      <c r="C333" s="306"/>
      <c r="D333" s="306"/>
      <c r="E333" s="48"/>
    </row>
    <row r="334" spans="1:5" x14ac:dyDescent="0.25">
      <c r="A334" s="294"/>
      <c r="B334" s="305"/>
      <c r="C334" s="306"/>
      <c r="D334" s="306"/>
      <c r="E334" s="48"/>
    </row>
    <row r="335" spans="1:5" x14ac:dyDescent="0.25">
      <c r="A335" s="294"/>
      <c r="B335" s="305"/>
      <c r="C335" s="306"/>
      <c r="D335" s="306"/>
      <c r="E335" s="48"/>
    </row>
    <row r="336" spans="1:5" x14ac:dyDescent="0.25">
      <c r="A336" s="294"/>
      <c r="B336" s="305"/>
      <c r="C336" s="306"/>
      <c r="D336" s="306"/>
      <c r="E336" s="48"/>
    </row>
    <row r="337" spans="1:5" x14ac:dyDescent="0.25">
      <c r="A337" s="294"/>
      <c r="B337" s="305"/>
      <c r="C337" s="306"/>
      <c r="D337" s="306"/>
      <c r="E337" s="48"/>
    </row>
    <row r="338" spans="1:5" x14ac:dyDescent="0.25">
      <c r="A338" s="294"/>
      <c r="B338" s="305"/>
      <c r="C338" s="306"/>
      <c r="D338" s="306"/>
      <c r="E338" s="48"/>
    </row>
    <row r="339" spans="1:5" x14ac:dyDescent="0.25">
      <c r="A339" s="294"/>
      <c r="B339" s="305"/>
      <c r="C339" s="306"/>
      <c r="D339" s="306"/>
      <c r="E339" s="48"/>
    </row>
    <row r="340" spans="1:5" x14ac:dyDescent="0.25">
      <c r="A340" s="294"/>
      <c r="B340" s="305"/>
      <c r="C340" s="306"/>
      <c r="D340" s="306"/>
      <c r="E340" s="48"/>
    </row>
    <row r="341" spans="1:5" x14ac:dyDescent="0.25">
      <c r="A341" s="294"/>
      <c r="B341" s="305"/>
      <c r="C341" s="306"/>
      <c r="D341" s="306"/>
      <c r="E341" s="48"/>
    </row>
    <row r="342" spans="1:5" x14ac:dyDescent="0.25">
      <c r="A342" s="294"/>
      <c r="B342" s="305"/>
      <c r="C342" s="306"/>
      <c r="D342" s="306"/>
      <c r="E342" s="48"/>
    </row>
    <row r="343" spans="1:5" x14ac:dyDescent="0.25">
      <c r="A343" s="294"/>
      <c r="B343" s="305"/>
      <c r="C343" s="306"/>
      <c r="D343" s="306"/>
      <c r="E343" s="48"/>
    </row>
    <row r="344" spans="1:5" x14ac:dyDescent="0.25">
      <c r="A344" s="294"/>
      <c r="B344" s="305"/>
      <c r="C344" s="306"/>
      <c r="D344" s="306"/>
      <c r="E344" s="48"/>
    </row>
    <row r="345" spans="1:5" x14ac:dyDescent="0.25">
      <c r="A345" s="294"/>
      <c r="B345" s="305"/>
      <c r="C345" s="306"/>
      <c r="D345" s="306"/>
      <c r="E345" s="48"/>
    </row>
    <row r="346" spans="1:5" x14ac:dyDescent="0.25">
      <c r="A346" s="294"/>
      <c r="B346" s="305"/>
      <c r="C346" s="306"/>
      <c r="D346" s="306"/>
      <c r="E346" s="48"/>
    </row>
    <row r="347" spans="1:5" x14ac:dyDescent="0.25">
      <c r="A347" s="294"/>
      <c r="B347" s="305"/>
      <c r="C347" s="306"/>
      <c r="D347" s="306"/>
      <c r="E347" s="48"/>
    </row>
    <row r="348" spans="1:5" x14ac:dyDescent="0.25">
      <c r="A348" s="294"/>
      <c r="B348" s="305"/>
      <c r="C348" s="306"/>
      <c r="D348" s="306"/>
      <c r="E348" s="48"/>
    </row>
    <row r="349" spans="1:5" x14ac:dyDescent="0.25">
      <c r="A349" s="294"/>
      <c r="B349" s="305"/>
      <c r="C349" s="306"/>
      <c r="D349" s="306"/>
      <c r="E349" s="48"/>
    </row>
    <row r="350" spans="1:5" x14ac:dyDescent="0.25">
      <c r="A350" s="294"/>
      <c r="B350" s="305"/>
      <c r="C350" s="306"/>
      <c r="D350" s="306"/>
      <c r="E350" s="48"/>
    </row>
    <row r="351" spans="1:5" x14ac:dyDescent="0.25">
      <c r="A351" s="294"/>
      <c r="B351" s="305"/>
      <c r="C351" s="306"/>
      <c r="D351" s="306"/>
      <c r="E351" s="48"/>
    </row>
    <row r="352" spans="1:5" x14ac:dyDescent="0.25">
      <c r="A352" s="294"/>
      <c r="B352" s="305"/>
      <c r="C352" s="306"/>
      <c r="D352" s="306"/>
      <c r="E352" s="48"/>
    </row>
    <row r="353" spans="1:5" x14ac:dyDescent="0.25">
      <c r="A353" s="294"/>
      <c r="B353" s="305"/>
      <c r="C353" s="306"/>
      <c r="D353" s="306"/>
      <c r="E353" s="48"/>
    </row>
    <row r="354" spans="1:5" x14ac:dyDescent="0.25">
      <c r="A354" s="294"/>
      <c r="B354" s="305"/>
      <c r="C354" s="306"/>
      <c r="D354" s="306"/>
      <c r="E354" s="48"/>
    </row>
    <row r="355" spans="1:5" x14ac:dyDescent="0.25">
      <c r="A355" s="294"/>
      <c r="B355" s="305"/>
      <c r="C355" s="306"/>
      <c r="D355" s="306"/>
      <c r="E355" s="48"/>
    </row>
    <row r="356" spans="1:5" x14ac:dyDescent="0.25">
      <c r="A356" s="294"/>
      <c r="B356" s="305"/>
      <c r="C356" s="306"/>
      <c r="D356" s="306"/>
      <c r="E356" s="48"/>
    </row>
    <row r="357" spans="1:5" x14ac:dyDescent="0.25">
      <c r="A357" s="294"/>
      <c r="B357" s="305"/>
      <c r="C357" s="306"/>
      <c r="D357" s="306"/>
      <c r="E357" s="48"/>
    </row>
    <row r="358" spans="1:5" x14ac:dyDescent="0.25">
      <c r="A358" s="294"/>
      <c r="B358" s="305"/>
      <c r="C358" s="306"/>
      <c r="D358" s="306"/>
      <c r="E358" s="48"/>
    </row>
    <row r="359" spans="1:5" x14ac:dyDescent="0.25">
      <c r="A359" s="294"/>
      <c r="B359" s="305"/>
      <c r="C359" s="306"/>
      <c r="D359" s="306"/>
      <c r="E359" s="48"/>
    </row>
    <row r="360" spans="1:5" x14ac:dyDescent="0.25">
      <c r="A360" s="294"/>
      <c r="B360" s="305"/>
      <c r="C360" s="306"/>
      <c r="D360" s="306"/>
      <c r="E360" s="48"/>
    </row>
    <row r="361" spans="1:5" x14ac:dyDescent="0.25">
      <c r="A361" s="294"/>
      <c r="B361" s="305"/>
      <c r="C361" s="306"/>
      <c r="D361" s="306"/>
      <c r="E361" s="48"/>
    </row>
    <row r="362" spans="1:5" x14ac:dyDescent="0.25">
      <c r="A362" s="294"/>
      <c r="B362" s="305"/>
      <c r="C362" s="306"/>
      <c r="D362" s="306"/>
      <c r="E362" s="48"/>
    </row>
    <row r="363" spans="1:5" x14ac:dyDescent="0.25">
      <c r="A363" s="294"/>
      <c r="B363" s="305"/>
      <c r="C363" s="306"/>
      <c r="D363" s="306"/>
      <c r="E363" s="48"/>
    </row>
    <row r="364" spans="1:5" x14ac:dyDescent="0.25">
      <c r="A364" s="294"/>
      <c r="B364" s="305"/>
      <c r="C364" s="306"/>
      <c r="D364" s="306"/>
      <c r="E364" s="48"/>
    </row>
    <row r="365" spans="1:5" x14ac:dyDescent="0.25">
      <c r="A365" s="294"/>
      <c r="B365" s="305"/>
      <c r="C365" s="306"/>
      <c r="D365" s="306"/>
      <c r="E365" s="48"/>
    </row>
    <row r="366" spans="1:5" x14ac:dyDescent="0.25">
      <c r="A366" s="294"/>
      <c r="B366" s="305"/>
      <c r="C366" s="306"/>
      <c r="D366" s="306"/>
      <c r="E366" s="48"/>
    </row>
    <row r="367" spans="1:5" x14ac:dyDescent="0.25">
      <c r="A367" s="294"/>
      <c r="B367" s="305"/>
      <c r="C367" s="306"/>
      <c r="D367" s="306"/>
      <c r="E367" s="48"/>
    </row>
    <row r="368" spans="1:5" x14ac:dyDescent="0.25">
      <c r="A368" s="294"/>
      <c r="B368" s="305"/>
      <c r="C368" s="306"/>
      <c r="D368" s="306"/>
      <c r="E368" s="48"/>
    </row>
    <row r="369" spans="1:5" x14ac:dyDescent="0.25">
      <c r="A369" s="294"/>
      <c r="B369" s="305"/>
      <c r="C369" s="306"/>
      <c r="D369" s="306"/>
      <c r="E369" s="48"/>
    </row>
    <row r="370" spans="1:5" x14ac:dyDescent="0.25">
      <c r="A370" s="294"/>
      <c r="B370" s="305"/>
      <c r="C370" s="306"/>
      <c r="D370" s="306"/>
      <c r="E370" s="48"/>
    </row>
    <row r="371" spans="1:5" x14ac:dyDescent="0.25">
      <c r="A371" s="294"/>
      <c r="B371" s="305"/>
      <c r="C371" s="306"/>
      <c r="D371" s="306"/>
      <c r="E371" s="48"/>
    </row>
    <row r="372" spans="1:5" x14ac:dyDescent="0.25">
      <c r="A372" s="294"/>
      <c r="B372" s="305"/>
      <c r="C372" s="306"/>
      <c r="D372" s="306"/>
      <c r="E372" s="48"/>
    </row>
    <row r="373" spans="1:5" x14ac:dyDescent="0.25">
      <c r="A373" s="294"/>
      <c r="B373" s="305"/>
      <c r="C373" s="306"/>
      <c r="D373" s="306"/>
      <c r="E373" s="48"/>
    </row>
  </sheetData>
  <autoFilter ref="A2:H373" xr:uid="{00000000-0001-0000-0300-000000000000}"/>
  <mergeCells count="1">
    <mergeCell ref="A1:E1"/>
  </mergeCells>
  <pageMargins left="0.7" right="0.7" top="0.75" bottom="0.75" header="0.3" footer="0.3"/>
  <pageSetup scale="7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1D9E-1602-4FA7-9939-F0478DB74857}">
  <dimension ref="A1:B23"/>
  <sheetViews>
    <sheetView zoomScaleNormal="100" workbookViewId="0">
      <selection activeCell="J7" sqref="J7"/>
    </sheetView>
  </sheetViews>
  <sheetFormatPr defaultRowHeight="15" x14ac:dyDescent="0.25"/>
  <cols>
    <col min="1" max="1" width="48.7109375" customWidth="1"/>
    <col min="2" max="2" width="44.7109375" customWidth="1"/>
  </cols>
  <sheetData>
    <row r="1" spans="1:2" x14ac:dyDescent="0.25">
      <c r="A1" s="776" t="s">
        <v>11824</v>
      </c>
      <c r="B1" s="777"/>
    </row>
    <row r="2" spans="1:2" x14ac:dyDescent="0.25">
      <c r="A2" s="778"/>
      <c r="B2" s="779"/>
    </row>
    <row r="3" spans="1:2" ht="15.75" thickBot="1" x14ac:dyDescent="0.3">
      <c r="A3" s="780"/>
      <c r="B3" s="781"/>
    </row>
    <row r="4" spans="1:2" ht="57" customHeight="1" x14ac:dyDescent="0.25">
      <c r="A4" s="548" t="s">
        <v>11947</v>
      </c>
      <c r="B4" s="537" t="s">
        <v>11948</v>
      </c>
    </row>
    <row r="5" spans="1:2" ht="74.25" customHeight="1" x14ac:dyDescent="0.5">
      <c r="A5" s="538" t="s">
        <v>11826</v>
      </c>
      <c r="B5" s="537" t="s">
        <v>11949</v>
      </c>
    </row>
    <row r="6" spans="1:2" ht="68.25" customHeight="1" x14ac:dyDescent="0.5">
      <c r="A6" s="538"/>
      <c r="B6" s="574" t="s">
        <v>12102</v>
      </c>
    </row>
    <row r="7" spans="1:2" ht="57" customHeight="1" x14ac:dyDescent="0.25">
      <c r="A7" s="574" t="s">
        <v>12101</v>
      </c>
      <c r="B7" s="574" t="s">
        <v>12103</v>
      </c>
    </row>
    <row r="8" spans="1:2" ht="98.25" customHeight="1" x14ac:dyDescent="0.25">
      <c r="A8" s="537" t="s">
        <v>12006</v>
      </c>
      <c r="B8" s="574" t="s">
        <v>12108</v>
      </c>
    </row>
    <row r="9" spans="1:2" ht="57" customHeight="1" x14ac:dyDescent="0.25">
      <c r="A9" s="537"/>
      <c r="B9" s="574" t="s">
        <v>12104</v>
      </c>
    </row>
    <row r="10" spans="1:2" ht="57" customHeight="1" x14ac:dyDescent="0.25">
      <c r="A10" s="537"/>
      <c r="B10" s="574" t="s">
        <v>12101</v>
      </c>
    </row>
    <row r="11" spans="1:2" ht="57" customHeight="1" x14ac:dyDescent="0.25">
      <c r="A11" s="537"/>
      <c r="B11" s="574"/>
    </row>
    <row r="12" spans="1:2" ht="57" customHeight="1" x14ac:dyDescent="0.5">
      <c r="A12" s="538"/>
      <c r="B12" s="575" t="s">
        <v>12105</v>
      </c>
    </row>
    <row r="13" spans="1:2" ht="57" customHeight="1" x14ac:dyDescent="0.5">
      <c r="A13" s="538"/>
      <c r="B13" s="576" t="s">
        <v>12106</v>
      </c>
    </row>
    <row r="14" spans="1:2" ht="57" customHeight="1" x14ac:dyDescent="0.5">
      <c r="A14" s="538"/>
      <c r="B14" s="575" t="s">
        <v>12107</v>
      </c>
    </row>
    <row r="15" spans="1:2" ht="57" customHeight="1" x14ac:dyDescent="0.25">
      <c r="A15" s="294"/>
      <c r="B15" s="294"/>
    </row>
    <row r="16" spans="1:2" ht="48" customHeight="1" x14ac:dyDescent="0.25">
      <c r="A16" s="294"/>
      <c r="B16" s="294"/>
    </row>
    <row r="17" spans="1:2" ht="48" customHeight="1" x14ac:dyDescent="0.25">
      <c r="A17" s="294"/>
      <c r="B17" s="294"/>
    </row>
    <row r="18" spans="1:2" ht="48" customHeight="1" x14ac:dyDescent="0.25">
      <c r="A18" s="294"/>
      <c r="B18" s="294"/>
    </row>
    <row r="19" spans="1:2" ht="48" customHeight="1" x14ac:dyDescent="0.25">
      <c r="A19" s="294"/>
      <c r="B19" s="294"/>
    </row>
    <row r="20" spans="1:2" ht="48" customHeight="1" x14ac:dyDescent="0.25">
      <c r="A20" s="294"/>
      <c r="B20" s="294"/>
    </row>
    <row r="21" spans="1:2" ht="48" customHeight="1" x14ac:dyDescent="0.25">
      <c r="A21" s="294"/>
      <c r="B21" s="294"/>
    </row>
    <row r="22" spans="1:2" ht="48" customHeight="1" x14ac:dyDescent="0.25">
      <c r="A22" s="294"/>
      <c r="B22" s="294"/>
    </row>
    <row r="23" spans="1:2" ht="48" customHeight="1" x14ac:dyDescent="0.25">
      <c r="A23" s="294"/>
      <c r="B23" s="294"/>
    </row>
  </sheetData>
  <mergeCells count="1">
    <mergeCell ref="A1:B3"/>
  </mergeCells>
  <printOptions horizontalCentered="1"/>
  <pageMargins left="0" right="0" top="0" bottom="0" header="0.3" footer="0.3"/>
  <pageSetup paperSize="9"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5702-8881-47D6-9869-C0270F126A8B}">
  <dimension ref="B2:C15"/>
  <sheetViews>
    <sheetView workbookViewId="0">
      <selection activeCell="C28" sqref="C28"/>
    </sheetView>
  </sheetViews>
  <sheetFormatPr defaultRowHeight="15" x14ac:dyDescent="0.25"/>
  <cols>
    <col min="2" max="2" width="46.28515625" customWidth="1"/>
    <col min="3" max="3" width="20.7109375" customWidth="1"/>
  </cols>
  <sheetData>
    <row r="2" spans="2:3" ht="23.25" x14ac:dyDescent="0.35">
      <c r="B2" s="782" t="s">
        <v>12293</v>
      </c>
      <c r="C2" s="782"/>
    </row>
    <row r="3" spans="2:3" ht="18.75" x14ac:dyDescent="0.3">
      <c r="B3" s="594" t="s">
        <v>12094</v>
      </c>
      <c r="C3" s="595">
        <v>130436</v>
      </c>
    </row>
    <row r="4" spans="2:3" ht="18.75" x14ac:dyDescent="0.3">
      <c r="B4" s="594" t="s">
        <v>12092</v>
      </c>
      <c r="C4" s="595">
        <v>35755</v>
      </c>
    </row>
    <row r="5" spans="2:3" ht="18.75" x14ac:dyDescent="0.3">
      <c r="B5" s="594" t="s">
        <v>12231</v>
      </c>
      <c r="C5" s="595">
        <v>228360</v>
      </c>
    </row>
    <row r="6" spans="2:3" ht="18.75" x14ac:dyDescent="0.3">
      <c r="B6" s="594" t="s">
        <v>12290</v>
      </c>
      <c r="C6" s="595">
        <v>82636</v>
      </c>
    </row>
    <row r="7" spans="2:3" ht="18.75" x14ac:dyDescent="0.3">
      <c r="B7" s="594" t="s">
        <v>12088</v>
      </c>
      <c r="C7" s="595">
        <v>752292</v>
      </c>
    </row>
    <row r="8" spans="2:3" ht="18.75" x14ac:dyDescent="0.3">
      <c r="B8" s="594" t="s">
        <v>12291</v>
      </c>
      <c r="C8" s="595">
        <v>1119388</v>
      </c>
    </row>
    <row r="9" spans="2:3" ht="18.75" x14ac:dyDescent="0.3">
      <c r="B9" s="594" t="s">
        <v>12089</v>
      </c>
      <c r="C9" s="595">
        <v>1443878</v>
      </c>
    </row>
    <row r="10" spans="2:3" ht="18.75" x14ac:dyDescent="0.3">
      <c r="B10" s="594" t="s">
        <v>12087</v>
      </c>
      <c r="C10" s="595">
        <v>4316090</v>
      </c>
    </row>
    <row r="11" spans="2:3" ht="18.75" x14ac:dyDescent="0.3">
      <c r="B11" s="594" t="s">
        <v>12292</v>
      </c>
      <c r="C11" s="595">
        <v>235504</v>
      </c>
    </row>
    <row r="12" spans="2:3" ht="18.75" x14ac:dyDescent="0.3">
      <c r="B12" s="186"/>
      <c r="C12" s="596">
        <f>SUM(C3:C11)</f>
        <v>8344339</v>
      </c>
    </row>
    <row r="13" spans="2:3" ht="18.75" x14ac:dyDescent="0.3">
      <c r="B13" s="594" t="s">
        <v>12295</v>
      </c>
      <c r="C13" s="595">
        <v>500000</v>
      </c>
    </row>
    <row r="14" spans="2:3" ht="18.75" x14ac:dyDescent="0.3">
      <c r="B14" s="594" t="s">
        <v>12296</v>
      </c>
      <c r="C14" s="595">
        <v>800000</v>
      </c>
    </row>
    <row r="15" spans="2:3" ht="18.75" x14ac:dyDescent="0.3">
      <c r="B15" s="594" t="s">
        <v>12294</v>
      </c>
      <c r="C15" s="597">
        <f>C12-C13-C14</f>
        <v>7044339</v>
      </c>
    </row>
  </sheetData>
  <mergeCells count="1">
    <mergeCell ref="B2:C2"/>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P9541"/>
  <sheetViews>
    <sheetView showGridLines="0" tabSelected="1" zoomScale="90" zoomScaleNormal="90" zoomScaleSheetLayoutView="110" workbookViewId="0">
      <pane ySplit="1" topLeftCell="A8980" activePane="bottomLeft" state="frozen"/>
      <selection activeCell="D6707" sqref="D6707"/>
      <selection pane="bottomLeft" activeCell="F9002" sqref="F9002"/>
    </sheetView>
  </sheetViews>
  <sheetFormatPr defaultColWidth="8.85546875" defaultRowHeight="18.75" x14ac:dyDescent="0.3"/>
  <cols>
    <col min="1" max="1" width="14.42578125" style="4" customWidth="1"/>
    <col min="2" max="2" width="30" style="344" customWidth="1"/>
    <col min="3" max="3" width="22.140625" style="4" customWidth="1"/>
    <col min="4" max="4" width="60.42578125" style="4" customWidth="1"/>
    <col min="5" max="5" width="16.42578125" style="52" customWidth="1"/>
    <col min="6" max="6" width="15.7109375" style="52" customWidth="1"/>
    <col min="7" max="7" width="15.42578125" style="52" customWidth="1"/>
    <col min="8" max="8" width="16.42578125" style="392" customWidth="1"/>
    <col min="9" max="9" width="26.42578125" style="52" customWidth="1"/>
    <col min="10" max="10" width="16.7109375" style="52" customWidth="1"/>
    <col min="11" max="11" width="16.140625" style="52" customWidth="1"/>
    <col min="12" max="12" width="14.140625" style="4" customWidth="1"/>
    <col min="13" max="13" width="17.5703125" style="4" customWidth="1"/>
    <col min="14" max="14" width="18.28515625" style="52" bestFit="1" customWidth="1"/>
    <col min="15" max="15" width="19.5703125" style="4" customWidth="1"/>
    <col min="16" max="16384" width="8.85546875" style="4"/>
  </cols>
  <sheetData>
    <row r="1" spans="1:8" ht="42" x14ac:dyDescent="0.3">
      <c r="A1" s="570" t="s">
        <v>1</v>
      </c>
      <c r="B1" s="571" t="s">
        <v>9874</v>
      </c>
      <c r="C1" s="571" t="s">
        <v>337</v>
      </c>
      <c r="D1" s="571" t="s">
        <v>3</v>
      </c>
      <c r="E1" s="572" t="s">
        <v>336</v>
      </c>
      <c r="F1" s="572" t="s">
        <v>357</v>
      </c>
      <c r="G1" s="573" t="s">
        <v>356</v>
      </c>
      <c r="H1" s="393" t="s">
        <v>9569</v>
      </c>
    </row>
    <row r="2" spans="1:8" x14ac:dyDescent="0.3">
      <c r="A2" s="45">
        <v>43832</v>
      </c>
      <c r="B2" s="580"/>
      <c r="C2" s="554" t="s">
        <v>4329</v>
      </c>
      <c r="D2" s="554"/>
      <c r="E2" s="554"/>
      <c r="F2" s="43">
        <v>50000</v>
      </c>
      <c r="G2" s="364"/>
      <c r="H2" s="391" t="s">
        <v>9568</v>
      </c>
    </row>
    <row r="3" spans="1:8" x14ac:dyDescent="0.3">
      <c r="A3" s="45">
        <v>43832</v>
      </c>
      <c r="B3" s="399"/>
      <c r="C3" s="5" t="s">
        <v>2594</v>
      </c>
      <c r="D3" s="5" t="s">
        <v>4615</v>
      </c>
      <c r="E3" s="43">
        <v>5050</v>
      </c>
      <c r="F3" s="43"/>
      <c r="G3" s="364"/>
      <c r="H3" s="391" t="s">
        <v>9568</v>
      </c>
    </row>
    <row r="4" spans="1:8" x14ac:dyDescent="0.3">
      <c r="A4" s="45">
        <v>43832</v>
      </c>
      <c r="B4" s="399"/>
      <c r="C4" s="5" t="s">
        <v>10</v>
      </c>
      <c r="D4" s="5" t="s">
        <v>5702</v>
      </c>
      <c r="E4" s="43">
        <v>4000</v>
      </c>
      <c r="F4" s="43"/>
      <c r="G4" s="364"/>
      <c r="H4" s="391" t="s">
        <v>9568</v>
      </c>
    </row>
    <row r="5" spans="1:8" x14ac:dyDescent="0.3">
      <c r="A5" s="45">
        <v>43832</v>
      </c>
      <c r="B5" s="399"/>
      <c r="C5" s="5" t="s">
        <v>84</v>
      </c>
      <c r="D5" s="5" t="s">
        <v>5703</v>
      </c>
      <c r="E5" s="43">
        <v>1000</v>
      </c>
      <c r="F5" s="43"/>
      <c r="G5" s="364"/>
      <c r="H5" s="391" t="s">
        <v>9568</v>
      </c>
    </row>
    <row r="6" spans="1:8" x14ac:dyDescent="0.3">
      <c r="A6" s="45">
        <v>43832</v>
      </c>
      <c r="B6" s="399"/>
      <c r="C6" s="5" t="s">
        <v>110</v>
      </c>
      <c r="D6" s="5" t="s">
        <v>3172</v>
      </c>
      <c r="E6" s="43">
        <v>12000</v>
      </c>
      <c r="F6" s="43"/>
      <c r="G6" s="364"/>
      <c r="H6" s="391" t="s">
        <v>9568</v>
      </c>
    </row>
    <row r="7" spans="1:8" x14ac:dyDescent="0.3">
      <c r="A7" s="45">
        <v>43833</v>
      </c>
      <c r="B7" s="399"/>
      <c r="C7" s="5" t="s">
        <v>1512</v>
      </c>
      <c r="D7" s="5" t="s">
        <v>5671</v>
      </c>
      <c r="E7" s="43">
        <v>5000</v>
      </c>
      <c r="F7" s="43"/>
      <c r="G7" s="364"/>
      <c r="H7" s="391" t="s">
        <v>9568</v>
      </c>
    </row>
    <row r="8" spans="1:8" x14ac:dyDescent="0.3">
      <c r="A8" s="45">
        <v>43833</v>
      </c>
      <c r="B8" s="399"/>
      <c r="C8" s="5" t="s">
        <v>995</v>
      </c>
      <c r="D8" s="5" t="s">
        <v>5704</v>
      </c>
      <c r="E8" s="385" t="s">
        <v>9463</v>
      </c>
      <c r="F8" s="43"/>
      <c r="G8" s="364"/>
      <c r="H8" s="391" t="s">
        <v>9568</v>
      </c>
    </row>
    <row r="9" spans="1:8" x14ac:dyDescent="0.3">
      <c r="A9" s="45">
        <v>43833</v>
      </c>
      <c r="B9" s="399"/>
      <c r="C9" s="5" t="s">
        <v>25</v>
      </c>
      <c r="D9" s="5" t="s">
        <v>5705</v>
      </c>
      <c r="E9" s="43">
        <v>400</v>
      </c>
      <c r="F9" s="43"/>
      <c r="G9" s="364"/>
      <c r="H9" s="391" t="s">
        <v>9568</v>
      </c>
    </row>
    <row r="10" spans="1:8" x14ac:dyDescent="0.3">
      <c r="A10" s="45">
        <v>43834</v>
      </c>
      <c r="B10" s="399"/>
      <c r="C10" s="5" t="s">
        <v>25</v>
      </c>
      <c r="D10" s="41" t="s">
        <v>5706</v>
      </c>
      <c r="E10" s="42">
        <v>1500</v>
      </c>
      <c r="F10" s="43"/>
      <c r="G10" s="364"/>
      <c r="H10" s="391" t="s">
        <v>9568</v>
      </c>
    </row>
    <row r="11" spans="1:8" x14ac:dyDescent="0.3">
      <c r="A11" s="45">
        <v>43834</v>
      </c>
      <c r="B11" s="399"/>
      <c r="C11" s="5" t="s">
        <v>2594</v>
      </c>
      <c r="D11" s="5" t="s">
        <v>3143</v>
      </c>
      <c r="E11" s="43">
        <v>16082</v>
      </c>
      <c r="F11" s="43"/>
      <c r="G11" s="364"/>
      <c r="H11" s="391" t="s">
        <v>9568</v>
      </c>
    </row>
    <row r="12" spans="1:8" x14ac:dyDescent="0.3">
      <c r="A12" s="45">
        <v>43834</v>
      </c>
      <c r="B12" s="399"/>
      <c r="C12" s="5" t="s">
        <v>2594</v>
      </c>
      <c r="D12" s="73" t="s">
        <v>5707</v>
      </c>
      <c r="E12" s="183">
        <v>3250</v>
      </c>
      <c r="F12" s="43"/>
      <c r="G12" s="364"/>
      <c r="H12" s="391" t="s">
        <v>9568</v>
      </c>
    </row>
    <row r="13" spans="1:8" x14ac:dyDescent="0.3">
      <c r="A13" s="45">
        <v>43834</v>
      </c>
      <c r="B13" s="399"/>
      <c r="C13" s="5" t="s">
        <v>84</v>
      </c>
      <c r="D13" s="5" t="s">
        <v>5681</v>
      </c>
      <c r="E13" s="43">
        <v>450</v>
      </c>
      <c r="F13" s="43"/>
      <c r="G13" s="364"/>
      <c r="H13" s="391" t="s">
        <v>9568</v>
      </c>
    </row>
    <row r="14" spans="1:8" x14ac:dyDescent="0.3">
      <c r="A14" s="45">
        <v>43834</v>
      </c>
      <c r="B14" s="399"/>
      <c r="C14" s="5" t="s">
        <v>84</v>
      </c>
      <c r="D14" s="5" t="s">
        <v>5696</v>
      </c>
      <c r="E14" s="43">
        <v>1000</v>
      </c>
      <c r="F14" s="43"/>
      <c r="G14" s="364"/>
      <c r="H14" s="391" t="s">
        <v>9568</v>
      </c>
    </row>
    <row r="15" spans="1:8" x14ac:dyDescent="0.3">
      <c r="A15" s="45">
        <v>43837</v>
      </c>
      <c r="B15" s="399"/>
      <c r="C15" s="5" t="s">
        <v>25</v>
      </c>
      <c r="D15" s="5" t="s">
        <v>3372</v>
      </c>
      <c r="E15" s="43">
        <v>1000</v>
      </c>
      <c r="F15" s="43"/>
      <c r="G15" s="364"/>
      <c r="H15" s="391" t="s">
        <v>9568</v>
      </c>
    </row>
    <row r="16" spans="1:8" x14ac:dyDescent="0.3">
      <c r="A16" s="45">
        <v>43837</v>
      </c>
      <c r="B16" s="399"/>
      <c r="C16" s="5" t="s">
        <v>2594</v>
      </c>
      <c r="D16" s="41" t="s">
        <v>294</v>
      </c>
      <c r="E16" s="42">
        <v>250</v>
      </c>
      <c r="F16" s="43"/>
      <c r="G16" s="364"/>
      <c r="H16" s="391" t="s">
        <v>9568</v>
      </c>
    </row>
    <row r="17" spans="1:13" x14ac:dyDescent="0.3">
      <c r="A17" s="45">
        <v>43837</v>
      </c>
      <c r="B17" s="399"/>
      <c r="C17" s="5" t="s">
        <v>25</v>
      </c>
      <c r="D17" s="5" t="s">
        <v>5714</v>
      </c>
      <c r="E17" s="43">
        <f>280+220+50+170+280+290+270+160+130</f>
        <v>1850</v>
      </c>
      <c r="F17" s="43"/>
      <c r="G17" s="364"/>
      <c r="H17" s="391" t="s">
        <v>9568</v>
      </c>
    </row>
    <row r="18" spans="1:13" x14ac:dyDescent="0.3">
      <c r="A18" s="45">
        <v>43837</v>
      </c>
      <c r="B18" s="580"/>
      <c r="C18" s="554" t="s">
        <v>5672</v>
      </c>
      <c r="D18" s="554"/>
      <c r="E18" s="554"/>
      <c r="F18" s="43">
        <v>750000</v>
      </c>
      <c r="G18" s="364"/>
      <c r="H18" s="391" t="s">
        <v>9568</v>
      </c>
      <c r="L18" s="52"/>
      <c r="M18" s="52"/>
    </row>
    <row r="19" spans="1:13" x14ac:dyDescent="0.3">
      <c r="A19" s="45">
        <v>43837</v>
      </c>
      <c r="B19" s="580"/>
      <c r="C19" s="554" t="s">
        <v>5672</v>
      </c>
      <c r="D19" s="554"/>
      <c r="E19" s="554"/>
      <c r="F19" s="43">
        <v>200000</v>
      </c>
      <c r="G19" s="364"/>
      <c r="H19" s="391" t="s">
        <v>9568</v>
      </c>
      <c r="L19" s="52"/>
      <c r="M19" s="52"/>
    </row>
    <row r="20" spans="1:13" x14ac:dyDescent="0.3">
      <c r="A20" s="45">
        <v>43837</v>
      </c>
      <c r="B20" s="580"/>
      <c r="C20" s="554" t="s">
        <v>5672</v>
      </c>
      <c r="D20" s="554"/>
      <c r="E20" s="554"/>
      <c r="F20" s="43">
        <v>496000</v>
      </c>
      <c r="G20" s="364"/>
      <c r="H20" s="391" t="s">
        <v>9568</v>
      </c>
      <c r="L20" s="52"/>
      <c r="M20" s="52"/>
    </row>
    <row r="21" spans="1:13" x14ac:dyDescent="0.3">
      <c r="A21" s="45">
        <v>43837</v>
      </c>
      <c r="B21" s="580"/>
      <c r="C21" s="554" t="s">
        <v>4329</v>
      </c>
      <c r="D21" s="554"/>
      <c r="E21" s="554"/>
      <c r="F21" s="43">
        <v>150000</v>
      </c>
      <c r="G21" s="364"/>
      <c r="H21" s="391" t="s">
        <v>9568</v>
      </c>
    </row>
    <row r="22" spans="1:13" x14ac:dyDescent="0.3">
      <c r="A22" s="45">
        <v>43839</v>
      </c>
      <c r="B22" s="399"/>
      <c r="C22" s="5" t="s">
        <v>4869</v>
      </c>
      <c r="D22" s="5" t="s">
        <v>40</v>
      </c>
      <c r="E22" s="43">
        <v>4200</v>
      </c>
      <c r="F22" s="43"/>
      <c r="G22" s="364"/>
      <c r="H22" s="391" t="s">
        <v>9568</v>
      </c>
    </row>
    <row r="23" spans="1:13" x14ac:dyDescent="0.3">
      <c r="A23" s="45">
        <v>43839</v>
      </c>
      <c r="B23" s="399"/>
      <c r="C23" s="5" t="s">
        <v>4552</v>
      </c>
      <c r="D23" s="5" t="s">
        <v>294</v>
      </c>
      <c r="E23" s="43">
        <v>5000</v>
      </c>
      <c r="F23" s="43"/>
      <c r="G23" s="364"/>
      <c r="H23" s="391" t="s">
        <v>9568</v>
      </c>
    </row>
    <row r="24" spans="1:13" x14ac:dyDescent="0.3">
      <c r="A24" s="45">
        <v>43839</v>
      </c>
      <c r="B24" s="399"/>
      <c r="C24" s="5" t="s">
        <v>4552</v>
      </c>
      <c r="D24" s="5" t="s">
        <v>294</v>
      </c>
      <c r="E24" s="43">
        <v>10000</v>
      </c>
      <c r="F24" s="43"/>
      <c r="G24" s="364"/>
      <c r="H24" s="391" t="s">
        <v>9568</v>
      </c>
    </row>
    <row r="25" spans="1:13" x14ac:dyDescent="0.3">
      <c r="A25" s="45">
        <v>43841</v>
      </c>
      <c r="B25" s="399"/>
      <c r="C25" s="5" t="s">
        <v>4308</v>
      </c>
      <c r="D25" s="5" t="s">
        <v>40</v>
      </c>
      <c r="E25" s="43">
        <v>20000</v>
      </c>
      <c r="F25" s="43"/>
      <c r="G25" s="364"/>
      <c r="H25" s="391" t="s">
        <v>9568</v>
      </c>
    </row>
    <row r="26" spans="1:13" x14ac:dyDescent="0.3">
      <c r="A26" s="45">
        <v>43841</v>
      </c>
      <c r="B26" s="399"/>
      <c r="C26" s="5" t="s">
        <v>1512</v>
      </c>
      <c r="D26" s="5" t="s">
        <v>5708</v>
      </c>
      <c r="E26" s="43">
        <v>300</v>
      </c>
      <c r="F26" s="43"/>
      <c r="G26" s="364"/>
      <c r="H26" s="391" t="s">
        <v>9568</v>
      </c>
    </row>
    <row r="27" spans="1:13" x14ac:dyDescent="0.3">
      <c r="A27" s="45">
        <v>43841</v>
      </c>
      <c r="B27" s="399"/>
      <c r="C27" s="5" t="s">
        <v>2594</v>
      </c>
      <c r="D27" s="5" t="s">
        <v>4192</v>
      </c>
      <c r="E27" s="43">
        <v>20000</v>
      </c>
      <c r="F27" s="43"/>
      <c r="G27" s="364"/>
      <c r="H27" s="391" t="s">
        <v>9568</v>
      </c>
    </row>
    <row r="28" spans="1:13" x14ac:dyDescent="0.3">
      <c r="A28" s="45">
        <v>43841</v>
      </c>
      <c r="B28" s="399"/>
      <c r="C28" s="5" t="s">
        <v>5709</v>
      </c>
      <c r="D28" s="5" t="s">
        <v>5710</v>
      </c>
      <c r="E28" s="43">
        <v>10000</v>
      </c>
      <c r="F28" s="43"/>
      <c r="G28" s="364"/>
      <c r="H28" s="391" t="s">
        <v>9568</v>
      </c>
    </row>
    <row r="29" spans="1:13" x14ac:dyDescent="0.3">
      <c r="A29" s="45">
        <v>43841</v>
      </c>
      <c r="B29" s="399"/>
      <c r="C29" s="5" t="s">
        <v>4246</v>
      </c>
      <c r="D29" s="5" t="s">
        <v>5711</v>
      </c>
      <c r="E29" s="43">
        <v>5000</v>
      </c>
      <c r="F29" s="43"/>
      <c r="G29" s="364"/>
      <c r="H29" s="391" t="s">
        <v>9568</v>
      </c>
    </row>
    <row r="30" spans="1:13" x14ac:dyDescent="0.3">
      <c r="A30" s="45">
        <v>43841</v>
      </c>
      <c r="B30" s="399"/>
      <c r="C30" s="5" t="s">
        <v>54</v>
      </c>
      <c r="D30" s="5" t="s">
        <v>5712</v>
      </c>
      <c r="E30" s="43">
        <v>1447198</v>
      </c>
      <c r="F30" s="43"/>
      <c r="G30" s="364"/>
      <c r="H30" s="391" t="s">
        <v>9568</v>
      </c>
    </row>
    <row r="31" spans="1:13" x14ac:dyDescent="0.3">
      <c r="A31" s="45">
        <v>43841</v>
      </c>
      <c r="B31" s="399"/>
      <c r="C31" s="5" t="s">
        <v>25</v>
      </c>
      <c r="D31" s="5" t="s">
        <v>5713</v>
      </c>
      <c r="E31" s="43">
        <v>23625</v>
      </c>
      <c r="F31" s="43"/>
      <c r="G31" s="364"/>
      <c r="H31" s="391" t="s">
        <v>9568</v>
      </c>
    </row>
    <row r="32" spans="1:13" x14ac:dyDescent="0.3">
      <c r="A32" s="45">
        <v>43843</v>
      </c>
      <c r="B32" s="399"/>
      <c r="C32" s="5" t="s">
        <v>3546</v>
      </c>
      <c r="D32" s="5" t="s">
        <v>438</v>
      </c>
      <c r="E32" s="43">
        <v>14100</v>
      </c>
      <c r="F32" s="43"/>
      <c r="G32" s="364"/>
      <c r="H32" s="391" t="s">
        <v>9568</v>
      </c>
    </row>
    <row r="33" spans="1:13" x14ac:dyDescent="0.3">
      <c r="A33" s="45">
        <v>43843</v>
      </c>
      <c r="B33" s="399"/>
      <c r="C33" s="5" t="s">
        <v>2594</v>
      </c>
      <c r="D33" s="5" t="s">
        <v>5715</v>
      </c>
      <c r="E33" s="43">
        <v>870</v>
      </c>
      <c r="F33" s="43"/>
      <c r="G33" s="364"/>
      <c r="H33" s="391" t="s">
        <v>9568</v>
      </c>
    </row>
    <row r="34" spans="1:13" x14ac:dyDescent="0.3">
      <c r="A34" s="45">
        <v>43844</v>
      </c>
      <c r="B34" s="399"/>
      <c r="C34" s="5" t="s">
        <v>2594</v>
      </c>
      <c r="D34" s="5" t="s">
        <v>5716</v>
      </c>
      <c r="E34" s="43">
        <v>7008</v>
      </c>
      <c r="F34" s="43"/>
      <c r="G34" s="364"/>
      <c r="H34" s="391" t="s">
        <v>9568</v>
      </c>
    </row>
    <row r="35" spans="1:13" x14ac:dyDescent="0.3">
      <c r="A35" s="45">
        <v>43844</v>
      </c>
      <c r="B35" s="399"/>
      <c r="C35" s="5" t="s">
        <v>4550</v>
      </c>
      <c r="D35" s="5" t="s">
        <v>5722</v>
      </c>
      <c r="E35" s="43">
        <v>5000</v>
      </c>
      <c r="F35" s="43"/>
      <c r="G35" s="364"/>
      <c r="H35" s="391" t="s">
        <v>9568</v>
      </c>
    </row>
    <row r="36" spans="1:13" x14ac:dyDescent="0.3">
      <c r="A36" s="45">
        <v>43845</v>
      </c>
      <c r="B36" s="399"/>
      <c r="C36" s="5" t="s">
        <v>14</v>
      </c>
      <c r="D36" s="5" t="s">
        <v>294</v>
      </c>
      <c r="E36" s="43">
        <v>5000</v>
      </c>
      <c r="F36" s="43"/>
      <c r="G36" s="364"/>
      <c r="H36" s="391" t="s">
        <v>9568</v>
      </c>
    </row>
    <row r="37" spans="1:13" x14ac:dyDescent="0.3">
      <c r="A37" s="45">
        <v>43845</v>
      </c>
      <c r="B37" s="580"/>
      <c r="C37" s="554" t="s">
        <v>5717</v>
      </c>
      <c r="D37" s="554"/>
      <c r="E37" s="554"/>
      <c r="F37" s="43">
        <v>8000</v>
      </c>
      <c r="G37" s="364"/>
      <c r="H37" s="391" t="s">
        <v>9568</v>
      </c>
      <c r="L37" s="52"/>
      <c r="M37" s="52"/>
    </row>
    <row r="38" spans="1:13" x14ac:dyDescent="0.3">
      <c r="A38" s="45">
        <v>43845</v>
      </c>
      <c r="B38" s="401"/>
      <c r="C38" s="73" t="s">
        <v>2594</v>
      </c>
      <c r="D38" s="73" t="s">
        <v>2544</v>
      </c>
      <c r="E38" s="183">
        <v>8422</v>
      </c>
      <c r="F38" s="43"/>
      <c r="G38" s="364"/>
      <c r="H38" s="391" t="s">
        <v>9568</v>
      </c>
    </row>
    <row r="39" spans="1:13" x14ac:dyDescent="0.3">
      <c r="A39" s="45">
        <v>43845</v>
      </c>
      <c r="B39" s="401"/>
      <c r="C39" s="73" t="s">
        <v>1787</v>
      </c>
      <c r="D39" s="73" t="s">
        <v>40</v>
      </c>
      <c r="E39" s="183">
        <v>3000</v>
      </c>
      <c r="F39" s="43"/>
      <c r="G39" s="364"/>
      <c r="H39" s="391" t="s">
        <v>9568</v>
      </c>
    </row>
    <row r="40" spans="1:13" x14ac:dyDescent="0.3">
      <c r="A40" s="45">
        <v>43846</v>
      </c>
      <c r="B40" s="401"/>
      <c r="C40" s="73" t="s">
        <v>2594</v>
      </c>
      <c r="D40" s="73" t="s">
        <v>2544</v>
      </c>
      <c r="E40" s="183">
        <v>8900</v>
      </c>
      <c r="F40" s="43"/>
      <c r="G40" s="364"/>
      <c r="H40" s="391" t="s">
        <v>9568</v>
      </c>
    </row>
    <row r="41" spans="1:13" x14ac:dyDescent="0.3">
      <c r="A41" s="45">
        <v>43846</v>
      </c>
      <c r="B41" s="580"/>
      <c r="C41" s="554" t="s">
        <v>5672</v>
      </c>
      <c r="D41" s="554"/>
      <c r="E41" s="554"/>
      <c r="F41" s="43">
        <v>100000</v>
      </c>
      <c r="G41" s="364"/>
      <c r="H41" s="391" t="s">
        <v>9568</v>
      </c>
      <c r="L41" s="52"/>
      <c r="M41" s="52"/>
    </row>
    <row r="42" spans="1:13" x14ac:dyDescent="0.3">
      <c r="A42" s="45">
        <v>43846</v>
      </c>
      <c r="B42" s="399"/>
      <c r="C42" s="5" t="s">
        <v>14</v>
      </c>
      <c r="D42" s="5" t="s">
        <v>294</v>
      </c>
      <c r="E42" s="43">
        <v>30000</v>
      </c>
      <c r="F42" s="43"/>
      <c r="G42" s="364"/>
      <c r="H42" s="391" t="s">
        <v>9568</v>
      </c>
    </row>
    <row r="43" spans="1:13" x14ac:dyDescent="0.3">
      <c r="A43" s="45">
        <v>43846</v>
      </c>
      <c r="B43" s="399"/>
      <c r="C43" s="5" t="s">
        <v>5718</v>
      </c>
      <c r="D43" s="5" t="s">
        <v>40</v>
      </c>
      <c r="E43" s="43">
        <v>70000</v>
      </c>
      <c r="F43" s="43"/>
      <c r="G43" s="364"/>
      <c r="H43" s="391" t="s">
        <v>9568</v>
      </c>
    </row>
    <row r="44" spans="1:13" x14ac:dyDescent="0.3">
      <c r="A44" s="45">
        <v>43848</v>
      </c>
      <c r="B44" s="399"/>
      <c r="C44" s="5" t="s">
        <v>93</v>
      </c>
      <c r="D44" s="5" t="s">
        <v>5719</v>
      </c>
      <c r="E44" s="43">
        <v>2000</v>
      </c>
      <c r="F44" s="43"/>
      <c r="G44" s="364"/>
      <c r="H44" s="391" t="s">
        <v>9568</v>
      </c>
    </row>
    <row r="45" spans="1:13" x14ac:dyDescent="0.3">
      <c r="A45" s="45">
        <v>43851</v>
      </c>
      <c r="B45" s="399"/>
      <c r="C45" s="5" t="s">
        <v>25</v>
      </c>
      <c r="D45" s="5" t="s">
        <v>5723</v>
      </c>
      <c r="E45" s="43">
        <f>280+280+30+220+90+130+240+60+170+170+240+260+1000+170+200</f>
        <v>3540</v>
      </c>
      <c r="F45" s="43"/>
      <c r="G45" s="364"/>
      <c r="H45" s="391" t="s">
        <v>9568</v>
      </c>
    </row>
    <row r="46" spans="1:13" x14ac:dyDescent="0.3">
      <c r="A46" s="45">
        <v>43852</v>
      </c>
      <c r="B46" s="580"/>
      <c r="C46" s="554" t="s">
        <v>5672</v>
      </c>
      <c r="D46" s="554"/>
      <c r="E46" s="554"/>
      <c r="F46" s="43">
        <v>100000</v>
      </c>
      <c r="G46" s="364"/>
      <c r="H46" s="391" t="s">
        <v>9568</v>
      </c>
      <c r="L46" s="52"/>
      <c r="M46" s="52"/>
    </row>
    <row r="47" spans="1:13" x14ac:dyDescent="0.3">
      <c r="A47" s="45">
        <v>43852</v>
      </c>
      <c r="B47" s="399"/>
      <c r="C47" s="5" t="s">
        <v>2594</v>
      </c>
      <c r="D47" s="5" t="s">
        <v>5724</v>
      </c>
      <c r="E47" s="43">
        <v>9750</v>
      </c>
      <c r="F47" s="43"/>
      <c r="G47" s="364"/>
      <c r="H47" s="391" t="s">
        <v>9568</v>
      </c>
    </row>
    <row r="48" spans="1:13" x14ac:dyDescent="0.3">
      <c r="A48" s="45">
        <v>43852</v>
      </c>
      <c r="B48" s="399"/>
      <c r="C48" s="5" t="s">
        <v>1074</v>
      </c>
      <c r="D48" s="5" t="s">
        <v>5725</v>
      </c>
      <c r="E48" s="43">
        <v>24088</v>
      </c>
      <c r="F48" s="43"/>
      <c r="G48" s="364"/>
      <c r="H48" s="391" t="s">
        <v>9568</v>
      </c>
    </row>
    <row r="49" spans="1:13" x14ac:dyDescent="0.3">
      <c r="A49" s="45">
        <v>43852</v>
      </c>
      <c r="B49" s="399"/>
      <c r="C49" s="5" t="s">
        <v>84</v>
      </c>
      <c r="D49" s="5" t="s">
        <v>5726</v>
      </c>
      <c r="E49" s="43">
        <v>3000</v>
      </c>
      <c r="F49" s="43"/>
      <c r="G49" s="364"/>
      <c r="H49" s="391" t="s">
        <v>9568</v>
      </c>
    </row>
    <row r="50" spans="1:13" x14ac:dyDescent="0.3">
      <c r="A50" s="45">
        <v>43852</v>
      </c>
      <c r="B50" s="399"/>
      <c r="C50" s="5" t="s">
        <v>0</v>
      </c>
      <c r="D50" s="5" t="s">
        <v>5727</v>
      </c>
      <c r="E50" s="43">
        <v>5000</v>
      </c>
      <c r="F50" s="43"/>
      <c r="G50" s="364"/>
      <c r="H50" s="391" t="s">
        <v>9568</v>
      </c>
    </row>
    <row r="51" spans="1:13" x14ac:dyDescent="0.3">
      <c r="A51" s="45">
        <v>43852</v>
      </c>
      <c r="B51" s="399"/>
      <c r="C51" s="5" t="s">
        <v>25</v>
      </c>
      <c r="D51" s="5" t="s">
        <v>5738</v>
      </c>
      <c r="E51" s="43">
        <v>450</v>
      </c>
      <c r="F51" s="43"/>
      <c r="G51" s="364"/>
      <c r="H51" s="391" t="s">
        <v>9568</v>
      </c>
    </row>
    <row r="52" spans="1:13" x14ac:dyDescent="0.3">
      <c r="A52" s="45">
        <v>43852</v>
      </c>
      <c r="B52" s="399"/>
      <c r="C52" s="5" t="s">
        <v>5709</v>
      </c>
      <c r="D52" s="5" t="s">
        <v>5728</v>
      </c>
      <c r="E52" s="43">
        <v>1730</v>
      </c>
      <c r="F52" s="43"/>
      <c r="G52" s="364"/>
      <c r="H52" s="391" t="s">
        <v>9568</v>
      </c>
    </row>
    <row r="53" spans="1:13" x14ac:dyDescent="0.3">
      <c r="A53" s="45">
        <v>43852</v>
      </c>
      <c r="B53" s="399"/>
      <c r="C53" s="5" t="s">
        <v>5709</v>
      </c>
      <c r="D53" s="5" t="s">
        <v>4187</v>
      </c>
      <c r="E53" s="43">
        <v>1000</v>
      </c>
      <c r="F53" s="43"/>
      <c r="G53" s="364"/>
      <c r="H53" s="391" t="s">
        <v>9568</v>
      </c>
    </row>
    <row r="54" spans="1:13" x14ac:dyDescent="0.3">
      <c r="A54" s="45">
        <v>43853</v>
      </c>
      <c r="B54" s="399"/>
      <c r="C54" s="5" t="s">
        <v>2594</v>
      </c>
      <c r="D54" s="41" t="s">
        <v>5732</v>
      </c>
      <c r="E54" s="42">
        <v>5000</v>
      </c>
      <c r="F54" s="43"/>
      <c r="G54" s="364"/>
      <c r="H54" s="391" t="s">
        <v>9568</v>
      </c>
    </row>
    <row r="55" spans="1:13" x14ac:dyDescent="0.3">
      <c r="A55" s="45">
        <v>43853</v>
      </c>
      <c r="B55" s="399"/>
      <c r="C55" s="5" t="s">
        <v>25</v>
      </c>
      <c r="D55" s="5" t="s">
        <v>5729</v>
      </c>
      <c r="E55" s="43">
        <v>3670</v>
      </c>
      <c r="F55" s="43"/>
      <c r="G55" s="364"/>
      <c r="H55" s="391" t="s">
        <v>9568</v>
      </c>
    </row>
    <row r="56" spans="1:13" x14ac:dyDescent="0.3">
      <c r="A56" s="45">
        <v>43853</v>
      </c>
      <c r="B56" s="399"/>
      <c r="C56" s="5" t="s">
        <v>14</v>
      </c>
      <c r="D56" s="5" t="s">
        <v>5730</v>
      </c>
      <c r="E56" s="43">
        <v>3281</v>
      </c>
      <c r="F56" s="43"/>
      <c r="G56" s="364"/>
      <c r="H56" s="391" t="s">
        <v>9568</v>
      </c>
    </row>
    <row r="57" spans="1:13" x14ac:dyDescent="0.3">
      <c r="A57" s="45">
        <v>43853</v>
      </c>
      <c r="B57" s="399"/>
      <c r="C57" s="5" t="s">
        <v>3559</v>
      </c>
      <c r="D57" s="5" t="s">
        <v>91</v>
      </c>
      <c r="E57" s="43">
        <v>650</v>
      </c>
      <c r="F57" s="43"/>
      <c r="G57" s="364"/>
      <c r="H57" s="391" t="s">
        <v>9568</v>
      </c>
    </row>
    <row r="58" spans="1:13" x14ac:dyDescent="0.3">
      <c r="A58" s="45">
        <v>43853</v>
      </c>
      <c r="B58" s="399"/>
      <c r="C58" s="5" t="s">
        <v>2594</v>
      </c>
      <c r="D58" s="5" t="s">
        <v>294</v>
      </c>
      <c r="E58" s="43">
        <v>8229</v>
      </c>
      <c r="F58" s="43"/>
      <c r="G58" s="364"/>
      <c r="H58" s="391" t="s">
        <v>9568</v>
      </c>
    </row>
    <row r="59" spans="1:13" x14ac:dyDescent="0.3">
      <c r="A59" s="45">
        <v>43854</v>
      </c>
      <c r="B59" s="399"/>
      <c r="C59" s="5" t="s">
        <v>2594</v>
      </c>
      <c r="D59" s="5" t="s">
        <v>5733</v>
      </c>
      <c r="E59" s="43">
        <v>15000</v>
      </c>
      <c r="F59" s="43"/>
      <c r="G59" s="364"/>
      <c r="H59" s="391" t="s">
        <v>9568</v>
      </c>
    </row>
    <row r="60" spans="1:13" x14ac:dyDescent="0.3">
      <c r="A60" s="45">
        <v>43854</v>
      </c>
      <c r="B60" s="399"/>
      <c r="C60" s="5" t="s">
        <v>541</v>
      </c>
      <c r="D60" s="5" t="s">
        <v>5734</v>
      </c>
      <c r="E60" s="43">
        <v>5000</v>
      </c>
      <c r="F60" s="43"/>
      <c r="G60" s="364"/>
      <c r="H60" s="391" t="s">
        <v>9568</v>
      </c>
    </row>
    <row r="61" spans="1:13" x14ac:dyDescent="0.3">
      <c r="A61" s="45">
        <v>43854</v>
      </c>
      <c r="B61" s="399"/>
      <c r="C61" s="5" t="s">
        <v>5646</v>
      </c>
      <c r="D61" s="5" t="s">
        <v>5735</v>
      </c>
      <c r="E61" s="43">
        <v>19000</v>
      </c>
      <c r="F61" s="43"/>
      <c r="G61" s="364"/>
      <c r="H61" s="391" t="s">
        <v>9568</v>
      </c>
    </row>
    <row r="62" spans="1:13" x14ac:dyDescent="0.3">
      <c r="A62" s="45">
        <v>43854</v>
      </c>
      <c r="B62" s="399"/>
      <c r="C62" s="5" t="s">
        <v>25</v>
      </c>
      <c r="D62" s="5" t="s">
        <v>5736</v>
      </c>
      <c r="E62" s="43">
        <v>150</v>
      </c>
      <c r="F62" s="43"/>
      <c r="G62" s="364"/>
      <c r="H62" s="391" t="s">
        <v>9568</v>
      </c>
    </row>
    <row r="63" spans="1:13" x14ac:dyDescent="0.3">
      <c r="A63" s="45">
        <v>43854</v>
      </c>
      <c r="B63" s="399"/>
      <c r="C63" s="5" t="s">
        <v>25</v>
      </c>
      <c r="D63" s="5" t="s">
        <v>5737</v>
      </c>
      <c r="E63" s="43">
        <v>455</v>
      </c>
      <c r="F63" s="43"/>
      <c r="G63" s="364"/>
      <c r="H63" s="391" t="s">
        <v>9568</v>
      </c>
    </row>
    <row r="64" spans="1:13" x14ac:dyDescent="0.3">
      <c r="A64" s="45">
        <v>43854</v>
      </c>
      <c r="B64" s="580"/>
      <c r="C64" s="554" t="s">
        <v>2960</v>
      </c>
      <c r="D64" s="554"/>
      <c r="E64" s="554"/>
      <c r="F64" s="43">
        <v>5000</v>
      </c>
      <c r="G64" s="364"/>
      <c r="H64" s="391" t="s">
        <v>9568</v>
      </c>
      <c r="L64" s="52"/>
      <c r="M64" s="52"/>
    </row>
    <row r="65" spans="1:13" x14ac:dyDescent="0.3">
      <c r="A65" s="45">
        <v>43855</v>
      </c>
      <c r="B65" s="399"/>
      <c r="C65" s="5" t="s">
        <v>2594</v>
      </c>
      <c r="D65" s="5" t="s">
        <v>5739</v>
      </c>
      <c r="E65" s="43">
        <v>500</v>
      </c>
      <c r="F65" s="43"/>
      <c r="G65" s="364"/>
      <c r="H65" s="391" t="s">
        <v>9568</v>
      </c>
    </row>
    <row r="66" spans="1:13" x14ac:dyDescent="0.3">
      <c r="A66" s="45">
        <v>43857</v>
      </c>
      <c r="B66" s="399"/>
      <c r="C66" s="5" t="s">
        <v>18</v>
      </c>
      <c r="D66" s="5" t="s">
        <v>294</v>
      </c>
      <c r="E66" s="43">
        <v>3000</v>
      </c>
      <c r="F66" s="43"/>
      <c r="G66" s="364"/>
      <c r="H66" s="391" t="s">
        <v>9568</v>
      </c>
    </row>
    <row r="67" spans="1:13" x14ac:dyDescent="0.3">
      <c r="A67" s="45">
        <v>43857</v>
      </c>
      <c r="B67" s="580"/>
      <c r="C67" s="554" t="s">
        <v>2960</v>
      </c>
      <c r="D67" s="554"/>
      <c r="E67" s="554"/>
      <c r="F67" s="43">
        <v>50000</v>
      </c>
      <c r="G67" s="364"/>
      <c r="H67" s="391" t="s">
        <v>9568</v>
      </c>
      <c r="L67" s="52"/>
      <c r="M67" s="52"/>
    </row>
    <row r="68" spans="1:13" x14ac:dyDescent="0.3">
      <c r="A68" s="45">
        <v>43857</v>
      </c>
      <c r="B68" s="399"/>
      <c r="C68" s="5" t="s">
        <v>5741</v>
      </c>
      <c r="D68" s="5" t="s">
        <v>5742</v>
      </c>
      <c r="E68" s="43">
        <v>23000</v>
      </c>
      <c r="F68" s="43"/>
      <c r="G68" s="364"/>
      <c r="H68" s="391" t="s">
        <v>9568</v>
      </c>
    </row>
    <row r="69" spans="1:13" x14ac:dyDescent="0.3">
      <c r="A69" s="45">
        <v>43857</v>
      </c>
      <c r="B69" s="399"/>
      <c r="C69" s="5" t="s">
        <v>84</v>
      </c>
      <c r="D69" s="5" t="s">
        <v>5743</v>
      </c>
      <c r="E69" s="43">
        <v>10000</v>
      </c>
      <c r="F69" s="43"/>
      <c r="G69" s="364"/>
      <c r="H69" s="391" t="s">
        <v>9568</v>
      </c>
    </row>
    <row r="70" spans="1:13" x14ac:dyDescent="0.3">
      <c r="A70" s="45">
        <v>43857</v>
      </c>
      <c r="B70" s="580"/>
      <c r="C70" s="554" t="s">
        <v>5745</v>
      </c>
      <c r="D70" s="554"/>
      <c r="E70" s="554"/>
      <c r="F70" s="43">
        <v>500</v>
      </c>
      <c r="G70" s="364"/>
      <c r="H70" s="391" t="s">
        <v>9568</v>
      </c>
      <c r="L70" s="52"/>
      <c r="M70" s="52"/>
    </row>
    <row r="71" spans="1:13" x14ac:dyDescent="0.3">
      <c r="A71" s="45">
        <v>43857</v>
      </c>
      <c r="B71" s="399"/>
      <c r="C71" s="5" t="s">
        <v>84</v>
      </c>
      <c r="D71" s="5" t="s">
        <v>5779</v>
      </c>
      <c r="E71" s="43">
        <v>1000</v>
      </c>
      <c r="F71" s="43"/>
      <c r="G71" s="364"/>
      <c r="H71" s="391" t="s">
        <v>9568</v>
      </c>
    </row>
    <row r="72" spans="1:13" x14ac:dyDescent="0.3">
      <c r="A72" s="45">
        <v>43857</v>
      </c>
      <c r="B72" s="399"/>
      <c r="C72" s="5" t="s">
        <v>84</v>
      </c>
      <c r="D72" s="5" t="s">
        <v>5780</v>
      </c>
      <c r="E72" s="43">
        <v>500</v>
      </c>
      <c r="F72" s="43"/>
      <c r="G72" s="364"/>
      <c r="H72" s="391" t="s">
        <v>9568</v>
      </c>
    </row>
    <row r="73" spans="1:13" x14ac:dyDescent="0.3">
      <c r="A73" s="45">
        <v>43857</v>
      </c>
      <c r="B73" s="399"/>
      <c r="C73" s="5" t="s">
        <v>14</v>
      </c>
      <c r="D73" s="5" t="s">
        <v>294</v>
      </c>
      <c r="E73" s="43">
        <v>6000</v>
      </c>
      <c r="F73" s="43"/>
      <c r="G73" s="364"/>
      <c r="H73" s="391" t="s">
        <v>9568</v>
      </c>
    </row>
    <row r="74" spans="1:13" x14ac:dyDescent="0.3">
      <c r="A74" s="45">
        <v>43857</v>
      </c>
      <c r="B74" s="399"/>
      <c r="C74" s="5" t="s">
        <v>541</v>
      </c>
      <c r="D74" s="5" t="s">
        <v>294</v>
      </c>
      <c r="E74" s="43">
        <v>1500</v>
      </c>
      <c r="F74" s="43"/>
      <c r="G74" s="364"/>
      <c r="H74" s="391" t="s">
        <v>9568</v>
      </c>
    </row>
    <row r="75" spans="1:13" x14ac:dyDescent="0.3">
      <c r="A75" s="45">
        <v>43857</v>
      </c>
      <c r="B75" s="399"/>
      <c r="C75" s="5" t="s">
        <v>25</v>
      </c>
      <c r="D75" s="5" t="s">
        <v>5744</v>
      </c>
      <c r="E75" s="43">
        <v>350</v>
      </c>
      <c r="F75" s="43"/>
      <c r="G75" s="364"/>
      <c r="H75" s="391" t="s">
        <v>9568</v>
      </c>
    </row>
    <row r="76" spans="1:13" x14ac:dyDescent="0.3">
      <c r="A76" s="45">
        <v>43857</v>
      </c>
      <c r="B76" s="399"/>
      <c r="C76" s="5" t="s">
        <v>0</v>
      </c>
      <c r="D76" s="5" t="s">
        <v>3910</v>
      </c>
      <c r="E76" s="43">
        <v>3000</v>
      </c>
      <c r="F76" s="43"/>
      <c r="G76" s="364"/>
      <c r="H76" s="391" t="s">
        <v>9568</v>
      </c>
    </row>
    <row r="77" spans="1:13" x14ac:dyDescent="0.3">
      <c r="A77" s="45">
        <v>43858</v>
      </c>
      <c r="B77" s="580"/>
      <c r="C77" s="554" t="s">
        <v>2960</v>
      </c>
      <c r="D77" s="554"/>
      <c r="E77" s="554"/>
      <c r="F77" s="43">
        <v>36000</v>
      </c>
      <c r="G77" s="364"/>
      <c r="H77" s="391" t="s">
        <v>9568</v>
      </c>
      <c r="L77" s="52"/>
      <c r="M77" s="52"/>
    </row>
    <row r="78" spans="1:13" x14ac:dyDescent="0.3">
      <c r="A78" s="45">
        <v>43858</v>
      </c>
      <c r="B78" s="399"/>
      <c r="C78" s="5" t="s">
        <v>84</v>
      </c>
      <c r="D78" s="5" t="s">
        <v>5781</v>
      </c>
      <c r="E78" s="43">
        <v>5000</v>
      </c>
      <c r="F78" s="43"/>
      <c r="G78" s="364"/>
      <c r="H78" s="391" t="s">
        <v>9568</v>
      </c>
    </row>
    <row r="79" spans="1:13" x14ac:dyDescent="0.3">
      <c r="A79" s="45">
        <v>43858</v>
      </c>
      <c r="B79" s="399"/>
      <c r="C79" s="5" t="s">
        <v>84</v>
      </c>
      <c r="D79" s="5" t="s">
        <v>5746</v>
      </c>
      <c r="E79" s="43">
        <v>10000</v>
      </c>
      <c r="F79" s="43"/>
      <c r="G79" s="364"/>
      <c r="H79" s="391" t="s">
        <v>9568</v>
      </c>
    </row>
    <row r="80" spans="1:13" x14ac:dyDescent="0.3">
      <c r="A80" s="45">
        <v>43859</v>
      </c>
      <c r="B80" s="399"/>
      <c r="C80" s="5" t="s">
        <v>64</v>
      </c>
      <c r="D80" s="5" t="s">
        <v>5747</v>
      </c>
      <c r="E80" s="43">
        <v>2000</v>
      </c>
      <c r="F80" s="43"/>
      <c r="G80" s="364"/>
      <c r="H80" s="391" t="s">
        <v>9568</v>
      </c>
    </row>
    <row r="81" spans="1:13" x14ac:dyDescent="0.3">
      <c r="A81" s="45">
        <v>43859</v>
      </c>
      <c r="B81" s="399"/>
      <c r="C81" s="5" t="s">
        <v>14</v>
      </c>
      <c r="D81" s="5" t="s">
        <v>294</v>
      </c>
      <c r="E81" s="43">
        <v>11000</v>
      </c>
      <c r="F81" s="43"/>
      <c r="G81" s="364"/>
      <c r="H81" s="391" t="s">
        <v>9568</v>
      </c>
    </row>
    <row r="82" spans="1:13" x14ac:dyDescent="0.3">
      <c r="A82" s="45">
        <v>43859</v>
      </c>
      <c r="B82" s="399"/>
      <c r="C82" s="5" t="s">
        <v>2594</v>
      </c>
      <c r="D82" s="5" t="s">
        <v>2544</v>
      </c>
      <c r="E82" s="43">
        <v>4764</v>
      </c>
      <c r="F82" s="43"/>
      <c r="G82" s="364"/>
      <c r="H82" s="391" t="s">
        <v>9568</v>
      </c>
    </row>
    <row r="83" spans="1:13" x14ac:dyDescent="0.3">
      <c r="A83" s="45">
        <v>43859</v>
      </c>
      <c r="B83" s="399"/>
      <c r="C83" s="5" t="s">
        <v>2594</v>
      </c>
      <c r="D83" s="5" t="s">
        <v>2544</v>
      </c>
      <c r="E83" s="43">
        <v>2265</v>
      </c>
      <c r="F83" s="43"/>
      <c r="G83" s="364"/>
      <c r="H83" s="391" t="s">
        <v>9568</v>
      </c>
    </row>
    <row r="84" spans="1:13" x14ac:dyDescent="0.3">
      <c r="A84" s="45">
        <v>43859</v>
      </c>
      <c r="B84" s="580"/>
      <c r="C84" s="554" t="s">
        <v>4329</v>
      </c>
      <c r="D84" s="554"/>
      <c r="E84" s="554"/>
      <c r="F84" s="43">
        <v>50000</v>
      </c>
      <c r="G84" s="364"/>
      <c r="H84" s="391" t="s">
        <v>9568</v>
      </c>
    </row>
    <row r="85" spans="1:13" x14ac:dyDescent="0.3">
      <c r="A85" s="45">
        <v>43859</v>
      </c>
      <c r="B85" s="399"/>
      <c r="C85" s="5" t="s">
        <v>2594</v>
      </c>
      <c r="D85" s="5" t="s">
        <v>5748</v>
      </c>
      <c r="E85" s="43">
        <v>24320</v>
      </c>
      <c r="F85" s="43"/>
      <c r="G85" s="364"/>
      <c r="H85" s="391" t="s">
        <v>9568</v>
      </c>
    </row>
    <row r="86" spans="1:13" x14ac:dyDescent="0.3">
      <c r="A86" s="45">
        <v>43859</v>
      </c>
      <c r="B86" s="399"/>
      <c r="C86" s="5" t="s">
        <v>2348</v>
      </c>
      <c r="D86" s="5" t="s">
        <v>294</v>
      </c>
      <c r="E86" s="43">
        <v>2000</v>
      </c>
      <c r="F86" s="43"/>
      <c r="G86" s="364"/>
      <c r="H86" s="391" t="s">
        <v>9568</v>
      </c>
    </row>
    <row r="87" spans="1:13" x14ac:dyDescent="0.3">
      <c r="A87" s="45">
        <v>43859</v>
      </c>
      <c r="B87" s="399"/>
      <c r="C87" s="5" t="s">
        <v>5749</v>
      </c>
      <c r="D87" s="5" t="s">
        <v>5750</v>
      </c>
      <c r="E87" s="43">
        <v>3500</v>
      </c>
      <c r="F87" s="43"/>
      <c r="G87" s="364"/>
      <c r="H87" s="391" t="s">
        <v>9568</v>
      </c>
    </row>
    <row r="88" spans="1:13" x14ac:dyDescent="0.3">
      <c r="A88" s="45">
        <v>43860</v>
      </c>
      <c r="B88" s="399"/>
      <c r="C88" s="5" t="s">
        <v>1679</v>
      </c>
      <c r="D88" s="5" t="s">
        <v>5751</v>
      </c>
      <c r="E88" s="43">
        <v>13000</v>
      </c>
      <c r="F88" s="43"/>
      <c r="G88" s="364"/>
      <c r="H88" s="391" t="s">
        <v>9568</v>
      </c>
    </row>
    <row r="89" spans="1:13" x14ac:dyDescent="0.3">
      <c r="A89" s="45">
        <v>43860</v>
      </c>
      <c r="B89" s="399"/>
      <c r="C89" s="5" t="s">
        <v>14</v>
      </c>
      <c r="D89" s="5" t="s">
        <v>5752</v>
      </c>
      <c r="E89" s="43">
        <v>2526</v>
      </c>
      <c r="F89" s="43"/>
      <c r="G89" s="364"/>
      <c r="H89" s="391" t="s">
        <v>9568</v>
      </c>
    </row>
    <row r="90" spans="1:13" x14ac:dyDescent="0.3">
      <c r="A90" s="45">
        <v>43860</v>
      </c>
      <c r="B90" s="399"/>
      <c r="C90" s="5" t="s">
        <v>25</v>
      </c>
      <c r="D90" s="5" t="s">
        <v>4601</v>
      </c>
      <c r="E90" s="43">
        <v>710</v>
      </c>
      <c r="F90" s="43"/>
      <c r="G90" s="364"/>
      <c r="H90" s="391" t="s">
        <v>9568</v>
      </c>
    </row>
    <row r="91" spans="1:13" x14ac:dyDescent="0.3">
      <c r="A91" s="45">
        <v>43860</v>
      </c>
      <c r="B91" s="399"/>
      <c r="C91" s="5" t="s">
        <v>25</v>
      </c>
      <c r="D91" s="5" t="s">
        <v>3195</v>
      </c>
      <c r="E91" s="43">
        <v>3000</v>
      </c>
      <c r="F91" s="43"/>
      <c r="G91" s="364"/>
      <c r="H91" s="391" t="s">
        <v>9568</v>
      </c>
    </row>
    <row r="92" spans="1:13" x14ac:dyDescent="0.3">
      <c r="A92" s="45">
        <v>43860</v>
      </c>
      <c r="B92" s="399"/>
      <c r="C92" s="5" t="s">
        <v>25</v>
      </c>
      <c r="D92" s="5" t="s">
        <v>5753</v>
      </c>
      <c r="E92" s="43">
        <v>470</v>
      </c>
      <c r="F92" s="43"/>
      <c r="G92" s="364"/>
      <c r="H92" s="391" t="s">
        <v>9568</v>
      </c>
    </row>
    <row r="93" spans="1:13" x14ac:dyDescent="0.3">
      <c r="A93" s="45">
        <v>43860</v>
      </c>
      <c r="B93" s="399"/>
      <c r="C93" s="5" t="s">
        <v>5156</v>
      </c>
      <c r="D93" s="5"/>
      <c r="E93" s="43">
        <v>2020</v>
      </c>
      <c r="F93" s="43"/>
      <c r="G93" s="364"/>
      <c r="H93" s="391" t="s">
        <v>9568</v>
      </c>
    </row>
    <row r="94" spans="1:13" x14ac:dyDescent="0.3">
      <c r="A94" s="45">
        <v>43860</v>
      </c>
      <c r="B94" s="399"/>
      <c r="C94" s="5" t="s">
        <v>25</v>
      </c>
      <c r="D94" s="5" t="s">
        <v>5754</v>
      </c>
      <c r="E94" s="43">
        <v>280</v>
      </c>
      <c r="F94" s="43"/>
      <c r="G94" s="364"/>
      <c r="H94" s="391" t="s">
        <v>9568</v>
      </c>
    </row>
    <row r="95" spans="1:13" x14ac:dyDescent="0.3">
      <c r="A95" s="45">
        <v>43860</v>
      </c>
      <c r="B95" s="399"/>
      <c r="C95" s="5" t="s">
        <v>25</v>
      </c>
      <c r="D95" s="5" t="s">
        <v>5759</v>
      </c>
      <c r="E95" s="43">
        <f>230+280+270+220+80+180+60+280+75+240+230</f>
        <v>2145</v>
      </c>
      <c r="F95" s="43"/>
      <c r="G95" s="364"/>
      <c r="H95" s="391" t="s">
        <v>9568</v>
      </c>
    </row>
    <row r="96" spans="1:13" x14ac:dyDescent="0.3">
      <c r="A96" s="45">
        <v>43860</v>
      </c>
      <c r="B96" s="580"/>
      <c r="C96" s="554" t="s">
        <v>5755</v>
      </c>
      <c r="D96" s="554"/>
      <c r="E96" s="554"/>
      <c r="F96" s="43">
        <v>600000</v>
      </c>
      <c r="G96" s="364"/>
      <c r="H96" s="391" t="s">
        <v>9568</v>
      </c>
      <c r="L96" s="52"/>
      <c r="M96" s="52"/>
    </row>
    <row r="97" spans="1:8" x14ac:dyDescent="0.3">
      <c r="A97" s="45">
        <v>43861</v>
      </c>
      <c r="B97" s="399"/>
      <c r="C97" s="5" t="s">
        <v>16</v>
      </c>
      <c r="D97" s="5" t="s">
        <v>3910</v>
      </c>
      <c r="E97" s="43">
        <v>100000</v>
      </c>
      <c r="F97" s="43"/>
      <c r="G97" s="364"/>
      <c r="H97" s="391" t="s">
        <v>9568</v>
      </c>
    </row>
    <row r="98" spans="1:8" x14ac:dyDescent="0.3">
      <c r="A98" s="45">
        <v>43861</v>
      </c>
      <c r="B98" s="399"/>
      <c r="C98" s="5" t="s">
        <v>84</v>
      </c>
      <c r="D98" s="5" t="s">
        <v>5756</v>
      </c>
      <c r="E98" s="43">
        <v>15000</v>
      </c>
      <c r="F98" s="43"/>
      <c r="G98" s="364"/>
      <c r="H98" s="391" t="s">
        <v>9568</v>
      </c>
    </row>
    <row r="99" spans="1:8" x14ac:dyDescent="0.3">
      <c r="A99" s="45">
        <v>43861</v>
      </c>
      <c r="B99" s="399"/>
      <c r="C99" s="5" t="s">
        <v>14</v>
      </c>
      <c r="D99" s="5" t="s">
        <v>3910</v>
      </c>
      <c r="E99" s="43">
        <v>5000</v>
      </c>
      <c r="F99" s="43"/>
      <c r="G99" s="364"/>
      <c r="H99" s="391" t="s">
        <v>9568</v>
      </c>
    </row>
    <row r="100" spans="1:8" x14ac:dyDescent="0.3">
      <c r="A100" s="45">
        <v>43861</v>
      </c>
      <c r="B100" s="399"/>
      <c r="C100" s="5" t="s">
        <v>1787</v>
      </c>
      <c r="D100" s="5" t="s">
        <v>5757</v>
      </c>
      <c r="E100" s="43">
        <v>2000</v>
      </c>
      <c r="F100" s="43"/>
      <c r="G100" s="364"/>
      <c r="H100" s="391" t="s">
        <v>9568</v>
      </c>
    </row>
    <row r="101" spans="1:8" x14ac:dyDescent="0.3">
      <c r="A101" s="45">
        <v>43861</v>
      </c>
      <c r="B101" s="402"/>
      <c r="C101" s="39" t="s">
        <v>2594</v>
      </c>
      <c r="D101" s="39" t="s">
        <v>5758</v>
      </c>
      <c r="E101" s="40">
        <v>1000</v>
      </c>
      <c r="F101" s="43"/>
      <c r="G101" s="364"/>
      <c r="H101" s="391" t="s">
        <v>9568</v>
      </c>
    </row>
    <row r="102" spans="1:8" x14ac:dyDescent="0.3">
      <c r="A102" s="45">
        <v>43861</v>
      </c>
      <c r="B102" s="399"/>
      <c r="C102" s="5" t="s">
        <v>5646</v>
      </c>
      <c r="D102" s="5" t="s">
        <v>4187</v>
      </c>
      <c r="E102" s="43">
        <v>500</v>
      </c>
      <c r="F102" s="43"/>
      <c r="G102" s="364"/>
      <c r="H102" s="391" t="s">
        <v>9568</v>
      </c>
    </row>
    <row r="103" spans="1:8" x14ac:dyDescent="0.3">
      <c r="A103" s="45">
        <v>43861</v>
      </c>
      <c r="B103" s="399"/>
      <c r="C103" s="5" t="s">
        <v>4552</v>
      </c>
      <c r="D103" s="5" t="s">
        <v>5760</v>
      </c>
      <c r="E103" s="43">
        <v>15000</v>
      </c>
      <c r="F103" s="43"/>
      <c r="G103" s="364"/>
      <c r="H103" s="391" t="s">
        <v>9568</v>
      </c>
    </row>
    <row r="104" spans="1:8" x14ac:dyDescent="0.3">
      <c r="A104" s="45">
        <v>43861</v>
      </c>
      <c r="B104" s="399"/>
      <c r="C104" s="5" t="s">
        <v>18</v>
      </c>
      <c r="D104" s="5" t="s">
        <v>5795</v>
      </c>
      <c r="E104" s="43">
        <v>8200</v>
      </c>
      <c r="F104" s="43"/>
      <c r="G104" s="364"/>
      <c r="H104" s="391" t="s">
        <v>9568</v>
      </c>
    </row>
    <row r="105" spans="1:8" x14ac:dyDescent="0.3">
      <c r="A105" s="45">
        <v>43861</v>
      </c>
      <c r="B105" s="399"/>
      <c r="C105" s="5" t="s">
        <v>5646</v>
      </c>
      <c r="D105" s="5" t="s">
        <v>5761</v>
      </c>
      <c r="E105" s="43">
        <v>200</v>
      </c>
      <c r="F105" s="43"/>
      <c r="G105" s="364"/>
      <c r="H105" s="391" t="s">
        <v>9568</v>
      </c>
    </row>
    <row r="106" spans="1:8" x14ac:dyDescent="0.3">
      <c r="A106" s="45">
        <v>43861</v>
      </c>
      <c r="B106" s="399"/>
      <c r="C106" s="5" t="s">
        <v>2674</v>
      </c>
      <c r="D106" s="5" t="s">
        <v>30</v>
      </c>
      <c r="E106" s="43">
        <v>100</v>
      </c>
      <c r="F106" s="43"/>
      <c r="G106" s="364"/>
      <c r="H106" s="391" t="s">
        <v>9568</v>
      </c>
    </row>
    <row r="107" spans="1:8" x14ac:dyDescent="0.3">
      <c r="A107" s="45">
        <v>43861</v>
      </c>
      <c r="B107" s="401"/>
      <c r="C107" s="73" t="s">
        <v>2594</v>
      </c>
      <c r="D107" s="73" t="s">
        <v>4319</v>
      </c>
      <c r="E107" s="183">
        <v>18388</v>
      </c>
      <c r="F107" s="43"/>
      <c r="G107" s="364"/>
      <c r="H107" s="391" t="s">
        <v>9568</v>
      </c>
    </row>
    <row r="108" spans="1:8" x14ac:dyDescent="0.3">
      <c r="A108" s="45">
        <v>43862</v>
      </c>
      <c r="B108" s="399"/>
      <c r="C108" s="5" t="s">
        <v>14</v>
      </c>
      <c r="D108" s="5" t="s">
        <v>294</v>
      </c>
      <c r="E108" s="43">
        <v>7000</v>
      </c>
      <c r="F108" s="43"/>
      <c r="G108" s="364"/>
      <c r="H108" s="391" t="s">
        <v>9568</v>
      </c>
    </row>
    <row r="109" spans="1:8" x14ac:dyDescent="0.3">
      <c r="A109" s="45">
        <v>43862</v>
      </c>
      <c r="B109" s="399"/>
      <c r="C109" s="5" t="s">
        <v>0</v>
      </c>
      <c r="D109" s="5" t="s">
        <v>5762</v>
      </c>
      <c r="E109" s="43">
        <v>500</v>
      </c>
      <c r="F109" s="43"/>
      <c r="G109" s="364"/>
      <c r="H109" s="391" t="s">
        <v>9568</v>
      </c>
    </row>
    <row r="110" spans="1:8" x14ac:dyDescent="0.3">
      <c r="A110" s="45">
        <v>43862</v>
      </c>
      <c r="B110" s="399"/>
      <c r="C110" s="5" t="s">
        <v>2348</v>
      </c>
      <c r="D110" s="5" t="s">
        <v>294</v>
      </c>
      <c r="E110" s="43">
        <v>28000</v>
      </c>
      <c r="F110" s="43"/>
      <c r="G110" s="364"/>
      <c r="H110" s="391" t="s">
        <v>9568</v>
      </c>
    </row>
    <row r="111" spans="1:8" x14ac:dyDescent="0.3">
      <c r="A111" s="45">
        <v>43862</v>
      </c>
      <c r="B111" s="399"/>
      <c r="C111" s="5" t="s">
        <v>247</v>
      </c>
      <c r="D111" s="5" t="s">
        <v>2013</v>
      </c>
      <c r="E111" s="43">
        <v>100</v>
      </c>
      <c r="F111" s="43"/>
      <c r="G111" s="364"/>
      <c r="H111" s="391" t="s">
        <v>9568</v>
      </c>
    </row>
    <row r="112" spans="1:8" x14ac:dyDescent="0.3">
      <c r="A112" s="45">
        <v>43864</v>
      </c>
      <c r="B112" s="399"/>
      <c r="C112" s="5" t="s">
        <v>84</v>
      </c>
      <c r="D112" s="5" t="s">
        <v>5763</v>
      </c>
      <c r="E112" s="43">
        <v>5000</v>
      </c>
      <c r="F112" s="43"/>
      <c r="G112" s="364"/>
      <c r="H112" s="391" t="s">
        <v>9568</v>
      </c>
    </row>
    <row r="113" spans="1:13" x14ac:dyDescent="0.3">
      <c r="A113" s="45">
        <v>43864</v>
      </c>
      <c r="B113" s="399"/>
      <c r="C113" s="5" t="s">
        <v>5764</v>
      </c>
      <c r="D113" s="5" t="s">
        <v>5765</v>
      </c>
      <c r="E113" s="43">
        <v>10000</v>
      </c>
      <c r="F113" s="43"/>
      <c r="G113" s="364"/>
      <c r="H113" s="391" t="s">
        <v>9568</v>
      </c>
    </row>
    <row r="114" spans="1:13" x14ac:dyDescent="0.3">
      <c r="A114" s="45">
        <v>43864</v>
      </c>
      <c r="B114" s="399"/>
      <c r="C114" s="5" t="s">
        <v>1512</v>
      </c>
      <c r="D114" s="5" t="s">
        <v>5766</v>
      </c>
      <c r="E114" s="43">
        <v>6000</v>
      </c>
      <c r="F114" s="43"/>
      <c r="G114" s="364"/>
      <c r="H114" s="391" t="s">
        <v>9568</v>
      </c>
    </row>
    <row r="115" spans="1:13" x14ac:dyDescent="0.3">
      <c r="A115" s="45">
        <v>43864</v>
      </c>
      <c r="B115" s="399"/>
      <c r="C115" s="5" t="s">
        <v>4869</v>
      </c>
      <c r="D115" s="5" t="s">
        <v>40</v>
      </c>
      <c r="E115" s="43">
        <v>4200</v>
      </c>
      <c r="F115" s="43"/>
      <c r="G115" s="364"/>
      <c r="H115" s="391" t="s">
        <v>9568</v>
      </c>
    </row>
    <row r="116" spans="1:13" x14ac:dyDescent="0.3">
      <c r="A116" s="45">
        <v>43864</v>
      </c>
      <c r="B116" s="401"/>
      <c r="C116" s="73" t="s">
        <v>2594</v>
      </c>
      <c r="D116" s="73" t="s">
        <v>5767</v>
      </c>
      <c r="E116" s="183">
        <v>8310</v>
      </c>
      <c r="F116" s="43"/>
      <c r="G116" s="364"/>
      <c r="H116" s="391" t="s">
        <v>9568</v>
      </c>
    </row>
    <row r="117" spans="1:13" x14ac:dyDescent="0.3">
      <c r="A117" s="45">
        <v>43864</v>
      </c>
      <c r="B117" s="399"/>
      <c r="C117" s="5" t="s">
        <v>5768</v>
      </c>
      <c r="D117" s="5" t="s">
        <v>5769</v>
      </c>
      <c r="E117" s="43">
        <v>150000</v>
      </c>
      <c r="F117" s="43"/>
      <c r="G117" s="364"/>
      <c r="H117" s="391" t="s">
        <v>9568</v>
      </c>
    </row>
    <row r="118" spans="1:13" x14ac:dyDescent="0.3">
      <c r="A118" s="45">
        <v>43864</v>
      </c>
      <c r="B118" s="399"/>
      <c r="C118" s="5" t="s">
        <v>3985</v>
      </c>
      <c r="D118" s="5" t="s">
        <v>5770</v>
      </c>
      <c r="E118" s="43">
        <v>34500</v>
      </c>
      <c r="F118" s="43"/>
      <c r="G118" s="364"/>
      <c r="H118" s="391" t="s">
        <v>9568</v>
      </c>
    </row>
    <row r="119" spans="1:13" x14ac:dyDescent="0.3">
      <c r="A119" s="45">
        <v>43864</v>
      </c>
      <c r="B119" s="399"/>
      <c r="C119" s="5" t="s">
        <v>10</v>
      </c>
      <c r="D119" s="5" t="s">
        <v>5771</v>
      </c>
      <c r="E119" s="43">
        <v>2000</v>
      </c>
      <c r="F119" s="43"/>
      <c r="G119" s="364"/>
      <c r="H119" s="391" t="s">
        <v>9568</v>
      </c>
    </row>
    <row r="120" spans="1:13" x14ac:dyDescent="0.3">
      <c r="A120" s="45">
        <v>43864</v>
      </c>
      <c r="B120" s="399"/>
      <c r="C120" s="5" t="s">
        <v>1616</v>
      </c>
      <c r="D120" s="5" t="s">
        <v>2315</v>
      </c>
      <c r="E120" s="43">
        <v>12500</v>
      </c>
      <c r="F120" s="43"/>
      <c r="G120" s="364"/>
      <c r="H120" s="391" t="s">
        <v>9568</v>
      </c>
    </row>
    <row r="121" spans="1:13" x14ac:dyDescent="0.3">
      <c r="A121" s="45">
        <v>43864</v>
      </c>
      <c r="B121" s="399"/>
      <c r="C121" s="5" t="s">
        <v>84</v>
      </c>
      <c r="D121" s="5" t="s">
        <v>5772</v>
      </c>
      <c r="E121" s="43">
        <v>5000</v>
      </c>
      <c r="F121" s="43"/>
      <c r="G121" s="364"/>
      <c r="H121" s="391" t="s">
        <v>9568</v>
      </c>
    </row>
    <row r="122" spans="1:13" x14ac:dyDescent="0.3">
      <c r="A122" s="45">
        <v>43864</v>
      </c>
      <c r="B122" s="399"/>
      <c r="C122" s="5" t="s">
        <v>541</v>
      </c>
      <c r="D122" s="39" t="s">
        <v>5773</v>
      </c>
      <c r="E122" s="40">
        <v>20000</v>
      </c>
      <c r="F122" s="43"/>
      <c r="G122" s="364"/>
      <c r="H122" s="391" t="s">
        <v>9568</v>
      </c>
    </row>
    <row r="123" spans="1:13" x14ac:dyDescent="0.3">
      <c r="A123" s="45">
        <v>43865</v>
      </c>
      <c r="B123" s="399"/>
      <c r="C123" s="5" t="s">
        <v>84</v>
      </c>
      <c r="D123" s="5" t="s">
        <v>5782</v>
      </c>
      <c r="E123" s="43">
        <v>1000</v>
      </c>
      <c r="F123" s="43"/>
      <c r="G123" s="364"/>
      <c r="H123" s="391" t="s">
        <v>9568</v>
      </c>
    </row>
    <row r="124" spans="1:13" x14ac:dyDescent="0.3">
      <c r="A124" s="45">
        <v>43867</v>
      </c>
      <c r="B124" s="399"/>
      <c r="C124" s="5" t="s">
        <v>25</v>
      </c>
      <c r="D124" s="5" t="s">
        <v>5776</v>
      </c>
      <c r="E124" s="43">
        <f>180+360+270+220+170+80+80+60+600+348+270+25</f>
        <v>2663</v>
      </c>
      <c r="F124" s="43"/>
      <c r="G124" s="364"/>
      <c r="H124" s="391" t="s">
        <v>9568</v>
      </c>
    </row>
    <row r="125" spans="1:13" x14ac:dyDescent="0.3">
      <c r="A125" s="45">
        <v>43867</v>
      </c>
      <c r="B125" s="399"/>
      <c r="C125" s="5" t="s">
        <v>25</v>
      </c>
      <c r="D125" s="5" t="s">
        <v>5777</v>
      </c>
      <c r="E125" s="43">
        <v>1400</v>
      </c>
      <c r="F125" s="43"/>
      <c r="G125" s="364"/>
      <c r="H125" s="391" t="s">
        <v>9568</v>
      </c>
    </row>
    <row r="126" spans="1:13" x14ac:dyDescent="0.3">
      <c r="A126" s="45">
        <v>43867</v>
      </c>
      <c r="B126" s="580"/>
      <c r="C126" s="554" t="s">
        <v>2960</v>
      </c>
      <c r="D126" s="554"/>
      <c r="E126" s="554"/>
      <c r="F126" s="43">
        <v>6000</v>
      </c>
      <c r="G126" s="364"/>
      <c r="H126" s="391" t="s">
        <v>9568</v>
      </c>
      <c r="L126" s="52"/>
      <c r="M126" s="52"/>
    </row>
    <row r="127" spans="1:13" x14ac:dyDescent="0.3">
      <c r="A127" s="45">
        <v>43867</v>
      </c>
      <c r="B127" s="399"/>
      <c r="C127" s="5" t="s">
        <v>4550</v>
      </c>
      <c r="D127" s="5" t="s">
        <v>5778</v>
      </c>
      <c r="E127" s="43">
        <v>30000</v>
      </c>
      <c r="F127" s="43"/>
      <c r="G127" s="364"/>
      <c r="H127" s="391" t="s">
        <v>9568</v>
      </c>
    </row>
    <row r="128" spans="1:13" x14ac:dyDescent="0.3">
      <c r="A128" s="45">
        <v>43867</v>
      </c>
      <c r="B128" s="399"/>
      <c r="C128" s="5" t="s">
        <v>25</v>
      </c>
      <c r="D128" s="5" t="s">
        <v>5783</v>
      </c>
      <c r="E128" s="43">
        <v>1000</v>
      </c>
      <c r="F128" s="43"/>
      <c r="G128" s="364"/>
      <c r="H128" s="391" t="s">
        <v>9568</v>
      </c>
    </row>
    <row r="129" spans="1:13" x14ac:dyDescent="0.3">
      <c r="A129" s="45">
        <v>43867</v>
      </c>
      <c r="B129" s="580"/>
      <c r="C129" s="554" t="s">
        <v>5786</v>
      </c>
      <c r="D129" s="554"/>
      <c r="E129" s="554"/>
      <c r="F129" s="43">
        <v>650000</v>
      </c>
      <c r="G129" s="364"/>
      <c r="H129" s="391" t="s">
        <v>9568</v>
      </c>
      <c r="L129" s="52"/>
      <c r="M129" s="52"/>
    </row>
    <row r="130" spans="1:13" x14ac:dyDescent="0.3">
      <c r="A130" s="45">
        <v>43868</v>
      </c>
      <c r="B130" s="399"/>
      <c r="C130" s="5" t="s">
        <v>93</v>
      </c>
      <c r="D130" s="5" t="s">
        <v>5784</v>
      </c>
      <c r="E130" s="43">
        <v>1000</v>
      </c>
      <c r="F130" s="43"/>
      <c r="G130" s="364"/>
      <c r="H130" s="391" t="s">
        <v>9568</v>
      </c>
    </row>
    <row r="131" spans="1:13" x14ac:dyDescent="0.3">
      <c r="A131" s="45">
        <v>43868</v>
      </c>
      <c r="B131" s="399"/>
      <c r="C131" s="5" t="s">
        <v>25</v>
      </c>
      <c r="D131" s="5" t="s">
        <v>5785</v>
      </c>
      <c r="E131" s="43">
        <v>120</v>
      </c>
      <c r="F131" s="43"/>
      <c r="G131" s="364"/>
      <c r="H131" s="391" t="s">
        <v>9568</v>
      </c>
    </row>
    <row r="132" spans="1:13" x14ac:dyDescent="0.3">
      <c r="A132" s="45">
        <v>43868</v>
      </c>
      <c r="B132" s="580"/>
      <c r="C132" s="554" t="s">
        <v>5786</v>
      </c>
      <c r="D132" s="554"/>
      <c r="E132" s="554"/>
      <c r="F132" s="43">
        <v>700000</v>
      </c>
      <c r="G132" s="364"/>
      <c r="H132" s="391" t="s">
        <v>9568</v>
      </c>
    </row>
    <row r="133" spans="1:13" x14ac:dyDescent="0.3">
      <c r="A133" s="45">
        <v>43868</v>
      </c>
      <c r="B133" s="399"/>
      <c r="C133" s="5" t="s">
        <v>25</v>
      </c>
      <c r="D133" s="5" t="s">
        <v>5108</v>
      </c>
      <c r="E133" s="43">
        <v>1000</v>
      </c>
      <c r="F133" s="43"/>
      <c r="G133" s="364"/>
      <c r="H133" s="391" t="s">
        <v>9568</v>
      </c>
    </row>
    <row r="134" spans="1:13" x14ac:dyDescent="0.3">
      <c r="A134" s="45">
        <v>43868</v>
      </c>
      <c r="B134" s="401"/>
      <c r="C134" s="73" t="s">
        <v>2594</v>
      </c>
      <c r="D134" s="73" t="s">
        <v>5787</v>
      </c>
      <c r="E134" s="183">
        <v>35389</v>
      </c>
      <c r="F134" s="43"/>
      <c r="G134" s="364"/>
      <c r="H134" s="391" t="s">
        <v>9568</v>
      </c>
    </row>
    <row r="135" spans="1:13" x14ac:dyDescent="0.3">
      <c r="A135" s="45">
        <v>43868</v>
      </c>
      <c r="B135" s="401"/>
      <c r="C135" s="73" t="s">
        <v>0</v>
      </c>
      <c r="D135" s="73" t="s">
        <v>5788</v>
      </c>
      <c r="E135" s="183">
        <v>22000</v>
      </c>
      <c r="F135" s="43"/>
      <c r="G135" s="364"/>
      <c r="H135" s="391" t="s">
        <v>9568</v>
      </c>
    </row>
    <row r="136" spans="1:13" x14ac:dyDescent="0.3">
      <c r="A136" s="45">
        <v>43868</v>
      </c>
      <c r="B136" s="399"/>
      <c r="C136" s="5" t="s">
        <v>84</v>
      </c>
      <c r="D136" s="5" t="s">
        <v>5789</v>
      </c>
      <c r="E136" s="43">
        <v>1000</v>
      </c>
      <c r="F136" s="43"/>
      <c r="G136" s="364"/>
      <c r="H136" s="391" t="s">
        <v>9568</v>
      </c>
    </row>
    <row r="137" spans="1:13" x14ac:dyDescent="0.3">
      <c r="A137" s="45">
        <v>43868</v>
      </c>
      <c r="B137" s="403"/>
      <c r="C137" s="212" t="s">
        <v>14</v>
      </c>
      <c r="D137" s="212" t="s">
        <v>4319</v>
      </c>
      <c r="E137" s="213">
        <v>300000</v>
      </c>
      <c r="F137" s="43"/>
      <c r="G137" s="364"/>
      <c r="H137" s="391" t="s">
        <v>9568</v>
      </c>
    </row>
    <row r="138" spans="1:13" x14ac:dyDescent="0.3">
      <c r="A138" s="45">
        <v>43868</v>
      </c>
      <c r="B138" s="401"/>
      <c r="C138" s="73" t="s">
        <v>5709</v>
      </c>
      <c r="D138" s="73" t="s">
        <v>4187</v>
      </c>
      <c r="E138" s="183">
        <v>2050</v>
      </c>
      <c r="F138" s="43"/>
      <c r="G138" s="364"/>
      <c r="H138" s="391" t="s">
        <v>9568</v>
      </c>
    </row>
    <row r="139" spans="1:13" x14ac:dyDescent="0.3">
      <c r="A139" s="45">
        <v>43868</v>
      </c>
      <c r="B139" s="399"/>
      <c r="C139" s="5" t="s">
        <v>1837</v>
      </c>
      <c r="D139" s="5" t="s">
        <v>5790</v>
      </c>
      <c r="E139" s="43">
        <v>2000</v>
      </c>
      <c r="F139" s="43"/>
      <c r="G139" s="364"/>
      <c r="H139" s="391" t="s">
        <v>9568</v>
      </c>
    </row>
    <row r="140" spans="1:13" x14ac:dyDescent="0.3">
      <c r="A140" s="45">
        <v>43868</v>
      </c>
      <c r="B140" s="399"/>
      <c r="C140" s="5" t="s">
        <v>25</v>
      </c>
      <c r="D140" s="5" t="s">
        <v>2128</v>
      </c>
      <c r="E140" s="43">
        <v>70</v>
      </c>
      <c r="F140" s="43"/>
      <c r="G140" s="364"/>
      <c r="H140" s="391" t="s">
        <v>9568</v>
      </c>
    </row>
    <row r="141" spans="1:13" x14ac:dyDescent="0.3">
      <c r="A141" s="45">
        <v>43869</v>
      </c>
      <c r="B141" s="399"/>
      <c r="C141" s="5" t="s">
        <v>93</v>
      </c>
      <c r="D141" s="5" t="s">
        <v>5791</v>
      </c>
      <c r="E141" s="43">
        <v>4000</v>
      </c>
      <c r="F141" s="43"/>
      <c r="G141" s="364"/>
      <c r="H141" s="391" t="s">
        <v>9568</v>
      </c>
    </row>
    <row r="142" spans="1:13" x14ac:dyDescent="0.3">
      <c r="A142" s="45">
        <v>43869</v>
      </c>
      <c r="B142" s="403"/>
      <c r="C142" s="212" t="s">
        <v>2594</v>
      </c>
      <c r="D142" s="212" t="s">
        <v>3143</v>
      </c>
      <c r="E142" s="213">
        <v>1920</v>
      </c>
      <c r="F142" s="43"/>
      <c r="G142" s="364"/>
      <c r="H142" s="391" t="s">
        <v>9568</v>
      </c>
    </row>
    <row r="143" spans="1:13" x14ac:dyDescent="0.3">
      <c r="A143" s="45">
        <v>43869</v>
      </c>
      <c r="B143" s="403"/>
      <c r="C143" s="212" t="s">
        <v>2594</v>
      </c>
      <c r="D143" s="212" t="s">
        <v>3143</v>
      </c>
      <c r="E143" s="213">
        <v>7920</v>
      </c>
      <c r="F143" s="43"/>
      <c r="G143" s="364"/>
      <c r="H143" s="391" t="s">
        <v>9568</v>
      </c>
    </row>
    <row r="144" spans="1:13" x14ac:dyDescent="0.3">
      <c r="A144" s="45">
        <v>43869</v>
      </c>
      <c r="B144" s="399"/>
      <c r="C144" s="5" t="s">
        <v>5792</v>
      </c>
      <c r="D144" s="5" t="s">
        <v>4187</v>
      </c>
      <c r="E144" s="43">
        <v>1500</v>
      </c>
      <c r="F144" s="43"/>
      <c r="G144" s="364"/>
      <c r="H144" s="391" t="s">
        <v>9568</v>
      </c>
    </row>
    <row r="145" spans="1:8" x14ac:dyDescent="0.3">
      <c r="A145" s="45">
        <v>43871</v>
      </c>
      <c r="B145" s="399"/>
      <c r="C145" s="5" t="s">
        <v>5793</v>
      </c>
      <c r="D145" s="5" t="s">
        <v>5794</v>
      </c>
      <c r="E145" s="43">
        <v>300</v>
      </c>
      <c r="F145" s="43"/>
      <c r="G145" s="364"/>
      <c r="H145" s="391" t="s">
        <v>9568</v>
      </c>
    </row>
    <row r="146" spans="1:8" x14ac:dyDescent="0.3">
      <c r="A146" s="45">
        <v>43871</v>
      </c>
      <c r="B146" s="399"/>
      <c r="C146" s="5" t="s">
        <v>84</v>
      </c>
      <c r="D146" s="5" t="s">
        <v>5797</v>
      </c>
      <c r="E146" s="43">
        <v>5000</v>
      </c>
      <c r="F146" s="43"/>
      <c r="G146" s="364"/>
      <c r="H146" s="391" t="s">
        <v>9568</v>
      </c>
    </row>
    <row r="147" spans="1:8" x14ac:dyDescent="0.3">
      <c r="A147" s="45">
        <v>43872</v>
      </c>
      <c r="B147" s="399"/>
      <c r="C147" s="5" t="s">
        <v>25</v>
      </c>
      <c r="D147" s="5" t="s">
        <v>5798</v>
      </c>
      <c r="E147" s="43">
        <v>300</v>
      </c>
      <c r="F147" s="43"/>
      <c r="G147" s="364"/>
      <c r="H147" s="391" t="s">
        <v>9568</v>
      </c>
    </row>
    <row r="148" spans="1:8" x14ac:dyDescent="0.3">
      <c r="A148" s="45">
        <v>43872</v>
      </c>
      <c r="B148" s="399"/>
      <c r="C148" s="5" t="s">
        <v>25</v>
      </c>
      <c r="D148" s="5" t="s">
        <v>5799</v>
      </c>
      <c r="E148" s="43">
        <v>100</v>
      </c>
      <c r="F148" s="43"/>
      <c r="G148" s="364"/>
      <c r="H148" s="391" t="s">
        <v>9568</v>
      </c>
    </row>
    <row r="149" spans="1:8" x14ac:dyDescent="0.3">
      <c r="A149" s="45">
        <v>43872</v>
      </c>
      <c r="B149" s="399"/>
      <c r="C149" s="5" t="s">
        <v>14</v>
      </c>
      <c r="D149" s="5" t="s">
        <v>5800</v>
      </c>
      <c r="E149" s="43">
        <v>250</v>
      </c>
      <c r="F149" s="43"/>
      <c r="G149" s="364"/>
      <c r="H149" s="391" t="s">
        <v>9568</v>
      </c>
    </row>
    <row r="150" spans="1:8" x14ac:dyDescent="0.3">
      <c r="A150" s="45">
        <v>43872</v>
      </c>
      <c r="B150" s="404"/>
      <c r="C150" s="41" t="s">
        <v>2346</v>
      </c>
      <c r="D150" s="41" t="s">
        <v>7042</v>
      </c>
      <c r="E150" s="42">
        <v>5000</v>
      </c>
      <c r="F150" s="43"/>
      <c r="G150" s="364"/>
      <c r="H150" s="391" t="s">
        <v>9568</v>
      </c>
    </row>
    <row r="151" spans="1:8" x14ac:dyDescent="0.3">
      <c r="A151" s="45">
        <v>43872</v>
      </c>
      <c r="B151" s="399"/>
      <c r="C151" s="5" t="s">
        <v>2594</v>
      </c>
      <c r="D151" s="5" t="s">
        <v>3143</v>
      </c>
      <c r="E151" s="43">
        <v>12210</v>
      </c>
      <c r="F151" s="43"/>
      <c r="G151" s="364"/>
      <c r="H151" s="391" t="s">
        <v>9568</v>
      </c>
    </row>
    <row r="152" spans="1:8" x14ac:dyDescent="0.3">
      <c r="A152" s="45">
        <v>43872</v>
      </c>
      <c r="B152" s="405"/>
      <c r="C152" s="195" t="s">
        <v>14</v>
      </c>
      <c r="D152" s="195" t="s">
        <v>5801</v>
      </c>
      <c r="E152" s="196">
        <v>20000</v>
      </c>
      <c r="F152" s="43"/>
      <c r="G152" s="364"/>
      <c r="H152" s="391" t="s">
        <v>9568</v>
      </c>
    </row>
    <row r="153" spans="1:8" x14ac:dyDescent="0.3">
      <c r="A153" s="45">
        <v>43872</v>
      </c>
      <c r="B153" s="399"/>
      <c r="C153" s="5" t="s">
        <v>84</v>
      </c>
      <c r="D153" s="5" t="s">
        <v>5802</v>
      </c>
      <c r="E153" s="43">
        <v>1000</v>
      </c>
      <c r="F153" s="43"/>
      <c r="G153" s="364"/>
      <c r="H153" s="391" t="s">
        <v>9568</v>
      </c>
    </row>
    <row r="154" spans="1:8" x14ac:dyDescent="0.3">
      <c r="A154" s="45">
        <v>43873</v>
      </c>
      <c r="B154" s="399"/>
      <c r="C154" s="5" t="s">
        <v>25</v>
      </c>
      <c r="D154" s="5" t="s">
        <v>5803</v>
      </c>
      <c r="E154" s="183">
        <f>140+30+50+250+270+80+130+200+250</f>
        <v>1400</v>
      </c>
      <c r="F154" s="43"/>
      <c r="G154" s="364"/>
      <c r="H154" s="391" t="s">
        <v>9568</v>
      </c>
    </row>
    <row r="155" spans="1:8" x14ac:dyDescent="0.3">
      <c r="A155" s="45">
        <v>43873</v>
      </c>
      <c r="B155" s="399"/>
      <c r="C155" s="5" t="s">
        <v>1787</v>
      </c>
      <c r="D155" s="5" t="s">
        <v>5804</v>
      </c>
      <c r="E155" s="183">
        <v>900</v>
      </c>
      <c r="F155" s="43"/>
      <c r="G155" s="364"/>
      <c r="H155" s="391" t="s">
        <v>9568</v>
      </c>
    </row>
    <row r="156" spans="1:8" x14ac:dyDescent="0.3">
      <c r="A156" s="45">
        <v>43873</v>
      </c>
      <c r="B156" s="399"/>
      <c r="C156" s="5" t="s">
        <v>2594</v>
      </c>
      <c r="D156" s="5" t="s">
        <v>5805</v>
      </c>
      <c r="E156" s="183">
        <v>45500</v>
      </c>
      <c r="F156" s="43"/>
      <c r="G156" s="364"/>
      <c r="H156" s="391" t="s">
        <v>9568</v>
      </c>
    </row>
    <row r="157" spans="1:8" x14ac:dyDescent="0.3">
      <c r="A157" s="45">
        <v>43873</v>
      </c>
      <c r="B157" s="399"/>
      <c r="C157" s="5" t="s">
        <v>1787</v>
      </c>
      <c r="D157" s="5" t="s">
        <v>5807</v>
      </c>
      <c r="E157" s="183">
        <v>1000</v>
      </c>
      <c r="F157" s="43"/>
      <c r="G157" s="364"/>
      <c r="H157" s="391" t="s">
        <v>9568</v>
      </c>
    </row>
    <row r="158" spans="1:8" x14ac:dyDescent="0.3">
      <c r="A158" s="45">
        <v>43873</v>
      </c>
      <c r="B158" s="403"/>
      <c r="C158" s="212" t="s">
        <v>2594</v>
      </c>
      <c r="D158" s="212" t="s">
        <v>5810</v>
      </c>
      <c r="E158" s="213">
        <v>4150</v>
      </c>
      <c r="F158" s="43"/>
      <c r="G158" s="364"/>
      <c r="H158" s="391" t="s">
        <v>9568</v>
      </c>
    </row>
    <row r="159" spans="1:8" x14ac:dyDescent="0.3">
      <c r="A159" s="45">
        <v>43873</v>
      </c>
      <c r="B159" s="399"/>
      <c r="C159" s="5" t="s">
        <v>5156</v>
      </c>
      <c r="D159" s="5" t="s">
        <v>5806</v>
      </c>
      <c r="E159" s="183">
        <v>50</v>
      </c>
      <c r="F159" s="43"/>
      <c r="G159" s="364"/>
      <c r="H159" s="391" t="s">
        <v>9568</v>
      </c>
    </row>
    <row r="160" spans="1:8" x14ac:dyDescent="0.3">
      <c r="A160" s="45">
        <v>43873</v>
      </c>
      <c r="B160" s="399"/>
      <c r="C160" s="5" t="s">
        <v>84</v>
      </c>
      <c r="D160" s="5" t="s">
        <v>5789</v>
      </c>
      <c r="E160" s="43">
        <v>500</v>
      </c>
      <c r="F160" s="43"/>
      <c r="G160" s="364"/>
      <c r="H160" s="391" t="s">
        <v>9568</v>
      </c>
    </row>
    <row r="161" spans="1:8" x14ac:dyDescent="0.3">
      <c r="A161" s="45">
        <v>43873</v>
      </c>
      <c r="B161" s="399"/>
      <c r="C161" s="5" t="s">
        <v>25</v>
      </c>
      <c r="D161" s="5" t="s">
        <v>5808</v>
      </c>
      <c r="E161" s="43">
        <v>8000</v>
      </c>
      <c r="F161" s="43"/>
      <c r="G161" s="364"/>
      <c r="H161" s="391" t="s">
        <v>9568</v>
      </c>
    </row>
    <row r="162" spans="1:8" x14ac:dyDescent="0.3">
      <c r="A162" s="45">
        <v>43873</v>
      </c>
      <c r="B162" s="399"/>
      <c r="C162" s="5" t="s">
        <v>1679</v>
      </c>
      <c r="D162" s="5" t="s">
        <v>5812</v>
      </c>
      <c r="E162" s="43">
        <v>50000</v>
      </c>
      <c r="F162" s="43"/>
      <c r="G162" s="364"/>
      <c r="H162" s="391" t="s">
        <v>9568</v>
      </c>
    </row>
    <row r="163" spans="1:8" x14ac:dyDescent="0.3">
      <c r="A163" s="45">
        <v>43874</v>
      </c>
      <c r="B163" s="580"/>
      <c r="C163" s="554" t="s">
        <v>5809</v>
      </c>
      <c r="D163" s="554"/>
      <c r="E163" s="554"/>
      <c r="F163" s="43">
        <v>500000</v>
      </c>
      <c r="G163" s="364"/>
      <c r="H163" s="391" t="s">
        <v>9568</v>
      </c>
    </row>
    <row r="164" spans="1:8" x14ac:dyDescent="0.3">
      <c r="A164" s="45">
        <v>43875</v>
      </c>
      <c r="B164" s="580"/>
      <c r="C164" s="554" t="s">
        <v>5836</v>
      </c>
      <c r="D164" s="554"/>
      <c r="E164" s="554"/>
      <c r="F164" s="43">
        <v>150000</v>
      </c>
      <c r="G164" s="364"/>
      <c r="H164" s="391" t="s">
        <v>9568</v>
      </c>
    </row>
    <row r="165" spans="1:8" x14ac:dyDescent="0.3">
      <c r="A165" s="45">
        <v>43875</v>
      </c>
      <c r="B165" s="399"/>
      <c r="C165" s="5" t="s">
        <v>2594</v>
      </c>
      <c r="D165" s="5" t="s">
        <v>5811</v>
      </c>
      <c r="E165" s="183">
        <v>7316</v>
      </c>
      <c r="F165" s="43"/>
      <c r="G165" s="364"/>
      <c r="H165" s="391" t="s">
        <v>9568</v>
      </c>
    </row>
    <row r="166" spans="1:8" x14ac:dyDescent="0.3">
      <c r="A166" s="45">
        <v>43875</v>
      </c>
      <c r="B166" s="399"/>
      <c r="C166" s="5" t="s">
        <v>1512</v>
      </c>
      <c r="D166" s="5" t="s">
        <v>40</v>
      </c>
      <c r="E166" s="43">
        <v>1435051</v>
      </c>
      <c r="F166" s="43"/>
      <c r="G166" s="364"/>
      <c r="H166" s="391" t="s">
        <v>9568</v>
      </c>
    </row>
    <row r="167" spans="1:8" x14ac:dyDescent="0.3">
      <c r="A167" s="45">
        <v>43876</v>
      </c>
      <c r="B167" s="399"/>
      <c r="C167" s="5" t="s">
        <v>0</v>
      </c>
      <c r="D167" s="5" t="s">
        <v>5813</v>
      </c>
      <c r="E167" s="43">
        <v>2000</v>
      </c>
      <c r="F167" s="43"/>
      <c r="G167" s="364"/>
      <c r="H167" s="391" t="s">
        <v>9568</v>
      </c>
    </row>
    <row r="168" spans="1:8" x14ac:dyDescent="0.3">
      <c r="A168" s="45">
        <v>43876</v>
      </c>
      <c r="B168" s="399"/>
      <c r="C168" s="5" t="s">
        <v>1970</v>
      </c>
      <c r="D168" s="5" t="s">
        <v>5814</v>
      </c>
      <c r="E168" s="43">
        <v>80000</v>
      </c>
      <c r="F168" s="43"/>
      <c r="G168" s="364"/>
      <c r="H168" s="391" t="s">
        <v>9568</v>
      </c>
    </row>
    <row r="169" spans="1:8" x14ac:dyDescent="0.3">
      <c r="A169" s="45">
        <v>43876</v>
      </c>
      <c r="B169" s="399"/>
      <c r="C169" s="5" t="s">
        <v>110</v>
      </c>
      <c r="D169" s="5" t="s">
        <v>2248</v>
      </c>
      <c r="E169" s="43">
        <v>3500</v>
      </c>
      <c r="F169" s="43"/>
      <c r="G169" s="364"/>
      <c r="H169" s="391" t="s">
        <v>9568</v>
      </c>
    </row>
    <row r="170" spans="1:8" x14ac:dyDescent="0.3">
      <c r="A170" s="45">
        <v>43876</v>
      </c>
      <c r="B170" s="401"/>
      <c r="C170" s="73" t="s">
        <v>5709</v>
      </c>
      <c r="D170" s="212" t="s">
        <v>5815</v>
      </c>
      <c r="E170" s="213">
        <v>2000</v>
      </c>
      <c r="F170" s="43"/>
      <c r="G170" s="364"/>
      <c r="H170" s="391" t="s">
        <v>9568</v>
      </c>
    </row>
    <row r="171" spans="1:8" x14ac:dyDescent="0.3">
      <c r="A171" s="45">
        <v>43876</v>
      </c>
      <c r="B171" s="399"/>
      <c r="C171" s="5" t="s">
        <v>5665</v>
      </c>
      <c r="D171" s="5" t="s">
        <v>5816</v>
      </c>
      <c r="E171" s="43">
        <v>15000</v>
      </c>
      <c r="F171" s="43"/>
      <c r="G171" s="364"/>
      <c r="H171" s="391" t="s">
        <v>9568</v>
      </c>
    </row>
    <row r="172" spans="1:8" x14ac:dyDescent="0.3">
      <c r="A172" s="45">
        <v>43878</v>
      </c>
      <c r="B172" s="580"/>
      <c r="C172" s="554" t="s">
        <v>5818</v>
      </c>
      <c r="D172" s="554"/>
      <c r="E172" s="554"/>
      <c r="F172" s="43">
        <v>508775</v>
      </c>
      <c r="G172" s="364"/>
      <c r="H172" s="391" t="s">
        <v>9568</v>
      </c>
    </row>
    <row r="173" spans="1:8" x14ac:dyDescent="0.3">
      <c r="A173" s="45">
        <v>43878</v>
      </c>
      <c r="B173" s="399"/>
      <c r="C173" s="5" t="s">
        <v>5500</v>
      </c>
      <c r="D173" s="5" t="s">
        <v>5817</v>
      </c>
      <c r="E173" s="43">
        <v>80000</v>
      </c>
      <c r="F173" s="43"/>
      <c r="G173" s="364"/>
      <c r="H173" s="391" t="s">
        <v>9568</v>
      </c>
    </row>
    <row r="174" spans="1:8" x14ac:dyDescent="0.3">
      <c r="A174" s="45">
        <v>43878</v>
      </c>
      <c r="B174" s="399"/>
      <c r="C174" s="5" t="s">
        <v>0</v>
      </c>
      <c r="D174" s="5" t="s">
        <v>5819</v>
      </c>
      <c r="E174" s="43">
        <v>62000</v>
      </c>
      <c r="F174" s="43"/>
      <c r="G174" s="364"/>
      <c r="H174" s="391" t="s">
        <v>9568</v>
      </c>
    </row>
    <row r="175" spans="1:8" x14ac:dyDescent="0.3">
      <c r="A175" s="45">
        <v>43878</v>
      </c>
      <c r="B175" s="399"/>
      <c r="C175" s="5" t="s">
        <v>2594</v>
      </c>
      <c r="D175" s="5" t="s">
        <v>5833</v>
      </c>
      <c r="E175" s="43">
        <v>39510</v>
      </c>
      <c r="F175" s="43"/>
      <c r="G175" s="364"/>
      <c r="H175" s="391" t="s">
        <v>9568</v>
      </c>
    </row>
    <row r="176" spans="1:8" x14ac:dyDescent="0.3">
      <c r="A176" s="45">
        <v>43878</v>
      </c>
      <c r="B176" s="399"/>
      <c r="C176" s="5" t="s">
        <v>2594</v>
      </c>
      <c r="D176" s="5" t="s">
        <v>5819</v>
      </c>
      <c r="E176" s="43">
        <v>3941</v>
      </c>
      <c r="F176" s="43"/>
      <c r="G176" s="364"/>
      <c r="H176" s="391" t="s">
        <v>9568</v>
      </c>
    </row>
    <row r="177" spans="1:8" x14ac:dyDescent="0.3">
      <c r="A177" s="45">
        <v>43878</v>
      </c>
      <c r="B177" s="399"/>
      <c r="C177" s="5" t="s">
        <v>4552</v>
      </c>
      <c r="D177" s="5" t="s">
        <v>5820</v>
      </c>
      <c r="E177" s="43">
        <v>35000</v>
      </c>
      <c r="F177" s="43"/>
      <c r="G177" s="364"/>
      <c r="H177" s="391" t="s">
        <v>9568</v>
      </c>
    </row>
    <row r="178" spans="1:8" x14ac:dyDescent="0.3">
      <c r="A178" s="45">
        <v>43878</v>
      </c>
      <c r="B178" s="399"/>
      <c r="C178" s="5" t="s">
        <v>84</v>
      </c>
      <c r="D178" s="5" t="s">
        <v>5821</v>
      </c>
      <c r="E178" s="43">
        <v>5000</v>
      </c>
      <c r="F178" s="43"/>
      <c r="G178" s="364"/>
      <c r="H178" s="391" t="s">
        <v>9568</v>
      </c>
    </row>
    <row r="179" spans="1:8" x14ac:dyDescent="0.3">
      <c r="A179" s="45">
        <v>43878</v>
      </c>
      <c r="B179" s="399"/>
      <c r="C179" s="5" t="s">
        <v>4550</v>
      </c>
      <c r="D179" s="5" t="s">
        <v>5822</v>
      </c>
      <c r="E179" s="43">
        <v>30000</v>
      </c>
      <c r="F179" s="43"/>
      <c r="G179" s="364"/>
      <c r="H179" s="391" t="s">
        <v>9568</v>
      </c>
    </row>
    <row r="180" spans="1:8" x14ac:dyDescent="0.3">
      <c r="A180" s="45">
        <v>43878</v>
      </c>
      <c r="B180" s="399"/>
      <c r="C180" s="5" t="s">
        <v>1074</v>
      </c>
      <c r="D180" s="5" t="s">
        <v>5823</v>
      </c>
      <c r="E180" s="43">
        <f>20668+1285</f>
        <v>21953</v>
      </c>
      <c r="F180" s="43"/>
      <c r="G180" s="364"/>
      <c r="H180" s="391" t="s">
        <v>9568</v>
      </c>
    </row>
    <row r="181" spans="1:8" x14ac:dyDescent="0.3">
      <c r="A181" s="45">
        <v>43878</v>
      </c>
      <c r="B181" s="399"/>
      <c r="C181" s="5" t="s">
        <v>1679</v>
      </c>
      <c r="D181" s="5" t="s">
        <v>5824</v>
      </c>
      <c r="E181" s="43">
        <v>40000</v>
      </c>
      <c r="F181" s="43"/>
      <c r="G181" s="364"/>
      <c r="H181" s="391" t="s">
        <v>9568</v>
      </c>
    </row>
    <row r="182" spans="1:8" x14ac:dyDescent="0.3">
      <c r="A182" s="45">
        <v>43878</v>
      </c>
      <c r="B182" s="399"/>
      <c r="C182" s="5" t="s">
        <v>25</v>
      </c>
      <c r="D182" s="5" t="s">
        <v>5825</v>
      </c>
      <c r="E182" s="43">
        <v>100</v>
      </c>
      <c r="F182" s="43"/>
      <c r="G182" s="364"/>
      <c r="H182" s="391" t="s">
        <v>9568</v>
      </c>
    </row>
    <row r="183" spans="1:8" x14ac:dyDescent="0.3">
      <c r="A183" s="45">
        <v>43878</v>
      </c>
      <c r="B183" s="399"/>
      <c r="C183" s="5" t="s">
        <v>25</v>
      </c>
      <c r="D183" s="5" t="s">
        <v>5661</v>
      </c>
      <c r="E183" s="43">
        <v>600</v>
      </c>
      <c r="F183" s="43"/>
      <c r="G183" s="364"/>
      <c r="H183" s="391" t="s">
        <v>9568</v>
      </c>
    </row>
    <row r="184" spans="1:8" x14ac:dyDescent="0.3">
      <c r="A184" s="45">
        <v>43879</v>
      </c>
      <c r="B184" s="399"/>
      <c r="C184" s="5" t="s">
        <v>25</v>
      </c>
      <c r="D184" s="5" t="s">
        <v>5826</v>
      </c>
      <c r="E184" s="43">
        <f>530+440+250+80+270+250+80+280+250+100+280+370+270</f>
        <v>3450</v>
      </c>
      <c r="F184" s="43"/>
      <c r="G184" s="364"/>
      <c r="H184" s="391" t="s">
        <v>9568</v>
      </c>
    </row>
    <row r="185" spans="1:8" x14ac:dyDescent="0.3">
      <c r="A185" s="45">
        <v>43879</v>
      </c>
      <c r="B185" s="399"/>
      <c r="C185" s="5" t="s">
        <v>247</v>
      </c>
      <c r="D185" s="5" t="s">
        <v>5827</v>
      </c>
      <c r="E185" s="43">
        <v>500</v>
      </c>
      <c r="F185" s="43"/>
      <c r="G185" s="364"/>
      <c r="H185" s="391" t="s">
        <v>9568</v>
      </c>
    </row>
    <row r="186" spans="1:8" x14ac:dyDescent="0.3">
      <c r="A186" s="45">
        <v>43879</v>
      </c>
      <c r="B186" s="399"/>
      <c r="C186" s="5" t="s">
        <v>4308</v>
      </c>
      <c r="D186" s="5" t="s">
        <v>5244</v>
      </c>
      <c r="E186" s="43">
        <v>35000</v>
      </c>
      <c r="F186" s="43"/>
      <c r="G186" s="364"/>
      <c r="H186" s="391" t="s">
        <v>9568</v>
      </c>
    </row>
    <row r="187" spans="1:8" x14ac:dyDescent="0.3">
      <c r="A187" s="45">
        <v>43879</v>
      </c>
      <c r="B187" s="399"/>
      <c r="C187" s="5" t="s">
        <v>5156</v>
      </c>
      <c r="D187" s="5" t="s">
        <v>5828</v>
      </c>
      <c r="E187" s="43">
        <v>300</v>
      </c>
      <c r="F187" s="43"/>
      <c r="G187" s="364"/>
      <c r="H187" s="391" t="s">
        <v>9568</v>
      </c>
    </row>
    <row r="188" spans="1:8" x14ac:dyDescent="0.3">
      <c r="A188" s="45">
        <v>43879</v>
      </c>
      <c r="B188" s="399"/>
      <c r="C188" s="5" t="s">
        <v>25</v>
      </c>
      <c r="D188" s="5" t="s">
        <v>2025</v>
      </c>
      <c r="E188" s="43">
        <v>100</v>
      </c>
      <c r="F188" s="43"/>
      <c r="G188" s="364"/>
      <c r="H188" s="391" t="s">
        <v>9568</v>
      </c>
    </row>
    <row r="189" spans="1:8" x14ac:dyDescent="0.3">
      <c r="A189" s="45">
        <v>43879</v>
      </c>
      <c r="B189" s="399"/>
      <c r="C189" s="5" t="s">
        <v>5832</v>
      </c>
      <c r="D189" s="5" t="s">
        <v>5508</v>
      </c>
      <c r="E189" s="43">
        <v>45500</v>
      </c>
      <c r="F189" s="43"/>
      <c r="G189" s="364"/>
      <c r="H189" s="391" t="s">
        <v>9568</v>
      </c>
    </row>
    <row r="190" spans="1:8" x14ac:dyDescent="0.3">
      <c r="A190" s="45">
        <v>43880</v>
      </c>
      <c r="B190" s="399"/>
      <c r="C190" s="5" t="s">
        <v>2594</v>
      </c>
      <c r="D190" s="5" t="s">
        <v>5834</v>
      </c>
      <c r="E190" s="43">
        <v>5320</v>
      </c>
      <c r="F190" s="43"/>
      <c r="G190" s="364"/>
      <c r="H190" s="391" t="s">
        <v>9568</v>
      </c>
    </row>
    <row r="191" spans="1:8" x14ac:dyDescent="0.3">
      <c r="A191" s="45">
        <v>43880</v>
      </c>
      <c r="B191" s="399"/>
      <c r="C191" s="5" t="s">
        <v>3985</v>
      </c>
      <c r="D191" s="5" t="s">
        <v>5769</v>
      </c>
      <c r="E191" s="43">
        <v>55000</v>
      </c>
      <c r="F191" s="43"/>
      <c r="G191" s="364"/>
      <c r="H191" s="391" t="s">
        <v>9568</v>
      </c>
    </row>
    <row r="192" spans="1:8" x14ac:dyDescent="0.3">
      <c r="A192" s="45">
        <v>43880</v>
      </c>
      <c r="B192" s="399"/>
      <c r="C192" s="5" t="s">
        <v>84</v>
      </c>
      <c r="D192" s="5" t="s">
        <v>5835</v>
      </c>
      <c r="E192" s="43">
        <v>5000</v>
      </c>
      <c r="F192" s="43"/>
      <c r="G192" s="364"/>
      <c r="H192" s="391" t="s">
        <v>9568</v>
      </c>
    </row>
    <row r="193" spans="1:8" x14ac:dyDescent="0.3">
      <c r="A193" s="45">
        <v>43880</v>
      </c>
      <c r="B193" s="399"/>
      <c r="C193" s="5" t="s">
        <v>1679</v>
      </c>
      <c r="D193" s="5" t="s">
        <v>5837</v>
      </c>
      <c r="E193" s="43">
        <v>15000</v>
      </c>
      <c r="F193" s="43"/>
      <c r="G193" s="364"/>
      <c r="H193" s="391" t="s">
        <v>9568</v>
      </c>
    </row>
    <row r="194" spans="1:8" x14ac:dyDescent="0.3">
      <c r="A194" s="45">
        <v>43881</v>
      </c>
      <c r="B194" s="399"/>
      <c r="C194" s="5" t="s">
        <v>14</v>
      </c>
      <c r="D194" s="5" t="s">
        <v>640</v>
      </c>
      <c r="E194" s="43">
        <v>1000</v>
      </c>
      <c r="F194" s="43"/>
      <c r="G194" s="364"/>
      <c r="H194" s="391" t="s">
        <v>9568</v>
      </c>
    </row>
    <row r="195" spans="1:8" x14ac:dyDescent="0.3">
      <c r="A195" s="45">
        <v>43881</v>
      </c>
      <c r="B195" s="580"/>
      <c r="C195" s="554" t="s">
        <v>5809</v>
      </c>
      <c r="D195" s="554"/>
      <c r="E195" s="554"/>
      <c r="F195" s="43">
        <v>100000</v>
      </c>
      <c r="G195" s="364"/>
      <c r="H195" s="391" t="s">
        <v>9568</v>
      </c>
    </row>
    <row r="196" spans="1:8" x14ac:dyDescent="0.3">
      <c r="A196" s="45">
        <v>43881</v>
      </c>
      <c r="B196" s="399"/>
      <c r="C196" s="5" t="s">
        <v>0</v>
      </c>
      <c r="D196" s="5" t="s">
        <v>5838</v>
      </c>
      <c r="E196" s="43">
        <v>25000</v>
      </c>
      <c r="F196" s="43"/>
      <c r="G196" s="364"/>
      <c r="H196" s="391" t="s">
        <v>9568</v>
      </c>
    </row>
    <row r="197" spans="1:8" x14ac:dyDescent="0.3">
      <c r="A197" s="45">
        <v>43881</v>
      </c>
      <c r="B197" s="399"/>
      <c r="C197" s="5" t="s">
        <v>18</v>
      </c>
      <c r="D197" s="5" t="s">
        <v>5851</v>
      </c>
      <c r="E197" s="43">
        <v>2000</v>
      </c>
      <c r="F197" s="43"/>
      <c r="G197" s="364"/>
      <c r="H197" s="391" t="s">
        <v>9568</v>
      </c>
    </row>
    <row r="198" spans="1:8" x14ac:dyDescent="0.3">
      <c r="A198" s="45">
        <v>43881</v>
      </c>
      <c r="B198" s="404"/>
      <c r="C198" s="41" t="s">
        <v>2594</v>
      </c>
      <c r="D198" s="41" t="s">
        <v>5839</v>
      </c>
      <c r="E198" s="42">
        <v>20100</v>
      </c>
      <c r="F198" s="43"/>
      <c r="G198" s="364"/>
      <c r="H198" s="391" t="s">
        <v>9568</v>
      </c>
    </row>
    <row r="199" spans="1:8" x14ac:dyDescent="0.3">
      <c r="A199" s="45">
        <v>43881</v>
      </c>
      <c r="B199" s="399"/>
      <c r="C199" s="5" t="s">
        <v>4550</v>
      </c>
      <c r="D199" s="5" t="s">
        <v>5840</v>
      </c>
      <c r="E199" s="43">
        <v>25000</v>
      </c>
      <c r="F199" s="43"/>
      <c r="G199" s="364"/>
      <c r="H199" s="391" t="s">
        <v>9568</v>
      </c>
    </row>
    <row r="200" spans="1:8" x14ac:dyDescent="0.3">
      <c r="A200" s="45">
        <v>43881</v>
      </c>
      <c r="B200" s="399"/>
      <c r="C200" s="5" t="s">
        <v>5162</v>
      </c>
      <c r="D200" s="5" t="s">
        <v>5841</v>
      </c>
      <c r="E200" s="43">
        <v>700</v>
      </c>
      <c r="F200" s="43"/>
      <c r="G200" s="364"/>
      <c r="H200" s="391" t="s">
        <v>9568</v>
      </c>
    </row>
    <row r="201" spans="1:8" x14ac:dyDescent="0.3">
      <c r="A201" s="45">
        <v>43881</v>
      </c>
      <c r="B201" s="399"/>
      <c r="C201" s="5" t="s">
        <v>2594</v>
      </c>
      <c r="D201" s="5" t="s">
        <v>5842</v>
      </c>
      <c r="E201" s="43">
        <v>3000</v>
      </c>
      <c r="F201" s="43"/>
      <c r="G201" s="364"/>
      <c r="H201" s="391" t="s">
        <v>9568</v>
      </c>
    </row>
    <row r="202" spans="1:8" x14ac:dyDescent="0.3">
      <c r="A202" s="45">
        <v>43882</v>
      </c>
      <c r="B202" s="399"/>
      <c r="C202" s="5" t="s">
        <v>25</v>
      </c>
      <c r="D202" s="5" t="s">
        <v>5843</v>
      </c>
      <c r="E202" s="43">
        <v>16000</v>
      </c>
      <c r="F202" s="43"/>
      <c r="G202" s="364"/>
      <c r="H202" s="391" t="s">
        <v>9568</v>
      </c>
    </row>
    <row r="203" spans="1:8" x14ac:dyDescent="0.3">
      <c r="A203" s="45">
        <v>43882</v>
      </c>
      <c r="B203" s="399"/>
      <c r="C203" s="5" t="s">
        <v>84</v>
      </c>
      <c r="D203" s="5" t="s">
        <v>5844</v>
      </c>
      <c r="E203" s="43">
        <v>500</v>
      </c>
      <c r="F203" s="43"/>
      <c r="G203" s="364"/>
      <c r="H203" s="391" t="s">
        <v>9568</v>
      </c>
    </row>
    <row r="204" spans="1:8" x14ac:dyDescent="0.3">
      <c r="A204" s="45">
        <v>43882</v>
      </c>
      <c r="B204" s="399"/>
      <c r="C204" s="5" t="s">
        <v>0</v>
      </c>
      <c r="D204" s="5" t="s">
        <v>5845</v>
      </c>
      <c r="E204" s="43">
        <v>1000</v>
      </c>
      <c r="F204" s="43"/>
      <c r="G204" s="364"/>
      <c r="H204" s="391" t="s">
        <v>9568</v>
      </c>
    </row>
    <row r="205" spans="1:8" x14ac:dyDescent="0.3">
      <c r="A205" s="45">
        <v>43883</v>
      </c>
      <c r="B205" s="399"/>
      <c r="C205" s="5" t="s">
        <v>5846</v>
      </c>
      <c r="D205" s="5" t="s">
        <v>5847</v>
      </c>
      <c r="E205" s="43">
        <v>350</v>
      </c>
      <c r="F205" s="43"/>
      <c r="G205" s="364"/>
      <c r="H205" s="391" t="s">
        <v>9568</v>
      </c>
    </row>
    <row r="206" spans="1:8" x14ac:dyDescent="0.3">
      <c r="A206" s="45">
        <v>43883</v>
      </c>
      <c r="B206" s="399"/>
      <c r="C206" s="5" t="s">
        <v>25</v>
      </c>
      <c r="D206" s="5" t="s">
        <v>5848</v>
      </c>
      <c r="E206" s="43">
        <v>100</v>
      </c>
      <c r="F206" s="43"/>
      <c r="G206" s="364"/>
      <c r="H206" s="391" t="s">
        <v>9568</v>
      </c>
    </row>
    <row r="207" spans="1:8" x14ac:dyDescent="0.3">
      <c r="A207" s="45">
        <v>43883</v>
      </c>
      <c r="B207" s="399"/>
      <c r="C207" s="5" t="s">
        <v>5646</v>
      </c>
      <c r="D207" s="5" t="s">
        <v>5849</v>
      </c>
      <c r="E207" s="43">
        <v>1000</v>
      </c>
      <c r="F207" s="43"/>
      <c r="G207" s="364"/>
      <c r="H207" s="391" t="s">
        <v>9568</v>
      </c>
    </row>
    <row r="208" spans="1:8" x14ac:dyDescent="0.3">
      <c r="A208" s="45">
        <v>43883</v>
      </c>
      <c r="B208" s="580"/>
      <c r="C208" s="554" t="s">
        <v>5809</v>
      </c>
      <c r="D208" s="554"/>
      <c r="E208" s="554"/>
      <c r="F208" s="43">
        <v>82000</v>
      </c>
      <c r="G208" s="364"/>
      <c r="H208" s="391" t="s">
        <v>9568</v>
      </c>
    </row>
    <row r="209" spans="1:8" x14ac:dyDescent="0.3">
      <c r="A209" s="45">
        <v>43883</v>
      </c>
      <c r="B209" s="399"/>
      <c r="C209" s="5" t="s">
        <v>0</v>
      </c>
      <c r="D209" s="5" t="s">
        <v>5850</v>
      </c>
      <c r="E209" s="43">
        <f>72000+7000+2000+3000</f>
        <v>84000</v>
      </c>
      <c r="F209" s="43"/>
      <c r="G209" s="364"/>
      <c r="H209" s="391" t="s">
        <v>9568</v>
      </c>
    </row>
    <row r="210" spans="1:8" x14ac:dyDescent="0.3">
      <c r="A210" s="45">
        <v>43883</v>
      </c>
      <c r="B210" s="399"/>
      <c r="C210" s="5" t="s">
        <v>18</v>
      </c>
      <c r="D210" s="5" t="s">
        <v>294</v>
      </c>
      <c r="E210" s="43">
        <v>2000</v>
      </c>
      <c r="F210" s="43"/>
      <c r="G210" s="364"/>
      <c r="H210" s="391" t="s">
        <v>9568</v>
      </c>
    </row>
    <row r="211" spans="1:8" x14ac:dyDescent="0.3">
      <c r="A211" s="45">
        <v>43885</v>
      </c>
      <c r="B211" s="406"/>
      <c r="C211" s="214" t="s">
        <v>2594</v>
      </c>
      <c r="D211" s="214" t="s">
        <v>3143</v>
      </c>
      <c r="E211" s="215">
        <v>20220</v>
      </c>
      <c r="F211" s="43"/>
      <c r="G211" s="364"/>
      <c r="H211" s="391" t="s">
        <v>9568</v>
      </c>
    </row>
    <row r="212" spans="1:8" x14ac:dyDescent="0.3">
      <c r="A212" s="45">
        <v>43885</v>
      </c>
      <c r="B212" s="399"/>
      <c r="C212" s="5" t="s">
        <v>5167</v>
      </c>
      <c r="D212" s="5" t="s">
        <v>5852</v>
      </c>
      <c r="E212" s="43">
        <v>500</v>
      </c>
      <c r="F212" s="43"/>
      <c r="G212" s="364"/>
      <c r="H212" s="391" t="s">
        <v>9568</v>
      </c>
    </row>
    <row r="213" spans="1:8" x14ac:dyDescent="0.3">
      <c r="A213" s="45">
        <v>43885</v>
      </c>
      <c r="B213" s="399"/>
      <c r="C213" s="5" t="s">
        <v>5167</v>
      </c>
      <c r="D213" s="5" t="s">
        <v>5853</v>
      </c>
      <c r="E213" s="43">
        <v>1000</v>
      </c>
      <c r="F213" s="43"/>
      <c r="G213" s="364"/>
      <c r="H213" s="391" t="s">
        <v>9568</v>
      </c>
    </row>
    <row r="214" spans="1:8" x14ac:dyDescent="0.3">
      <c r="A214" s="45">
        <v>43885</v>
      </c>
      <c r="B214" s="399"/>
      <c r="C214" s="5" t="s">
        <v>4552</v>
      </c>
      <c r="D214" s="5" t="s">
        <v>294</v>
      </c>
      <c r="E214" s="43">
        <v>20000</v>
      </c>
      <c r="F214" s="43"/>
      <c r="G214" s="364"/>
      <c r="H214" s="391" t="s">
        <v>9568</v>
      </c>
    </row>
    <row r="215" spans="1:8" x14ac:dyDescent="0.3">
      <c r="A215" s="45">
        <v>43885</v>
      </c>
      <c r="B215" s="399"/>
      <c r="C215" s="5" t="s">
        <v>25</v>
      </c>
      <c r="D215" s="5" t="s">
        <v>5854</v>
      </c>
      <c r="E215" s="43">
        <v>200</v>
      </c>
      <c r="F215" s="43"/>
      <c r="G215" s="364"/>
      <c r="H215" s="391" t="s">
        <v>9568</v>
      </c>
    </row>
    <row r="216" spans="1:8" x14ac:dyDescent="0.3">
      <c r="A216" s="45">
        <v>43885</v>
      </c>
      <c r="B216" s="399"/>
      <c r="C216" s="5" t="s">
        <v>25</v>
      </c>
      <c r="D216" s="5" t="s">
        <v>5855</v>
      </c>
      <c r="E216" s="43">
        <v>1500</v>
      </c>
      <c r="F216" s="43"/>
      <c r="G216" s="364"/>
      <c r="H216" s="391" t="s">
        <v>9568</v>
      </c>
    </row>
    <row r="217" spans="1:8" x14ac:dyDescent="0.3">
      <c r="A217" s="45">
        <v>43885</v>
      </c>
      <c r="B217" s="399"/>
      <c r="C217" s="5" t="s">
        <v>4550</v>
      </c>
      <c r="D217" s="5" t="s">
        <v>5857</v>
      </c>
      <c r="E217" s="43">
        <v>6000</v>
      </c>
      <c r="F217" s="43"/>
      <c r="G217" s="364"/>
      <c r="H217" s="391" t="s">
        <v>9568</v>
      </c>
    </row>
    <row r="218" spans="1:8" x14ac:dyDescent="0.3">
      <c r="A218" s="45">
        <v>43885</v>
      </c>
      <c r="B218" s="580"/>
      <c r="C218" s="554" t="s">
        <v>5809</v>
      </c>
      <c r="D218" s="554"/>
      <c r="E218" s="554"/>
      <c r="F218" s="43">
        <v>50000</v>
      </c>
      <c r="G218" s="364"/>
      <c r="H218" s="391" t="s">
        <v>9568</v>
      </c>
    </row>
    <row r="219" spans="1:8" x14ac:dyDescent="0.3">
      <c r="A219" s="45">
        <v>43885</v>
      </c>
      <c r="B219" s="399"/>
      <c r="C219" s="5" t="s">
        <v>84</v>
      </c>
      <c r="D219" s="5" t="s">
        <v>5858</v>
      </c>
      <c r="E219" s="43">
        <v>3000</v>
      </c>
      <c r="F219" s="43"/>
      <c r="G219" s="364"/>
      <c r="H219" s="391" t="s">
        <v>9568</v>
      </c>
    </row>
    <row r="220" spans="1:8" x14ac:dyDescent="0.3">
      <c r="A220" s="45">
        <v>43885</v>
      </c>
      <c r="B220" s="399"/>
      <c r="C220" s="5" t="s">
        <v>5646</v>
      </c>
      <c r="D220" s="5" t="s">
        <v>5859</v>
      </c>
      <c r="E220" s="43">
        <v>4000</v>
      </c>
      <c r="F220" s="43"/>
      <c r="G220" s="364"/>
      <c r="H220" s="391" t="s">
        <v>9568</v>
      </c>
    </row>
    <row r="221" spans="1:8" x14ac:dyDescent="0.3">
      <c r="A221" s="45">
        <v>43885</v>
      </c>
      <c r="B221" s="399"/>
      <c r="C221" s="5" t="s">
        <v>0</v>
      </c>
      <c r="D221" s="5" t="s">
        <v>5860</v>
      </c>
      <c r="E221" s="43">
        <v>1000</v>
      </c>
      <c r="F221" s="43"/>
      <c r="G221" s="364"/>
      <c r="H221" s="391" t="s">
        <v>9568</v>
      </c>
    </row>
    <row r="222" spans="1:8" x14ac:dyDescent="0.3">
      <c r="A222" s="45">
        <v>43885</v>
      </c>
      <c r="B222" s="404"/>
      <c r="C222" s="41" t="s">
        <v>2594</v>
      </c>
      <c r="D222" s="41" t="s">
        <v>5861</v>
      </c>
      <c r="E222" s="42">
        <v>5000</v>
      </c>
      <c r="F222" s="43"/>
      <c r="G222" s="364"/>
      <c r="H222" s="391" t="s">
        <v>9568</v>
      </c>
    </row>
    <row r="223" spans="1:8" x14ac:dyDescent="0.3">
      <c r="A223" s="45">
        <v>43885</v>
      </c>
      <c r="B223" s="399"/>
      <c r="C223" s="5" t="s">
        <v>4550</v>
      </c>
      <c r="D223" s="5" t="s">
        <v>5813</v>
      </c>
      <c r="E223" s="43">
        <v>10000</v>
      </c>
      <c r="F223" s="43"/>
      <c r="G223" s="364"/>
      <c r="H223" s="391" t="s">
        <v>9568</v>
      </c>
    </row>
    <row r="224" spans="1:8" x14ac:dyDescent="0.3">
      <c r="A224" s="45">
        <v>43886</v>
      </c>
      <c r="B224" s="580"/>
      <c r="C224" s="554" t="s">
        <v>5809</v>
      </c>
      <c r="D224" s="554"/>
      <c r="E224" s="554"/>
      <c r="F224" s="43">
        <v>30000</v>
      </c>
      <c r="G224" s="364"/>
      <c r="H224" s="391" t="s">
        <v>9568</v>
      </c>
    </row>
    <row r="225" spans="1:8" x14ac:dyDescent="0.3">
      <c r="A225" s="45">
        <v>43886</v>
      </c>
      <c r="B225" s="404"/>
      <c r="C225" s="41" t="s">
        <v>2594</v>
      </c>
      <c r="D225" s="41"/>
      <c r="E225" s="42">
        <v>6500</v>
      </c>
      <c r="F225" s="43"/>
      <c r="G225" s="364"/>
      <c r="H225" s="391" t="s">
        <v>9568</v>
      </c>
    </row>
    <row r="226" spans="1:8" x14ac:dyDescent="0.3">
      <c r="A226" s="45">
        <v>43886</v>
      </c>
      <c r="B226" s="401"/>
      <c r="C226" s="73" t="s">
        <v>14</v>
      </c>
      <c r="D226" s="73" t="s">
        <v>5532</v>
      </c>
      <c r="E226" s="183">
        <v>1630</v>
      </c>
      <c r="F226" s="43"/>
      <c r="G226" s="364"/>
      <c r="H226" s="391" t="s">
        <v>9568</v>
      </c>
    </row>
    <row r="227" spans="1:8" x14ac:dyDescent="0.3">
      <c r="A227" s="45">
        <v>43886</v>
      </c>
      <c r="B227" s="404"/>
      <c r="C227" s="41" t="s">
        <v>3559</v>
      </c>
      <c r="D227" s="5" t="s">
        <v>5862</v>
      </c>
      <c r="E227" s="43">
        <v>650</v>
      </c>
      <c r="F227" s="43"/>
      <c r="G227" s="364"/>
      <c r="H227" s="391" t="s">
        <v>9568</v>
      </c>
    </row>
    <row r="228" spans="1:8" x14ac:dyDescent="0.3">
      <c r="A228" s="45">
        <v>43886</v>
      </c>
      <c r="B228" s="404"/>
      <c r="C228" s="41" t="s">
        <v>0</v>
      </c>
      <c r="D228" s="5" t="s">
        <v>5863</v>
      </c>
      <c r="E228" s="43">
        <v>53000</v>
      </c>
      <c r="F228" s="43"/>
      <c r="G228" s="364"/>
      <c r="H228" s="391" t="s">
        <v>9568</v>
      </c>
    </row>
    <row r="229" spans="1:8" x14ac:dyDescent="0.3">
      <c r="A229" s="45">
        <v>43887</v>
      </c>
      <c r="B229" s="580"/>
      <c r="C229" s="554" t="s">
        <v>5809</v>
      </c>
      <c r="D229" s="554"/>
      <c r="E229" s="554"/>
      <c r="F229" s="43">
        <v>200000</v>
      </c>
      <c r="G229" s="364"/>
      <c r="H229" s="391" t="s">
        <v>9568</v>
      </c>
    </row>
    <row r="230" spans="1:8" x14ac:dyDescent="0.3">
      <c r="A230" s="45">
        <v>43887</v>
      </c>
      <c r="B230" s="399"/>
      <c r="C230" s="5" t="s">
        <v>84</v>
      </c>
      <c r="D230" s="5" t="s">
        <v>5864</v>
      </c>
      <c r="E230" s="43">
        <v>5000</v>
      </c>
      <c r="F230" s="43"/>
      <c r="G230" s="364"/>
      <c r="H230" s="391" t="s">
        <v>9568</v>
      </c>
    </row>
    <row r="231" spans="1:8" x14ac:dyDescent="0.3">
      <c r="A231" s="45">
        <v>43887</v>
      </c>
      <c r="B231" s="404"/>
      <c r="C231" s="41" t="s">
        <v>5865</v>
      </c>
      <c r="D231" s="5" t="s">
        <v>5866</v>
      </c>
      <c r="E231" s="43">
        <v>195000</v>
      </c>
      <c r="F231" s="43"/>
      <c r="G231" s="364"/>
      <c r="H231" s="391" t="s">
        <v>9568</v>
      </c>
    </row>
    <row r="232" spans="1:8" x14ac:dyDescent="0.3">
      <c r="A232" s="45">
        <v>43888</v>
      </c>
      <c r="B232" s="399"/>
      <c r="C232" s="5" t="s">
        <v>25</v>
      </c>
      <c r="D232" s="5" t="s">
        <v>5867</v>
      </c>
      <c r="E232" s="43">
        <v>1200</v>
      </c>
      <c r="F232" s="43"/>
      <c r="G232" s="364"/>
      <c r="H232" s="391" t="s">
        <v>9568</v>
      </c>
    </row>
    <row r="233" spans="1:8" x14ac:dyDescent="0.3">
      <c r="A233" s="45">
        <v>43888</v>
      </c>
      <c r="B233" s="399"/>
      <c r="C233" s="5" t="s">
        <v>2594</v>
      </c>
      <c r="D233" s="5" t="s">
        <v>5868</v>
      </c>
      <c r="E233" s="43">
        <v>534</v>
      </c>
      <c r="F233" s="43"/>
      <c r="G233" s="364"/>
      <c r="H233" s="391" t="s">
        <v>9568</v>
      </c>
    </row>
    <row r="234" spans="1:8" x14ac:dyDescent="0.3">
      <c r="A234" s="45">
        <v>43888</v>
      </c>
      <c r="B234" s="580"/>
      <c r="C234" s="554" t="s">
        <v>5809</v>
      </c>
      <c r="D234" s="554"/>
      <c r="E234" s="554"/>
      <c r="F234" s="43">
        <v>100000</v>
      </c>
      <c r="G234" s="364"/>
      <c r="H234" s="391" t="s">
        <v>9568</v>
      </c>
    </row>
    <row r="235" spans="1:8" x14ac:dyDescent="0.3">
      <c r="A235" s="45">
        <v>43888</v>
      </c>
      <c r="B235" s="399"/>
      <c r="C235" s="5" t="s">
        <v>2594</v>
      </c>
      <c r="D235" s="5" t="s">
        <v>5870</v>
      </c>
      <c r="E235" s="43">
        <v>11100</v>
      </c>
      <c r="F235" s="43"/>
      <c r="G235" s="364"/>
      <c r="H235" s="391" t="s">
        <v>9568</v>
      </c>
    </row>
    <row r="236" spans="1:8" x14ac:dyDescent="0.3">
      <c r="A236" s="45">
        <v>43888</v>
      </c>
      <c r="B236" s="399"/>
      <c r="C236" s="5" t="s">
        <v>5646</v>
      </c>
      <c r="D236" s="5" t="s">
        <v>4319</v>
      </c>
      <c r="E236" s="43">
        <v>1000</v>
      </c>
      <c r="F236" s="43"/>
      <c r="G236" s="364"/>
      <c r="H236" s="391" t="s">
        <v>9568</v>
      </c>
    </row>
    <row r="237" spans="1:8" x14ac:dyDescent="0.3">
      <c r="A237" s="45">
        <v>43888</v>
      </c>
      <c r="B237" s="399"/>
      <c r="C237" s="5" t="s">
        <v>25</v>
      </c>
      <c r="D237" s="5" t="s">
        <v>5887</v>
      </c>
      <c r="E237" s="43">
        <f>120+250+250+150+300+250+470+250+220+220+440+40+10</f>
        <v>2970</v>
      </c>
      <c r="F237" s="43"/>
      <c r="G237" s="364"/>
      <c r="H237" s="391" t="s">
        <v>9568</v>
      </c>
    </row>
    <row r="238" spans="1:8" x14ac:dyDescent="0.3">
      <c r="A238" s="45">
        <v>43888</v>
      </c>
      <c r="B238" s="399"/>
      <c r="C238" s="5" t="s">
        <v>1787</v>
      </c>
      <c r="D238" s="5" t="s">
        <v>5871</v>
      </c>
      <c r="E238" s="43">
        <v>1000</v>
      </c>
      <c r="F238" s="43"/>
      <c r="G238" s="364"/>
      <c r="H238" s="391" t="s">
        <v>9568</v>
      </c>
    </row>
    <row r="239" spans="1:8" x14ac:dyDescent="0.3">
      <c r="A239" s="45">
        <v>43888</v>
      </c>
      <c r="B239" s="399"/>
      <c r="C239" s="5" t="s">
        <v>2594</v>
      </c>
      <c r="D239" s="5" t="s">
        <v>3557</v>
      </c>
      <c r="E239" s="43">
        <v>12600</v>
      </c>
      <c r="F239" s="43"/>
      <c r="G239" s="364"/>
      <c r="H239" s="391" t="s">
        <v>9568</v>
      </c>
    </row>
    <row r="240" spans="1:8" x14ac:dyDescent="0.3">
      <c r="A240" s="45">
        <v>43888</v>
      </c>
      <c r="B240" s="399"/>
      <c r="C240" s="5" t="s">
        <v>84</v>
      </c>
      <c r="D240" s="5" t="s">
        <v>5886</v>
      </c>
      <c r="E240" s="43">
        <v>1000</v>
      </c>
      <c r="F240" s="43"/>
      <c r="G240" s="364"/>
      <c r="H240" s="391" t="s">
        <v>9568</v>
      </c>
    </row>
    <row r="241" spans="1:8" x14ac:dyDescent="0.3">
      <c r="A241" s="45">
        <v>43888</v>
      </c>
      <c r="B241" s="399"/>
      <c r="C241" s="5" t="s">
        <v>14</v>
      </c>
      <c r="D241" s="5" t="s">
        <v>5874</v>
      </c>
      <c r="E241" s="43">
        <v>50000</v>
      </c>
      <c r="F241" s="43"/>
      <c r="G241" s="364"/>
      <c r="H241" s="391" t="s">
        <v>9568</v>
      </c>
    </row>
    <row r="242" spans="1:8" x14ac:dyDescent="0.3">
      <c r="A242" s="45">
        <v>43888</v>
      </c>
      <c r="B242" s="404"/>
      <c r="C242" s="41" t="s">
        <v>68</v>
      </c>
      <c r="D242" s="41" t="s">
        <v>5875</v>
      </c>
      <c r="E242" s="43">
        <v>10000</v>
      </c>
      <c r="F242" s="43"/>
      <c r="G242" s="364"/>
      <c r="H242" s="391" t="s">
        <v>9568</v>
      </c>
    </row>
    <row r="243" spans="1:8" ht="15" customHeight="1" x14ac:dyDescent="0.3">
      <c r="A243" s="45">
        <v>43888</v>
      </c>
      <c r="B243" s="580"/>
      <c r="C243" s="554" t="s">
        <v>5809</v>
      </c>
      <c r="D243" s="554"/>
      <c r="E243" s="554"/>
      <c r="F243" s="43">
        <v>35000</v>
      </c>
      <c r="G243" s="364"/>
      <c r="H243" s="391" t="s">
        <v>9568</v>
      </c>
    </row>
    <row r="244" spans="1:8" ht="15" customHeight="1" x14ac:dyDescent="0.3">
      <c r="A244" s="45">
        <v>43888</v>
      </c>
      <c r="B244" s="580"/>
      <c r="C244" s="554" t="s">
        <v>5809</v>
      </c>
      <c r="D244" s="554"/>
      <c r="E244" s="554"/>
      <c r="F244" s="43">
        <v>25000</v>
      </c>
      <c r="G244" s="364"/>
      <c r="H244" s="391" t="s">
        <v>9568</v>
      </c>
    </row>
    <row r="245" spans="1:8" x14ac:dyDescent="0.3">
      <c r="A245" s="45">
        <v>43888</v>
      </c>
      <c r="B245" s="399"/>
      <c r="C245" s="5" t="s">
        <v>1512</v>
      </c>
      <c r="D245" s="5" t="s">
        <v>5877</v>
      </c>
      <c r="E245" s="43">
        <v>16000</v>
      </c>
      <c r="F245" s="43"/>
      <c r="G245" s="364"/>
      <c r="H245" s="391" t="s">
        <v>9568</v>
      </c>
    </row>
    <row r="246" spans="1:8" ht="15" customHeight="1" x14ac:dyDescent="0.3">
      <c r="A246" s="45">
        <v>43888</v>
      </c>
      <c r="B246" s="580"/>
      <c r="C246" s="554" t="s">
        <v>5809</v>
      </c>
      <c r="D246" s="554"/>
      <c r="E246" s="554"/>
      <c r="F246" s="43">
        <v>175000</v>
      </c>
      <c r="G246" s="364"/>
      <c r="H246" s="391" t="s">
        <v>9568</v>
      </c>
    </row>
    <row r="247" spans="1:8" x14ac:dyDescent="0.3">
      <c r="A247" s="45">
        <v>43888</v>
      </c>
      <c r="B247" s="399"/>
      <c r="C247" s="5" t="s">
        <v>5878</v>
      </c>
      <c r="D247" s="5" t="s">
        <v>5879</v>
      </c>
      <c r="E247" s="43">
        <v>23000</v>
      </c>
      <c r="F247" s="43"/>
      <c r="G247" s="364"/>
      <c r="H247" s="391" t="s">
        <v>9568</v>
      </c>
    </row>
    <row r="248" spans="1:8" x14ac:dyDescent="0.3">
      <c r="A248" s="45">
        <v>43888</v>
      </c>
      <c r="B248" s="399"/>
      <c r="C248" s="5" t="s">
        <v>5665</v>
      </c>
      <c r="D248" s="5" t="s">
        <v>5876</v>
      </c>
      <c r="E248" s="43">
        <v>35600</v>
      </c>
      <c r="F248" s="43"/>
      <c r="G248" s="364"/>
      <c r="H248" s="391" t="s">
        <v>9568</v>
      </c>
    </row>
    <row r="249" spans="1:8" x14ac:dyDescent="0.3">
      <c r="A249" s="45">
        <v>43889</v>
      </c>
      <c r="B249" s="399"/>
      <c r="C249" s="5" t="s">
        <v>0</v>
      </c>
      <c r="D249" s="5" t="s">
        <v>5881</v>
      </c>
      <c r="E249" s="43">
        <v>80000</v>
      </c>
      <c r="F249" s="43"/>
      <c r="G249" s="364"/>
      <c r="H249" s="391" t="s">
        <v>9568</v>
      </c>
    </row>
    <row r="250" spans="1:8" x14ac:dyDescent="0.3">
      <c r="A250" s="45">
        <v>43889</v>
      </c>
      <c r="B250" s="399"/>
      <c r="C250" s="5" t="s">
        <v>4915</v>
      </c>
      <c r="D250" s="92" t="s">
        <v>5882</v>
      </c>
      <c r="E250" s="43">
        <v>15000</v>
      </c>
      <c r="F250" s="43"/>
      <c r="G250" s="364"/>
      <c r="H250" s="391" t="s">
        <v>9568</v>
      </c>
    </row>
    <row r="251" spans="1:8" x14ac:dyDescent="0.3">
      <c r="A251" s="45">
        <v>43889</v>
      </c>
      <c r="B251" s="399"/>
      <c r="C251" s="5" t="s">
        <v>5884</v>
      </c>
      <c r="D251" s="5" t="s">
        <v>5631</v>
      </c>
      <c r="E251" s="43">
        <v>50000</v>
      </c>
      <c r="F251" s="43"/>
      <c r="G251" s="364"/>
      <c r="H251" s="391" t="s">
        <v>9568</v>
      </c>
    </row>
    <row r="252" spans="1:8" x14ac:dyDescent="0.3">
      <c r="A252" s="45">
        <v>43889</v>
      </c>
      <c r="B252" s="399"/>
      <c r="C252" s="5" t="s">
        <v>25</v>
      </c>
      <c r="D252" s="5" t="s">
        <v>5885</v>
      </c>
      <c r="E252" s="43">
        <v>5000</v>
      </c>
      <c r="F252" s="43"/>
      <c r="G252" s="364"/>
      <c r="H252" s="391" t="s">
        <v>9568</v>
      </c>
    </row>
    <row r="253" spans="1:8" x14ac:dyDescent="0.3">
      <c r="A253" s="45">
        <v>43890</v>
      </c>
      <c r="B253" s="399"/>
      <c r="C253" s="5" t="s">
        <v>14</v>
      </c>
      <c r="D253" s="5" t="s">
        <v>3910</v>
      </c>
      <c r="E253" s="43">
        <v>5000</v>
      </c>
      <c r="F253" s="43"/>
      <c r="G253" s="364"/>
      <c r="H253" s="391" t="s">
        <v>9568</v>
      </c>
    </row>
    <row r="254" spans="1:8" x14ac:dyDescent="0.3">
      <c r="A254" s="45">
        <v>43890</v>
      </c>
      <c r="B254" s="399"/>
      <c r="C254" s="5" t="s">
        <v>25</v>
      </c>
      <c r="D254" s="5" t="s">
        <v>5888</v>
      </c>
      <c r="E254" s="43">
        <v>5568</v>
      </c>
      <c r="F254" s="43"/>
      <c r="G254" s="364"/>
      <c r="H254" s="391" t="s">
        <v>9568</v>
      </c>
    </row>
    <row r="255" spans="1:8" x14ac:dyDescent="0.3">
      <c r="A255" s="45">
        <v>43890</v>
      </c>
      <c r="B255" s="399"/>
      <c r="C255" s="5" t="s">
        <v>3559</v>
      </c>
      <c r="D255" s="5" t="s">
        <v>5889</v>
      </c>
      <c r="E255" s="43">
        <v>4000</v>
      </c>
      <c r="F255" s="43"/>
      <c r="G255" s="364"/>
      <c r="H255" s="391" t="s">
        <v>9568</v>
      </c>
    </row>
    <row r="256" spans="1:8" x14ac:dyDescent="0.3">
      <c r="A256" s="45">
        <v>43890</v>
      </c>
      <c r="B256" s="399"/>
      <c r="C256" s="5" t="s">
        <v>247</v>
      </c>
      <c r="D256" s="5" t="s">
        <v>5890</v>
      </c>
      <c r="E256" s="43">
        <v>100</v>
      </c>
      <c r="F256" s="43"/>
      <c r="G256" s="364"/>
      <c r="H256" s="391" t="s">
        <v>9568</v>
      </c>
    </row>
    <row r="257" spans="1:8" x14ac:dyDescent="0.3">
      <c r="A257" s="45">
        <v>43890</v>
      </c>
      <c r="B257" s="404"/>
      <c r="C257" s="41" t="s">
        <v>2594</v>
      </c>
      <c r="D257" s="41" t="s">
        <v>5891</v>
      </c>
      <c r="E257" s="42">
        <v>1000</v>
      </c>
      <c r="F257" s="43"/>
      <c r="G257" s="364"/>
      <c r="H257" s="391" t="s">
        <v>9568</v>
      </c>
    </row>
    <row r="258" spans="1:8" ht="15" customHeight="1" x14ac:dyDescent="0.3">
      <c r="A258" s="45">
        <v>43890</v>
      </c>
      <c r="B258" s="580"/>
      <c r="C258" s="554" t="s">
        <v>5906</v>
      </c>
      <c r="D258" s="554"/>
      <c r="E258" s="554"/>
      <c r="F258" s="43">
        <v>500000</v>
      </c>
      <c r="G258" s="364"/>
      <c r="H258" s="391" t="s">
        <v>9568</v>
      </c>
    </row>
    <row r="259" spans="1:8" x14ac:dyDescent="0.3">
      <c r="A259" s="45">
        <v>43890</v>
      </c>
      <c r="B259" s="399"/>
      <c r="C259" s="5" t="s">
        <v>4550</v>
      </c>
      <c r="D259" s="5" t="s">
        <v>5892</v>
      </c>
      <c r="E259" s="43">
        <v>46000</v>
      </c>
      <c r="F259" s="43"/>
      <c r="G259" s="364"/>
      <c r="H259" s="391" t="s">
        <v>9568</v>
      </c>
    </row>
    <row r="260" spans="1:8" x14ac:dyDescent="0.3">
      <c r="A260" s="45">
        <v>43890</v>
      </c>
      <c r="B260" s="399"/>
      <c r="C260" s="5" t="s">
        <v>1787</v>
      </c>
      <c r="D260" s="5" t="s">
        <v>5893</v>
      </c>
      <c r="E260" s="43">
        <v>2000</v>
      </c>
      <c r="F260" s="43"/>
      <c r="G260" s="364"/>
      <c r="H260" s="391" t="s">
        <v>9568</v>
      </c>
    </row>
    <row r="261" spans="1:8" x14ac:dyDescent="0.3">
      <c r="A261" s="45">
        <v>43892</v>
      </c>
      <c r="B261" s="399"/>
      <c r="C261" s="5" t="s">
        <v>5646</v>
      </c>
      <c r="D261" s="5" t="s">
        <v>5894</v>
      </c>
      <c r="E261" s="43">
        <v>1500</v>
      </c>
      <c r="F261" s="43"/>
      <c r="G261" s="364"/>
      <c r="H261" s="391" t="s">
        <v>9568</v>
      </c>
    </row>
    <row r="262" spans="1:8" x14ac:dyDescent="0.3">
      <c r="A262" s="45">
        <v>43892</v>
      </c>
      <c r="B262" s="399"/>
      <c r="C262" s="5" t="s">
        <v>5764</v>
      </c>
      <c r="D262" s="5" t="s">
        <v>4723</v>
      </c>
      <c r="E262" s="43">
        <v>3000</v>
      </c>
      <c r="F262" s="43"/>
      <c r="G262" s="364"/>
      <c r="H262" s="391" t="s">
        <v>9568</v>
      </c>
    </row>
    <row r="263" spans="1:8" x14ac:dyDescent="0.3">
      <c r="A263" s="45">
        <v>43892</v>
      </c>
      <c r="B263" s="399"/>
      <c r="C263" s="5" t="s">
        <v>2594</v>
      </c>
      <c r="D263" s="5" t="s">
        <v>5895</v>
      </c>
      <c r="E263" s="43">
        <v>38554</v>
      </c>
      <c r="F263" s="43"/>
      <c r="G263" s="364"/>
      <c r="H263" s="391" t="s">
        <v>9568</v>
      </c>
    </row>
    <row r="264" spans="1:8" x14ac:dyDescent="0.3">
      <c r="A264" s="45">
        <v>43892</v>
      </c>
      <c r="B264" s="399"/>
      <c r="C264" s="5" t="s">
        <v>5646</v>
      </c>
      <c r="D264" s="5" t="s">
        <v>3910</v>
      </c>
      <c r="E264" s="43">
        <v>3000</v>
      </c>
      <c r="F264" s="43"/>
      <c r="G264" s="364"/>
      <c r="H264" s="391" t="s">
        <v>9568</v>
      </c>
    </row>
    <row r="265" spans="1:8" x14ac:dyDescent="0.3">
      <c r="A265" s="45">
        <v>43892</v>
      </c>
      <c r="B265" s="399"/>
      <c r="C265" s="5" t="s">
        <v>5896</v>
      </c>
      <c r="D265" s="5" t="s">
        <v>5897</v>
      </c>
      <c r="E265" s="43">
        <v>12000</v>
      </c>
      <c r="F265" s="43"/>
      <c r="G265" s="364"/>
      <c r="H265" s="391" t="s">
        <v>9568</v>
      </c>
    </row>
    <row r="266" spans="1:8" x14ac:dyDescent="0.3">
      <c r="A266" s="45">
        <v>43893</v>
      </c>
      <c r="B266" s="399"/>
      <c r="C266" s="5" t="s">
        <v>4550</v>
      </c>
      <c r="D266" s="5" t="s">
        <v>3172</v>
      </c>
      <c r="E266" s="43">
        <v>24000</v>
      </c>
      <c r="F266" s="43"/>
      <c r="G266" s="364"/>
      <c r="H266" s="391" t="s">
        <v>9568</v>
      </c>
    </row>
    <row r="267" spans="1:8" x14ac:dyDescent="0.3">
      <c r="A267" s="45">
        <v>43893</v>
      </c>
      <c r="B267" s="402"/>
      <c r="C267" s="39" t="s">
        <v>4550</v>
      </c>
      <c r="D267" s="216" t="s">
        <v>4635</v>
      </c>
      <c r="E267" s="40">
        <v>10000</v>
      </c>
      <c r="F267" s="43"/>
      <c r="G267" s="364"/>
      <c r="H267" s="391" t="s">
        <v>9568</v>
      </c>
    </row>
    <row r="268" spans="1:8" x14ac:dyDescent="0.3">
      <c r="A268" s="45">
        <v>43893</v>
      </c>
      <c r="B268" s="399"/>
      <c r="C268" s="5" t="s">
        <v>54</v>
      </c>
      <c r="D268" s="5" t="s">
        <v>5898</v>
      </c>
      <c r="E268" s="43">
        <v>5000</v>
      </c>
      <c r="F268" s="43"/>
      <c r="G268" s="364"/>
      <c r="H268" s="391" t="s">
        <v>9568</v>
      </c>
    </row>
    <row r="269" spans="1:8" x14ac:dyDescent="0.3">
      <c r="A269" s="45">
        <v>43893</v>
      </c>
      <c r="B269" s="399"/>
      <c r="C269" s="5" t="s">
        <v>4869</v>
      </c>
      <c r="D269" s="5" t="s">
        <v>40</v>
      </c>
      <c r="E269" s="43">
        <v>4200</v>
      </c>
      <c r="F269" s="43"/>
      <c r="G269" s="364"/>
      <c r="H269" s="391" t="s">
        <v>9568</v>
      </c>
    </row>
    <row r="270" spans="1:8" x14ac:dyDescent="0.3">
      <c r="A270" s="45">
        <v>43893</v>
      </c>
      <c r="B270" s="399"/>
      <c r="C270" s="5" t="s">
        <v>25</v>
      </c>
      <c r="D270" s="5" t="s">
        <v>5108</v>
      </c>
      <c r="E270" s="43">
        <v>1000</v>
      </c>
      <c r="F270" s="43"/>
      <c r="G270" s="364"/>
      <c r="H270" s="391" t="s">
        <v>9568</v>
      </c>
    </row>
    <row r="271" spans="1:8" x14ac:dyDescent="0.3">
      <c r="A271" s="45">
        <v>43893</v>
      </c>
      <c r="B271" s="399"/>
      <c r="C271" s="5" t="s">
        <v>25</v>
      </c>
      <c r="D271" s="5" t="s">
        <v>5899</v>
      </c>
      <c r="E271" s="43">
        <v>700</v>
      </c>
      <c r="F271" s="43"/>
      <c r="G271" s="364"/>
      <c r="H271" s="391" t="s">
        <v>9568</v>
      </c>
    </row>
    <row r="272" spans="1:8" x14ac:dyDescent="0.3">
      <c r="A272" s="45">
        <v>43893</v>
      </c>
      <c r="B272" s="399"/>
      <c r="C272" s="5" t="s">
        <v>247</v>
      </c>
      <c r="D272" s="5" t="s">
        <v>2013</v>
      </c>
      <c r="E272" s="43">
        <v>100</v>
      </c>
      <c r="F272" s="43"/>
      <c r="G272" s="364"/>
      <c r="H272" s="391" t="s">
        <v>9568</v>
      </c>
    </row>
    <row r="273" spans="1:8" x14ac:dyDescent="0.3">
      <c r="A273" s="45">
        <v>43893</v>
      </c>
      <c r="B273" s="399"/>
      <c r="C273" s="5" t="s">
        <v>2594</v>
      </c>
      <c r="D273" s="5" t="s">
        <v>5900</v>
      </c>
      <c r="E273" s="43">
        <v>21500</v>
      </c>
      <c r="F273" s="43"/>
      <c r="G273" s="364"/>
      <c r="H273" s="391" t="s">
        <v>9568</v>
      </c>
    </row>
    <row r="274" spans="1:8" x14ac:dyDescent="0.3">
      <c r="A274" s="45">
        <v>43893</v>
      </c>
      <c r="B274" s="399"/>
      <c r="C274" s="5" t="s">
        <v>14</v>
      </c>
      <c r="D274" s="5" t="s">
        <v>5813</v>
      </c>
      <c r="E274" s="43">
        <v>5000</v>
      </c>
      <c r="F274" s="43"/>
      <c r="G274" s="364"/>
      <c r="H274" s="391" t="s">
        <v>9568</v>
      </c>
    </row>
    <row r="275" spans="1:8" x14ac:dyDescent="0.3">
      <c r="A275" s="45">
        <v>43893</v>
      </c>
      <c r="B275" s="399"/>
      <c r="C275" s="5" t="s">
        <v>84</v>
      </c>
      <c r="D275" s="5" t="s">
        <v>5901</v>
      </c>
      <c r="E275" s="43">
        <v>500</v>
      </c>
      <c r="F275" s="43"/>
      <c r="G275" s="364"/>
      <c r="H275" s="391" t="s">
        <v>9568</v>
      </c>
    </row>
    <row r="276" spans="1:8" ht="37.5" x14ac:dyDescent="0.3">
      <c r="A276" s="45">
        <v>43893</v>
      </c>
      <c r="B276" s="399"/>
      <c r="C276" s="5" t="s">
        <v>0</v>
      </c>
      <c r="D276" s="92" t="s">
        <v>5917</v>
      </c>
      <c r="E276" s="43">
        <v>5000</v>
      </c>
      <c r="F276" s="43"/>
      <c r="G276" s="364"/>
      <c r="H276" s="391" t="s">
        <v>9568</v>
      </c>
    </row>
    <row r="277" spans="1:8" x14ac:dyDescent="0.3">
      <c r="A277" s="45">
        <v>43894</v>
      </c>
      <c r="B277" s="399"/>
      <c r="C277" s="5" t="s">
        <v>5902</v>
      </c>
      <c r="D277" s="5" t="s">
        <v>5625</v>
      </c>
      <c r="E277" s="43">
        <v>1500</v>
      </c>
      <c r="F277" s="43"/>
      <c r="G277" s="364"/>
      <c r="H277" s="391" t="s">
        <v>9568</v>
      </c>
    </row>
    <row r="278" spans="1:8" x14ac:dyDescent="0.3">
      <c r="A278" s="45">
        <v>43894</v>
      </c>
      <c r="B278" s="399"/>
      <c r="C278" s="5" t="s">
        <v>5709</v>
      </c>
      <c r="D278" s="5" t="s">
        <v>5903</v>
      </c>
      <c r="E278" s="43">
        <v>650</v>
      </c>
      <c r="F278" s="43"/>
      <c r="G278" s="364"/>
      <c r="H278" s="391" t="s">
        <v>9568</v>
      </c>
    </row>
    <row r="279" spans="1:8" x14ac:dyDescent="0.3">
      <c r="A279" s="45">
        <v>43894</v>
      </c>
      <c r="B279" s="399"/>
      <c r="C279" s="5" t="s">
        <v>5709</v>
      </c>
      <c r="D279" s="5" t="s">
        <v>5904</v>
      </c>
      <c r="E279" s="43">
        <v>200</v>
      </c>
      <c r="F279" s="43"/>
      <c r="G279" s="364"/>
      <c r="H279" s="391" t="s">
        <v>9568</v>
      </c>
    </row>
    <row r="280" spans="1:8" x14ac:dyDescent="0.3">
      <c r="A280" s="45">
        <v>43894</v>
      </c>
      <c r="B280" s="402"/>
      <c r="C280" s="39" t="s">
        <v>5709</v>
      </c>
      <c r="D280" s="39" t="s">
        <v>5388</v>
      </c>
      <c r="E280" s="40">
        <v>150</v>
      </c>
      <c r="F280" s="43"/>
      <c r="G280" s="364"/>
      <c r="H280" s="391" t="s">
        <v>9568</v>
      </c>
    </row>
    <row r="281" spans="1:8" x14ac:dyDescent="0.3">
      <c r="A281" s="45">
        <v>43894</v>
      </c>
      <c r="B281" s="399"/>
      <c r="C281" s="5" t="s">
        <v>0</v>
      </c>
      <c r="D281" s="5" t="s">
        <v>294</v>
      </c>
      <c r="E281" s="43">
        <v>5000</v>
      </c>
      <c r="F281" s="43"/>
      <c r="G281" s="364"/>
      <c r="H281" s="391" t="s">
        <v>9568</v>
      </c>
    </row>
    <row r="282" spans="1:8" x14ac:dyDescent="0.3">
      <c r="A282" s="45">
        <v>43894</v>
      </c>
      <c r="B282" s="399"/>
      <c r="C282" s="5" t="s">
        <v>25</v>
      </c>
      <c r="D282" s="5" t="s">
        <v>5905</v>
      </c>
      <c r="E282" s="43">
        <v>1572</v>
      </c>
      <c r="F282" s="43"/>
      <c r="G282" s="364"/>
      <c r="H282" s="391" t="s">
        <v>9568</v>
      </c>
    </row>
    <row r="283" spans="1:8" x14ac:dyDescent="0.3">
      <c r="A283" s="45">
        <v>43894</v>
      </c>
      <c r="B283" s="399"/>
      <c r="C283" s="5" t="s">
        <v>2594</v>
      </c>
      <c r="D283" s="5" t="s">
        <v>3910</v>
      </c>
      <c r="E283" s="43">
        <v>1280</v>
      </c>
      <c r="F283" s="43"/>
      <c r="G283" s="364"/>
      <c r="H283" s="391" t="s">
        <v>9568</v>
      </c>
    </row>
    <row r="284" spans="1:8" x14ac:dyDescent="0.3">
      <c r="A284" s="45">
        <v>43894</v>
      </c>
      <c r="B284" s="399"/>
      <c r="C284" s="5" t="s">
        <v>4552</v>
      </c>
      <c r="D284" s="5" t="s">
        <v>5910</v>
      </c>
      <c r="E284" s="43">
        <v>1000</v>
      </c>
      <c r="F284" s="43"/>
      <c r="G284" s="364"/>
      <c r="H284" s="391" t="s">
        <v>9568</v>
      </c>
    </row>
    <row r="285" spans="1:8" x14ac:dyDescent="0.3">
      <c r="A285" s="45">
        <v>43895</v>
      </c>
      <c r="B285" s="399"/>
      <c r="C285" s="5" t="s">
        <v>5741</v>
      </c>
      <c r="D285" s="5" t="s">
        <v>5907</v>
      </c>
      <c r="E285" s="43">
        <v>4600</v>
      </c>
      <c r="F285" s="43"/>
      <c r="G285" s="364"/>
      <c r="H285" s="391" t="s">
        <v>9568</v>
      </c>
    </row>
    <row r="286" spans="1:8" x14ac:dyDescent="0.3">
      <c r="A286" s="45">
        <v>43895</v>
      </c>
      <c r="B286" s="399"/>
      <c r="C286" s="5" t="s">
        <v>247</v>
      </c>
      <c r="D286" s="5" t="s">
        <v>5908</v>
      </c>
      <c r="E286" s="43">
        <v>50</v>
      </c>
      <c r="F286" s="43"/>
      <c r="G286" s="364"/>
      <c r="H286" s="391" t="s">
        <v>9568</v>
      </c>
    </row>
    <row r="287" spans="1:8" x14ac:dyDescent="0.3">
      <c r="A287" s="45">
        <v>43895</v>
      </c>
      <c r="B287" s="399"/>
      <c r="C287" s="5" t="s">
        <v>84</v>
      </c>
      <c r="D287" s="5" t="s">
        <v>5909</v>
      </c>
      <c r="E287" s="43">
        <v>1000</v>
      </c>
      <c r="F287" s="43"/>
      <c r="G287" s="364"/>
      <c r="H287" s="391" t="s">
        <v>9568</v>
      </c>
    </row>
    <row r="288" spans="1:8" x14ac:dyDescent="0.3">
      <c r="A288" s="45">
        <v>43895</v>
      </c>
      <c r="B288" s="405"/>
      <c r="C288" s="195" t="s">
        <v>0</v>
      </c>
      <c r="D288" s="195" t="s">
        <v>5881</v>
      </c>
      <c r="E288" s="196">
        <v>42000</v>
      </c>
      <c r="F288" s="43"/>
      <c r="G288" s="364"/>
      <c r="H288" s="391" t="s">
        <v>9568</v>
      </c>
    </row>
    <row r="289" spans="1:8" x14ac:dyDescent="0.3">
      <c r="A289" s="45">
        <v>43895</v>
      </c>
      <c r="B289" s="399"/>
      <c r="C289" s="5" t="s">
        <v>2594</v>
      </c>
      <c r="D289" s="5" t="s">
        <v>5388</v>
      </c>
      <c r="E289" s="43">
        <v>2500</v>
      </c>
      <c r="F289" s="43"/>
      <c r="G289" s="364"/>
      <c r="H289" s="391" t="s">
        <v>9568</v>
      </c>
    </row>
    <row r="290" spans="1:8" x14ac:dyDescent="0.3">
      <c r="A290" s="45">
        <v>43895</v>
      </c>
      <c r="B290" s="399"/>
      <c r="C290" s="5" t="s">
        <v>2348</v>
      </c>
      <c r="D290" s="5" t="s">
        <v>5519</v>
      </c>
      <c r="E290" s="43">
        <v>10000</v>
      </c>
      <c r="F290" s="43"/>
      <c r="G290" s="364"/>
      <c r="H290" s="391" t="s">
        <v>9568</v>
      </c>
    </row>
    <row r="291" spans="1:8" x14ac:dyDescent="0.3">
      <c r="A291" s="45">
        <v>43896</v>
      </c>
      <c r="B291" s="397"/>
      <c r="C291" s="186" t="s">
        <v>54</v>
      </c>
      <c r="D291" s="186" t="s">
        <v>5911</v>
      </c>
      <c r="E291" s="187">
        <v>120506</v>
      </c>
      <c r="F291" s="43"/>
      <c r="G291" s="364"/>
      <c r="H291" s="391" t="s">
        <v>9568</v>
      </c>
    </row>
    <row r="292" spans="1:8" x14ac:dyDescent="0.3">
      <c r="A292" s="45">
        <v>43896</v>
      </c>
      <c r="B292" s="397"/>
      <c r="C292" s="186" t="s">
        <v>54</v>
      </c>
      <c r="D292" s="186" t="s">
        <v>5912</v>
      </c>
      <c r="E292" s="187">
        <v>93331</v>
      </c>
      <c r="F292" s="43"/>
      <c r="G292" s="364"/>
      <c r="H292" s="391" t="s">
        <v>9568</v>
      </c>
    </row>
    <row r="293" spans="1:8" x14ac:dyDescent="0.3">
      <c r="A293" s="45">
        <v>43896</v>
      </c>
      <c r="B293" s="399"/>
      <c r="C293" s="5" t="s">
        <v>25</v>
      </c>
      <c r="D293" s="5" t="s">
        <v>5913</v>
      </c>
      <c r="E293" s="43">
        <v>200</v>
      </c>
      <c r="F293" s="43"/>
      <c r="G293" s="364"/>
      <c r="H293" s="391" t="s">
        <v>9568</v>
      </c>
    </row>
    <row r="294" spans="1:8" x14ac:dyDescent="0.3">
      <c r="A294" s="45">
        <v>43896</v>
      </c>
      <c r="B294" s="399"/>
      <c r="C294" s="5" t="s">
        <v>5914</v>
      </c>
      <c r="D294" s="5" t="s">
        <v>5915</v>
      </c>
      <c r="E294" s="43">
        <v>2000</v>
      </c>
      <c r="F294" s="43"/>
      <c r="G294" s="364"/>
      <c r="H294" s="391" t="s">
        <v>9568</v>
      </c>
    </row>
    <row r="295" spans="1:8" x14ac:dyDescent="0.3">
      <c r="A295" s="45">
        <v>43896</v>
      </c>
      <c r="B295" s="399"/>
      <c r="C295" s="5" t="s">
        <v>4552</v>
      </c>
      <c r="D295" s="5" t="s">
        <v>294</v>
      </c>
      <c r="E295" s="43">
        <v>1000</v>
      </c>
      <c r="F295" s="43"/>
      <c r="G295" s="364"/>
      <c r="H295" s="391" t="s">
        <v>9568</v>
      </c>
    </row>
    <row r="296" spans="1:8" x14ac:dyDescent="0.3">
      <c r="A296" s="45">
        <v>43896</v>
      </c>
      <c r="B296" s="399"/>
      <c r="C296" s="5" t="s">
        <v>5646</v>
      </c>
      <c r="D296" s="5" t="s">
        <v>5916</v>
      </c>
      <c r="E296" s="43">
        <v>230</v>
      </c>
      <c r="F296" s="43"/>
      <c r="G296" s="364"/>
      <c r="H296" s="391" t="s">
        <v>9568</v>
      </c>
    </row>
    <row r="297" spans="1:8" x14ac:dyDescent="0.3">
      <c r="A297" s="45">
        <v>43896</v>
      </c>
      <c r="B297" s="399"/>
      <c r="C297" s="5" t="s">
        <v>25</v>
      </c>
      <c r="D297" s="5" t="s">
        <v>5377</v>
      </c>
      <c r="E297" s="43">
        <v>600</v>
      </c>
      <c r="F297" s="43"/>
      <c r="G297" s="364"/>
      <c r="H297" s="391" t="s">
        <v>9568</v>
      </c>
    </row>
    <row r="298" spans="1:8" x14ac:dyDescent="0.3">
      <c r="A298" s="45">
        <v>43896</v>
      </c>
      <c r="B298" s="399"/>
      <c r="C298" s="5"/>
      <c r="D298" s="5" t="s">
        <v>1458</v>
      </c>
      <c r="E298" s="43">
        <v>400</v>
      </c>
      <c r="F298" s="43"/>
      <c r="G298" s="364"/>
      <c r="H298" s="391" t="s">
        <v>9568</v>
      </c>
    </row>
    <row r="299" spans="1:8" x14ac:dyDescent="0.3">
      <c r="A299" s="45">
        <v>43896</v>
      </c>
      <c r="B299" s="399"/>
      <c r="C299" s="5" t="s">
        <v>14</v>
      </c>
      <c r="D299" s="5" t="s">
        <v>3910</v>
      </c>
      <c r="E299" s="43">
        <v>10000</v>
      </c>
      <c r="F299" s="43"/>
      <c r="G299" s="364"/>
      <c r="H299" s="391" t="s">
        <v>9568</v>
      </c>
    </row>
    <row r="300" spans="1:8" x14ac:dyDescent="0.3">
      <c r="A300" s="45">
        <v>43897</v>
      </c>
      <c r="B300" s="402"/>
      <c r="C300" s="39" t="s">
        <v>84</v>
      </c>
      <c r="D300" s="39" t="s">
        <v>5929</v>
      </c>
      <c r="E300" s="40">
        <v>1000</v>
      </c>
      <c r="F300" s="43"/>
      <c r="G300" s="364"/>
      <c r="H300" s="391" t="s">
        <v>9568</v>
      </c>
    </row>
    <row r="301" spans="1:8" x14ac:dyDescent="0.3">
      <c r="A301" s="45">
        <v>43897</v>
      </c>
      <c r="B301" s="399"/>
      <c r="C301" s="5" t="s">
        <v>18</v>
      </c>
      <c r="D301" s="5" t="s">
        <v>5920</v>
      </c>
      <c r="E301" s="43">
        <v>2500</v>
      </c>
      <c r="F301" s="43"/>
      <c r="G301" s="364"/>
      <c r="H301" s="391" t="s">
        <v>9568</v>
      </c>
    </row>
    <row r="302" spans="1:8" x14ac:dyDescent="0.3">
      <c r="A302" s="45">
        <v>43897</v>
      </c>
      <c r="B302" s="399"/>
      <c r="C302" s="5" t="s">
        <v>5646</v>
      </c>
      <c r="D302" s="5" t="s">
        <v>5919</v>
      </c>
      <c r="E302" s="43">
        <v>350</v>
      </c>
      <c r="F302" s="43"/>
      <c r="G302" s="364"/>
      <c r="H302" s="391" t="s">
        <v>9568</v>
      </c>
    </row>
    <row r="303" spans="1:8" x14ac:dyDescent="0.3">
      <c r="A303" s="45">
        <v>43897</v>
      </c>
      <c r="B303" s="399"/>
      <c r="C303" s="5" t="s">
        <v>84</v>
      </c>
      <c r="D303" s="5" t="s">
        <v>5918</v>
      </c>
      <c r="E303" s="43">
        <v>15000</v>
      </c>
      <c r="F303" s="43"/>
      <c r="G303" s="364"/>
      <c r="H303" s="391" t="s">
        <v>9568</v>
      </c>
    </row>
    <row r="304" spans="1:8" x14ac:dyDescent="0.3">
      <c r="A304" s="45">
        <v>43897</v>
      </c>
      <c r="B304" s="399"/>
      <c r="C304" s="5" t="s">
        <v>1787</v>
      </c>
      <c r="D304" s="5" t="s">
        <v>5871</v>
      </c>
      <c r="E304" s="43">
        <v>1400</v>
      </c>
      <c r="F304" s="43"/>
      <c r="G304" s="364"/>
      <c r="H304" s="391" t="s">
        <v>9568</v>
      </c>
    </row>
    <row r="305" spans="1:8" ht="15" customHeight="1" x14ac:dyDescent="0.3">
      <c r="A305" s="45">
        <v>43897</v>
      </c>
      <c r="B305" s="580"/>
      <c r="C305" s="554" t="s">
        <v>5921</v>
      </c>
      <c r="D305" s="554"/>
      <c r="E305" s="554"/>
      <c r="F305" s="43">
        <v>50000</v>
      </c>
      <c r="G305" s="364"/>
      <c r="H305" s="391" t="s">
        <v>9568</v>
      </c>
    </row>
    <row r="306" spans="1:8" x14ac:dyDescent="0.3">
      <c r="A306" s="45">
        <v>43897</v>
      </c>
      <c r="B306" s="399"/>
      <c r="C306" s="5" t="s">
        <v>5922</v>
      </c>
      <c r="D306" s="5" t="s">
        <v>5107</v>
      </c>
      <c r="E306" s="43">
        <v>25000</v>
      </c>
      <c r="F306" s="43"/>
      <c r="G306" s="364"/>
      <c r="H306" s="391" t="s">
        <v>9568</v>
      </c>
    </row>
    <row r="307" spans="1:8" x14ac:dyDescent="0.3">
      <c r="A307" s="45">
        <v>43897</v>
      </c>
      <c r="B307" s="399"/>
      <c r="C307" s="5" t="s">
        <v>5923</v>
      </c>
      <c r="D307" s="5" t="s">
        <v>5924</v>
      </c>
      <c r="E307" s="43">
        <v>1000</v>
      </c>
      <c r="F307" s="43"/>
      <c r="G307" s="364"/>
      <c r="H307" s="391" t="s">
        <v>9568</v>
      </c>
    </row>
    <row r="308" spans="1:8" x14ac:dyDescent="0.3">
      <c r="A308" s="45">
        <v>43899</v>
      </c>
      <c r="B308" s="402"/>
      <c r="C308" s="39" t="s">
        <v>54</v>
      </c>
      <c r="D308" s="39" t="s">
        <v>5925</v>
      </c>
      <c r="E308" s="40">
        <v>21581</v>
      </c>
      <c r="F308" s="43"/>
      <c r="G308" s="364"/>
      <c r="H308" s="391" t="s">
        <v>9568</v>
      </c>
    </row>
    <row r="309" spans="1:8" ht="15" customHeight="1" x14ac:dyDescent="0.3">
      <c r="A309" s="45">
        <v>43899</v>
      </c>
      <c r="B309" s="580"/>
      <c r="C309" s="554" t="s">
        <v>5926</v>
      </c>
      <c r="D309" s="554"/>
      <c r="E309" s="554"/>
      <c r="F309" s="43">
        <v>1500000</v>
      </c>
      <c r="G309" s="364"/>
      <c r="H309" s="391" t="s">
        <v>9568</v>
      </c>
    </row>
    <row r="310" spans="1:8" x14ac:dyDescent="0.3">
      <c r="A310" s="184">
        <v>43899</v>
      </c>
      <c r="B310" s="407"/>
      <c r="C310" s="66" t="s">
        <v>0</v>
      </c>
      <c r="D310" s="66" t="s">
        <v>4591</v>
      </c>
      <c r="E310" s="67">
        <v>50</v>
      </c>
      <c r="F310" s="67"/>
      <c r="G310" s="364"/>
      <c r="H310" s="391" t="s">
        <v>9568</v>
      </c>
    </row>
    <row r="311" spans="1:8" x14ac:dyDescent="0.3">
      <c r="A311" s="45">
        <v>43899</v>
      </c>
      <c r="B311" s="399"/>
      <c r="C311" s="5" t="s">
        <v>2346</v>
      </c>
      <c r="D311" s="5" t="s">
        <v>5927</v>
      </c>
      <c r="E311" s="43">
        <v>1000</v>
      </c>
      <c r="F311" s="43"/>
      <c r="G311" s="364"/>
      <c r="H311" s="391" t="s">
        <v>9568</v>
      </c>
    </row>
    <row r="312" spans="1:8" x14ac:dyDescent="0.3">
      <c r="A312" s="45">
        <v>43899</v>
      </c>
      <c r="B312" s="399"/>
      <c r="C312" s="5" t="s">
        <v>5922</v>
      </c>
      <c r="D312" s="5" t="s">
        <v>5107</v>
      </c>
      <c r="E312" s="43">
        <v>17500</v>
      </c>
      <c r="F312" s="43"/>
      <c r="G312" s="364"/>
      <c r="H312" s="391" t="s">
        <v>9568</v>
      </c>
    </row>
    <row r="313" spans="1:8" x14ac:dyDescent="0.3">
      <c r="A313" s="45">
        <v>43899</v>
      </c>
      <c r="B313" s="399"/>
      <c r="C313" s="5" t="s">
        <v>2842</v>
      </c>
      <c r="D313" s="5" t="s">
        <v>5928</v>
      </c>
      <c r="E313" s="43">
        <v>50000</v>
      </c>
      <c r="F313" s="43"/>
      <c r="G313" s="364"/>
      <c r="H313" s="391" t="s">
        <v>9568</v>
      </c>
    </row>
    <row r="314" spans="1:8" x14ac:dyDescent="0.3">
      <c r="A314" s="45">
        <v>43899</v>
      </c>
      <c r="B314" s="402"/>
      <c r="C314" s="39" t="s">
        <v>54</v>
      </c>
      <c r="D314" s="217" t="s">
        <v>7823</v>
      </c>
      <c r="E314" s="40">
        <v>1229513</v>
      </c>
      <c r="F314" s="43"/>
      <c r="G314" s="364"/>
      <c r="H314" s="391" t="s">
        <v>9568</v>
      </c>
    </row>
    <row r="315" spans="1:8" x14ac:dyDescent="0.3">
      <c r="A315" s="45">
        <v>43899</v>
      </c>
      <c r="B315" s="399"/>
      <c r="C315" s="5" t="s">
        <v>84</v>
      </c>
      <c r="D315" s="5" t="s">
        <v>5901</v>
      </c>
      <c r="E315" s="43">
        <v>1000</v>
      </c>
      <c r="F315" s="43"/>
      <c r="G315" s="364"/>
      <c r="H315" s="391" t="s">
        <v>9568</v>
      </c>
    </row>
    <row r="316" spans="1:8" x14ac:dyDescent="0.3">
      <c r="A316" s="45">
        <v>43899</v>
      </c>
      <c r="B316" s="399"/>
      <c r="C316" s="5" t="s">
        <v>5941</v>
      </c>
      <c r="D316" s="5" t="s">
        <v>5942</v>
      </c>
      <c r="E316" s="43">
        <v>7000</v>
      </c>
      <c r="F316" s="43"/>
      <c r="G316" s="364"/>
      <c r="H316" s="391" t="s">
        <v>9568</v>
      </c>
    </row>
    <row r="317" spans="1:8" x14ac:dyDescent="0.3">
      <c r="A317" s="45">
        <v>43899</v>
      </c>
      <c r="B317" s="399"/>
      <c r="C317" s="5" t="s">
        <v>2984</v>
      </c>
      <c r="D317" s="5" t="s">
        <v>5943</v>
      </c>
      <c r="E317" s="43">
        <v>8000</v>
      </c>
      <c r="F317" s="43"/>
      <c r="G317" s="364"/>
      <c r="H317" s="391" t="s">
        <v>9568</v>
      </c>
    </row>
    <row r="318" spans="1:8" x14ac:dyDescent="0.3">
      <c r="A318" s="45">
        <v>43900</v>
      </c>
      <c r="B318" s="399"/>
      <c r="C318" s="5" t="s">
        <v>25</v>
      </c>
      <c r="D318" s="5" t="s">
        <v>5944</v>
      </c>
      <c r="E318" s="43">
        <f>130+150+130+250+200+164+120+50+40+33</f>
        <v>1267</v>
      </c>
      <c r="F318" s="43"/>
      <c r="G318" s="364"/>
      <c r="H318" s="391" t="s">
        <v>9568</v>
      </c>
    </row>
    <row r="319" spans="1:8" x14ac:dyDescent="0.3">
      <c r="A319" s="45">
        <v>43900</v>
      </c>
      <c r="B319" s="399"/>
      <c r="C319" s="5" t="s">
        <v>5914</v>
      </c>
      <c r="D319" s="5" t="s">
        <v>5945</v>
      </c>
      <c r="E319" s="43">
        <v>100</v>
      </c>
      <c r="F319" s="43"/>
      <c r="G319" s="364"/>
      <c r="H319" s="391" t="s">
        <v>9568</v>
      </c>
    </row>
    <row r="320" spans="1:8" x14ac:dyDescent="0.3">
      <c r="A320" s="45">
        <v>43900</v>
      </c>
      <c r="B320" s="399"/>
      <c r="C320" s="5" t="s">
        <v>64</v>
      </c>
      <c r="D320" s="5" t="s">
        <v>2948</v>
      </c>
      <c r="E320" s="43">
        <f>400+880</f>
        <v>1280</v>
      </c>
      <c r="F320" s="43"/>
      <c r="G320" s="364"/>
      <c r="H320" s="391" t="s">
        <v>9568</v>
      </c>
    </row>
    <row r="321" spans="1:8" x14ac:dyDescent="0.3">
      <c r="A321" s="45">
        <v>43900</v>
      </c>
      <c r="B321" s="399"/>
      <c r="C321" s="5" t="s">
        <v>64</v>
      </c>
      <c r="D321" s="5" t="s">
        <v>25</v>
      </c>
      <c r="E321" s="43">
        <f>560+700</f>
        <v>1260</v>
      </c>
      <c r="F321" s="43"/>
      <c r="G321" s="364"/>
      <c r="H321" s="391" t="s">
        <v>9568</v>
      </c>
    </row>
    <row r="322" spans="1:8" x14ac:dyDescent="0.3">
      <c r="A322" s="45">
        <v>43900</v>
      </c>
      <c r="B322" s="402"/>
      <c r="C322" s="39" t="s">
        <v>5930</v>
      </c>
      <c r="D322" s="39" t="s">
        <v>5932</v>
      </c>
      <c r="E322" s="40">
        <v>30160</v>
      </c>
      <c r="F322" s="43"/>
      <c r="G322" s="364"/>
      <c r="H322" s="391" t="s">
        <v>9568</v>
      </c>
    </row>
    <row r="323" spans="1:8" x14ac:dyDescent="0.3">
      <c r="A323" s="45">
        <v>43900</v>
      </c>
      <c r="B323" s="402"/>
      <c r="C323" s="39" t="s">
        <v>5930</v>
      </c>
      <c r="D323" s="39" t="s">
        <v>5931</v>
      </c>
      <c r="E323" s="40">
        <v>32760</v>
      </c>
      <c r="F323" s="43"/>
      <c r="G323" s="364"/>
      <c r="H323" s="391" t="s">
        <v>9568</v>
      </c>
    </row>
    <row r="324" spans="1:8" x14ac:dyDescent="0.3">
      <c r="A324" s="45">
        <v>43900</v>
      </c>
      <c r="B324" s="402"/>
      <c r="C324" s="39" t="s">
        <v>5930</v>
      </c>
      <c r="D324" s="39" t="s">
        <v>5933</v>
      </c>
      <c r="E324" s="40">
        <v>12960</v>
      </c>
      <c r="F324" s="43"/>
      <c r="G324" s="364"/>
      <c r="H324" s="391" t="s">
        <v>9568</v>
      </c>
    </row>
    <row r="325" spans="1:8" x14ac:dyDescent="0.3">
      <c r="A325" s="45">
        <v>43900</v>
      </c>
      <c r="B325" s="402"/>
      <c r="C325" s="39" t="s">
        <v>5930</v>
      </c>
      <c r="D325" s="39" t="s">
        <v>5199</v>
      </c>
      <c r="E325" s="40">
        <v>60743</v>
      </c>
      <c r="F325" s="43"/>
      <c r="G325" s="364"/>
      <c r="H325" s="391" t="s">
        <v>9568</v>
      </c>
    </row>
    <row r="326" spans="1:8" x14ac:dyDescent="0.3">
      <c r="A326" s="45">
        <v>43900</v>
      </c>
      <c r="B326" s="408"/>
      <c r="C326" s="218" t="s">
        <v>1541</v>
      </c>
      <c r="D326" s="218" t="s">
        <v>5934</v>
      </c>
      <c r="E326" s="211">
        <v>5000</v>
      </c>
      <c r="F326" s="43"/>
      <c r="G326" s="364"/>
      <c r="H326" s="391" t="s">
        <v>9568</v>
      </c>
    </row>
    <row r="327" spans="1:8" x14ac:dyDescent="0.3">
      <c r="A327" s="45">
        <v>43900</v>
      </c>
      <c r="B327" s="399"/>
      <c r="C327" s="5" t="s">
        <v>25</v>
      </c>
      <c r="D327" s="5" t="s">
        <v>5935</v>
      </c>
      <c r="E327" s="43">
        <v>177</v>
      </c>
      <c r="F327" s="43"/>
      <c r="G327" s="364"/>
      <c r="H327" s="391" t="s">
        <v>9568</v>
      </c>
    </row>
    <row r="328" spans="1:8" x14ac:dyDescent="0.3">
      <c r="A328" s="45">
        <v>43900</v>
      </c>
      <c r="B328" s="399"/>
      <c r="C328" s="5" t="s">
        <v>5936</v>
      </c>
      <c r="D328" s="5" t="s">
        <v>5940</v>
      </c>
      <c r="E328" s="43">
        <v>13200</v>
      </c>
      <c r="F328" s="43"/>
      <c r="G328" s="364"/>
      <c r="H328" s="391" t="s">
        <v>9568</v>
      </c>
    </row>
    <row r="329" spans="1:8" x14ac:dyDescent="0.3">
      <c r="A329" s="45">
        <v>43900</v>
      </c>
      <c r="B329" s="408"/>
      <c r="C329" s="218" t="s">
        <v>5792</v>
      </c>
      <c r="D329" s="218" t="s">
        <v>5946</v>
      </c>
      <c r="E329" s="211">
        <v>8000</v>
      </c>
      <c r="F329" s="43"/>
      <c r="G329" s="364"/>
      <c r="H329" s="391" t="s">
        <v>9568</v>
      </c>
    </row>
    <row r="330" spans="1:8" x14ac:dyDescent="0.3">
      <c r="A330" s="45">
        <v>43900</v>
      </c>
      <c r="B330" s="399"/>
      <c r="C330" s="5" t="s">
        <v>25</v>
      </c>
      <c r="D330" s="5" t="s">
        <v>5947</v>
      </c>
      <c r="E330" s="43">
        <v>3000</v>
      </c>
      <c r="F330" s="43"/>
      <c r="G330" s="364"/>
      <c r="H330" s="391" t="s">
        <v>9568</v>
      </c>
    </row>
    <row r="331" spans="1:8" x14ac:dyDescent="0.3">
      <c r="A331" s="45">
        <v>43901</v>
      </c>
      <c r="B331" s="399"/>
      <c r="C331" s="5" t="s">
        <v>5846</v>
      </c>
      <c r="D331" s="5" t="s">
        <v>5937</v>
      </c>
      <c r="E331" s="43">
        <v>500</v>
      </c>
      <c r="F331" s="43"/>
      <c r="G331" s="364"/>
      <c r="H331" s="391" t="s">
        <v>9568</v>
      </c>
    </row>
    <row r="332" spans="1:8" x14ac:dyDescent="0.3">
      <c r="A332" s="45">
        <v>43901</v>
      </c>
      <c r="B332" s="399"/>
      <c r="C332" s="5" t="s">
        <v>5938</v>
      </c>
      <c r="D332" s="5" t="s">
        <v>5939</v>
      </c>
      <c r="E332" s="43">
        <v>20000</v>
      </c>
      <c r="F332" s="43"/>
      <c r="G332" s="364"/>
      <c r="H332" s="391" t="s">
        <v>9568</v>
      </c>
    </row>
    <row r="333" spans="1:8" x14ac:dyDescent="0.3">
      <c r="A333" s="45">
        <v>43901</v>
      </c>
      <c r="B333" s="399"/>
      <c r="C333" s="5" t="s">
        <v>76</v>
      </c>
      <c r="D333" s="5" t="s">
        <v>5950</v>
      </c>
      <c r="E333" s="43">
        <v>400</v>
      </c>
      <c r="F333" s="43"/>
      <c r="G333" s="364"/>
      <c r="H333" s="391" t="s">
        <v>9568</v>
      </c>
    </row>
    <row r="334" spans="1:8" ht="15" customHeight="1" x14ac:dyDescent="0.3">
      <c r="A334" s="45">
        <v>43902</v>
      </c>
      <c r="B334" s="580"/>
      <c r="C334" s="554" t="s">
        <v>5952</v>
      </c>
      <c r="D334" s="554"/>
      <c r="E334" s="554"/>
      <c r="F334" s="43">
        <v>150000</v>
      </c>
      <c r="G334" s="364"/>
      <c r="H334" s="391" t="s">
        <v>9568</v>
      </c>
    </row>
    <row r="335" spans="1:8" x14ac:dyDescent="0.3">
      <c r="A335" s="45">
        <v>43903</v>
      </c>
      <c r="B335" s="399"/>
      <c r="C335" s="5" t="s">
        <v>5646</v>
      </c>
      <c r="D335" s="5" t="s">
        <v>4187</v>
      </c>
      <c r="E335" s="43">
        <v>5000</v>
      </c>
      <c r="F335" s="43"/>
      <c r="G335" s="364"/>
      <c r="H335" s="391" t="s">
        <v>9568</v>
      </c>
    </row>
    <row r="336" spans="1:8" x14ac:dyDescent="0.3">
      <c r="A336" s="45">
        <v>43903</v>
      </c>
      <c r="B336" s="399"/>
      <c r="C336" s="5" t="s">
        <v>25</v>
      </c>
      <c r="D336" s="5" t="s">
        <v>5954</v>
      </c>
      <c r="E336" s="43">
        <v>1000</v>
      </c>
      <c r="F336" s="43"/>
      <c r="G336" s="364"/>
      <c r="H336" s="391" t="s">
        <v>9568</v>
      </c>
    </row>
    <row r="337" spans="1:8" x14ac:dyDescent="0.3">
      <c r="A337" s="45">
        <v>43903</v>
      </c>
      <c r="B337" s="399"/>
      <c r="C337" s="5" t="s">
        <v>18</v>
      </c>
      <c r="D337" s="5" t="s">
        <v>5955</v>
      </c>
      <c r="E337" s="43">
        <v>10000</v>
      </c>
      <c r="F337" s="43"/>
      <c r="G337" s="364"/>
      <c r="H337" s="391" t="s">
        <v>9568</v>
      </c>
    </row>
    <row r="338" spans="1:8" x14ac:dyDescent="0.3">
      <c r="A338" s="45">
        <v>43904</v>
      </c>
      <c r="B338" s="399"/>
      <c r="C338" s="5" t="s">
        <v>25</v>
      </c>
      <c r="D338" s="5" t="s">
        <v>5956</v>
      </c>
      <c r="E338" s="43">
        <f>300+55+170</f>
        <v>525</v>
      </c>
      <c r="F338" s="43"/>
      <c r="G338" s="364"/>
      <c r="H338" s="391" t="s">
        <v>9568</v>
      </c>
    </row>
    <row r="339" spans="1:8" x14ac:dyDescent="0.3">
      <c r="A339" s="45">
        <v>43904</v>
      </c>
      <c r="B339" s="399"/>
      <c r="C339" s="5" t="s">
        <v>25</v>
      </c>
      <c r="D339" s="5" t="s">
        <v>5957</v>
      </c>
      <c r="E339" s="43">
        <f>200+370+250</f>
        <v>820</v>
      </c>
      <c r="F339" s="43"/>
      <c r="G339" s="364"/>
      <c r="H339" s="391" t="s">
        <v>9568</v>
      </c>
    </row>
    <row r="340" spans="1:8" x14ac:dyDescent="0.3">
      <c r="A340" s="45">
        <v>43904</v>
      </c>
      <c r="B340" s="399"/>
      <c r="C340" s="5" t="s">
        <v>5156</v>
      </c>
      <c r="D340" s="5" t="s">
        <v>5953</v>
      </c>
      <c r="E340" s="43">
        <v>600</v>
      </c>
      <c r="F340" s="43"/>
      <c r="G340" s="364"/>
      <c r="H340" s="391" t="s">
        <v>9568</v>
      </c>
    </row>
    <row r="341" spans="1:8" x14ac:dyDescent="0.3">
      <c r="A341" s="45">
        <v>43904</v>
      </c>
      <c r="B341" s="399"/>
      <c r="C341" s="5" t="s">
        <v>5156</v>
      </c>
      <c r="D341" s="5" t="s">
        <v>693</v>
      </c>
      <c r="E341" s="43">
        <v>490</v>
      </c>
      <c r="F341" s="43"/>
      <c r="G341" s="364"/>
      <c r="H341" s="391" t="s">
        <v>9568</v>
      </c>
    </row>
    <row r="342" spans="1:8" x14ac:dyDescent="0.3">
      <c r="A342" s="45">
        <v>43904</v>
      </c>
      <c r="B342" s="399"/>
      <c r="C342" s="5" t="s">
        <v>14</v>
      </c>
      <c r="D342" s="219" t="s">
        <v>3910</v>
      </c>
      <c r="E342" s="220">
        <v>50000</v>
      </c>
      <c r="F342" s="43"/>
      <c r="G342" s="364"/>
      <c r="H342" s="391" t="s">
        <v>9568</v>
      </c>
    </row>
    <row r="343" spans="1:8" x14ac:dyDescent="0.3">
      <c r="A343" s="45">
        <v>43904</v>
      </c>
      <c r="B343" s="399"/>
      <c r="C343" s="5" t="s">
        <v>5958</v>
      </c>
      <c r="D343" s="5" t="s">
        <v>5959</v>
      </c>
      <c r="E343" s="43">
        <v>3500</v>
      </c>
      <c r="F343" s="43"/>
      <c r="G343" s="364"/>
      <c r="H343" s="391" t="s">
        <v>9568</v>
      </c>
    </row>
    <row r="344" spans="1:8" x14ac:dyDescent="0.3">
      <c r="A344" s="45">
        <v>43904</v>
      </c>
      <c r="B344" s="399"/>
      <c r="C344" s="5" t="s">
        <v>5646</v>
      </c>
      <c r="D344" s="5" t="s">
        <v>5963</v>
      </c>
      <c r="E344" s="43">
        <v>9525</v>
      </c>
      <c r="F344" s="43"/>
      <c r="G344" s="364"/>
      <c r="H344" s="391" t="s">
        <v>9568</v>
      </c>
    </row>
    <row r="345" spans="1:8" x14ac:dyDescent="0.3">
      <c r="A345" s="45">
        <v>43904</v>
      </c>
      <c r="B345" s="399"/>
      <c r="C345" s="5" t="s">
        <v>5646</v>
      </c>
      <c r="D345" s="5" t="s">
        <v>5964</v>
      </c>
      <c r="E345" s="43">
        <v>300</v>
      </c>
      <c r="F345" s="43"/>
      <c r="G345" s="364"/>
      <c r="H345" s="391" t="s">
        <v>9568</v>
      </c>
    </row>
    <row r="346" spans="1:8" ht="37.5" x14ac:dyDescent="0.3">
      <c r="A346" s="45">
        <v>43904</v>
      </c>
      <c r="B346" s="399"/>
      <c r="C346" s="5" t="s">
        <v>5960</v>
      </c>
      <c r="D346" s="92" t="s">
        <v>5961</v>
      </c>
      <c r="E346" s="43">
        <v>3000</v>
      </c>
      <c r="F346" s="43"/>
      <c r="G346" s="364"/>
      <c r="H346" s="391" t="s">
        <v>9568</v>
      </c>
    </row>
    <row r="347" spans="1:8" x14ac:dyDescent="0.3">
      <c r="A347" s="45">
        <v>43904</v>
      </c>
      <c r="B347" s="399"/>
      <c r="C347" s="5" t="s">
        <v>5764</v>
      </c>
      <c r="D347" s="5" t="s">
        <v>5962</v>
      </c>
      <c r="E347" s="43">
        <v>5000</v>
      </c>
      <c r="F347" s="43"/>
      <c r="G347" s="364"/>
      <c r="H347" s="391" t="s">
        <v>9568</v>
      </c>
    </row>
    <row r="348" spans="1:8" x14ac:dyDescent="0.3">
      <c r="A348" s="45">
        <v>43906</v>
      </c>
      <c r="B348" s="399"/>
      <c r="C348" s="5" t="s">
        <v>5764</v>
      </c>
      <c r="D348" s="5" t="s">
        <v>5966</v>
      </c>
      <c r="E348" s="43">
        <v>1450</v>
      </c>
      <c r="F348" s="43"/>
      <c r="G348" s="364"/>
      <c r="H348" s="391" t="s">
        <v>9568</v>
      </c>
    </row>
    <row r="349" spans="1:8" x14ac:dyDescent="0.3">
      <c r="A349" s="45">
        <v>43906</v>
      </c>
      <c r="B349" s="399"/>
      <c r="C349" s="5" t="s">
        <v>5764</v>
      </c>
      <c r="D349" s="5" t="s">
        <v>5965</v>
      </c>
      <c r="E349" s="43"/>
      <c r="F349" s="43">
        <f>2900-650</f>
        <v>2250</v>
      </c>
      <c r="G349" s="364"/>
      <c r="H349" s="391" t="s">
        <v>9568</v>
      </c>
    </row>
    <row r="350" spans="1:8" x14ac:dyDescent="0.3">
      <c r="A350" s="45">
        <v>43904</v>
      </c>
      <c r="B350" s="399"/>
      <c r="C350" s="5" t="s">
        <v>5764</v>
      </c>
      <c r="D350" s="5" t="s">
        <v>5967</v>
      </c>
      <c r="E350" s="43">
        <v>650</v>
      </c>
      <c r="F350" s="43"/>
      <c r="G350" s="364"/>
      <c r="H350" s="391" t="s">
        <v>9568</v>
      </c>
    </row>
    <row r="351" spans="1:8" x14ac:dyDescent="0.3">
      <c r="A351" s="45">
        <v>43906</v>
      </c>
      <c r="B351" s="399"/>
      <c r="C351" s="5" t="s">
        <v>0</v>
      </c>
      <c r="D351" s="5" t="s">
        <v>5968</v>
      </c>
      <c r="E351" s="43">
        <v>60000</v>
      </c>
      <c r="F351" s="43"/>
      <c r="G351" s="364"/>
      <c r="H351" s="391" t="s">
        <v>9568</v>
      </c>
    </row>
    <row r="352" spans="1:8" x14ac:dyDescent="0.3">
      <c r="A352" s="45">
        <v>43907</v>
      </c>
      <c r="B352" s="580"/>
      <c r="C352" s="554" t="s">
        <v>5980</v>
      </c>
      <c r="D352" s="554"/>
      <c r="E352" s="554"/>
      <c r="F352" s="43">
        <v>333025</v>
      </c>
      <c r="G352" s="364"/>
      <c r="H352" s="391" t="s">
        <v>9568</v>
      </c>
    </row>
    <row r="353" spans="1:8" x14ac:dyDescent="0.3">
      <c r="A353" s="45">
        <v>43906</v>
      </c>
      <c r="B353" s="399"/>
      <c r="C353" s="5" t="s">
        <v>541</v>
      </c>
      <c r="D353" s="5" t="s">
        <v>640</v>
      </c>
      <c r="E353" s="43">
        <v>5000</v>
      </c>
      <c r="F353" s="43"/>
      <c r="G353" s="364"/>
      <c r="H353" s="391" t="s">
        <v>9568</v>
      </c>
    </row>
    <row r="354" spans="1:8" x14ac:dyDescent="0.3">
      <c r="A354" s="45">
        <v>43906</v>
      </c>
      <c r="B354" s="399"/>
      <c r="C354" s="5" t="s">
        <v>5969</v>
      </c>
      <c r="D354" s="5" t="s">
        <v>5981</v>
      </c>
      <c r="E354" s="43">
        <v>240</v>
      </c>
      <c r="F354" s="43"/>
      <c r="G354" s="364"/>
      <c r="H354" s="391" t="s">
        <v>9568</v>
      </c>
    </row>
    <row r="355" spans="1:8" x14ac:dyDescent="0.3">
      <c r="A355" s="45">
        <v>43906</v>
      </c>
      <c r="B355" s="399"/>
      <c r="C355" s="5" t="s">
        <v>5960</v>
      </c>
      <c r="D355" s="41" t="s">
        <v>5970</v>
      </c>
      <c r="E355" s="43">
        <v>1500</v>
      </c>
      <c r="F355" s="43"/>
      <c r="G355" s="364"/>
      <c r="H355" s="391" t="s">
        <v>9568</v>
      </c>
    </row>
    <row r="356" spans="1:8" x14ac:dyDescent="0.3">
      <c r="A356" s="45">
        <v>43907</v>
      </c>
      <c r="B356" s="399"/>
      <c r="C356" s="5" t="s">
        <v>25</v>
      </c>
      <c r="D356" s="5" t="s">
        <v>5661</v>
      </c>
      <c r="E356" s="43">
        <v>600</v>
      </c>
      <c r="F356" s="43"/>
      <c r="G356" s="364"/>
      <c r="H356" s="391" t="s">
        <v>9568</v>
      </c>
    </row>
    <row r="357" spans="1:8" x14ac:dyDescent="0.3">
      <c r="A357" s="45">
        <v>43907</v>
      </c>
      <c r="B357" s="399"/>
      <c r="C357" s="5" t="s">
        <v>1837</v>
      </c>
      <c r="D357" s="41" t="s">
        <v>5973</v>
      </c>
      <c r="E357" s="43">
        <v>2000</v>
      </c>
      <c r="F357" s="43"/>
      <c r="G357" s="364"/>
      <c r="H357" s="391" t="s">
        <v>9568</v>
      </c>
    </row>
    <row r="358" spans="1:8" x14ac:dyDescent="0.3">
      <c r="A358" s="45">
        <v>43907</v>
      </c>
      <c r="B358" s="399"/>
      <c r="C358" s="5" t="s">
        <v>1679</v>
      </c>
      <c r="D358" s="5" t="s">
        <v>5974</v>
      </c>
      <c r="E358" s="43">
        <v>42250</v>
      </c>
      <c r="F358" s="43"/>
      <c r="G358" s="364"/>
      <c r="H358" s="391" t="s">
        <v>9568</v>
      </c>
    </row>
    <row r="359" spans="1:8" x14ac:dyDescent="0.3">
      <c r="A359" s="45">
        <v>43907</v>
      </c>
      <c r="B359" s="399"/>
      <c r="C359" s="5" t="s">
        <v>2348</v>
      </c>
      <c r="D359" s="5" t="s">
        <v>5975</v>
      </c>
      <c r="E359" s="43">
        <v>55000</v>
      </c>
      <c r="F359" s="43"/>
      <c r="G359" s="364"/>
      <c r="H359" s="391" t="s">
        <v>9568</v>
      </c>
    </row>
    <row r="360" spans="1:8" x14ac:dyDescent="0.3">
      <c r="A360" s="45">
        <v>43907</v>
      </c>
      <c r="B360" s="399"/>
      <c r="C360" s="5" t="s">
        <v>0</v>
      </c>
      <c r="D360" s="5" t="s">
        <v>5819</v>
      </c>
      <c r="E360" s="43">
        <v>35000</v>
      </c>
      <c r="F360" s="43"/>
      <c r="G360" s="364"/>
      <c r="H360" s="391" t="s">
        <v>9568</v>
      </c>
    </row>
    <row r="361" spans="1:8" x14ac:dyDescent="0.3">
      <c r="A361" s="45">
        <v>43907</v>
      </c>
      <c r="B361" s="399"/>
      <c r="C361" s="5" t="s">
        <v>5978</v>
      </c>
      <c r="D361" s="5" t="s">
        <v>5976</v>
      </c>
      <c r="E361" s="43">
        <v>71000</v>
      </c>
      <c r="F361" s="43"/>
      <c r="G361" s="364"/>
      <c r="H361" s="391" t="s">
        <v>9568</v>
      </c>
    </row>
    <row r="362" spans="1:8" x14ac:dyDescent="0.3">
      <c r="A362" s="45">
        <v>43907</v>
      </c>
      <c r="B362" s="399"/>
      <c r="C362" s="5" t="s">
        <v>5979</v>
      </c>
      <c r="D362" s="5" t="s">
        <v>5977</v>
      </c>
      <c r="E362" s="43">
        <v>25000</v>
      </c>
      <c r="F362" s="43"/>
      <c r="G362" s="364"/>
      <c r="H362" s="391" t="s">
        <v>9568</v>
      </c>
    </row>
    <row r="363" spans="1:8" x14ac:dyDescent="0.3">
      <c r="A363" s="45">
        <v>43907</v>
      </c>
      <c r="B363" s="399"/>
      <c r="C363" s="5" t="s">
        <v>1074</v>
      </c>
      <c r="D363" s="61" t="s">
        <v>5984</v>
      </c>
      <c r="E363" s="43">
        <f>26626-1285</f>
        <v>25341</v>
      </c>
      <c r="F363" s="43"/>
      <c r="G363" s="364"/>
      <c r="H363" s="391" t="s">
        <v>9568</v>
      </c>
    </row>
    <row r="364" spans="1:8" x14ac:dyDescent="0.3">
      <c r="A364" s="45">
        <v>43908</v>
      </c>
      <c r="B364" s="399"/>
      <c r="C364" s="5" t="s">
        <v>18</v>
      </c>
      <c r="D364" s="5" t="s">
        <v>5982</v>
      </c>
      <c r="E364" s="43">
        <v>2000</v>
      </c>
      <c r="F364" s="43"/>
      <c r="G364" s="364"/>
      <c r="H364" s="391" t="s">
        <v>9568</v>
      </c>
    </row>
    <row r="365" spans="1:8" x14ac:dyDescent="0.3">
      <c r="A365" s="45">
        <v>43908</v>
      </c>
      <c r="B365" s="399"/>
      <c r="C365" s="5" t="s">
        <v>5741</v>
      </c>
      <c r="D365" s="5" t="s">
        <v>5983</v>
      </c>
      <c r="E365" s="43">
        <v>23600</v>
      </c>
      <c r="F365" s="43"/>
      <c r="G365" s="364"/>
      <c r="H365" s="391" t="s">
        <v>9568</v>
      </c>
    </row>
    <row r="366" spans="1:8" x14ac:dyDescent="0.3">
      <c r="A366" s="45">
        <v>43908</v>
      </c>
      <c r="B366" s="399"/>
      <c r="C366" s="5" t="s">
        <v>54</v>
      </c>
      <c r="D366" s="41" t="s">
        <v>4637</v>
      </c>
      <c r="E366" s="43">
        <v>9570</v>
      </c>
      <c r="F366" s="43"/>
      <c r="G366" s="364"/>
      <c r="H366" s="391" t="s">
        <v>9568</v>
      </c>
    </row>
    <row r="367" spans="1:8" x14ac:dyDescent="0.3">
      <c r="A367" s="45">
        <v>43908</v>
      </c>
      <c r="B367" s="399"/>
      <c r="C367" s="5" t="s">
        <v>5832</v>
      </c>
      <c r="D367" s="5" t="s">
        <v>4391</v>
      </c>
      <c r="E367" s="43">
        <v>29200</v>
      </c>
      <c r="F367" s="43"/>
      <c r="G367" s="364"/>
      <c r="H367" s="391" t="s">
        <v>9568</v>
      </c>
    </row>
    <row r="368" spans="1:8" x14ac:dyDescent="0.3">
      <c r="A368" s="45">
        <v>43908</v>
      </c>
      <c r="B368" s="580"/>
      <c r="C368" s="554" t="s">
        <v>5986</v>
      </c>
      <c r="D368" s="554"/>
      <c r="E368" s="554"/>
      <c r="F368" s="43">
        <v>10000</v>
      </c>
      <c r="G368" s="364"/>
      <c r="H368" s="391" t="s">
        <v>9568</v>
      </c>
    </row>
    <row r="369" spans="1:8" x14ac:dyDescent="0.3">
      <c r="A369" s="45">
        <v>43908</v>
      </c>
      <c r="B369" s="399"/>
      <c r="C369" s="5" t="s">
        <v>25</v>
      </c>
      <c r="D369" s="5" t="s">
        <v>5985</v>
      </c>
      <c r="E369" s="43">
        <v>1000</v>
      </c>
      <c r="F369" s="43"/>
      <c r="G369" s="364"/>
      <c r="H369" s="391" t="s">
        <v>9568</v>
      </c>
    </row>
    <row r="370" spans="1:8" x14ac:dyDescent="0.3">
      <c r="A370" s="45">
        <v>43909</v>
      </c>
      <c r="B370" s="399"/>
      <c r="C370" s="5" t="s">
        <v>14</v>
      </c>
      <c r="D370" s="5" t="s">
        <v>294</v>
      </c>
      <c r="E370" s="43">
        <v>10000</v>
      </c>
      <c r="F370" s="43"/>
      <c r="G370" s="364"/>
      <c r="H370" s="391" t="s">
        <v>9568</v>
      </c>
    </row>
    <row r="371" spans="1:8" x14ac:dyDescent="0.3">
      <c r="A371" s="45">
        <v>43909</v>
      </c>
      <c r="B371" s="580"/>
      <c r="C371" s="554" t="s">
        <v>2960</v>
      </c>
      <c r="D371" s="554"/>
      <c r="E371" s="554"/>
      <c r="F371" s="43">
        <v>85000</v>
      </c>
      <c r="G371" s="364"/>
      <c r="H371" s="391" t="s">
        <v>9568</v>
      </c>
    </row>
    <row r="372" spans="1:8" x14ac:dyDescent="0.3">
      <c r="A372" s="45">
        <v>43909</v>
      </c>
      <c r="B372" s="399"/>
      <c r="C372" s="5" t="s">
        <v>5764</v>
      </c>
      <c r="D372" s="5" t="s">
        <v>5993</v>
      </c>
      <c r="E372" s="43">
        <v>30000</v>
      </c>
      <c r="F372" s="43"/>
      <c r="G372" s="364"/>
      <c r="H372" s="391" t="s">
        <v>9568</v>
      </c>
    </row>
    <row r="373" spans="1:8" x14ac:dyDescent="0.3">
      <c r="A373" s="45">
        <v>43910</v>
      </c>
      <c r="B373" s="399"/>
      <c r="C373" s="5" t="s">
        <v>25</v>
      </c>
      <c r="D373" s="5" t="s">
        <v>5989</v>
      </c>
      <c r="E373" s="43">
        <f>50+130+10</f>
        <v>190</v>
      </c>
      <c r="F373" s="43"/>
      <c r="G373" s="364"/>
      <c r="H373" s="391" t="s">
        <v>9568</v>
      </c>
    </row>
    <row r="374" spans="1:8" x14ac:dyDescent="0.3">
      <c r="A374" s="45">
        <v>43923</v>
      </c>
      <c r="B374" s="580"/>
      <c r="C374" s="554" t="s">
        <v>3444</v>
      </c>
      <c r="D374" s="554"/>
      <c r="E374" s="554"/>
      <c r="F374" s="43">
        <v>500000</v>
      </c>
      <c r="G374" s="364"/>
      <c r="H374" s="391" t="s">
        <v>9568</v>
      </c>
    </row>
    <row r="375" spans="1:8" x14ac:dyDescent="0.3">
      <c r="A375" s="45">
        <v>43923</v>
      </c>
      <c r="B375" s="399"/>
      <c r="C375" s="5" t="s">
        <v>25</v>
      </c>
      <c r="D375" s="5" t="s">
        <v>5987</v>
      </c>
      <c r="E375" s="43">
        <f>250+250+70+160</f>
        <v>730</v>
      </c>
      <c r="F375" s="43"/>
      <c r="G375" s="364"/>
      <c r="H375" s="391" t="s">
        <v>9568</v>
      </c>
    </row>
    <row r="376" spans="1:8" x14ac:dyDescent="0.3">
      <c r="A376" s="45">
        <v>43923</v>
      </c>
      <c r="B376" s="399"/>
      <c r="C376" s="5" t="s">
        <v>25</v>
      </c>
      <c r="D376" s="5" t="s">
        <v>5988</v>
      </c>
      <c r="E376" s="43">
        <f>320+130+50</f>
        <v>500</v>
      </c>
      <c r="F376" s="43"/>
      <c r="G376" s="364"/>
      <c r="H376" s="391" t="s">
        <v>9568</v>
      </c>
    </row>
    <row r="377" spans="1:8" x14ac:dyDescent="0.3">
      <c r="A377" s="45">
        <v>43923</v>
      </c>
      <c r="B377" s="580"/>
      <c r="C377" s="554" t="s">
        <v>2960</v>
      </c>
      <c r="D377" s="554"/>
      <c r="E377" s="554"/>
      <c r="F377" s="43">
        <v>15000</v>
      </c>
      <c r="G377" s="364"/>
      <c r="H377" s="391" t="s">
        <v>9568</v>
      </c>
    </row>
    <row r="378" spans="1:8" x14ac:dyDescent="0.3">
      <c r="A378" s="45">
        <v>43923</v>
      </c>
      <c r="B378" s="399"/>
      <c r="C378" s="5" t="s">
        <v>25</v>
      </c>
      <c r="D378" s="5" t="s">
        <v>5108</v>
      </c>
      <c r="E378" s="43">
        <v>1000</v>
      </c>
      <c r="F378" s="43"/>
      <c r="G378" s="364"/>
      <c r="H378" s="391" t="s">
        <v>9568</v>
      </c>
    </row>
    <row r="379" spans="1:8" x14ac:dyDescent="0.3">
      <c r="A379" s="45">
        <v>43927</v>
      </c>
      <c r="B379" s="399"/>
      <c r="C379" s="5" t="s">
        <v>14</v>
      </c>
      <c r="D379" s="5" t="s">
        <v>5990</v>
      </c>
      <c r="E379" s="43">
        <v>20000</v>
      </c>
      <c r="F379" s="43"/>
      <c r="G379" s="364"/>
      <c r="H379" s="391" t="s">
        <v>9568</v>
      </c>
    </row>
    <row r="380" spans="1:8" x14ac:dyDescent="0.3">
      <c r="A380" s="45">
        <v>43927</v>
      </c>
      <c r="B380" s="399"/>
      <c r="C380" s="5" t="s">
        <v>18</v>
      </c>
      <c r="D380" s="5" t="s">
        <v>5991</v>
      </c>
      <c r="E380" s="43">
        <v>1000</v>
      </c>
      <c r="F380" s="43"/>
      <c r="G380" s="364"/>
      <c r="H380" s="391" t="s">
        <v>9568</v>
      </c>
    </row>
    <row r="381" spans="1:8" x14ac:dyDescent="0.3">
      <c r="A381" s="45">
        <v>43930</v>
      </c>
      <c r="B381" s="580"/>
      <c r="C381" s="554" t="s">
        <v>2960</v>
      </c>
      <c r="D381" s="554"/>
      <c r="E381" s="554"/>
      <c r="F381" s="43">
        <v>200000</v>
      </c>
      <c r="G381" s="364"/>
      <c r="H381" s="391" t="s">
        <v>9568</v>
      </c>
    </row>
    <row r="382" spans="1:8" x14ac:dyDescent="0.3">
      <c r="A382" s="45">
        <v>43930</v>
      </c>
      <c r="B382" s="399"/>
      <c r="C382" s="5" t="s">
        <v>108</v>
      </c>
      <c r="D382" s="5" t="s">
        <v>5992</v>
      </c>
      <c r="E382" s="43">
        <v>100</v>
      </c>
      <c r="F382" s="43"/>
      <c r="G382" s="364"/>
      <c r="H382" s="391" t="s">
        <v>9568</v>
      </c>
    </row>
    <row r="383" spans="1:8" x14ac:dyDescent="0.3">
      <c r="A383" s="45">
        <v>43930</v>
      </c>
      <c r="B383" s="399"/>
      <c r="C383" s="5" t="s">
        <v>108</v>
      </c>
      <c r="D383" s="5" t="s">
        <v>1624</v>
      </c>
      <c r="E383" s="43">
        <v>100</v>
      </c>
      <c r="F383" s="43"/>
      <c r="G383" s="364"/>
      <c r="H383" s="391" t="s">
        <v>9568</v>
      </c>
    </row>
    <row r="384" spans="1:8" x14ac:dyDescent="0.3">
      <c r="A384" s="45">
        <v>43930</v>
      </c>
      <c r="B384" s="399"/>
      <c r="C384" s="5" t="s">
        <v>2348</v>
      </c>
      <c r="D384" s="5" t="s">
        <v>5994</v>
      </c>
      <c r="E384" s="43">
        <v>5000</v>
      </c>
      <c r="F384" s="43"/>
      <c r="G384" s="364"/>
      <c r="H384" s="391" t="s">
        <v>9568</v>
      </c>
    </row>
    <row r="385" spans="1:8" x14ac:dyDescent="0.3">
      <c r="A385" s="45">
        <v>43934</v>
      </c>
      <c r="B385" s="399"/>
      <c r="C385" s="5" t="s">
        <v>25</v>
      </c>
      <c r="D385" s="5" t="s">
        <v>5996</v>
      </c>
      <c r="E385" s="43">
        <f>85+130+240+328+50+340+115+85+250+130+200+650</f>
        <v>2603</v>
      </c>
      <c r="F385" s="43"/>
      <c r="G385" s="364"/>
      <c r="H385" s="391" t="s">
        <v>9568</v>
      </c>
    </row>
    <row r="386" spans="1:8" x14ac:dyDescent="0.3">
      <c r="A386" s="45">
        <v>43934</v>
      </c>
      <c r="B386" s="399"/>
      <c r="C386" s="5" t="s">
        <v>1458</v>
      </c>
      <c r="D386" s="5" t="s">
        <v>5997</v>
      </c>
      <c r="E386" s="43">
        <v>15000</v>
      </c>
      <c r="F386" s="43"/>
      <c r="G386" s="364"/>
      <c r="H386" s="391" t="s">
        <v>9568</v>
      </c>
    </row>
    <row r="387" spans="1:8" x14ac:dyDescent="0.3">
      <c r="A387" s="45">
        <v>43934</v>
      </c>
      <c r="B387" s="399"/>
      <c r="C387" s="5" t="s">
        <v>5922</v>
      </c>
      <c r="D387" s="5" t="s">
        <v>5998</v>
      </c>
      <c r="E387" s="43">
        <v>20000</v>
      </c>
      <c r="F387" s="43"/>
      <c r="G387" s="364"/>
      <c r="H387" s="391" t="s">
        <v>9568</v>
      </c>
    </row>
    <row r="388" spans="1:8" x14ac:dyDescent="0.3">
      <c r="A388" s="45">
        <v>43934</v>
      </c>
      <c r="B388" s="580"/>
      <c r="C388" s="554" t="s">
        <v>2960</v>
      </c>
      <c r="D388" s="554"/>
      <c r="E388" s="554"/>
      <c r="F388" s="43">
        <v>200000</v>
      </c>
      <c r="G388" s="364"/>
      <c r="H388" s="391" t="s">
        <v>9568</v>
      </c>
    </row>
    <row r="389" spans="1:8" x14ac:dyDescent="0.3">
      <c r="A389" s="45">
        <v>43934</v>
      </c>
      <c r="B389" s="399"/>
      <c r="C389" s="5" t="s">
        <v>5792</v>
      </c>
      <c r="D389" s="5" t="s">
        <v>294</v>
      </c>
      <c r="E389" s="43">
        <v>300</v>
      </c>
      <c r="F389" s="43"/>
      <c r="G389" s="364"/>
      <c r="H389" s="391" t="s">
        <v>9568</v>
      </c>
    </row>
    <row r="390" spans="1:8" x14ac:dyDescent="0.3">
      <c r="A390" s="45">
        <v>43934</v>
      </c>
      <c r="B390" s="399"/>
      <c r="C390" s="5" t="s">
        <v>5999</v>
      </c>
      <c r="D390" s="5" t="s">
        <v>5769</v>
      </c>
      <c r="E390" s="43">
        <v>18000</v>
      </c>
      <c r="F390" s="43"/>
      <c r="G390" s="364"/>
      <c r="H390" s="391" t="s">
        <v>9568</v>
      </c>
    </row>
    <row r="391" spans="1:8" x14ac:dyDescent="0.3">
      <c r="A391" s="45">
        <v>43934</v>
      </c>
      <c r="B391" s="399"/>
      <c r="C391" s="5" t="s">
        <v>2348</v>
      </c>
      <c r="D391" s="5" t="s">
        <v>5975</v>
      </c>
      <c r="E391" s="43">
        <v>20000</v>
      </c>
      <c r="F391" s="43"/>
      <c r="G391" s="364"/>
      <c r="H391" s="391" t="s">
        <v>9568</v>
      </c>
    </row>
    <row r="392" spans="1:8" x14ac:dyDescent="0.3">
      <c r="A392" s="45">
        <v>43935</v>
      </c>
      <c r="B392" s="580"/>
      <c r="C392" s="554" t="s">
        <v>6000</v>
      </c>
      <c r="D392" s="554"/>
      <c r="E392" s="554"/>
      <c r="F392" s="43">
        <v>1000</v>
      </c>
      <c r="G392" s="364"/>
      <c r="H392" s="391" t="s">
        <v>9568</v>
      </c>
    </row>
    <row r="393" spans="1:8" x14ac:dyDescent="0.3">
      <c r="A393" s="45">
        <v>43930</v>
      </c>
      <c r="B393" s="402"/>
      <c r="C393" s="39" t="s">
        <v>54</v>
      </c>
      <c r="D393" s="39" t="s">
        <v>5995</v>
      </c>
      <c r="E393" s="40">
        <v>847169</v>
      </c>
      <c r="F393" s="43"/>
      <c r="G393" s="364"/>
      <c r="H393" s="391" t="s">
        <v>9568</v>
      </c>
    </row>
    <row r="394" spans="1:8" x14ac:dyDescent="0.3">
      <c r="A394" s="45">
        <v>43934</v>
      </c>
      <c r="B394" s="580"/>
      <c r="C394" s="554" t="s">
        <v>2960</v>
      </c>
      <c r="D394" s="554"/>
      <c r="E394" s="554"/>
      <c r="F394" s="43">
        <v>100000</v>
      </c>
      <c r="G394" s="364"/>
      <c r="H394" s="391" t="s">
        <v>9568</v>
      </c>
    </row>
    <row r="395" spans="1:8" x14ac:dyDescent="0.3">
      <c r="A395" s="45">
        <v>43936</v>
      </c>
      <c r="B395" s="399"/>
      <c r="C395" s="5" t="s">
        <v>5930</v>
      </c>
      <c r="D395" s="5" t="s">
        <v>40</v>
      </c>
      <c r="E395" s="43">
        <v>85759</v>
      </c>
      <c r="F395" s="43"/>
      <c r="G395" s="364"/>
      <c r="H395" s="391" t="s">
        <v>9568</v>
      </c>
    </row>
    <row r="396" spans="1:8" x14ac:dyDescent="0.3">
      <c r="A396" s="45">
        <v>43936</v>
      </c>
      <c r="B396" s="399"/>
      <c r="C396" s="5" t="s">
        <v>3546</v>
      </c>
      <c r="D396" s="5" t="s">
        <v>6002</v>
      </c>
      <c r="E396" s="43">
        <v>30000</v>
      </c>
      <c r="F396" s="43"/>
      <c r="G396" s="364"/>
      <c r="H396" s="391" t="s">
        <v>9568</v>
      </c>
    </row>
    <row r="397" spans="1:8" x14ac:dyDescent="0.3">
      <c r="A397" s="45">
        <v>43936</v>
      </c>
      <c r="B397" s="399"/>
      <c r="C397" s="5" t="s">
        <v>84</v>
      </c>
      <c r="D397" s="5" t="s">
        <v>6004</v>
      </c>
      <c r="E397" s="43">
        <v>1500</v>
      </c>
      <c r="F397" s="43"/>
      <c r="G397" s="364"/>
      <c r="H397" s="391" t="s">
        <v>9568</v>
      </c>
    </row>
    <row r="398" spans="1:8" x14ac:dyDescent="0.3">
      <c r="A398" s="45">
        <v>43936</v>
      </c>
      <c r="B398" s="580"/>
      <c r="C398" s="554" t="s">
        <v>2960</v>
      </c>
      <c r="D398" s="554"/>
      <c r="E398" s="554"/>
      <c r="F398" s="43">
        <v>450000</v>
      </c>
      <c r="G398" s="364"/>
      <c r="H398" s="391" t="s">
        <v>9568</v>
      </c>
    </row>
    <row r="399" spans="1:8" x14ac:dyDescent="0.3">
      <c r="A399" s="45">
        <v>43937</v>
      </c>
      <c r="B399" s="399"/>
      <c r="C399" s="5" t="s">
        <v>5938</v>
      </c>
      <c r="D399" s="5" t="s">
        <v>40</v>
      </c>
      <c r="E399" s="43">
        <v>20000</v>
      </c>
      <c r="F399" s="43"/>
      <c r="G399" s="364"/>
      <c r="H399" s="391" t="s">
        <v>9568</v>
      </c>
    </row>
    <row r="400" spans="1:8" x14ac:dyDescent="0.3">
      <c r="A400" s="45">
        <v>43937</v>
      </c>
      <c r="B400" s="399"/>
      <c r="C400" s="5" t="s">
        <v>247</v>
      </c>
      <c r="D400" s="5" t="s">
        <v>6003</v>
      </c>
      <c r="E400" s="43">
        <v>100</v>
      </c>
      <c r="F400" s="43"/>
      <c r="G400" s="364"/>
      <c r="H400" s="391" t="s">
        <v>9568</v>
      </c>
    </row>
    <row r="401" spans="1:8" x14ac:dyDescent="0.3">
      <c r="A401" s="45">
        <v>43938</v>
      </c>
      <c r="B401" s="580"/>
      <c r="C401" s="554" t="s">
        <v>2960</v>
      </c>
      <c r="D401" s="554"/>
      <c r="E401" s="554"/>
      <c r="F401" s="43">
        <v>200000</v>
      </c>
      <c r="G401" s="364"/>
      <c r="H401" s="391" t="s">
        <v>9568</v>
      </c>
    </row>
    <row r="402" spans="1:8" x14ac:dyDescent="0.3">
      <c r="A402" s="45">
        <v>43941</v>
      </c>
      <c r="B402" s="399"/>
      <c r="C402" s="5" t="s">
        <v>4156</v>
      </c>
      <c r="D402" s="5" t="s">
        <v>3488</v>
      </c>
      <c r="E402" s="62">
        <v>83850</v>
      </c>
      <c r="F402" s="43"/>
      <c r="G402" s="364"/>
      <c r="H402" s="391" t="s">
        <v>9568</v>
      </c>
    </row>
    <row r="403" spans="1:8" x14ac:dyDescent="0.3">
      <c r="A403" s="45">
        <v>43941</v>
      </c>
      <c r="B403" s="399"/>
      <c r="C403" s="5" t="s">
        <v>54</v>
      </c>
      <c r="D403" s="5" t="s">
        <v>6011</v>
      </c>
      <c r="E403" s="62">
        <v>443617</v>
      </c>
      <c r="F403" s="43"/>
      <c r="G403" s="364"/>
      <c r="H403" s="391" t="s">
        <v>9568</v>
      </c>
    </row>
    <row r="404" spans="1:8" x14ac:dyDescent="0.3">
      <c r="A404" s="45">
        <v>43941</v>
      </c>
      <c r="B404" s="399"/>
      <c r="C404" s="5" t="s">
        <v>25</v>
      </c>
      <c r="D404" s="5" t="s">
        <v>6005</v>
      </c>
      <c r="E404" s="43">
        <v>1130</v>
      </c>
      <c r="F404" s="43"/>
      <c r="G404" s="364"/>
      <c r="H404" s="391" t="s">
        <v>9568</v>
      </c>
    </row>
    <row r="405" spans="1:8" x14ac:dyDescent="0.3">
      <c r="A405" s="45">
        <v>43942</v>
      </c>
      <c r="B405" s="399"/>
      <c r="C405" s="5" t="s">
        <v>1074</v>
      </c>
      <c r="D405" s="5" t="s">
        <v>6006</v>
      </c>
      <c r="E405" s="43">
        <f>1730+2400</f>
        <v>4130</v>
      </c>
      <c r="F405" s="43"/>
      <c r="G405" s="364"/>
      <c r="H405" s="391" t="s">
        <v>9568</v>
      </c>
    </row>
    <row r="406" spans="1:8" x14ac:dyDescent="0.3">
      <c r="A406" s="45">
        <v>43942</v>
      </c>
      <c r="B406" s="399"/>
      <c r="C406" s="5" t="s">
        <v>1074</v>
      </c>
      <c r="D406" s="5" t="s">
        <v>6007</v>
      </c>
      <c r="E406" s="43">
        <f>3950+1380</f>
        <v>5330</v>
      </c>
      <c r="F406" s="43"/>
      <c r="G406" s="364"/>
      <c r="H406" s="391" t="s">
        <v>9568</v>
      </c>
    </row>
    <row r="407" spans="1:8" x14ac:dyDescent="0.3">
      <c r="A407" s="45">
        <v>43942</v>
      </c>
      <c r="B407" s="399"/>
      <c r="C407" s="5" t="s">
        <v>2346</v>
      </c>
      <c r="D407" s="5" t="s">
        <v>6008</v>
      </c>
      <c r="E407" s="43">
        <v>1000</v>
      </c>
      <c r="F407" s="43"/>
      <c r="G407" s="364"/>
      <c r="H407" s="391" t="s">
        <v>9568</v>
      </c>
    </row>
    <row r="408" spans="1:8" x14ac:dyDescent="0.3">
      <c r="A408" s="45">
        <v>43942</v>
      </c>
      <c r="B408" s="399"/>
      <c r="C408" s="5" t="s">
        <v>3692</v>
      </c>
      <c r="D408" s="5" t="s">
        <v>294</v>
      </c>
      <c r="E408" s="62">
        <v>50000</v>
      </c>
      <c r="F408" s="43"/>
      <c r="G408" s="364"/>
      <c r="H408" s="391" t="s">
        <v>9568</v>
      </c>
    </row>
    <row r="409" spans="1:8" x14ac:dyDescent="0.3">
      <c r="A409" s="45">
        <v>43942</v>
      </c>
      <c r="B409" s="399"/>
      <c r="C409" s="5" t="s">
        <v>1787</v>
      </c>
      <c r="D409" s="5" t="s">
        <v>6010</v>
      </c>
      <c r="E409" s="43">
        <v>1300</v>
      </c>
      <c r="F409" s="43"/>
      <c r="G409" s="364"/>
      <c r="H409" s="391" t="s">
        <v>9568</v>
      </c>
    </row>
    <row r="410" spans="1:8" x14ac:dyDescent="0.3">
      <c r="A410" s="45">
        <v>43942</v>
      </c>
      <c r="B410" s="399"/>
      <c r="C410" s="5" t="s">
        <v>6009</v>
      </c>
      <c r="D410" s="5" t="s">
        <v>294</v>
      </c>
      <c r="E410" s="62">
        <v>50000</v>
      </c>
      <c r="F410" s="43"/>
      <c r="G410" s="364"/>
      <c r="H410" s="391" t="s">
        <v>9568</v>
      </c>
    </row>
    <row r="411" spans="1:8" x14ac:dyDescent="0.3">
      <c r="A411" s="45">
        <v>43944</v>
      </c>
      <c r="B411" s="580"/>
      <c r="C411" s="554" t="s">
        <v>2960</v>
      </c>
      <c r="D411" s="554"/>
      <c r="E411" s="554"/>
      <c r="F411" s="43">
        <v>50000</v>
      </c>
      <c r="G411" s="364"/>
      <c r="H411" s="391" t="s">
        <v>9568</v>
      </c>
    </row>
    <row r="412" spans="1:8" x14ac:dyDescent="0.3">
      <c r="A412" s="45">
        <v>43944</v>
      </c>
      <c r="B412" s="399"/>
      <c r="C412" s="5" t="s">
        <v>14</v>
      </c>
      <c r="D412" s="5" t="s">
        <v>294</v>
      </c>
      <c r="E412" s="43">
        <v>5000</v>
      </c>
      <c r="F412" s="43"/>
      <c r="G412" s="364"/>
      <c r="H412" s="391" t="s">
        <v>9568</v>
      </c>
    </row>
    <row r="413" spans="1:8" x14ac:dyDescent="0.3">
      <c r="A413" s="45">
        <v>43944</v>
      </c>
      <c r="B413" s="399"/>
      <c r="C413" s="5" t="s">
        <v>25</v>
      </c>
      <c r="D413" s="5" t="s">
        <v>6021</v>
      </c>
      <c r="E413" s="43">
        <v>500</v>
      </c>
      <c r="F413" s="43"/>
      <c r="G413" s="364"/>
      <c r="H413" s="391" t="s">
        <v>9568</v>
      </c>
    </row>
    <row r="414" spans="1:8" x14ac:dyDescent="0.3">
      <c r="A414" s="45">
        <v>43944</v>
      </c>
      <c r="B414" s="399"/>
      <c r="C414" s="5" t="s">
        <v>1074</v>
      </c>
      <c r="D414" s="5" t="s">
        <v>6012</v>
      </c>
      <c r="E414" s="43">
        <f>8553+9765</f>
        <v>18318</v>
      </c>
      <c r="F414" s="43"/>
      <c r="G414" s="364"/>
      <c r="H414" s="391" t="s">
        <v>9568</v>
      </c>
    </row>
    <row r="415" spans="1:8" x14ac:dyDescent="0.3">
      <c r="A415" s="45">
        <v>43944</v>
      </c>
      <c r="B415" s="399"/>
      <c r="C415" s="5" t="s">
        <v>1074</v>
      </c>
      <c r="D415" s="5" t="s">
        <v>6013</v>
      </c>
      <c r="E415" s="43">
        <v>2378</v>
      </c>
      <c r="F415" s="43"/>
      <c r="G415" s="364"/>
      <c r="H415" s="391" t="s">
        <v>9568</v>
      </c>
    </row>
    <row r="416" spans="1:8" x14ac:dyDescent="0.3">
      <c r="A416" s="45">
        <v>43949</v>
      </c>
      <c r="B416" s="399"/>
      <c r="C416" s="5" t="s">
        <v>14</v>
      </c>
      <c r="D416" s="5" t="s">
        <v>6022</v>
      </c>
      <c r="E416" s="43">
        <v>3549</v>
      </c>
      <c r="F416" s="43"/>
      <c r="G416" s="364"/>
      <c r="H416" s="391" t="s">
        <v>9568</v>
      </c>
    </row>
    <row r="417" spans="1:8" x14ac:dyDescent="0.3">
      <c r="A417" s="45">
        <v>43949</v>
      </c>
      <c r="B417" s="399"/>
      <c r="C417" s="5" t="s">
        <v>2570</v>
      </c>
      <c r="D417" s="5" t="s">
        <v>6023</v>
      </c>
      <c r="E417" s="43">
        <v>720</v>
      </c>
      <c r="F417" s="43"/>
      <c r="G417" s="364"/>
      <c r="H417" s="391" t="s">
        <v>9568</v>
      </c>
    </row>
    <row r="418" spans="1:8" x14ac:dyDescent="0.3">
      <c r="A418" s="45">
        <v>43949</v>
      </c>
      <c r="B418" s="399"/>
      <c r="C418" s="5" t="s">
        <v>4869</v>
      </c>
      <c r="D418" s="5" t="s">
        <v>6024</v>
      </c>
      <c r="E418" s="43">
        <v>4161</v>
      </c>
      <c r="F418" s="43"/>
      <c r="G418" s="364"/>
      <c r="H418" s="391" t="s">
        <v>9568</v>
      </c>
    </row>
    <row r="419" spans="1:8" ht="37.5" x14ac:dyDescent="0.3">
      <c r="A419" s="45">
        <v>43950</v>
      </c>
      <c r="B419" s="399"/>
      <c r="C419" s="5" t="s">
        <v>14</v>
      </c>
      <c r="D419" s="92" t="s">
        <v>6025</v>
      </c>
      <c r="E419" s="43">
        <v>10300</v>
      </c>
      <c r="F419" s="43"/>
      <c r="G419" s="364"/>
      <c r="H419" s="391" t="s">
        <v>9568</v>
      </c>
    </row>
    <row r="420" spans="1:8" x14ac:dyDescent="0.3">
      <c r="A420" s="45">
        <v>43950</v>
      </c>
      <c r="B420" s="399"/>
      <c r="C420" s="5" t="s">
        <v>25</v>
      </c>
      <c r="D420" s="5" t="s">
        <v>6015</v>
      </c>
      <c r="E420" s="43">
        <v>1500</v>
      </c>
      <c r="F420" s="43"/>
      <c r="G420" s="364"/>
      <c r="H420" s="391" t="s">
        <v>9568</v>
      </c>
    </row>
    <row r="421" spans="1:8" x14ac:dyDescent="0.3">
      <c r="A421" s="45">
        <v>43950</v>
      </c>
      <c r="B421" s="399"/>
      <c r="C421" s="5" t="s">
        <v>14</v>
      </c>
      <c r="D421" s="92" t="s">
        <v>438</v>
      </c>
      <c r="E421" s="43">
        <v>3500</v>
      </c>
      <c r="F421" s="43"/>
      <c r="G421" s="364"/>
      <c r="H421" s="391" t="s">
        <v>9568</v>
      </c>
    </row>
    <row r="422" spans="1:8" x14ac:dyDescent="0.3">
      <c r="A422" s="45">
        <v>43950</v>
      </c>
      <c r="B422" s="580"/>
      <c r="C422" s="554" t="s">
        <v>2960</v>
      </c>
      <c r="D422" s="554"/>
      <c r="E422" s="554"/>
      <c r="F422" s="43">
        <v>60000</v>
      </c>
      <c r="G422" s="364"/>
      <c r="H422" s="391" t="s">
        <v>9568</v>
      </c>
    </row>
    <row r="423" spans="1:8" x14ac:dyDescent="0.3">
      <c r="A423" s="45">
        <v>43950</v>
      </c>
      <c r="B423" s="399"/>
      <c r="C423" s="5" t="s">
        <v>3985</v>
      </c>
      <c r="D423" s="5" t="s">
        <v>6016</v>
      </c>
      <c r="E423" s="43">
        <v>15000</v>
      </c>
      <c r="F423" s="43"/>
      <c r="G423" s="364"/>
      <c r="H423" s="391" t="s">
        <v>9568</v>
      </c>
    </row>
    <row r="424" spans="1:8" ht="37.5" x14ac:dyDescent="0.3">
      <c r="A424" s="45">
        <v>43950</v>
      </c>
      <c r="B424" s="404"/>
      <c r="C424" s="41" t="s">
        <v>4550</v>
      </c>
      <c r="D424" s="221" t="s">
        <v>6020</v>
      </c>
      <c r="E424" s="42">
        <v>21000</v>
      </c>
      <c r="F424" s="43"/>
      <c r="G424" s="364"/>
      <c r="H424" s="391" t="s">
        <v>9568</v>
      </c>
    </row>
    <row r="425" spans="1:8" x14ac:dyDescent="0.3">
      <c r="A425" s="45">
        <v>43950</v>
      </c>
      <c r="B425" s="399"/>
      <c r="C425" s="5" t="s">
        <v>25</v>
      </c>
      <c r="D425" s="5" t="s">
        <v>3195</v>
      </c>
      <c r="E425" s="43">
        <v>3000</v>
      </c>
      <c r="F425" s="43"/>
      <c r="G425" s="364"/>
      <c r="H425" s="391" t="s">
        <v>9568</v>
      </c>
    </row>
    <row r="426" spans="1:8" x14ac:dyDescent="0.3">
      <c r="A426" s="45">
        <v>43955</v>
      </c>
      <c r="B426" s="399"/>
      <c r="C426" s="5" t="s">
        <v>0</v>
      </c>
      <c r="D426" s="5" t="s">
        <v>6026</v>
      </c>
      <c r="E426" s="43">
        <v>18000</v>
      </c>
      <c r="F426" s="43"/>
      <c r="G426" s="364"/>
      <c r="H426" s="391" t="s">
        <v>9568</v>
      </c>
    </row>
    <row r="427" spans="1:8" x14ac:dyDescent="0.3">
      <c r="A427" s="45">
        <v>43955</v>
      </c>
      <c r="B427" s="580"/>
      <c r="C427" s="554" t="s">
        <v>2960</v>
      </c>
      <c r="D427" s="554"/>
      <c r="E427" s="554"/>
      <c r="F427" s="43">
        <v>50000</v>
      </c>
      <c r="G427" s="364"/>
      <c r="H427" s="391" t="s">
        <v>9568</v>
      </c>
    </row>
    <row r="428" spans="1:8" x14ac:dyDescent="0.3">
      <c r="A428" s="45">
        <v>43955</v>
      </c>
      <c r="B428" s="399"/>
      <c r="C428" s="5" t="s">
        <v>1787</v>
      </c>
      <c r="D428" s="5" t="s">
        <v>6034</v>
      </c>
      <c r="E428" s="43">
        <v>1300</v>
      </c>
      <c r="F428" s="43"/>
      <c r="G428" s="364"/>
      <c r="H428" s="391" t="s">
        <v>9568</v>
      </c>
    </row>
    <row r="429" spans="1:8" x14ac:dyDescent="0.3">
      <c r="A429" s="45">
        <v>43956</v>
      </c>
      <c r="B429" s="399"/>
      <c r="C429" s="5" t="s">
        <v>54</v>
      </c>
      <c r="D429" s="5" t="s">
        <v>6027</v>
      </c>
      <c r="E429" s="43">
        <v>5500</v>
      </c>
      <c r="F429" s="43"/>
      <c r="G429" s="364"/>
      <c r="H429" s="391" t="s">
        <v>9568</v>
      </c>
    </row>
    <row r="430" spans="1:8" x14ac:dyDescent="0.3">
      <c r="A430" s="45">
        <v>43956</v>
      </c>
      <c r="B430" s="580"/>
      <c r="C430" s="554" t="s">
        <v>2960</v>
      </c>
      <c r="D430" s="554"/>
      <c r="E430" s="554"/>
      <c r="F430" s="43">
        <v>100000</v>
      </c>
      <c r="G430" s="364"/>
      <c r="H430" s="391" t="s">
        <v>9568</v>
      </c>
    </row>
    <row r="431" spans="1:8" x14ac:dyDescent="0.3">
      <c r="A431" s="45">
        <v>43956</v>
      </c>
      <c r="B431" s="399"/>
      <c r="C431" s="5" t="s">
        <v>6028</v>
      </c>
      <c r="D431" s="5" t="s">
        <v>6029</v>
      </c>
      <c r="E431" s="43">
        <v>55000</v>
      </c>
      <c r="F431" s="43"/>
      <c r="G431" s="364"/>
      <c r="H431" s="391" t="s">
        <v>9568</v>
      </c>
    </row>
    <row r="432" spans="1:8" x14ac:dyDescent="0.3">
      <c r="A432" s="45">
        <v>43956</v>
      </c>
      <c r="B432" s="399"/>
      <c r="C432" s="5" t="s">
        <v>5792</v>
      </c>
      <c r="D432" s="217" t="s">
        <v>6030</v>
      </c>
      <c r="E432" s="222">
        <v>54000</v>
      </c>
      <c r="F432" s="43"/>
      <c r="G432" s="364"/>
      <c r="H432" s="391" t="s">
        <v>9568</v>
      </c>
    </row>
    <row r="433" spans="1:8" x14ac:dyDescent="0.3">
      <c r="A433" s="45">
        <v>43957</v>
      </c>
      <c r="B433" s="399"/>
      <c r="C433" s="5" t="s">
        <v>1837</v>
      </c>
      <c r="D433" s="5" t="s">
        <v>6031</v>
      </c>
      <c r="E433" s="43">
        <v>1000</v>
      </c>
      <c r="F433" s="43"/>
      <c r="G433" s="364"/>
      <c r="H433" s="391" t="s">
        <v>9568</v>
      </c>
    </row>
    <row r="434" spans="1:8" x14ac:dyDescent="0.3">
      <c r="A434" s="45">
        <v>43957</v>
      </c>
      <c r="B434" s="399"/>
      <c r="C434" s="5" t="s">
        <v>84</v>
      </c>
      <c r="D434" s="5" t="s">
        <v>6032</v>
      </c>
      <c r="E434" s="43">
        <v>1000</v>
      </c>
      <c r="F434" s="43"/>
      <c r="G434" s="364"/>
      <c r="H434" s="391" t="s">
        <v>9568</v>
      </c>
    </row>
    <row r="435" spans="1:8" x14ac:dyDescent="0.3">
      <c r="A435" s="45">
        <v>43957</v>
      </c>
      <c r="B435" s="399"/>
      <c r="C435" s="5" t="s">
        <v>18</v>
      </c>
      <c r="D435" s="5" t="s">
        <v>6036</v>
      </c>
      <c r="E435" s="43">
        <v>20300</v>
      </c>
      <c r="F435" s="43"/>
      <c r="G435" s="364"/>
      <c r="H435" s="391" t="s">
        <v>9568</v>
      </c>
    </row>
    <row r="436" spans="1:8" x14ac:dyDescent="0.3">
      <c r="A436" s="45">
        <v>43957</v>
      </c>
      <c r="B436" s="399"/>
      <c r="C436" s="5" t="s">
        <v>1787</v>
      </c>
      <c r="D436" s="5" t="s">
        <v>6033</v>
      </c>
      <c r="E436" s="43">
        <v>1500</v>
      </c>
      <c r="F436" s="43"/>
      <c r="G436" s="364"/>
      <c r="H436" s="391" t="s">
        <v>9568</v>
      </c>
    </row>
    <row r="437" spans="1:8" x14ac:dyDescent="0.3">
      <c r="A437" s="45">
        <v>43960</v>
      </c>
      <c r="B437" s="399"/>
      <c r="C437" s="5" t="s">
        <v>54</v>
      </c>
      <c r="D437" s="5" t="s">
        <v>6035</v>
      </c>
      <c r="E437" s="43">
        <v>10000</v>
      </c>
      <c r="F437" s="43"/>
      <c r="G437" s="364"/>
      <c r="H437" s="391" t="s">
        <v>9568</v>
      </c>
    </row>
    <row r="438" spans="1:8" x14ac:dyDescent="0.3">
      <c r="A438" s="45">
        <v>43962</v>
      </c>
      <c r="B438" s="399"/>
      <c r="C438" s="5" t="s">
        <v>93</v>
      </c>
      <c r="D438" s="5" t="s">
        <v>6037</v>
      </c>
      <c r="E438" s="43">
        <v>1000</v>
      </c>
      <c r="F438" s="43"/>
      <c r="G438" s="364"/>
      <c r="H438" s="391" t="s">
        <v>9568</v>
      </c>
    </row>
    <row r="439" spans="1:8" x14ac:dyDescent="0.3">
      <c r="A439" s="45">
        <v>43962</v>
      </c>
      <c r="B439" s="404"/>
      <c r="C439" s="41" t="s">
        <v>93</v>
      </c>
      <c r="D439" s="41" t="s">
        <v>6051</v>
      </c>
      <c r="E439" s="42">
        <v>2000</v>
      </c>
      <c r="F439" s="43"/>
      <c r="G439" s="364"/>
      <c r="H439" s="391" t="s">
        <v>9568</v>
      </c>
    </row>
    <row r="440" spans="1:8" x14ac:dyDescent="0.3">
      <c r="A440" s="45">
        <v>43962</v>
      </c>
      <c r="B440" s="580"/>
      <c r="C440" s="554" t="s">
        <v>6039</v>
      </c>
      <c r="D440" s="554"/>
      <c r="E440" s="554"/>
      <c r="F440" s="43">
        <v>1000000</v>
      </c>
      <c r="G440" s="364"/>
      <c r="H440" s="391" t="s">
        <v>9568</v>
      </c>
    </row>
    <row r="441" spans="1:8" ht="37.5" x14ac:dyDescent="0.3">
      <c r="A441" s="45">
        <v>43962</v>
      </c>
      <c r="B441" s="399"/>
      <c r="C441" s="5" t="s">
        <v>54</v>
      </c>
      <c r="D441" s="92" t="s">
        <v>6045</v>
      </c>
      <c r="E441" s="43">
        <v>3500</v>
      </c>
      <c r="F441" s="43"/>
      <c r="G441" s="364"/>
      <c r="H441" s="391" t="s">
        <v>9568</v>
      </c>
    </row>
    <row r="442" spans="1:8" x14ac:dyDescent="0.3">
      <c r="A442" s="45">
        <v>43962</v>
      </c>
      <c r="B442" s="399"/>
      <c r="C442" s="5" t="s">
        <v>5162</v>
      </c>
      <c r="D442" s="5" t="s">
        <v>6038</v>
      </c>
      <c r="E442" s="43">
        <v>1200</v>
      </c>
      <c r="F442" s="43"/>
      <c r="G442" s="364"/>
      <c r="H442" s="391" t="s">
        <v>9568</v>
      </c>
    </row>
    <row r="443" spans="1:8" x14ac:dyDescent="0.3">
      <c r="A443" s="45">
        <v>43962</v>
      </c>
      <c r="B443" s="399"/>
      <c r="C443" s="5" t="s">
        <v>110</v>
      </c>
      <c r="D443" s="5" t="s">
        <v>6052</v>
      </c>
      <c r="E443" s="43">
        <v>15000</v>
      </c>
      <c r="F443" s="43"/>
      <c r="G443" s="364"/>
      <c r="H443" s="391" t="s">
        <v>9568</v>
      </c>
    </row>
    <row r="444" spans="1:8" x14ac:dyDescent="0.3">
      <c r="A444" s="45">
        <v>43963</v>
      </c>
      <c r="B444" s="399"/>
      <c r="C444" s="5" t="s">
        <v>6041</v>
      </c>
      <c r="D444" s="5" t="s">
        <v>6053</v>
      </c>
      <c r="E444" s="43">
        <v>20000</v>
      </c>
      <c r="F444" s="43"/>
      <c r="G444" s="364"/>
      <c r="H444" s="391" t="s">
        <v>9568</v>
      </c>
    </row>
    <row r="445" spans="1:8" x14ac:dyDescent="0.3">
      <c r="A445" s="45">
        <v>43963</v>
      </c>
      <c r="B445" s="399"/>
      <c r="C445" s="5" t="s">
        <v>6042</v>
      </c>
      <c r="D445" s="5" t="s">
        <v>6043</v>
      </c>
      <c r="E445" s="43">
        <v>25000</v>
      </c>
      <c r="F445" s="43"/>
      <c r="G445" s="364"/>
      <c r="H445" s="391" t="s">
        <v>9568</v>
      </c>
    </row>
    <row r="446" spans="1:8" x14ac:dyDescent="0.3">
      <c r="A446" s="45">
        <v>43963</v>
      </c>
      <c r="B446" s="399"/>
      <c r="C446" s="5" t="s">
        <v>6044</v>
      </c>
      <c r="D446" s="5" t="s">
        <v>6048</v>
      </c>
      <c r="E446" s="43">
        <v>20000</v>
      </c>
      <c r="F446" s="43"/>
      <c r="G446" s="364"/>
      <c r="H446" s="391" t="s">
        <v>9568</v>
      </c>
    </row>
    <row r="447" spans="1:8" x14ac:dyDescent="0.3">
      <c r="A447" s="45">
        <v>43963</v>
      </c>
      <c r="B447" s="404"/>
      <c r="C447" s="41" t="s">
        <v>1837</v>
      </c>
      <c r="D447" s="41" t="s">
        <v>6046</v>
      </c>
      <c r="E447" s="42">
        <v>5000</v>
      </c>
      <c r="F447" s="43"/>
      <c r="G447" s="364"/>
      <c r="H447" s="391" t="s">
        <v>9568</v>
      </c>
    </row>
    <row r="448" spans="1:8" x14ac:dyDescent="0.3">
      <c r="A448" s="45">
        <v>43963</v>
      </c>
      <c r="B448" s="399"/>
      <c r="C448" s="5" t="s">
        <v>25</v>
      </c>
      <c r="D448" s="5" t="s">
        <v>6047</v>
      </c>
      <c r="E448" s="43">
        <v>600</v>
      </c>
      <c r="F448" s="43"/>
      <c r="G448" s="364"/>
      <c r="H448" s="391" t="s">
        <v>9568</v>
      </c>
    </row>
    <row r="449" spans="1:8" x14ac:dyDescent="0.3">
      <c r="A449" s="45">
        <v>43963</v>
      </c>
      <c r="B449" s="399"/>
      <c r="C449" s="5" t="s">
        <v>2348</v>
      </c>
      <c r="D449" s="5" t="s">
        <v>294</v>
      </c>
      <c r="E449" s="43">
        <v>5000</v>
      </c>
      <c r="F449" s="43"/>
      <c r="G449" s="364"/>
      <c r="H449" s="391" t="s">
        <v>9568</v>
      </c>
    </row>
    <row r="450" spans="1:8" x14ac:dyDescent="0.3">
      <c r="A450" s="45">
        <v>43963</v>
      </c>
      <c r="B450" s="399"/>
      <c r="C450" s="5" t="s">
        <v>2348</v>
      </c>
      <c r="D450" s="5" t="s">
        <v>294</v>
      </c>
      <c r="E450" s="43">
        <v>15000</v>
      </c>
      <c r="F450" s="43"/>
      <c r="G450" s="364"/>
      <c r="H450" s="391" t="s">
        <v>9568</v>
      </c>
    </row>
    <row r="451" spans="1:8" x14ac:dyDescent="0.3">
      <c r="A451" s="45">
        <v>43964</v>
      </c>
      <c r="B451" s="580"/>
      <c r="C451" s="554" t="s">
        <v>6000</v>
      </c>
      <c r="D451" s="554"/>
      <c r="E451" s="554"/>
      <c r="F451" s="43">
        <v>18000</v>
      </c>
      <c r="G451" s="364"/>
      <c r="H451" s="391" t="s">
        <v>9568</v>
      </c>
    </row>
    <row r="452" spans="1:8" x14ac:dyDescent="0.3">
      <c r="A452" s="45">
        <v>43964</v>
      </c>
      <c r="B452" s="399"/>
      <c r="C452" s="5" t="s">
        <v>25</v>
      </c>
      <c r="D452" s="5" t="s">
        <v>6049</v>
      </c>
      <c r="E452" s="43">
        <v>100</v>
      </c>
      <c r="F452" s="43"/>
      <c r="G452" s="364"/>
      <c r="H452" s="391" t="s">
        <v>9568</v>
      </c>
    </row>
    <row r="453" spans="1:8" x14ac:dyDescent="0.3">
      <c r="A453" s="45">
        <v>43964</v>
      </c>
      <c r="B453" s="399"/>
      <c r="C453" s="5" t="s">
        <v>25</v>
      </c>
      <c r="D453" s="5" t="s">
        <v>6050</v>
      </c>
      <c r="E453" s="43">
        <v>200</v>
      </c>
      <c r="F453" s="43"/>
      <c r="G453" s="364"/>
      <c r="H453" s="391" t="s">
        <v>9568</v>
      </c>
    </row>
    <row r="454" spans="1:8" x14ac:dyDescent="0.3">
      <c r="A454" s="45">
        <v>43964</v>
      </c>
      <c r="B454" s="409"/>
      <c r="C454" s="61" t="s">
        <v>54</v>
      </c>
      <c r="D454" s="61" t="s">
        <v>6040</v>
      </c>
      <c r="E454" s="62">
        <v>907595</v>
      </c>
      <c r="F454" s="43"/>
      <c r="G454" s="364"/>
      <c r="H454" s="391" t="s">
        <v>9568</v>
      </c>
    </row>
    <row r="455" spans="1:8" x14ac:dyDescent="0.3">
      <c r="A455" s="45">
        <v>43964</v>
      </c>
      <c r="B455" s="580"/>
      <c r="C455" s="554" t="s">
        <v>6055</v>
      </c>
      <c r="D455" s="554"/>
      <c r="E455" s="554"/>
      <c r="F455" s="43">
        <v>50000</v>
      </c>
      <c r="G455" s="364"/>
      <c r="H455" s="391" t="s">
        <v>9568</v>
      </c>
    </row>
    <row r="456" spans="1:8" x14ac:dyDescent="0.3">
      <c r="A456" s="45">
        <v>43965</v>
      </c>
      <c r="B456" s="399"/>
      <c r="C456" s="5" t="s">
        <v>6054</v>
      </c>
      <c r="D456" s="5" t="s">
        <v>3332</v>
      </c>
      <c r="E456" s="43">
        <v>5000</v>
      </c>
      <c r="F456" s="43"/>
      <c r="G456" s="364"/>
      <c r="H456" s="391" t="s">
        <v>9568</v>
      </c>
    </row>
    <row r="457" spans="1:8" x14ac:dyDescent="0.3">
      <c r="A457" s="45">
        <v>43967</v>
      </c>
      <c r="B457" s="399"/>
      <c r="C457" s="5" t="s">
        <v>14</v>
      </c>
      <c r="D457" s="5" t="s">
        <v>6057</v>
      </c>
      <c r="E457" s="43">
        <v>18000</v>
      </c>
      <c r="F457" s="43"/>
      <c r="G457" s="364"/>
      <c r="H457" s="391" t="s">
        <v>9568</v>
      </c>
    </row>
    <row r="458" spans="1:8" x14ac:dyDescent="0.3">
      <c r="A458" s="45">
        <v>43967</v>
      </c>
      <c r="B458" s="399"/>
      <c r="C458" s="5" t="s">
        <v>2346</v>
      </c>
      <c r="D458" s="5" t="s">
        <v>6058</v>
      </c>
      <c r="E458" s="43">
        <v>2500</v>
      </c>
      <c r="F458" s="43"/>
      <c r="G458" s="364"/>
      <c r="H458" s="391" t="s">
        <v>9568</v>
      </c>
    </row>
    <row r="459" spans="1:8" x14ac:dyDescent="0.3">
      <c r="A459" s="45">
        <v>43967</v>
      </c>
      <c r="B459" s="399"/>
      <c r="C459" s="5" t="s">
        <v>54</v>
      </c>
      <c r="D459" s="5" t="s">
        <v>6059</v>
      </c>
      <c r="E459" s="43">
        <v>10000</v>
      </c>
      <c r="F459" s="43"/>
      <c r="G459" s="364"/>
      <c r="H459" s="391" t="s">
        <v>9568</v>
      </c>
    </row>
    <row r="460" spans="1:8" x14ac:dyDescent="0.3">
      <c r="A460" s="45">
        <v>43967</v>
      </c>
      <c r="B460" s="399"/>
      <c r="C460" s="5" t="s">
        <v>54</v>
      </c>
      <c r="D460" s="5" t="s">
        <v>6060</v>
      </c>
      <c r="E460" s="43">
        <v>5000</v>
      </c>
      <c r="F460" s="43"/>
      <c r="G460" s="364"/>
      <c r="H460" s="391" t="s">
        <v>9568</v>
      </c>
    </row>
    <row r="461" spans="1:8" x14ac:dyDescent="0.3">
      <c r="A461" s="45">
        <v>43967</v>
      </c>
      <c r="B461" s="399"/>
      <c r="C461" s="5" t="s">
        <v>54</v>
      </c>
      <c r="D461" s="5" t="s">
        <v>6061</v>
      </c>
      <c r="E461" s="43">
        <v>2000</v>
      </c>
      <c r="F461" s="43"/>
      <c r="G461" s="364"/>
      <c r="H461" s="391" t="s">
        <v>9568</v>
      </c>
    </row>
    <row r="462" spans="1:8" x14ac:dyDescent="0.3">
      <c r="A462" s="45">
        <v>43967</v>
      </c>
      <c r="B462" s="399"/>
      <c r="C462" s="5" t="s">
        <v>54</v>
      </c>
      <c r="D462" s="5" t="s">
        <v>6062</v>
      </c>
      <c r="E462" s="43">
        <v>4625</v>
      </c>
      <c r="F462" s="43"/>
      <c r="G462" s="364"/>
      <c r="H462" s="391" t="s">
        <v>9568</v>
      </c>
    </row>
    <row r="463" spans="1:8" x14ac:dyDescent="0.3">
      <c r="A463" s="45">
        <v>43967</v>
      </c>
      <c r="B463" s="399"/>
      <c r="C463" s="5" t="s">
        <v>54</v>
      </c>
      <c r="D463" s="5" t="s">
        <v>6063</v>
      </c>
      <c r="E463" s="43">
        <v>2500</v>
      </c>
      <c r="F463" s="43"/>
      <c r="G463" s="364"/>
      <c r="H463" s="391" t="s">
        <v>9568</v>
      </c>
    </row>
    <row r="464" spans="1:8" x14ac:dyDescent="0.3">
      <c r="A464" s="45">
        <v>43964</v>
      </c>
      <c r="B464" s="580"/>
      <c r="C464" s="554" t="s">
        <v>6000</v>
      </c>
      <c r="D464" s="554"/>
      <c r="E464" s="554"/>
      <c r="F464" s="43">
        <v>22500</v>
      </c>
      <c r="G464" s="364"/>
      <c r="H464" s="391" t="s">
        <v>9568</v>
      </c>
    </row>
    <row r="465" spans="1:8" x14ac:dyDescent="0.3">
      <c r="A465" s="45">
        <v>43967</v>
      </c>
      <c r="B465" s="399"/>
      <c r="C465" s="5" t="s">
        <v>6074</v>
      </c>
      <c r="D465" s="5" t="s">
        <v>6075</v>
      </c>
      <c r="E465" s="43">
        <v>3000</v>
      </c>
      <c r="F465" s="43"/>
      <c r="G465" s="364"/>
      <c r="H465" s="391" t="s">
        <v>9568</v>
      </c>
    </row>
    <row r="466" spans="1:8" x14ac:dyDescent="0.3">
      <c r="A466" s="45">
        <v>43970</v>
      </c>
      <c r="B466" s="399"/>
      <c r="C466" s="5" t="s">
        <v>1074</v>
      </c>
      <c r="D466" s="5" t="s">
        <v>6065</v>
      </c>
      <c r="E466" s="43">
        <f>4090+1290</f>
        <v>5380</v>
      </c>
      <c r="F466" s="43"/>
      <c r="G466" s="364"/>
      <c r="H466" s="391" t="s">
        <v>9568</v>
      </c>
    </row>
    <row r="467" spans="1:8" x14ac:dyDescent="0.3">
      <c r="A467" s="45">
        <v>43970</v>
      </c>
      <c r="B467" s="399"/>
      <c r="C467" s="5" t="s">
        <v>1074</v>
      </c>
      <c r="D467" s="5" t="s">
        <v>6064</v>
      </c>
      <c r="E467" s="43">
        <f>690+2150</f>
        <v>2840</v>
      </c>
      <c r="F467" s="43"/>
      <c r="G467" s="364"/>
      <c r="H467" s="391" t="s">
        <v>9568</v>
      </c>
    </row>
    <row r="468" spans="1:8" x14ac:dyDescent="0.3">
      <c r="A468" s="45">
        <v>43970</v>
      </c>
      <c r="B468" s="399"/>
      <c r="C468" s="5" t="s">
        <v>4869</v>
      </c>
      <c r="D468" s="5" t="s">
        <v>40</v>
      </c>
      <c r="E468" s="43">
        <v>4161</v>
      </c>
      <c r="F468" s="43"/>
      <c r="G468" s="364"/>
      <c r="H468" s="391" t="s">
        <v>9568</v>
      </c>
    </row>
    <row r="469" spans="1:8" x14ac:dyDescent="0.3">
      <c r="A469" s="45">
        <v>43970</v>
      </c>
      <c r="B469" s="580"/>
      <c r="C469" s="554" t="s">
        <v>6055</v>
      </c>
      <c r="D469" s="554"/>
      <c r="E469" s="554"/>
      <c r="F469" s="43">
        <v>400000</v>
      </c>
      <c r="G469" s="364"/>
      <c r="H469" s="391" t="s">
        <v>9568</v>
      </c>
    </row>
    <row r="470" spans="1:8" x14ac:dyDescent="0.3">
      <c r="A470" s="45">
        <v>43970</v>
      </c>
      <c r="B470" s="399"/>
      <c r="C470" s="5" t="s">
        <v>2348</v>
      </c>
      <c r="D470" s="5" t="s">
        <v>6067</v>
      </c>
      <c r="E470" s="43">
        <v>104000</v>
      </c>
      <c r="F470" s="43"/>
      <c r="G470" s="364"/>
      <c r="H470" s="391" t="s">
        <v>9568</v>
      </c>
    </row>
    <row r="471" spans="1:8" x14ac:dyDescent="0.3">
      <c r="A471" s="45">
        <v>43970</v>
      </c>
      <c r="B471" s="399"/>
      <c r="C471" s="5" t="s">
        <v>88</v>
      </c>
      <c r="D471" s="5" t="s">
        <v>6077</v>
      </c>
      <c r="E471" s="43">
        <v>1000</v>
      </c>
      <c r="F471" s="43"/>
      <c r="G471" s="364"/>
      <c r="H471" s="391" t="s">
        <v>9568</v>
      </c>
    </row>
    <row r="472" spans="1:8" x14ac:dyDescent="0.3">
      <c r="A472" s="45">
        <v>43970</v>
      </c>
      <c r="B472" s="399"/>
      <c r="C472" s="5" t="s">
        <v>1512</v>
      </c>
      <c r="D472" s="5" t="s">
        <v>6061</v>
      </c>
      <c r="E472" s="43">
        <v>3000</v>
      </c>
      <c r="F472" s="43"/>
      <c r="G472" s="364"/>
      <c r="H472" s="391" t="s">
        <v>9568</v>
      </c>
    </row>
    <row r="473" spans="1:8" x14ac:dyDescent="0.3">
      <c r="A473" s="45">
        <v>43970</v>
      </c>
      <c r="B473" s="399"/>
      <c r="C473" s="5" t="s">
        <v>6068</v>
      </c>
      <c r="D473" s="5" t="s">
        <v>40</v>
      </c>
      <c r="E473" s="43">
        <v>40000</v>
      </c>
      <c r="F473" s="43"/>
      <c r="G473" s="364"/>
      <c r="H473" s="391" t="s">
        <v>9568</v>
      </c>
    </row>
    <row r="474" spans="1:8" x14ac:dyDescent="0.3">
      <c r="A474" s="45">
        <v>43970</v>
      </c>
      <c r="B474" s="399"/>
      <c r="C474" s="5" t="s">
        <v>4550</v>
      </c>
      <c r="D474" s="5" t="s">
        <v>4792</v>
      </c>
      <c r="E474" s="43">
        <v>18000</v>
      </c>
      <c r="F474" s="43"/>
      <c r="G474" s="364"/>
      <c r="H474" s="391" t="s">
        <v>9568</v>
      </c>
    </row>
    <row r="475" spans="1:8" x14ac:dyDescent="0.3">
      <c r="A475" s="45">
        <v>43970</v>
      </c>
      <c r="B475" s="399"/>
      <c r="C475" s="5" t="s">
        <v>4550</v>
      </c>
      <c r="D475" s="5" t="s">
        <v>4792</v>
      </c>
      <c r="E475" s="43">
        <v>4000</v>
      </c>
      <c r="F475" s="43"/>
      <c r="G475" s="364"/>
      <c r="H475" s="391" t="s">
        <v>9568</v>
      </c>
    </row>
    <row r="476" spans="1:8" x14ac:dyDescent="0.3">
      <c r="A476" s="45">
        <v>43970</v>
      </c>
      <c r="B476" s="580"/>
      <c r="C476" s="554" t="s">
        <v>6069</v>
      </c>
      <c r="D476" s="554"/>
      <c r="E476" s="554"/>
      <c r="F476" s="43">
        <v>80000</v>
      </c>
      <c r="G476" s="364"/>
      <c r="H476" s="391" t="s">
        <v>9568</v>
      </c>
    </row>
    <row r="477" spans="1:8" x14ac:dyDescent="0.3">
      <c r="A477" s="45">
        <v>43970</v>
      </c>
      <c r="B477" s="399"/>
      <c r="C477" s="5" t="s">
        <v>0</v>
      </c>
      <c r="D477" s="5" t="s">
        <v>4187</v>
      </c>
      <c r="E477" s="43">
        <v>6000</v>
      </c>
      <c r="F477" s="43"/>
      <c r="G477" s="364"/>
      <c r="H477" s="391" t="s">
        <v>9568</v>
      </c>
    </row>
    <row r="478" spans="1:8" x14ac:dyDescent="0.3">
      <c r="A478" s="45">
        <v>43970</v>
      </c>
      <c r="B478" s="399"/>
      <c r="C478" s="5" t="s">
        <v>5922</v>
      </c>
      <c r="D478" s="5" t="s">
        <v>6078</v>
      </c>
      <c r="E478" s="43">
        <v>9500</v>
      </c>
      <c r="F478" s="43"/>
      <c r="G478" s="364"/>
      <c r="H478" s="391" t="s">
        <v>9568</v>
      </c>
    </row>
    <row r="479" spans="1:8" x14ac:dyDescent="0.3">
      <c r="A479" s="45">
        <v>43971</v>
      </c>
      <c r="B479" s="399"/>
      <c r="C479" s="5" t="s">
        <v>5665</v>
      </c>
      <c r="D479" s="5" t="s">
        <v>6080</v>
      </c>
      <c r="E479" s="43">
        <v>20500</v>
      </c>
      <c r="F479" s="43"/>
      <c r="G479" s="364"/>
      <c r="H479" s="391" t="s">
        <v>9568</v>
      </c>
    </row>
    <row r="480" spans="1:8" x14ac:dyDescent="0.3">
      <c r="A480" s="45">
        <v>43971</v>
      </c>
      <c r="B480" s="399"/>
      <c r="C480" s="5" t="s">
        <v>1837</v>
      </c>
      <c r="D480" s="5" t="s">
        <v>6076</v>
      </c>
      <c r="E480" s="43">
        <v>2500</v>
      </c>
      <c r="F480" s="43"/>
      <c r="G480" s="364"/>
      <c r="H480" s="391" t="s">
        <v>9568</v>
      </c>
    </row>
    <row r="481" spans="1:8" x14ac:dyDescent="0.3">
      <c r="A481" s="45">
        <v>43971</v>
      </c>
      <c r="B481" s="399"/>
      <c r="C481" s="5" t="s">
        <v>25</v>
      </c>
      <c r="D481" s="5" t="s">
        <v>6081</v>
      </c>
      <c r="E481" s="43">
        <v>120</v>
      </c>
      <c r="F481" s="43"/>
      <c r="G481" s="364"/>
      <c r="H481" s="391" t="s">
        <v>9568</v>
      </c>
    </row>
    <row r="482" spans="1:8" x14ac:dyDescent="0.3">
      <c r="A482" s="45">
        <v>43971</v>
      </c>
      <c r="B482" s="580"/>
      <c r="C482" s="554" t="s">
        <v>6079</v>
      </c>
      <c r="D482" s="554"/>
      <c r="E482" s="554"/>
      <c r="F482" s="43">
        <v>98334</v>
      </c>
      <c r="G482" s="364"/>
      <c r="H482" s="391" t="s">
        <v>9568</v>
      </c>
    </row>
    <row r="483" spans="1:8" x14ac:dyDescent="0.3">
      <c r="A483" s="45">
        <v>43971</v>
      </c>
      <c r="B483" s="399"/>
      <c r="C483" s="5" t="s">
        <v>5930</v>
      </c>
      <c r="D483" s="5" t="s">
        <v>3332</v>
      </c>
      <c r="E483" s="43">
        <v>88784</v>
      </c>
      <c r="F483" s="43"/>
      <c r="G483" s="364"/>
      <c r="H483" s="391" t="s">
        <v>9568</v>
      </c>
    </row>
    <row r="484" spans="1:8" x14ac:dyDescent="0.3">
      <c r="A484" s="45">
        <v>43971</v>
      </c>
      <c r="B484" s="580"/>
      <c r="C484" s="554" t="s">
        <v>6055</v>
      </c>
      <c r="D484" s="554"/>
      <c r="E484" s="554"/>
      <c r="F484" s="43">
        <v>150000</v>
      </c>
      <c r="G484" s="364"/>
      <c r="H484" s="391" t="s">
        <v>9568</v>
      </c>
    </row>
    <row r="485" spans="1:8" x14ac:dyDescent="0.3">
      <c r="A485" s="45">
        <v>43971</v>
      </c>
      <c r="B485" s="399"/>
      <c r="C485" s="5" t="s">
        <v>25</v>
      </c>
      <c r="D485" s="5" t="s">
        <v>6088</v>
      </c>
      <c r="E485" s="43">
        <v>500</v>
      </c>
      <c r="F485" s="43"/>
      <c r="G485" s="364"/>
      <c r="H485" s="391" t="s">
        <v>9568</v>
      </c>
    </row>
    <row r="486" spans="1:8" x14ac:dyDescent="0.3">
      <c r="A486" s="45">
        <v>43972</v>
      </c>
      <c r="B486" s="580"/>
      <c r="C486" s="554" t="s">
        <v>6000</v>
      </c>
      <c r="D486" s="554"/>
      <c r="E486" s="554"/>
      <c r="F486" s="43">
        <v>50000</v>
      </c>
      <c r="G486" s="364"/>
      <c r="H486" s="391" t="s">
        <v>9568</v>
      </c>
    </row>
    <row r="487" spans="1:8" ht="112.5" x14ac:dyDescent="0.3">
      <c r="A487" s="45">
        <v>43972</v>
      </c>
      <c r="B487" s="322"/>
      <c r="C487" s="44" t="s">
        <v>6084</v>
      </c>
      <c r="D487" s="92" t="s">
        <v>6086</v>
      </c>
      <c r="E487" s="28">
        <v>465000</v>
      </c>
      <c r="F487" s="43"/>
      <c r="G487" s="364"/>
      <c r="H487" s="391" t="s">
        <v>9568</v>
      </c>
    </row>
    <row r="488" spans="1:8" x14ac:dyDescent="0.3">
      <c r="A488" s="45">
        <v>43972</v>
      </c>
      <c r="B488" s="399"/>
      <c r="C488" s="5" t="s">
        <v>25</v>
      </c>
      <c r="D488" s="5" t="s">
        <v>6083</v>
      </c>
      <c r="E488" s="43">
        <v>200</v>
      </c>
      <c r="F488" s="43"/>
      <c r="G488" s="364"/>
      <c r="H488" s="391" t="s">
        <v>9568</v>
      </c>
    </row>
    <row r="489" spans="1:8" x14ac:dyDescent="0.3">
      <c r="A489" s="45">
        <v>43972</v>
      </c>
      <c r="B489" s="399"/>
      <c r="C489" s="5" t="s">
        <v>247</v>
      </c>
      <c r="D489" s="5" t="s">
        <v>2013</v>
      </c>
      <c r="E489" s="43">
        <v>100</v>
      </c>
      <c r="F489" s="43"/>
      <c r="G489" s="364"/>
      <c r="H489" s="391" t="s">
        <v>9568</v>
      </c>
    </row>
    <row r="490" spans="1:8" x14ac:dyDescent="0.3">
      <c r="A490" s="45">
        <v>43979</v>
      </c>
      <c r="B490" s="580"/>
      <c r="C490" s="554" t="s">
        <v>6090</v>
      </c>
      <c r="D490" s="554"/>
      <c r="E490" s="554"/>
      <c r="F490" s="43">
        <v>14000</v>
      </c>
      <c r="G490" s="364"/>
      <c r="H490" s="391" t="s">
        <v>9568</v>
      </c>
    </row>
    <row r="491" spans="1:8" x14ac:dyDescent="0.3">
      <c r="A491" s="45">
        <v>43972</v>
      </c>
      <c r="B491" s="399"/>
      <c r="C491" s="5" t="s">
        <v>6085</v>
      </c>
      <c r="D491" s="5" t="s">
        <v>6087</v>
      </c>
      <c r="E491" s="43">
        <v>20500</v>
      </c>
      <c r="F491" s="43"/>
      <c r="G491" s="364"/>
      <c r="H491" s="391" t="s">
        <v>9568</v>
      </c>
    </row>
    <row r="492" spans="1:8" x14ac:dyDescent="0.3">
      <c r="A492" s="45">
        <v>43979</v>
      </c>
      <c r="B492" s="399"/>
      <c r="C492" s="5" t="s">
        <v>6091</v>
      </c>
      <c r="D492" s="5" t="s">
        <v>6092</v>
      </c>
      <c r="E492" s="43">
        <v>770</v>
      </c>
      <c r="F492" s="43"/>
      <c r="G492" s="364"/>
      <c r="H492" s="391" t="s">
        <v>9568</v>
      </c>
    </row>
    <row r="493" spans="1:8" x14ac:dyDescent="0.3">
      <c r="A493" s="45">
        <v>43980</v>
      </c>
      <c r="B493" s="399"/>
      <c r="C493" s="5" t="s">
        <v>4550</v>
      </c>
      <c r="D493" s="5" t="s">
        <v>6093</v>
      </c>
      <c r="E493" s="43">
        <v>10000</v>
      </c>
      <c r="F493" s="43"/>
      <c r="G493" s="364"/>
      <c r="H493" s="391" t="s">
        <v>9568</v>
      </c>
    </row>
    <row r="494" spans="1:8" x14ac:dyDescent="0.3">
      <c r="A494" s="45">
        <v>43980</v>
      </c>
      <c r="B494" s="580"/>
      <c r="C494" s="554" t="s">
        <v>6095</v>
      </c>
      <c r="D494" s="554"/>
      <c r="E494" s="554"/>
      <c r="F494" s="43">
        <v>60000</v>
      </c>
      <c r="G494" s="364"/>
      <c r="H494" s="391" t="s">
        <v>9568</v>
      </c>
    </row>
    <row r="495" spans="1:8" x14ac:dyDescent="0.3">
      <c r="A495" s="45">
        <v>43980</v>
      </c>
      <c r="B495" s="399"/>
      <c r="C495" s="5" t="s">
        <v>84</v>
      </c>
      <c r="D495" s="5" t="s">
        <v>6089</v>
      </c>
      <c r="E495" s="43">
        <v>3000</v>
      </c>
      <c r="F495" s="43"/>
      <c r="G495" s="364"/>
      <c r="H495" s="391" t="s">
        <v>9568</v>
      </c>
    </row>
    <row r="496" spans="1:8" x14ac:dyDescent="0.3">
      <c r="A496" s="45">
        <v>43980</v>
      </c>
      <c r="B496" s="399"/>
      <c r="C496" s="5" t="s">
        <v>25</v>
      </c>
      <c r="D496" s="5" t="s">
        <v>6097</v>
      </c>
      <c r="E496" s="43">
        <v>300</v>
      </c>
      <c r="F496" s="43"/>
      <c r="G496" s="364"/>
      <c r="H496" s="391" t="s">
        <v>9568</v>
      </c>
    </row>
    <row r="497" spans="1:8" x14ac:dyDescent="0.3">
      <c r="A497" s="45">
        <v>43980</v>
      </c>
      <c r="B497" s="399"/>
      <c r="C497" s="5" t="s">
        <v>25</v>
      </c>
      <c r="D497" s="5" t="s">
        <v>6094</v>
      </c>
      <c r="E497" s="43">
        <v>100</v>
      </c>
      <c r="F497" s="43"/>
      <c r="G497" s="364"/>
      <c r="H497" s="391" t="s">
        <v>9568</v>
      </c>
    </row>
    <row r="498" spans="1:8" x14ac:dyDescent="0.3">
      <c r="A498" s="45">
        <v>43980</v>
      </c>
      <c r="B498" s="399"/>
      <c r="C498" s="5" t="s">
        <v>1074</v>
      </c>
      <c r="D498" s="5" t="s">
        <v>6096</v>
      </c>
      <c r="E498" s="43">
        <v>49371</v>
      </c>
      <c r="F498" s="43"/>
      <c r="G498" s="364"/>
      <c r="H498" s="391" t="s">
        <v>9568</v>
      </c>
    </row>
    <row r="499" spans="1:8" x14ac:dyDescent="0.3">
      <c r="A499" s="45">
        <v>43980</v>
      </c>
      <c r="B499" s="580"/>
      <c r="C499" s="554" t="s">
        <v>6098</v>
      </c>
      <c r="D499" s="554"/>
      <c r="E499" s="554"/>
      <c r="F499" s="43">
        <v>200000</v>
      </c>
      <c r="G499" s="364"/>
      <c r="H499" s="391" t="s">
        <v>9568</v>
      </c>
    </row>
    <row r="500" spans="1:8" x14ac:dyDescent="0.3">
      <c r="A500" s="45">
        <v>43980</v>
      </c>
      <c r="B500" s="399"/>
      <c r="C500" s="5" t="s">
        <v>6099</v>
      </c>
      <c r="D500" s="5" t="s">
        <v>4792</v>
      </c>
      <c r="E500" s="43">
        <v>30000</v>
      </c>
      <c r="F500" s="43"/>
      <c r="G500" s="364"/>
      <c r="H500" s="391" t="s">
        <v>9568</v>
      </c>
    </row>
    <row r="501" spans="1:8" x14ac:dyDescent="0.3">
      <c r="A501" s="45">
        <v>43980</v>
      </c>
      <c r="B501" s="399"/>
      <c r="C501" s="5" t="s">
        <v>6100</v>
      </c>
      <c r="D501" s="5" t="s">
        <v>40</v>
      </c>
      <c r="E501" s="43">
        <v>40000</v>
      </c>
      <c r="F501" s="43"/>
      <c r="G501" s="364"/>
      <c r="H501" s="391" t="s">
        <v>9568</v>
      </c>
    </row>
    <row r="502" spans="1:8" x14ac:dyDescent="0.3">
      <c r="A502" s="45">
        <v>43980</v>
      </c>
      <c r="B502" s="399"/>
      <c r="C502" s="5" t="s">
        <v>2348</v>
      </c>
      <c r="D502" s="5" t="s">
        <v>438</v>
      </c>
      <c r="E502" s="43">
        <v>1000</v>
      </c>
      <c r="F502" s="43"/>
      <c r="G502" s="364"/>
      <c r="H502" s="391" t="s">
        <v>9568</v>
      </c>
    </row>
    <row r="503" spans="1:8" x14ac:dyDescent="0.3">
      <c r="A503" s="45">
        <v>43980</v>
      </c>
      <c r="B503" s="399"/>
      <c r="C503" s="5" t="s">
        <v>14</v>
      </c>
      <c r="D503" s="5" t="s">
        <v>6101</v>
      </c>
      <c r="E503" s="43">
        <v>2000</v>
      </c>
      <c r="F503" s="43"/>
      <c r="G503" s="364"/>
      <c r="H503" s="391" t="s">
        <v>9568</v>
      </c>
    </row>
    <row r="504" spans="1:8" x14ac:dyDescent="0.3">
      <c r="A504" s="45">
        <v>43980</v>
      </c>
      <c r="B504" s="399"/>
      <c r="C504" s="5" t="s">
        <v>5896</v>
      </c>
      <c r="D504" s="5" t="s">
        <v>6102</v>
      </c>
      <c r="E504" s="43">
        <v>2000</v>
      </c>
      <c r="F504" s="43"/>
      <c r="G504" s="364"/>
      <c r="H504" s="391" t="s">
        <v>9568</v>
      </c>
    </row>
    <row r="505" spans="1:8" ht="37.5" x14ac:dyDescent="0.3">
      <c r="A505" s="45">
        <v>43981</v>
      </c>
      <c r="B505" s="399"/>
      <c r="C505" s="5" t="s">
        <v>5846</v>
      </c>
      <c r="D505" s="92" t="s">
        <v>6103</v>
      </c>
      <c r="E505" s="43">
        <v>500</v>
      </c>
      <c r="F505" s="43"/>
      <c r="G505" s="364"/>
      <c r="H505" s="391" t="s">
        <v>9568</v>
      </c>
    </row>
    <row r="506" spans="1:8" x14ac:dyDescent="0.3">
      <c r="A506" s="45">
        <v>43983</v>
      </c>
      <c r="B506" s="399"/>
      <c r="C506" s="5" t="s">
        <v>6105</v>
      </c>
      <c r="D506" s="92" t="s">
        <v>6106</v>
      </c>
      <c r="E506" s="43">
        <v>73200</v>
      </c>
      <c r="F506" s="43"/>
      <c r="G506" s="364"/>
      <c r="H506" s="391" t="s">
        <v>9568</v>
      </c>
    </row>
    <row r="507" spans="1:8" x14ac:dyDescent="0.3">
      <c r="A507" s="45">
        <v>43983</v>
      </c>
      <c r="B507" s="399"/>
      <c r="C507" s="5" t="s">
        <v>541</v>
      </c>
      <c r="D507" s="92" t="s">
        <v>4792</v>
      </c>
      <c r="E507" s="43">
        <v>23750</v>
      </c>
      <c r="F507" s="43"/>
      <c r="G507" s="364"/>
      <c r="H507" s="391" t="s">
        <v>9568</v>
      </c>
    </row>
    <row r="508" spans="1:8" x14ac:dyDescent="0.3">
      <c r="A508" s="45">
        <v>43984</v>
      </c>
      <c r="B508" s="399"/>
      <c r="C508" s="5" t="s">
        <v>84</v>
      </c>
      <c r="D508" s="92" t="s">
        <v>4409</v>
      </c>
      <c r="E508" s="43">
        <v>5000</v>
      </c>
      <c r="F508" s="43"/>
      <c r="G508" s="364"/>
      <c r="H508" s="391" t="s">
        <v>9568</v>
      </c>
    </row>
    <row r="509" spans="1:8" x14ac:dyDescent="0.3">
      <c r="A509" s="45">
        <v>43984</v>
      </c>
      <c r="B509" s="399"/>
      <c r="C509" s="5" t="s">
        <v>25</v>
      </c>
      <c r="D509" s="92" t="s">
        <v>6107</v>
      </c>
      <c r="E509" s="43">
        <v>5000</v>
      </c>
      <c r="F509" s="43"/>
      <c r="G509" s="364"/>
      <c r="H509" s="391" t="s">
        <v>9568</v>
      </c>
    </row>
    <row r="510" spans="1:8" x14ac:dyDescent="0.3">
      <c r="A510" s="45">
        <v>43984</v>
      </c>
      <c r="B510" s="399"/>
      <c r="C510" s="5" t="s">
        <v>57</v>
      </c>
      <c r="D510" s="92" t="s">
        <v>6108</v>
      </c>
      <c r="E510" s="43">
        <v>5000</v>
      </c>
      <c r="F510" s="43"/>
      <c r="G510" s="364"/>
      <c r="H510" s="391" t="s">
        <v>9568</v>
      </c>
    </row>
    <row r="511" spans="1:8" x14ac:dyDescent="0.3">
      <c r="A511" s="45">
        <v>43985</v>
      </c>
      <c r="B511" s="399"/>
      <c r="C511" s="5" t="s">
        <v>18</v>
      </c>
      <c r="D511" s="5" t="s">
        <v>6109</v>
      </c>
      <c r="E511" s="43">
        <v>1000</v>
      </c>
      <c r="F511" s="43"/>
      <c r="G511" s="364"/>
      <c r="H511" s="391" t="s">
        <v>9568</v>
      </c>
    </row>
    <row r="512" spans="1:8" x14ac:dyDescent="0.3">
      <c r="A512" s="45">
        <v>43985</v>
      </c>
      <c r="B512" s="399"/>
      <c r="C512" s="5" t="s">
        <v>25</v>
      </c>
      <c r="D512" s="5" t="s">
        <v>5641</v>
      </c>
      <c r="E512" s="43">
        <v>600</v>
      </c>
      <c r="F512" s="43"/>
      <c r="G512" s="364"/>
      <c r="H512" s="391" t="s">
        <v>9568</v>
      </c>
    </row>
    <row r="513" spans="1:8" x14ac:dyDescent="0.3">
      <c r="A513" s="45">
        <v>43985</v>
      </c>
      <c r="B513" s="399"/>
      <c r="C513" s="5" t="s">
        <v>25</v>
      </c>
      <c r="D513" s="5" t="s">
        <v>64</v>
      </c>
      <c r="E513" s="43">
        <v>1800</v>
      </c>
      <c r="F513" s="43"/>
      <c r="G513" s="364"/>
      <c r="H513" s="391" t="s">
        <v>9568</v>
      </c>
    </row>
    <row r="514" spans="1:8" x14ac:dyDescent="0.3">
      <c r="A514" s="45">
        <v>43985</v>
      </c>
      <c r="B514" s="580"/>
      <c r="C514" s="554" t="s">
        <v>6055</v>
      </c>
      <c r="D514" s="554"/>
      <c r="E514" s="554"/>
      <c r="F514" s="43">
        <v>100000</v>
      </c>
      <c r="G514" s="364"/>
      <c r="H514" s="391" t="s">
        <v>9568</v>
      </c>
    </row>
    <row r="515" spans="1:8" x14ac:dyDescent="0.3">
      <c r="A515" s="45">
        <v>43985</v>
      </c>
      <c r="B515" s="399"/>
      <c r="C515" s="5" t="s">
        <v>1970</v>
      </c>
      <c r="D515" s="5" t="s">
        <v>6110</v>
      </c>
      <c r="E515" s="43">
        <v>93000</v>
      </c>
      <c r="F515" s="43"/>
      <c r="G515" s="364"/>
      <c r="H515" s="391" t="s">
        <v>9568</v>
      </c>
    </row>
    <row r="516" spans="1:8" x14ac:dyDescent="0.3">
      <c r="A516" s="45">
        <v>43987</v>
      </c>
      <c r="B516" s="399"/>
      <c r="C516" s="5" t="s">
        <v>25</v>
      </c>
      <c r="D516" s="5" t="s">
        <v>6111</v>
      </c>
      <c r="E516" s="43">
        <v>2075</v>
      </c>
      <c r="F516" s="43"/>
      <c r="G516" s="364"/>
      <c r="H516" s="391" t="s">
        <v>9568</v>
      </c>
    </row>
    <row r="517" spans="1:8" x14ac:dyDescent="0.3">
      <c r="A517" s="45">
        <v>43987</v>
      </c>
      <c r="B517" s="399"/>
      <c r="C517" s="5" t="s">
        <v>14</v>
      </c>
      <c r="D517" s="5" t="s">
        <v>6112</v>
      </c>
      <c r="E517" s="43">
        <v>9426</v>
      </c>
      <c r="F517" s="43"/>
      <c r="G517" s="364"/>
      <c r="H517" s="391" t="s">
        <v>9568</v>
      </c>
    </row>
    <row r="518" spans="1:8" x14ac:dyDescent="0.3">
      <c r="A518" s="45">
        <v>43987</v>
      </c>
      <c r="B518" s="399"/>
      <c r="C518" s="5" t="s">
        <v>14</v>
      </c>
      <c r="D518" s="5" t="s">
        <v>6126</v>
      </c>
      <c r="E518" s="43">
        <v>6500</v>
      </c>
      <c r="F518" s="43"/>
      <c r="G518" s="364"/>
      <c r="H518" s="391" t="s">
        <v>9568</v>
      </c>
    </row>
    <row r="519" spans="1:8" x14ac:dyDescent="0.3">
      <c r="A519" s="45">
        <v>43988</v>
      </c>
      <c r="B519" s="580"/>
      <c r="C519" s="554" t="s">
        <v>6055</v>
      </c>
      <c r="D519" s="554"/>
      <c r="E519" s="554"/>
      <c r="F519" s="43">
        <v>100000</v>
      </c>
      <c r="G519" s="364"/>
      <c r="H519" s="391" t="s">
        <v>9568</v>
      </c>
    </row>
    <row r="520" spans="1:8" x14ac:dyDescent="0.3">
      <c r="A520" s="45">
        <v>43988</v>
      </c>
      <c r="B520" s="399"/>
      <c r="C520" s="5" t="s">
        <v>5709</v>
      </c>
      <c r="D520" s="5" t="s">
        <v>6116</v>
      </c>
      <c r="E520" s="43">
        <v>2000</v>
      </c>
      <c r="F520" s="43"/>
      <c r="G520" s="364"/>
      <c r="H520" s="391" t="s">
        <v>9568</v>
      </c>
    </row>
    <row r="521" spans="1:8" x14ac:dyDescent="0.3">
      <c r="A521" s="45">
        <v>43988</v>
      </c>
      <c r="B521" s="399"/>
      <c r="C521" s="5" t="s">
        <v>84</v>
      </c>
      <c r="D521" s="5" t="s">
        <v>6117</v>
      </c>
      <c r="E521" s="43">
        <v>1000</v>
      </c>
      <c r="F521" s="43"/>
      <c r="G521" s="364"/>
      <c r="H521" s="391" t="s">
        <v>9568</v>
      </c>
    </row>
    <row r="522" spans="1:8" x14ac:dyDescent="0.3">
      <c r="A522" s="45">
        <v>43988</v>
      </c>
      <c r="B522" s="399"/>
      <c r="C522" s="5" t="s">
        <v>6118</v>
      </c>
      <c r="D522" s="5" t="s">
        <v>6119</v>
      </c>
      <c r="E522" s="43">
        <v>20000</v>
      </c>
      <c r="F522" s="43"/>
      <c r="G522" s="364"/>
      <c r="H522" s="391" t="s">
        <v>9568</v>
      </c>
    </row>
    <row r="523" spans="1:8" x14ac:dyDescent="0.3">
      <c r="A523" s="45">
        <v>43988</v>
      </c>
      <c r="B523" s="399"/>
      <c r="C523" s="5" t="s">
        <v>57</v>
      </c>
      <c r="D523" s="5" t="s">
        <v>6121</v>
      </c>
      <c r="E523" s="43">
        <v>2500</v>
      </c>
      <c r="F523" s="43"/>
      <c r="G523" s="364"/>
      <c r="H523" s="391" t="s">
        <v>9568</v>
      </c>
    </row>
    <row r="524" spans="1:8" x14ac:dyDescent="0.3">
      <c r="A524" s="45">
        <v>43990</v>
      </c>
      <c r="B524" s="399"/>
      <c r="C524" s="5" t="s">
        <v>18</v>
      </c>
      <c r="D524" s="5" t="s">
        <v>6122</v>
      </c>
      <c r="E524" s="43">
        <v>6000</v>
      </c>
      <c r="F524" s="43"/>
      <c r="G524" s="364"/>
      <c r="H524" s="391" t="s">
        <v>9568</v>
      </c>
    </row>
    <row r="525" spans="1:8" x14ac:dyDescent="0.3">
      <c r="A525" s="45">
        <v>43990</v>
      </c>
      <c r="B525" s="399"/>
      <c r="C525" s="5" t="s">
        <v>14</v>
      </c>
      <c r="D525" s="5" t="s">
        <v>6123</v>
      </c>
      <c r="E525" s="43">
        <f>56510/2</f>
        <v>28255</v>
      </c>
      <c r="F525" s="43"/>
      <c r="G525" s="364"/>
      <c r="H525" s="391" t="s">
        <v>9568</v>
      </c>
    </row>
    <row r="526" spans="1:8" x14ac:dyDescent="0.3">
      <c r="A526" s="45">
        <v>43990</v>
      </c>
      <c r="B526" s="399"/>
      <c r="C526" s="5" t="s">
        <v>14</v>
      </c>
      <c r="D526" s="5" t="s">
        <v>6124</v>
      </c>
      <c r="E526" s="43">
        <f>56510/2</f>
        <v>28255</v>
      </c>
      <c r="F526" s="43"/>
      <c r="G526" s="364"/>
      <c r="H526" s="391" t="s">
        <v>9568</v>
      </c>
    </row>
    <row r="527" spans="1:8" x14ac:dyDescent="0.3">
      <c r="A527" s="45">
        <v>43990</v>
      </c>
      <c r="B527" s="399"/>
      <c r="C527" s="5" t="s">
        <v>4869</v>
      </c>
      <c r="D527" s="5" t="s">
        <v>6125</v>
      </c>
      <c r="E527" s="43">
        <v>4300</v>
      </c>
      <c r="F527" s="43"/>
      <c r="G527" s="364"/>
      <c r="H527" s="391" t="s">
        <v>9568</v>
      </c>
    </row>
    <row r="528" spans="1:8" x14ac:dyDescent="0.3">
      <c r="A528" s="45">
        <v>43990</v>
      </c>
      <c r="B528" s="399"/>
      <c r="C528" s="5" t="s">
        <v>84</v>
      </c>
      <c r="D528" s="5" t="s">
        <v>6152</v>
      </c>
      <c r="E528" s="43">
        <v>10000</v>
      </c>
      <c r="F528" s="43"/>
      <c r="G528" s="364"/>
      <c r="H528" s="391" t="s">
        <v>9568</v>
      </c>
    </row>
    <row r="529" spans="1:8" x14ac:dyDescent="0.3">
      <c r="A529" s="45">
        <v>43991</v>
      </c>
      <c r="B529" s="399"/>
      <c r="C529" s="5" t="s">
        <v>25</v>
      </c>
      <c r="D529" s="5" t="s">
        <v>1624</v>
      </c>
      <c r="E529" s="43">
        <v>10</v>
      </c>
      <c r="F529" s="43"/>
      <c r="G529" s="364"/>
      <c r="H529" s="391" t="s">
        <v>9568</v>
      </c>
    </row>
    <row r="530" spans="1:8" x14ac:dyDescent="0.3">
      <c r="A530" s="45">
        <v>43991</v>
      </c>
      <c r="B530" s="580"/>
      <c r="C530" s="554" t="s">
        <v>6162</v>
      </c>
      <c r="D530" s="554"/>
      <c r="E530" s="554"/>
      <c r="F530" s="43">
        <v>7500</v>
      </c>
      <c r="G530" s="364"/>
      <c r="H530" s="391" t="s">
        <v>9568</v>
      </c>
    </row>
    <row r="531" spans="1:8" x14ac:dyDescent="0.3">
      <c r="A531" s="45">
        <v>43991</v>
      </c>
      <c r="B531" s="399"/>
      <c r="C531" s="5" t="s">
        <v>84</v>
      </c>
      <c r="D531" s="5" t="s">
        <v>6151</v>
      </c>
      <c r="E531" s="43">
        <v>5000</v>
      </c>
      <c r="F531" s="43"/>
      <c r="G531" s="364"/>
      <c r="H531" s="391" t="s">
        <v>9568</v>
      </c>
    </row>
    <row r="532" spans="1:8" x14ac:dyDescent="0.3">
      <c r="A532" s="45">
        <v>43991</v>
      </c>
      <c r="B532" s="399"/>
      <c r="C532" s="5" t="s">
        <v>5896</v>
      </c>
      <c r="D532" s="5" t="s">
        <v>6129</v>
      </c>
      <c r="E532" s="43">
        <v>4000</v>
      </c>
      <c r="F532" s="43"/>
      <c r="G532" s="364"/>
      <c r="H532" s="391" t="s">
        <v>9568</v>
      </c>
    </row>
    <row r="533" spans="1:8" x14ac:dyDescent="0.3">
      <c r="A533" s="45">
        <v>43991</v>
      </c>
      <c r="B533" s="580"/>
      <c r="C533" s="554" t="s">
        <v>6055</v>
      </c>
      <c r="D533" s="554"/>
      <c r="E533" s="554"/>
      <c r="F533" s="43">
        <v>385000</v>
      </c>
      <c r="G533" s="364"/>
      <c r="H533" s="391" t="s">
        <v>9568</v>
      </c>
    </row>
    <row r="534" spans="1:8" x14ac:dyDescent="0.3">
      <c r="A534" s="45">
        <v>43991</v>
      </c>
      <c r="B534" s="399"/>
      <c r="C534" s="5" t="s">
        <v>6130</v>
      </c>
      <c r="D534" s="5" t="s">
        <v>5377</v>
      </c>
      <c r="E534" s="43">
        <v>600</v>
      </c>
      <c r="F534" s="43"/>
      <c r="G534" s="364"/>
      <c r="H534" s="391" t="s">
        <v>9568</v>
      </c>
    </row>
    <row r="535" spans="1:8" x14ac:dyDescent="0.3">
      <c r="A535" s="45">
        <v>43991</v>
      </c>
      <c r="B535" s="399"/>
      <c r="C535" s="5" t="s">
        <v>5960</v>
      </c>
      <c r="D535" s="5" t="s">
        <v>6131</v>
      </c>
      <c r="E535" s="43">
        <v>1000</v>
      </c>
      <c r="F535" s="43"/>
      <c r="G535" s="364"/>
      <c r="H535" s="391" t="s">
        <v>9568</v>
      </c>
    </row>
    <row r="536" spans="1:8" x14ac:dyDescent="0.3">
      <c r="A536" s="45">
        <v>43991</v>
      </c>
      <c r="B536" s="399"/>
      <c r="C536" s="5" t="s">
        <v>4550</v>
      </c>
      <c r="D536" s="5" t="s">
        <v>6132</v>
      </c>
      <c r="E536" s="43">
        <v>100000</v>
      </c>
      <c r="F536" s="43"/>
      <c r="G536" s="364"/>
      <c r="H536" s="391" t="s">
        <v>9568</v>
      </c>
    </row>
    <row r="537" spans="1:8" x14ac:dyDescent="0.3">
      <c r="A537" s="45">
        <v>43992</v>
      </c>
      <c r="B537" s="399"/>
      <c r="C537" s="5" t="s">
        <v>57</v>
      </c>
      <c r="D537" s="41" t="s">
        <v>6133</v>
      </c>
      <c r="E537" s="43">
        <v>6000</v>
      </c>
      <c r="F537" s="43"/>
      <c r="G537" s="364"/>
      <c r="H537" s="391" t="s">
        <v>9568</v>
      </c>
    </row>
    <row r="538" spans="1:8" x14ac:dyDescent="0.3">
      <c r="A538" s="45">
        <v>43992</v>
      </c>
      <c r="B538" s="399"/>
      <c r="C538" s="5" t="s">
        <v>0</v>
      </c>
      <c r="D538" s="5" t="s">
        <v>6146</v>
      </c>
      <c r="E538" s="43">
        <v>66000</v>
      </c>
      <c r="F538" s="43"/>
      <c r="G538" s="364"/>
      <c r="H538" s="391" t="s">
        <v>9568</v>
      </c>
    </row>
    <row r="539" spans="1:8" x14ac:dyDescent="0.3">
      <c r="A539" s="45">
        <v>43992</v>
      </c>
      <c r="B539" s="399"/>
      <c r="C539" s="5" t="s">
        <v>4869</v>
      </c>
      <c r="D539" s="5" t="s">
        <v>40</v>
      </c>
      <c r="E539" s="43">
        <v>4370</v>
      </c>
      <c r="F539" s="43"/>
      <c r="G539" s="364"/>
      <c r="H539" s="391" t="s">
        <v>9568</v>
      </c>
    </row>
    <row r="540" spans="1:8" x14ac:dyDescent="0.3">
      <c r="A540" s="45">
        <v>43992</v>
      </c>
      <c r="B540" s="399"/>
      <c r="C540" s="5" t="s">
        <v>25</v>
      </c>
      <c r="D540" s="5" t="s">
        <v>5713</v>
      </c>
      <c r="E540" s="43">
        <v>527</v>
      </c>
      <c r="F540" s="43"/>
      <c r="G540" s="364"/>
      <c r="H540" s="391" t="s">
        <v>9568</v>
      </c>
    </row>
    <row r="541" spans="1:8" x14ac:dyDescent="0.3">
      <c r="A541" s="45">
        <v>43992</v>
      </c>
      <c r="B541" s="399"/>
      <c r="C541" s="5" t="s">
        <v>6134</v>
      </c>
      <c r="D541" s="5" t="s">
        <v>40</v>
      </c>
      <c r="E541" s="43">
        <v>650</v>
      </c>
      <c r="F541" s="43"/>
      <c r="G541" s="364"/>
      <c r="H541" s="391" t="s">
        <v>9568</v>
      </c>
    </row>
    <row r="542" spans="1:8" x14ac:dyDescent="0.3">
      <c r="A542" s="45">
        <v>43992</v>
      </c>
      <c r="B542" s="399"/>
      <c r="C542" s="5" t="s">
        <v>25</v>
      </c>
      <c r="D542" s="5" t="s">
        <v>6135</v>
      </c>
      <c r="E542" s="43">
        <v>480</v>
      </c>
      <c r="F542" s="43"/>
      <c r="G542" s="364"/>
      <c r="H542" s="391" t="s">
        <v>9568</v>
      </c>
    </row>
    <row r="543" spans="1:8" x14ac:dyDescent="0.3">
      <c r="A543" s="45">
        <v>43992</v>
      </c>
      <c r="B543" s="580"/>
      <c r="C543" s="554" t="s">
        <v>6137</v>
      </c>
      <c r="D543" s="554"/>
      <c r="E543" s="554"/>
      <c r="F543" s="43">
        <v>10500</v>
      </c>
      <c r="G543" s="364"/>
      <c r="H543" s="391" t="s">
        <v>9568</v>
      </c>
    </row>
    <row r="544" spans="1:8" x14ac:dyDescent="0.3">
      <c r="A544" s="45">
        <v>43992</v>
      </c>
      <c r="B544" s="399"/>
      <c r="C544" s="5" t="s">
        <v>2348</v>
      </c>
      <c r="D544" s="5" t="s">
        <v>6136</v>
      </c>
      <c r="E544" s="43">
        <v>18000</v>
      </c>
      <c r="F544" s="43"/>
      <c r="G544" s="364"/>
      <c r="H544" s="391" t="s">
        <v>9568</v>
      </c>
    </row>
    <row r="545" spans="1:8" x14ac:dyDescent="0.3">
      <c r="A545" s="45">
        <v>43992</v>
      </c>
      <c r="B545" s="399"/>
      <c r="C545" s="5" t="s">
        <v>4011</v>
      </c>
      <c r="D545" s="5" t="s">
        <v>6138</v>
      </c>
      <c r="E545" s="43">
        <v>1000</v>
      </c>
      <c r="F545" s="43"/>
      <c r="G545" s="364"/>
      <c r="H545" s="391" t="s">
        <v>9568</v>
      </c>
    </row>
    <row r="546" spans="1:8" x14ac:dyDescent="0.3">
      <c r="A546" s="45">
        <v>43993</v>
      </c>
      <c r="B546" s="580"/>
      <c r="C546" s="554" t="s">
        <v>6166</v>
      </c>
      <c r="D546" s="554"/>
      <c r="E546" s="554"/>
      <c r="F546" s="43">
        <v>200000</v>
      </c>
      <c r="G546" s="364"/>
      <c r="H546" s="391" t="s">
        <v>9568</v>
      </c>
    </row>
    <row r="547" spans="1:8" x14ac:dyDescent="0.3">
      <c r="A547" s="45">
        <v>43993</v>
      </c>
      <c r="B547" s="399"/>
      <c r="C547" s="5" t="s">
        <v>1787</v>
      </c>
      <c r="D547" s="5" t="s">
        <v>6139</v>
      </c>
      <c r="E547" s="43">
        <v>3000</v>
      </c>
      <c r="F547" s="43"/>
      <c r="G547" s="364"/>
      <c r="H547" s="391" t="s">
        <v>9568</v>
      </c>
    </row>
    <row r="548" spans="1:8" x14ac:dyDescent="0.3">
      <c r="A548" s="45">
        <v>43993</v>
      </c>
      <c r="B548" s="399"/>
      <c r="C548" s="5" t="s">
        <v>5896</v>
      </c>
      <c r="D548" s="5" t="s">
        <v>6140</v>
      </c>
      <c r="E548" s="43">
        <v>2000</v>
      </c>
      <c r="F548" s="43"/>
      <c r="G548" s="364"/>
      <c r="H548" s="391" t="s">
        <v>9568</v>
      </c>
    </row>
    <row r="549" spans="1:8" x14ac:dyDescent="0.3">
      <c r="A549" s="45">
        <v>43993</v>
      </c>
      <c r="B549" s="580"/>
      <c r="C549" s="554" t="s">
        <v>6166</v>
      </c>
      <c r="D549" s="554"/>
      <c r="E549" s="554"/>
      <c r="F549" s="43">
        <v>300000</v>
      </c>
      <c r="G549" s="364"/>
      <c r="H549" s="391" t="s">
        <v>9568</v>
      </c>
    </row>
    <row r="550" spans="1:8" ht="17.45" customHeight="1" x14ac:dyDescent="0.3">
      <c r="A550" s="45">
        <v>43993</v>
      </c>
      <c r="B550" s="399"/>
      <c r="C550" s="5" t="s">
        <v>25</v>
      </c>
      <c r="D550" s="5" t="s">
        <v>6149</v>
      </c>
      <c r="E550" s="43">
        <f>4800+500</f>
        <v>5300</v>
      </c>
      <c r="F550" s="43"/>
      <c r="G550" s="364"/>
      <c r="H550" s="391" t="s">
        <v>9568</v>
      </c>
    </row>
    <row r="551" spans="1:8" x14ac:dyDescent="0.3">
      <c r="A551" s="45">
        <v>43993</v>
      </c>
      <c r="B551" s="399"/>
      <c r="C551" s="5" t="s">
        <v>25</v>
      </c>
      <c r="D551" s="5" t="s">
        <v>6141</v>
      </c>
      <c r="E551" s="43">
        <v>1000</v>
      </c>
      <c r="F551" s="43"/>
      <c r="G551" s="364"/>
      <c r="H551" s="391" t="s">
        <v>9568</v>
      </c>
    </row>
    <row r="552" spans="1:8" x14ac:dyDescent="0.3">
      <c r="A552" s="45">
        <v>43993</v>
      </c>
      <c r="B552" s="399"/>
      <c r="C552" s="5" t="s">
        <v>14</v>
      </c>
      <c r="D552" s="5" t="s">
        <v>6150</v>
      </c>
      <c r="E552" s="43">
        <v>25000</v>
      </c>
      <c r="F552" s="43"/>
      <c r="G552" s="364"/>
      <c r="H552" s="391" t="s">
        <v>9568</v>
      </c>
    </row>
    <row r="553" spans="1:8" x14ac:dyDescent="0.3">
      <c r="A553" s="45">
        <v>43993</v>
      </c>
      <c r="B553" s="399"/>
      <c r="C553" s="5" t="s">
        <v>541</v>
      </c>
      <c r="D553" s="5" t="s">
        <v>6144</v>
      </c>
      <c r="E553" s="43">
        <v>64810</v>
      </c>
      <c r="F553" s="43"/>
      <c r="G553" s="364"/>
      <c r="H553" s="391" t="s">
        <v>9568</v>
      </c>
    </row>
    <row r="554" spans="1:8" x14ac:dyDescent="0.3">
      <c r="A554" s="45">
        <v>43993</v>
      </c>
      <c r="B554" s="399"/>
      <c r="C554" s="5" t="s">
        <v>5156</v>
      </c>
      <c r="D554" s="5" t="s">
        <v>6143</v>
      </c>
      <c r="E554" s="43">
        <v>650</v>
      </c>
      <c r="F554" s="43"/>
      <c r="G554" s="364"/>
      <c r="H554" s="391" t="s">
        <v>9568</v>
      </c>
    </row>
    <row r="555" spans="1:8" x14ac:dyDescent="0.3">
      <c r="A555" s="45">
        <v>43993</v>
      </c>
      <c r="B555" s="399"/>
      <c r="C555" s="5" t="s">
        <v>25</v>
      </c>
      <c r="D555" s="5" t="s">
        <v>40</v>
      </c>
      <c r="E555" s="43">
        <f>70+180+50+70</f>
        <v>370</v>
      </c>
      <c r="F555" s="43"/>
      <c r="G555" s="364"/>
      <c r="H555" s="391" t="s">
        <v>9568</v>
      </c>
    </row>
    <row r="556" spans="1:8" x14ac:dyDescent="0.3">
      <c r="A556" s="45">
        <v>43994</v>
      </c>
      <c r="B556" s="399"/>
      <c r="C556" s="5" t="s">
        <v>6145</v>
      </c>
      <c r="D556" s="5" t="s">
        <v>6140</v>
      </c>
      <c r="E556" s="43">
        <v>100000</v>
      </c>
      <c r="F556" s="43"/>
      <c r="G556" s="364"/>
      <c r="H556" s="391" t="s">
        <v>9568</v>
      </c>
    </row>
    <row r="557" spans="1:8" x14ac:dyDescent="0.3">
      <c r="A557" s="45">
        <v>43994</v>
      </c>
      <c r="B557" s="399"/>
      <c r="C557" s="5" t="s">
        <v>0</v>
      </c>
      <c r="D557" s="5" t="s">
        <v>6147</v>
      </c>
      <c r="E557" s="43">
        <v>5000</v>
      </c>
      <c r="F557" s="43"/>
      <c r="G557" s="364"/>
      <c r="H557" s="391" t="s">
        <v>9568</v>
      </c>
    </row>
    <row r="558" spans="1:8" x14ac:dyDescent="0.3">
      <c r="A558" s="45">
        <v>43994</v>
      </c>
      <c r="B558" s="399"/>
      <c r="C558" s="5" t="s">
        <v>0</v>
      </c>
      <c r="D558" s="5" t="s">
        <v>6148</v>
      </c>
      <c r="E558" s="43">
        <v>600</v>
      </c>
      <c r="F558" s="43"/>
      <c r="G558" s="364"/>
      <c r="H558" s="391" t="s">
        <v>9568</v>
      </c>
    </row>
    <row r="559" spans="1:8" x14ac:dyDescent="0.3">
      <c r="A559" s="45">
        <v>43994</v>
      </c>
      <c r="B559" s="399"/>
      <c r="C559" s="5" t="s">
        <v>10</v>
      </c>
      <c r="D559" s="5" t="s">
        <v>6153</v>
      </c>
      <c r="E559" s="43">
        <v>4000</v>
      </c>
      <c r="F559" s="43"/>
      <c r="G559" s="364"/>
      <c r="H559" s="391" t="s">
        <v>9568</v>
      </c>
    </row>
    <row r="560" spans="1:8" x14ac:dyDescent="0.3">
      <c r="A560" s="45">
        <v>43994</v>
      </c>
      <c r="B560" s="399"/>
      <c r="C560" s="5" t="s">
        <v>6154</v>
      </c>
      <c r="D560" s="92" t="s">
        <v>6155</v>
      </c>
      <c r="E560" s="43">
        <v>1200</v>
      </c>
      <c r="F560" s="43"/>
      <c r="G560" s="364"/>
      <c r="H560" s="391" t="s">
        <v>9568</v>
      </c>
    </row>
    <row r="561" spans="1:8" ht="37.5" x14ac:dyDescent="0.3">
      <c r="A561" s="45">
        <v>43994</v>
      </c>
      <c r="B561" s="399"/>
      <c r="C561" s="5" t="s">
        <v>6105</v>
      </c>
      <c r="D561" s="92" t="s">
        <v>6156</v>
      </c>
      <c r="E561" s="43">
        <v>80300</v>
      </c>
      <c r="F561" s="43"/>
      <c r="G561" s="364"/>
      <c r="H561" s="391" t="s">
        <v>9568</v>
      </c>
    </row>
    <row r="562" spans="1:8" ht="56.25" x14ac:dyDescent="0.3">
      <c r="A562" s="45">
        <v>43995</v>
      </c>
      <c r="B562" s="402"/>
      <c r="C562" s="39" t="s">
        <v>46</v>
      </c>
      <c r="D562" s="216" t="s">
        <v>6161</v>
      </c>
      <c r="E562" s="43">
        <v>394016</v>
      </c>
      <c r="F562" s="43"/>
      <c r="G562" s="364"/>
      <c r="H562" s="391" t="s">
        <v>9568</v>
      </c>
    </row>
    <row r="563" spans="1:8" x14ac:dyDescent="0.3">
      <c r="A563" s="45">
        <v>43997</v>
      </c>
      <c r="B563" s="580"/>
      <c r="C563" s="554" t="s">
        <v>6157</v>
      </c>
      <c r="D563" s="554"/>
      <c r="E563" s="554"/>
      <c r="F563" s="43">
        <v>360000</v>
      </c>
      <c r="G563" s="364"/>
      <c r="H563" s="391" t="s">
        <v>9568</v>
      </c>
    </row>
    <row r="564" spans="1:8" x14ac:dyDescent="0.3">
      <c r="A564" s="45">
        <v>43997</v>
      </c>
      <c r="B564" s="399"/>
      <c r="C564" s="5" t="s">
        <v>14</v>
      </c>
      <c r="D564" s="92" t="s">
        <v>294</v>
      </c>
      <c r="E564" s="43">
        <v>125000</v>
      </c>
      <c r="F564" s="43"/>
      <c r="G564" s="364"/>
      <c r="H564" s="391" t="s">
        <v>9568</v>
      </c>
    </row>
    <row r="565" spans="1:8" x14ac:dyDescent="0.3">
      <c r="A565" s="45">
        <v>43997</v>
      </c>
      <c r="B565" s="399"/>
      <c r="C565" s="5" t="s">
        <v>25</v>
      </c>
      <c r="D565" s="92" t="s">
        <v>6158</v>
      </c>
      <c r="E565" s="43">
        <v>2840</v>
      </c>
      <c r="F565" s="43"/>
      <c r="G565" s="364"/>
      <c r="H565" s="391" t="s">
        <v>9568</v>
      </c>
    </row>
    <row r="566" spans="1:8" x14ac:dyDescent="0.3">
      <c r="A566" s="45">
        <v>43997</v>
      </c>
      <c r="B566" s="399"/>
      <c r="C566" s="5" t="s">
        <v>6159</v>
      </c>
      <c r="D566" s="92" t="s">
        <v>6160</v>
      </c>
      <c r="E566" s="43">
        <v>3500</v>
      </c>
      <c r="F566" s="43"/>
      <c r="G566" s="364"/>
      <c r="H566" s="391" t="s">
        <v>9568</v>
      </c>
    </row>
    <row r="567" spans="1:8" x14ac:dyDescent="0.3">
      <c r="A567" s="45">
        <v>43997</v>
      </c>
      <c r="B567" s="399"/>
      <c r="C567" s="5" t="s">
        <v>5930</v>
      </c>
      <c r="D567" s="92" t="s">
        <v>6163</v>
      </c>
      <c r="E567" s="43">
        <v>60743</v>
      </c>
      <c r="F567" s="43"/>
      <c r="G567" s="364"/>
      <c r="H567" s="391" t="s">
        <v>9568</v>
      </c>
    </row>
    <row r="568" spans="1:8" x14ac:dyDescent="0.3">
      <c r="A568" s="45">
        <v>43997</v>
      </c>
      <c r="B568" s="399"/>
      <c r="C568" s="5" t="s">
        <v>6164</v>
      </c>
      <c r="D568" s="92" t="s">
        <v>6165</v>
      </c>
      <c r="E568" s="43">
        <v>100000</v>
      </c>
      <c r="F568" s="43"/>
      <c r="G568" s="364"/>
      <c r="H568" s="391" t="s">
        <v>9568</v>
      </c>
    </row>
    <row r="569" spans="1:8" x14ac:dyDescent="0.3">
      <c r="A569" s="45">
        <v>43997</v>
      </c>
      <c r="B569" s="399"/>
      <c r="C569" s="5" t="s">
        <v>6167</v>
      </c>
      <c r="D569" s="92" t="s">
        <v>3491</v>
      </c>
      <c r="E569" s="43">
        <v>880</v>
      </c>
      <c r="F569" s="43"/>
      <c r="G569" s="364"/>
      <c r="H569" s="391" t="s">
        <v>9568</v>
      </c>
    </row>
    <row r="570" spans="1:8" x14ac:dyDescent="0.3">
      <c r="A570" s="45">
        <v>43997</v>
      </c>
      <c r="B570" s="399"/>
      <c r="C570" s="5" t="s">
        <v>2984</v>
      </c>
      <c r="D570" s="92" t="s">
        <v>6168</v>
      </c>
      <c r="E570" s="43">
        <v>5000</v>
      </c>
      <c r="F570" s="43"/>
      <c r="G570" s="364"/>
      <c r="H570" s="391" t="s">
        <v>9568</v>
      </c>
    </row>
    <row r="571" spans="1:8" x14ac:dyDescent="0.3">
      <c r="A571" s="45">
        <v>43997</v>
      </c>
      <c r="B571" s="399"/>
      <c r="C571" s="5" t="s">
        <v>25</v>
      </c>
      <c r="D571" s="92" t="s">
        <v>2025</v>
      </c>
      <c r="E571" s="43">
        <v>150</v>
      </c>
      <c r="F571" s="43"/>
      <c r="G571" s="364"/>
      <c r="H571" s="391" t="s">
        <v>9568</v>
      </c>
    </row>
    <row r="572" spans="1:8" x14ac:dyDescent="0.3">
      <c r="A572" s="45">
        <v>43998</v>
      </c>
      <c r="B572" s="399"/>
      <c r="C572" s="5" t="s">
        <v>25</v>
      </c>
      <c r="D572" s="92" t="s">
        <v>6169</v>
      </c>
      <c r="E572" s="43">
        <v>1500</v>
      </c>
      <c r="F572" s="43"/>
      <c r="G572" s="364"/>
      <c r="H572" s="391" t="s">
        <v>9568</v>
      </c>
    </row>
    <row r="573" spans="1:8" x14ac:dyDescent="0.3">
      <c r="A573" s="45">
        <v>43998</v>
      </c>
      <c r="B573" s="399"/>
      <c r="C573" s="5" t="s">
        <v>5162</v>
      </c>
      <c r="D573" s="92" t="s">
        <v>6038</v>
      </c>
      <c r="E573" s="43">
        <v>600</v>
      </c>
      <c r="F573" s="43"/>
      <c r="G573" s="364"/>
      <c r="H573" s="391" t="s">
        <v>9568</v>
      </c>
    </row>
    <row r="574" spans="1:8" x14ac:dyDescent="0.3">
      <c r="A574" s="45">
        <v>43998</v>
      </c>
      <c r="B574" s="399"/>
      <c r="C574" s="5" t="s">
        <v>5793</v>
      </c>
      <c r="D574" s="92" t="s">
        <v>6170</v>
      </c>
      <c r="E574" s="43">
        <v>1000</v>
      </c>
      <c r="F574" s="43"/>
      <c r="G574" s="364"/>
      <c r="H574" s="391" t="s">
        <v>9568</v>
      </c>
    </row>
    <row r="575" spans="1:8" x14ac:dyDescent="0.3">
      <c r="A575" s="45">
        <v>43998</v>
      </c>
      <c r="B575" s="399"/>
      <c r="C575" s="5" t="s">
        <v>6171</v>
      </c>
      <c r="D575" s="92" t="s">
        <v>6183</v>
      </c>
      <c r="E575" s="43">
        <v>14450</v>
      </c>
      <c r="F575" s="43"/>
      <c r="G575" s="364"/>
      <c r="H575" s="391" t="s">
        <v>9568</v>
      </c>
    </row>
    <row r="576" spans="1:8" x14ac:dyDescent="0.3">
      <c r="A576" s="45">
        <v>43998</v>
      </c>
      <c r="B576" s="399"/>
      <c r="C576" s="5" t="s">
        <v>247</v>
      </c>
      <c r="D576" s="92" t="s">
        <v>2013</v>
      </c>
      <c r="E576" s="43">
        <v>50</v>
      </c>
      <c r="F576" s="43"/>
      <c r="G576" s="364"/>
      <c r="H576" s="391" t="s">
        <v>9568</v>
      </c>
    </row>
    <row r="577" spans="1:8" ht="37.5" x14ac:dyDescent="0.3">
      <c r="A577" s="45">
        <v>43998</v>
      </c>
      <c r="B577" s="399"/>
      <c r="C577" s="5" t="s">
        <v>18</v>
      </c>
      <c r="D577" s="92" t="s">
        <v>6172</v>
      </c>
      <c r="E577" s="43">
        <v>3400</v>
      </c>
      <c r="F577" s="43"/>
      <c r="G577" s="364"/>
      <c r="H577" s="391" t="s">
        <v>9568</v>
      </c>
    </row>
    <row r="578" spans="1:8" x14ac:dyDescent="0.3">
      <c r="A578" s="45">
        <v>43998</v>
      </c>
      <c r="B578" s="399"/>
      <c r="C578" s="5" t="s">
        <v>25</v>
      </c>
      <c r="D578" s="92" t="s">
        <v>6173</v>
      </c>
      <c r="E578" s="43">
        <v>650</v>
      </c>
      <c r="F578" s="43"/>
      <c r="G578" s="364"/>
      <c r="H578" s="391" t="s">
        <v>9568</v>
      </c>
    </row>
    <row r="579" spans="1:8" x14ac:dyDescent="0.3">
      <c r="A579" s="45">
        <v>43999</v>
      </c>
      <c r="B579" s="399"/>
      <c r="C579" s="5" t="s">
        <v>54</v>
      </c>
      <c r="D579" s="92" t="s">
        <v>6174</v>
      </c>
      <c r="E579" s="43">
        <v>18660</v>
      </c>
      <c r="F579" s="43"/>
      <c r="G579" s="364"/>
      <c r="H579" s="391" t="s">
        <v>9568</v>
      </c>
    </row>
    <row r="580" spans="1:8" x14ac:dyDescent="0.3">
      <c r="A580" s="45">
        <v>43999</v>
      </c>
      <c r="B580" s="399"/>
      <c r="C580" s="5" t="s">
        <v>54</v>
      </c>
      <c r="D580" s="92" t="s">
        <v>6175</v>
      </c>
      <c r="E580" s="43">
        <v>15500</v>
      </c>
      <c r="F580" s="43"/>
      <c r="G580" s="364"/>
      <c r="H580" s="391" t="s">
        <v>9568</v>
      </c>
    </row>
    <row r="581" spans="1:8" x14ac:dyDescent="0.3">
      <c r="A581" s="45">
        <v>43999</v>
      </c>
      <c r="B581" s="399"/>
      <c r="C581" s="5" t="s">
        <v>54</v>
      </c>
      <c r="D581" s="92" t="s">
        <v>6176</v>
      </c>
      <c r="E581" s="43">
        <v>16500</v>
      </c>
      <c r="F581" s="43"/>
      <c r="G581" s="364"/>
      <c r="H581" s="391" t="s">
        <v>9568</v>
      </c>
    </row>
    <row r="582" spans="1:8" x14ac:dyDescent="0.3">
      <c r="A582" s="45">
        <v>43999</v>
      </c>
      <c r="B582" s="399"/>
      <c r="C582" s="5" t="s">
        <v>54</v>
      </c>
      <c r="D582" s="92" t="s">
        <v>6177</v>
      </c>
      <c r="E582" s="43">
        <v>2613</v>
      </c>
      <c r="F582" s="43"/>
      <c r="G582" s="364"/>
      <c r="H582" s="391" t="s">
        <v>9568</v>
      </c>
    </row>
    <row r="583" spans="1:8" ht="37.5" x14ac:dyDescent="0.3">
      <c r="A583" s="45">
        <v>43999</v>
      </c>
      <c r="B583" s="399"/>
      <c r="C583" s="5" t="s">
        <v>25</v>
      </c>
      <c r="D583" s="92" t="s">
        <v>6178</v>
      </c>
      <c r="E583" s="43">
        <v>400</v>
      </c>
      <c r="F583" s="43"/>
      <c r="G583" s="364"/>
      <c r="H583" s="391" t="s">
        <v>9568</v>
      </c>
    </row>
    <row r="584" spans="1:8" x14ac:dyDescent="0.3">
      <c r="A584" s="45">
        <v>44000</v>
      </c>
      <c r="B584" s="580"/>
      <c r="C584" s="554" t="s">
        <v>6187</v>
      </c>
      <c r="D584" s="554"/>
      <c r="E584" s="554"/>
      <c r="F584" s="43">
        <v>200000</v>
      </c>
      <c r="G584" s="364"/>
      <c r="H584" s="391" t="s">
        <v>9568</v>
      </c>
    </row>
    <row r="585" spans="1:8" ht="37.5" x14ac:dyDescent="0.3">
      <c r="A585" s="45">
        <v>44000</v>
      </c>
      <c r="B585" s="399"/>
      <c r="C585" s="5" t="s">
        <v>0</v>
      </c>
      <c r="D585" s="92" t="s">
        <v>6180</v>
      </c>
      <c r="E585" s="43">
        <v>27400</v>
      </c>
      <c r="F585" s="43"/>
      <c r="G585" s="364"/>
      <c r="H585" s="391" t="s">
        <v>9568</v>
      </c>
    </row>
    <row r="586" spans="1:8" x14ac:dyDescent="0.3">
      <c r="A586" s="45">
        <v>44000</v>
      </c>
      <c r="B586" s="399"/>
      <c r="C586" s="5" t="s">
        <v>5665</v>
      </c>
      <c r="D586" s="92" t="s">
        <v>6179</v>
      </c>
      <c r="E586" s="43">
        <v>20150</v>
      </c>
      <c r="F586" s="43"/>
      <c r="G586" s="364"/>
      <c r="H586" s="391" t="s">
        <v>9568</v>
      </c>
    </row>
    <row r="587" spans="1:8" x14ac:dyDescent="0.3">
      <c r="A587" s="45">
        <v>44000</v>
      </c>
      <c r="B587" s="399"/>
      <c r="C587" s="5" t="s">
        <v>247</v>
      </c>
      <c r="D587" s="92" t="s">
        <v>2013</v>
      </c>
      <c r="E587" s="43">
        <v>100</v>
      </c>
      <c r="F587" s="43"/>
      <c r="G587" s="364"/>
      <c r="H587" s="391" t="s">
        <v>9568</v>
      </c>
    </row>
    <row r="588" spans="1:8" x14ac:dyDescent="0.3">
      <c r="A588" s="45">
        <v>44000</v>
      </c>
      <c r="B588" s="399"/>
      <c r="C588" s="5" t="s">
        <v>0</v>
      </c>
      <c r="D588" s="92" t="s">
        <v>6186</v>
      </c>
      <c r="E588" s="43">
        <v>600</v>
      </c>
      <c r="F588" s="43"/>
      <c r="G588" s="364"/>
      <c r="H588" s="391" t="s">
        <v>9568</v>
      </c>
    </row>
    <row r="589" spans="1:8" x14ac:dyDescent="0.3">
      <c r="A589" s="45">
        <v>44000</v>
      </c>
      <c r="B589" s="399"/>
      <c r="C589" s="5" t="s">
        <v>2348</v>
      </c>
      <c r="D589" s="92" t="s">
        <v>6181</v>
      </c>
      <c r="E589" s="43">
        <v>20000</v>
      </c>
      <c r="F589" s="43"/>
      <c r="G589" s="364"/>
      <c r="H589" s="391" t="s">
        <v>9568</v>
      </c>
    </row>
    <row r="590" spans="1:8" ht="37.5" x14ac:dyDescent="0.3">
      <c r="A590" s="45">
        <v>44001</v>
      </c>
      <c r="B590" s="399"/>
      <c r="C590" s="5" t="s">
        <v>4550</v>
      </c>
      <c r="D590" s="92" t="s">
        <v>6188</v>
      </c>
      <c r="E590" s="43">
        <v>30000</v>
      </c>
      <c r="F590" s="43"/>
      <c r="G590" s="364"/>
      <c r="H590" s="391" t="s">
        <v>9568</v>
      </c>
    </row>
    <row r="591" spans="1:8" x14ac:dyDescent="0.3">
      <c r="A591" s="45">
        <v>44001</v>
      </c>
      <c r="B591" s="399"/>
      <c r="C591" s="5" t="s">
        <v>54</v>
      </c>
      <c r="D591" s="92" t="s">
        <v>635</v>
      </c>
      <c r="E591" s="43">
        <v>50000</v>
      </c>
      <c r="F591" s="43"/>
      <c r="G591" s="364"/>
      <c r="H591" s="391" t="s">
        <v>9568</v>
      </c>
    </row>
    <row r="592" spans="1:8" ht="37.5" x14ac:dyDescent="0.3">
      <c r="A592" s="45">
        <v>44004</v>
      </c>
      <c r="B592" s="399"/>
      <c r="C592" s="5" t="s">
        <v>3559</v>
      </c>
      <c r="D592" s="92" t="s">
        <v>6191</v>
      </c>
      <c r="E592" s="43">
        <v>4200</v>
      </c>
      <c r="F592" s="43"/>
      <c r="G592" s="364"/>
      <c r="H592" s="391" t="s">
        <v>9568</v>
      </c>
    </row>
    <row r="593" spans="1:8" x14ac:dyDescent="0.3">
      <c r="A593" s="45">
        <v>44004</v>
      </c>
      <c r="B593" s="397"/>
      <c r="C593" s="186" t="s">
        <v>1512</v>
      </c>
      <c r="D593" s="186" t="s">
        <v>6190</v>
      </c>
      <c r="E593" s="187">
        <v>37860</v>
      </c>
      <c r="F593" s="43"/>
      <c r="G593" s="364"/>
      <c r="H593" s="391" t="s">
        <v>9568</v>
      </c>
    </row>
    <row r="594" spans="1:8" x14ac:dyDescent="0.3">
      <c r="A594" s="45">
        <v>44005</v>
      </c>
      <c r="B594" s="399"/>
      <c r="C594" s="5" t="s">
        <v>0</v>
      </c>
      <c r="D594" s="5" t="s">
        <v>6193</v>
      </c>
      <c r="E594" s="43">
        <v>2000</v>
      </c>
      <c r="F594" s="43"/>
      <c r="G594" s="364"/>
      <c r="H594" s="391" t="s">
        <v>9568</v>
      </c>
    </row>
    <row r="595" spans="1:8" x14ac:dyDescent="0.3">
      <c r="A595" s="45">
        <v>44005</v>
      </c>
      <c r="B595" s="399"/>
      <c r="C595" s="5" t="s">
        <v>5709</v>
      </c>
      <c r="D595" s="5" t="s">
        <v>6194</v>
      </c>
      <c r="E595" s="43">
        <v>1150</v>
      </c>
      <c r="F595" s="43"/>
      <c r="G595" s="364"/>
      <c r="H595" s="391" t="s">
        <v>9568</v>
      </c>
    </row>
    <row r="596" spans="1:8" x14ac:dyDescent="0.3">
      <c r="A596" s="45">
        <v>44006</v>
      </c>
      <c r="B596" s="580"/>
      <c r="C596" s="554" t="s">
        <v>6196</v>
      </c>
      <c r="D596" s="554"/>
      <c r="E596" s="554"/>
      <c r="F596" s="43">
        <v>150000</v>
      </c>
      <c r="G596" s="364"/>
      <c r="H596" s="391" t="s">
        <v>9568</v>
      </c>
    </row>
    <row r="597" spans="1:8" x14ac:dyDescent="0.3">
      <c r="A597" s="45">
        <v>44006</v>
      </c>
      <c r="B597" s="399"/>
      <c r="C597" s="5" t="s">
        <v>1074</v>
      </c>
      <c r="D597" s="5" t="s">
        <v>6197</v>
      </c>
      <c r="E597" s="43">
        <v>58985</v>
      </c>
      <c r="F597" s="43"/>
      <c r="G597" s="364"/>
      <c r="H597" s="391" t="s">
        <v>9568</v>
      </c>
    </row>
    <row r="598" spans="1:8" x14ac:dyDescent="0.3">
      <c r="A598" s="45">
        <v>44006</v>
      </c>
      <c r="B598" s="399"/>
      <c r="C598" s="5" t="s">
        <v>1074</v>
      </c>
      <c r="D598" s="5" t="s">
        <v>6198</v>
      </c>
      <c r="E598" s="43">
        <v>2539</v>
      </c>
      <c r="F598" s="43"/>
      <c r="G598" s="364"/>
      <c r="H598" s="391" t="s">
        <v>9568</v>
      </c>
    </row>
    <row r="599" spans="1:8" x14ac:dyDescent="0.3">
      <c r="A599" s="45">
        <v>44006</v>
      </c>
      <c r="B599" s="399"/>
      <c r="C599" s="5" t="s">
        <v>14</v>
      </c>
      <c r="D599" s="92" t="s">
        <v>6195</v>
      </c>
      <c r="E599" s="43">
        <v>15664</v>
      </c>
      <c r="F599" s="43"/>
      <c r="G599" s="364"/>
      <c r="H599" s="391" t="s">
        <v>9568</v>
      </c>
    </row>
    <row r="600" spans="1:8" x14ac:dyDescent="0.3">
      <c r="A600" s="45">
        <v>44006</v>
      </c>
      <c r="B600" s="399"/>
      <c r="C600" s="5" t="s">
        <v>14</v>
      </c>
      <c r="D600" s="5" t="s">
        <v>294</v>
      </c>
      <c r="E600" s="43">
        <v>35000</v>
      </c>
      <c r="F600" s="43"/>
      <c r="G600" s="364"/>
      <c r="H600" s="391" t="s">
        <v>9568</v>
      </c>
    </row>
    <row r="601" spans="1:8" x14ac:dyDescent="0.3">
      <c r="A601" s="45">
        <v>44006</v>
      </c>
      <c r="B601" s="397"/>
      <c r="C601" s="186" t="s">
        <v>1512</v>
      </c>
      <c r="D601" s="186" t="s">
        <v>6199</v>
      </c>
      <c r="E601" s="187">
        <v>20000</v>
      </c>
      <c r="F601" s="43"/>
      <c r="G601" s="364"/>
      <c r="H601" s="391" t="s">
        <v>9568</v>
      </c>
    </row>
    <row r="602" spans="1:8" x14ac:dyDescent="0.3">
      <c r="A602" s="45">
        <v>44007</v>
      </c>
      <c r="B602" s="399"/>
      <c r="C602" s="5" t="s">
        <v>25</v>
      </c>
      <c r="D602" s="5" t="s">
        <v>4276</v>
      </c>
      <c r="E602" s="43">
        <f>140+90+130+40+60+70+130+200+110+120+130+120+40+1000+50+60+10</f>
        <v>2500</v>
      </c>
      <c r="F602" s="43"/>
      <c r="G602" s="364"/>
      <c r="H602" s="391" t="s">
        <v>9568</v>
      </c>
    </row>
    <row r="603" spans="1:8" x14ac:dyDescent="0.3">
      <c r="A603" s="45">
        <v>44007</v>
      </c>
      <c r="B603" s="399"/>
      <c r="C603" s="5" t="s">
        <v>18</v>
      </c>
      <c r="D603" s="5" t="s">
        <v>3910</v>
      </c>
      <c r="E603" s="43">
        <v>5000</v>
      </c>
      <c r="F603" s="43"/>
      <c r="G603" s="364"/>
      <c r="H603" s="391" t="s">
        <v>9568</v>
      </c>
    </row>
    <row r="604" spans="1:8" ht="37.5" x14ac:dyDescent="0.3">
      <c r="A604" s="45">
        <v>44007</v>
      </c>
      <c r="B604" s="399"/>
      <c r="C604" s="5" t="s">
        <v>6154</v>
      </c>
      <c r="D604" s="92" t="s">
        <v>6203</v>
      </c>
      <c r="E604" s="43">
        <v>1834</v>
      </c>
      <c r="F604" s="43"/>
      <c r="G604" s="364"/>
      <c r="H604" s="391" t="s">
        <v>9568</v>
      </c>
    </row>
    <row r="605" spans="1:8" x14ac:dyDescent="0.3">
      <c r="A605" s="45">
        <v>44007</v>
      </c>
      <c r="B605" s="399"/>
      <c r="C605" s="5" t="s">
        <v>4550</v>
      </c>
      <c r="D605" s="5" t="s">
        <v>3910</v>
      </c>
      <c r="E605" s="43">
        <v>15000</v>
      </c>
      <c r="F605" s="43"/>
      <c r="G605" s="364"/>
      <c r="H605" s="391" t="s">
        <v>9568</v>
      </c>
    </row>
    <row r="606" spans="1:8" x14ac:dyDescent="0.3">
      <c r="A606" s="45">
        <v>44009</v>
      </c>
      <c r="B606" s="580"/>
      <c r="C606" s="554" t="s">
        <v>6204</v>
      </c>
      <c r="D606" s="554"/>
      <c r="E606" s="554"/>
      <c r="F606" s="43">
        <v>16000</v>
      </c>
      <c r="G606" s="364"/>
      <c r="H606" s="391" t="s">
        <v>9568</v>
      </c>
    </row>
    <row r="607" spans="1:8" x14ac:dyDescent="0.3">
      <c r="A607" s="45">
        <v>44009</v>
      </c>
      <c r="B607" s="399"/>
      <c r="C607" s="5" t="s">
        <v>6205</v>
      </c>
      <c r="D607" s="5" t="s">
        <v>5508</v>
      </c>
      <c r="E607" s="43">
        <v>14000</v>
      </c>
      <c r="F607" s="43"/>
      <c r="G607" s="364"/>
      <c r="H607" s="391" t="s">
        <v>9568</v>
      </c>
    </row>
    <row r="608" spans="1:8" x14ac:dyDescent="0.3">
      <c r="A608" s="45">
        <v>44009</v>
      </c>
      <c r="B608" s="580"/>
      <c r="C608" s="554" t="s">
        <v>6207</v>
      </c>
      <c r="D608" s="554"/>
      <c r="E608" s="554"/>
      <c r="F608" s="43">
        <v>200000</v>
      </c>
      <c r="G608" s="364"/>
      <c r="H608" s="391" t="s">
        <v>9568</v>
      </c>
    </row>
    <row r="609" spans="1:8" x14ac:dyDescent="0.3">
      <c r="A609" s="45">
        <v>44009</v>
      </c>
      <c r="B609" s="399"/>
      <c r="C609" s="5" t="s">
        <v>14</v>
      </c>
      <c r="D609" s="5" t="s">
        <v>3183</v>
      </c>
      <c r="E609" s="43">
        <v>85000</v>
      </c>
      <c r="F609" s="43"/>
      <c r="G609" s="364"/>
      <c r="H609" s="391" t="s">
        <v>9568</v>
      </c>
    </row>
    <row r="610" spans="1:8" ht="37.5" x14ac:dyDescent="0.3">
      <c r="A610" s="45">
        <v>44009</v>
      </c>
      <c r="B610" s="399"/>
      <c r="C610" s="5" t="s">
        <v>4550</v>
      </c>
      <c r="D610" s="221" t="s">
        <v>6273</v>
      </c>
      <c r="E610" s="43">
        <v>15000</v>
      </c>
      <c r="F610" s="43"/>
      <c r="G610" s="364"/>
      <c r="H610" s="391" t="s">
        <v>9568</v>
      </c>
    </row>
    <row r="611" spans="1:8" x14ac:dyDescent="0.3">
      <c r="A611" s="45">
        <v>44011</v>
      </c>
      <c r="B611" s="399"/>
      <c r="C611" s="5" t="s">
        <v>5896</v>
      </c>
      <c r="D611" s="5" t="s">
        <v>294</v>
      </c>
      <c r="E611" s="43">
        <v>6000</v>
      </c>
      <c r="F611" s="43"/>
      <c r="G611" s="364"/>
      <c r="H611" s="391" t="s">
        <v>9568</v>
      </c>
    </row>
    <row r="612" spans="1:8" x14ac:dyDescent="0.3">
      <c r="A612" s="45">
        <v>44011</v>
      </c>
      <c r="B612" s="399"/>
      <c r="C612" s="5" t="s">
        <v>3559</v>
      </c>
      <c r="D612" s="5" t="s">
        <v>6208</v>
      </c>
      <c r="E612" s="43">
        <v>1250</v>
      </c>
      <c r="F612" s="43"/>
      <c r="G612" s="364"/>
      <c r="H612" s="391" t="s">
        <v>9568</v>
      </c>
    </row>
    <row r="613" spans="1:8" x14ac:dyDescent="0.3">
      <c r="A613" s="45">
        <v>44011</v>
      </c>
      <c r="B613" s="399"/>
      <c r="C613" s="5" t="s">
        <v>0</v>
      </c>
      <c r="D613" s="5" t="s">
        <v>3910</v>
      </c>
      <c r="E613" s="43">
        <v>5000</v>
      </c>
      <c r="F613" s="43"/>
      <c r="G613" s="364"/>
      <c r="H613" s="391" t="s">
        <v>9568</v>
      </c>
    </row>
    <row r="614" spans="1:8" x14ac:dyDescent="0.3">
      <c r="A614" s="45">
        <v>44011</v>
      </c>
      <c r="B614" s="399"/>
      <c r="C614" s="5" t="s">
        <v>25</v>
      </c>
      <c r="D614" s="5" t="s">
        <v>6209</v>
      </c>
      <c r="E614" s="43">
        <v>100</v>
      </c>
      <c r="F614" s="43"/>
      <c r="G614" s="364"/>
      <c r="H614" s="391" t="s">
        <v>9568</v>
      </c>
    </row>
    <row r="615" spans="1:8" x14ac:dyDescent="0.3">
      <c r="A615" s="45">
        <v>44011</v>
      </c>
      <c r="B615" s="580"/>
      <c r="C615" s="554" t="s">
        <v>6210</v>
      </c>
      <c r="D615" s="554"/>
      <c r="E615" s="554"/>
      <c r="F615" s="43">
        <v>100000</v>
      </c>
      <c r="G615" s="364"/>
      <c r="H615" s="391" t="s">
        <v>9568</v>
      </c>
    </row>
    <row r="616" spans="1:8" x14ac:dyDescent="0.3">
      <c r="A616" s="45">
        <v>44011</v>
      </c>
      <c r="B616" s="399"/>
      <c r="C616" s="5" t="s">
        <v>2348</v>
      </c>
      <c r="D616" s="5" t="s">
        <v>5508</v>
      </c>
      <c r="E616" s="43">
        <v>35000</v>
      </c>
      <c r="F616" s="43"/>
      <c r="G616" s="364"/>
      <c r="H616" s="391" t="s">
        <v>9568</v>
      </c>
    </row>
    <row r="617" spans="1:8" x14ac:dyDescent="0.3">
      <c r="A617" s="45">
        <v>44011</v>
      </c>
      <c r="B617" s="399"/>
      <c r="C617" s="5" t="s">
        <v>84</v>
      </c>
      <c r="D617" s="92" t="s">
        <v>6211</v>
      </c>
      <c r="E617" s="43">
        <v>3000</v>
      </c>
      <c r="F617" s="43"/>
      <c r="G617" s="364"/>
      <c r="H617" s="391" t="s">
        <v>9568</v>
      </c>
    </row>
    <row r="618" spans="1:8" x14ac:dyDescent="0.3">
      <c r="A618" s="45">
        <v>44013</v>
      </c>
      <c r="B618" s="399"/>
      <c r="C618" s="5" t="s">
        <v>1837</v>
      </c>
      <c r="D618" s="92" t="s">
        <v>6215</v>
      </c>
      <c r="E618" s="43">
        <v>1500</v>
      </c>
      <c r="F618" s="43"/>
      <c r="G618" s="364"/>
      <c r="H618" s="391" t="s">
        <v>9568</v>
      </c>
    </row>
    <row r="619" spans="1:8" x14ac:dyDescent="0.3">
      <c r="A619" s="45">
        <v>44013</v>
      </c>
      <c r="B619" s="399"/>
      <c r="C619" s="5" t="s">
        <v>18</v>
      </c>
      <c r="D619" s="92" t="s">
        <v>6216</v>
      </c>
      <c r="E619" s="43">
        <v>1000</v>
      </c>
      <c r="F619" s="43"/>
      <c r="G619" s="364"/>
      <c r="H619" s="391" t="s">
        <v>9568</v>
      </c>
    </row>
    <row r="620" spans="1:8" x14ac:dyDescent="0.3">
      <c r="A620" s="45">
        <v>44013</v>
      </c>
      <c r="B620" s="399"/>
      <c r="C620" s="5" t="s">
        <v>25</v>
      </c>
      <c r="D620" s="92" t="s">
        <v>6217</v>
      </c>
      <c r="E620" s="43">
        <v>3721</v>
      </c>
      <c r="F620" s="43"/>
      <c r="G620" s="364"/>
      <c r="H620" s="391" t="s">
        <v>9568</v>
      </c>
    </row>
    <row r="621" spans="1:8" x14ac:dyDescent="0.3">
      <c r="A621" s="45">
        <v>44013</v>
      </c>
      <c r="B621" s="399"/>
      <c r="C621" s="5" t="s">
        <v>84</v>
      </c>
      <c r="D621" s="92" t="s">
        <v>6228</v>
      </c>
      <c r="E621" s="43">
        <v>1000</v>
      </c>
      <c r="F621" s="43"/>
      <c r="G621" s="364"/>
      <c r="H621" s="391" t="s">
        <v>9568</v>
      </c>
    </row>
    <row r="622" spans="1:8" x14ac:dyDescent="0.3">
      <c r="A622" s="45">
        <v>44013</v>
      </c>
      <c r="B622" s="399"/>
      <c r="C622" s="5" t="s">
        <v>84</v>
      </c>
      <c r="D622" s="92" t="s">
        <v>6218</v>
      </c>
      <c r="E622" s="43">
        <v>5000</v>
      </c>
      <c r="F622" s="43"/>
      <c r="G622" s="364"/>
      <c r="H622" s="391" t="s">
        <v>9568</v>
      </c>
    </row>
    <row r="623" spans="1:8" x14ac:dyDescent="0.3">
      <c r="A623" s="45">
        <v>44013</v>
      </c>
      <c r="B623" s="399"/>
      <c r="C623" s="5" t="s">
        <v>64</v>
      </c>
      <c r="D623" s="92" t="s">
        <v>6219</v>
      </c>
      <c r="E623" s="43">
        <v>1200</v>
      </c>
      <c r="F623" s="43"/>
      <c r="G623" s="364"/>
      <c r="H623" s="391" t="s">
        <v>9568</v>
      </c>
    </row>
    <row r="624" spans="1:8" x14ac:dyDescent="0.3">
      <c r="A624" s="45">
        <v>44013</v>
      </c>
      <c r="B624" s="399"/>
      <c r="C624" s="5" t="s">
        <v>693</v>
      </c>
      <c r="D624" s="92" t="s">
        <v>6220</v>
      </c>
      <c r="E624" s="43">
        <v>5840</v>
      </c>
      <c r="F624" s="43"/>
      <c r="G624" s="364"/>
      <c r="H624" s="391" t="s">
        <v>9568</v>
      </c>
    </row>
    <row r="625" spans="1:8" x14ac:dyDescent="0.3">
      <c r="A625" s="45">
        <v>44013</v>
      </c>
      <c r="B625" s="399"/>
      <c r="C625" s="5" t="s">
        <v>6099</v>
      </c>
      <c r="D625" s="92" t="s">
        <v>3332</v>
      </c>
      <c r="E625" s="43">
        <v>44900</v>
      </c>
      <c r="F625" s="43"/>
      <c r="G625" s="364"/>
      <c r="H625" s="391" t="s">
        <v>9568</v>
      </c>
    </row>
    <row r="626" spans="1:8" x14ac:dyDescent="0.3">
      <c r="A626" s="45">
        <v>44013</v>
      </c>
      <c r="B626" s="399"/>
      <c r="C626" s="5" t="s">
        <v>6221</v>
      </c>
      <c r="D626" s="92" t="s">
        <v>6222</v>
      </c>
      <c r="E626" s="43">
        <v>12400</v>
      </c>
      <c r="F626" s="43"/>
      <c r="G626" s="364"/>
      <c r="H626" s="391" t="s">
        <v>9568</v>
      </c>
    </row>
    <row r="627" spans="1:8" x14ac:dyDescent="0.3">
      <c r="A627" s="45">
        <v>44013</v>
      </c>
      <c r="B627" s="399"/>
      <c r="C627" s="5" t="s">
        <v>0</v>
      </c>
      <c r="D627" s="92" t="s">
        <v>6223</v>
      </c>
      <c r="E627" s="43">
        <v>15000</v>
      </c>
      <c r="F627" s="43"/>
      <c r="G627" s="364"/>
      <c r="H627" s="391" t="s">
        <v>9568</v>
      </c>
    </row>
    <row r="628" spans="1:8" x14ac:dyDescent="0.3">
      <c r="A628" s="45">
        <v>44013</v>
      </c>
      <c r="B628" s="399"/>
      <c r="C628" s="5" t="s">
        <v>5665</v>
      </c>
      <c r="D628" s="92" t="s">
        <v>6224</v>
      </c>
      <c r="E628" s="43">
        <v>25000</v>
      </c>
      <c r="F628" s="43"/>
      <c r="G628" s="364"/>
      <c r="H628" s="391" t="s">
        <v>9568</v>
      </c>
    </row>
    <row r="629" spans="1:8" x14ac:dyDescent="0.3">
      <c r="A629" s="45">
        <v>44013</v>
      </c>
      <c r="B629" s="399"/>
      <c r="C629" s="5" t="s">
        <v>4039</v>
      </c>
      <c r="D629" s="5" t="s">
        <v>6225</v>
      </c>
      <c r="E629" s="43">
        <v>5000</v>
      </c>
      <c r="F629" s="43"/>
      <c r="G629" s="364"/>
      <c r="H629" s="391" t="s">
        <v>9568</v>
      </c>
    </row>
    <row r="630" spans="1:8" x14ac:dyDescent="0.3">
      <c r="A630" s="45">
        <v>44013</v>
      </c>
      <c r="B630" s="399"/>
      <c r="C630" s="5" t="s">
        <v>4039</v>
      </c>
      <c r="D630" s="5" t="s">
        <v>5377</v>
      </c>
      <c r="E630" s="43">
        <v>600</v>
      </c>
      <c r="F630" s="43"/>
      <c r="G630" s="364"/>
      <c r="H630" s="391" t="s">
        <v>9568</v>
      </c>
    </row>
    <row r="631" spans="1:8" x14ac:dyDescent="0.3">
      <c r="A631" s="45">
        <v>44014</v>
      </c>
      <c r="B631" s="399"/>
      <c r="C631" s="5" t="s">
        <v>84</v>
      </c>
      <c r="D631" s="5" t="s">
        <v>6226</v>
      </c>
      <c r="E631" s="43">
        <v>5000</v>
      </c>
      <c r="F631" s="43"/>
      <c r="G631" s="364"/>
      <c r="H631" s="391" t="s">
        <v>9568</v>
      </c>
    </row>
    <row r="632" spans="1:8" x14ac:dyDescent="0.3">
      <c r="A632" s="45">
        <v>44014</v>
      </c>
      <c r="B632" s="399"/>
      <c r="C632" s="5" t="s">
        <v>84</v>
      </c>
      <c r="D632" s="5" t="s">
        <v>6227</v>
      </c>
      <c r="E632" s="43">
        <v>1000</v>
      </c>
      <c r="F632" s="43"/>
      <c r="G632" s="364"/>
      <c r="H632" s="391" t="s">
        <v>9568</v>
      </c>
    </row>
    <row r="633" spans="1:8" x14ac:dyDescent="0.3">
      <c r="A633" s="45">
        <v>44015</v>
      </c>
      <c r="B633" s="580"/>
      <c r="C633" s="554" t="s">
        <v>6210</v>
      </c>
      <c r="D633" s="554"/>
      <c r="E633" s="554"/>
      <c r="F633" s="43">
        <v>8000</v>
      </c>
      <c r="G633" s="364"/>
      <c r="H633" s="391" t="s">
        <v>9568</v>
      </c>
    </row>
    <row r="634" spans="1:8" x14ac:dyDescent="0.3">
      <c r="A634" s="45">
        <v>44015</v>
      </c>
      <c r="B634" s="399"/>
      <c r="C634" s="5" t="s">
        <v>2348</v>
      </c>
      <c r="D634" s="5" t="s">
        <v>294</v>
      </c>
      <c r="E634" s="43">
        <v>25000</v>
      </c>
      <c r="F634" s="43"/>
      <c r="G634" s="364"/>
      <c r="H634" s="391" t="s">
        <v>9568</v>
      </c>
    </row>
    <row r="635" spans="1:8" x14ac:dyDescent="0.3">
      <c r="A635" s="45">
        <v>44015</v>
      </c>
      <c r="B635" s="580"/>
      <c r="C635" s="554" t="s">
        <v>6210</v>
      </c>
      <c r="D635" s="554"/>
      <c r="E635" s="554"/>
      <c r="F635" s="43">
        <v>95000</v>
      </c>
      <c r="G635" s="364"/>
      <c r="H635" s="391" t="s">
        <v>9568</v>
      </c>
    </row>
    <row r="636" spans="1:8" x14ac:dyDescent="0.3">
      <c r="A636" s="45">
        <v>44016</v>
      </c>
      <c r="B636" s="399"/>
      <c r="C636" s="5" t="s">
        <v>25</v>
      </c>
      <c r="D636" s="5" t="s">
        <v>5108</v>
      </c>
      <c r="E636" s="43">
        <v>2000</v>
      </c>
      <c r="F636" s="43"/>
      <c r="G636" s="364"/>
      <c r="H636" s="391" t="s">
        <v>9568</v>
      </c>
    </row>
    <row r="637" spans="1:8" x14ac:dyDescent="0.3">
      <c r="A637" s="45">
        <v>44018</v>
      </c>
      <c r="B637" s="399"/>
      <c r="C637" s="5" t="s">
        <v>14</v>
      </c>
      <c r="D637" s="5" t="s">
        <v>3910</v>
      </c>
      <c r="E637" s="43">
        <v>80000</v>
      </c>
      <c r="F637" s="43"/>
      <c r="G637" s="364"/>
      <c r="H637" s="391" t="s">
        <v>9568</v>
      </c>
    </row>
    <row r="638" spans="1:8" x14ac:dyDescent="0.3">
      <c r="A638" s="45">
        <v>44018</v>
      </c>
      <c r="B638" s="399"/>
      <c r="C638" s="5" t="s">
        <v>4869</v>
      </c>
      <c r="D638" s="5" t="s">
        <v>40</v>
      </c>
      <c r="E638" s="43">
        <v>4150</v>
      </c>
      <c r="F638" s="43"/>
      <c r="G638" s="364"/>
      <c r="H638" s="391" t="s">
        <v>9568</v>
      </c>
    </row>
    <row r="639" spans="1:8" x14ac:dyDescent="0.3">
      <c r="A639" s="45">
        <v>44018</v>
      </c>
      <c r="B639" s="399"/>
      <c r="C639" s="5" t="s">
        <v>14</v>
      </c>
      <c r="D639" s="5" t="s">
        <v>640</v>
      </c>
      <c r="E639" s="43">
        <v>1000</v>
      </c>
      <c r="F639" s="43"/>
      <c r="G639" s="364"/>
      <c r="H639" s="391" t="s">
        <v>9568</v>
      </c>
    </row>
    <row r="640" spans="1:8" x14ac:dyDescent="0.3">
      <c r="A640" s="45">
        <v>44018</v>
      </c>
      <c r="B640" s="399"/>
      <c r="C640" s="5" t="s">
        <v>4550</v>
      </c>
      <c r="D640" s="5" t="s">
        <v>6274</v>
      </c>
      <c r="E640" s="43">
        <v>5000</v>
      </c>
      <c r="F640" s="43"/>
      <c r="G640" s="364"/>
      <c r="H640" s="391" t="s">
        <v>9568</v>
      </c>
    </row>
    <row r="641" spans="1:8" x14ac:dyDescent="0.3">
      <c r="A641" s="45">
        <v>44018</v>
      </c>
      <c r="B641" s="399"/>
      <c r="C641" s="5" t="s">
        <v>5156</v>
      </c>
      <c r="D641" s="5" t="s">
        <v>6231</v>
      </c>
      <c r="E641" s="43">
        <v>150</v>
      </c>
      <c r="F641" s="43"/>
      <c r="G641" s="364"/>
      <c r="H641" s="391" t="s">
        <v>9568</v>
      </c>
    </row>
    <row r="642" spans="1:8" x14ac:dyDescent="0.3">
      <c r="A642" s="45">
        <v>44018</v>
      </c>
      <c r="B642" s="399"/>
      <c r="C642" s="5" t="s">
        <v>25</v>
      </c>
      <c r="D642" s="5" t="s">
        <v>4276</v>
      </c>
      <c r="E642" s="43">
        <f>900+70+220+440+140+50+80+15+370+300+40+30+20+120+80+120+140+70</f>
        <v>3205</v>
      </c>
      <c r="F642" s="43"/>
      <c r="G642" s="364"/>
      <c r="H642" s="391" t="s">
        <v>9568</v>
      </c>
    </row>
    <row r="643" spans="1:8" x14ac:dyDescent="0.3">
      <c r="A643" s="45">
        <v>44018</v>
      </c>
      <c r="B643" s="399"/>
      <c r="C643" s="5" t="s">
        <v>1616</v>
      </c>
      <c r="D643" s="5" t="s">
        <v>2672</v>
      </c>
      <c r="E643" s="43">
        <v>1500</v>
      </c>
      <c r="F643" s="43"/>
      <c r="G643" s="364"/>
      <c r="H643" s="391" t="s">
        <v>9568</v>
      </c>
    </row>
    <row r="644" spans="1:8" x14ac:dyDescent="0.3">
      <c r="A644" s="45">
        <v>44018</v>
      </c>
      <c r="B644" s="399"/>
      <c r="C644" s="5" t="s">
        <v>1616</v>
      </c>
      <c r="D644" s="5" t="s">
        <v>5377</v>
      </c>
      <c r="E644" s="43">
        <v>600</v>
      </c>
      <c r="F644" s="43"/>
      <c r="G644" s="364"/>
      <c r="H644" s="391" t="s">
        <v>9568</v>
      </c>
    </row>
    <row r="645" spans="1:8" x14ac:dyDescent="0.3">
      <c r="A645" s="45">
        <v>44019</v>
      </c>
      <c r="B645" s="580"/>
      <c r="C645" s="554" t="s">
        <v>6210</v>
      </c>
      <c r="D645" s="554"/>
      <c r="E645" s="554"/>
      <c r="F645" s="43">
        <v>200000</v>
      </c>
      <c r="G645" s="364"/>
      <c r="H645" s="391" t="s">
        <v>9568</v>
      </c>
    </row>
    <row r="646" spans="1:8" x14ac:dyDescent="0.3">
      <c r="A646" s="45">
        <v>44019</v>
      </c>
      <c r="B646" s="402"/>
      <c r="C646" s="39" t="s">
        <v>1512</v>
      </c>
      <c r="D646" s="39" t="s">
        <v>6232</v>
      </c>
      <c r="E646" s="40">
        <v>89788</v>
      </c>
      <c r="F646" s="43"/>
      <c r="G646" s="364"/>
      <c r="H646" s="391" t="s">
        <v>9568</v>
      </c>
    </row>
    <row r="647" spans="1:8" x14ac:dyDescent="0.3">
      <c r="A647" s="45">
        <v>44019</v>
      </c>
      <c r="B647" s="402"/>
      <c r="C647" s="39" t="s">
        <v>1512</v>
      </c>
      <c r="D647" s="216" t="s">
        <v>6233</v>
      </c>
      <c r="E647" s="40">
        <v>90213</v>
      </c>
      <c r="F647" s="43"/>
      <c r="G647" s="364"/>
      <c r="H647" s="391" t="s">
        <v>9568</v>
      </c>
    </row>
    <row r="648" spans="1:8" x14ac:dyDescent="0.3">
      <c r="A648" s="45">
        <v>44019</v>
      </c>
      <c r="B648" s="402"/>
      <c r="C648" s="39" t="s">
        <v>1512</v>
      </c>
      <c r="D648" s="39" t="s">
        <v>5877</v>
      </c>
      <c r="E648" s="40">
        <v>15000</v>
      </c>
      <c r="F648" s="43"/>
      <c r="G648" s="364"/>
      <c r="H648" s="391" t="s">
        <v>9568</v>
      </c>
    </row>
    <row r="649" spans="1:8" x14ac:dyDescent="0.3">
      <c r="A649" s="45">
        <v>44019</v>
      </c>
      <c r="B649" s="399"/>
      <c r="C649" s="5" t="s">
        <v>4946</v>
      </c>
      <c r="D649" s="5" t="s">
        <v>6235</v>
      </c>
      <c r="E649" s="43">
        <v>527</v>
      </c>
      <c r="F649" s="43"/>
      <c r="G649" s="364"/>
      <c r="H649" s="391" t="s">
        <v>9568</v>
      </c>
    </row>
    <row r="650" spans="1:8" x14ac:dyDescent="0.3">
      <c r="A650" s="45">
        <v>44019</v>
      </c>
      <c r="B650" s="399"/>
      <c r="C650" s="5" t="s">
        <v>25</v>
      </c>
      <c r="D650" s="5" t="s">
        <v>6234</v>
      </c>
      <c r="E650" s="43">
        <v>740</v>
      </c>
      <c r="F650" s="43"/>
      <c r="G650" s="364"/>
      <c r="H650" s="391" t="s">
        <v>9568</v>
      </c>
    </row>
    <row r="651" spans="1:8" x14ac:dyDescent="0.3">
      <c r="A651" s="45">
        <v>44020</v>
      </c>
      <c r="B651" s="580"/>
      <c r="C651" s="554" t="s">
        <v>6210</v>
      </c>
      <c r="D651" s="554"/>
      <c r="E651" s="554"/>
      <c r="F651" s="43">
        <v>400000</v>
      </c>
      <c r="G651" s="364"/>
      <c r="H651" s="391" t="s">
        <v>9568</v>
      </c>
    </row>
    <row r="652" spans="1:8" x14ac:dyDescent="0.3">
      <c r="A652" s="45">
        <v>44020</v>
      </c>
      <c r="B652" s="410"/>
      <c r="C652" s="223" t="s">
        <v>1512</v>
      </c>
      <c r="D652" s="223" t="s">
        <v>6240</v>
      </c>
      <c r="E652" s="224">
        <v>23671</v>
      </c>
      <c r="F652" s="43"/>
      <c r="G652" s="364"/>
      <c r="H652" s="391" t="s">
        <v>9568</v>
      </c>
    </row>
    <row r="653" spans="1:8" x14ac:dyDescent="0.3">
      <c r="A653" s="45">
        <v>44020</v>
      </c>
      <c r="B653" s="410"/>
      <c r="C653" s="223" t="s">
        <v>1512</v>
      </c>
      <c r="D653" s="223" t="s">
        <v>6236</v>
      </c>
      <c r="E653" s="224">
        <v>42144</v>
      </c>
      <c r="F653" s="43"/>
      <c r="G653" s="364"/>
      <c r="H653" s="391" t="s">
        <v>9568</v>
      </c>
    </row>
    <row r="654" spans="1:8" x14ac:dyDescent="0.3">
      <c r="A654" s="45">
        <v>44020</v>
      </c>
      <c r="B654" s="410"/>
      <c r="C654" s="223" t="s">
        <v>1512</v>
      </c>
      <c r="D654" s="223" t="s">
        <v>6237</v>
      </c>
      <c r="E654" s="224">
        <v>285740</v>
      </c>
      <c r="F654" s="43"/>
      <c r="G654" s="364"/>
      <c r="H654" s="391" t="s">
        <v>9568</v>
      </c>
    </row>
    <row r="655" spans="1:8" x14ac:dyDescent="0.3">
      <c r="A655" s="45">
        <v>44020</v>
      </c>
      <c r="B655" s="410"/>
      <c r="C655" s="223" t="s">
        <v>1512</v>
      </c>
      <c r="D655" s="223" t="s">
        <v>6238</v>
      </c>
      <c r="E655" s="224">
        <v>27083</v>
      </c>
      <c r="F655" s="43"/>
      <c r="G655" s="364"/>
      <c r="H655" s="391" t="s">
        <v>9568</v>
      </c>
    </row>
    <row r="656" spans="1:8" x14ac:dyDescent="0.3">
      <c r="A656" s="45">
        <v>44020</v>
      </c>
      <c r="B656" s="410"/>
      <c r="C656" s="223" t="s">
        <v>1512</v>
      </c>
      <c r="D656" s="223" t="s">
        <v>4132</v>
      </c>
      <c r="E656" s="224">
        <v>10800</v>
      </c>
      <c r="F656" s="43"/>
      <c r="G656" s="364"/>
      <c r="H656" s="391" t="s">
        <v>9568</v>
      </c>
    </row>
    <row r="657" spans="1:8" x14ac:dyDescent="0.3">
      <c r="A657" s="45">
        <v>44021</v>
      </c>
      <c r="B657" s="399"/>
      <c r="C657" s="5" t="s">
        <v>14</v>
      </c>
      <c r="D657" s="5" t="s">
        <v>640</v>
      </c>
      <c r="E657" s="43">
        <v>1000</v>
      </c>
      <c r="F657" s="43"/>
      <c r="G657" s="364"/>
      <c r="H657" s="391" t="s">
        <v>9568</v>
      </c>
    </row>
    <row r="658" spans="1:8" x14ac:dyDescent="0.3">
      <c r="A658" s="45">
        <v>44021</v>
      </c>
      <c r="B658" s="399"/>
      <c r="C658" s="5" t="s">
        <v>5922</v>
      </c>
      <c r="D658" s="5" t="s">
        <v>6140</v>
      </c>
      <c r="E658" s="43">
        <v>5800</v>
      </c>
      <c r="F658" s="43"/>
      <c r="G658" s="364"/>
      <c r="H658" s="391" t="s">
        <v>9568</v>
      </c>
    </row>
    <row r="659" spans="1:8" x14ac:dyDescent="0.3">
      <c r="A659" s="45">
        <v>44021</v>
      </c>
      <c r="B659" s="399"/>
      <c r="C659" s="5" t="s">
        <v>5665</v>
      </c>
      <c r="D659" s="92" t="s">
        <v>6242</v>
      </c>
      <c r="E659" s="43">
        <v>10000</v>
      </c>
      <c r="F659" s="43"/>
      <c r="G659" s="364"/>
      <c r="H659" s="391" t="s">
        <v>9568</v>
      </c>
    </row>
    <row r="660" spans="1:8" x14ac:dyDescent="0.3">
      <c r="A660" s="45">
        <v>44021</v>
      </c>
      <c r="B660" s="580"/>
      <c r="C660" s="554" t="s">
        <v>6241</v>
      </c>
      <c r="D660" s="554"/>
      <c r="E660" s="554"/>
      <c r="F660" s="43">
        <v>200000</v>
      </c>
      <c r="G660" s="364"/>
      <c r="H660" s="391" t="s">
        <v>9568</v>
      </c>
    </row>
    <row r="661" spans="1:8" x14ac:dyDescent="0.3">
      <c r="A661" s="45">
        <v>44021</v>
      </c>
      <c r="B661" s="410"/>
      <c r="C661" s="223" t="s">
        <v>1512</v>
      </c>
      <c r="D661" s="223" t="s">
        <v>6253</v>
      </c>
      <c r="E661" s="224">
        <v>32250</v>
      </c>
      <c r="F661" s="43"/>
      <c r="G661" s="364"/>
      <c r="H661" s="391" t="s">
        <v>9568</v>
      </c>
    </row>
    <row r="662" spans="1:8" x14ac:dyDescent="0.3">
      <c r="A662" s="45">
        <v>44021</v>
      </c>
      <c r="B662" s="410"/>
      <c r="C662" s="223" t="s">
        <v>1512</v>
      </c>
      <c r="D662" s="223" t="s">
        <v>6239</v>
      </c>
      <c r="E662" s="224">
        <v>31000</v>
      </c>
      <c r="F662" s="43"/>
      <c r="G662" s="364"/>
      <c r="H662" s="391" t="s">
        <v>9568</v>
      </c>
    </row>
    <row r="663" spans="1:8" x14ac:dyDescent="0.3">
      <c r="A663" s="45">
        <v>44021</v>
      </c>
      <c r="B663" s="410"/>
      <c r="C663" s="223" t="s">
        <v>1512</v>
      </c>
      <c r="D663" s="223" t="s">
        <v>3814</v>
      </c>
      <c r="E663" s="224">
        <v>30000</v>
      </c>
      <c r="F663" s="43"/>
      <c r="G663" s="364"/>
      <c r="H663" s="391" t="s">
        <v>9568</v>
      </c>
    </row>
    <row r="664" spans="1:8" x14ac:dyDescent="0.3">
      <c r="A664" s="45">
        <v>44021</v>
      </c>
      <c r="B664" s="410"/>
      <c r="C664" s="223" t="s">
        <v>1512</v>
      </c>
      <c r="D664" s="223" t="s">
        <v>6243</v>
      </c>
      <c r="E664" s="224">
        <v>19250</v>
      </c>
      <c r="F664" s="43"/>
      <c r="G664" s="364"/>
      <c r="H664" s="391" t="s">
        <v>9568</v>
      </c>
    </row>
    <row r="665" spans="1:8" x14ac:dyDescent="0.3">
      <c r="A665" s="45">
        <v>44021</v>
      </c>
      <c r="B665" s="410"/>
      <c r="C665" s="223" t="s">
        <v>1512</v>
      </c>
      <c r="D665" s="223" t="s">
        <v>6244</v>
      </c>
      <c r="E665" s="224">
        <v>18833</v>
      </c>
      <c r="F665" s="43"/>
      <c r="G665" s="364"/>
      <c r="H665" s="391" t="s">
        <v>9568</v>
      </c>
    </row>
    <row r="666" spans="1:8" x14ac:dyDescent="0.3">
      <c r="A666" s="45">
        <v>44021</v>
      </c>
      <c r="B666" s="410"/>
      <c r="C666" s="223" t="s">
        <v>1512</v>
      </c>
      <c r="D666" s="223" t="s">
        <v>6245</v>
      </c>
      <c r="E666" s="224">
        <v>24000</v>
      </c>
      <c r="F666" s="43"/>
      <c r="G666" s="364"/>
      <c r="H666" s="391" t="s">
        <v>9568</v>
      </c>
    </row>
    <row r="667" spans="1:8" x14ac:dyDescent="0.3">
      <c r="A667" s="45">
        <v>44021</v>
      </c>
      <c r="B667" s="399"/>
      <c r="C667" s="5" t="s">
        <v>25</v>
      </c>
      <c r="D667" s="5" t="s">
        <v>6246</v>
      </c>
      <c r="E667" s="43">
        <f>490+190</f>
        <v>680</v>
      </c>
      <c r="F667" s="43"/>
      <c r="G667" s="364"/>
      <c r="H667" s="391" t="s">
        <v>9568</v>
      </c>
    </row>
    <row r="668" spans="1:8" x14ac:dyDescent="0.3">
      <c r="A668" s="45">
        <v>44021</v>
      </c>
      <c r="B668" s="399"/>
      <c r="C668" s="5" t="s">
        <v>6247</v>
      </c>
      <c r="D668" s="5" t="s">
        <v>6254</v>
      </c>
      <c r="E668" s="43">
        <v>2200</v>
      </c>
      <c r="F668" s="43"/>
      <c r="G668" s="364"/>
      <c r="H668" s="391" t="s">
        <v>9568</v>
      </c>
    </row>
    <row r="669" spans="1:8" x14ac:dyDescent="0.3">
      <c r="A669" s="45">
        <v>44022</v>
      </c>
      <c r="B669" s="399"/>
      <c r="C669" s="5" t="s">
        <v>14</v>
      </c>
      <c r="D669" s="5" t="s">
        <v>294</v>
      </c>
      <c r="E669" s="43">
        <v>20000</v>
      </c>
      <c r="F669" s="43"/>
      <c r="G669" s="364"/>
      <c r="H669" s="391" t="s">
        <v>9568</v>
      </c>
    </row>
    <row r="670" spans="1:8" x14ac:dyDescent="0.3">
      <c r="A670" s="45">
        <v>44022</v>
      </c>
      <c r="B670" s="399"/>
      <c r="C670" s="5" t="s">
        <v>5960</v>
      </c>
      <c r="D670" s="5" t="s">
        <v>6248</v>
      </c>
      <c r="E670" s="43">
        <v>1000</v>
      </c>
      <c r="F670" s="43"/>
      <c r="G670" s="364"/>
      <c r="H670" s="391" t="s">
        <v>9568</v>
      </c>
    </row>
    <row r="671" spans="1:8" x14ac:dyDescent="0.3">
      <c r="A671" s="45">
        <v>44022</v>
      </c>
      <c r="B671" s="580"/>
      <c r="C671" s="554" t="s">
        <v>6249</v>
      </c>
      <c r="D671" s="554"/>
      <c r="E671" s="554"/>
      <c r="F671" s="43">
        <v>45000</v>
      </c>
      <c r="G671" s="364"/>
      <c r="H671" s="391" t="s">
        <v>9568</v>
      </c>
    </row>
    <row r="672" spans="1:8" x14ac:dyDescent="0.3">
      <c r="A672" s="45">
        <v>44022</v>
      </c>
      <c r="B672" s="399"/>
      <c r="C672" s="5" t="s">
        <v>14</v>
      </c>
      <c r="D672" s="5" t="s">
        <v>294</v>
      </c>
      <c r="E672" s="43">
        <v>50000</v>
      </c>
      <c r="F672" s="43"/>
      <c r="G672" s="364"/>
      <c r="H672" s="391" t="s">
        <v>9568</v>
      </c>
    </row>
    <row r="673" spans="1:8" ht="37.5" x14ac:dyDescent="0.3">
      <c r="A673" s="45">
        <v>44025</v>
      </c>
      <c r="B673" s="322"/>
      <c r="C673" s="44" t="s">
        <v>25</v>
      </c>
      <c r="D673" s="124" t="s">
        <v>6251</v>
      </c>
      <c r="E673" s="28">
        <v>8500</v>
      </c>
      <c r="F673" s="28"/>
      <c r="G673" s="364"/>
      <c r="H673" s="391" t="s">
        <v>9568</v>
      </c>
    </row>
    <row r="674" spans="1:8" x14ac:dyDescent="0.3">
      <c r="A674" s="45">
        <v>44025</v>
      </c>
      <c r="B674" s="322"/>
      <c r="C674" s="44" t="s">
        <v>25</v>
      </c>
      <c r="D674" s="5" t="s">
        <v>6250</v>
      </c>
      <c r="E674" s="43">
        <v>650</v>
      </c>
      <c r="F674" s="43"/>
      <c r="G674" s="364"/>
      <c r="H674" s="391" t="s">
        <v>9568</v>
      </c>
    </row>
    <row r="675" spans="1:8" x14ac:dyDescent="0.3">
      <c r="A675" s="45">
        <v>44025</v>
      </c>
      <c r="B675" s="399"/>
      <c r="C675" s="5" t="s">
        <v>5156</v>
      </c>
      <c r="D675" s="92" t="s">
        <v>6252</v>
      </c>
      <c r="E675" s="43">
        <v>240</v>
      </c>
      <c r="F675" s="43"/>
      <c r="G675" s="364"/>
      <c r="H675" s="391" t="s">
        <v>9568</v>
      </c>
    </row>
    <row r="676" spans="1:8" x14ac:dyDescent="0.3">
      <c r="A676" s="45">
        <v>44025</v>
      </c>
      <c r="B676" s="399"/>
      <c r="C676" s="5" t="s">
        <v>247</v>
      </c>
      <c r="D676" s="5" t="s">
        <v>2013</v>
      </c>
      <c r="E676" s="43">
        <v>100</v>
      </c>
      <c r="F676" s="43"/>
      <c r="G676" s="364"/>
      <c r="H676" s="391" t="s">
        <v>9568</v>
      </c>
    </row>
    <row r="677" spans="1:8" x14ac:dyDescent="0.3">
      <c r="A677" s="45">
        <v>44026</v>
      </c>
      <c r="B677" s="399"/>
      <c r="C677" s="5" t="s">
        <v>5709</v>
      </c>
      <c r="D677" s="5" t="s">
        <v>6255</v>
      </c>
      <c r="E677" s="43">
        <v>5000</v>
      </c>
      <c r="F677" s="43"/>
      <c r="G677" s="364"/>
      <c r="H677" s="391" t="s">
        <v>9568</v>
      </c>
    </row>
    <row r="678" spans="1:8" x14ac:dyDescent="0.3">
      <c r="A678" s="45">
        <v>44026</v>
      </c>
      <c r="B678" s="580"/>
      <c r="C678" s="554" t="s">
        <v>6260</v>
      </c>
      <c r="D678" s="554"/>
      <c r="E678" s="554"/>
      <c r="F678" s="43">
        <v>10000</v>
      </c>
      <c r="G678" s="364"/>
      <c r="H678" s="391" t="s">
        <v>9568</v>
      </c>
    </row>
    <row r="679" spans="1:8" x14ac:dyDescent="0.3">
      <c r="A679" s="45">
        <v>44026</v>
      </c>
      <c r="B679" s="399"/>
      <c r="C679" s="5" t="s">
        <v>1837</v>
      </c>
      <c r="D679" s="5" t="s">
        <v>2013</v>
      </c>
      <c r="E679" s="43">
        <v>150</v>
      </c>
      <c r="F679" s="43"/>
      <c r="G679" s="364"/>
      <c r="H679" s="391" t="s">
        <v>9568</v>
      </c>
    </row>
    <row r="680" spans="1:8" x14ac:dyDescent="0.3">
      <c r="A680" s="45">
        <v>44026</v>
      </c>
      <c r="B680" s="399"/>
      <c r="C680" s="5" t="s">
        <v>1837</v>
      </c>
      <c r="D680" s="5" t="s">
        <v>6256</v>
      </c>
      <c r="E680" s="43">
        <v>100</v>
      </c>
      <c r="F680" s="43"/>
      <c r="G680" s="364"/>
      <c r="H680" s="391" t="s">
        <v>9568</v>
      </c>
    </row>
    <row r="681" spans="1:8" x14ac:dyDescent="0.3">
      <c r="A681" s="45">
        <v>44026</v>
      </c>
      <c r="B681" s="399"/>
      <c r="C681" s="5" t="s">
        <v>57</v>
      </c>
      <c r="D681" s="5" t="s">
        <v>6261</v>
      </c>
      <c r="E681" s="43">
        <v>4400</v>
      </c>
      <c r="F681" s="43"/>
      <c r="G681" s="364"/>
      <c r="H681" s="391" t="s">
        <v>9568</v>
      </c>
    </row>
    <row r="682" spans="1:8" x14ac:dyDescent="0.3">
      <c r="A682" s="45">
        <v>44026</v>
      </c>
      <c r="B682" s="399"/>
      <c r="C682" s="5" t="s">
        <v>47</v>
      </c>
      <c r="D682" s="5" t="s">
        <v>6261</v>
      </c>
      <c r="E682" s="43">
        <v>3045</v>
      </c>
      <c r="F682" s="43"/>
      <c r="G682" s="364"/>
      <c r="H682" s="391" t="s">
        <v>9568</v>
      </c>
    </row>
    <row r="683" spans="1:8" x14ac:dyDescent="0.3">
      <c r="A683" s="45">
        <v>44026</v>
      </c>
      <c r="B683" s="399"/>
      <c r="C683" s="5" t="s">
        <v>47</v>
      </c>
      <c r="D683" s="5" t="s">
        <v>6262</v>
      </c>
      <c r="E683" s="43">
        <v>1000</v>
      </c>
      <c r="F683" s="43"/>
      <c r="G683" s="364"/>
      <c r="H683" s="391" t="s">
        <v>9568</v>
      </c>
    </row>
    <row r="684" spans="1:8" ht="37.5" x14ac:dyDescent="0.3">
      <c r="A684" s="45">
        <v>44026</v>
      </c>
      <c r="B684" s="399"/>
      <c r="C684" s="5" t="s">
        <v>3985</v>
      </c>
      <c r="D684" s="92" t="s">
        <v>6263</v>
      </c>
      <c r="E684" s="43">
        <v>1000</v>
      </c>
      <c r="F684" s="43"/>
      <c r="G684" s="364"/>
      <c r="H684" s="391" t="s">
        <v>9568</v>
      </c>
    </row>
    <row r="685" spans="1:8" x14ac:dyDescent="0.3">
      <c r="A685" s="45">
        <v>44026</v>
      </c>
      <c r="B685" s="399"/>
      <c r="C685" s="5" t="s">
        <v>1787</v>
      </c>
      <c r="D685" s="92" t="s">
        <v>6264</v>
      </c>
      <c r="E685" s="43">
        <v>1500</v>
      </c>
      <c r="F685" s="43"/>
      <c r="G685" s="364"/>
      <c r="H685" s="391" t="s">
        <v>9568</v>
      </c>
    </row>
    <row r="686" spans="1:8" x14ac:dyDescent="0.3">
      <c r="A686" s="45">
        <v>44026</v>
      </c>
      <c r="B686" s="580"/>
      <c r="C686" s="554" t="s">
        <v>6257</v>
      </c>
      <c r="D686" s="554"/>
      <c r="E686" s="554"/>
      <c r="F686" s="43">
        <v>200000</v>
      </c>
      <c r="G686" s="364"/>
      <c r="H686" s="391" t="s">
        <v>9568</v>
      </c>
    </row>
    <row r="687" spans="1:8" x14ac:dyDescent="0.3">
      <c r="A687" s="45">
        <v>44026</v>
      </c>
      <c r="B687" s="410"/>
      <c r="C687" s="223" t="s">
        <v>1512</v>
      </c>
      <c r="D687" s="223" t="s">
        <v>14</v>
      </c>
      <c r="E687" s="224">
        <v>50000</v>
      </c>
      <c r="F687" s="43"/>
      <c r="G687" s="364"/>
      <c r="H687" s="391" t="s">
        <v>9568</v>
      </c>
    </row>
    <row r="688" spans="1:8" x14ac:dyDescent="0.3">
      <c r="A688" s="45">
        <v>44026</v>
      </c>
      <c r="B688" s="410"/>
      <c r="C688" s="223" t="s">
        <v>1512</v>
      </c>
      <c r="D688" s="223" t="s">
        <v>6199</v>
      </c>
      <c r="E688" s="224">
        <v>30000</v>
      </c>
      <c r="F688" s="43"/>
      <c r="G688" s="364"/>
      <c r="H688" s="391" t="s">
        <v>9568</v>
      </c>
    </row>
    <row r="689" spans="1:9" x14ac:dyDescent="0.3">
      <c r="A689" s="45">
        <v>44026</v>
      </c>
      <c r="B689" s="410"/>
      <c r="C689" s="223" t="s">
        <v>1512</v>
      </c>
      <c r="D689" s="223" t="s">
        <v>6265</v>
      </c>
      <c r="E689" s="224">
        <v>25000</v>
      </c>
      <c r="F689" s="43"/>
      <c r="G689" s="364"/>
      <c r="H689" s="391" t="s">
        <v>9568</v>
      </c>
    </row>
    <row r="690" spans="1:9" x14ac:dyDescent="0.3">
      <c r="A690" s="45">
        <v>44026</v>
      </c>
      <c r="B690" s="410"/>
      <c r="C690" s="223" t="s">
        <v>1512</v>
      </c>
      <c r="D690" s="223" t="s">
        <v>6272</v>
      </c>
      <c r="E690" s="224">
        <v>25800</v>
      </c>
      <c r="F690" s="43"/>
      <c r="G690" s="364"/>
      <c r="H690" s="391" t="s">
        <v>9568</v>
      </c>
    </row>
    <row r="691" spans="1:9" x14ac:dyDescent="0.3">
      <c r="A691" s="45">
        <v>44026</v>
      </c>
      <c r="B691" s="410"/>
      <c r="C691" s="223" t="s">
        <v>1512</v>
      </c>
      <c r="D691" s="223" t="s">
        <v>6266</v>
      </c>
      <c r="E691" s="224">
        <v>18800</v>
      </c>
      <c r="F691" s="43"/>
      <c r="G691" s="364"/>
      <c r="H691" s="391" t="s">
        <v>9568</v>
      </c>
    </row>
    <row r="692" spans="1:9" x14ac:dyDescent="0.3">
      <c r="A692" s="45">
        <v>44026</v>
      </c>
      <c r="B692" s="410"/>
      <c r="C692" s="223" t="s">
        <v>1512</v>
      </c>
      <c r="D692" s="223" t="s">
        <v>6267</v>
      </c>
      <c r="E692" s="224">
        <v>35000</v>
      </c>
      <c r="F692" s="43"/>
      <c r="G692" s="364"/>
      <c r="H692" s="391" t="s">
        <v>9568</v>
      </c>
    </row>
    <row r="693" spans="1:9" x14ac:dyDescent="0.3">
      <c r="A693" s="45">
        <v>44027</v>
      </c>
      <c r="B693" s="399"/>
      <c r="C693" s="5" t="s">
        <v>14</v>
      </c>
      <c r="D693" s="5" t="s">
        <v>6271</v>
      </c>
      <c r="E693" s="43">
        <v>15000</v>
      </c>
      <c r="F693" s="43"/>
      <c r="G693" s="364"/>
      <c r="H693" s="391" t="s">
        <v>9568</v>
      </c>
      <c r="I693" s="249"/>
    </row>
    <row r="694" spans="1:9" x14ac:dyDescent="0.3">
      <c r="A694" s="45">
        <v>44028</v>
      </c>
      <c r="B694" s="399"/>
      <c r="C694" s="5" t="s">
        <v>5156</v>
      </c>
      <c r="D694" s="5" t="s">
        <v>6275</v>
      </c>
      <c r="E694" s="43">
        <v>300</v>
      </c>
      <c r="F694" s="43"/>
      <c r="G694" s="364"/>
      <c r="H694" s="391" t="s">
        <v>9568</v>
      </c>
    </row>
    <row r="695" spans="1:9" x14ac:dyDescent="0.3">
      <c r="A695" s="45">
        <v>44028</v>
      </c>
      <c r="B695" s="580"/>
      <c r="C695" s="554" t="s">
        <v>6276</v>
      </c>
      <c r="D695" s="554"/>
      <c r="E695" s="554"/>
      <c r="F695" s="43">
        <v>148000</v>
      </c>
      <c r="G695" s="364"/>
      <c r="H695" s="391" t="s">
        <v>9568</v>
      </c>
    </row>
    <row r="696" spans="1:9" ht="37.5" x14ac:dyDescent="0.3">
      <c r="A696" s="45">
        <v>44028</v>
      </c>
      <c r="B696" s="399"/>
      <c r="C696" s="5" t="s">
        <v>57</v>
      </c>
      <c r="D696" s="92" t="s">
        <v>6277</v>
      </c>
      <c r="E696" s="43">
        <v>23000</v>
      </c>
      <c r="F696" s="43"/>
      <c r="G696" s="364"/>
      <c r="H696" s="391" t="s">
        <v>9568</v>
      </c>
    </row>
    <row r="697" spans="1:9" x14ac:dyDescent="0.3">
      <c r="A697" s="45">
        <v>44028</v>
      </c>
      <c r="B697" s="399"/>
      <c r="C697" s="5" t="s">
        <v>0</v>
      </c>
      <c r="D697" s="5" t="s">
        <v>6278</v>
      </c>
      <c r="E697" s="43">
        <v>8500</v>
      </c>
      <c r="F697" s="43"/>
      <c r="G697" s="364"/>
      <c r="H697" s="391" t="s">
        <v>9568</v>
      </c>
    </row>
    <row r="698" spans="1:9" x14ac:dyDescent="0.3">
      <c r="A698" s="45">
        <v>44028</v>
      </c>
      <c r="B698" s="399"/>
      <c r="C698" s="5" t="s">
        <v>25</v>
      </c>
      <c r="D698" s="5" t="s">
        <v>4276</v>
      </c>
      <c r="E698" s="43">
        <v>2610</v>
      </c>
      <c r="F698" s="43"/>
      <c r="G698" s="364"/>
      <c r="H698" s="391" t="s">
        <v>9568</v>
      </c>
    </row>
    <row r="699" spans="1:9" x14ac:dyDescent="0.3">
      <c r="A699" s="45">
        <v>44028</v>
      </c>
      <c r="B699" s="399"/>
      <c r="C699" s="5" t="s">
        <v>25</v>
      </c>
      <c r="D699" s="5" t="s">
        <v>6279</v>
      </c>
      <c r="E699" s="43">
        <v>900</v>
      </c>
      <c r="F699" s="43"/>
      <c r="G699" s="364"/>
      <c r="H699" s="391" t="s">
        <v>9568</v>
      </c>
    </row>
    <row r="700" spans="1:9" x14ac:dyDescent="0.3">
      <c r="A700" s="45">
        <v>44029</v>
      </c>
      <c r="B700" s="399"/>
      <c r="C700" s="5" t="s">
        <v>1679</v>
      </c>
      <c r="D700" s="5" t="s">
        <v>6289</v>
      </c>
      <c r="E700" s="43">
        <v>10000</v>
      </c>
      <c r="F700" s="43"/>
      <c r="G700" s="364"/>
      <c r="H700" s="391" t="s">
        <v>9568</v>
      </c>
    </row>
    <row r="701" spans="1:9" x14ac:dyDescent="0.3">
      <c r="A701" s="45">
        <v>44029</v>
      </c>
      <c r="B701" s="399"/>
      <c r="C701" s="5" t="s">
        <v>47</v>
      </c>
      <c r="D701" s="92" t="s">
        <v>6290</v>
      </c>
      <c r="E701" s="43">
        <v>4342</v>
      </c>
      <c r="F701" s="43"/>
      <c r="G701" s="364"/>
      <c r="H701" s="391" t="s">
        <v>9568</v>
      </c>
    </row>
    <row r="702" spans="1:9" x14ac:dyDescent="0.3">
      <c r="A702" s="45">
        <v>44032</v>
      </c>
      <c r="B702" s="404"/>
      <c r="C702" s="41" t="s">
        <v>3559</v>
      </c>
      <c r="D702" s="41" t="s">
        <v>6235</v>
      </c>
      <c r="E702" s="42">
        <f>35982+19975</f>
        <v>55957</v>
      </c>
      <c r="F702" s="43"/>
      <c r="G702" s="364"/>
      <c r="H702" s="391" t="s">
        <v>9568</v>
      </c>
    </row>
    <row r="703" spans="1:9" x14ac:dyDescent="0.3">
      <c r="A703" s="45">
        <v>44032</v>
      </c>
      <c r="B703" s="404"/>
      <c r="C703" s="41" t="s">
        <v>3559</v>
      </c>
      <c r="D703" s="41" t="s">
        <v>6280</v>
      </c>
      <c r="E703" s="42">
        <f>1330+3810</f>
        <v>5140</v>
      </c>
      <c r="F703" s="43"/>
      <c r="G703" s="364"/>
      <c r="H703" s="391" t="s">
        <v>9568</v>
      </c>
    </row>
    <row r="704" spans="1:9" x14ac:dyDescent="0.3">
      <c r="A704" s="45">
        <v>44032</v>
      </c>
      <c r="B704" s="404"/>
      <c r="C704" s="41" t="s">
        <v>25</v>
      </c>
      <c r="D704" s="41" t="s">
        <v>6280</v>
      </c>
      <c r="E704" s="42">
        <f>2410+1710</f>
        <v>4120</v>
      </c>
      <c r="F704" s="43"/>
      <c r="G704" s="364"/>
      <c r="H704" s="391" t="s">
        <v>9568</v>
      </c>
    </row>
    <row r="705" spans="1:8" ht="37.5" x14ac:dyDescent="0.3">
      <c r="A705" s="45">
        <v>44032</v>
      </c>
      <c r="B705" s="399"/>
      <c r="C705" s="5" t="s">
        <v>3559</v>
      </c>
      <c r="D705" s="92" t="s">
        <v>6191</v>
      </c>
      <c r="E705" s="43">
        <v>4200</v>
      </c>
      <c r="F705" s="43"/>
      <c r="G705" s="364"/>
      <c r="H705" s="391" t="s">
        <v>9568</v>
      </c>
    </row>
    <row r="706" spans="1:8" x14ac:dyDescent="0.3">
      <c r="A706" s="45">
        <v>44033</v>
      </c>
      <c r="B706" s="410"/>
      <c r="C706" s="223" t="s">
        <v>1512</v>
      </c>
      <c r="D706" s="223" t="s">
        <v>6190</v>
      </c>
      <c r="E706" s="224">
        <v>24000</v>
      </c>
      <c r="F706" s="43"/>
      <c r="G706" s="364"/>
      <c r="H706" s="391" t="s">
        <v>9568</v>
      </c>
    </row>
    <row r="707" spans="1:8" x14ac:dyDescent="0.3">
      <c r="A707" s="45">
        <v>44033</v>
      </c>
      <c r="B707" s="399"/>
      <c r="C707" s="5" t="s">
        <v>247</v>
      </c>
      <c r="D707" s="5" t="s">
        <v>2013</v>
      </c>
      <c r="E707" s="43">
        <v>60</v>
      </c>
      <c r="F707" s="43"/>
      <c r="G707" s="364"/>
      <c r="H707" s="391" t="s">
        <v>9568</v>
      </c>
    </row>
    <row r="708" spans="1:8" x14ac:dyDescent="0.3">
      <c r="A708" s="45">
        <v>44033</v>
      </c>
      <c r="B708" s="399"/>
      <c r="C708" s="5" t="s">
        <v>10</v>
      </c>
      <c r="D708" s="92" t="s">
        <v>6286</v>
      </c>
      <c r="E708" s="43">
        <v>2000</v>
      </c>
      <c r="F708" s="43"/>
      <c r="G708" s="364"/>
      <c r="H708" s="391" t="s">
        <v>9568</v>
      </c>
    </row>
    <row r="709" spans="1:8" x14ac:dyDescent="0.3">
      <c r="A709" s="45">
        <v>44033</v>
      </c>
      <c r="B709" s="399"/>
      <c r="C709" s="5" t="s">
        <v>25</v>
      </c>
      <c r="D709" s="5" t="s">
        <v>6288</v>
      </c>
      <c r="E709" s="43">
        <v>600</v>
      </c>
      <c r="F709" s="43"/>
      <c r="G709" s="364"/>
      <c r="H709" s="391" t="s">
        <v>9568</v>
      </c>
    </row>
    <row r="710" spans="1:8" x14ac:dyDescent="0.3">
      <c r="A710" s="45">
        <v>44033</v>
      </c>
      <c r="B710" s="399"/>
      <c r="C710" s="5" t="s">
        <v>25</v>
      </c>
      <c r="D710" s="5" t="s">
        <v>4276</v>
      </c>
      <c r="E710" s="43">
        <f>440+440+150+300+30+140+70+70+500+70+350</f>
        <v>2560</v>
      </c>
      <c r="F710" s="43"/>
      <c r="G710" s="364"/>
      <c r="H710" s="391" t="s">
        <v>9568</v>
      </c>
    </row>
    <row r="711" spans="1:8" x14ac:dyDescent="0.3">
      <c r="A711" s="45">
        <v>44033</v>
      </c>
      <c r="B711" s="580"/>
      <c r="C711" s="554" t="s">
        <v>6257</v>
      </c>
      <c r="D711" s="554"/>
      <c r="E711" s="554"/>
      <c r="F711" s="43">
        <v>200000</v>
      </c>
      <c r="G711" s="364"/>
      <c r="H711" s="391" t="s">
        <v>9568</v>
      </c>
    </row>
    <row r="712" spans="1:8" x14ac:dyDescent="0.3">
      <c r="A712" s="45">
        <v>44034</v>
      </c>
      <c r="B712" s="404"/>
      <c r="C712" s="41" t="s">
        <v>5930</v>
      </c>
      <c r="D712" s="41" t="s">
        <v>6291</v>
      </c>
      <c r="E712" s="42">
        <v>18200</v>
      </c>
      <c r="F712" s="43"/>
      <c r="G712" s="364"/>
      <c r="H712" s="391" t="s">
        <v>9568</v>
      </c>
    </row>
    <row r="713" spans="1:8" x14ac:dyDescent="0.3">
      <c r="A713" s="45">
        <v>44034</v>
      </c>
      <c r="B713" s="404"/>
      <c r="C713" s="41" t="s">
        <v>5930</v>
      </c>
      <c r="D713" s="41" t="s">
        <v>6292</v>
      </c>
      <c r="E713" s="42">
        <v>37584</v>
      </c>
      <c r="F713" s="43"/>
      <c r="G713" s="364"/>
      <c r="H713" s="391" t="s">
        <v>9568</v>
      </c>
    </row>
    <row r="714" spans="1:8" x14ac:dyDescent="0.3">
      <c r="A714" s="45">
        <v>44034</v>
      </c>
      <c r="B714" s="404"/>
      <c r="C714" s="41" t="s">
        <v>5930</v>
      </c>
      <c r="D714" s="41" t="s">
        <v>6293</v>
      </c>
      <c r="E714" s="42">
        <v>36460</v>
      </c>
      <c r="F714" s="43"/>
      <c r="G714" s="364"/>
      <c r="H714" s="391" t="s">
        <v>9568</v>
      </c>
    </row>
    <row r="715" spans="1:8" x14ac:dyDescent="0.3">
      <c r="A715" s="45">
        <v>44034</v>
      </c>
      <c r="B715" s="399"/>
      <c r="C715" s="5" t="s">
        <v>54</v>
      </c>
      <c r="D715" s="5" t="s">
        <v>6294</v>
      </c>
      <c r="E715" s="43">
        <v>13780</v>
      </c>
      <c r="F715" s="43"/>
      <c r="G715" s="364"/>
      <c r="H715" s="391" t="s">
        <v>9568</v>
      </c>
    </row>
    <row r="716" spans="1:8" x14ac:dyDescent="0.3">
      <c r="A716" s="45">
        <v>44034</v>
      </c>
      <c r="B716" s="399"/>
      <c r="C716" s="5" t="s">
        <v>247</v>
      </c>
      <c r="D716" s="5" t="s">
        <v>2013</v>
      </c>
      <c r="E716" s="43">
        <v>100</v>
      </c>
      <c r="F716" s="43"/>
      <c r="G716" s="364"/>
      <c r="H716" s="391" t="s">
        <v>9568</v>
      </c>
    </row>
    <row r="717" spans="1:8" ht="93.75" x14ac:dyDescent="0.3">
      <c r="A717" s="45">
        <v>44034</v>
      </c>
      <c r="B717" s="322"/>
      <c r="C717" s="44" t="s">
        <v>18</v>
      </c>
      <c r="D717" s="92" t="s">
        <v>6297</v>
      </c>
      <c r="E717" s="43">
        <v>5350</v>
      </c>
      <c r="F717" s="43"/>
      <c r="G717" s="364"/>
      <c r="H717" s="391" t="s">
        <v>9568</v>
      </c>
    </row>
    <row r="718" spans="1:8" x14ac:dyDescent="0.3">
      <c r="A718" s="45">
        <v>44034</v>
      </c>
      <c r="B718" s="399"/>
      <c r="C718" s="5" t="s">
        <v>25</v>
      </c>
      <c r="D718" s="5" t="s">
        <v>5954</v>
      </c>
      <c r="E718" s="43">
        <v>1000</v>
      </c>
      <c r="F718" s="43"/>
      <c r="G718" s="364"/>
      <c r="H718" s="391" t="s">
        <v>9568</v>
      </c>
    </row>
    <row r="719" spans="1:8" x14ac:dyDescent="0.3">
      <c r="A719" s="45">
        <v>44034</v>
      </c>
      <c r="B719" s="399"/>
      <c r="C719" s="5" t="s">
        <v>84</v>
      </c>
      <c r="D719" s="5" t="s">
        <v>6295</v>
      </c>
      <c r="E719" s="43">
        <v>5000</v>
      </c>
      <c r="F719" s="43"/>
      <c r="G719" s="364"/>
      <c r="H719" s="391" t="s">
        <v>9568</v>
      </c>
    </row>
    <row r="720" spans="1:8" x14ac:dyDescent="0.3">
      <c r="A720" s="45">
        <v>44034</v>
      </c>
      <c r="B720" s="399"/>
      <c r="C720" s="5" t="s">
        <v>0</v>
      </c>
      <c r="D720" s="5" t="s">
        <v>6296</v>
      </c>
      <c r="E720" s="43">
        <v>8000</v>
      </c>
      <c r="F720" s="43"/>
      <c r="G720" s="364"/>
      <c r="H720" s="391" t="s">
        <v>9568</v>
      </c>
    </row>
    <row r="721" spans="1:8" x14ac:dyDescent="0.3">
      <c r="A721" s="45">
        <v>44034</v>
      </c>
      <c r="B721" s="399"/>
      <c r="C721" s="5" t="s">
        <v>1787</v>
      </c>
      <c r="D721" s="5" t="s">
        <v>6298</v>
      </c>
      <c r="E721" s="43">
        <v>2350</v>
      </c>
      <c r="F721" s="43"/>
      <c r="G721" s="364"/>
      <c r="H721" s="391" t="s">
        <v>9568</v>
      </c>
    </row>
    <row r="722" spans="1:8" x14ac:dyDescent="0.3">
      <c r="A722" s="45">
        <v>44034</v>
      </c>
      <c r="B722" s="399"/>
      <c r="C722" s="5" t="s">
        <v>93</v>
      </c>
      <c r="D722" s="5" t="s">
        <v>6299</v>
      </c>
      <c r="E722" s="43">
        <v>3000</v>
      </c>
      <c r="F722" s="43"/>
      <c r="G722" s="364"/>
      <c r="H722" s="391" t="s">
        <v>9568</v>
      </c>
    </row>
    <row r="723" spans="1:8" x14ac:dyDescent="0.3">
      <c r="A723" s="45">
        <v>44035</v>
      </c>
      <c r="B723" s="399"/>
      <c r="C723" s="5" t="s">
        <v>25</v>
      </c>
      <c r="D723" s="5" t="s">
        <v>5641</v>
      </c>
      <c r="E723" s="43">
        <v>600</v>
      </c>
      <c r="F723" s="43"/>
      <c r="G723" s="364"/>
      <c r="H723" s="391" t="s">
        <v>9568</v>
      </c>
    </row>
    <row r="724" spans="1:8" x14ac:dyDescent="0.3">
      <c r="A724" s="45">
        <v>44035</v>
      </c>
      <c r="B724" s="399"/>
      <c r="C724" s="5" t="s">
        <v>1837</v>
      </c>
      <c r="D724" s="92" t="s">
        <v>6300</v>
      </c>
      <c r="E724" s="43">
        <v>1000</v>
      </c>
      <c r="F724" s="43"/>
      <c r="G724" s="364"/>
      <c r="H724" s="391" t="s">
        <v>9568</v>
      </c>
    </row>
    <row r="725" spans="1:8" x14ac:dyDescent="0.3">
      <c r="A725" s="45">
        <v>44035</v>
      </c>
      <c r="B725" s="399"/>
      <c r="C725" s="5" t="s">
        <v>5896</v>
      </c>
      <c r="D725" s="5" t="s">
        <v>5590</v>
      </c>
      <c r="E725" s="43">
        <v>4000</v>
      </c>
      <c r="F725" s="43"/>
      <c r="G725" s="364"/>
      <c r="H725" s="391" t="s">
        <v>9568</v>
      </c>
    </row>
    <row r="726" spans="1:8" x14ac:dyDescent="0.3">
      <c r="A726" s="45">
        <v>44035</v>
      </c>
      <c r="B726" s="399"/>
      <c r="C726" s="5" t="s">
        <v>6302</v>
      </c>
      <c r="D726" s="5" t="s">
        <v>6303</v>
      </c>
      <c r="E726" s="43">
        <v>2000</v>
      </c>
      <c r="F726" s="43"/>
      <c r="G726" s="364"/>
      <c r="H726" s="391" t="s">
        <v>9568</v>
      </c>
    </row>
    <row r="727" spans="1:8" x14ac:dyDescent="0.3">
      <c r="A727" s="45">
        <v>44036</v>
      </c>
      <c r="B727" s="399"/>
      <c r="C727" s="5" t="s">
        <v>1970</v>
      </c>
      <c r="D727" s="5" t="s">
        <v>6301</v>
      </c>
      <c r="E727" s="43">
        <v>50000</v>
      </c>
      <c r="F727" s="43"/>
      <c r="G727" s="364"/>
      <c r="H727" s="391" t="s">
        <v>9568</v>
      </c>
    </row>
    <row r="728" spans="1:8" x14ac:dyDescent="0.3">
      <c r="A728" s="45">
        <v>44036</v>
      </c>
      <c r="B728" s="399"/>
      <c r="C728" s="5" t="s">
        <v>5162</v>
      </c>
      <c r="D728" s="5" t="s">
        <v>5250</v>
      </c>
      <c r="E728" s="43">
        <v>600</v>
      </c>
      <c r="F728" s="43"/>
      <c r="G728" s="364"/>
      <c r="H728" s="391" t="s">
        <v>9568</v>
      </c>
    </row>
    <row r="729" spans="1:8" x14ac:dyDescent="0.3">
      <c r="A729" s="45">
        <v>44037</v>
      </c>
      <c r="B729" s="399"/>
      <c r="C729" s="5" t="s">
        <v>25</v>
      </c>
      <c r="D729" s="5" t="s">
        <v>4276</v>
      </c>
      <c r="E729" s="43">
        <f>400+490+128+15+80+150+120+120+120+40+140+90+210+70+100</f>
        <v>2273</v>
      </c>
      <c r="F729" s="43"/>
      <c r="G729" s="364"/>
      <c r="H729" s="391" t="s">
        <v>9568</v>
      </c>
    </row>
    <row r="730" spans="1:8" x14ac:dyDescent="0.3">
      <c r="A730" s="45">
        <v>44039</v>
      </c>
      <c r="B730" s="580"/>
      <c r="C730" s="554" t="s">
        <v>6257</v>
      </c>
      <c r="D730" s="554"/>
      <c r="E730" s="554"/>
      <c r="F730" s="43">
        <v>300000</v>
      </c>
      <c r="G730" s="364"/>
      <c r="H730" s="391" t="s">
        <v>9568</v>
      </c>
    </row>
    <row r="731" spans="1:8" x14ac:dyDescent="0.3">
      <c r="A731" s="45">
        <v>44039</v>
      </c>
      <c r="B731" s="399"/>
      <c r="C731" s="5" t="s">
        <v>4550</v>
      </c>
      <c r="D731" s="5" t="s">
        <v>294</v>
      </c>
      <c r="E731" s="43">
        <v>15000</v>
      </c>
      <c r="F731" s="43"/>
      <c r="G731" s="364"/>
      <c r="H731" s="391" t="s">
        <v>9568</v>
      </c>
    </row>
    <row r="732" spans="1:8" x14ac:dyDescent="0.3">
      <c r="A732" s="45">
        <v>44039</v>
      </c>
      <c r="B732" s="410"/>
      <c r="C732" s="223" t="s">
        <v>1512</v>
      </c>
      <c r="D732" s="223" t="s">
        <v>6311</v>
      </c>
      <c r="E732" s="224">
        <v>36200</v>
      </c>
      <c r="F732" s="43"/>
      <c r="G732" s="364"/>
      <c r="H732" s="391" t="s">
        <v>9568</v>
      </c>
    </row>
    <row r="733" spans="1:8" x14ac:dyDescent="0.3">
      <c r="A733" s="45">
        <v>44039</v>
      </c>
      <c r="B733" s="399"/>
      <c r="C733" s="5" t="s">
        <v>84</v>
      </c>
      <c r="D733" s="5" t="s">
        <v>6304</v>
      </c>
      <c r="E733" s="43">
        <v>20000</v>
      </c>
      <c r="F733" s="43"/>
      <c r="G733" s="364"/>
      <c r="H733" s="391" t="s">
        <v>9568</v>
      </c>
    </row>
    <row r="734" spans="1:8" x14ac:dyDescent="0.3">
      <c r="A734" s="45">
        <v>44039</v>
      </c>
      <c r="B734" s="404"/>
      <c r="C734" s="41" t="s">
        <v>0</v>
      </c>
      <c r="D734" s="41" t="s">
        <v>6305</v>
      </c>
      <c r="E734" s="42">
        <v>22500</v>
      </c>
      <c r="F734" s="43"/>
      <c r="G734" s="364"/>
      <c r="H734" s="391" t="s">
        <v>9568</v>
      </c>
    </row>
    <row r="735" spans="1:8" x14ac:dyDescent="0.3">
      <c r="A735" s="45">
        <v>44039</v>
      </c>
      <c r="B735" s="399"/>
      <c r="C735" s="5" t="s">
        <v>6306</v>
      </c>
      <c r="D735" s="5" t="s">
        <v>6307</v>
      </c>
      <c r="E735" s="43">
        <v>3500</v>
      </c>
      <c r="F735" s="43"/>
      <c r="G735" s="364"/>
      <c r="H735" s="391" t="s">
        <v>9568</v>
      </c>
    </row>
    <row r="736" spans="1:8" ht="37.5" x14ac:dyDescent="0.3">
      <c r="A736" s="45">
        <v>44040</v>
      </c>
      <c r="B736" s="399"/>
      <c r="C736" s="5" t="s">
        <v>110</v>
      </c>
      <c r="D736" s="92" t="s">
        <v>6308</v>
      </c>
      <c r="E736" s="43">
        <v>77000</v>
      </c>
      <c r="F736" s="43"/>
      <c r="G736" s="364"/>
      <c r="H736" s="391" t="s">
        <v>9568</v>
      </c>
    </row>
    <row r="737" spans="1:8" x14ac:dyDescent="0.3">
      <c r="A737" s="45">
        <v>44040</v>
      </c>
      <c r="B737" s="399"/>
      <c r="C737" s="5" t="s">
        <v>6309</v>
      </c>
      <c r="D737" s="5" t="s">
        <v>6310</v>
      </c>
      <c r="E737" s="43">
        <v>10000</v>
      </c>
      <c r="F737" s="43"/>
      <c r="G737" s="364"/>
      <c r="H737" s="391" t="s">
        <v>9568</v>
      </c>
    </row>
    <row r="738" spans="1:8" x14ac:dyDescent="0.3">
      <c r="A738" s="45">
        <v>44041</v>
      </c>
      <c r="B738" s="399"/>
      <c r="C738" s="5" t="s">
        <v>4550</v>
      </c>
      <c r="D738" s="5" t="s">
        <v>294</v>
      </c>
      <c r="E738" s="43">
        <v>20000</v>
      </c>
      <c r="F738" s="43"/>
      <c r="G738" s="364"/>
      <c r="H738" s="391" t="s">
        <v>9568</v>
      </c>
    </row>
    <row r="739" spans="1:8" ht="56.25" x14ac:dyDescent="0.3">
      <c r="A739" s="45">
        <v>44041</v>
      </c>
      <c r="B739" s="399"/>
      <c r="C739" s="5" t="s">
        <v>14</v>
      </c>
      <c r="D739" s="92" t="s">
        <v>6337</v>
      </c>
      <c r="E739" s="43">
        <v>20120</v>
      </c>
      <c r="F739" s="43"/>
      <c r="G739" s="364"/>
      <c r="H739" s="391" t="s">
        <v>9568</v>
      </c>
    </row>
    <row r="740" spans="1:8" x14ac:dyDescent="0.3">
      <c r="A740" s="45">
        <v>44041</v>
      </c>
      <c r="B740" s="399"/>
      <c r="C740" s="5" t="s">
        <v>4915</v>
      </c>
      <c r="D740" s="92" t="s">
        <v>6336</v>
      </c>
      <c r="E740" s="43">
        <v>12000</v>
      </c>
      <c r="F740" s="43"/>
      <c r="G740" s="364"/>
      <c r="H740" s="391" t="s">
        <v>9568</v>
      </c>
    </row>
    <row r="741" spans="1:8" x14ac:dyDescent="0.3">
      <c r="A741" s="45">
        <v>44041</v>
      </c>
      <c r="B741" s="399"/>
      <c r="C741" s="5" t="s">
        <v>247</v>
      </c>
      <c r="D741" s="5" t="s">
        <v>6312</v>
      </c>
      <c r="E741" s="43">
        <v>50</v>
      </c>
      <c r="F741" s="43"/>
      <c r="G741" s="364"/>
      <c r="H741" s="391" t="s">
        <v>9568</v>
      </c>
    </row>
    <row r="742" spans="1:8" x14ac:dyDescent="0.3">
      <c r="A742" s="45">
        <v>44041</v>
      </c>
      <c r="B742" s="399"/>
      <c r="C742" s="5" t="s">
        <v>84</v>
      </c>
      <c r="D742" s="5" t="s">
        <v>6313</v>
      </c>
      <c r="E742" s="43">
        <v>10000</v>
      </c>
      <c r="F742" s="43"/>
      <c r="G742" s="364"/>
      <c r="H742" s="391" t="s">
        <v>9568</v>
      </c>
    </row>
    <row r="743" spans="1:8" x14ac:dyDescent="0.3">
      <c r="A743" s="45">
        <v>44041</v>
      </c>
      <c r="B743" s="399"/>
      <c r="C743" s="5" t="s">
        <v>541</v>
      </c>
      <c r="D743" s="92" t="s">
        <v>6314</v>
      </c>
      <c r="E743" s="43">
        <v>13500</v>
      </c>
      <c r="F743" s="43"/>
      <c r="G743" s="364"/>
      <c r="H743" s="391" t="s">
        <v>9568</v>
      </c>
    </row>
    <row r="744" spans="1:8" x14ac:dyDescent="0.3">
      <c r="A744" s="45">
        <v>44041</v>
      </c>
      <c r="B744" s="399"/>
      <c r="C744" s="5" t="s">
        <v>18</v>
      </c>
      <c r="D744" s="5" t="s">
        <v>6315</v>
      </c>
      <c r="E744" s="43">
        <v>500</v>
      </c>
      <c r="F744" s="43"/>
      <c r="G744" s="364"/>
      <c r="H744" s="391" t="s">
        <v>9568</v>
      </c>
    </row>
    <row r="745" spans="1:8" x14ac:dyDescent="0.3">
      <c r="A745" s="45">
        <v>44041</v>
      </c>
      <c r="B745" s="399"/>
      <c r="C745" s="5" t="s">
        <v>25</v>
      </c>
      <c r="D745" s="5" t="s">
        <v>6316</v>
      </c>
      <c r="E745" s="43">
        <f>80+120+95+120+50+500</f>
        <v>965</v>
      </c>
      <c r="F745" s="43"/>
      <c r="G745" s="364"/>
      <c r="H745" s="391" t="s">
        <v>9568</v>
      </c>
    </row>
    <row r="746" spans="1:8" x14ac:dyDescent="0.3">
      <c r="A746" s="45">
        <v>44041</v>
      </c>
      <c r="B746" s="399"/>
      <c r="C746" s="5" t="s">
        <v>25</v>
      </c>
      <c r="D746" s="5" t="s">
        <v>6318</v>
      </c>
      <c r="E746" s="43">
        <v>250</v>
      </c>
      <c r="F746" s="43"/>
      <c r="G746" s="364"/>
      <c r="H746" s="391" t="s">
        <v>9568</v>
      </c>
    </row>
    <row r="747" spans="1:8" x14ac:dyDescent="0.3">
      <c r="A747" s="45">
        <v>44042</v>
      </c>
      <c r="B747" s="580"/>
      <c r="C747" s="554" t="s">
        <v>6257</v>
      </c>
      <c r="D747" s="554"/>
      <c r="E747" s="554"/>
      <c r="F747" s="43">
        <v>300000</v>
      </c>
      <c r="G747" s="364"/>
      <c r="H747" s="391" t="s">
        <v>9568</v>
      </c>
    </row>
    <row r="748" spans="1:8" x14ac:dyDescent="0.3">
      <c r="A748" s="45">
        <v>44042</v>
      </c>
      <c r="B748" s="399"/>
      <c r="C748" s="5" t="s">
        <v>1970</v>
      </c>
      <c r="D748" s="5" t="s">
        <v>6317</v>
      </c>
      <c r="E748" s="43">
        <v>50000</v>
      </c>
      <c r="F748" s="43"/>
      <c r="G748" s="364"/>
      <c r="H748" s="391" t="s">
        <v>9568</v>
      </c>
    </row>
    <row r="749" spans="1:8" x14ac:dyDescent="0.3">
      <c r="A749" s="45">
        <v>44042</v>
      </c>
      <c r="B749" s="399"/>
      <c r="C749" s="5" t="s">
        <v>2348</v>
      </c>
      <c r="D749" s="5" t="s">
        <v>5519</v>
      </c>
      <c r="E749" s="43">
        <v>50000</v>
      </c>
      <c r="F749" s="43"/>
      <c r="G749" s="364"/>
      <c r="H749" s="391" t="s">
        <v>9568</v>
      </c>
    </row>
    <row r="750" spans="1:8" x14ac:dyDescent="0.3">
      <c r="A750" s="45">
        <v>44042</v>
      </c>
      <c r="B750" s="411"/>
      <c r="C750" s="225" t="s">
        <v>1512</v>
      </c>
      <c r="D750" s="225" t="s">
        <v>4409</v>
      </c>
      <c r="E750" s="226">
        <v>15000</v>
      </c>
      <c r="F750" s="43"/>
      <c r="G750" s="364"/>
      <c r="H750" s="391" t="s">
        <v>9568</v>
      </c>
    </row>
    <row r="751" spans="1:8" x14ac:dyDescent="0.3">
      <c r="A751" s="45">
        <v>44042</v>
      </c>
      <c r="B751" s="411"/>
      <c r="C751" s="225" t="s">
        <v>84</v>
      </c>
      <c r="D751" s="227" t="s">
        <v>6319</v>
      </c>
      <c r="E751" s="226">
        <v>15000</v>
      </c>
      <c r="F751" s="43"/>
      <c r="G751" s="364"/>
      <c r="H751" s="391" t="s">
        <v>9568</v>
      </c>
    </row>
    <row r="752" spans="1:8" x14ac:dyDescent="0.3">
      <c r="A752" s="45">
        <v>44042</v>
      </c>
      <c r="B752" s="411"/>
      <c r="C752" s="225" t="s">
        <v>84</v>
      </c>
      <c r="D752" s="227" t="s">
        <v>6320</v>
      </c>
      <c r="E752" s="226">
        <v>5000</v>
      </c>
      <c r="F752" s="43"/>
      <c r="G752" s="364"/>
      <c r="H752" s="391" t="s">
        <v>9568</v>
      </c>
    </row>
    <row r="753" spans="1:8" x14ac:dyDescent="0.3">
      <c r="A753" s="45">
        <v>44042</v>
      </c>
      <c r="B753" s="411"/>
      <c r="C753" s="225" t="s">
        <v>84</v>
      </c>
      <c r="D753" s="227" t="s">
        <v>6321</v>
      </c>
      <c r="E753" s="226">
        <v>5000</v>
      </c>
      <c r="F753" s="43"/>
      <c r="G753" s="364"/>
      <c r="H753" s="391" t="s">
        <v>9568</v>
      </c>
    </row>
    <row r="754" spans="1:8" x14ac:dyDescent="0.3">
      <c r="A754" s="45">
        <v>44042</v>
      </c>
      <c r="B754" s="411"/>
      <c r="C754" s="225" t="s">
        <v>84</v>
      </c>
      <c r="D754" s="227" t="s">
        <v>6322</v>
      </c>
      <c r="E754" s="226">
        <v>3000</v>
      </c>
      <c r="F754" s="43"/>
      <c r="G754" s="364"/>
      <c r="H754" s="391" t="s">
        <v>9568</v>
      </c>
    </row>
    <row r="755" spans="1:8" x14ac:dyDescent="0.3">
      <c r="A755" s="45">
        <v>44042</v>
      </c>
      <c r="B755" s="399"/>
      <c r="C755" s="5" t="s">
        <v>4935</v>
      </c>
      <c r="D755" s="5" t="s">
        <v>6328</v>
      </c>
      <c r="E755" s="43">
        <f>21400+9000</f>
        <v>30400</v>
      </c>
      <c r="F755" s="43"/>
      <c r="G755" s="364"/>
      <c r="H755" s="391" t="s">
        <v>9568</v>
      </c>
    </row>
    <row r="756" spans="1:8" x14ac:dyDescent="0.3">
      <c r="A756" s="45">
        <v>44042</v>
      </c>
      <c r="B756" s="411"/>
      <c r="C756" s="225" t="s">
        <v>84</v>
      </c>
      <c r="D756" s="227" t="s">
        <v>6329</v>
      </c>
      <c r="E756" s="226">
        <v>100000</v>
      </c>
      <c r="F756" s="43"/>
      <c r="G756" s="364"/>
      <c r="H756" s="391" t="s">
        <v>9568</v>
      </c>
    </row>
    <row r="757" spans="1:8" x14ac:dyDescent="0.3">
      <c r="A757" s="45">
        <v>44042</v>
      </c>
      <c r="B757" s="399"/>
      <c r="C757" s="5" t="s">
        <v>14</v>
      </c>
      <c r="D757" s="5" t="s">
        <v>294</v>
      </c>
      <c r="E757" s="43">
        <v>20000</v>
      </c>
      <c r="F757" s="43"/>
      <c r="G757" s="364"/>
      <c r="H757" s="391" t="s">
        <v>9568</v>
      </c>
    </row>
    <row r="758" spans="1:8" x14ac:dyDescent="0.3">
      <c r="A758" s="45">
        <v>44042</v>
      </c>
      <c r="B758" s="399"/>
      <c r="C758" s="5" t="s">
        <v>6324</v>
      </c>
      <c r="D758" s="5" t="s">
        <v>6327</v>
      </c>
      <c r="E758" s="43">
        <v>25000</v>
      </c>
      <c r="F758" s="43"/>
      <c r="G758" s="364"/>
      <c r="H758" s="391" t="s">
        <v>9568</v>
      </c>
    </row>
    <row r="759" spans="1:8" x14ac:dyDescent="0.3">
      <c r="A759" s="45">
        <v>44042</v>
      </c>
      <c r="B759" s="411"/>
      <c r="C759" s="225" t="s">
        <v>84</v>
      </c>
      <c r="D759" s="227" t="s">
        <v>6325</v>
      </c>
      <c r="E759" s="226">
        <v>3000</v>
      </c>
      <c r="F759" s="43"/>
      <c r="G759" s="364"/>
      <c r="H759" s="391" t="s">
        <v>9568</v>
      </c>
    </row>
    <row r="760" spans="1:8" x14ac:dyDescent="0.3">
      <c r="A760" s="45">
        <v>44042</v>
      </c>
      <c r="B760" s="411"/>
      <c r="C760" s="225" t="s">
        <v>84</v>
      </c>
      <c r="D760" s="227" t="s">
        <v>6326</v>
      </c>
      <c r="E760" s="226">
        <v>2000</v>
      </c>
      <c r="F760" s="43"/>
      <c r="G760" s="364"/>
      <c r="H760" s="391" t="s">
        <v>9568</v>
      </c>
    </row>
    <row r="761" spans="1:8" x14ac:dyDescent="0.3">
      <c r="A761" s="45">
        <v>44042</v>
      </c>
      <c r="B761" s="322"/>
      <c r="C761" s="44" t="s">
        <v>1837</v>
      </c>
      <c r="D761" s="124" t="s">
        <v>2080</v>
      </c>
      <c r="E761" s="28">
        <v>1000</v>
      </c>
      <c r="F761" s="28"/>
      <c r="G761" s="364"/>
      <c r="H761" s="391" t="s">
        <v>9568</v>
      </c>
    </row>
    <row r="762" spans="1:8" x14ac:dyDescent="0.3">
      <c r="A762" s="45">
        <v>44047</v>
      </c>
      <c r="B762" s="399"/>
      <c r="C762" s="5" t="s">
        <v>2570</v>
      </c>
      <c r="D762" s="5" t="s">
        <v>6332</v>
      </c>
      <c r="E762" s="43">
        <v>650</v>
      </c>
      <c r="F762" s="43"/>
      <c r="G762" s="364"/>
      <c r="H762" s="391" t="s">
        <v>9568</v>
      </c>
    </row>
    <row r="763" spans="1:8" x14ac:dyDescent="0.3">
      <c r="A763" s="45">
        <v>44047</v>
      </c>
      <c r="B763" s="399"/>
      <c r="C763" s="5" t="s">
        <v>25</v>
      </c>
      <c r="D763" s="5" t="s">
        <v>6330</v>
      </c>
      <c r="E763" s="43">
        <v>600</v>
      </c>
      <c r="F763" s="43"/>
      <c r="G763" s="364"/>
      <c r="H763" s="391" t="s">
        <v>9568</v>
      </c>
    </row>
    <row r="764" spans="1:8" x14ac:dyDescent="0.3">
      <c r="A764" s="45">
        <v>44047</v>
      </c>
      <c r="B764" s="580"/>
      <c r="C764" s="554" t="s">
        <v>6276</v>
      </c>
      <c r="D764" s="554"/>
      <c r="E764" s="554"/>
      <c r="F764" s="43">
        <v>70000</v>
      </c>
      <c r="G764" s="364"/>
      <c r="H764" s="391" t="s">
        <v>9568</v>
      </c>
    </row>
    <row r="765" spans="1:8" x14ac:dyDescent="0.3">
      <c r="A765" s="45">
        <v>44047</v>
      </c>
      <c r="B765" s="399"/>
      <c r="C765" s="5" t="s">
        <v>0</v>
      </c>
      <c r="D765" s="5" t="s">
        <v>6331</v>
      </c>
      <c r="E765" s="43">
        <v>5000</v>
      </c>
      <c r="F765" s="43"/>
      <c r="G765" s="364"/>
      <c r="H765" s="391" t="s">
        <v>9568</v>
      </c>
    </row>
    <row r="766" spans="1:8" x14ac:dyDescent="0.3">
      <c r="A766" s="45">
        <v>44047</v>
      </c>
      <c r="B766" s="399"/>
      <c r="C766" s="5" t="s">
        <v>25</v>
      </c>
      <c r="D766" s="5" t="s">
        <v>6316</v>
      </c>
      <c r="E766" s="43">
        <v>4900</v>
      </c>
      <c r="F766" s="43"/>
      <c r="G766" s="364"/>
      <c r="H766" s="391" t="s">
        <v>9568</v>
      </c>
    </row>
    <row r="767" spans="1:8" x14ac:dyDescent="0.3">
      <c r="A767" s="45">
        <v>44048</v>
      </c>
      <c r="B767" s="399"/>
      <c r="C767" s="5" t="s">
        <v>25</v>
      </c>
      <c r="D767" s="5" t="s">
        <v>6333</v>
      </c>
      <c r="E767" s="43">
        <v>350</v>
      </c>
      <c r="F767" s="43"/>
      <c r="G767" s="364"/>
      <c r="H767" s="391" t="s">
        <v>9568</v>
      </c>
    </row>
    <row r="768" spans="1:8" x14ac:dyDescent="0.3">
      <c r="A768" s="45">
        <v>44048</v>
      </c>
      <c r="B768" s="399"/>
      <c r="C768" s="5" t="s">
        <v>247</v>
      </c>
      <c r="D768" s="5" t="s">
        <v>1624</v>
      </c>
      <c r="E768" s="43">
        <v>50</v>
      </c>
      <c r="F768" s="43"/>
      <c r="G768" s="364"/>
      <c r="H768" s="391" t="s">
        <v>9568</v>
      </c>
    </row>
    <row r="769" spans="1:8" x14ac:dyDescent="0.3">
      <c r="A769" s="45">
        <v>44048</v>
      </c>
      <c r="B769" s="399"/>
      <c r="C769" s="5" t="s">
        <v>25</v>
      </c>
      <c r="D769" s="5" t="s">
        <v>6334</v>
      </c>
      <c r="E769" s="43">
        <v>2000</v>
      </c>
      <c r="F769" s="43"/>
      <c r="G769" s="364"/>
      <c r="H769" s="391" t="s">
        <v>9568</v>
      </c>
    </row>
    <row r="770" spans="1:8" x14ac:dyDescent="0.3">
      <c r="A770" s="45">
        <v>44048</v>
      </c>
      <c r="B770" s="399"/>
      <c r="C770" s="5" t="s">
        <v>1512</v>
      </c>
      <c r="D770" s="5" t="s">
        <v>6344</v>
      </c>
      <c r="E770" s="43">
        <v>6000</v>
      </c>
      <c r="F770" s="43"/>
      <c r="G770" s="364"/>
      <c r="H770" s="391" t="s">
        <v>9568</v>
      </c>
    </row>
    <row r="771" spans="1:8" x14ac:dyDescent="0.3">
      <c r="A771" s="45">
        <v>44048</v>
      </c>
      <c r="B771" s="399"/>
      <c r="C771" s="5" t="s">
        <v>6154</v>
      </c>
      <c r="D771" s="5" t="s">
        <v>2013</v>
      </c>
      <c r="E771" s="43">
        <v>100</v>
      </c>
      <c r="F771" s="43"/>
      <c r="G771" s="364"/>
      <c r="H771" s="391" t="s">
        <v>9568</v>
      </c>
    </row>
    <row r="772" spans="1:8" x14ac:dyDescent="0.3">
      <c r="A772" s="45">
        <v>44048</v>
      </c>
      <c r="B772" s="399"/>
      <c r="C772" s="5" t="s">
        <v>64</v>
      </c>
      <c r="D772" s="5" t="s">
        <v>6335</v>
      </c>
      <c r="E772" s="43">
        <v>1200</v>
      </c>
      <c r="F772" s="43"/>
      <c r="G772" s="364"/>
      <c r="H772" s="391" t="s">
        <v>9568</v>
      </c>
    </row>
    <row r="773" spans="1:8" x14ac:dyDescent="0.3">
      <c r="A773" s="45">
        <v>44049</v>
      </c>
      <c r="B773" s="399"/>
      <c r="C773" s="5" t="s">
        <v>0</v>
      </c>
      <c r="D773" s="5" t="s">
        <v>5716</v>
      </c>
      <c r="E773" s="43">
        <v>10000</v>
      </c>
      <c r="F773" s="43"/>
      <c r="G773" s="364"/>
      <c r="H773" s="391" t="s">
        <v>9568</v>
      </c>
    </row>
    <row r="774" spans="1:8" x14ac:dyDescent="0.3">
      <c r="A774" s="45">
        <v>44049</v>
      </c>
      <c r="B774" s="399"/>
      <c r="C774" s="5" t="s">
        <v>18</v>
      </c>
      <c r="D774" s="5" t="s">
        <v>6338</v>
      </c>
      <c r="E774" s="43">
        <v>5000</v>
      </c>
      <c r="F774" s="43"/>
      <c r="G774" s="364"/>
      <c r="H774" s="391" t="s">
        <v>9568</v>
      </c>
    </row>
    <row r="775" spans="1:8" x14ac:dyDescent="0.3">
      <c r="A775" s="45">
        <v>44049</v>
      </c>
      <c r="B775" s="399"/>
      <c r="C775" s="5" t="s">
        <v>14</v>
      </c>
      <c r="D775" s="5" t="s">
        <v>640</v>
      </c>
      <c r="E775" s="43">
        <v>1000</v>
      </c>
      <c r="F775" s="43"/>
      <c r="G775" s="364"/>
      <c r="H775" s="391" t="s">
        <v>9568</v>
      </c>
    </row>
    <row r="776" spans="1:8" x14ac:dyDescent="0.3">
      <c r="A776" s="45">
        <v>44053</v>
      </c>
      <c r="B776" s="399"/>
      <c r="C776" s="5" t="s">
        <v>4550</v>
      </c>
      <c r="D776" s="92" t="s">
        <v>6345</v>
      </c>
      <c r="E776" s="43">
        <v>25000</v>
      </c>
      <c r="F776" s="43"/>
      <c r="G776" s="364"/>
      <c r="H776" s="391" t="s">
        <v>9568</v>
      </c>
    </row>
    <row r="777" spans="1:8" x14ac:dyDescent="0.3">
      <c r="A777" s="45">
        <v>44053</v>
      </c>
      <c r="B777" s="399"/>
      <c r="C777" s="5" t="s">
        <v>4869</v>
      </c>
      <c r="D777" s="5" t="s">
        <v>40</v>
      </c>
      <c r="E777" s="43">
        <v>4000</v>
      </c>
      <c r="F777" s="43"/>
      <c r="G777" s="364"/>
      <c r="H777" s="391" t="s">
        <v>9568</v>
      </c>
    </row>
    <row r="778" spans="1:8" x14ac:dyDescent="0.3">
      <c r="A778" s="45">
        <v>44053</v>
      </c>
      <c r="B778" s="580"/>
      <c r="C778" s="554" t="s">
        <v>6339</v>
      </c>
      <c r="D778" s="554"/>
      <c r="E778" s="554"/>
      <c r="F778" s="43">
        <v>288750</v>
      </c>
      <c r="G778" s="364"/>
      <c r="H778" s="391" t="s">
        <v>9568</v>
      </c>
    </row>
    <row r="779" spans="1:8" x14ac:dyDescent="0.3">
      <c r="A779" s="45">
        <v>44053</v>
      </c>
      <c r="B779" s="580"/>
      <c r="C779" s="554" t="s">
        <v>6340</v>
      </c>
      <c r="D779" s="554"/>
      <c r="E779" s="554"/>
      <c r="F779" s="43">
        <v>130745</v>
      </c>
      <c r="G779" s="364"/>
      <c r="H779" s="391" t="s">
        <v>9568</v>
      </c>
    </row>
    <row r="780" spans="1:8" x14ac:dyDescent="0.3">
      <c r="A780" s="45">
        <v>44054</v>
      </c>
      <c r="C780" s="4" t="s">
        <v>14</v>
      </c>
      <c r="D780" s="4" t="s">
        <v>6347</v>
      </c>
      <c r="E780" s="52">
        <v>70000</v>
      </c>
      <c r="G780" s="364"/>
      <c r="H780" s="391" t="s">
        <v>9568</v>
      </c>
    </row>
    <row r="781" spans="1:8" x14ac:dyDescent="0.3">
      <c r="A781" s="45">
        <v>44054</v>
      </c>
      <c r="B781" s="404"/>
      <c r="C781" s="41" t="s">
        <v>6341</v>
      </c>
      <c r="D781" s="41" t="s">
        <v>294</v>
      </c>
      <c r="E781" s="42">
        <v>15000</v>
      </c>
      <c r="F781" s="43"/>
      <c r="G781" s="364"/>
      <c r="H781" s="391" t="s">
        <v>9568</v>
      </c>
    </row>
    <row r="782" spans="1:8" x14ac:dyDescent="0.3">
      <c r="A782" s="45">
        <v>44054</v>
      </c>
      <c r="B782" s="399"/>
      <c r="C782" s="5" t="s">
        <v>25</v>
      </c>
      <c r="D782" s="5" t="s">
        <v>6342</v>
      </c>
      <c r="E782" s="43">
        <v>1500</v>
      </c>
      <c r="F782" s="43"/>
      <c r="G782" s="364"/>
      <c r="H782" s="391" t="s">
        <v>9568</v>
      </c>
    </row>
    <row r="783" spans="1:8" x14ac:dyDescent="0.3">
      <c r="A783" s="45">
        <v>44054</v>
      </c>
      <c r="B783" s="404"/>
      <c r="C783" s="41" t="s">
        <v>6341</v>
      </c>
      <c r="D783" s="41" t="s">
        <v>6343</v>
      </c>
      <c r="E783" s="42">
        <v>3000</v>
      </c>
      <c r="F783" s="43"/>
      <c r="G783" s="364"/>
      <c r="H783" s="391" t="s">
        <v>9568</v>
      </c>
    </row>
    <row r="784" spans="1:8" x14ac:dyDescent="0.3">
      <c r="A784" s="45">
        <v>44055</v>
      </c>
      <c r="B784" s="580"/>
      <c r="C784" s="554" t="s">
        <v>6257</v>
      </c>
      <c r="D784" s="554"/>
      <c r="E784" s="554"/>
      <c r="F784" s="43">
        <v>400000</v>
      </c>
      <c r="G784" s="364"/>
      <c r="H784" s="391" t="s">
        <v>9568</v>
      </c>
    </row>
    <row r="785" spans="1:8" x14ac:dyDescent="0.3">
      <c r="A785" s="45">
        <v>44055</v>
      </c>
      <c r="B785" s="410"/>
      <c r="C785" s="223" t="s">
        <v>54</v>
      </c>
      <c r="D785" s="223" t="s">
        <v>14</v>
      </c>
      <c r="E785" s="224">
        <v>50000</v>
      </c>
      <c r="F785" s="43"/>
      <c r="G785" s="364"/>
      <c r="H785" s="391" t="s">
        <v>9568</v>
      </c>
    </row>
    <row r="786" spans="1:8" x14ac:dyDescent="0.3">
      <c r="A786" s="45">
        <v>44055</v>
      </c>
      <c r="B786" s="410"/>
      <c r="C786" s="223" t="s">
        <v>54</v>
      </c>
      <c r="D786" s="223" t="s">
        <v>25</v>
      </c>
      <c r="E786" s="224">
        <v>66000</v>
      </c>
      <c r="F786" s="43"/>
      <c r="G786" s="364"/>
      <c r="H786" s="391" t="s">
        <v>9568</v>
      </c>
    </row>
    <row r="787" spans="1:8" x14ac:dyDescent="0.3">
      <c r="A787" s="45">
        <v>44055</v>
      </c>
      <c r="B787" s="410"/>
      <c r="C787" s="223" t="s">
        <v>54</v>
      </c>
      <c r="D787" s="223" t="s">
        <v>5931</v>
      </c>
      <c r="E787" s="224">
        <v>32250</v>
      </c>
      <c r="F787" s="43"/>
      <c r="G787" s="364"/>
      <c r="H787" s="391" t="s">
        <v>9568</v>
      </c>
    </row>
    <row r="788" spans="1:8" x14ac:dyDescent="0.3">
      <c r="A788" s="45">
        <v>44055</v>
      </c>
      <c r="B788" s="410"/>
      <c r="C788" s="223" t="s">
        <v>54</v>
      </c>
      <c r="D788" s="223" t="s">
        <v>5074</v>
      </c>
      <c r="E788" s="224">
        <v>30919.354838709678</v>
      </c>
      <c r="F788" s="43"/>
      <c r="G788" s="364"/>
      <c r="H788" s="391" t="s">
        <v>9568</v>
      </c>
    </row>
    <row r="789" spans="1:8" x14ac:dyDescent="0.3">
      <c r="A789" s="45">
        <v>44055</v>
      </c>
      <c r="B789" s="410"/>
      <c r="C789" s="223" t="s">
        <v>54</v>
      </c>
      <c r="D789" s="223" t="s">
        <v>6237</v>
      </c>
      <c r="E789" s="224">
        <v>169629</v>
      </c>
      <c r="F789" s="43"/>
      <c r="G789" s="364"/>
      <c r="H789" s="391" t="s">
        <v>9568</v>
      </c>
    </row>
    <row r="790" spans="1:8" x14ac:dyDescent="0.3">
      <c r="A790" s="45">
        <v>44055</v>
      </c>
      <c r="B790" s="410"/>
      <c r="C790" s="223" t="s">
        <v>54</v>
      </c>
      <c r="D790" s="223" t="s">
        <v>5199</v>
      </c>
      <c r="E790" s="224">
        <v>105737.90322580645</v>
      </c>
      <c r="F790" s="43"/>
      <c r="G790" s="364"/>
      <c r="H790" s="391" t="s">
        <v>9568</v>
      </c>
    </row>
    <row r="791" spans="1:8" x14ac:dyDescent="0.3">
      <c r="A791" s="45">
        <v>44055</v>
      </c>
      <c r="B791" s="410"/>
      <c r="C791" s="223" t="s">
        <v>54</v>
      </c>
      <c r="D791" s="223" t="s">
        <v>5933</v>
      </c>
      <c r="E791" s="224">
        <v>92983.870967741939</v>
      </c>
      <c r="F791" s="43"/>
      <c r="G791" s="364"/>
      <c r="H791" s="391" t="s">
        <v>9568</v>
      </c>
    </row>
    <row r="792" spans="1:8" x14ac:dyDescent="0.3">
      <c r="A792" s="45">
        <v>44055</v>
      </c>
      <c r="B792" s="410"/>
      <c r="C792" s="223" t="s">
        <v>54</v>
      </c>
      <c r="D792" s="223" t="s">
        <v>2948</v>
      </c>
      <c r="E792" s="224">
        <v>31726</v>
      </c>
      <c r="F792" s="43"/>
      <c r="G792" s="364"/>
      <c r="H792" s="391" t="s">
        <v>9568</v>
      </c>
    </row>
    <row r="793" spans="1:8" x14ac:dyDescent="0.3">
      <c r="A793" s="45">
        <v>44055</v>
      </c>
      <c r="B793" s="410"/>
      <c r="C793" s="223" t="s">
        <v>54</v>
      </c>
      <c r="D793" s="223" t="s">
        <v>6346</v>
      </c>
      <c r="E793" s="224">
        <f>138115-50000</f>
        <v>88115</v>
      </c>
      <c r="F793" s="43"/>
      <c r="G793" s="364"/>
      <c r="H793" s="391" t="s">
        <v>9568</v>
      </c>
    </row>
    <row r="794" spans="1:8" x14ac:dyDescent="0.3">
      <c r="A794" s="45">
        <v>44055</v>
      </c>
      <c r="B794" s="399"/>
      <c r="C794" s="5" t="s">
        <v>14</v>
      </c>
      <c r="D794" s="5" t="s">
        <v>6347</v>
      </c>
      <c r="E794" s="43">
        <v>50000</v>
      </c>
      <c r="F794" s="43"/>
      <c r="G794" s="364"/>
      <c r="H794" s="391" t="s">
        <v>9568</v>
      </c>
    </row>
    <row r="795" spans="1:8" x14ac:dyDescent="0.3">
      <c r="A795" s="45">
        <v>44055</v>
      </c>
      <c r="B795" s="399"/>
      <c r="C795" s="5" t="s">
        <v>10</v>
      </c>
      <c r="D795" s="5" t="s">
        <v>6348</v>
      </c>
      <c r="E795" s="43">
        <v>2000</v>
      </c>
      <c r="F795" s="43"/>
      <c r="G795" s="364"/>
      <c r="H795" s="391" t="s">
        <v>9568</v>
      </c>
    </row>
    <row r="796" spans="1:8" x14ac:dyDescent="0.3">
      <c r="A796" s="45">
        <v>44055</v>
      </c>
      <c r="B796" s="399"/>
      <c r="C796" s="5" t="s">
        <v>25</v>
      </c>
      <c r="D796" s="5" t="s">
        <v>6349</v>
      </c>
      <c r="E796" s="43">
        <v>430</v>
      </c>
      <c r="F796" s="43"/>
      <c r="G796" s="364"/>
      <c r="H796" s="391" t="s">
        <v>9568</v>
      </c>
    </row>
    <row r="797" spans="1:8" x14ac:dyDescent="0.3">
      <c r="A797" s="45">
        <v>44055</v>
      </c>
      <c r="B797" s="399"/>
      <c r="C797" s="5" t="s">
        <v>25</v>
      </c>
      <c r="D797" s="5" t="s">
        <v>2025</v>
      </c>
      <c r="E797" s="43">
        <v>70</v>
      </c>
      <c r="F797" s="43"/>
      <c r="G797" s="364"/>
      <c r="H797" s="391" t="s">
        <v>9568</v>
      </c>
    </row>
    <row r="798" spans="1:8" x14ac:dyDescent="0.3">
      <c r="A798" s="45">
        <v>44055</v>
      </c>
      <c r="B798" s="399"/>
      <c r="C798" s="5" t="s">
        <v>47</v>
      </c>
      <c r="D798" s="5" t="s">
        <v>6350</v>
      </c>
      <c r="E798" s="43">
        <v>5000</v>
      </c>
      <c r="F798" s="43"/>
      <c r="G798" s="364"/>
      <c r="H798" s="391" t="s">
        <v>9568</v>
      </c>
    </row>
    <row r="799" spans="1:8" x14ac:dyDescent="0.3">
      <c r="A799" s="45">
        <v>44055</v>
      </c>
      <c r="B799" s="399"/>
      <c r="C799" s="5" t="s">
        <v>25</v>
      </c>
      <c r="D799" s="5" t="s">
        <v>6351</v>
      </c>
      <c r="E799" s="43">
        <v>2000</v>
      </c>
      <c r="F799" s="43"/>
      <c r="G799" s="364"/>
      <c r="H799" s="391" t="s">
        <v>9568</v>
      </c>
    </row>
    <row r="800" spans="1:8" x14ac:dyDescent="0.3">
      <c r="A800" s="45">
        <v>44058</v>
      </c>
      <c r="B800" s="399"/>
      <c r="C800" s="5" t="s">
        <v>6352</v>
      </c>
      <c r="D800" s="5" t="s">
        <v>6353</v>
      </c>
      <c r="E800" s="43">
        <v>5000</v>
      </c>
      <c r="F800" s="43"/>
      <c r="G800" s="364"/>
      <c r="H800" s="391" t="s">
        <v>9568</v>
      </c>
    </row>
    <row r="801" spans="1:8" x14ac:dyDescent="0.3">
      <c r="A801" s="45">
        <v>44058</v>
      </c>
      <c r="B801" s="399"/>
      <c r="C801" s="5" t="s">
        <v>4550</v>
      </c>
      <c r="D801" s="5" t="s">
        <v>6354</v>
      </c>
      <c r="E801" s="43">
        <v>5000</v>
      </c>
      <c r="F801" s="43"/>
      <c r="G801" s="364"/>
      <c r="H801" s="391" t="s">
        <v>9568</v>
      </c>
    </row>
    <row r="802" spans="1:8" x14ac:dyDescent="0.3">
      <c r="A802" s="45">
        <v>44058</v>
      </c>
      <c r="B802" s="399"/>
      <c r="C802" s="5" t="s">
        <v>5162</v>
      </c>
      <c r="D802" s="5" t="s">
        <v>4376</v>
      </c>
      <c r="E802" s="43">
        <v>600</v>
      </c>
      <c r="F802" s="43"/>
      <c r="G802" s="364"/>
      <c r="H802" s="391" t="s">
        <v>9568</v>
      </c>
    </row>
    <row r="803" spans="1:8" x14ac:dyDescent="0.3">
      <c r="A803" s="45">
        <v>44060</v>
      </c>
      <c r="B803" s="399"/>
      <c r="C803" s="5" t="s">
        <v>6355</v>
      </c>
      <c r="D803" s="41" t="s">
        <v>3172</v>
      </c>
      <c r="E803" s="42">
        <v>1000</v>
      </c>
      <c r="F803" s="43"/>
      <c r="G803" s="364"/>
      <c r="H803" s="391" t="s">
        <v>9568</v>
      </c>
    </row>
    <row r="804" spans="1:8" x14ac:dyDescent="0.3">
      <c r="A804" s="45">
        <v>44060</v>
      </c>
      <c r="B804" s="399"/>
      <c r="C804" s="5" t="s">
        <v>5930</v>
      </c>
      <c r="D804" s="5" t="s">
        <v>40</v>
      </c>
      <c r="E804" s="43">
        <v>5200</v>
      </c>
      <c r="F804" s="43"/>
      <c r="G804" s="364"/>
      <c r="H804" s="391" t="s">
        <v>9568</v>
      </c>
    </row>
    <row r="805" spans="1:8" x14ac:dyDescent="0.3">
      <c r="A805" s="45">
        <v>44060</v>
      </c>
      <c r="B805" s="399"/>
      <c r="C805" s="5" t="s">
        <v>1074</v>
      </c>
      <c r="D805" s="5" t="s">
        <v>6356</v>
      </c>
      <c r="E805" s="43">
        <f>1790+910</f>
        <v>2700</v>
      </c>
      <c r="F805" s="43"/>
      <c r="G805" s="364"/>
      <c r="H805" s="391" t="s">
        <v>9568</v>
      </c>
    </row>
    <row r="806" spans="1:8" x14ac:dyDescent="0.3">
      <c r="A806" s="45">
        <v>44060</v>
      </c>
      <c r="B806" s="399"/>
      <c r="C806" s="5" t="s">
        <v>1074</v>
      </c>
      <c r="D806" s="5" t="s">
        <v>6065</v>
      </c>
      <c r="E806" s="43">
        <f>3890+1320</f>
        <v>5210</v>
      </c>
      <c r="F806" s="43"/>
      <c r="G806" s="364"/>
      <c r="H806" s="391" t="s">
        <v>9568</v>
      </c>
    </row>
    <row r="807" spans="1:8" x14ac:dyDescent="0.3">
      <c r="A807" s="45">
        <v>44060</v>
      </c>
      <c r="B807" s="580"/>
      <c r="C807" s="554" t="s">
        <v>6357</v>
      </c>
      <c r="D807" s="554"/>
      <c r="E807" s="554"/>
      <c r="F807" s="43">
        <v>300000</v>
      </c>
      <c r="G807" s="364"/>
      <c r="H807" s="391" t="s">
        <v>9568</v>
      </c>
    </row>
    <row r="808" spans="1:8" x14ac:dyDescent="0.3">
      <c r="A808" s="45">
        <v>44060</v>
      </c>
      <c r="B808" s="399"/>
      <c r="C808" s="5" t="s">
        <v>110</v>
      </c>
      <c r="D808" s="5" t="s">
        <v>6358</v>
      </c>
      <c r="E808" s="43">
        <v>23150</v>
      </c>
      <c r="F808" s="43"/>
      <c r="G808" s="364"/>
      <c r="H808" s="391" t="s">
        <v>9568</v>
      </c>
    </row>
    <row r="809" spans="1:8" ht="37.5" x14ac:dyDescent="0.3">
      <c r="A809" s="45">
        <v>44060</v>
      </c>
      <c r="B809" s="399"/>
      <c r="C809" s="5" t="s">
        <v>541</v>
      </c>
      <c r="D809" s="92" t="s">
        <v>6367</v>
      </c>
      <c r="E809" s="43">
        <v>25000</v>
      </c>
      <c r="F809" s="43"/>
      <c r="G809" s="364"/>
      <c r="H809" s="391" t="s">
        <v>9568</v>
      </c>
    </row>
    <row r="810" spans="1:8" x14ac:dyDescent="0.3">
      <c r="A810" s="45">
        <v>44060</v>
      </c>
      <c r="B810" s="399"/>
      <c r="C810" s="5" t="s">
        <v>25</v>
      </c>
      <c r="D810" s="5" t="s">
        <v>6359</v>
      </c>
      <c r="E810" s="43">
        <v>5140</v>
      </c>
      <c r="F810" s="43"/>
      <c r="G810" s="364"/>
      <c r="H810" s="391" t="s">
        <v>9568</v>
      </c>
    </row>
    <row r="811" spans="1:8" x14ac:dyDescent="0.3">
      <c r="A811" s="45">
        <v>44061</v>
      </c>
      <c r="B811" s="399"/>
      <c r="C811" s="5" t="s">
        <v>6355</v>
      </c>
      <c r="D811" s="5" t="s">
        <v>6360</v>
      </c>
      <c r="E811" s="43">
        <v>500</v>
      </c>
      <c r="F811" s="43"/>
      <c r="G811" s="364"/>
      <c r="H811" s="391" t="s">
        <v>9568</v>
      </c>
    </row>
    <row r="812" spans="1:8" x14ac:dyDescent="0.3">
      <c r="A812" s="45">
        <v>44061</v>
      </c>
      <c r="B812" s="399"/>
      <c r="C812" s="5" t="s">
        <v>25</v>
      </c>
      <c r="D812" s="5" t="s">
        <v>6361</v>
      </c>
      <c r="E812" s="43">
        <f>170+100+20+20+150+160+80+50+50+80+150+80+330+270+140+160+40+100+80+30+100+100+150</f>
        <v>2610</v>
      </c>
      <c r="F812" s="43"/>
      <c r="G812" s="364"/>
      <c r="H812" s="391" t="s">
        <v>9568</v>
      </c>
    </row>
    <row r="813" spans="1:8" x14ac:dyDescent="0.3">
      <c r="A813" s="45">
        <v>44061</v>
      </c>
      <c r="B813" s="399"/>
      <c r="C813" s="5" t="s">
        <v>25</v>
      </c>
      <c r="D813" s="5" t="s">
        <v>6362</v>
      </c>
      <c r="E813" s="43">
        <v>5000</v>
      </c>
      <c r="F813" s="43"/>
      <c r="G813" s="364"/>
      <c r="H813" s="391" t="s">
        <v>9568</v>
      </c>
    </row>
    <row r="814" spans="1:8" x14ac:dyDescent="0.3">
      <c r="A814" s="45">
        <v>44061</v>
      </c>
      <c r="B814" s="399"/>
      <c r="C814" s="5" t="s">
        <v>14</v>
      </c>
      <c r="D814" s="5" t="s">
        <v>294</v>
      </c>
      <c r="E814" s="43">
        <v>100000</v>
      </c>
      <c r="F814" s="43"/>
      <c r="G814" s="364"/>
      <c r="H814" s="391" t="s">
        <v>9568</v>
      </c>
    </row>
    <row r="815" spans="1:8" x14ac:dyDescent="0.3">
      <c r="A815" s="45">
        <v>44061</v>
      </c>
      <c r="B815" s="399"/>
      <c r="C815" s="5" t="s">
        <v>247</v>
      </c>
      <c r="D815" s="5" t="s">
        <v>6363</v>
      </c>
      <c r="E815" s="43">
        <v>2700</v>
      </c>
      <c r="F815" s="43"/>
      <c r="G815" s="364"/>
      <c r="H815" s="391" t="s">
        <v>9568</v>
      </c>
    </row>
    <row r="816" spans="1:8" x14ac:dyDescent="0.3">
      <c r="A816" s="45">
        <v>44061</v>
      </c>
      <c r="B816" s="399"/>
      <c r="C816" s="5" t="s">
        <v>247</v>
      </c>
      <c r="D816" s="5" t="s">
        <v>6364</v>
      </c>
      <c r="E816" s="43">
        <v>600</v>
      </c>
      <c r="F816" s="43"/>
      <c r="G816" s="364"/>
      <c r="H816" s="391" t="s">
        <v>9568</v>
      </c>
    </row>
    <row r="817" spans="1:8" x14ac:dyDescent="0.3">
      <c r="A817" s="45">
        <v>44061</v>
      </c>
      <c r="B817" s="399"/>
      <c r="C817" s="5" t="s">
        <v>247</v>
      </c>
      <c r="D817" s="5" t="s">
        <v>6364</v>
      </c>
      <c r="E817" s="43">
        <v>650</v>
      </c>
      <c r="F817" s="43"/>
      <c r="G817" s="364"/>
      <c r="H817" s="391" t="s">
        <v>9568</v>
      </c>
    </row>
    <row r="818" spans="1:8" x14ac:dyDescent="0.3">
      <c r="A818" s="45">
        <v>44061</v>
      </c>
      <c r="B818" s="399"/>
      <c r="C818" s="5" t="s">
        <v>247</v>
      </c>
      <c r="D818" s="5" t="s">
        <v>6364</v>
      </c>
      <c r="E818" s="43">
        <v>200</v>
      </c>
      <c r="F818" s="43"/>
      <c r="G818" s="364"/>
      <c r="H818" s="391" t="s">
        <v>9568</v>
      </c>
    </row>
    <row r="819" spans="1:8" x14ac:dyDescent="0.3">
      <c r="A819" s="45">
        <v>44061</v>
      </c>
      <c r="B819" s="399"/>
      <c r="C819" s="5" t="s">
        <v>247</v>
      </c>
      <c r="D819" s="5" t="s">
        <v>6363</v>
      </c>
      <c r="E819" s="43">
        <v>150</v>
      </c>
      <c r="F819" s="43"/>
      <c r="G819" s="364"/>
      <c r="H819" s="391" t="s">
        <v>9568</v>
      </c>
    </row>
    <row r="820" spans="1:8" x14ac:dyDescent="0.3">
      <c r="A820" s="45">
        <v>44061</v>
      </c>
      <c r="B820" s="410"/>
      <c r="C820" s="223" t="s">
        <v>54</v>
      </c>
      <c r="D820" s="223" t="s">
        <v>6199</v>
      </c>
      <c r="E820" s="224">
        <v>30000</v>
      </c>
      <c r="F820" s="43"/>
      <c r="G820" s="364"/>
      <c r="H820" s="391" t="s">
        <v>9568</v>
      </c>
    </row>
    <row r="821" spans="1:8" x14ac:dyDescent="0.3">
      <c r="A821" s="45">
        <v>44061</v>
      </c>
      <c r="B821" s="410"/>
      <c r="C821" s="223" t="s">
        <v>54</v>
      </c>
      <c r="D821" s="223" t="s">
        <v>6190</v>
      </c>
      <c r="E821" s="224">
        <v>30000</v>
      </c>
      <c r="F821" s="43"/>
      <c r="G821" s="364"/>
      <c r="H821" s="391" t="s">
        <v>9568</v>
      </c>
    </row>
    <row r="822" spans="1:8" x14ac:dyDescent="0.3">
      <c r="A822" s="45">
        <v>44061</v>
      </c>
      <c r="B822" s="410"/>
      <c r="C822" s="223" t="s">
        <v>54</v>
      </c>
      <c r="D822" s="223" t="s">
        <v>6265</v>
      </c>
      <c r="E822" s="224">
        <v>26500</v>
      </c>
      <c r="F822" s="43"/>
      <c r="G822" s="364"/>
      <c r="H822" s="391" t="s">
        <v>9568</v>
      </c>
    </row>
    <row r="823" spans="1:8" x14ac:dyDescent="0.3">
      <c r="A823" s="45">
        <v>44061</v>
      </c>
      <c r="B823" s="410"/>
      <c r="C823" s="223" t="s">
        <v>54</v>
      </c>
      <c r="D823" s="223" t="s">
        <v>6266</v>
      </c>
      <c r="E823" s="224">
        <v>13550</v>
      </c>
      <c r="F823" s="43"/>
      <c r="G823" s="364"/>
      <c r="H823" s="391" t="s">
        <v>9568</v>
      </c>
    </row>
    <row r="824" spans="1:8" x14ac:dyDescent="0.3">
      <c r="A824" s="45">
        <v>44061</v>
      </c>
      <c r="B824" s="410"/>
      <c r="C824" s="223" t="s">
        <v>54</v>
      </c>
      <c r="D824" s="5" t="s">
        <v>6366</v>
      </c>
      <c r="E824" s="43">
        <v>500</v>
      </c>
      <c r="F824" s="43"/>
      <c r="G824" s="364"/>
      <c r="H824" s="391" t="s">
        <v>9568</v>
      </c>
    </row>
    <row r="825" spans="1:8" x14ac:dyDescent="0.3">
      <c r="A825" s="45">
        <v>44061</v>
      </c>
      <c r="B825" s="399"/>
      <c r="C825" s="5" t="s">
        <v>2674</v>
      </c>
      <c r="D825" s="5" t="s">
        <v>294</v>
      </c>
      <c r="E825" s="43">
        <v>2000</v>
      </c>
      <c r="F825" s="43"/>
      <c r="G825" s="364"/>
      <c r="H825" s="391" t="s">
        <v>9568</v>
      </c>
    </row>
    <row r="826" spans="1:8" x14ac:dyDescent="0.3">
      <c r="A826" s="45">
        <v>44063</v>
      </c>
      <c r="B826" s="399"/>
      <c r="C826" s="5" t="s">
        <v>84</v>
      </c>
      <c r="D826" s="5" t="s">
        <v>6368</v>
      </c>
      <c r="E826" s="43">
        <v>25000</v>
      </c>
      <c r="F826" s="43"/>
      <c r="G826" s="364"/>
      <c r="H826" s="391" t="s">
        <v>9568</v>
      </c>
    </row>
    <row r="827" spans="1:8" x14ac:dyDescent="0.3">
      <c r="A827" s="45">
        <v>44063</v>
      </c>
      <c r="B827" s="399"/>
      <c r="C827" s="5" t="s">
        <v>25</v>
      </c>
      <c r="D827" s="5" t="s">
        <v>6369</v>
      </c>
      <c r="E827" s="43">
        <f>4163-1065</f>
        <v>3098</v>
      </c>
      <c r="F827" s="43"/>
      <c r="G827" s="364"/>
      <c r="H827" s="391" t="s">
        <v>9568</v>
      </c>
    </row>
    <row r="828" spans="1:8" x14ac:dyDescent="0.3">
      <c r="A828" s="45">
        <v>44064</v>
      </c>
      <c r="B828" s="399"/>
      <c r="C828" s="5" t="s">
        <v>6355</v>
      </c>
      <c r="D828" s="5" t="s">
        <v>6370</v>
      </c>
      <c r="E828" s="43">
        <v>580</v>
      </c>
      <c r="F828" s="43"/>
      <c r="G828" s="364"/>
      <c r="H828" s="391" t="s">
        <v>9568</v>
      </c>
    </row>
    <row r="829" spans="1:8" x14ac:dyDescent="0.3">
      <c r="A829" s="45">
        <v>44064</v>
      </c>
      <c r="B829" s="399"/>
      <c r="C829" s="5" t="s">
        <v>1012</v>
      </c>
      <c r="D829" s="5" t="s">
        <v>6371</v>
      </c>
      <c r="E829" s="43">
        <v>500</v>
      </c>
      <c r="F829" s="43"/>
      <c r="G829" s="364"/>
      <c r="H829" s="391" t="s">
        <v>9568</v>
      </c>
    </row>
    <row r="830" spans="1:8" x14ac:dyDescent="0.3">
      <c r="A830" s="45">
        <v>44064</v>
      </c>
      <c r="B830" s="399"/>
      <c r="C830" s="5" t="s">
        <v>25</v>
      </c>
      <c r="D830" s="5" t="s">
        <v>6361</v>
      </c>
      <c r="E830" s="43">
        <f>300+40+80+110+260+100+80+60+200+100+120+300+350+250</f>
        <v>2350</v>
      </c>
      <c r="F830" s="43"/>
      <c r="G830" s="364"/>
      <c r="H830" s="391" t="s">
        <v>9568</v>
      </c>
    </row>
    <row r="831" spans="1:8" x14ac:dyDescent="0.3">
      <c r="A831" s="45">
        <v>44064</v>
      </c>
      <c r="B831" s="399"/>
      <c r="C831" s="5" t="s">
        <v>247</v>
      </c>
      <c r="D831" s="5" t="s">
        <v>2013</v>
      </c>
      <c r="E831" s="43">
        <v>50</v>
      </c>
      <c r="F831" s="43"/>
      <c r="G831" s="364"/>
      <c r="H831" s="391" t="s">
        <v>9568</v>
      </c>
    </row>
    <row r="832" spans="1:8" x14ac:dyDescent="0.3">
      <c r="A832" s="45">
        <v>44064</v>
      </c>
      <c r="B832" s="580"/>
      <c r="C832" s="554" t="s">
        <v>6257</v>
      </c>
      <c r="D832" s="554"/>
      <c r="E832" s="554"/>
      <c r="F832" s="43">
        <v>100000</v>
      </c>
      <c r="G832" s="364"/>
      <c r="H832" s="391" t="s">
        <v>9568</v>
      </c>
    </row>
    <row r="833" spans="1:8" x14ac:dyDescent="0.3">
      <c r="A833" s="45">
        <v>44064</v>
      </c>
      <c r="B833" s="399"/>
      <c r="C833" s="5" t="s">
        <v>2348</v>
      </c>
      <c r="D833" s="5" t="s">
        <v>6372</v>
      </c>
      <c r="E833" s="43">
        <v>20000</v>
      </c>
      <c r="F833" s="43"/>
      <c r="G833" s="364"/>
      <c r="H833" s="391" t="s">
        <v>9568</v>
      </c>
    </row>
    <row r="834" spans="1:8" x14ac:dyDescent="0.3">
      <c r="A834" s="45">
        <v>44065</v>
      </c>
      <c r="B834" s="399"/>
      <c r="C834" s="5" t="s">
        <v>84</v>
      </c>
      <c r="D834" s="5" t="s">
        <v>6373</v>
      </c>
      <c r="E834" s="43">
        <v>15000</v>
      </c>
      <c r="F834" s="43"/>
      <c r="G834" s="364"/>
      <c r="H834" s="391" t="s">
        <v>9568</v>
      </c>
    </row>
    <row r="835" spans="1:8" x14ac:dyDescent="0.3">
      <c r="A835" s="45">
        <v>44065</v>
      </c>
      <c r="B835" s="399"/>
      <c r="C835" s="5" t="s">
        <v>14</v>
      </c>
      <c r="D835" s="5" t="s">
        <v>294</v>
      </c>
      <c r="E835" s="43">
        <v>10000</v>
      </c>
      <c r="F835" s="43"/>
      <c r="G835" s="364"/>
      <c r="H835" s="391" t="s">
        <v>9568</v>
      </c>
    </row>
    <row r="836" spans="1:8" x14ac:dyDescent="0.3">
      <c r="A836" s="45">
        <v>44067</v>
      </c>
      <c r="B836" s="399"/>
      <c r="C836" s="5" t="s">
        <v>1074</v>
      </c>
      <c r="D836" s="5" t="s">
        <v>6374</v>
      </c>
      <c r="E836" s="43">
        <v>47067</v>
      </c>
      <c r="F836" s="43"/>
      <c r="G836" s="364"/>
      <c r="H836" s="391" t="s">
        <v>9568</v>
      </c>
    </row>
    <row r="837" spans="1:8" x14ac:dyDescent="0.3">
      <c r="A837" s="45">
        <v>44067</v>
      </c>
      <c r="B837" s="399"/>
      <c r="C837" s="5" t="s">
        <v>5709</v>
      </c>
      <c r="D837" s="5" t="s">
        <v>6375</v>
      </c>
      <c r="E837" s="43">
        <v>200</v>
      </c>
      <c r="F837" s="43"/>
      <c r="G837" s="364"/>
      <c r="H837" s="391" t="s">
        <v>9568</v>
      </c>
    </row>
    <row r="838" spans="1:8" x14ac:dyDescent="0.3">
      <c r="A838" s="45">
        <v>44067</v>
      </c>
      <c r="B838" s="399"/>
      <c r="C838" s="5" t="s">
        <v>6341</v>
      </c>
      <c r="D838" s="5" t="s">
        <v>6376</v>
      </c>
      <c r="E838" s="43">
        <v>4500</v>
      </c>
      <c r="F838" s="43"/>
      <c r="G838" s="364"/>
      <c r="H838" s="391" t="s">
        <v>9568</v>
      </c>
    </row>
    <row r="839" spans="1:8" x14ac:dyDescent="0.3">
      <c r="A839" s="45">
        <v>44069</v>
      </c>
      <c r="B839" s="399"/>
      <c r="C839" s="5"/>
      <c r="D839" s="41" t="s">
        <v>6365</v>
      </c>
      <c r="E839" s="42">
        <v>700</v>
      </c>
      <c r="F839" s="43"/>
      <c r="G839" s="364"/>
      <c r="H839" s="391" t="s">
        <v>9568</v>
      </c>
    </row>
    <row r="840" spans="1:8" x14ac:dyDescent="0.3">
      <c r="A840" s="45">
        <v>44069</v>
      </c>
      <c r="B840" s="399"/>
      <c r="C840" s="5" t="s">
        <v>541</v>
      </c>
      <c r="D840" s="5" t="s">
        <v>640</v>
      </c>
      <c r="E840" s="43">
        <v>5000</v>
      </c>
      <c r="F840" s="43"/>
      <c r="G840" s="364"/>
      <c r="H840" s="391" t="s">
        <v>9568</v>
      </c>
    </row>
    <row r="841" spans="1:8" x14ac:dyDescent="0.3">
      <c r="A841" s="45">
        <v>44074</v>
      </c>
      <c r="B841" s="399"/>
      <c r="C841" s="5" t="s">
        <v>25</v>
      </c>
      <c r="D841" s="5" t="s">
        <v>6361</v>
      </c>
      <c r="E841" s="43">
        <f>300+150+220+20+100+40+100+100+100+100+20+300+330</f>
        <v>1880</v>
      </c>
      <c r="F841" s="43"/>
      <c r="G841" s="364"/>
      <c r="H841" s="391" t="s">
        <v>9568</v>
      </c>
    </row>
    <row r="842" spans="1:8" x14ac:dyDescent="0.3">
      <c r="A842" s="45">
        <v>44074</v>
      </c>
      <c r="B842" s="580"/>
      <c r="C842" s="554" t="s">
        <v>6249</v>
      </c>
      <c r="D842" s="554"/>
      <c r="E842" s="554"/>
      <c r="F842" s="43">
        <v>500000</v>
      </c>
      <c r="G842" s="364"/>
      <c r="H842" s="391" t="s">
        <v>9568</v>
      </c>
    </row>
    <row r="843" spans="1:8" x14ac:dyDescent="0.3">
      <c r="A843" s="45">
        <v>44074</v>
      </c>
      <c r="B843" s="399"/>
      <c r="C843" s="5" t="s">
        <v>2348</v>
      </c>
      <c r="D843" s="5" t="s">
        <v>5519</v>
      </c>
      <c r="E843" s="43">
        <v>25000</v>
      </c>
      <c r="F843" s="43"/>
      <c r="G843" s="364"/>
      <c r="H843" s="391" t="s">
        <v>9568</v>
      </c>
    </row>
    <row r="844" spans="1:8" x14ac:dyDescent="0.3">
      <c r="A844" s="45">
        <v>44074</v>
      </c>
      <c r="B844" s="399"/>
      <c r="C844" s="5" t="s">
        <v>5665</v>
      </c>
      <c r="D844" s="5" t="s">
        <v>6377</v>
      </c>
      <c r="E844" s="43">
        <v>25000</v>
      </c>
      <c r="F844" s="43"/>
      <c r="G844" s="364"/>
      <c r="H844" s="391" t="s">
        <v>9568</v>
      </c>
    </row>
    <row r="845" spans="1:8" x14ac:dyDescent="0.3">
      <c r="A845" s="45">
        <v>44074</v>
      </c>
      <c r="B845" s="399"/>
      <c r="C845" s="5" t="s">
        <v>541</v>
      </c>
      <c r="D845" s="5" t="s">
        <v>294</v>
      </c>
      <c r="E845" s="43">
        <v>25000</v>
      </c>
      <c r="F845" s="43"/>
      <c r="G845" s="364"/>
      <c r="H845" s="391" t="s">
        <v>9568</v>
      </c>
    </row>
    <row r="846" spans="1:8" x14ac:dyDescent="0.3">
      <c r="A846" s="45">
        <v>44074</v>
      </c>
      <c r="B846" s="399"/>
      <c r="C846" s="5" t="s">
        <v>0</v>
      </c>
      <c r="D846" s="5" t="s">
        <v>2013</v>
      </c>
      <c r="E846" s="43">
        <v>100</v>
      </c>
      <c r="F846" s="43"/>
      <c r="G846" s="364"/>
      <c r="H846" s="391" t="s">
        <v>9568</v>
      </c>
    </row>
    <row r="847" spans="1:8" x14ac:dyDescent="0.3">
      <c r="A847" s="45">
        <v>44074</v>
      </c>
      <c r="B847" s="399"/>
      <c r="C847" s="5" t="s">
        <v>3559</v>
      </c>
      <c r="D847" s="5" t="s">
        <v>3535</v>
      </c>
      <c r="E847" s="43">
        <v>670</v>
      </c>
      <c r="F847" s="43"/>
      <c r="G847" s="364"/>
      <c r="H847" s="391" t="s">
        <v>9568</v>
      </c>
    </row>
    <row r="848" spans="1:8" ht="37.5" x14ac:dyDescent="0.3">
      <c r="A848" s="45">
        <v>44075</v>
      </c>
      <c r="B848" s="399"/>
      <c r="C848" s="5" t="s">
        <v>14</v>
      </c>
      <c r="D848" s="92" t="s">
        <v>6379</v>
      </c>
      <c r="E848" s="43">
        <v>103200</v>
      </c>
      <c r="F848" s="43"/>
      <c r="G848" s="364"/>
      <c r="H848" s="391" t="s">
        <v>9568</v>
      </c>
    </row>
    <row r="849" spans="1:8" x14ac:dyDescent="0.3">
      <c r="A849" s="45">
        <v>44075</v>
      </c>
      <c r="B849" s="399"/>
      <c r="C849" s="5" t="s">
        <v>2570</v>
      </c>
      <c r="D849" s="5" t="s">
        <v>40</v>
      </c>
      <c r="E849" s="43">
        <v>750</v>
      </c>
      <c r="F849" s="43"/>
      <c r="G849" s="364"/>
      <c r="H849" s="391" t="s">
        <v>9568</v>
      </c>
    </row>
    <row r="850" spans="1:8" x14ac:dyDescent="0.3">
      <c r="A850" s="45">
        <v>44075</v>
      </c>
      <c r="B850" s="580"/>
      <c r="C850" s="554" t="s">
        <v>6409</v>
      </c>
      <c r="D850" s="554"/>
      <c r="E850" s="554"/>
      <c r="F850" s="43">
        <v>400000</v>
      </c>
      <c r="G850" s="364"/>
      <c r="H850" s="391" t="s">
        <v>9568</v>
      </c>
    </row>
    <row r="851" spans="1:8" x14ac:dyDescent="0.3">
      <c r="A851" s="45">
        <v>44075</v>
      </c>
      <c r="B851" s="399"/>
      <c r="C851" s="5" t="s">
        <v>247</v>
      </c>
      <c r="D851" s="5" t="s">
        <v>6380</v>
      </c>
      <c r="E851" s="43">
        <v>100</v>
      </c>
      <c r="F851" s="43"/>
      <c r="G851" s="364"/>
      <c r="H851" s="391" t="s">
        <v>9568</v>
      </c>
    </row>
    <row r="852" spans="1:8" x14ac:dyDescent="0.3">
      <c r="A852" s="45">
        <v>44075</v>
      </c>
      <c r="B852" s="399"/>
      <c r="C852" s="5" t="s">
        <v>1012</v>
      </c>
      <c r="D852" s="5" t="s">
        <v>6381</v>
      </c>
      <c r="E852" s="43">
        <v>8000</v>
      </c>
      <c r="F852" s="43"/>
      <c r="G852" s="364"/>
      <c r="H852" s="391" t="s">
        <v>9568</v>
      </c>
    </row>
    <row r="853" spans="1:8" x14ac:dyDescent="0.3">
      <c r="A853" s="45">
        <v>44075</v>
      </c>
      <c r="B853" s="399"/>
      <c r="C853" s="5" t="s">
        <v>5162</v>
      </c>
      <c r="D853" s="5" t="s">
        <v>6382</v>
      </c>
      <c r="E853" s="43">
        <v>3000</v>
      </c>
      <c r="F853" s="43"/>
      <c r="G853" s="364"/>
      <c r="H853" s="391" t="s">
        <v>9568</v>
      </c>
    </row>
    <row r="854" spans="1:8" x14ac:dyDescent="0.3">
      <c r="A854" s="45">
        <v>44075</v>
      </c>
      <c r="B854" s="580"/>
      <c r="C854" s="554" t="s">
        <v>6408</v>
      </c>
      <c r="D854" s="554"/>
      <c r="E854" s="554"/>
      <c r="F854" s="43">
        <v>463000</v>
      </c>
      <c r="G854" s="364"/>
      <c r="H854" s="391" t="s">
        <v>9568</v>
      </c>
    </row>
    <row r="855" spans="1:8" x14ac:dyDescent="0.3">
      <c r="A855" s="45">
        <v>44076</v>
      </c>
      <c r="B855" s="399"/>
      <c r="C855" s="5" t="s">
        <v>14</v>
      </c>
      <c r="D855" s="5" t="s">
        <v>294</v>
      </c>
      <c r="E855" s="43">
        <v>2000</v>
      </c>
      <c r="F855" s="43"/>
      <c r="G855" s="364"/>
      <c r="H855" s="391" t="s">
        <v>9568</v>
      </c>
    </row>
    <row r="856" spans="1:8" x14ac:dyDescent="0.3">
      <c r="A856" s="45">
        <v>44076</v>
      </c>
      <c r="B856" s="399"/>
      <c r="C856" s="5" t="s">
        <v>6383</v>
      </c>
      <c r="D856" s="5" t="s">
        <v>6384</v>
      </c>
      <c r="E856" s="43">
        <v>150000</v>
      </c>
      <c r="F856" s="43"/>
      <c r="G856" s="364"/>
      <c r="H856" s="391" t="s">
        <v>9568</v>
      </c>
    </row>
    <row r="857" spans="1:8" x14ac:dyDescent="0.3">
      <c r="A857" s="45">
        <v>44076</v>
      </c>
      <c r="B857" s="399"/>
      <c r="C857" s="5" t="s">
        <v>0</v>
      </c>
      <c r="D857" s="5" t="s">
        <v>6385</v>
      </c>
      <c r="E857" s="43">
        <v>44600</v>
      </c>
      <c r="F857" s="43"/>
      <c r="G857" s="364"/>
      <c r="H857" s="391" t="s">
        <v>9568</v>
      </c>
    </row>
    <row r="858" spans="1:8" x14ac:dyDescent="0.3">
      <c r="A858" s="45">
        <v>44076</v>
      </c>
      <c r="B858" s="410"/>
      <c r="C858" s="223" t="s">
        <v>54</v>
      </c>
      <c r="D858" s="223" t="s">
        <v>6386</v>
      </c>
      <c r="E858" s="224">
        <f>18750+13500</f>
        <v>32250</v>
      </c>
      <c r="F858" s="43"/>
      <c r="G858" s="364"/>
      <c r="H858" s="391" t="s">
        <v>9568</v>
      </c>
    </row>
    <row r="859" spans="1:8" x14ac:dyDescent="0.3">
      <c r="A859" s="45">
        <v>44076</v>
      </c>
      <c r="B859" s="410"/>
      <c r="C859" s="223" t="s">
        <v>54</v>
      </c>
      <c r="D859" s="223" t="s">
        <v>6412</v>
      </c>
      <c r="E859" s="224">
        <v>33750</v>
      </c>
      <c r="F859" s="43"/>
      <c r="G859" s="364"/>
      <c r="H859" s="391" t="s">
        <v>9568</v>
      </c>
    </row>
    <row r="860" spans="1:8" x14ac:dyDescent="0.3">
      <c r="A860" s="45">
        <v>44076</v>
      </c>
      <c r="B860" s="410"/>
      <c r="C860" s="223" t="s">
        <v>54</v>
      </c>
      <c r="D860" s="223" t="s">
        <v>6387</v>
      </c>
      <c r="E860" s="224">
        <v>95746</v>
      </c>
      <c r="F860" s="43"/>
      <c r="G860" s="364"/>
      <c r="H860" s="391" t="s">
        <v>9568</v>
      </c>
    </row>
    <row r="861" spans="1:8" x14ac:dyDescent="0.3">
      <c r="A861" s="45">
        <v>44076</v>
      </c>
      <c r="B861" s="410"/>
      <c r="C861" s="223" t="s">
        <v>54</v>
      </c>
      <c r="D861" s="223" t="s">
        <v>6388</v>
      </c>
      <c r="E861" s="224">
        <v>103883</v>
      </c>
      <c r="F861" s="43"/>
      <c r="G861" s="364"/>
      <c r="H861" s="391" t="s">
        <v>9568</v>
      </c>
    </row>
    <row r="862" spans="1:8" x14ac:dyDescent="0.3">
      <c r="A862" s="45">
        <v>44076</v>
      </c>
      <c r="B862" s="410"/>
      <c r="C862" s="223" t="s">
        <v>54</v>
      </c>
      <c r="D862" s="223" t="s">
        <v>6391</v>
      </c>
      <c r="E862" s="224">
        <v>88000</v>
      </c>
      <c r="F862" s="43"/>
      <c r="G862" s="364"/>
      <c r="H862" s="391" t="s">
        <v>9568</v>
      </c>
    </row>
    <row r="863" spans="1:8" x14ac:dyDescent="0.3">
      <c r="A863" s="45">
        <v>44076</v>
      </c>
      <c r="B863" s="410"/>
      <c r="C863" s="223" t="s">
        <v>54</v>
      </c>
      <c r="D863" s="223" t="s">
        <v>6392</v>
      </c>
      <c r="E863" s="224">
        <v>50000</v>
      </c>
      <c r="F863" s="43"/>
      <c r="G863" s="364"/>
      <c r="H863" s="391" t="s">
        <v>9568</v>
      </c>
    </row>
    <row r="864" spans="1:8" x14ac:dyDescent="0.3">
      <c r="A864" s="45">
        <v>44076</v>
      </c>
      <c r="B864" s="410"/>
      <c r="C864" s="223" t="s">
        <v>54</v>
      </c>
      <c r="D864" s="223" t="s">
        <v>6245</v>
      </c>
      <c r="E864" s="224">
        <v>38520</v>
      </c>
      <c r="F864" s="43"/>
      <c r="G864" s="364"/>
      <c r="H864" s="391" t="s">
        <v>9568</v>
      </c>
    </row>
    <row r="865" spans="1:8" x14ac:dyDescent="0.3">
      <c r="A865" s="45">
        <v>44076</v>
      </c>
      <c r="B865" s="410"/>
      <c r="C865" s="223" t="s">
        <v>54</v>
      </c>
      <c r="D865" s="223" t="s">
        <v>6419</v>
      </c>
      <c r="E865" s="224">
        <v>45597</v>
      </c>
      <c r="F865" s="43"/>
      <c r="G865" s="364"/>
      <c r="H865" s="391" t="s">
        <v>9568</v>
      </c>
    </row>
    <row r="866" spans="1:8" x14ac:dyDescent="0.3">
      <c r="A866" s="45">
        <v>44076</v>
      </c>
      <c r="B866" s="410"/>
      <c r="C866" s="223" t="s">
        <v>54</v>
      </c>
      <c r="D866" s="223" t="s">
        <v>693</v>
      </c>
      <c r="E866" s="224">
        <f>161206+44160</f>
        <v>205366</v>
      </c>
      <c r="F866" s="43"/>
      <c r="G866" s="364"/>
      <c r="H866" s="391" t="s">
        <v>9568</v>
      </c>
    </row>
    <row r="867" spans="1:8" x14ac:dyDescent="0.3">
      <c r="A867" s="45">
        <v>44076</v>
      </c>
      <c r="B867" s="410"/>
      <c r="C867" s="223" t="s">
        <v>54</v>
      </c>
      <c r="D867" s="223" t="s">
        <v>6410</v>
      </c>
      <c r="E867" s="224">
        <v>34871</v>
      </c>
      <c r="F867" s="43"/>
      <c r="G867" s="364"/>
      <c r="H867" s="391" t="s">
        <v>9568</v>
      </c>
    </row>
    <row r="868" spans="1:8" x14ac:dyDescent="0.3">
      <c r="A868" s="45">
        <v>44076</v>
      </c>
      <c r="B868" s="410"/>
      <c r="C868" s="223" t="s">
        <v>54</v>
      </c>
      <c r="D868" s="223" t="s">
        <v>6411</v>
      </c>
      <c r="E868" s="224">
        <v>9252</v>
      </c>
      <c r="F868" s="43"/>
      <c r="G868" s="364"/>
      <c r="H868" s="391" t="s">
        <v>9568</v>
      </c>
    </row>
    <row r="869" spans="1:8" x14ac:dyDescent="0.3">
      <c r="A869" s="45">
        <v>44076</v>
      </c>
      <c r="B869" s="399"/>
      <c r="C869" s="5" t="s">
        <v>2674</v>
      </c>
      <c r="D869" s="5" t="s">
        <v>438</v>
      </c>
      <c r="E869" s="43">
        <v>500</v>
      </c>
      <c r="F869" s="43"/>
      <c r="G869" s="364"/>
      <c r="H869" s="391" t="s">
        <v>9568</v>
      </c>
    </row>
    <row r="870" spans="1:8" x14ac:dyDescent="0.3">
      <c r="A870" s="45">
        <v>44076</v>
      </c>
      <c r="B870" s="399"/>
      <c r="C870" s="5" t="s">
        <v>4869</v>
      </c>
      <c r="D870" s="5" t="s">
        <v>40</v>
      </c>
      <c r="E870" s="43">
        <v>4170</v>
      </c>
      <c r="F870" s="43"/>
      <c r="G870" s="364"/>
      <c r="H870" s="391" t="s">
        <v>9568</v>
      </c>
    </row>
    <row r="871" spans="1:8" x14ac:dyDescent="0.3">
      <c r="A871" s="45">
        <v>44076</v>
      </c>
      <c r="B871" s="399"/>
      <c r="C871" s="5" t="s">
        <v>25</v>
      </c>
      <c r="D871" s="5" t="s">
        <v>6389</v>
      </c>
      <c r="E871" s="43">
        <v>200</v>
      </c>
      <c r="F871" s="43"/>
      <c r="G871" s="364"/>
      <c r="H871" s="391" t="s">
        <v>9568</v>
      </c>
    </row>
    <row r="872" spans="1:8" x14ac:dyDescent="0.3">
      <c r="A872" s="45">
        <v>44076</v>
      </c>
      <c r="B872" s="399"/>
      <c r="C872" s="5" t="s">
        <v>4550</v>
      </c>
      <c r="D872" s="5" t="s">
        <v>6390</v>
      </c>
      <c r="E872" s="43">
        <v>15000</v>
      </c>
      <c r="F872" s="43"/>
      <c r="G872" s="364"/>
      <c r="H872" s="391" t="s">
        <v>9568</v>
      </c>
    </row>
    <row r="873" spans="1:8" x14ac:dyDescent="0.3">
      <c r="A873" s="45">
        <v>44076</v>
      </c>
      <c r="B873" s="399"/>
      <c r="C873" s="5" t="s">
        <v>5162</v>
      </c>
      <c r="D873" s="5" t="s">
        <v>1624</v>
      </c>
      <c r="E873" s="43">
        <v>100</v>
      </c>
      <c r="F873" s="43"/>
      <c r="G873" s="364"/>
      <c r="H873" s="391" t="s">
        <v>9568</v>
      </c>
    </row>
    <row r="874" spans="1:8" x14ac:dyDescent="0.3">
      <c r="A874" s="45">
        <v>44077</v>
      </c>
      <c r="B874" s="399"/>
      <c r="C874" s="5" t="s">
        <v>0</v>
      </c>
      <c r="D874" s="5" t="s">
        <v>3910</v>
      </c>
      <c r="E874" s="43">
        <v>10000</v>
      </c>
      <c r="F874" s="43"/>
      <c r="G874" s="364"/>
      <c r="H874" s="391" t="s">
        <v>9568</v>
      </c>
    </row>
    <row r="875" spans="1:8" x14ac:dyDescent="0.3">
      <c r="A875" s="45">
        <v>44077</v>
      </c>
      <c r="B875" s="399"/>
      <c r="C875" s="5" t="s">
        <v>6009</v>
      </c>
      <c r="D875" s="5" t="s">
        <v>438</v>
      </c>
      <c r="E875" s="43">
        <v>50000</v>
      </c>
      <c r="F875" s="43"/>
      <c r="G875" s="364"/>
      <c r="H875" s="391" t="s">
        <v>9568</v>
      </c>
    </row>
    <row r="876" spans="1:8" x14ac:dyDescent="0.3">
      <c r="A876" s="45">
        <v>44077</v>
      </c>
      <c r="B876" s="399"/>
      <c r="C876" s="5" t="s">
        <v>10</v>
      </c>
      <c r="D876" s="5" t="s">
        <v>6393</v>
      </c>
      <c r="E876" s="43">
        <v>2000</v>
      </c>
      <c r="F876" s="43"/>
      <c r="G876" s="364"/>
      <c r="H876" s="391" t="s">
        <v>9568</v>
      </c>
    </row>
    <row r="877" spans="1:8" x14ac:dyDescent="0.3">
      <c r="A877" s="45">
        <v>44077</v>
      </c>
      <c r="B877" s="399"/>
      <c r="C877" s="5" t="s">
        <v>3559</v>
      </c>
      <c r="D877" s="5" t="s">
        <v>3172</v>
      </c>
      <c r="E877" s="43">
        <v>43250</v>
      </c>
      <c r="F877" s="43"/>
      <c r="G877" s="364"/>
      <c r="H877" s="391" t="s">
        <v>9568</v>
      </c>
    </row>
    <row r="878" spans="1:8" x14ac:dyDescent="0.3">
      <c r="A878" s="45">
        <v>44078</v>
      </c>
      <c r="B878" s="399"/>
      <c r="C878" s="5" t="s">
        <v>541</v>
      </c>
      <c r="D878" s="5" t="s">
        <v>6420</v>
      </c>
      <c r="E878" s="43">
        <v>50000</v>
      </c>
      <c r="F878" s="43"/>
      <c r="G878" s="364"/>
      <c r="H878" s="391" t="s">
        <v>9568</v>
      </c>
    </row>
    <row r="879" spans="1:8" x14ac:dyDescent="0.3">
      <c r="A879" s="45">
        <v>44079</v>
      </c>
      <c r="B879" s="399"/>
      <c r="C879" s="5" t="s">
        <v>2674</v>
      </c>
      <c r="D879" s="5" t="s">
        <v>294</v>
      </c>
      <c r="E879" s="43">
        <v>600</v>
      </c>
      <c r="F879" s="43"/>
      <c r="G879" s="364"/>
      <c r="H879" s="391" t="s">
        <v>9568</v>
      </c>
    </row>
    <row r="880" spans="1:8" x14ac:dyDescent="0.3">
      <c r="A880" s="45">
        <v>44079</v>
      </c>
      <c r="B880" s="399"/>
      <c r="C880" s="5" t="s">
        <v>6099</v>
      </c>
      <c r="D880" s="5" t="s">
        <v>40</v>
      </c>
      <c r="E880" s="43">
        <v>51000</v>
      </c>
      <c r="F880" s="43"/>
      <c r="G880" s="364"/>
      <c r="H880" s="391" t="s">
        <v>9568</v>
      </c>
    </row>
    <row r="881" spans="1:8" x14ac:dyDescent="0.3">
      <c r="A881" s="45">
        <v>44079</v>
      </c>
      <c r="B881" s="399"/>
      <c r="C881" s="5" t="s">
        <v>25</v>
      </c>
      <c r="D881" s="5" t="s">
        <v>6413</v>
      </c>
      <c r="E881" s="43">
        <v>4000</v>
      </c>
      <c r="F881" s="43"/>
      <c r="G881" s="364"/>
      <c r="H881" s="391" t="s">
        <v>9568</v>
      </c>
    </row>
    <row r="882" spans="1:8" x14ac:dyDescent="0.3">
      <c r="A882" s="45">
        <v>44081</v>
      </c>
      <c r="B882" s="399"/>
      <c r="C882" s="5" t="s">
        <v>25</v>
      </c>
      <c r="D882" s="5" t="s">
        <v>6361</v>
      </c>
      <c r="E882" s="43">
        <f>700+310+140+40+160+90+70+280+40+100+100+300+40+450+300+70+330+80+90+140+500</f>
        <v>4330</v>
      </c>
      <c r="F882" s="43"/>
      <c r="G882" s="364"/>
      <c r="H882" s="391" t="s">
        <v>9568</v>
      </c>
    </row>
    <row r="883" spans="1:8" x14ac:dyDescent="0.3">
      <c r="A883" s="45">
        <v>44081</v>
      </c>
      <c r="B883" s="399"/>
      <c r="C883" s="5" t="s">
        <v>25</v>
      </c>
      <c r="D883" s="5" t="s">
        <v>4834</v>
      </c>
      <c r="E883" s="43">
        <v>2000</v>
      </c>
      <c r="F883" s="43"/>
      <c r="G883" s="364"/>
      <c r="H883" s="391" t="s">
        <v>9568</v>
      </c>
    </row>
    <row r="884" spans="1:8" x14ac:dyDescent="0.3">
      <c r="A884" s="45">
        <v>44081</v>
      </c>
      <c r="B884" s="399"/>
      <c r="C884" s="5" t="s">
        <v>25</v>
      </c>
      <c r="D884" s="5" t="s">
        <v>6417</v>
      </c>
      <c r="E884" s="43">
        <v>680</v>
      </c>
      <c r="F884" s="43"/>
      <c r="G884" s="364"/>
      <c r="H884" s="391" t="s">
        <v>9568</v>
      </c>
    </row>
    <row r="885" spans="1:8" x14ac:dyDescent="0.3">
      <c r="A885" s="45">
        <v>44081</v>
      </c>
      <c r="B885" s="399"/>
      <c r="C885" s="5" t="s">
        <v>5709</v>
      </c>
      <c r="D885" s="5" t="s">
        <v>6414</v>
      </c>
      <c r="E885" s="43">
        <v>460</v>
      </c>
      <c r="F885" s="43"/>
      <c r="G885" s="364"/>
      <c r="H885" s="391" t="s">
        <v>9568</v>
      </c>
    </row>
    <row r="886" spans="1:8" x14ac:dyDescent="0.3">
      <c r="A886" s="45">
        <v>44081</v>
      </c>
      <c r="B886" s="580"/>
      <c r="C886" s="554" t="s">
        <v>6407</v>
      </c>
      <c r="D886" s="554"/>
      <c r="E886" s="554"/>
      <c r="F886" s="43">
        <v>400000</v>
      </c>
      <c r="G886" s="364"/>
      <c r="H886" s="391" t="s">
        <v>9568</v>
      </c>
    </row>
    <row r="887" spans="1:8" ht="56.25" x14ac:dyDescent="0.3">
      <c r="A887" s="45">
        <v>44081</v>
      </c>
      <c r="B887" s="399"/>
      <c r="C887" s="5" t="s">
        <v>0</v>
      </c>
      <c r="D887" s="92" t="s">
        <v>6421</v>
      </c>
      <c r="E887" s="43">
        <v>25000</v>
      </c>
      <c r="F887" s="43"/>
      <c r="G887" s="364"/>
      <c r="H887" s="391" t="s">
        <v>9568</v>
      </c>
    </row>
    <row r="888" spans="1:8" x14ac:dyDescent="0.3">
      <c r="A888" s="45">
        <v>44081</v>
      </c>
      <c r="B888" s="399"/>
      <c r="C888" s="5" t="s">
        <v>6415</v>
      </c>
      <c r="D888" s="5" t="s">
        <v>6416</v>
      </c>
      <c r="E888" s="43">
        <v>31000</v>
      </c>
      <c r="F888" s="43"/>
      <c r="G888" s="364"/>
      <c r="H888" s="391" t="s">
        <v>9568</v>
      </c>
    </row>
    <row r="889" spans="1:8" x14ac:dyDescent="0.3">
      <c r="A889" s="45">
        <v>44081</v>
      </c>
      <c r="B889" s="399"/>
      <c r="C889" s="5" t="s">
        <v>84</v>
      </c>
      <c r="D889" s="5" t="s">
        <v>6418</v>
      </c>
      <c r="E889" s="43">
        <v>5000</v>
      </c>
      <c r="F889" s="43"/>
      <c r="G889" s="364"/>
      <c r="H889" s="391" t="s">
        <v>9568</v>
      </c>
    </row>
    <row r="890" spans="1:8" x14ac:dyDescent="0.3">
      <c r="A890" s="45">
        <v>44081</v>
      </c>
      <c r="B890" s="399"/>
      <c r="C890" s="5" t="s">
        <v>4550</v>
      </c>
      <c r="D890" s="5" t="s">
        <v>294</v>
      </c>
      <c r="E890" s="43">
        <v>10000</v>
      </c>
      <c r="F890" s="43"/>
      <c r="G890" s="364"/>
      <c r="H890" s="391" t="s">
        <v>9568</v>
      </c>
    </row>
    <row r="891" spans="1:8" x14ac:dyDescent="0.3">
      <c r="A891" s="45">
        <v>44082</v>
      </c>
      <c r="B891" s="399"/>
      <c r="C891" s="5" t="s">
        <v>0</v>
      </c>
      <c r="D891" s="5" t="s">
        <v>6422</v>
      </c>
      <c r="E891" s="43">
        <f>2900+4000+100</f>
        <v>7000</v>
      </c>
      <c r="F891" s="43"/>
      <c r="G891" s="364"/>
      <c r="H891" s="391" t="s">
        <v>9568</v>
      </c>
    </row>
    <row r="892" spans="1:8" x14ac:dyDescent="0.3">
      <c r="A892" s="45">
        <v>44082</v>
      </c>
      <c r="B892" s="580"/>
      <c r="C892" s="554" t="s">
        <v>6423</v>
      </c>
      <c r="D892" s="554"/>
      <c r="E892" s="554"/>
      <c r="F892" s="43">
        <v>4840</v>
      </c>
      <c r="G892" s="364"/>
      <c r="H892" s="391" t="s">
        <v>9568</v>
      </c>
    </row>
    <row r="893" spans="1:8" x14ac:dyDescent="0.3">
      <c r="A893" s="45">
        <v>44082</v>
      </c>
      <c r="B893" s="399"/>
      <c r="C893" s="5" t="s">
        <v>2674</v>
      </c>
      <c r="D893" s="5" t="s">
        <v>294</v>
      </c>
      <c r="E893" s="43">
        <v>100</v>
      </c>
      <c r="F893" s="43"/>
      <c r="G893" s="364"/>
      <c r="H893" s="391" t="s">
        <v>9568</v>
      </c>
    </row>
    <row r="894" spans="1:8" x14ac:dyDescent="0.3">
      <c r="A894" s="45">
        <v>44082</v>
      </c>
      <c r="B894" s="410"/>
      <c r="C894" s="223" t="s">
        <v>54</v>
      </c>
      <c r="D894" s="223" t="s">
        <v>6424</v>
      </c>
      <c r="E894" s="224">
        <v>17020</v>
      </c>
      <c r="F894" s="43"/>
      <c r="G894" s="364"/>
      <c r="H894" s="391" t="s">
        <v>9568</v>
      </c>
    </row>
    <row r="895" spans="1:8" ht="56.25" x14ac:dyDescent="0.3">
      <c r="A895" s="45">
        <v>44082</v>
      </c>
      <c r="B895" s="399"/>
      <c r="C895" s="5" t="s">
        <v>6085</v>
      </c>
      <c r="D895" s="92" t="s">
        <v>6425</v>
      </c>
      <c r="E895" s="43">
        <v>50000</v>
      </c>
      <c r="F895" s="43"/>
      <c r="G895" s="364"/>
      <c r="H895" s="391" t="s">
        <v>9568</v>
      </c>
    </row>
    <row r="896" spans="1:8" x14ac:dyDescent="0.3">
      <c r="A896" s="45">
        <v>44082</v>
      </c>
      <c r="B896" s="399"/>
      <c r="C896" s="5" t="s">
        <v>6134</v>
      </c>
      <c r="D896" s="5" t="s">
        <v>294</v>
      </c>
      <c r="E896" s="43">
        <v>50000</v>
      </c>
      <c r="F896" s="43"/>
      <c r="G896" s="364"/>
      <c r="H896" s="391" t="s">
        <v>9568</v>
      </c>
    </row>
    <row r="897" spans="1:8" x14ac:dyDescent="0.3">
      <c r="A897" s="45">
        <v>44082</v>
      </c>
      <c r="B897" s="399"/>
      <c r="C897" s="5" t="s">
        <v>541</v>
      </c>
      <c r="D897" s="5" t="s">
        <v>40</v>
      </c>
      <c r="E897" s="43">
        <v>100000</v>
      </c>
      <c r="F897" s="43"/>
      <c r="G897" s="364"/>
      <c r="H897" s="391" t="s">
        <v>9568</v>
      </c>
    </row>
    <row r="898" spans="1:8" x14ac:dyDescent="0.3">
      <c r="A898" s="45">
        <v>44082</v>
      </c>
      <c r="B898" s="399"/>
      <c r="C898" s="5" t="s">
        <v>5930</v>
      </c>
      <c r="D898" s="5" t="s">
        <v>6427</v>
      </c>
      <c r="E898" s="43">
        <v>15600</v>
      </c>
      <c r="F898" s="43"/>
      <c r="G898" s="364"/>
      <c r="H898" s="391" t="s">
        <v>9568</v>
      </c>
    </row>
    <row r="899" spans="1:8" ht="37.5" x14ac:dyDescent="0.3">
      <c r="A899" s="45">
        <v>44082</v>
      </c>
      <c r="B899" s="399"/>
      <c r="C899" s="5" t="s">
        <v>541</v>
      </c>
      <c r="D899" s="92" t="s">
        <v>6426</v>
      </c>
      <c r="E899" s="43">
        <v>11607</v>
      </c>
      <c r="F899" s="43"/>
      <c r="G899" s="364"/>
      <c r="H899" s="391" t="s">
        <v>9568</v>
      </c>
    </row>
    <row r="900" spans="1:8" x14ac:dyDescent="0.3">
      <c r="A900" s="45">
        <v>44082</v>
      </c>
      <c r="B900" s="399"/>
      <c r="C900" s="5" t="s">
        <v>3559</v>
      </c>
      <c r="D900" s="5" t="s">
        <v>6234</v>
      </c>
      <c r="E900" s="43">
        <v>4780</v>
      </c>
      <c r="F900" s="43"/>
      <c r="G900" s="364"/>
      <c r="H900" s="391" t="s">
        <v>9568</v>
      </c>
    </row>
    <row r="901" spans="1:8" x14ac:dyDescent="0.3">
      <c r="A901" s="45">
        <v>44083</v>
      </c>
      <c r="B901" s="399"/>
      <c r="C901" s="5" t="s">
        <v>25</v>
      </c>
      <c r="D901" s="5" t="s">
        <v>6428</v>
      </c>
      <c r="E901" s="43">
        <f>1390-500</f>
        <v>890</v>
      </c>
      <c r="F901" s="43"/>
      <c r="G901" s="364"/>
      <c r="H901" s="391" t="s">
        <v>9568</v>
      </c>
    </row>
    <row r="902" spans="1:8" x14ac:dyDescent="0.3">
      <c r="A902" s="45">
        <v>44083</v>
      </c>
      <c r="B902" s="399"/>
      <c r="C902" s="5" t="s">
        <v>1837</v>
      </c>
      <c r="D902" s="41" t="s">
        <v>6484</v>
      </c>
      <c r="E902" s="43">
        <v>4500</v>
      </c>
      <c r="F902" s="43"/>
      <c r="G902" s="364"/>
      <c r="H902" s="391" t="s">
        <v>9568</v>
      </c>
    </row>
    <row r="903" spans="1:8" x14ac:dyDescent="0.3">
      <c r="A903" s="45">
        <v>44083</v>
      </c>
      <c r="B903" s="399"/>
      <c r="C903" s="5" t="s">
        <v>6352</v>
      </c>
      <c r="D903" s="5" t="s">
        <v>6429</v>
      </c>
      <c r="E903" s="43">
        <v>1000</v>
      </c>
      <c r="F903" s="43"/>
      <c r="G903" s="364"/>
      <c r="H903" s="391" t="s">
        <v>9568</v>
      </c>
    </row>
    <row r="904" spans="1:8" x14ac:dyDescent="0.3">
      <c r="A904" s="45">
        <v>44083</v>
      </c>
      <c r="B904" s="399"/>
      <c r="C904" s="5" t="s">
        <v>25</v>
      </c>
      <c r="D904" s="41" t="s">
        <v>6461</v>
      </c>
      <c r="E904" s="43">
        <v>4000</v>
      </c>
      <c r="F904" s="43"/>
      <c r="G904" s="364"/>
      <c r="H904" s="391" t="s">
        <v>9568</v>
      </c>
    </row>
    <row r="905" spans="1:8" x14ac:dyDescent="0.3">
      <c r="A905" s="45">
        <v>44083</v>
      </c>
      <c r="B905" s="399"/>
      <c r="C905" s="5" t="s">
        <v>6430</v>
      </c>
      <c r="D905" s="5" t="s">
        <v>6431</v>
      </c>
      <c r="E905" s="43">
        <v>28200</v>
      </c>
      <c r="F905" s="43"/>
      <c r="G905" s="364"/>
      <c r="H905" s="391" t="s">
        <v>9568</v>
      </c>
    </row>
    <row r="906" spans="1:8" x14ac:dyDescent="0.3">
      <c r="A906" s="45">
        <v>44083</v>
      </c>
      <c r="B906" s="399"/>
      <c r="C906" s="5" t="s">
        <v>247</v>
      </c>
      <c r="D906" s="5" t="s">
        <v>2013</v>
      </c>
      <c r="E906" s="43">
        <v>100</v>
      </c>
      <c r="F906" s="43"/>
      <c r="G906" s="364"/>
      <c r="H906" s="391" t="s">
        <v>9568</v>
      </c>
    </row>
    <row r="907" spans="1:8" x14ac:dyDescent="0.3">
      <c r="A907" s="45">
        <v>44084</v>
      </c>
      <c r="B907" s="399"/>
      <c r="C907" s="5" t="s">
        <v>4550</v>
      </c>
      <c r="D907" s="5" t="s">
        <v>294</v>
      </c>
      <c r="E907" s="43">
        <v>10000</v>
      </c>
      <c r="F907" s="43"/>
      <c r="G907" s="364"/>
      <c r="H907" s="391" t="s">
        <v>9568</v>
      </c>
    </row>
    <row r="908" spans="1:8" x14ac:dyDescent="0.3">
      <c r="A908" s="45">
        <v>44084</v>
      </c>
      <c r="B908" s="399"/>
      <c r="C908" s="5" t="s">
        <v>1012</v>
      </c>
      <c r="D908" s="41" t="s">
        <v>6435</v>
      </c>
      <c r="E908" s="43">
        <v>2500</v>
      </c>
      <c r="F908" s="43"/>
      <c r="G908" s="364"/>
      <c r="H908" s="391" t="s">
        <v>9568</v>
      </c>
    </row>
    <row r="909" spans="1:8" x14ac:dyDescent="0.3">
      <c r="A909" s="45">
        <v>44085</v>
      </c>
      <c r="B909" s="399"/>
      <c r="C909" s="5" t="s">
        <v>6355</v>
      </c>
      <c r="D909" s="5" t="s">
        <v>6436</v>
      </c>
      <c r="E909" s="43">
        <v>500</v>
      </c>
      <c r="F909" s="43"/>
      <c r="G909" s="364"/>
      <c r="H909" s="391" t="s">
        <v>9568</v>
      </c>
    </row>
    <row r="910" spans="1:8" x14ac:dyDescent="0.3">
      <c r="A910" s="45">
        <v>44085</v>
      </c>
      <c r="B910" s="399"/>
      <c r="C910" s="5" t="s">
        <v>5938</v>
      </c>
      <c r="D910" s="5" t="s">
        <v>598</v>
      </c>
      <c r="E910" s="43">
        <f>20000+430</f>
        <v>20430</v>
      </c>
      <c r="F910" s="43"/>
      <c r="G910" s="364"/>
      <c r="H910" s="391" t="s">
        <v>9568</v>
      </c>
    </row>
    <row r="911" spans="1:8" x14ac:dyDescent="0.3">
      <c r="A911" s="45">
        <v>44085</v>
      </c>
      <c r="B911" s="399"/>
      <c r="C911" s="5" t="s">
        <v>14</v>
      </c>
      <c r="D911" s="5" t="s">
        <v>640</v>
      </c>
      <c r="E911" s="43">
        <v>1000</v>
      </c>
      <c r="F911" s="43"/>
      <c r="G911" s="364"/>
      <c r="H911" s="391" t="s">
        <v>9568</v>
      </c>
    </row>
    <row r="912" spans="1:8" x14ac:dyDescent="0.3">
      <c r="A912" s="45">
        <v>44085</v>
      </c>
      <c r="B912" s="399"/>
      <c r="C912" s="5" t="s">
        <v>25</v>
      </c>
      <c r="D912" s="5" t="s">
        <v>6361</v>
      </c>
      <c r="E912" s="43">
        <f>1100+100+40+60+120+500+120+50+120+90+1000+600+20+400</f>
        <v>4320</v>
      </c>
      <c r="F912" s="43"/>
      <c r="G912" s="364"/>
      <c r="H912" s="391" t="s">
        <v>9568</v>
      </c>
    </row>
    <row r="913" spans="1:8" x14ac:dyDescent="0.3">
      <c r="A913" s="45">
        <v>44085</v>
      </c>
      <c r="B913" s="580"/>
      <c r="C913" s="554" t="s">
        <v>6438</v>
      </c>
      <c r="D913" s="554"/>
      <c r="E913" s="554"/>
      <c r="F913" s="43">
        <v>50000</v>
      </c>
      <c r="G913" s="364"/>
      <c r="H913" s="391" t="s">
        <v>9568</v>
      </c>
    </row>
    <row r="914" spans="1:8" x14ac:dyDescent="0.3">
      <c r="A914" s="45">
        <v>44085</v>
      </c>
      <c r="B914" s="399"/>
      <c r="C914" s="5" t="s">
        <v>6341</v>
      </c>
      <c r="D914" s="5" t="s">
        <v>6437</v>
      </c>
      <c r="E914" s="43">
        <v>30000</v>
      </c>
      <c r="F914" s="43"/>
      <c r="G914" s="364"/>
      <c r="H914" s="391" t="s">
        <v>9568</v>
      </c>
    </row>
    <row r="915" spans="1:8" x14ac:dyDescent="0.3">
      <c r="A915" s="45">
        <v>44085</v>
      </c>
      <c r="B915" s="410"/>
      <c r="C915" s="223" t="s">
        <v>54</v>
      </c>
      <c r="D915" s="223" t="s">
        <v>6439</v>
      </c>
      <c r="E915" s="224">
        <v>17000</v>
      </c>
      <c r="F915" s="43"/>
      <c r="G915" s="364"/>
      <c r="H915" s="391" t="s">
        <v>9568</v>
      </c>
    </row>
    <row r="916" spans="1:8" x14ac:dyDescent="0.3">
      <c r="A916" s="45">
        <v>44085</v>
      </c>
      <c r="B916" s="580"/>
      <c r="C916" s="554" t="s">
        <v>5653</v>
      </c>
      <c r="D916" s="554"/>
      <c r="E916" s="554"/>
      <c r="F916" s="43">
        <v>100000</v>
      </c>
      <c r="G916" s="364"/>
      <c r="H916" s="391" t="s">
        <v>9568</v>
      </c>
    </row>
    <row r="917" spans="1:8" x14ac:dyDescent="0.3">
      <c r="A917" s="45">
        <v>44085</v>
      </c>
      <c r="B917" s="410"/>
      <c r="C917" s="223" t="s">
        <v>54</v>
      </c>
      <c r="D917" s="223" t="s">
        <v>6440</v>
      </c>
      <c r="E917" s="224">
        <v>19871</v>
      </c>
      <c r="F917" s="43"/>
      <c r="G917" s="364"/>
      <c r="H917" s="391" t="s">
        <v>9568</v>
      </c>
    </row>
    <row r="918" spans="1:8" x14ac:dyDescent="0.3">
      <c r="A918" s="45">
        <v>44085</v>
      </c>
      <c r="B918" s="410"/>
      <c r="C918" s="223" t="s">
        <v>54</v>
      </c>
      <c r="D918" s="223" t="s">
        <v>6441</v>
      </c>
      <c r="E918" s="224">
        <v>18661</v>
      </c>
      <c r="F918" s="43"/>
      <c r="G918" s="364"/>
      <c r="H918" s="391" t="s">
        <v>9568</v>
      </c>
    </row>
    <row r="919" spans="1:8" x14ac:dyDescent="0.3">
      <c r="A919" s="45">
        <v>44085</v>
      </c>
      <c r="B919" s="410"/>
      <c r="C919" s="223" t="s">
        <v>54</v>
      </c>
      <c r="D919" s="223" t="s">
        <v>6442</v>
      </c>
      <c r="E919" s="224">
        <v>23548</v>
      </c>
      <c r="F919" s="43"/>
      <c r="G919" s="364"/>
      <c r="H919" s="391" t="s">
        <v>9568</v>
      </c>
    </row>
    <row r="920" spans="1:8" x14ac:dyDescent="0.3">
      <c r="A920" s="45">
        <v>44085</v>
      </c>
      <c r="B920" s="399"/>
      <c r="C920" s="5" t="s">
        <v>18</v>
      </c>
      <c r="D920" s="5" t="s">
        <v>294</v>
      </c>
      <c r="E920" s="43">
        <v>5000</v>
      </c>
      <c r="F920" s="43"/>
      <c r="G920" s="364"/>
      <c r="H920" s="391" t="s">
        <v>9568</v>
      </c>
    </row>
    <row r="921" spans="1:8" x14ac:dyDescent="0.3">
      <c r="A921" s="45">
        <v>44085</v>
      </c>
      <c r="B921" s="399"/>
      <c r="C921" s="5" t="s">
        <v>25</v>
      </c>
      <c r="D921" s="5" t="s">
        <v>5641</v>
      </c>
      <c r="E921" s="43">
        <v>600</v>
      </c>
      <c r="F921" s="43"/>
      <c r="G921" s="364"/>
      <c r="H921" s="391" t="s">
        <v>9568</v>
      </c>
    </row>
    <row r="922" spans="1:8" x14ac:dyDescent="0.3">
      <c r="A922" s="45">
        <v>44088</v>
      </c>
      <c r="B922" s="412"/>
      <c r="C922" s="228" t="s">
        <v>5709</v>
      </c>
      <c r="D922" s="228" t="s">
        <v>6444</v>
      </c>
      <c r="E922" s="43">
        <v>4000</v>
      </c>
      <c r="F922" s="43"/>
      <c r="G922" s="364"/>
      <c r="H922" s="391" t="s">
        <v>9568</v>
      </c>
    </row>
    <row r="923" spans="1:8" x14ac:dyDescent="0.3">
      <c r="A923" s="45">
        <v>44088</v>
      </c>
      <c r="B923" s="399"/>
      <c r="C923" s="5" t="s">
        <v>14</v>
      </c>
      <c r="D923" s="5" t="s">
        <v>294</v>
      </c>
      <c r="E923" s="43">
        <v>25000</v>
      </c>
      <c r="F923" s="43"/>
      <c r="G923" s="364"/>
      <c r="H923" s="391" t="s">
        <v>9568</v>
      </c>
    </row>
    <row r="924" spans="1:8" x14ac:dyDescent="0.3">
      <c r="A924" s="45">
        <v>44089</v>
      </c>
      <c r="B924" s="399"/>
      <c r="C924" s="5" t="s">
        <v>11</v>
      </c>
      <c r="D924" s="5" t="s">
        <v>6445</v>
      </c>
      <c r="E924" s="43">
        <v>710</v>
      </c>
      <c r="F924" s="43"/>
      <c r="G924" s="364"/>
      <c r="H924" s="391" t="s">
        <v>9568</v>
      </c>
    </row>
    <row r="925" spans="1:8" x14ac:dyDescent="0.3">
      <c r="A925" s="45">
        <v>44089</v>
      </c>
      <c r="B925" s="580"/>
      <c r="C925" s="554" t="s">
        <v>6438</v>
      </c>
      <c r="D925" s="554"/>
      <c r="E925" s="554"/>
      <c r="F925" s="43">
        <v>50000</v>
      </c>
      <c r="G925" s="364"/>
      <c r="H925" s="391" t="s">
        <v>9568</v>
      </c>
    </row>
    <row r="926" spans="1:8" x14ac:dyDescent="0.3">
      <c r="A926" s="45">
        <v>44089</v>
      </c>
      <c r="B926" s="399"/>
      <c r="C926" s="5" t="s">
        <v>14</v>
      </c>
      <c r="D926" s="5" t="s">
        <v>294</v>
      </c>
      <c r="E926" s="43">
        <v>30000</v>
      </c>
      <c r="F926" s="43"/>
      <c r="G926" s="364"/>
      <c r="H926" s="391" t="s">
        <v>9568</v>
      </c>
    </row>
    <row r="927" spans="1:8" x14ac:dyDescent="0.3">
      <c r="A927" s="45">
        <v>44089</v>
      </c>
      <c r="B927" s="399"/>
      <c r="C927" s="5" t="s">
        <v>25</v>
      </c>
      <c r="D927" s="5" t="s">
        <v>6446</v>
      </c>
      <c r="E927" s="43">
        <v>800</v>
      </c>
      <c r="F927" s="43"/>
      <c r="G927" s="364"/>
      <c r="H927" s="391" t="s">
        <v>9568</v>
      </c>
    </row>
    <row r="928" spans="1:8" x14ac:dyDescent="0.3">
      <c r="A928" s="45">
        <v>44089</v>
      </c>
      <c r="B928" s="399"/>
      <c r="C928" s="5" t="s">
        <v>1787</v>
      </c>
      <c r="D928" s="5" t="s">
        <v>6447</v>
      </c>
      <c r="E928" s="43">
        <v>1500</v>
      </c>
      <c r="F928" s="43"/>
      <c r="G928" s="364"/>
      <c r="H928" s="391" t="s">
        <v>9568</v>
      </c>
    </row>
    <row r="929" spans="1:9" x14ac:dyDescent="0.3">
      <c r="A929" s="45">
        <v>44090</v>
      </c>
      <c r="B929" s="580"/>
      <c r="C929" s="554" t="s">
        <v>6407</v>
      </c>
      <c r="D929" s="554"/>
      <c r="E929" s="554"/>
      <c r="F929" s="43">
        <v>437000</v>
      </c>
      <c r="G929" s="364"/>
      <c r="H929" s="391" t="s">
        <v>9568</v>
      </c>
    </row>
    <row r="930" spans="1:9" ht="37.5" x14ac:dyDescent="0.3">
      <c r="A930" s="45">
        <v>44090</v>
      </c>
      <c r="B930" s="399"/>
      <c r="C930" s="5" t="s">
        <v>6355</v>
      </c>
      <c r="D930" s="92" t="s">
        <v>6450</v>
      </c>
      <c r="E930" s="43">
        <v>300</v>
      </c>
      <c r="F930" s="43"/>
      <c r="G930" s="364"/>
      <c r="H930" s="391" t="s">
        <v>9568</v>
      </c>
    </row>
    <row r="931" spans="1:9" x14ac:dyDescent="0.3">
      <c r="A931" s="45">
        <v>44090</v>
      </c>
      <c r="B931" s="399"/>
      <c r="C931" s="5" t="s">
        <v>6451</v>
      </c>
      <c r="D931" s="5" t="s">
        <v>6452</v>
      </c>
      <c r="E931" s="43">
        <v>97800</v>
      </c>
      <c r="F931" s="43"/>
      <c r="G931" s="364"/>
      <c r="H931" s="391" t="s">
        <v>9568</v>
      </c>
    </row>
    <row r="932" spans="1:9" x14ac:dyDescent="0.3">
      <c r="A932" s="45">
        <v>44090</v>
      </c>
      <c r="B932" s="399"/>
      <c r="C932" s="5" t="s">
        <v>5709</v>
      </c>
      <c r="D932" s="5" t="s">
        <v>6453</v>
      </c>
      <c r="E932" s="43">
        <v>1000</v>
      </c>
      <c r="F932" s="43"/>
      <c r="G932" s="364"/>
      <c r="H932" s="391" t="s">
        <v>9568</v>
      </c>
    </row>
    <row r="933" spans="1:9" x14ac:dyDescent="0.3">
      <c r="A933" s="45">
        <v>44090</v>
      </c>
      <c r="B933" s="399"/>
      <c r="C933" s="5" t="s">
        <v>25</v>
      </c>
      <c r="D933" s="5" t="s">
        <v>6361</v>
      </c>
      <c r="E933" s="43">
        <f>500+40+30+330+60+90+160+500+80+250+100+60+330+50+20+100+120+80+140</f>
        <v>3040</v>
      </c>
      <c r="F933" s="43"/>
      <c r="G933" s="364"/>
      <c r="H933" s="391" t="s">
        <v>9568</v>
      </c>
    </row>
    <row r="934" spans="1:9" x14ac:dyDescent="0.3">
      <c r="A934" s="45">
        <v>44091</v>
      </c>
      <c r="B934" s="399"/>
      <c r="C934" s="5" t="s">
        <v>6154</v>
      </c>
      <c r="D934" s="5" t="s">
        <v>6454</v>
      </c>
      <c r="E934" s="43">
        <v>2000</v>
      </c>
      <c r="F934" s="43"/>
      <c r="G934" s="364"/>
      <c r="H934" s="391" t="s">
        <v>9568</v>
      </c>
    </row>
    <row r="935" spans="1:9" x14ac:dyDescent="0.3">
      <c r="A935" s="45">
        <v>44091</v>
      </c>
      <c r="B935" s="399"/>
      <c r="C935" s="5" t="s">
        <v>84</v>
      </c>
      <c r="D935" s="5" t="s">
        <v>6455</v>
      </c>
      <c r="E935" s="43">
        <v>3000</v>
      </c>
      <c r="F935" s="43"/>
      <c r="G935" s="364"/>
      <c r="H935" s="391" t="s">
        <v>9568</v>
      </c>
    </row>
    <row r="936" spans="1:9" x14ac:dyDescent="0.3">
      <c r="A936" s="45">
        <v>44091</v>
      </c>
      <c r="B936" s="399"/>
      <c r="C936" s="5" t="s">
        <v>1012</v>
      </c>
      <c r="D936" s="5" t="s">
        <v>6456</v>
      </c>
      <c r="E936" s="43">
        <v>4500</v>
      </c>
      <c r="F936" s="43"/>
      <c r="G936" s="364"/>
      <c r="H936" s="391" t="s">
        <v>9568</v>
      </c>
      <c r="I936" s="229"/>
    </row>
    <row r="937" spans="1:9" x14ac:dyDescent="0.3">
      <c r="A937" s="45">
        <v>44091</v>
      </c>
      <c r="B937" s="399"/>
      <c r="C937" s="5" t="s">
        <v>2348</v>
      </c>
      <c r="D937" s="5" t="s">
        <v>294</v>
      </c>
      <c r="E937" s="43">
        <v>5000</v>
      </c>
      <c r="F937" s="43"/>
      <c r="G937" s="364"/>
      <c r="H937" s="391" t="s">
        <v>9568</v>
      </c>
    </row>
    <row r="938" spans="1:9" x14ac:dyDescent="0.3">
      <c r="A938" s="45">
        <v>44091</v>
      </c>
      <c r="B938" s="399"/>
      <c r="C938" s="5" t="s">
        <v>5979</v>
      </c>
      <c r="D938" s="5" t="s">
        <v>6457</v>
      </c>
      <c r="E938" s="43">
        <v>3500</v>
      </c>
      <c r="F938" s="43"/>
      <c r="G938" s="364"/>
      <c r="H938" s="391" t="s">
        <v>9568</v>
      </c>
    </row>
    <row r="939" spans="1:9" x14ac:dyDescent="0.3">
      <c r="A939" s="45">
        <v>44091</v>
      </c>
      <c r="B939" s="399"/>
      <c r="C939" s="5" t="s">
        <v>4550</v>
      </c>
      <c r="D939" s="5" t="s">
        <v>4330</v>
      </c>
      <c r="E939" s="43">
        <v>3000</v>
      </c>
      <c r="F939" s="43"/>
      <c r="G939" s="364"/>
      <c r="H939" s="391" t="s">
        <v>9568</v>
      </c>
    </row>
    <row r="940" spans="1:9" x14ac:dyDescent="0.3">
      <c r="A940" s="45">
        <v>44091</v>
      </c>
      <c r="B940" s="399"/>
      <c r="C940" s="5" t="s">
        <v>84</v>
      </c>
      <c r="D940" s="5" t="s">
        <v>6458</v>
      </c>
      <c r="E940" s="43">
        <v>60000</v>
      </c>
      <c r="F940" s="43"/>
      <c r="G940" s="364"/>
      <c r="H940" s="391" t="s">
        <v>9568</v>
      </c>
    </row>
    <row r="941" spans="1:9" x14ac:dyDescent="0.3">
      <c r="A941" s="45">
        <v>44091</v>
      </c>
      <c r="B941" s="399"/>
      <c r="C941" s="5" t="s">
        <v>5156</v>
      </c>
      <c r="D941" s="5" t="s">
        <v>6459</v>
      </c>
      <c r="E941" s="43">
        <f>600+1950</f>
        <v>2550</v>
      </c>
      <c r="F941" s="43"/>
      <c r="G941" s="364"/>
      <c r="H941" s="391" t="s">
        <v>9568</v>
      </c>
    </row>
    <row r="942" spans="1:9" x14ac:dyDescent="0.3">
      <c r="A942" s="45">
        <v>44092</v>
      </c>
      <c r="B942" s="410"/>
      <c r="C942" s="223" t="s">
        <v>54</v>
      </c>
      <c r="D942" s="223" t="s">
        <v>6460</v>
      </c>
      <c r="E942" s="224">
        <v>10000</v>
      </c>
      <c r="F942" s="43"/>
      <c r="G942" s="364"/>
      <c r="H942" s="391" t="s">
        <v>9568</v>
      </c>
    </row>
    <row r="943" spans="1:9" ht="37.5" x14ac:dyDescent="0.3">
      <c r="A943" s="45">
        <v>44092</v>
      </c>
      <c r="B943" s="399"/>
      <c r="C943" s="5" t="s">
        <v>25</v>
      </c>
      <c r="D943" s="92" t="s">
        <v>6462</v>
      </c>
      <c r="E943" s="43">
        <v>1500</v>
      </c>
      <c r="F943" s="43"/>
      <c r="G943" s="364"/>
      <c r="H943" s="391" t="s">
        <v>9568</v>
      </c>
    </row>
    <row r="944" spans="1:9" x14ac:dyDescent="0.3">
      <c r="A944" s="184">
        <v>44092</v>
      </c>
      <c r="B944" s="407"/>
      <c r="C944" s="66" t="s">
        <v>14</v>
      </c>
      <c r="D944" s="230" t="s">
        <v>294</v>
      </c>
      <c r="E944" s="67">
        <v>150000</v>
      </c>
      <c r="F944" s="167"/>
      <c r="G944" s="364"/>
      <c r="H944" s="391" t="s">
        <v>9568</v>
      </c>
    </row>
    <row r="945" spans="1:14" x14ac:dyDescent="0.3">
      <c r="A945" s="45">
        <v>44092</v>
      </c>
      <c r="B945" s="413"/>
      <c r="C945" s="231" t="s">
        <v>25</v>
      </c>
      <c r="D945" s="231" t="s">
        <v>6465</v>
      </c>
      <c r="E945" s="232">
        <v>600</v>
      </c>
      <c r="F945" s="183"/>
      <c r="G945" s="364"/>
      <c r="H945" s="391" t="s">
        <v>9568</v>
      </c>
    </row>
    <row r="946" spans="1:14" x14ac:dyDescent="0.3">
      <c r="A946" s="45">
        <v>44093</v>
      </c>
      <c r="B946" s="413"/>
      <c r="C946" s="231" t="s">
        <v>14</v>
      </c>
      <c r="D946" s="231" t="s">
        <v>294</v>
      </c>
      <c r="E946" s="232">
        <v>50000</v>
      </c>
      <c r="F946" s="183"/>
      <c r="G946" s="364"/>
      <c r="H946" s="391" t="s">
        <v>9568</v>
      </c>
    </row>
    <row r="947" spans="1:14" x14ac:dyDescent="0.3">
      <c r="A947" s="45">
        <v>44093</v>
      </c>
      <c r="B947" s="401"/>
      <c r="C947" s="73" t="s">
        <v>14</v>
      </c>
      <c r="D947" s="73" t="s">
        <v>294</v>
      </c>
      <c r="E947" s="183">
        <v>15000</v>
      </c>
      <c r="F947" s="183"/>
      <c r="G947" s="364"/>
      <c r="H947" s="391" t="s">
        <v>9568</v>
      </c>
    </row>
    <row r="948" spans="1:14" x14ac:dyDescent="0.3">
      <c r="A948" s="45">
        <v>44093</v>
      </c>
      <c r="B948" s="401"/>
      <c r="C948" s="73" t="s">
        <v>1074</v>
      </c>
      <c r="D948" s="73" t="s">
        <v>6468</v>
      </c>
      <c r="E948" s="183">
        <f>1280+5040</f>
        <v>6320</v>
      </c>
      <c r="F948" s="183"/>
      <c r="G948" s="364"/>
      <c r="H948" s="391" t="s">
        <v>9568</v>
      </c>
    </row>
    <row r="949" spans="1:14" x14ac:dyDescent="0.3">
      <c r="A949" s="45">
        <v>44093</v>
      </c>
      <c r="B949" s="401"/>
      <c r="C949" s="73" t="s">
        <v>1074</v>
      </c>
      <c r="D949" s="73" t="s">
        <v>6469</v>
      </c>
      <c r="E949" s="183">
        <f>580+1270</f>
        <v>1850</v>
      </c>
      <c r="F949" s="183"/>
      <c r="G949" s="364"/>
      <c r="H949" s="391" t="s">
        <v>9568</v>
      </c>
    </row>
    <row r="950" spans="1:14" x14ac:dyDescent="0.3">
      <c r="A950" s="45">
        <v>44095</v>
      </c>
      <c r="B950" s="401"/>
      <c r="C950" s="73" t="s">
        <v>2348</v>
      </c>
      <c r="D950" s="73" t="s">
        <v>6470</v>
      </c>
      <c r="E950" s="183">
        <v>20000</v>
      </c>
      <c r="F950" s="183"/>
      <c r="G950" s="364"/>
      <c r="H950" s="391" t="s">
        <v>9568</v>
      </c>
    </row>
    <row r="951" spans="1:14" x14ac:dyDescent="0.3">
      <c r="A951" s="45">
        <v>44095</v>
      </c>
      <c r="B951" s="401"/>
      <c r="C951" s="73" t="s">
        <v>14</v>
      </c>
      <c r="D951" s="73" t="s">
        <v>294</v>
      </c>
      <c r="E951" s="183">
        <v>5000</v>
      </c>
      <c r="F951" s="183"/>
      <c r="G951" s="364"/>
      <c r="H951" s="391" t="s">
        <v>9568</v>
      </c>
    </row>
    <row r="952" spans="1:14" ht="37.5" x14ac:dyDescent="0.3">
      <c r="A952" s="45">
        <v>44095</v>
      </c>
      <c r="B952" s="401"/>
      <c r="C952" s="73" t="s">
        <v>25</v>
      </c>
      <c r="D952" s="103" t="s">
        <v>6471</v>
      </c>
      <c r="E952" s="183">
        <v>500</v>
      </c>
      <c r="F952" s="183"/>
      <c r="G952" s="364"/>
      <c r="H952" s="391" t="s">
        <v>9568</v>
      </c>
    </row>
    <row r="953" spans="1:14" x14ac:dyDescent="0.3">
      <c r="A953" s="45">
        <v>44095</v>
      </c>
      <c r="B953" s="401"/>
      <c r="C953" s="73" t="s">
        <v>6472</v>
      </c>
      <c r="D953" s="103" t="s">
        <v>6473</v>
      </c>
      <c r="E953" s="183">
        <v>100</v>
      </c>
      <c r="F953" s="183"/>
      <c r="G953" s="364"/>
      <c r="H953" s="391" t="s">
        <v>9568</v>
      </c>
    </row>
    <row r="954" spans="1:14" x14ac:dyDescent="0.3">
      <c r="A954" s="45">
        <v>44095</v>
      </c>
      <c r="B954" s="580"/>
      <c r="C954" s="554" t="s">
        <v>5653</v>
      </c>
      <c r="D954" s="554"/>
      <c r="E954" s="554"/>
      <c r="F954" s="43">
        <v>50000</v>
      </c>
      <c r="G954" s="364"/>
      <c r="H954" s="391" t="s">
        <v>9568</v>
      </c>
    </row>
    <row r="955" spans="1:14" x14ac:dyDescent="0.3">
      <c r="A955" s="45">
        <v>44095</v>
      </c>
      <c r="B955" s="580"/>
      <c r="C955" s="554" t="s">
        <v>5653</v>
      </c>
      <c r="D955" s="554"/>
      <c r="E955" s="554"/>
      <c r="F955" s="43">
        <v>25000</v>
      </c>
      <c r="G955" s="364"/>
      <c r="H955" s="391" t="s">
        <v>9568</v>
      </c>
    </row>
    <row r="956" spans="1:14" x14ac:dyDescent="0.3">
      <c r="A956" s="45">
        <v>44095</v>
      </c>
      <c r="B956" s="580"/>
      <c r="C956" s="554" t="s">
        <v>5653</v>
      </c>
      <c r="D956" s="554"/>
      <c r="E956" s="554"/>
      <c r="F956" s="43">
        <v>10000</v>
      </c>
      <c r="G956" s="364"/>
      <c r="H956" s="391" t="s">
        <v>9568</v>
      </c>
    </row>
    <row r="957" spans="1:14" x14ac:dyDescent="0.3">
      <c r="A957" s="45">
        <v>44095</v>
      </c>
      <c r="B957" s="401"/>
      <c r="C957" s="73" t="s">
        <v>6085</v>
      </c>
      <c r="D957" s="73" t="s">
        <v>6474</v>
      </c>
      <c r="E957" s="58">
        <v>75000</v>
      </c>
      <c r="F957" s="58"/>
      <c r="G957" s="364"/>
      <c r="H957" s="391" t="s">
        <v>9568</v>
      </c>
    </row>
    <row r="958" spans="1:14" s="114" customFormat="1" x14ac:dyDescent="0.3">
      <c r="A958" s="45">
        <v>44095</v>
      </c>
      <c r="B958" s="401"/>
      <c r="C958" s="73" t="s">
        <v>247</v>
      </c>
      <c r="D958" s="73" t="s">
        <v>2013</v>
      </c>
      <c r="E958" s="323">
        <v>100</v>
      </c>
      <c r="F958" s="58"/>
      <c r="G958" s="364"/>
      <c r="H958" s="391" t="s">
        <v>9568</v>
      </c>
      <c r="I958" s="113"/>
      <c r="J958" s="113"/>
      <c r="K958" s="113"/>
      <c r="N958" s="194"/>
    </row>
    <row r="959" spans="1:14" s="114" customFormat="1" x14ac:dyDescent="0.3">
      <c r="A959" s="45">
        <v>44095</v>
      </c>
      <c r="B959" s="414"/>
      <c r="C959" s="233" t="s">
        <v>84</v>
      </c>
      <c r="D959" s="233" t="s">
        <v>6475</v>
      </c>
      <c r="E959" s="323">
        <v>350</v>
      </c>
      <c r="F959" s="58"/>
      <c r="G959" s="364"/>
      <c r="H959" s="391" t="s">
        <v>9568</v>
      </c>
      <c r="I959" s="113"/>
      <c r="J959" s="113"/>
      <c r="K959" s="113"/>
      <c r="N959" s="194"/>
    </row>
    <row r="960" spans="1:14" s="114" customFormat="1" x14ac:dyDescent="0.3">
      <c r="A960" s="45">
        <v>44095</v>
      </c>
      <c r="B960" s="414"/>
      <c r="C960" s="233" t="s">
        <v>25</v>
      </c>
      <c r="D960" s="73" t="s">
        <v>6361</v>
      </c>
      <c r="E960" s="58">
        <f>170+120+300+80+30+100+90+40+250+60+100+110+80+100+500</f>
        <v>2130</v>
      </c>
      <c r="F960" s="58"/>
      <c r="G960" s="364"/>
      <c r="H960" s="391" t="s">
        <v>9568</v>
      </c>
      <c r="I960" s="113"/>
      <c r="J960" s="113"/>
      <c r="K960" s="113"/>
      <c r="N960" s="194"/>
    </row>
    <row r="961" spans="1:14" x14ac:dyDescent="0.3">
      <c r="A961" s="45">
        <v>44096</v>
      </c>
      <c r="B961" s="410"/>
      <c r="C961" s="223" t="s">
        <v>54</v>
      </c>
      <c r="D961" s="223" t="s">
        <v>6476</v>
      </c>
      <c r="E961" s="224">
        <v>9000</v>
      </c>
      <c r="F961" s="43"/>
      <c r="G961" s="364"/>
      <c r="H961" s="391" t="s">
        <v>9568</v>
      </c>
    </row>
    <row r="962" spans="1:14" s="114" customFormat="1" x14ac:dyDescent="0.3">
      <c r="A962" s="45">
        <v>44096</v>
      </c>
      <c r="B962" s="414"/>
      <c r="C962" s="233" t="s">
        <v>14</v>
      </c>
      <c r="D962" s="73" t="s">
        <v>6477</v>
      </c>
      <c r="E962" s="58">
        <v>5000</v>
      </c>
      <c r="F962" s="58"/>
      <c r="G962" s="364"/>
      <c r="H962" s="391" t="s">
        <v>9568</v>
      </c>
      <c r="I962" s="113"/>
      <c r="J962" s="113"/>
      <c r="K962" s="113"/>
      <c r="N962" s="194"/>
    </row>
    <row r="963" spans="1:14" x14ac:dyDescent="0.3">
      <c r="A963" s="45">
        <v>44096</v>
      </c>
      <c r="B963" s="580"/>
      <c r="C963" s="554" t="s">
        <v>5653</v>
      </c>
      <c r="D963" s="554"/>
      <c r="E963" s="554"/>
      <c r="F963" s="43">
        <v>150000</v>
      </c>
      <c r="G963" s="364"/>
      <c r="H963" s="391" t="s">
        <v>9568</v>
      </c>
    </row>
    <row r="964" spans="1:14" s="114" customFormat="1" x14ac:dyDescent="0.3">
      <c r="A964" s="45">
        <v>44096</v>
      </c>
      <c r="B964" s="401"/>
      <c r="C964" s="73" t="s">
        <v>84</v>
      </c>
      <c r="D964" s="73" t="s">
        <v>6475</v>
      </c>
      <c r="E964" s="58">
        <v>5000</v>
      </c>
      <c r="F964" s="58"/>
      <c r="G964" s="364"/>
      <c r="H964" s="391" t="s">
        <v>9568</v>
      </c>
      <c r="I964" s="113"/>
      <c r="J964" s="113"/>
      <c r="K964" s="113"/>
      <c r="N964" s="194"/>
    </row>
    <row r="965" spans="1:14" s="114" customFormat="1" ht="37.5" x14ac:dyDescent="0.3">
      <c r="A965" s="45">
        <v>44096</v>
      </c>
      <c r="B965" s="415"/>
      <c r="C965" s="103" t="s">
        <v>6478</v>
      </c>
      <c r="D965" s="73" t="s">
        <v>3332</v>
      </c>
      <c r="E965" s="58">
        <v>5000</v>
      </c>
      <c r="F965" s="58"/>
      <c r="G965" s="364"/>
      <c r="H965" s="391" t="s">
        <v>9568</v>
      </c>
      <c r="I965" s="113"/>
      <c r="J965" s="113"/>
      <c r="K965" s="113"/>
      <c r="N965" s="194"/>
    </row>
    <row r="966" spans="1:14" x14ac:dyDescent="0.3">
      <c r="A966" s="45">
        <v>44096</v>
      </c>
      <c r="B966" s="410"/>
      <c r="C966" s="223" t="s">
        <v>54</v>
      </c>
      <c r="D966" s="223" t="s">
        <v>6479</v>
      </c>
      <c r="E966" s="224">
        <v>21290</v>
      </c>
      <c r="F966" s="43"/>
      <c r="G966" s="364"/>
      <c r="H966" s="391" t="s">
        <v>9568</v>
      </c>
    </row>
    <row r="967" spans="1:14" s="114" customFormat="1" x14ac:dyDescent="0.3">
      <c r="A967" s="45">
        <v>44096</v>
      </c>
      <c r="B967" s="401"/>
      <c r="C967" s="73" t="s">
        <v>4550</v>
      </c>
      <c r="D967" s="73" t="s">
        <v>294</v>
      </c>
      <c r="E967" s="58">
        <v>15000</v>
      </c>
      <c r="F967" s="58"/>
      <c r="G967" s="364"/>
      <c r="H967" s="391" t="s">
        <v>9568</v>
      </c>
      <c r="I967" s="113"/>
      <c r="J967" s="113"/>
      <c r="K967" s="113"/>
      <c r="N967" s="194"/>
    </row>
    <row r="968" spans="1:14" x14ac:dyDescent="0.3">
      <c r="A968" s="45">
        <v>44097</v>
      </c>
      <c r="B968" s="410"/>
      <c r="C968" s="223" t="s">
        <v>54</v>
      </c>
      <c r="D968" s="223" t="s">
        <v>6480</v>
      </c>
      <c r="E968" s="224">
        <v>20050</v>
      </c>
      <c r="F968" s="43"/>
      <c r="G968" s="364"/>
      <c r="H968" s="391" t="s">
        <v>9568</v>
      </c>
    </row>
    <row r="969" spans="1:14" s="114" customFormat="1" x14ac:dyDescent="0.3">
      <c r="A969" s="45">
        <v>44097</v>
      </c>
      <c r="B969" s="401"/>
      <c r="C969" s="73" t="s">
        <v>6099</v>
      </c>
      <c r="D969" s="73" t="s">
        <v>40</v>
      </c>
      <c r="E969" s="58">
        <v>35380</v>
      </c>
      <c r="F969" s="58"/>
      <c r="G969" s="364"/>
      <c r="H969" s="391" t="s">
        <v>9568</v>
      </c>
      <c r="I969" s="113"/>
      <c r="J969" s="113"/>
      <c r="K969" s="113"/>
      <c r="N969" s="194"/>
    </row>
    <row r="970" spans="1:14" x14ac:dyDescent="0.3">
      <c r="A970" s="45">
        <v>44097</v>
      </c>
      <c r="B970" s="401"/>
      <c r="C970" s="73" t="s">
        <v>6481</v>
      </c>
      <c r="D970" s="103" t="s">
        <v>6482</v>
      </c>
      <c r="E970" s="58">
        <v>35000</v>
      </c>
      <c r="F970" s="77"/>
      <c r="G970" s="364"/>
      <c r="H970" s="391" t="s">
        <v>9568</v>
      </c>
    </row>
    <row r="971" spans="1:14" x14ac:dyDescent="0.3">
      <c r="A971" s="45">
        <v>44097</v>
      </c>
      <c r="B971" s="401"/>
      <c r="C971" s="73" t="s">
        <v>0</v>
      </c>
      <c r="D971" s="73" t="s">
        <v>6483</v>
      </c>
      <c r="E971" s="58">
        <v>5000</v>
      </c>
      <c r="F971" s="77"/>
      <c r="G971" s="364"/>
      <c r="H971" s="391" t="s">
        <v>9568</v>
      </c>
    </row>
    <row r="972" spans="1:14" x14ac:dyDescent="0.3">
      <c r="A972" s="45">
        <v>44097</v>
      </c>
      <c r="B972" s="401"/>
      <c r="C972" s="73" t="s">
        <v>5709</v>
      </c>
      <c r="D972" s="58" t="s">
        <v>6485</v>
      </c>
      <c r="E972" s="58">
        <v>7000</v>
      </c>
      <c r="F972" s="43"/>
      <c r="G972" s="364"/>
      <c r="H972" s="391" t="s">
        <v>9568</v>
      </c>
    </row>
    <row r="973" spans="1:14" x14ac:dyDescent="0.3">
      <c r="A973" s="45">
        <v>44098</v>
      </c>
      <c r="B973" s="401"/>
      <c r="C973" s="73" t="s">
        <v>25</v>
      </c>
      <c r="D973" s="73" t="s">
        <v>6489</v>
      </c>
      <c r="E973" s="58">
        <f>975+170</f>
        <v>1145</v>
      </c>
      <c r="F973" s="43"/>
      <c r="G973" s="364"/>
      <c r="H973" s="391" t="s">
        <v>9568</v>
      </c>
    </row>
    <row r="974" spans="1:14" x14ac:dyDescent="0.3">
      <c r="A974" s="45">
        <v>44098</v>
      </c>
      <c r="B974" s="401"/>
      <c r="C974" s="73" t="s">
        <v>25</v>
      </c>
      <c r="D974" s="73" t="s">
        <v>6486</v>
      </c>
      <c r="E974" s="58">
        <v>1000</v>
      </c>
      <c r="F974" s="43"/>
      <c r="G974" s="364"/>
      <c r="H974" s="391" t="s">
        <v>9568</v>
      </c>
    </row>
    <row r="975" spans="1:14" s="114" customFormat="1" x14ac:dyDescent="0.3">
      <c r="A975" s="45">
        <v>44098</v>
      </c>
      <c r="B975" s="401"/>
      <c r="C975" s="73" t="s">
        <v>25</v>
      </c>
      <c r="D975" s="73" t="s">
        <v>6487</v>
      </c>
      <c r="E975" s="58">
        <v>230</v>
      </c>
      <c r="F975" s="58"/>
      <c r="G975" s="364"/>
      <c r="H975" s="391" t="s">
        <v>9568</v>
      </c>
      <c r="I975" s="113"/>
      <c r="J975" s="113"/>
      <c r="K975" s="113"/>
      <c r="N975" s="194"/>
    </row>
    <row r="976" spans="1:14" s="114" customFormat="1" x14ac:dyDescent="0.3">
      <c r="A976" s="45">
        <v>44098</v>
      </c>
      <c r="B976" s="401"/>
      <c r="C976" s="73" t="s">
        <v>25</v>
      </c>
      <c r="D976" s="73" t="s">
        <v>6488</v>
      </c>
      <c r="E976" s="58">
        <v>100</v>
      </c>
      <c r="F976" s="58"/>
      <c r="G976" s="364"/>
      <c r="H976" s="391" t="s">
        <v>9568</v>
      </c>
      <c r="I976" s="113"/>
      <c r="J976" s="113"/>
      <c r="K976" s="113"/>
      <c r="N976" s="194"/>
    </row>
    <row r="977" spans="1:14" x14ac:dyDescent="0.3">
      <c r="A977" s="45">
        <v>44098</v>
      </c>
      <c r="B977" s="580"/>
      <c r="C977" s="554" t="s">
        <v>6490</v>
      </c>
      <c r="D977" s="554"/>
      <c r="E977" s="554"/>
      <c r="F977" s="43">
        <v>800</v>
      </c>
      <c r="G977" s="364"/>
      <c r="H977" s="391" t="s">
        <v>9568</v>
      </c>
    </row>
    <row r="978" spans="1:14" s="114" customFormat="1" x14ac:dyDescent="0.3">
      <c r="A978" s="45">
        <v>44098</v>
      </c>
      <c r="B978" s="401"/>
      <c r="C978" s="73" t="s">
        <v>5709</v>
      </c>
      <c r="D978" s="73" t="s">
        <v>6491</v>
      </c>
      <c r="E978" s="183">
        <v>1120</v>
      </c>
      <c r="F978" s="58"/>
      <c r="G978" s="364"/>
      <c r="H978" s="391" t="s">
        <v>9568</v>
      </c>
      <c r="I978" s="113"/>
      <c r="J978" s="113"/>
      <c r="K978" s="113"/>
      <c r="N978" s="194"/>
    </row>
    <row r="979" spans="1:14" x14ac:dyDescent="0.3">
      <c r="A979" s="45">
        <v>44099</v>
      </c>
      <c r="B979" s="580"/>
      <c r="C979" s="554" t="s">
        <v>5653</v>
      </c>
      <c r="D979" s="554"/>
      <c r="E979" s="554"/>
      <c r="F979" s="43">
        <v>20000</v>
      </c>
      <c r="G979" s="364"/>
      <c r="H979" s="391" t="s">
        <v>9568</v>
      </c>
    </row>
    <row r="980" spans="1:14" s="114" customFormat="1" x14ac:dyDescent="0.3">
      <c r="A980" s="45">
        <v>44099</v>
      </c>
      <c r="B980" s="401"/>
      <c r="C980" s="73" t="s">
        <v>14</v>
      </c>
      <c r="D980" s="73" t="s">
        <v>6494</v>
      </c>
      <c r="E980" s="183">
        <v>18660</v>
      </c>
      <c r="F980" s="58"/>
      <c r="G980" s="364"/>
      <c r="H980" s="391" t="s">
        <v>9568</v>
      </c>
      <c r="I980" s="113"/>
      <c r="J980" s="113"/>
      <c r="K980" s="113"/>
      <c r="N980" s="194"/>
    </row>
    <row r="981" spans="1:14" x14ac:dyDescent="0.3">
      <c r="A981" s="45">
        <v>44100</v>
      </c>
      <c r="B981" s="401"/>
      <c r="C981" s="73" t="s">
        <v>1837</v>
      </c>
      <c r="D981" s="73" t="s">
        <v>6496</v>
      </c>
      <c r="E981" s="183">
        <v>2000</v>
      </c>
      <c r="F981" s="183"/>
      <c r="G981" s="364"/>
      <c r="H981" s="391" t="s">
        <v>9568</v>
      </c>
    </row>
    <row r="982" spans="1:14" x14ac:dyDescent="0.3">
      <c r="A982" s="45">
        <v>44100</v>
      </c>
      <c r="B982" s="399"/>
      <c r="C982" s="5" t="s">
        <v>25</v>
      </c>
      <c r="D982" s="5" t="s">
        <v>6361</v>
      </c>
      <c r="E982" s="43">
        <f>100+110+50+200+70+60+100+50+60+250+100+100+500</f>
        <v>1750</v>
      </c>
      <c r="F982" s="183"/>
      <c r="G982" s="364"/>
      <c r="H982" s="391" t="s">
        <v>9568</v>
      </c>
    </row>
    <row r="983" spans="1:14" x14ac:dyDescent="0.3">
      <c r="A983" s="45">
        <v>44100</v>
      </c>
      <c r="B983" s="399"/>
      <c r="C983" s="5" t="s">
        <v>3559</v>
      </c>
      <c r="D983" s="5" t="s">
        <v>91</v>
      </c>
      <c r="E983" s="43">
        <v>600</v>
      </c>
      <c r="F983" s="183"/>
      <c r="G983" s="364"/>
      <c r="H983" s="391" t="s">
        <v>9568</v>
      </c>
    </row>
    <row r="984" spans="1:14" x14ac:dyDescent="0.3">
      <c r="A984" s="45">
        <v>44100</v>
      </c>
      <c r="B984" s="399"/>
      <c r="C984" s="5" t="s">
        <v>4011</v>
      </c>
      <c r="D984" s="5" t="s">
        <v>6497</v>
      </c>
      <c r="E984" s="43">
        <v>1200</v>
      </c>
      <c r="F984" s="183"/>
      <c r="G984" s="364"/>
      <c r="H984" s="391" t="s">
        <v>9568</v>
      </c>
    </row>
    <row r="985" spans="1:14" x14ac:dyDescent="0.3">
      <c r="A985" s="45">
        <v>44100</v>
      </c>
      <c r="B985" s="399"/>
      <c r="C985" s="5" t="s">
        <v>25</v>
      </c>
      <c r="D985" s="5" t="s">
        <v>2025</v>
      </c>
      <c r="E985" s="43">
        <v>200</v>
      </c>
      <c r="F985" s="43"/>
      <c r="G985" s="364"/>
      <c r="H985" s="391" t="s">
        <v>9568</v>
      </c>
    </row>
    <row r="986" spans="1:14" x14ac:dyDescent="0.3">
      <c r="A986" s="45">
        <v>44102</v>
      </c>
      <c r="B986" s="399"/>
      <c r="C986" s="5" t="s">
        <v>25</v>
      </c>
      <c r="D986" s="5" t="s">
        <v>6498</v>
      </c>
      <c r="E986" s="43">
        <v>50</v>
      </c>
      <c r="F986" s="43"/>
      <c r="G986" s="364"/>
      <c r="H986" s="391" t="s">
        <v>9568</v>
      </c>
    </row>
    <row r="987" spans="1:14" x14ac:dyDescent="0.3">
      <c r="A987" s="45">
        <v>44102</v>
      </c>
      <c r="B987" s="580"/>
      <c r="C987" s="554" t="s">
        <v>3444</v>
      </c>
      <c r="D987" s="554"/>
      <c r="E987" s="554"/>
      <c r="F987" s="43">
        <v>500000</v>
      </c>
      <c r="G987" s="364"/>
      <c r="H987" s="391" t="s">
        <v>9568</v>
      </c>
    </row>
    <row r="988" spans="1:14" x14ac:dyDescent="0.3">
      <c r="A988" s="45">
        <v>44102</v>
      </c>
      <c r="B988" s="399"/>
      <c r="C988" s="5" t="s">
        <v>4308</v>
      </c>
      <c r="D988" s="5" t="s">
        <v>40</v>
      </c>
      <c r="E988" s="43">
        <v>40000</v>
      </c>
      <c r="F988" s="43"/>
      <c r="G988" s="364"/>
      <c r="H988" s="391" t="s">
        <v>9568</v>
      </c>
    </row>
    <row r="989" spans="1:14" x14ac:dyDescent="0.3">
      <c r="A989" s="45">
        <v>44102</v>
      </c>
      <c r="B989" s="399"/>
      <c r="C989" s="5" t="s">
        <v>1074</v>
      </c>
      <c r="D989" s="5" t="s">
        <v>6523</v>
      </c>
      <c r="E989" s="43">
        <f>23118+14229</f>
        <v>37347</v>
      </c>
      <c r="F989" s="43"/>
      <c r="G989" s="364"/>
      <c r="H989" s="391" t="s">
        <v>9568</v>
      </c>
    </row>
    <row r="990" spans="1:14" x14ac:dyDescent="0.3">
      <c r="A990" s="45">
        <v>44102</v>
      </c>
      <c r="B990" s="399"/>
      <c r="C990" s="5" t="s">
        <v>1074</v>
      </c>
      <c r="D990" s="5" t="s">
        <v>6499</v>
      </c>
      <c r="E990" s="43">
        <v>170098</v>
      </c>
      <c r="F990" s="43"/>
      <c r="G990" s="364"/>
      <c r="H990" s="391" t="s">
        <v>9568</v>
      </c>
    </row>
    <row r="991" spans="1:14" x14ac:dyDescent="0.3">
      <c r="A991" s="45">
        <v>44102</v>
      </c>
      <c r="B991" s="399"/>
      <c r="C991" s="5" t="s">
        <v>5709</v>
      </c>
      <c r="D991" s="221" t="s">
        <v>6500</v>
      </c>
      <c r="E991" s="42">
        <v>1000</v>
      </c>
      <c r="F991" s="43"/>
      <c r="G991" s="364"/>
      <c r="H991" s="391" t="s">
        <v>9568</v>
      </c>
    </row>
    <row r="992" spans="1:14" x14ac:dyDescent="0.3">
      <c r="A992" s="45">
        <v>44102</v>
      </c>
      <c r="B992" s="399"/>
      <c r="C992" s="5" t="s">
        <v>6145</v>
      </c>
      <c r="D992" s="5" t="s">
        <v>4572</v>
      </c>
      <c r="E992" s="43">
        <v>6800</v>
      </c>
      <c r="F992" s="43"/>
      <c r="G992" s="364"/>
      <c r="H992" s="391" t="s">
        <v>9568</v>
      </c>
    </row>
    <row r="993" spans="1:9" x14ac:dyDescent="0.3">
      <c r="A993" s="45">
        <v>44102</v>
      </c>
      <c r="B993" s="399"/>
      <c r="C993" s="5" t="s">
        <v>6501</v>
      </c>
      <c r="D993" s="5" t="s">
        <v>294</v>
      </c>
      <c r="E993" s="43">
        <v>98743</v>
      </c>
      <c r="F993" s="43"/>
      <c r="G993" s="364"/>
      <c r="H993" s="391" t="s">
        <v>9568</v>
      </c>
    </row>
    <row r="994" spans="1:9" x14ac:dyDescent="0.3">
      <c r="A994" s="45">
        <v>44102</v>
      </c>
      <c r="B994" s="399"/>
      <c r="C994" s="5" t="s">
        <v>14</v>
      </c>
      <c r="D994" s="5" t="s">
        <v>294</v>
      </c>
      <c r="E994" s="43">
        <v>25000</v>
      </c>
      <c r="F994" s="43"/>
      <c r="G994" s="364"/>
      <c r="H994" s="391" t="s">
        <v>9568</v>
      </c>
    </row>
    <row r="995" spans="1:9" x14ac:dyDescent="0.3">
      <c r="A995" s="45">
        <v>44102</v>
      </c>
      <c r="B995" s="399"/>
      <c r="C995" s="5" t="s">
        <v>247</v>
      </c>
      <c r="D995" s="5" t="s">
        <v>6502</v>
      </c>
      <c r="E995" s="43">
        <v>100</v>
      </c>
      <c r="F995" s="43"/>
      <c r="G995" s="364"/>
      <c r="H995" s="391" t="s">
        <v>9568</v>
      </c>
    </row>
    <row r="996" spans="1:9" x14ac:dyDescent="0.3">
      <c r="A996" s="45">
        <v>44102</v>
      </c>
      <c r="B996" s="399"/>
      <c r="C996" s="5" t="s">
        <v>0</v>
      </c>
      <c r="D996" s="5" t="s">
        <v>6504</v>
      </c>
      <c r="E996" s="43">
        <v>5000</v>
      </c>
      <c r="F996" s="43"/>
      <c r="G996" s="364"/>
      <c r="H996" s="391" t="s">
        <v>9568</v>
      </c>
    </row>
    <row r="997" spans="1:9" x14ac:dyDescent="0.3">
      <c r="A997" s="45">
        <v>44102</v>
      </c>
      <c r="B997" s="399"/>
      <c r="C997" s="5" t="s">
        <v>6341</v>
      </c>
      <c r="D997" s="5" t="s">
        <v>6505</v>
      </c>
      <c r="E997" s="43">
        <v>10000</v>
      </c>
      <c r="F997" s="43"/>
      <c r="G997" s="364"/>
      <c r="H997" s="391" t="s">
        <v>9568</v>
      </c>
    </row>
    <row r="998" spans="1:9" x14ac:dyDescent="0.3">
      <c r="A998" s="45">
        <v>44102</v>
      </c>
      <c r="B998" s="399"/>
      <c r="C998" s="5" t="s">
        <v>541</v>
      </c>
      <c r="D998" s="5" t="s">
        <v>6506</v>
      </c>
      <c r="E998" s="43">
        <v>100000</v>
      </c>
      <c r="F998" s="43"/>
      <c r="G998" s="364"/>
      <c r="H998" s="391" t="s">
        <v>9568</v>
      </c>
    </row>
    <row r="999" spans="1:9" x14ac:dyDescent="0.3">
      <c r="A999" s="45">
        <v>44102</v>
      </c>
      <c r="B999" s="580"/>
      <c r="C999" s="554" t="s">
        <v>6503</v>
      </c>
      <c r="D999" s="554"/>
      <c r="E999" s="554"/>
      <c r="F999" s="43">
        <v>20000</v>
      </c>
      <c r="G999" s="364"/>
      <c r="H999" s="391" t="s">
        <v>9568</v>
      </c>
    </row>
    <row r="1000" spans="1:9" x14ac:dyDescent="0.3">
      <c r="A1000" s="45">
        <v>44102</v>
      </c>
      <c r="B1000" s="580"/>
      <c r="C1000" s="554" t="s">
        <v>6503</v>
      </c>
      <c r="D1000" s="554"/>
      <c r="E1000" s="554"/>
      <c r="F1000" s="43">
        <v>1500</v>
      </c>
      <c r="G1000" s="364"/>
      <c r="H1000" s="391" t="s">
        <v>9568</v>
      </c>
    </row>
    <row r="1001" spans="1:9" x14ac:dyDescent="0.3">
      <c r="A1001" s="45">
        <v>44102</v>
      </c>
      <c r="B1001" s="399"/>
      <c r="C1001" s="5" t="s">
        <v>1012</v>
      </c>
      <c r="D1001" s="5" t="s">
        <v>6507</v>
      </c>
      <c r="E1001" s="43">
        <v>8000</v>
      </c>
      <c r="F1001" s="43"/>
      <c r="G1001" s="364"/>
      <c r="H1001" s="391" t="s">
        <v>9568</v>
      </c>
    </row>
    <row r="1002" spans="1:9" x14ac:dyDescent="0.3">
      <c r="A1002" s="45">
        <v>44102</v>
      </c>
      <c r="B1002" s="399"/>
      <c r="C1002" s="5" t="s">
        <v>25</v>
      </c>
      <c r="D1002" s="5" t="s">
        <v>6509</v>
      </c>
      <c r="E1002" s="43">
        <v>600</v>
      </c>
      <c r="F1002" s="43"/>
      <c r="G1002" s="364"/>
      <c r="H1002" s="391" t="s">
        <v>9568</v>
      </c>
    </row>
    <row r="1003" spans="1:9" x14ac:dyDescent="0.3">
      <c r="A1003" s="45">
        <v>44103</v>
      </c>
      <c r="B1003" s="580"/>
      <c r="C1003" s="554" t="s">
        <v>5653</v>
      </c>
      <c r="D1003" s="554"/>
      <c r="E1003" s="554"/>
      <c r="F1003" s="43">
        <v>500000</v>
      </c>
      <c r="G1003" s="364"/>
      <c r="H1003" s="391" t="s">
        <v>9568</v>
      </c>
    </row>
    <row r="1004" spans="1:9" x14ac:dyDescent="0.3">
      <c r="A1004" s="45">
        <v>44103</v>
      </c>
      <c r="B1004" s="399"/>
      <c r="C1004" s="5" t="s">
        <v>6510</v>
      </c>
      <c r="D1004" s="5" t="s">
        <v>6511</v>
      </c>
      <c r="E1004" s="43">
        <v>13000</v>
      </c>
      <c r="F1004" s="43"/>
      <c r="G1004" s="364"/>
      <c r="H1004" s="391" t="s">
        <v>9568</v>
      </c>
    </row>
    <row r="1005" spans="1:9" x14ac:dyDescent="0.3">
      <c r="A1005" s="45">
        <v>44103</v>
      </c>
      <c r="B1005" s="399"/>
      <c r="C1005" s="5" t="s">
        <v>541</v>
      </c>
      <c r="D1005" s="5" t="s">
        <v>6512</v>
      </c>
      <c r="E1005" s="43">
        <v>10000</v>
      </c>
      <c r="F1005" s="43"/>
      <c r="G1005" s="364"/>
      <c r="H1005" s="391" t="s">
        <v>9568</v>
      </c>
      <c r="I1005" s="229"/>
    </row>
    <row r="1006" spans="1:9" x14ac:dyDescent="0.3">
      <c r="A1006" s="45">
        <v>44103</v>
      </c>
      <c r="B1006" s="399"/>
      <c r="C1006" s="5" t="s">
        <v>25</v>
      </c>
      <c r="D1006" s="5" t="s">
        <v>6513</v>
      </c>
      <c r="E1006" s="43">
        <v>120</v>
      </c>
      <c r="F1006" s="43"/>
      <c r="G1006" s="364"/>
      <c r="H1006" s="391" t="s">
        <v>9568</v>
      </c>
    </row>
    <row r="1007" spans="1:9" x14ac:dyDescent="0.3">
      <c r="A1007" s="45">
        <v>44103</v>
      </c>
      <c r="B1007" s="399"/>
      <c r="C1007" s="5" t="s">
        <v>6514</v>
      </c>
      <c r="D1007" s="5" t="s">
        <v>6515</v>
      </c>
      <c r="E1007" s="43">
        <v>300000</v>
      </c>
      <c r="F1007" s="43"/>
      <c r="G1007" s="364"/>
      <c r="H1007" s="391" t="s">
        <v>9568</v>
      </c>
    </row>
    <row r="1008" spans="1:9" x14ac:dyDescent="0.3">
      <c r="A1008" s="45">
        <v>44103</v>
      </c>
      <c r="B1008" s="399"/>
      <c r="C1008" s="5" t="s">
        <v>2348</v>
      </c>
      <c r="D1008" s="5" t="s">
        <v>6516</v>
      </c>
      <c r="E1008" s="43">
        <v>27000</v>
      </c>
      <c r="F1008" s="43"/>
      <c r="G1008" s="364"/>
      <c r="H1008" s="391" t="s">
        <v>9568</v>
      </c>
    </row>
    <row r="1009" spans="1:8" x14ac:dyDescent="0.3">
      <c r="A1009" s="45">
        <v>44103</v>
      </c>
      <c r="B1009" s="399"/>
      <c r="C1009" s="5" t="s">
        <v>6355</v>
      </c>
      <c r="D1009" s="5" t="s">
        <v>6517</v>
      </c>
      <c r="E1009" s="43">
        <v>400</v>
      </c>
      <c r="F1009" s="43"/>
      <c r="G1009" s="364"/>
      <c r="H1009" s="391" t="s">
        <v>9568</v>
      </c>
    </row>
    <row r="1010" spans="1:8" x14ac:dyDescent="0.3">
      <c r="A1010" s="45">
        <v>44104</v>
      </c>
      <c r="B1010" s="399"/>
      <c r="C1010" s="5" t="s">
        <v>25</v>
      </c>
      <c r="D1010" s="5" t="s">
        <v>6361</v>
      </c>
      <c r="E1010" s="43">
        <f>400+70+20+20+60+150+40+40+110+120+180+80+150+70+110+90+250</f>
        <v>1960</v>
      </c>
      <c r="F1010" s="43"/>
      <c r="G1010" s="364"/>
      <c r="H1010" s="391" t="s">
        <v>9568</v>
      </c>
    </row>
    <row r="1011" spans="1:8" x14ac:dyDescent="0.3">
      <c r="A1011" s="45">
        <v>44104</v>
      </c>
      <c r="B1011" s="399"/>
      <c r="C1011" s="5" t="s">
        <v>4915</v>
      </c>
      <c r="D1011" s="5" t="s">
        <v>6518</v>
      </c>
      <c r="E1011" s="43">
        <v>5000</v>
      </c>
      <c r="F1011" s="43"/>
      <c r="G1011" s="364"/>
      <c r="H1011" s="391" t="s">
        <v>9568</v>
      </c>
    </row>
    <row r="1012" spans="1:8" x14ac:dyDescent="0.3">
      <c r="A1012" s="45">
        <v>44105</v>
      </c>
      <c r="B1012" s="399"/>
      <c r="C1012" s="5" t="s">
        <v>14</v>
      </c>
      <c r="D1012" s="5" t="s">
        <v>294</v>
      </c>
      <c r="E1012" s="43">
        <v>5000</v>
      </c>
      <c r="F1012" s="43"/>
      <c r="G1012" s="364"/>
      <c r="H1012" s="391" t="s">
        <v>9568</v>
      </c>
    </row>
    <row r="1013" spans="1:8" x14ac:dyDescent="0.3">
      <c r="A1013" s="45">
        <v>44105</v>
      </c>
      <c r="B1013" s="399"/>
      <c r="C1013" s="5" t="s">
        <v>84</v>
      </c>
      <c r="D1013" s="5" t="s">
        <v>6519</v>
      </c>
      <c r="E1013" s="43">
        <v>10000</v>
      </c>
      <c r="F1013" s="43"/>
      <c r="G1013" s="364"/>
      <c r="H1013" s="391" t="s">
        <v>9568</v>
      </c>
    </row>
    <row r="1014" spans="1:8" x14ac:dyDescent="0.3">
      <c r="A1014" s="45">
        <v>44105</v>
      </c>
      <c r="B1014" s="399"/>
      <c r="C1014" s="5" t="s">
        <v>6430</v>
      </c>
      <c r="D1014" s="5" t="s">
        <v>6524</v>
      </c>
      <c r="E1014" s="43">
        <v>1000</v>
      </c>
      <c r="F1014" s="43"/>
      <c r="G1014" s="364"/>
      <c r="H1014" s="391" t="s">
        <v>9568</v>
      </c>
    </row>
    <row r="1015" spans="1:8" x14ac:dyDescent="0.3">
      <c r="A1015" s="45">
        <v>44105</v>
      </c>
      <c r="B1015" s="399"/>
      <c r="C1015" s="5" t="s">
        <v>6430</v>
      </c>
      <c r="D1015" s="5" t="s">
        <v>6525</v>
      </c>
      <c r="E1015" s="43">
        <v>40000</v>
      </c>
      <c r="F1015" s="43"/>
      <c r="G1015" s="364"/>
      <c r="H1015" s="391" t="s">
        <v>9568</v>
      </c>
    </row>
    <row r="1016" spans="1:8" x14ac:dyDescent="0.3">
      <c r="A1016" s="45">
        <v>44105</v>
      </c>
      <c r="B1016" s="580"/>
      <c r="C1016" s="554" t="s">
        <v>5653</v>
      </c>
      <c r="D1016" s="554"/>
      <c r="E1016" s="554"/>
      <c r="F1016" s="43">
        <v>50000</v>
      </c>
      <c r="G1016" s="364"/>
      <c r="H1016" s="391" t="s">
        <v>9568</v>
      </c>
    </row>
    <row r="1017" spans="1:8" x14ac:dyDescent="0.3">
      <c r="A1017" s="45">
        <v>44105</v>
      </c>
      <c r="B1017" s="399"/>
      <c r="C1017" s="5" t="s">
        <v>6520</v>
      </c>
      <c r="D1017" s="5" t="s">
        <v>6521</v>
      </c>
      <c r="E1017" s="43">
        <v>30000</v>
      </c>
      <c r="F1017" s="43"/>
      <c r="G1017" s="364"/>
      <c r="H1017" s="391" t="s">
        <v>9568</v>
      </c>
    </row>
    <row r="1018" spans="1:8" x14ac:dyDescent="0.3">
      <c r="A1018" s="45">
        <v>44105</v>
      </c>
      <c r="B1018" s="399"/>
      <c r="C1018" s="5" t="s">
        <v>84</v>
      </c>
      <c r="D1018" s="5" t="s">
        <v>6475</v>
      </c>
      <c r="E1018" s="43">
        <v>200</v>
      </c>
      <c r="F1018" s="43"/>
      <c r="G1018" s="364"/>
      <c r="H1018" s="391" t="s">
        <v>9568</v>
      </c>
    </row>
    <row r="1019" spans="1:8" x14ac:dyDescent="0.3">
      <c r="A1019" s="45">
        <v>44106</v>
      </c>
      <c r="B1019" s="399"/>
      <c r="C1019" s="5" t="s">
        <v>14</v>
      </c>
      <c r="D1019" s="5" t="s">
        <v>294</v>
      </c>
      <c r="E1019" s="43">
        <v>50000</v>
      </c>
      <c r="F1019" s="43"/>
      <c r="G1019" s="364"/>
      <c r="H1019" s="391" t="s">
        <v>9568</v>
      </c>
    </row>
    <row r="1020" spans="1:8" x14ac:dyDescent="0.3">
      <c r="A1020" s="45">
        <v>44106</v>
      </c>
      <c r="B1020" s="399"/>
      <c r="C1020" s="5" t="s">
        <v>4869</v>
      </c>
      <c r="D1020" s="5" t="s">
        <v>40</v>
      </c>
      <c r="E1020" s="43">
        <v>4162</v>
      </c>
      <c r="F1020" s="43"/>
      <c r="G1020" s="364"/>
      <c r="H1020" s="391" t="s">
        <v>9568</v>
      </c>
    </row>
    <row r="1021" spans="1:8" x14ac:dyDescent="0.3">
      <c r="A1021" s="45">
        <v>44106</v>
      </c>
      <c r="B1021" s="399"/>
      <c r="C1021" s="5" t="s">
        <v>1074</v>
      </c>
      <c r="D1021" s="5" t="s">
        <v>6522</v>
      </c>
      <c r="E1021" s="43">
        <v>1785</v>
      </c>
      <c r="F1021" s="43"/>
      <c r="G1021" s="364"/>
      <c r="H1021" s="391" t="s">
        <v>9568</v>
      </c>
    </row>
    <row r="1022" spans="1:8" x14ac:dyDescent="0.3">
      <c r="A1022" s="45">
        <v>44106</v>
      </c>
      <c r="B1022" s="399"/>
      <c r="C1022" s="5" t="s">
        <v>541</v>
      </c>
      <c r="D1022" s="5" t="s">
        <v>6526</v>
      </c>
      <c r="E1022" s="43">
        <v>1020</v>
      </c>
      <c r="F1022" s="43"/>
      <c r="G1022" s="364"/>
      <c r="H1022" s="391" t="s">
        <v>9568</v>
      </c>
    </row>
    <row r="1023" spans="1:8" x14ac:dyDescent="0.3">
      <c r="A1023" s="45">
        <v>44107</v>
      </c>
      <c r="B1023" s="399"/>
      <c r="C1023" s="5" t="s">
        <v>1012</v>
      </c>
      <c r="D1023" s="5" t="s">
        <v>6527</v>
      </c>
      <c r="E1023" s="43">
        <v>2500</v>
      </c>
      <c r="F1023" s="43"/>
      <c r="G1023" s="364"/>
      <c r="H1023" s="391" t="s">
        <v>9568</v>
      </c>
    </row>
    <row r="1024" spans="1:8" x14ac:dyDescent="0.3">
      <c r="A1024" s="45">
        <v>44107</v>
      </c>
      <c r="B1024" s="399"/>
      <c r="C1024" s="5" t="s">
        <v>18</v>
      </c>
      <c r="D1024" s="5" t="s">
        <v>6528</v>
      </c>
      <c r="E1024" s="43">
        <v>7000</v>
      </c>
      <c r="F1024" s="43"/>
      <c r="G1024" s="364"/>
      <c r="H1024" s="391" t="s">
        <v>9568</v>
      </c>
    </row>
    <row r="1025" spans="1:8" x14ac:dyDescent="0.3">
      <c r="A1025" s="45">
        <v>44107</v>
      </c>
      <c r="B1025" s="399"/>
      <c r="C1025" s="5" t="s">
        <v>6430</v>
      </c>
      <c r="D1025" s="5" t="s">
        <v>6529</v>
      </c>
      <c r="E1025" s="43">
        <v>10000</v>
      </c>
      <c r="F1025" s="43"/>
      <c r="G1025" s="364"/>
      <c r="H1025" s="391" t="s">
        <v>9568</v>
      </c>
    </row>
    <row r="1026" spans="1:8" x14ac:dyDescent="0.3">
      <c r="A1026" s="45">
        <v>44107</v>
      </c>
      <c r="B1026" s="399"/>
      <c r="C1026" s="5" t="s">
        <v>84</v>
      </c>
      <c r="D1026" s="5" t="s">
        <v>6475</v>
      </c>
      <c r="E1026" s="43">
        <v>100</v>
      </c>
      <c r="F1026" s="43"/>
      <c r="G1026" s="364"/>
      <c r="H1026" s="391" t="s">
        <v>9568</v>
      </c>
    </row>
    <row r="1027" spans="1:8" x14ac:dyDescent="0.3">
      <c r="A1027" s="45">
        <v>44107</v>
      </c>
      <c r="B1027" s="399"/>
      <c r="C1027" s="5" t="s">
        <v>5162</v>
      </c>
      <c r="D1027" s="5" t="s">
        <v>6567</v>
      </c>
      <c r="E1027" s="43">
        <v>600</v>
      </c>
      <c r="F1027" s="43"/>
      <c r="G1027" s="364"/>
      <c r="H1027" s="391" t="s">
        <v>9568</v>
      </c>
    </row>
    <row r="1028" spans="1:8" x14ac:dyDescent="0.3">
      <c r="A1028" s="45">
        <v>44109</v>
      </c>
      <c r="B1028" s="399"/>
      <c r="C1028" s="5" t="s">
        <v>14</v>
      </c>
      <c r="D1028" s="5" t="s">
        <v>6530</v>
      </c>
      <c r="E1028" s="43">
        <v>23634</v>
      </c>
      <c r="F1028" s="43"/>
      <c r="G1028" s="364"/>
      <c r="H1028" s="391" t="s">
        <v>9568</v>
      </c>
    </row>
    <row r="1029" spans="1:8" x14ac:dyDescent="0.3">
      <c r="A1029" s="45">
        <v>44109</v>
      </c>
      <c r="B1029" s="399"/>
      <c r="C1029" s="5" t="s">
        <v>25</v>
      </c>
      <c r="D1029" s="5" t="s">
        <v>6361</v>
      </c>
      <c r="E1029" s="43">
        <f>500+510+40+100+40+120+30+330+40+40+450+20+110+150+120+500+140+300+100+120+100</f>
        <v>3860</v>
      </c>
      <c r="F1029" s="43"/>
      <c r="G1029" s="364"/>
      <c r="H1029" s="391" t="s">
        <v>9568</v>
      </c>
    </row>
    <row r="1030" spans="1:8" x14ac:dyDescent="0.3">
      <c r="A1030" s="45">
        <v>44109</v>
      </c>
      <c r="B1030" s="399"/>
      <c r="C1030" s="5" t="s">
        <v>247</v>
      </c>
      <c r="D1030" s="5" t="s">
        <v>6502</v>
      </c>
      <c r="E1030" s="43">
        <v>100</v>
      </c>
      <c r="F1030" s="43"/>
      <c r="G1030" s="364"/>
      <c r="H1030" s="391" t="s">
        <v>9568</v>
      </c>
    </row>
    <row r="1031" spans="1:8" x14ac:dyDescent="0.3">
      <c r="A1031" s="45">
        <v>44109</v>
      </c>
      <c r="B1031" s="580"/>
      <c r="C1031" s="554" t="s">
        <v>5653</v>
      </c>
      <c r="D1031" s="554"/>
      <c r="E1031" s="554"/>
      <c r="F1031" s="43">
        <v>400000</v>
      </c>
      <c r="G1031" s="364"/>
      <c r="H1031" s="391" t="s">
        <v>9568</v>
      </c>
    </row>
    <row r="1032" spans="1:8" x14ac:dyDescent="0.3">
      <c r="A1032" s="45">
        <v>44109</v>
      </c>
      <c r="B1032" s="402"/>
      <c r="C1032" s="39" t="s">
        <v>1512</v>
      </c>
      <c r="D1032" s="39" t="s">
        <v>6531</v>
      </c>
      <c r="E1032" s="40">
        <v>41730</v>
      </c>
      <c r="F1032" s="43"/>
      <c r="G1032" s="364"/>
      <c r="H1032" s="391" t="s">
        <v>9568</v>
      </c>
    </row>
    <row r="1033" spans="1:8" x14ac:dyDescent="0.3">
      <c r="A1033" s="45">
        <v>44109</v>
      </c>
      <c r="B1033" s="402"/>
      <c r="C1033" s="39" t="s">
        <v>1512</v>
      </c>
      <c r="D1033" s="39" t="s">
        <v>6532</v>
      </c>
      <c r="E1033" s="40">
        <v>5000</v>
      </c>
      <c r="F1033" s="43"/>
      <c r="G1033" s="364"/>
      <c r="H1033" s="391" t="s">
        <v>9568</v>
      </c>
    </row>
    <row r="1034" spans="1:8" x14ac:dyDescent="0.3">
      <c r="A1034" s="45">
        <v>44109</v>
      </c>
      <c r="B1034" s="399"/>
      <c r="C1034" s="5" t="s">
        <v>25</v>
      </c>
      <c r="D1034" s="5" t="s">
        <v>6533</v>
      </c>
      <c r="E1034" s="43">
        <v>100</v>
      </c>
      <c r="F1034" s="43"/>
      <c r="G1034" s="364"/>
      <c r="H1034" s="391" t="s">
        <v>9568</v>
      </c>
    </row>
    <row r="1035" spans="1:8" x14ac:dyDescent="0.3">
      <c r="A1035" s="45">
        <v>44109</v>
      </c>
      <c r="B1035" s="399"/>
      <c r="C1035" s="5" t="s">
        <v>0</v>
      </c>
      <c r="D1035" s="5" t="s">
        <v>294</v>
      </c>
      <c r="E1035" s="43">
        <v>5000</v>
      </c>
      <c r="F1035" s="43"/>
      <c r="G1035" s="364"/>
      <c r="H1035" s="391" t="s">
        <v>9568</v>
      </c>
    </row>
    <row r="1036" spans="1:8" x14ac:dyDescent="0.3">
      <c r="A1036" s="45">
        <v>44109</v>
      </c>
      <c r="B1036" s="399"/>
      <c r="C1036" s="5" t="s">
        <v>1787</v>
      </c>
      <c r="D1036" s="5" t="s">
        <v>6534</v>
      </c>
      <c r="E1036" s="43">
        <v>1500</v>
      </c>
      <c r="F1036" s="43"/>
      <c r="G1036" s="364"/>
      <c r="H1036" s="391" t="s">
        <v>9568</v>
      </c>
    </row>
    <row r="1037" spans="1:8" ht="37.5" x14ac:dyDescent="0.3">
      <c r="A1037" s="45">
        <v>44109</v>
      </c>
      <c r="B1037" s="399"/>
      <c r="C1037" s="5" t="s">
        <v>1970</v>
      </c>
      <c r="D1037" s="92" t="s">
        <v>6535</v>
      </c>
      <c r="E1037" s="43">
        <v>25000</v>
      </c>
      <c r="F1037" s="43"/>
      <c r="G1037" s="364"/>
      <c r="H1037" s="391" t="s">
        <v>9568</v>
      </c>
    </row>
    <row r="1038" spans="1:8" x14ac:dyDescent="0.3">
      <c r="A1038" s="45">
        <v>44109</v>
      </c>
      <c r="B1038" s="399"/>
      <c r="C1038" s="5" t="s">
        <v>6171</v>
      </c>
      <c r="D1038" s="5" t="s">
        <v>6536</v>
      </c>
      <c r="E1038" s="43">
        <v>15000</v>
      </c>
      <c r="F1038" s="43"/>
      <c r="G1038" s="364"/>
      <c r="H1038" s="391" t="s">
        <v>9568</v>
      </c>
    </row>
    <row r="1039" spans="1:8" x14ac:dyDescent="0.3">
      <c r="A1039" s="45">
        <v>44109</v>
      </c>
      <c r="B1039" s="402"/>
      <c r="C1039" s="39" t="s">
        <v>1512</v>
      </c>
      <c r="D1039" s="39" t="s">
        <v>6537</v>
      </c>
      <c r="E1039" s="40">
        <v>34700</v>
      </c>
      <c r="F1039" s="43"/>
      <c r="G1039" s="364"/>
      <c r="H1039" s="391" t="s">
        <v>9568</v>
      </c>
    </row>
    <row r="1040" spans="1:8" x14ac:dyDescent="0.3">
      <c r="A1040" s="45">
        <v>44109</v>
      </c>
      <c r="B1040" s="399"/>
      <c r="C1040" s="5" t="s">
        <v>25</v>
      </c>
      <c r="D1040" s="5" t="s">
        <v>3563</v>
      </c>
      <c r="E1040" s="43">
        <v>5000</v>
      </c>
      <c r="F1040" s="43"/>
      <c r="G1040" s="364"/>
      <c r="H1040" s="391" t="s">
        <v>9568</v>
      </c>
    </row>
    <row r="1041" spans="1:8" x14ac:dyDescent="0.3">
      <c r="A1041" s="45">
        <v>44110</v>
      </c>
      <c r="B1041" s="399"/>
      <c r="C1041" s="5" t="s">
        <v>14</v>
      </c>
      <c r="D1041" s="5" t="s">
        <v>294</v>
      </c>
      <c r="E1041" s="43">
        <v>50000</v>
      </c>
      <c r="F1041" s="43"/>
      <c r="G1041" s="364"/>
      <c r="H1041" s="391" t="s">
        <v>9568</v>
      </c>
    </row>
    <row r="1042" spans="1:8" x14ac:dyDescent="0.3">
      <c r="A1042" s="45">
        <v>44110</v>
      </c>
      <c r="B1042" s="399"/>
      <c r="C1042" s="5" t="s">
        <v>25</v>
      </c>
      <c r="D1042" s="5" t="s">
        <v>6538</v>
      </c>
      <c r="E1042" s="43">
        <v>4006</v>
      </c>
      <c r="F1042" s="43"/>
      <c r="G1042" s="364"/>
      <c r="H1042" s="391" t="s">
        <v>9568</v>
      </c>
    </row>
    <row r="1043" spans="1:8" x14ac:dyDescent="0.3">
      <c r="A1043" s="45">
        <v>44110</v>
      </c>
      <c r="B1043" s="399"/>
      <c r="C1043" s="5" t="s">
        <v>0</v>
      </c>
      <c r="D1043" s="5" t="s">
        <v>6539</v>
      </c>
      <c r="E1043" s="43">
        <v>100</v>
      </c>
      <c r="F1043" s="43"/>
      <c r="G1043" s="364"/>
      <c r="H1043" s="391" t="s">
        <v>9568</v>
      </c>
    </row>
    <row r="1044" spans="1:8" x14ac:dyDescent="0.3">
      <c r="A1044" s="45">
        <v>44110</v>
      </c>
      <c r="B1044" s="399"/>
      <c r="C1044" s="5" t="s">
        <v>6540</v>
      </c>
      <c r="D1044" s="5" t="s">
        <v>6541</v>
      </c>
      <c r="E1044" s="43">
        <v>3500</v>
      </c>
      <c r="F1044" s="43"/>
      <c r="G1044" s="364"/>
      <c r="H1044" s="391" t="s">
        <v>9568</v>
      </c>
    </row>
    <row r="1045" spans="1:8" x14ac:dyDescent="0.3">
      <c r="A1045" s="45">
        <v>44110</v>
      </c>
      <c r="B1045" s="399"/>
      <c r="C1045" s="5" t="s">
        <v>84</v>
      </c>
      <c r="D1045" s="5" t="s">
        <v>6475</v>
      </c>
      <c r="E1045" s="43">
        <f>100+100+1000</f>
        <v>1200</v>
      </c>
      <c r="F1045" s="43"/>
      <c r="G1045" s="364"/>
      <c r="H1045" s="391" t="s">
        <v>9568</v>
      </c>
    </row>
    <row r="1046" spans="1:8" x14ac:dyDescent="0.3">
      <c r="A1046" s="45">
        <v>44110</v>
      </c>
      <c r="B1046" s="399"/>
      <c r="C1046" s="5" t="s">
        <v>18</v>
      </c>
      <c r="D1046" s="5" t="s">
        <v>6544</v>
      </c>
      <c r="E1046" s="43">
        <v>730</v>
      </c>
      <c r="F1046" s="43"/>
      <c r="G1046" s="364"/>
      <c r="H1046" s="391" t="s">
        <v>9568</v>
      </c>
    </row>
    <row r="1047" spans="1:8" x14ac:dyDescent="0.3">
      <c r="A1047" s="45">
        <v>44110</v>
      </c>
      <c r="B1047" s="399"/>
      <c r="C1047" s="5" t="s">
        <v>84</v>
      </c>
      <c r="D1047" s="5" t="s">
        <v>6542</v>
      </c>
      <c r="E1047" s="43">
        <v>10000</v>
      </c>
      <c r="F1047" s="43"/>
      <c r="G1047" s="364"/>
      <c r="H1047" s="391" t="s">
        <v>9568</v>
      </c>
    </row>
    <row r="1048" spans="1:8" x14ac:dyDescent="0.3">
      <c r="A1048" s="45">
        <v>44111</v>
      </c>
      <c r="B1048" s="399"/>
      <c r="C1048" s="5" t="s">
        <v>25</v>
      </c>
      <c r="D1048" s="5" t="s">
        <v>6543</v>
      </c>
      <c r="E1048" s="43">
        <v>2000</v>
      </c>
      <c r="F1048" s="43"/>
      <c r="G1048" s="364"/>
      <c r="H1048" s="391" t="s">
        <v>9568</v>
      </c>
    </row>
    <row r="1049" spans="1:8" x14ac:dyDescent="0.3">
      <c r="A1049" s="45">
        <v>44111</v>
      </c>
      <c r="B1049" s="399"/>
      <c r="C1049" s="5" t="s">
        <v>640</v>
      </c>
      <c r="D1049" s="5" t="s">
        <v>14</v>
      </c>
      <c r="E1049" s="43">
        <v>1000</v>
      </c>
      <c r="F1049" s="43"/>
      <c r="G1049" s="364"/>
      <c r="H1049" s="391" t="s">
        <v>9568</v>
      </c>
    </row>
    <row r="1050" spans="1:8" x14ac:dyDescent="0.3">
      <c r="A1050" s="45">
        <v>44111</v>
      </c>
      <c r="B1050" s="399"/>
      <c r="C1050" s="5" t="s">
        <v>11</v>
      </c>
      <c r="D1050" s="5" t="s">
        <v>6545</v>
      </c>
      <c r="E1050" s="43">
        <v>400</v>
      </c>
      <c r="F1050" s="43"/>
      <c r="G1050" s="364"/>
      <c r="H1050" s="391" t="s">
        <v>9568</v>
      </c>
    </row>
    <row r="1051" spans="1:8" x14ac:dyDescent="0.3">
      <c r="A1051" s="45">
        <v>44111</v>
      </c>
      <c r="B1051" s="402"/>
      <c r="C1051" s="39" t="s">
        <v>1512</v>
      </c>
      <c r="D1051" s="39" t="s">
        <v>6546</v>
      </c>
      <c r="E1051" s="40">
        <v>109842</v>
      </c>
      <c r="F1051" s="43"/>
      <c r="G1051" s="364"/>
      <c r="H1051" s="391" t="s">
        <v>9568</v>
      </c>
    </row>
    <row r="1052" spans="1:8" x14ac:dyDescent="0.3">
      <c r="A1052" s="45">
        <v>44111</v>
      </c>
      <c r="B1052" s="402"/>
      <c r="C1052" s="39" t="s">
        <v>1512</v>
      </c>
      <c r="D1052" s="39" t="s">
        <v>6387</v>
      </c>
      <c r="E1052" s="40">
        <v>91267</v>
      </c>
      <c r="F1052" s="43"/>
      <c r="G1052" s="364"/>
      <c r="H1052" s="391" t="s">
        <v>9568</v>
      </c>
    </row>
    <row r="1053" spans="1:8" x14ac:dyDescent="0.3">
      <c r="A1053" s="45">
        <v>44111</v>
      </c>
      <c r="B1053" s="399"/>
      <c r="C1053" s="5" t="s">
        <v>10</v>
      </c>
      <c r="D1053" s="5" t="s">
        <v>6547</v>
      </c>
      <c r="E1053" s="43">
        <v>2000</v>
      </c>
      <c r="F1053" s="43"/>
      <c r="G1053" s="364"/>
      <c r="H1053" s="391" t="s">
        <v>9568</v>
      </c>
    </row>
    <row r="1054" spans="1:8" ht="37.5" x14ac:dyDescent="0.3">
      <c r="A1054" s="45">
        <v>44111</v>
      </c>
      <c r="B1054" s="416"/>
      <c r="C1054" s="234" t="s">
        <v>10</v>
      </c>
      <c r="D1054" s="235" t="s">
        <v>6548</v>
      </c>
      <c r="E1054" s="43">
        <v>2000</v>
      </c>
      <c r="F1054" s="43"/>
      <c r="G1054" s="364"/>
      <c r="H1054" s="391" t="s">
        <v>9568</v>
      </c>
    </row>
    <row r="1055" spans="1:8" x14ac:dyDescent="0.3">
      <c r="A1055" s="45">
        <v>44111</v>
      </c>
      <c r="B1055" s="399"/>
      <c r="C1055" s="5" t="s">
        <v>84</v>
      </c>
      <c r="D1055" s="5" t="s">
        <v>6549</v>
      </c>
      <c r="E1055" s="43">
        <v>500</v>
      </c>
      <c r="F1055" s="43"/>
      <c r="G1055" s="364"/>
      <c r="H1055" s="391" t="s">
        <v>9568</v>
      </c>
    </row>
    <row r="1056" spans="1:8" x14ac:dyDescent="0.3">
      <c r="A1056" s="45">
        <v>44111</v>
      </c>
      <c r="B1056" s="399"/>
      <c r="C1056" s="5" t="s">
        <v>5156</v>
      </c>
      <c r="D1056" s="5" t="s">
        <v>6475</v>
      </c>
      <c r="E1056" s="65">
        <v>900</v>
      </c>
      <c r="F1056" s="43"/>
      <c r="G1056" s="364"/>
      <c r="H1056" s="391" t="s">
        <v>9568</v>
      </c>
    </row>
    <row r="1057" spans="1:8" x14ac:dyDescent="0.3">
      <c r="A1057" s="45">
        <v>44112</v>
      </c>
      <c r="B1057" s="399"/>
      <c r="C1057" s="5" t="s">
        <v>14</v>
      </c>
      <c r="D1057" s="5" t="s">
        <v>294</v>
      </c>
      <c r="E1057" s="43">
        <v>3000</v>
      </c>
      <c r="F1057" s="43"/>
      <c r="G1057" s="364"/>
      <c r="H1057" s="391" t="s">
        <v>9568</v>
      </c>
    </row>
    <row r="1058" spans="1:8" x14ac:dyDescent="0.3">
      <c r="A1058" s="45">
        <v>44112</v>
      </c>
      <c r="B1058" s="580"/>
      <c r="C1058" s="554" t="s">
        <v>5653</v>
      </c>
      <c r="D1058" s="554"/>
      <c r="E1058" s="554"/>
      <c r="F1058" s="43">
        <v>299000</v>
      </c>
      <c r="G1058" s="364"/>
      <c r="H1058" s="391" t="s">
        <v>9568</v>
      </c>
    </row>
    <row r="1059" spans="1:8" x14ac:dyDescent="0.3">
      <c r="A1059" s="45">
        <v>44112</v>
      </c>
      <c r="B1059" s="580"/>
      <c r="C1059" s="554" t="s">
        <v>5653</v>
      </c>
      <c r="D1059" s="554"/>
      <c r="E1059" s="554"/>
      <c r="F1059" s="43">
        <v>500000</v>
      </c>
      <c r="G1059" s="364"/>
      <c r="H1059" s="391" t="s">
        <v>9568</v>
      </c>
    </row>
    <row r="1060" spans="1:8" x14ac:dyDescent="0.3">
      <c r="A1060" s="45">
        <v>44112</v>
      </c>
      <c r="B1060" s="399"/>
      <c r="C1060" s="5" t="s">
        <v>18</v>
      </c>
      <c r="D1060" s="5" t="s">
        <v>6551</v>
      </c>
      <c r="E1060" s="43">
        <v>2000</v>
      </c>
      <c r="F1060" s="43"/>
      <c r="G1060" s="364"/>
      <c r="H1060" s="391" t="s">
        <v>9568</v>
      </c>
    </row>
    <row r="1061" spans="1:8" x14ac:dyDescent="0.3">
      <c r="A1061" s="45">
        <v>44112</v>
      </c>
      <c r="B1061" s="399"/>
      <c r="C1061" s="5" t="s">
        <v>541</v>
      </c>
      <c r="D1061" s="5" t="s">
        <v>6552</v>
      </c>
      <c r="E1061" s="43">
        <v>680</v>
      </c>
      <c r="F1061" s="43"/>
      <c r="G1061" s="364"/>
      <c r="H1061" s="391" t="s">
        <v>9568</v>
      </c>
    </row>
    <row r="1062" spans="1:8" x14ac:dyDescent="0.3">
      <c r="A1062" s="45">
        <v>44113</v>
      </c>
      <c r="B1062" s="399"/>
      <c r="C1062" s="5" t="s">
        <v>14</v>
      </c>
      <c r="D1062" s="5" t="s">
        <v>6554</v>
      </c>
      <c r="E1062" s="43">
        <v>5000</v>
      </c>
      <c r="F1062" s="43"/>
      <c r="G1062" s="364"/>
      <c r="H1062" s="391" t="s">
        <v>9568</v>
      </c>
    </row>
    <row r="1063" spans="1:8" x14ac:dyDescent="0.3">
      <c r="A1063" s="45">
        <v>44113</v>
      </c>
      <c r="B1063" s="399"/>
      <c r="C1063" s="5" t="s">
        <v>0</v>
      </c>
      <c r="D1063" s="5" t="s">
        <v>6555</v>
      </c>
      <c r="E1063" s="43">
        <v>5000</v>
      </c>
      <c r="F1063" s="43"/>
      <c r="G1063" s="364"/>
      <c r="H1063" s="391" t="s">
        <v>9568</v>
      </c>
    </row>
    <row r="1064" spans="1:8" x14ac:dyDescent="0.3">
      <c r="A1064" s="45">
        <v>44113</v>
      </c>
      <c r="B1064" s="399"/>
      <c r="C1064" s="5" t="s">
        <v>25</v>
      </c>
      <c r="D1064" s="5" t="s">
        <v>6361</v>
      </c>
      <c r="E1064" s="43">
        <f>400+60+1400+870+270+120+350+140+90+110+70+190+320+90+120+120+200</f>
        <v>4920</v>
      </c>
      <c r="F1064" s="43"/>
      <c r="G1064" s="364"/>
      <c r="H1064" s="391" t="s">
        <v>9568</v>
      </c>
    </row>
    <row r="1065" spans="1:8" x14ac:dyDescent="0.3">
      <c r="A1065" s="45">
        <v>44113</v>
      </c>
      <c r="B1065" s="402"/>
      <c r="C1065" s="39" t="s">
        <v>1512</v>
      </c>
      <c r="D1065" s="39" t="s">
        <v>6556</v>
      </c>
      <c r="E1065" s="40">
        <v>74175</v>
      </c>
      <c r="F1065" s="43"/>
      <c r="G1065" s="364"/>
      <c r="H1065" s="391" t="s">
        <v>9568</v>
      </c>
    </row>
    <row r="1066" spans="1:8" x14ac:dyDescent="0.3">
      <c r="A1066" s="45">
        <v>44113</v>
      </c>
      <c r="B1066" s="402"/>
      <c r="C1066" s="39" t="s">
        <v>1512</v>
      </c>
      <c r="D1066" s="39" t="s">
        <v>6557</v>
      </c>
      <c r="E1066" s="40">
        <v>99416</v>
      </c>
      <c r="F1066" s="43"/>
      <c r="G1066" s="364"/>
      <c r="H1066" s="391" t="s">
        <v>9568</v>
      </c>
    </row>
    <row r="1067" spans="1:8" x14ac:dyDescent="0.3">
      <c r="A1067" s="45">
        <v>44113</v>
      </c>
      <c r="B1067" s="402"/>
      <c r="C1067" s="39" t="s">
        <v>1512</v>
      </c>
      <c r="D1067" s="39" t="s">
        <v>6558</v>
      </c>
      <c r="E1067" s="40">
        <v>29300</v>
      </c>
      <c r="F1067" s="43"/>
      <c r="G1067" s="364"/>
      <c r="H1067" s="391" t="s">
        <v>9568</v>
      </c>
    </row>
    <row r="1068" spans="1:8" x14ac:dyDescent="0.3">
      <c r="A1068" s="45">
        <v>44113</v>
      </c>
      <c r="B1068" s="402"/>
      <c r="C1068" s="39" t="s">
        <v>1512</v>
      </c>
      <c r="D1068" s="39" t="s">
        <v>6559</v>
      </c>
      <c r="E1068" s="40">
        <v>84190</v>
      </c>
      <c r="F1068" s="43"/>
      <c r="G1068" s="364"/>
      <c r="H1068" s="391" t="s">
        <v>9568</v>
      </c>
    </row>
    <row r="1069" spans="1:8" x14ac:dyDescent="0.3">
      <c r="A1069" s="45">
        <v>44113</v>
      </c>
      <c r="B1069" s="402"/>
      <c r="C1069" s="39" t="s">
        <v>1512</v>
      </c>
      <c r="D1069" s="39" t="s">
        <v>6560</v>
      </c>
      <c r="E1069" s="40">
        <v>258278</v>
      </c>
      <c r="F1069" s="43"/>
      <c r="G1069" s="364"/>
      <c r="H1069" s="391" t="s">
        <v>9568</v>
      </c>
    </row>
    <row r="1070" spans="1:8" x14ac:dyDescent="0.3">
      <c r="A1070" s="45">
        <v>44113</v>
      </c>
      <c r="B1070" s="402"/>
      <c r="C1070" s="39" t="s">
        <v>1512</v>
      </c>
      <c r="D1070" s="39" t="s">
        <v>6561</v>
      </c>
      <c r="E1070" s="40">
        <v>20190</v>
      </c>
      <c r="F1070" s="43"/>
      <c r="G1070" s="364"/>
      <c r="H1070" s="391" t="s">
        <v>9568</v>
      </c>
    </row>
    <row r="1071" spans="1:8" x14ac:dyDescent="0.3">
      <c r="A1071" s="45">
        <v>44113</v>
      </c>
      <c r="B1071" s="399"/>
      <c r="C1071" s="5" t="s">
        <v>5162</v>
      </c>
      <c r="D1071" s="5" t="s">
        <v>2013</v>
      </c>
      <c r="E1071" s="43">
        <v>100</v>
      </c>
      <c r="F1071" s="43"/>
      <c r="G1071" s="364"/>
      <c r="H1071" s="391" t="s">
        <v>9568</v>
      </c>
    </row>
    <row r="1072" spans="1:8" x14ac:dyDescent="0.3">
      <c r="A1072" s="45">
        <v>44113</v>
      </c>
      <c r="B1072" s="399"/>
      <c r="C1072" s="5" t="s">
        <v>1616</v>
      </c>
      <c r="D1072" s="5" t="s">
        <v>5508</v>
      </c>
      <c r="E1072" s="43">
        <v>1845</v>
      </c>
      <c r="F1072" s="43"/>
      <c r="G1072" s="364"/>
      <c r="H1072" s="391" t="s">
        <v>9568</v>
      </c>
    </row>
    <row r="1073" spans="1:8" x14ac:dyDescent="0.3">
      <c r="A1073" s="45">
        <v>44113</v>
      </c>
      <c r="B1073" s="399"/>
      <c r="C1073" s="5" t="s">
        <v>110</v>
      </c>
      <c r="D1073" s="5" t="s">
        <v>6562</v>
      </c>
      <c r="E1073" s="43">
        <v>31150</v>
      </c>
      <c r="F1073" s="43"/>
      <c r="G1073" s="364"/>
      <c r="H1073" s="391" t="s">
        <v>9568</v>
      </c>
    </row>
    <row r="1074" spans="1:8" x14ac:dyDescent="0.3">
      <c r="A1074" s="45">
        <v>44114</v>
      </c>
      <c r="B1074" s="399"/>
      <c r="C1074" s="5" t="s">
        <v>14</v>
      </c>
      <c r="D1074" s="5" t="s">
        <v>294</v>
      </c>
      <c r="E1074" s="43">
        <v>15000</v>
      </c>
      <c r="F1074" s="43"/>
      <c r="G1074" s="364"/>
      <c r="H1074" s="391" t="s">
        <v>9568</v>
      </c>
    </row>
    <row r="1075" spans="1:8" x14ac:dyDescent="0.3">
      <c r="A1075" s="45">
        <v>44114</v>
      </c>
      <c r="B1075" s="399"/>
      <c r="C1075" s="5" t="s">
        <v>84</v>
      </c>
      <c r="D1075" s="5" t="s">
        <v>6563</v>
      </c>
      <c r="E1075" s="43">
        <v>1500</v>
      </c>
      <c r="F1075" s="43"/>
      <c r="G1075" s="364"/>
      <c r="H1075" s="391" t="s">
        <v>9568</v>
      </c>
    </row>
    <row r="1076" spans="1:8" x14ac:dyDescent="0.3">
      <c r="A1076" s="45">
        <v>44114</v>
      </c>
      <c r="B1076" s="399"/>
      <c r="C1076" s="5" t="s">
        <v>1616</v>
      </c>
      <c r="D1076" s="5" t="s">
        <v>3703</v>
      </c>
      <c r="E1076" s="43">
        <v>1500</v>
      </c>
      <c r="F1076" s="43"/>
      <c r="G1076" s="364"/>
      <c r="H1076" s="391" t="s">
        <v>9568</v>
      </c>
    </row>
    <row r="1077" spans="1:8" x14ac:dyDescent="0.3">
      <c r="A1077" s="45">
        <v>44114</v>
      </c>
      <c r="B1077" s="399"/>
      <c r="C1077" s="5" t="s">
        <v>84</v>
      </c>
      <c r="D1077" s="5" t="s">
        <v>6475</v>
      </c>
      <c r="E1077" s="43">
        <v>500</v>
      </c>
      <c r="F1077" s="43"/>
      <c r="G1077" s="364"/>
      <c r="H1077" s="391" t="s">
        <v>9568</v>
      </c>
    </row>
    <row r="1078" spans="1:8" x14ac:dyDescent="0.3">
      <c r="A1078" s="45">
        <v>44114</v>
      </c>
      <c r="B1078" s="399"/>
      <c r="C1078" s="5" t="s">
        <v>0</v>
      </c>
      <c r="D1078" s="5" t="s">
        <v>6528</v>
      </c>
      <c r="E1078" s="43">
        <v>100000</v>
      </c>
      <c r="F1078" s="43"/>
      <c r="G1078" s="364"/>
      <c r="H1078" s="391" t="s">
        <v>9568</v>
      </c>
    </row>
    <row r="1079" spans="1:8" x14ac:dyDescent="0.3">
      <c r="A1079" s="45">
        <v>44114</v>
      </c>
      <c r="B1079" s="402"/>
      <c r="C1079" s="39" t="s">
        <v>1512</v>
      </c>
      <c r="D1079" s="39" t="s">
        <v>6564</v>
      </c>
      <c r="E1079" s="40">
        <v>19300</v>
      </c>
      <c r="F1079" s="43"/>
      <c r="G1079" s="364"/>
      <c r="H1079" s="391" t="s">
        <v>9568</v>
      </c>
    </row>
    <row r="1080" spans="1:8" x14ac:dyDescent="0.3">
      <c r="A1080" s="45">
        <v>44114</v>
      </c>
      <c r="B1080" s="402"/>
      <c r="C1080" s="39" t="s">
        <v>1512</v>
      </c>
      <c r="D1080" s="39" t="s">
        <v>6593</v>
      </c>
      <c r="E1080" s="40">
        <v>22230</v>
      </c>
      <c r="F1080" s="43"/>
      <c r="G1080" s="364"/>
      <c r="H1080" s="391" t="s">
        <v>9568</v>
      </c>
    </row>
    <row r="1081" spans="1:8" x14ac:dyDescent="0.3">
      <c r="A1081" s="45">
        <v>44114</v>
      </c>
      <c r="B1081" s="580"/>
      <c r="C1081" s="554" t="s">
        <v>5653</v>
      </c>
      <c r="D1081" s="554"/>
      <c r="E1081" s="554"/>
      <c r="F1081" s="43">
        <v>200000</v>
      </c>
      <c r="G1081" s="364"/>
      <c r="H1081" s="391" t="s">
        <v>9568</v>
      </c>
    </row>
    <row r="1082" spans="1:8" x14ac:dyDescent="0.3">
      <c r="A1082" s="45">
        <v>44116</v>
      </c>
      <c r="B1082" s="404"/>
      <c r="C1082" s="41" t="s">
        <v>57</v>
      </c>
      <c r="D1082" s="41" t="s">
        <v>6565</v>
      </c>
      <c r="E1082" s="43">
        <v>25000</v>
      </c>
      <c r="F1082" s="43"/>
      <c r="G1082" s="364"/>
      <c r="H1082" s="391" t="s">
        <v>9568</v>
      </c>
    </row>
    <row r="1083" spans="1:8" x14ac:dyDescent="0.3">
      <c r="A1083" s="45">
        <v>44116</v>
      </c>
      <c r="B1083" s="399"/>
      <c r="C1083" s="5" t="s">
        <v>6572</v>
      </c>
      <c r="D1083" s="5" t="s">
        <v>6573</v>
      </c>
      <c r="E1083" s="43">
        <v>72500</v>
      </c>
      <c r="F1083" s="43"/>
      <c r="G1083" s="364"/>
      <c r="H1083" s="391" t="s">
        <v>9568</v>
      </c>
    </row>
    <row r="1084" spans="1:8" x14ac:dyDescent="0.3">
      <c r="A1084" s="45">
        <v>44116</v>
      </c>
      <c r="B1084" s="581"/>
      <c r="C1084" s="555" t="s">
        <v>6566</v>
      </c>
      <c r="D1084" s="556"/>
      <c r="E1084" s="557"/>
      <c r="F1084" s="43">
        <v>700</v>
      </c>
      <c r="G1084" s="364"/>
      <c r="H1084" s="391" t="s">
        <v>9568</v>
      </c>
    </row>
    <row r="1085" spans="1:8" x14ac:dyDescent="0.3">
      <c r="A1085" s="45">
        <v>44116</v>
      </c>
      <c r="B1085" s="399"/>
      <c r="C1085" s="5" t="s">
        <v>5162</v>
      </c>
      <c r="D1085" s="5" t="s">
        <v>6568</v>
      </c>
      <c r="E1085" s="43">
        <v>600</v>
      </c>
      <c r="F1085" s="43"/>
      <c r="G1085" s="364"/>
      <c r="H1085" s="391" t="s">
        <v>9568</v>
      </c>
    </row>
    <row r="1086" spans="1:8" x14ac:dyDescent="0.3">
      <c r="A1086" s="45">
        <v>44116</v>
      </c>
      <c r="B1086" s="399"/>
      <c r="C1086" s="5" t="s">
        <v>6570</v>
      </c>
      <c r="D1086" s="5" t="s">
        <v>6571</v>
      </c>
      <c r="E1086" s="43">
        <v>50000</v>
      </c>
      <c r="F1086" s="43"/>
      <c r="G1086" s="364"/>
      <c r="H1086" s="391" t="s">
        <v>9568</v>
      </c>
    </row>
    <row r="1087" spans="1:8" x14ac:dyDescent="0.3">
      <c r="A1087" s="45">
        <v>44116</v>
      </c>
      <c r="B1087" s="399"/>
      <c r="C1087" s="5" t="s">
        <v>18</v>
      </c>
      <c r="D1087" s="5" t="s">
        <v>6569</v>
      </c>
      <c r="E1087" s="43">
        <v>3000</v>
      </c>
      <c r="F1087" s="43"/>
      <c r="G1087" s="364"/>
      <c r="H1087" s="391" t="s">
        <v>9568</v>
      </c>
    </row>
    <row r="1088" spans="1:8" x14ac:dyDescent="0.3">
      <c r="A1088" s="45">
        <v>44116</v>
      </c>
      <c r="B1088" s="399"/>
      <c r="C1088" s="5" t="s">
        <v>5938</v>
      </c>
      <c r="D1088" s="5" t="s">
        <v>40</v>
      </c>
      <c r="E1088" s="43">
        <v>20400</v>
      </c>
      <c r="F1088" s="43"/>
      <c r="G1088" s="364"/>
      <c r="H1088" s="391" t="s">
        <v>9568</v>
      </c>
    </row>
    <row r="1089" spans="1:8" x14ac:dyDescent="0.3">
      <c r="A1089" s="45">
        <v>44116</v>
      </c>
      <c r="B1089" s="399"/>
      <c r="C1089" s="5" t="s">
        <v>14</v>
      </c>
      <c r="D1089" s="5" t="s">
        <v>6574</v>
      </c>
      <c r="E1089" s="43">
        <v>16500</v>
      </c>
      <c r="F1089" s="43"/>
      <c r="G1089" s="364"/>
      <c r="H1089" s="391" t="s">
        <v>9568</v>
      </c>
    </row>
    <row r="1090" spans="1:8" x14ac:dyDescent="0.3">
      <c r="A1090" s="45">
        <v>44116</v>
      </c>
      <c r="B1090" s="399"/>
      <c r="C1090" s="5" t="s">
        <v>247</v>
      </c>
      <c r="D1090" s="5" t="s">
        <v>6502</v>
      </c>
      <c r="E1090" s="43">
        <v>50</v>
      </c>
      <c r="F1090" s="43"/>
      <c r="G1090" s="364"/>
      <c r="H1090" s="391" t="s">
        <v>9568</v>
      </c>
    </row>
    <row r="1091" spans="1:8" x14ac:dyDescent="0.3">
      <c r="A1091" s="45">
        <v>44116</v>
      </c>
      <c r="B1091" s="580"/>
      <c r="C1091" s="554" t="s">
        <v>6575</v>
      </c>
      <c r="D1091" s="554"/>
      <c r="E1091" s="554"/>
      <c r="F1091" s="43">
        <v>500000</v>
      </c>
      <c r="G1091" s="364"/>
      <c r="H1091" s="391" t="s">
        <v>9568</v>
      </c>
    </row>
    <row r="1092" spans="1:8" x14ac:dyDescent="0.3">
      <c r="A1092" s="45">
        <v>44116</v>
      </c>
      <c r="B1092" s="399"/>
      <c r="C1092" s="5" t="s">
        <v>84</v>
      </c>
      <c r="D1092" s="5" t="s">
        <v>6590</v>
      </c>
      <c r="E1092" s="43">
        <v>1000</v>
      </c>
      <c r="F1092" s="43"/>
      <c r="G1092" s="364"/>
      <c r="H1092" s="391" t="s">
        <v>9568</v>
      </c>
    </row>
    <row r="1093" spans="1:8" x14ac:dyDescent="0.3">
      <c r="A1093" s="45">
        <v>44116</v>
      </c>
      <c r="B1093" s="399"/>
      <c r="C1093" s="5" t="s">
        <v>541</v>
      </c>
      <c r="D1093" s="5" t="s">
        <v>294</v>
      </c>
      <c r="E1093" s="43">
        <v>20000</v>
      </c>
      <c r="F1093" s="43"/>
      <c r="G1093" s="364"/>
      <c r="H1093" s="391" t="s">
        <v>9568</v>
      </c>
    </row>
    <row r="1094" spans="1:8" x14ac:dyDescent="0.3">
      <c r="A1094" s="45">
        <v>44116</v>
      </c>
      <c r="B1094" s="399"/>
      <c r="C1094" s="5" t="s">
        <v>14</v>
      </c>
      <c r="D1094" s="5" t="s">
        <v>294</v>
      </c>
      <c r="E1094" s="43">
        <v>100000</v>
      </c>
      <c r="F1094" s="43"/>
      <c r="G1094" s="364"/>
      <c r="H1094" s="391" t="s">
        <v>9568</v>
      </c>
    </row>
    <row r="1095" spans="1:8" x14ac:dyDescent="0.3">
      <c r="A1095" s="45">
        <v>44117</v>
      </c>
      <c r="B1095" s="399"/>
      <c r="C1095" s="5" t="s">
        <v>6576</v>
      </c>
      <c r="D1095" s="5" t="s">
        <v>40</v>
      </c>
      <c r="E1095" s="43">
        <v>25000</v>
      </c>
      <c r="F1095" s="43"/>
      <c r="G1095" s="364"/>
      <c r="H1095" s="391" t="s">
        <v>9568</v>
      </c>
    </row>
    <row r="1096" spans="1:8" x14ac:dyDescent="0.3">
      <c r="A1096" s="45">
        <v>44117</v>
      </c>
      <c r="B1096" s="399"/>
      <c r="C1096" s="5" t="s">
        <v>6221</v>
      </c>
      <c r="D1096" s="5" t="s">
        <v>6577</v>
      </c>
      <c r="E1096" s="43">
        <v>64000</v>
      </c>
      <c r="F1096" s="43"/>
      <c r="G1096" s="364"/>
      <c r="H1096" s="391" t="s">
        <v>9568</v>
      </c>
    </row>
    <row r="1097" spans="1:8" x14ac:dyDescent="0.3">
      <c r="A1097" s="45">
        <v>44117</v>
      </c>
      <c r="B1097" s="399"/>
      <c r="C1097" s="5" t="s">
        <v>11</v>
      </c>
      <c r="D1097" s="5" t="s">
        <v>6578</v>
      </c>
      <c r="E1097" s="43">
        <v>750</v>
      </c>
      <c r="F1097" s="43"/>
      <c r="G1097" s="364"/>
      <c r="H1097" s="391" t="s">
        <v>9568</v>
      </c>
    </row>
    <row r="1098" spans="1:8" x14ac:dyDescent="0.3">
      <c r="A1098" s="45">
        <v>44118</v>
      </c>
      <c r="B1098" s="399"/>
      <c r="C1098" s="5" t="s">
        <v>541</v>
      </c>
      <c r="D1098" s="5" t="s">
        <v>6579</v>
      </c>
      <c r="E1098" s="43">
        <v>5000</v>
      </c>
      <c r="F1098" s="43"/>
      <c r="G1098" s="364"/>
      <c r="H1098" s="391" t="s">
        <v>9568</v>
      </c>
    </row>
    <row r="1099" spans="1:8" x14ac:dyDescent="0.3">
      <c r="A1099" s="45">
        <v>44118</v>
      </c>
      <c r="B1099" s="399"/>
      <c r="C1099" s="5" t="s">
        <v>5846</v>
      </c>
      <c r="D1099" s="5" t="s">
        <v>6580</v>
      </c>
      <c r="E1099" s="43">
        <v>300</v>
      </c>
      <c r="F1099" s="43"/>
      <c r="G1099" s="364"/>
      <c r="H1099" s="391" t="s">
        <v>9568</v>
      </c>
    </row>
    <row r="1100" spans="1:8" x14ac:dyDescent="0.3">
      <c r="A1100" s="45">
        <v>44118</v>
      </c>
      <c r="B1100" s="399"/>
      <c r="C1100" s="5" t="s">
        <v>84</v>
      </c>
      <c r="D1100" s="5" t="s">
        <v>6581</v>
      </c>
      <c r="E1100" s="43">
        <v>3000</v>
      </c>
      <c r="F1100" s="43"/>
      <c r="G1100" s="364"/>
      <c r="H1100" s="391" t="s">
        <v>9568</v>
      </c>
    </row>
    <row r="1101" spans="1:8" x14ac:dyDescent="0.3">
      <c r="A1101" s="45">
        <v>44118</v>
      </c>
      <c r="B1101" s="580"/>
      <c r="C1101" s="554" t="s">
        <v>6582</v>
      </c>
      <c r="D1101" s="554"/>
      <c r="E1101" s="554"/>
      <c r="F1101" s="43">
        <v>400000</v>
      </c>
      <c r="G1101" s="364"/>
      <c r="H1101" s="391" t="s">
        <v>9568</v>
      </c>
    </row>
    <row r="1102" spans="1:8" ht="37.5" x14ac:dyDescent="0.3">
      <c r="A1102" s="45">
        <v>44118</v>
      </c>
      <c r="B1102" s="399"/>
      <c r="C1102" s="5" t="s">
        <v>5709</v>
      </c>
      <c r="D1102" s="92" t="s">
        <v>6583</v>
      </c>
      <c r="E1102" s="43">
        <v>1000</v>
      </c>
      <c r="F1102" s="43"/>
      <c r="G1102" s="364"/>
      <c r="H1102" s="391" t="s">
        <v>9568</v>
      </c>
    </row>
    <row r="1103" spans="1:8" x14ac:dyDescent="0.3">
      <c r="A1103" s="45">
        <v>44118</v>
      </c>
      <c r="B1103" s="399"/>
      <c r="C1103" s="5" t="s">
        <v>18</v>
      </c>
      <c r="D1103" s="5" t="s">
        <v>6584</v>
      </c>
      <c r="E1103" s="43">
        <v>4000</v>
      </c>
      <c r="F1103" s="43"/>
      <c r="G1103" s="364"/>
      <c r="H1103" s="391" t="s">
        <v>9568</v>
      </c>
    </row>
    <row r="1104" spans="1:8" x14ac:dyDescent="0.3">
      <c r="A1104" s="45">
        <v>44118</v>
      </c>
      <c r="B1104" s="402"/>
      <c r="C1104" s="39" t="s">
        <v>1512</v>
      </c>
      <c r="D1104" s="39" t="s">
        <v>6585</v>
      </c>
      <c r="E1104" s="40">
        <v>15518</v>
      </c>
      <c r="F1104" s="43"/>
      <c r="G1104" s="364"/>
      <c r="H1104" s="391" t="s">
        <v>9568</v>
      </c>
    </row>
    <row r="1105" spans="1:8" x14ac:dyDescent="0.3">
      <c r="A1105" s="45">
        <v>44118</v>
      </c>
      <c r="B1105" s="404"/>
      <c r="C1105" s="41" t="s">
        <v>18</v>
      </c>
      <c r="D1105" s="41" t="s">
        <v>6586</v>
      </c>
      <c r="E1105" s="43">
        <v>3500</v>
      </c>
      <c r="F1105" s="43"/>
      <c r="G1105" s="364"/>
      <c r="H1105" s="391" t="s">
        <v>9568</v>
      </c>
    </row>
    <row r="1106" spans="1:8" x14ac:dyDescent="0.3">
      <c r="A1106" s="45">
        <v>44119</v>
      </c>
      <c r="B1106" s="399"/>
      <c r="C1106" s="5" t="s">
        <v>5930</v>
      </c>
      <c r="D1106" s="5" t="s">
        <v>3332</v>
      </c>
      <c r="E1106" s="43">
        <v>101743</v>
      </c>
      <c r="F1106" s="43"/>
      <c r="G1106" s="364"/>
      <c r="H1106" s="391" t="s">
        <v>9568</v>
      </c>
    </row>
    <row r="1107" spans="1:8" x14ac:dyDescent="0.3">
      <c r="A1107" s="45">
        <v>44119</v>
      </c>
      <c r="B1107" s="399"/>
      <c r="C1107" s="5" t="s">
        <v>6430</v>
      </c>
      <c r="D1107" s="5" t="s">
        <v>6588</v>
      </c>
      <c r="E1107" s="43">
        <v>5000</v>
      </c>
      <c r="F1107" s="43"/>
      <c r="G1107" s="364"/>
      <c r="H1107" s="391" t="s">
        <v>9568</v>
      </c>
    </row>
    <row r="1108" spans="1:8" x14ac:dyDescent="0.3">
      <c r="A1108" s="45">
        <v>44119</v>
      </c>
      <c r="B1108" s="399"/>
      <c r="C1108" s="5" t="s">
        <v>4550</v>
      </c>
      <c r="D1108" s="5" t="s">
        <v>294</v>
      </c>
      <c r="E1108" s="43">
        <v>50000</v>
      </c>
      <c r="F1108" s="43"/>
      <c r="G1108" s="364"/>
      <c r="H1108" s="391" t="s">
        <v>9568</v>
      </c>
    </row>
    <row r="1109" spans="1:8" x14ac:dyDescent="0.3">
      <c r="A1109" s="45">
        <v>44119</v>
      </c>
      <c r="B1109" s="404"/>
      <c r="C1109" s="41" t="s">
        <v>2224</v>
      </c>
      <c r="D1109" s="41" t="s">
        <v>6589</v>
      </c>
      <c r="E1109" s="42">
        <v>4000</v>
      </c>
      <c r="F1109" s="43"/>
      <c r="G1109" s="364"/>
      <c r="H1109" s="391" t="s">
        <v>9568</v>
      </c>
    </row>
    <row r="1110" spans="1:8" x14ac:dyDescent="0.3">
      <c r="A1110" s="45">
        <v>44119</v>
      </c>
      <c r="B1110" s="399"/>
      <c r="C1110" s="5" t="s">
        <v>25</v>
      </c>
      <c r="D1110" s="5" t="s">
        <v>6361</v>
      </c>
      <c r="E1110" s="43">
        <f>600+20+320+50+170+1110+270+350+120+110+20+60+90+80+80+100+700+70+20+60+1020</f>
        <v>5420</v>
      </c>
      <c r="F1110" s="43"/>
      <c r="G1110" s="364"/>
      <c r="H1110" s="391" t="s">
        <v>9568</v>
      </c>
    </row>
    <row r="1111" spans="1:8" x14ac:dyDescent="0.3">
      <c r="A1111" s="45">
        <v>44119</v>
      </c>
      <c r="B1111" s="417"/>
      <c r="C1111" s="236" t="s">
        <v>84</v>
      </c>
      <c r="D1111" s="236" t="s">
        <v>6592</v>
      </c>
      <c r="E1111" s="237">
        <v>30000</v>
      </c>
      <c r="F1111" s="43"/>
      <c r="G1111" s="364"/>
      <c r="H1111" s="391" t="s">
        <v>9568</v>
      </c>
    </row>
    <row r="1112" spans="1:8" x14ac:dyDescent="0.3">
      <c r="A1112" s="45">
        <v>44119</v>
      </c>
      <c r="B1112" s="399"/>
      <c r="C1112" s="5" t="s">
        <v>84</v>
      </c>
      <c r="D1112" s="5" t="s">
        <v>6591</v>
      </c>
      <c r="E1112" s="43">
        <v>10000</v>
      </c>
      <c r="F1112" s="43"/>
      <c r="G1112" s="364"/>
      <c r="H1112" s="391" t="s">
        <v>9568</v>
      </c>
    </row>
    <row r="1113" spans="1:8" x14ac:dyDescent="0.3">
      <c r="A1113" s="45">
        <v>44119</v>
      </c>
      <c r="B1113" s="402"/>
      <c r="C1113" s="39" t="s">
        <v>1512</v>
      </c>
      <c r="D1113" s="39" t="s">
        <v>6594</v>
      </c>
      <c r="E1113" s="40">
        <v>29500</v>
      </c>
      <c r="F1113" s="43"/>
      <c r="G1113" s="364"/>
      <c r="H1113" s="391" t="s">
        <v>9568</v>
      </c>
    </row>
    <row r="1114" spans="1:8" x14ac:dyDescent="0.3">
      <c r="A1114" s="45">
        <v>44119</v>
      </c>
      <c r="B1114" s="402"/>
      <c r="C1114" s="39" t="s">
        <v>1512</v>
      </c>
      <c r="D1114" s="39" t="s">
        <v>6595</v>
      </c>
      <c r="E1114" s="43">
        <v>24000</v>
      </c>
      <c r="F1114" s="43"/>
      <c r="G1114" s="364"/>
      <c r="H1114" s="391" t="s">
        <v>9568</v>
      </c>
    </row>
    <row r="1115" spans="1:8" x14ac:dyDescent="0.3">
      <c r="A1115" s="45">
        <v>44120</v>
      </c>
      <c r="B1115" s="404"/>
      <c r="C1115" s="41" t="s">
        <v>2224</v>
      </c>
      <c r="D1115" s="41" t="s">
        <v>6589</v>
      </c>
      <c r="E1115" s="42">
        <v>1500</v>
      </c>
      <c r="F1115" s="43"/>
      <c r="G1115" s="364"/>
      <c r="H1115" s="391" t="s">
        <v>9568</v>
      </c>
    </row>
    <row r="1116" spans="1:8" x14ac:dyDescent="0.3">
      <c r="A1116" s="45">
        <v>44120</v>
      </c>
      <c r="B1116" s="399"/>
      <c r="C1116" s="5" t="s">
        <v>25</v>
      </c>
      <c r="D1116" s="5" t="s">
        <v>6596</v>
      </c>
      <c r="E1116" s="43">
        <v>800</v>
      </c>
      <c r="F1116" s="43"/>
      <c r="G1116" s="364"/>
      <c r="H1116" s="391" t="s">
        <v>9568</v>
      </c>
    </row>
    <row r="1117" spans="1:8" ht="44.45" customHeight="1" x14ac:dyDescent="0.3">
      <c r="A1117" s="45">
        <v>44120</v>
      </c>
      <c r="B1117" s="322"/>
      <c r="C1117" s="44" t="s">
        <v>1074</v>
      </c>
      <c r="D1117" s="92" t="s">
        <v>6597</v>
      </c>
      <c r="E1117" s="43">
        <v>9650</v>
      </c>
      <c r="F1117" s="43"/>
      <c r="G1117" s="364"/>
      <c r="H1117" s="391" t="s">
        <v>9568</v>
      </c>
    </row>
    <row r="1118" spans="1:8" x14ac:dyDescent="0.3">
      <c r="A1118" s="45">
        <v>44120</v>
      </c>
      <c r="B1118" s="404"/>
      <c r="C1118" s="41" t="s">
        <v>5156</v>
      </c>
      <c r="D1118" s="41" t="s">
        <v>6598</v>
      </c>
      <c r="E1118" s="42">
        <v>1000</v>
      </c>
      <c r="F1118" s="43"/>
      <c r="G1118" s="364"/>
      <c r="H1118" s="391" t="s">
        <v>9568</v>
      </c>
    </row>
    <row r="1119" spans="1:8" x14ac:dyDescent="0.3">
      <c r="A1119" s="45">
        <v>44120</v>
      </c>
      <c r="B1119" s="399"/>
      <c r="C1119" s="5" t="s">
        <v>247</v>
      </c>
      <c r="D1119" s="5" t="s">
        <v>2013</v>
      </c>
      <c r="E1119" s="43">
        <v>100</v>
      </c>
      <c r="F1119" s="43"/>
      <c r="G1119" s="364"/>
      <c r="H1119" s="391" t="s">
        <v>9568</v>
      </c>
    </row>
    <row r="1120" spans="1:8" x14ac:dyDescent="0.3">
      <c r="A1120" s="45">
        <v>44120</v>
      </c>
      <c r="B1120" s="399"/>
      <c r="C1120" s="5" t="s">
        <v>25</v>
      </c>
      <c r="D1120" s="5" t="s">
        <v>6599</v>
      </c>
      <c r="E1120" s="43">
        <v>200</v>
      </c>
      <c r="F1120" s="43"/>
      <c r="G1120" s="364"/>
      <c r="H1120" s="391" t="s">
        <v>9568</v>
      </c>
    </row>
    <row r="1121" spans="1:14" x14ac:dyDescent="0.3">
      <c r="A1121" s="45">
        <v>44121</v>
      </c>
      <c r="B1121" s="399"/>
      <c r="C1121" s="5" t="s">
        <v>4550</v>
      </c>
      <c r="D1121" s="5" t="s">
        <v>4330</v>
      </c>
      <c r="E1121" s="43">
        <v>35000</v>
      </c>
      <c r="F1121" s="43"/>
      <c r="G1121" s="364"/>
      <c r="H1121" s="391" t="s">
        <v>9568</v>
      </c>
    </row>
    <row r="1122" spans="1:14" ht="37.5" x14ac:dyDescent="0.3">
      <c r="A1122" s="45">
        <v>44121</v>
      </c>
      <c r="B1122" s="399"/>
      <c r="C1122" s="5" t="s">
        <v>6600</v>
      </c>
      <c r="D1122" s="92" t="s">
        <v>6601</v>
      </c>
      <c r="E1122" s="43">
        <v>35000</v>
      </c>
      <c r="F1122" s="43"/>
      <c r="G1122" s="364"/>
      <c r="H1122" s="391" t="s">
        <v>9568</v>
      </c>
    </row>
    <row r="1123" spans="1:14" x14ac:dyDescent="0.3">
      <c r="A1123" s="45">
        <v>44121</v>
      </c>
      <c r="B1123" s="399"/>
      <c r="C1123" s="5" t="s">
        <v>5709</v>
      </c>
      <c r="D1123" s="5" t="s">
        <v>6602</v>
      </c>
      <c r="E1123" s="43">
        <v>7000</v>
      </c>
      <c r="F1123" s="43"/>
      <c r="G1123" s="364"/>
      <c r="H1123" s="391" t="s">
        <v>9568</v>
      </c>
    </row>
    <row r="1124" spans="1:14" x14ac:dyDescent="0.3">
      <c r="A1124" s="45">
        <v>44121</v>
      </c>
      <c r="B1124" s="399"/>
      <c r="C1124" s="5" t="s">
        <v>6603</v>
      </c>
      <c r="D1124" s="5" t="s">
        <v>6604</v>
      </c>
      <c r="E1124" s="43">
        <v>2060</v>
      </c>
      <c r="F1124" s="43"/>
      <c r="G1124" s="364"/>
      <c r="H1124" s="391" t="s">
        <v>9568</v>
      </c>
    </row>
    <row r="1125" spans="1:14" x14ac:dyDescent="0.3">
      <c r="A1125" s="45">
        <v>44121</v>
      </c>
      <c r="B1125" s="399"/>
      <c r="C1125" s="5" t="s">
        <v>1837</v>
      </c>
      <c r="D1125" s="5" t="s">
        <v>294</v>
      </c>
      <c r="E1125" s="43">
        <v>1850</v>
      </c>
      <c r="F1125" s="43"/>
      <c r="G1125" s="364"/>
      <c r="H1125" s="391" t="s">
        <v>9568</v>
      </c>
    </row>
    <row r="1126" spans="1:14" x14ac:dyDescent="0.3">
      <c r="A1126" s="45">
        <v>44121</v>
      </c>
      <c r="B1126" s="399"/>
      <c r="C1126" s="5" t="s">
        <v>5979</v>
      </c>
      <c r="D1126" s="5" t="s">
        <v>3194</v>
      </c>
      <c r="E1126" s="43">
        <v>16000</v>
      </c>
      <c r="F1126" s="43"/>
      <c r="G1126" s="364"/>
      <c r="H1126" s="391" t="s">
        <v>9568</v>
      </c>
    </row>
    <row r="1127" spans="1:14" x14ac:dyDescent="0.3">
      <c r="A1127" s="45">
        <v>44121</v>
      </c>
      <c r="B1127" s="399"/>
      <c r="C1127" s="5" t="s">
        <v>84</v>
      </c>
      <c r="D1127" s="5" t="s">
        <v>6605</v>
      </c>
      <c r="E1127" s="43">
        <v>10000</v>
      </c>
      <c r="F1127" s="43"/>
      <c r="G1127" s="364"/>
      <c r="H1127" s="391" t="s">
        <v>9568</v>
      </c>
    </row>
    <row r="1128" spans="1:14" x14ac:dyDescent="0.3">
      <c r="A1128" s="45">
        <v>44123</v>
      </c>
      <c r="B1128" s="399"/>
      <c r="C1128" s="5" t="s">
        <v>6606</v>
      </c>
      <c r="D1128" s="5" t="s">
        <v>6607</v>
      </c>
      <c r="E1128" s="43">
        <v>23850</v>
      </c>
      <c r="F1128" s="43"/>
      <c r="G1128" s="364"/>
      <c r="H1128" s="391" t="s">
        <v>9568</v>
      </c>
    </row>
    <row r="1129" spans="1:14" x14ac:dyDescent="0.3">
      <c r="A1129" s="45">
        <v>44123</v>
      </c>
      <c r="B1129" s="399"/>
      <c r="C1129" s="5" t="s">
        <v>6606</v>
      </c>
      <c r="D1129" s="5" t="s">
        <v>6608</v>
      </c>
      <c r="E1129" s="43">
        <v>100000</v>
      </c>
      <c r="F1129" s="43"/>
      <c r="G1129" s="364"/>
      <c r="H1129" s="391" t="s">
        <v>9568</v>
      </c>
    </row>
    <row r="1130" spans="1:14" x14ac:dyDescent="0.3">
      <c r="A1130" s="45">
        <v>44123</v>
      </c>
      <c r="B1130" s="399"/>
      <c r="C1130" s="5" t="s">
        <v>84</v>
      </c>
      <c r="D1130" s="5" t="s">
        <v>6609</v>
      </c>
      <c r="E1130" s="43">
        <v>500</v>
      </c>
      <c r="F1130" s="43"/>
      <c r="G1130" s="364"/>
      <c r="H1130" s="391" t="s">
        <v>9568</v>
      </c>
    </row>
    <row r="1131" spans="1:14" x14ac:dyDescent="0.3">
      <c r="A1131" s="45">
        <v>44123</v>
      </c>
      <c r="B1131" s="399"/>
      <c r="C1131" s="5" t="s">
        <v>18</v>
      </c>
      <c r="D1131" s="5" t="s">
        <v>6610</v>
      </c>
      <c r="E1131" s="43">
        <v>7000</v>
      </c>
      <c r="F1131" s="43"/>
      <c r="G1131" s="364"/>
      <c r="H1131" s="391" t="s">
        <v>9568</v>
      </c>
    </row>
    <row r="1132" spans="1:14" x14ac:dyDescent="0.3">
      <c r="A1132" s="45">
        <v>44123</v>
      </c>
      <c r="B1132" s="399"/>
      <c r="C1132" s="5" t="s">
        <v>5156</v>
      </c>
      <c r="D1132" s="5" t="s">
        <v>6611</v>
      </c>
      <c r="E1132" s="43">
        <v>1600</v>
      </c>
      <c r="F1132" s="43"/>
      <c r="G1132" s="364"/>
      <c r="H1132" s="391" t="s">
        <v>9568</v>
      </c>
    </row>
    <row r="1133" spans="1:14" ht="37.5" x14ac:dyDescent="0.3">
      <c r="A1133" s="45">
        <v>44123</v>
      </c>
      <c r="B1133" s="399"/>
      <c r="C1133" s="5" t="s">
        <v>6612</v>
      </c>
      <c r="D1133" s="92" t="s">
        <v>6613</v>
      </c>
      <c r="E1133" s="43">
        <v>23050</v>
      </c>
      <c r="F1133" s="43"/>
      <c r="G1133" s="364"/>
      <c r="H1133" s="391" t="s">
        <v>9568</v>
      </c>
    </row>
    <row r="1134" spans="1:14" x14ac:dyDescent="0.3">
      <c r="A1134" s="45">
        <v>44123</v>
      </c>
      <c r="B1134" s="399"/>
      <c r="C1134" s="5" t="s">
        <v>247</v>
      </c>
      <c r="D1134" s="5" t="s">
        <v>6502</v>
      </c>
      <c r="E1134" s="43">
        <v>250</v>
      </c>
      <c r="F1134" s="43"/>
      <c r="G1134" s="364"/>
      <c r="H1134" s="391" t="s">
        <v>9568</v>
      </c>
    </row>
    <row r="1135" spans="1:14" x14ac:dyDescent="0.3">
      <c r="A1135" s="45">
        <v>44124</v>
      </c>
      <c r="B1135" s="399"/>
      <c r="C1135" s="5" t="s">
        <v>6614</v>
      </c>
      <c r="D1135" s="5" t="s">
        <v>6615</v>
      </c>
      <c r="E1135" s="43">
        <v>3500</v>
      </c>
      <c r="F1135" s="43"/>
      <c r="G1135" s="364"/>
      <c r="H1135" s="391" t="s">
        <v>9568</v>
      </c>
    </row>
    <row r="1136" spans="1:14" s="114" customFormat="1" x14ac:dyDescent="0.3">
      <c r="A1136" s="45">
        <v>44124</v>
      </c>
      <c r="B1136" s="401"/>
      <c r="C1136" s="73" t="s">
        <v>5156</v>
      </c>
      <c r="D1136" s="73" t="s">
        <v>6616</v>
      </c>
      <c r="E1136" s="183">
        <v>850</v>
      </c>
      <c r="F1136" s="183"/>
      <c r="G1136" s="364"/>
      <c r="H1136" s="391" t="s">
        <v>9568</v>
      </c>
      <c r="I1136" s="194"/>
      <c r="J1136" s="194"/>
      <c r="K1136" s="194"/>
      <c r="N1136" s="194"/>
    </row>
    <row r="1137" spans="1:8" x14ac:dyDescent="0.3">
      <c r="A1137" s="45">
        <v>44124</v>
      </c>
      <c r="B1137" s="399"/>
      <c r="C1137" s="5" t="s">
        <v>84</v>
      </c>
      <c r="D1137" s="5" t="s">
        <v>6617</v>
      </c>
      <c r="E1137" s="43">
        <v>17000</v>
      </c>
      <c r="F1137" s="43"/>
      <c r="G1137" s="364"/>
      <c r="H1137" s="391" t="s">
        <v>9568</v>
      </c>
    </row>
    <row r="1138" spans="1:8" x14ac:dyDescent="0.3">
      <c r="A1138" s="45">
        <v>44124</v>
      </c>
      <c r="B1138" s="399"/>
      <c r="C1138" s="5" t="s">
        <v>0</v>
      </c>
      <c r="D1138" s="5" t="s">
        <v>6618</v>
      </c>
      <c r="E1138" s="43">
        <v>10000</v>
      </c>
      <c r="F1138" s="43"/>
      <c r="G1138" s="364"/>
      <c r="H1138" s="391" t="s">
        <v>9568</v>
      </c>
    </row>
    <row r="1139" spans="1:8" x14ac:dyDescent="0.3">
      <c r="A1139" s="45">
        <v>44124</v>
      </c>
      <c r="B1139" s="402"/>
      <c r="C1139" s="39" t="s">
        <v>1512</v>
      </c>
      <c r="D1139" s="39" t="s">
        <v>6619</v>
      </c>
      <c r="E1139" s="43">
        <v>20542</v>
      </c>
      <c r="F1139" s="43"/>
      <c r="G1139" s="364"/>
      <c r="H1139" s="391" t="s">
        <v>9568</v>
      </c>
    </row>
    <row r="1140" spans="1:8" x14ac:dyDescent="0.3">
      <c r="A1140" s="45">
        <v>44124</v>
      </c>
      <c r="B1140" s="402"/>
      <c r="C1140" s="39" t="s">
        <v>1512</v>
      </c>
      <c r="D1140" s="39" t="s">
        <v>6620</v>
      </c>
      <c r="E1140" s="43">
        <v>18000</v>
      </c>
      <c r="F1140" s="43"/>
      <c r="G1140" s="364"/>
      <c r="H1140" s="391" t="s">
        <v>9568</v>
      </c>
    </row>
    <row r="1141" spans="1:8" x14ac:dyDescent="0.3">
      <c r="A1141" s="45">
        <v>44126</v>
      </c>
      <c r="B1141" s="399"/>
      <c r="C1141" s="5" t="s">
        <v>5709</v>
      </c>
      <c r="D1141" s="5" t="s">
        <v>6633</v>
      </c>
      <c r="E1141" s="43">
        <v>700</v>
      </c>
      <c r="F1141" s="43"/>
      <c r="G1141" s="364"/>
      <c r="H1141" s="391" t="s">
        <v>9568</v>
      </c>
    </row>
    <row r="1142" spans="1:8" x14ac:dyDescent="0.3">
      <c r="A1142" s="45">
        <v>44126</v>
      </c>
      <c r="B1142" s="399"/>
      <c r="C1142" s="5" t="s">
        <v>5709</v>
      </c>
      <c r="D1142" s="92" t="s">
        <v>6623</v>
      </c>
      <c r="E1142" s="43">
        <v>800</v>
      </c>
      <c r="F1142" s="43"/>
      <c r="G1142" s="364"/>
      <c r="H1142" s="391" t="s">
        <v>9568</v>
      </c>
    </row>
    <row r="1143" spans="1:8" x14ac:dyDescent="0.3">
      <c r="A1143" s="45">
        <v>44126</v>
      </c>
      <c r="B1143" s="399"/>
      <c r="C1143" s="5" t="s">
        <v>84</v>
      </c>
      <c r="D1143" s="92" t="s">
        <v>6609</v>
      </c>
      <c r="E1143" s="43">
        <v>600</v>
      </c>
      <c r="F1143" s="43"/>
      <c r="G1143" s="364"/>
      <c r="H1143" s="391" t="s">
        <v>9568</v>
      </c>
    </row>
    <row r="1144" spans="1:8" x14ac:dyDescent="0.3">
      <c r="A1144" s="45">
        <v>44124</v>
      </c>
      <c r="B1144" s="402"/>
      <c r="C1144" s="39" t="s">
        <v>1512</v>
      </c>
      <c r="D1144" s="39" t="s">
        <v>6624</v>
      </c>
      <c r="E1144" s="43">
        <v>19830</v>
      </c>
      <c r="F1144" s="43"/>
      <c r="G1144" s="364"/>
      <c r="H1144" s="391" t="s">
        <v>9568</v>
      </c>
    </row>
    <row r="1145" spans="1:8" x14ac:dyDescent="0.3">
      <c r="A1145" s="45">
        <v>44127</v>
      </c>
      <c r="B1145" s="399"/>
      <c r="C1145" s="5" t="s">
        <v>0</v>
      </c>
      <c r="D1145" s="73" t="s">
        <v>5549</v>
      </c>
      <c r="E1145" s="183">
        <v>5000</v>
      </c>
      <c r="F1145" s="43"/>
      <c r="G1145" s="364"/>
      <c r="H1145" s="391" t="s">
        <v>9568</v>
      </c>
    </row>
    <row r="1146" spans="1:8" x14ac:dyDescent="0.3">
      <c r="A1146" s="45">
        <v>44127</v>
      </c>
      <c r="B1146" s="399"/>
      <c r="C1146" s="5" t="s">
        <v>4550</v>
      </c>
      <c r="D1146" s="5" t="s">
        <v>6627</v>
      </c>
      <c r="E1146" s="43">
        <v>65000</v>
      </c>
      <c r="F1146" s="43"/>
      <c r="G1146" s="364"/>
      <c r="H1146" s="391" t="s">
        <v>9568</v>
      </c>
    </row>
    <row r="1147" spans="1:8" x14ac:dyDescent="0.3">
      <c r="A1147" s="45">
        <v>44127</v>
      </c>
      <c r="B1147" s="580"/>
      <c r="C1147" s="554" t="s">
        <v>3444</v>
      </c>
      <c r="D1147" s="554"/>
      <c r="E1147" s="554"/>
      <c r="F1147" s="43">
        <v>500000</v>
      </c>
      <c r="G1147" s="364"/>
      <c r="H1147" s="391" t="s">
        <v>9568</v>
      </c>
    </row>
    <row r="1148" spans="1:8" x14ac:dyDescent="0.3">
      <c r="A1148" s="45">
        <v>44127</v>
      </c>
      <c r="B1148" s="399"/>
      <c r="C1148" s="5" t="s">
        <v>6514</v>
      </c>
      <c r="D1148" s="5" t="s">
        <v>6516</v>
      </c>
      <c r="E1148" s="43">
        <v>250000</v>
      </c>
      <c r="F1148" s="43"/>
      <c r="G1148" s="364"/>
      <c r="H1148" s="391" t="s">
        <v>9568</v>
      </c>
    </row>
    <row r="1149" spans="1:8" x14ac:dyDescent="0.3">
      <c r="A1149" s="45">
        <v>44127</v>
      </c>
      <c r="B1149" s="399"/>
      <c r="C1149" s="5" t="s">
        <v>84</v>
      </c>
      <c r="D1149" s="5" t="s">
        <v>6609</v>
      </c>
      <c r="E1149" s="43">
        <f>100+150</f>
        <v>250</v>
      </c>
      <c r="F1149" s="43"/>
      <c r="G1149" s="364"/>
      <c r="H1149" s="391" t="s">
        <v>9568</v>
      </c>
    </row>
    <row r="1150" spans="1:8" x14ac:dyDescent="0.3">
      <c r="A1150" s="45">
        <v>44127</v>
      </c>
      <c r="B1150" s="418"/>
      <c r="C1150" s="5" t="s">
        <v>14</v>
      </c>
      <c r="D1150" s="123" t="s">
        <v>6657</v>
      </c>
      <c r="E1150" s="43">
        <v>150000</v>
      </c>
      <c r="F1150" s="43"/>
      <c r="G1150" s="364"/>
      <c r="H1150" s="391" t="s">
        <v>9568</v>
      </c>
    </row>
    <row r="1151" spans="1:8" x14ac:dyDescent="0.3">
      <c r="A1151" s="45">
        <v>44128</v>
      </c>
      <c r="B1151" s="399"/>
      <c r="C1151" s="5" t="s">
        <v>2948</v>
      </c>
      <c r="D1151" s="5" t="s">
        <v>64</v>
      </c>
      <c r="E1151" s="43">
        <v>2300</v>
      </c>
      <c r="F1151" s="43"/>
      <c r="G1151" s="364"/>
      <c r="H1151" s="391" t="s">
        <v>9568</v>
      </c>
    </row>
    <row r="1152" spans="1:8" x14ac:dyDescent="0.3">
      <c r="A1152" s="45">
        <v>44128</v>
      </c>
      <c r="B1152" s="399"/>
      <c r="C1152" s="5" t="s">
        <v>25</v>
      </c>
      <c r="D1152" s="5" t="s">
        <v>6629</v>
      </c>
      <c r="E1152" s="43">
        <v>4500</v>
      </c>
      <c r="F1152" s="43"/>
      <c r="G1152" s="364"/>
      <c r="H1152" s="391" t="s">
        <v>9568</v>
      </c>
    </row>
    <row r="1153" spans="1:8" x14ac:dyDescent="0.3">
      <c r="A1153" s="45">
        <v>44128</v>
      </c>
      <c r="B1153" s="399"/>
      <c r="C1153" s="5" t="s">
        <v>84</v>
      </c>
      <c r="D1153" s="5" t="s">
        <v>6630</v>
      </c>
      <c r="E1153" s="43">
        <v>500</v>
      </c>
      <c r="F1153" s="43"/>
      <c r="G1153" s="364"/>
      <c r="H1153" s="391" t="s">
        <v>9568</v>
      </c>
    </row>
    <row r="1154" spans="1:8" x14ac:dyDescent="0.3">
      <c r="A1154" s="45">
        <v>44128</v>
      </c>
      <c r="B1154" s="399"/>
      <c r="C1154" s="5" t="s">
        <v>6430</v>
      </c>
      <c r="D1154" s="5" t="s">
        <v>6631</v>
      </c>
      <c r="E1154" s="43">
        <v>7000</v>
      </c>
      <c r="F1154" s="43"/>
      <c r="G1154" s="364"/>
      <c r="H1154" s="391" t="s">
        <v>9568</v>
      </c>
    </row>
    <row r="1155" spans="1:8" x14ac:dyDescent="0.3">
      <c r="A1155" s="45">
        <v>44130</v>
      </c>
      <c r="B1155" s="399"/>
      <c r="C1155" s="5" t="s">
        <v>25</v>
      </c>
      <c r="D1155" s="5" t="s">
        <v>6635</v>
      </c>
      <c r="E1155" s="43">
        <v>5000</v>
      </c>
      <c r="F1155" s="43"/>
      <c r="G1155" s="364"/>
      <c r="H1155" s="391" t="s">
        <v>9568</v>
      </c>
    </row>
    <row r="1156" spans="1:8" x14ac:dyDescent="0.3">
      <c r="A1156" s="45">
        <v>44130</v>
      </c>
      <c r="B1156" s="399"/>
      <c r="C1156" s="5" t="s">
        <v>14</v>
      </c>
      <c r="D1156" s="5" t="s">
        <v>6641</v>
      </c>
      <c r="E1156" s="43">
        <v>8371</v>
      </c>
      <c r="F1156" s="43"/>
      <c r="G1156" s="364"/>
      <c r="H1156" s="391" t="s">
        <v>9568</v>
      </c>
    </row>
    <row r="1157" spans="1:8" x14ac:dyDescent="0.3">
      <c r="A1157" s="45">
        <v>44130</v>
      </c>
      <c r="B1157" s="399"/>
      <c r="C1157" s="5" t="s">
        <v>25</v>
      </c>
      <c r="D1157" s="5" t="s">
        <v>6049</v>
      </c>
      <c r="E1157" s="43">
        <v>100</v>
      </c>
      <c r="F1157" s="43"/>
      <c r="G1157" s="364"/>
      <c r="H1157" s="391" t="s">
        <v>9568</v>
      </c>
    </row>
    <row r="1158" spans="1:8" ht="37.5" x14ac:dyDescent="0.3">
      <c r="A1158" s="45">
        <v>44130</v>
      </c>
      <c r="B1158" s="399"/>
      <c r="C1158" s="5" t="s">
        <v>25</v>
      </c>
      <c r="D1158" s="92" t="s">
        <v>6636</v>
      </c>
      <c r="E1158" s="43">
        <v>200</v>
      </c>
      <c r="F1158" s="43"/>
      <c r="G1158" s="364"/>
      <c r="H1158" s="391" t="s">
        <v>9568</v>
      </c>
    </row>
    <row r="1159" spans="1:8" x14ac:dyDescent="0.3">
      <c r="A1159" s="45">
        <v>44130</v>
      </c>
      <c r="B1159" s="399"/>
      <c r="C1159" s="5" t="s">
        <v>1012</v>
      </c>
      <c r="D1159" s="5" t="s">
        <v>6637</v>
      </c>
      <c r="E1159" s="43">
        <v>8000</v>
      </c>
      <c r="F1159" s="43"/>
      <c r="G1159" s="364"/>
      <c r="H1159" s="391" t="s">
        <v>9568</v>
      </c>
    </row>
    <row r="1160" spans="1:8" x14ac:dyDescent="0.3">
      <c r="A1160" s="45">
        <v>44130</v>
      </c>
      <c r="B1160" s="399"/>
      <c r="C1160" s="5" t="s">
        <v>25</v>
      </c>
      <c r="D1160" s="5" t="s">
        <v>6361</v>
      </c>
      <c r="E1160" s="43">
        <f>1100+250+20+50+50+450+60+100+50+350+50+100+170+20+50+230+170+260+90+200+50+60+40+95+140+600+750</f>
        <v>5555</v>
      </c>
      <c r="F1160" s="43"/>
      <c r="G1160" s="364"/>
      <c r="H1160" s="391" t="s">
        <v>9568</v>
      </c>
    </row>
    <row r="1161" spans="1:8" x14ac:dyDescent="0.3">
      <c r="A1161" s="45">
        <v>44130</v>
      </c>
      <c r="B1161" s="399"/>
      <c r="C1161" s="5" t="s">
        <v>3559</v>
      </c>
      <c r="D1161" s="5" t="s">
        <v>6638</v>
      </c>
      <c r="E1161" s="43">
        <v>3000</v>
      </c>
      <c r="F1161" s="43"/>
      <c r="G1161" s="364"/>
      <c r="H1161" s="391" t="s">
        <v>9568</v>
      </c>
    </row>
    <row r="1162" spans="1:8" x14ac:dyDescent="0.3">
      <c r="A1162" s="45">
        <v>44130</v>
      </c>
      <c r="B1162" s="580"/>
      <c r="C1162" s="554" t="s">
        <v>5653</v>
      </c>
      <c r="D1162" s="554"/>
      <c r="E1162" s="554"/>
      <c r="F1162" s="43">
        <v>100000</v>
      </c>
      <c r="G1162" s="364"/>
      <c r="H1162" s="391" t="s">
        <v>9568</v>
      </c>
    </row>
    <row r="1163" spans="1:8" x14ac:dyDescent="0.3">
      <c r="A1163" s="45">
        <v>44131</v>
      </c>
      <c r="B1163" s="399"/>
      <c r="C1163" s="5" t="s">
        <v>25</v>
      </c>
      <c r="D1163" s="5" t="s">
        <v>6640</v>
      </c>
      <c r="E1163" s="43">
        <v>2000</v>
      </c>
      <c r="F1163" s="43"/>
      <c r="G1163" s="364"/>
      <c r="H1163" s="391" t="s">
        <v>9568</v>
      </c>
    </row>
    <row r="1164" spans="1:8" x14ac:dyDescent="0.3">
      <c r="A1164" s="45">
        <v>44131</v>
      </c>
      <c r="B1164" s="399"/>
      <c r="C1164" s="5" t="s">
        <v>3559</v>
      </c>
      <c r="D1164" s="5" t="s">
        <v>6639</v>
      </c>
      <c r="E1164" s="43">
        <v>600</v>
      </c>
      <c r="F1164" s="43"/>
      <c r="G1164" s="364"/>
      <c r="H1164" s="391" t="s">
        <v>9568</v>
      </c>
    </row>
    <row r="1165" spans="1:8" x14ac:dyDescent="0.3">
      <c r="A1165" s="45">
        <v>44131</v>
      </c>
      <c r="B1165" s="399"/>
      <c r="C1165" s="5" t="s">
        <v>25</v>
      </c>
      <c r="D1165" s="5" t="s">
        <v>6642</v>
      </c>
      <c r="E1165" s="43">
        <v>150</v>
      </c>
      <c r="F1165" s="43"/>
      <c r="G1165" s="364"/>
      <c r="H1165" s="391" t="s">
        <v>9568</v>
      </c>
    </row>
    <row r="1166" spans="1:8" ht="37.5" x14ac:dyDescent="0.3">
      <c r="A1166" s="45">
        <v>44131</v>
      </c>
      <c r="B1166" s="399"/>
      <c r="C1166" s="5" t="s">
        <v>1787</v>
      </c>
      <c r="D1166" s="92" t="s">
        <v>6643</v>
      </c>
      <c r="E1166" s="43">
        <v>2700</v>
      </c>
      <c r="F1166" s="43"/>
      <c r="G1166" s="364"/>
      <c r="H1166" s="391" t="s">
        <v>9568</v>
      </c>
    </row>
    <row r="1167" spans="1:8" x14ac:dyDescent="0.3">
      <c r="A1167" s="45">
        <v>44132</v>
      </c>
      <c r="B1167" s="401"/>
      <c r="C1167" s="73" t="s">
        <v>1837</v>
      </c>
      <c r="D1167" s="73" t="s">
        <v>6644</v>
      </c>
      <c r="E1167" s="42">
        <v>1500</v>
      </c>
      <c r="F1167" s="43"/>
      <c r="G1167" s="364"/>
      <c r="H1167" s="391" t="s">
        <v>9568</v>
      </c>
    </row>
    <row r="1168" spans="1:8" x14ac:dyDescent="0.3">
      <c r="A1168" s="45">
        <v>44132</v>
      </c>
      <c r="B1168" s="399"/>
      <c r="C1168" s="5" t="s">
        <v>6645</v>
      </c>
      <c r="D1168" s="5" t="s">
        <v>6646</v>
      </c>
      <c r="E1168" s="43">
        <v>400</v>
      </c>
      <c r="F1168" s="43"/>
      <c r="G1168" s="364"/>
      <c r="H1168" s="391" t="s">
        <v>9568</v>
      </c>
    </row>
    <row r="1169" spans="1:8" x14ac:dyDescent="0.3">
      <c r="A1169" s="45">
        <v>44132</v>
      </c>
      <c r="B1169" s="399"/>
      <c r="C1169" s="5" t="s">
        <v>1074</v>
      </c>
      <c r="D1169" s="5" t="s">
        <v>6647</v>
      </c>
      <c r="E1169" s="43">
        <f>590+11893+1776</f>
        <v>14259</v>
      </c>
      <c r="F1169" s="43"/>
      <c r="G1169" s="364"/>
      <c r="H1169" s="391" t="s">
        <v>9568</v>
      </c>
    </row>
    <row r="1170" spans="1:8" x14ac:dyDescent="0.3">
      <c r="A1170" s="45">
        <v>44132</v>
      </c>
      <c r="B1170" s="399"/>
      <c r="C1170" s="5" t="s">
        <v>1074</v>
      </c>
      <c r="D1170" s="5" t="s">
        <v>6648</v>
      </c>
      <c r="E1170" s="43">
        <f>21124+13375</f>
        <v>34499</v>
      </c>
      <c r="F1170" s="43"/>
      <c r="G1170" s="364"/>
      <c r="H1170" s="391" t="s">
        <v>9568</v>
      </c>
    </row>
    <row r="1171" spans="1:8" x14ac:dyDescent="0.3">
      <c r="A1171" s="45">
        <v>44132</v>
      </c>
      <c r="B1171" s="399"/>
      <c r="C1171" s="5" t="s">
        <v>4915</v>
      </c>
      <c r="D1171" s="5" t="s">
        <v>6649</v>
      </c>
      <c r="E1171" s="43">
        <v>24000</v>
      </c>
      <c r="F1171" s="43"/>
      <c r="G1171" s="364"/>
      <c r="H1171" s="391" t="s">
        <v>9568</v>
      </c>
    </row>
    <row r="1172" spans="1:8" x14ac:dyDescent="0.3">
      <c r="A1172" s="45">
        <v>44132</v>
      </c>
      <c r="B1172" s="399"/>
      <c r="C1172" s="5" t="s">
        <v>25</v>
      </c>
      <c r="D1172" s="5" t="s">
        <v>6650</v>
      </c>
      <c r="E1172" s="43">
        <v>200</v>
      </c>
      <c r="F1172" s="43"/>
      <c r="G1172" s="364"/>
      <c r="H1172" s="391" t="s">
        <v>9568</v>
      </c>
    </row>
    <row r="1173" spans="1:8" x14ac:dyDescent="0.3">
      <c r="A1173" s="45">
        <v>44132</v>
      </c>
      <c r="B1173" s="399"/>
      <c r="C1173" s="5" t="s">
        <v>25</v>
      </c>
      <c r="D1173" s="5" t="s">
        <v>6049</v>
      </c>
      <c r="E1173" s="43">
        <v>50</v>
      </c>
      <c r="F1173" s="43"/>
      <c r="G1173" s="364"/>
      <c r="H1173" s="391" t="s">
        <v>9568</v>
      </c>
    </row>
    <row r="1174" spans="1:8" x14ac:dyDescent="0.3">
      <c r="A1174" s="45">
        <v>44132</v>
      </c>
      <c r="B1174" s="399"/>
      <c r="C1174" s="5" t="s">
        <v>3559</v>
      </c>
      <c r="D1174" s="5" t="s">
        <v>4887</v>
      </c>
      <c r="E1174" s="43">
        <v>4200</v>
      </c>
      <c r="F1174" s="43"/>
      <c r="G1174" s="364"/>
      <c r="H1174" s="391" t="s">
        <v>9568</v>
      </c>
    </row>
    <row r="1175" spans="1:8" x14ac:dyDescent="0.3">
      <c r="A1175" s="45">
        <v>44132</v>
      </c>
      <c r="B1175" s="399"/>
      <c r="C1175" s="5" t="s">
        <v>2570</v>
      </c>
      <c r="D1175" s="5" t="s">
        <v>3559</v>
      </c>
      <c r="E1175" s="43">
        <v>270</v>
      </c>
      <c r="F1175" s="43"/>
      <c r="G1175" s="364"/>
      <c r="H1175" s="391" t="s">
        <v>9568</v>
      </c>
    </row>
    <row r="1176" spans="1:8" x14ac:dyDescent="0.3">
      <c r="A1176" s="45">
        <v>44133</v>
      </c>
      <c r="B1176" s="399"/>
      <c r="C1176" s="5" t="s">
        <v>1787</v>
      </c>
      <c r="D1176" s="5" t="s">
        <v>6651</v>
      </c>
      <c r="E1176" s="43">
        <v>1000</v>
      </c>
      <c r="F1176" s="43"/>
      <c r="G1176" s="364"/>
      <c r="H1176" s="391" t="s">
        <v>9568</v>
      </c>
    </row>
    <row r="1177" spans="1:8" x14ac:dyDescent="0.3">
      <c r="A1177" s="45">
        <v>44133</v>
      </c>
      <c r="B1177" s="399"/>
      <c r="C1177" s="5" t="s">
        <v>25</v>
      </c>
      <c r="D1177" s="5" t="s">
        <v>6652</v>
      </c>
      <c r="E1177" s="43">
        <v>300</v>
      </c>
      <c r="F1177" s="43"/>
      <c r="G1177" s="364"/>
      <c r="H1177" s="391" t="s">
        <v>9568</v>
      </c>
    </row>
    <row r="1178" spans="1:8" x14ac:dyDescent="0.3">
      <c r="A1178" s="45">
        <v>44133</v>
      </c>
      <c r="B1178" s="399"/>
      <c r="C1178" s="5" t="s">
        <v>4550</v>
      </c>
      <c r="D1178" s="5" t="s">
        <v>6653</v>
      </c>
      <c r="E1178" s="43">
        <v>20000</v>
      </c>
      <c r="F1178" s="43"/>
      <c r="G1178" s="364"/>
      <c r="H1178" s="391" t="s">
        <v>9568</v>
      </c>
    </row>
    <row r="1179" spans="1:8" ht="37.5" x14ac:dyDescent="0.3">
      <c r="A1179" s="45">
        <v>44133</v>
      </c>
      <c r="B1179" s="399"/>
      <c r="C1179" s="5" t="s">
        <v>18</v>
      </c>
      <c r="D1179" s="92" t="s">
        <v>6665</v>
      </c>
      <c r="E1179" s="43">
        <v>3000</v>
      </c>
      <c r="F1179" s="43"/>
      <c r="G1179" s="364"/>
      <c r="H1179" s="391" t="s">
        <v>9568</v>
      </c>
    </row>
    <row r="1180" spans="1:8" x14ac:dyDescent="0.3">
      <c r="A1180" s="45">
        <v>44133</v>
      </c>
      <c r="B1180" s="399"/>
      <c r="C1180" s="5" t="s">
        <v>14</v>
      </c>
      <c r="D1180" s="5" t="s">
        <v>294</v>
      </c>
      <c r="E1180" s="43">
        <v>10000</v>
      </c>
      <c r="F1180" s="43"/>
      <c r="G1180" s="364"/>
      <c r="H1180" s="391" t="s">
        <v>9568</v>
      </c>
    </row>
    <row r="1181" spans="1:8" x14ac:dyDescent="0.3">
      <c r="A1181" s="45">
        <v>44133</v>
      </c>
      <c r="B1181" s="399"/>
      <c r="C1181" s="5" t="s">
        <v>3559</v>
      </c>
      <c r="D1181" s="5" t="s">
        <v>91</v>
      </c>
      <c r="E1181" s="43">
        <v>650</v>
      </c>
      <c r="F1181" s="43"/>
      <c r="G1181" s="364"/>
      <c r="H1181" s="391" t="s">
        <v>9568</v>
      </c>
    </row>
    <row r="1182" spans="1:8" ht="56.25" x14ac:dyDescent="0.3">
      <c r="A1182" s="45">
        <v>44135</v>
      </c>
      <c r="B1182" s="404"/>
      <c r="C1182" s="41" t="s">
        <v>4246</v>
      </c>
      <c r="D1182" s="221" t="s">
        <v>6683</v>
      </c>
      <c r="E1182" s="42">
        <v>3750</v>
      </c>
      <c r="F1182" s="43"/>
      <c r="G1182" s="364"/>
      <c r="H1182" s="391" t="s">
        <v>9568</v>
      </c>
    </row>
    <row r="1183" spans="1:8" x14ac:dyDescent="0.3">
      <c r="A1183" s="45">
        <v>44135</v>
      </c>
      <c r="B1183" s="399"/>
      <c r="C1183" s="5" t="s">
        <v>5979</v>
      </c>
      <c r="D1183" s="5" t="s">
        <v>6658</v>
      </c>
      <c r="E1183" s="43">
        <v>4000</v>
      </c>
      <c r="F1183" s="43"/>
      <c r="G1183" s="364"/>
      <c r="H1183" s="391" t="s">
        <v>9568</v>
      </c>
    </row>
    <row r="1184" spans="1:8" x14ac:dyDescent="0.3">
      <c r="A1184" s="45">
        <v>44135</v>
      </c>
      <c r="B1184" s="399"/>
      <c r="C1184" s="5" t="s">
        <v>6660</v>
      </c>
      <c r="D1184" s="5" t="s">
        <v>6659</v>
      </c>
      <c r="E1184" s="43">
        <v>16500</v>
      </c>
      <c r="F1184" s="43"/>
      <c r="G1184" s="364"/>
      <c r="H1184" s="391" t="s">
        <v>9568</v>
      </c>
    </row>
    <row r="1185" spans="1:8" x14ac:dyDescent="0.3">
      <c r="A1185" s="45">
        <v>44135</v>
      </c>
      <c r="B1185" s="402"/>
      <c r="C1185" s="39" t="s">
        <v>5156</v>
      </c>
      <c r="D1185" s="39" t="s">
        <v>6661</v>
      </c>
      <c r="E1185" s="40">
        <v>5400</v>
      </c>
      <c r="F1185" s="43"/>
      <c r="G1185" s="364"/>
      <c r="H1185" s="391" t="s">
        <v>9568</v>
      </c>
    </row>
    <row r="1186" spans="1:8" x14ac:dyDescent="0.3">
      <c r="A1186" s="45">
        <v>44137</v>
      </c>
      <c r="B1186" s="580"/>
      <c r="C1186" s="554" t="s">
        <v>5653</v>
      </c>
      <c r="D1186" s="554"/>
      <c r="E1186" s="554"/>
      <c r="F1186" s="43">
        <v>100000</v>
      </c>
      <c r="G1186" s="364"/>
      <c r="H1186" s="391" t="s">
        <v>9568</v>
      </c>
    </row>
    <row r="1187" spans="1:8" x14ac:dyDescent="0.3">
      <c r="A1187" s="45">
        <v>44137</v>
      </c>
      <c r="B1187" s="399"/>
      <c r="C1187" s="5" t="s">
        <v>6663</v>
      </c>
      <c r="D1187" s="5" t="s">
        <v>6662</v>
      </c>
      <c r="E1187" s="43">
        <v>20000</v>
      </c>
      <c r="F1187" s="43"/>
      <c r="G1187" s="364"/>
      <c r="H1187" s="391" t="s">
        <v>9568</v>
      </c>
    </row>
    <row r="1188" spans="1:8" x14ac:dyDescent="0.3">
      <c r="A1188" s="45">
        <v>44137</v>
      </c>
      <c r="B1188" s="399"/>
      <c r="C1188" s="5" t="s">
        <v>84</v>
      </c>
      <c r="D1188" s="5" t="s">
        <v>6609</v>
      </c>
      <c r="E1188" s="43">
        <f>200+100</f>
        <v>300</v>
      </c>
      <c r="F1188" s="43"/>
      <c r="G1188" s="364"/>
      <c r="H1188" s="391" t="s">
        <v>9568</v>
      </c>
    </row>
    <row r="1189" spans="1:8" x14ac:dyDescent="0.3">
      <c r="A1189" s="45">
        <v>44137</v>
      </c>
      <c r="B1189" s="399"/>
      <c r="C1189" s="5" t="s">
        <v>25</v>
      </c>
      <c r="D1189" s="5" t="s">
        <v>6049</v>
      </c>
      <c r="E1189" s="43">
        <v>100</v>
      </c>
      <c r="F1189" s="43"/>
      <c r="G1189" s="364"/>
      <c r="H1189" s="391" t="s">
        <v>9568</v>
      </c>
    </row>
    <row r="1190" spans="1:8" x14ac:dyDescent="0.3">
      <c r="A1190" s="45">
        <v>44137</v>
      </c>
      <c r="B1190" s="399"/>
      <c r="C1190" s="5" t="s">
        <v>14</v>
      </c>
      <c r="D1190" s="5" t="s">
        <v>294</v>
      </c>
      <c r="E1190" s="43">
        <v>5000</v>
      </c>
      <c r="F1190" s="43"/>
      <c r="G1190" s="364"/>
      <c r="H1190" s="391" t="s">
        <v>9568</v>
      </c>
    </row>
    <row r="1191" spans="1:8" x14ac:dyDescent="0.3">
      <c r="A1191" s="45">
        <v>44138</v>
      </c>
      <c r="B1191" s="399"/>
      <c r="C1191" s="5" t="s">
        <v>25</v>
      </c>
      <c r="D1191" s="5" t="s">
        <v>6361</v>
      </c>
      <c r="E1191" s="43">
        <f>700+290+60+290+60+540+60+280+760+130+290+160+300</f>
        <v>3920</v>
      </c>
      <c r="F1191" s="43"/>
      <c r="G1191" s="364"/>
      <c r="H1191" s="391" t="s">
        <v>9568</v>
      </c>
    </row>
    <row r="1192" spans="1:8" x14ac:dyDescent="0.3">
      <c r="A1192" s="45">
        <v>44138</v>
      </c>
      <c r="B1192" s="404"/>
      <c r="C1192" s="41" t="s">
        <v>4246</v>
      </c>
      <c r="D1192" s="41" t="s">
        <v>6664</v>
      </c>
      <c r="E1192" s="43">
        <v>1000</v>
      </c>
      <c r="F1192" s="43"/>
      <c r="G1192" s="364"/>
      <c r="H1192" s="391" t="s">
        <v>9568</v>
      </c>
    </row>
    <row r="1193" spans="1:8" x14ac:dyDescent="0.3">
      <c r="A1193" s="45">
        <v>44138</v>
      </c>
      <c r="B1193" s="399"/>
      <c r="C1193" s="5" t="s">
        <v>0</v>
      </c>
      <c r="D1193" s="5" t="s">
        <v>6625</v>
      </c>
      <c r="E1193" s="43">
        <v>5000</v>
      </c>
      <c r="F1193" s="43"/>
      <c r="G1193" s="364"/>
      <c r="H1193" s="391" t="s">
        <v>9568</v>
      </c>
    </row>
    <row r="1194" spans="1:8" ht="37.5" x14ac:dyDescent="0.3">
      <c r="A1194" s="45">
        <v>44138</v>
      </c>
      <c r="B1194" s="399"/>
      <c r="C1194" s="5" t="s">
        <v>18</v>
      </c>
      <c r="D1194" s="92" t="s">
        <v>6666</v>
      </c>
      <c r="E1194" s="43">
        <v>8500</v>
      </c>
      <c r="F1194" s="43"/>
      <c r="G1194" s="364"/>
      <c r="H1194" s="391" t="s">
        <v>9568</v>
      </c>
    </row>
    <row r="1195" spans="1:8" x14ac:dyDescent="0.3">
      <c r="A1195" s="45">
        <v>44139</v>
      </c>
      <c r="B1195" s="399"/>
      <c r="C1195" s="5" t="s">
        <v>2224</v>
      </c>
      <c r="D1195" s="5" t="s">
        <v>6667</v>
      </c>
      <c r="E1195" s="43">
        <v>20000</v>
      </c>
      <c r="F1195" s="43"/>
      <c r="G1195" s="364"/>
      <c r="H1195" s="391" t="s">
        <v>9568</v>
      </c>
    </row>
    <row r="1196" spans="1:8" x14ac:dyDescent="0.3">
      <c r="A1196" s="45">
        <v>44139</v>
      </c>
      <c r="B1196" s="399"/>
      <c r="C1196" s="5" t="s">
        <v>18</v>
      </c>
      <c r="D1196" s="5" t="s">
        <v>6669</v>
      </c>
      <c r="E1196" s="43">
        <v>1600</v>
      </c>
      <c r="F1196" s="43"/>
      <c r="G1196" s="364"/>
      <c r="H1196" s="391" t="s">
        <v>9568</v>
      </c>
    </row>
    <row r="1197" spans="1:8" x14ac:dyDescent="0.3">
      <c r="A1197" s="45">
        <v>44139</v>
      </c>
      <c r="B1197" s="399"/>
      <c r="C1197" s="5" t="s">
        <v>14</v>
      </c>
      <c r="D1197" s="5" t="s">
        <v>640</v>
      </c>
      <c r="E1197" s="43">
        <v>1000</v>
      </c>
      <c r="F1197" s="43"/>
      <c r="G1197" s="364"/>
      <c r="H1197" s="391" t="s">
        <v>9568</v>
      </c>
    </row>
    <row r="1198" spans="1:8" x14ac:dyDescent="0.3">
      <c r="A1198" s="45">
        <v>44139</v>
      </c>
      <c r="B1198" s="399"/>
      <c r="C1198" s="5" t="s">
        <v>84</v>
      </c>
      <c r="D1198" s="5" t="s">
        <v>6609</v>
      </c>
      <c r="E1198" s="43">
        <v>500</v>
      </c>
      <c r="F1198" s="43"/>
      <c r="G1198" s="364"/>
      <c r="H1198" s="391" t="s">
        <v>9568</v>
      </c>
    </row>
    <row r="1199" spans="1:8" x14ac:dyDescent="0.3">
      <c r="A1199" s="45">
        <v>44139</v>
      </c>
      <c r="B1199" s="399"/>
      <c r="C1199" s="5" t="s">
        <v>14</v>
      </c>
      <c r="D1199" s="5" t="s">
        <v>6112</v>
      </c>
      <c r="E1199" s="43">
        <v>9348</v>
      </c>
      <c r="F1199" s="43"/>
      <c r="G1199" s="364"/>
      <c r="H1199" s="391" t="s">
        <v>9568</v>
      </c>
    </row>
    <row r="1200" spans="1:8" x14ac:dyDescent="0.3">
      <c r="A1200" s="45">
        <v>44139</v>
      </c>
      <c r="B1200" s="399"/>
      <c r="C1200" s="5" t="s">
        <v>18</v>
      </c>
      <c r="D1200" s="5" t="s">
        <v>6668</v>
      </c>
      <c r="E1200" s="43">
        <v>5000</v>
      </c>
      <c r="F1200" s="43"/>
      <c r="G1200" s="364"/>
      <c r="H1200" s="391" t="s">
        <v>9568</v>
      </c>
    </row>
    <row r="1201" spans="1:8" x14ac:dyDescent="0.3">
      <c r="A1201" s="45">
        <v>44140</v>
      </c>
      <c r="B1201" s="399"/>
      <c r="C1201" s="5" t="s">
        <v>4550</v>
      </c>
      <c r="D1201" s="5" t="s">
        <v>294</v>
      </c>
      <c r="E1201" s="43">
        <v>20000</v>
      </c>
      <c r="F1201" s="43"/>
      <c r="G1201" s="364"/>
      <c r="H1201" s="391" t="s">
        <v>9568</v>
      </c>
    </row>
    <row r="1202" spans="1:8" x14ac:dyDescent="0.3">
      <c r="A1202" s="45">
        <v>44140</v>
      </c>
      <c r="B1202" s="399"/>
      <c r="C1202" s="5" t="s">
        <v>18</v>
      </c>
      <c r="D1202" s="5" t="s">
        <v>3910</v>
      </c>
      <c r="E1202" s="43">
        <v>3000</v>
      </c>
      <c r="F1202" s="43"/>
      <c r="G1202" s="364"/>
      <c r="H1202" s="391" t="s">
        <v>9568</v>
      </c>
    </row>
    <row r="1203" spans="1:8" x14ac:dyDescent="0.3">
      <c r="A1203" s="45">
        <v>44140</v>
      </c>
      <c r="B1203" s="399"/>
      <c r="C1203" s="5" t="s">
        <v>18</v>
      </c>
      <c r="D1203" s="5" t="s">
        <v>640</v>
      </c>
      <c r="E1203" s="43">
        <v>680</v>
      </c>
      <c r="F1203" s="43"/>
      <c r="G1203" s="364"/>
      <c r="H1203" s="391" t="s">
        <v>9568</v>
      </c>
    </row>
    <row r="1204" spans="1:8" x14ac:dyDescent="0.3">
      <c r="A1204" s="45">
        <v>44141</v>
      </c>
      <c r="B1204" s="580"/>
      <c r="C1204" s="554" t="s">
        <v>6672</v>
      </c>
      <c r="D1204" s="554"/>
      <c r="E1204" s="554"/>
      <c r="F1204" s="43">
        <v>500000</v>
      </c>
      <c r="G1204" s="364"/>
      <c r="H1204" s="391" t="s">
        <v>9568</v>
      </c>
    </row>
    <row r="1205" spans="1:8" x14ac:dyDescent="0.3">
      <c r="A1205" s="45">
        <v>44141</v>
      </c>
      <c r="B1205" s="399"/>
      <c r="C1205" s="5" t="s">
        <v>5162</v>
      </c>
      <c r="D1205" s="5" t="s">
        <v>6671</v>
      </c>
      <c r="E1205" s="43">
        <v>3000</v>
      </c>
      <c r="F1205" s="43"/>
      <c r="G1205" s="364"/>
      <c r="H1205" s="391" t="s">
        <v>9568</v>
      </c>
    </row>
    <row r="1206" spans="1:8" x14ac:dyDescent="0.3">
      <c r="A1206" s="45">
        <v>44141</v>
      </c>
      <c r="B1206" s="402"/>
      <c r="C1206" s="39" t="s">
        <v>1512</v>
      </c>
      <c r="D1206" s="39" t="s">
        <v>6560</v>
      </c>
      <c r="E1206" s="43">
        <v>288039</v>
      </c>
      <c r="F1206" s="43"/>
      <c r="G1206" s="364"/>
      <c r="H1206" s="391" t="s">
        <v>9568</v>
      </c>
    </row>
    <row r="1207" spans="1:8" x14ac:dyDescent="0.3">
      <c r="A1207" s="45">
        <v>44141</v>
      </c>
      <c r="B1207" s="402"/>
      <c r="C1207" s="39" t="s">
        <v>1512</v>
      </c>
      <c r="D1207" s="39" t="s">
        <v>6546</v>
      </c>
      <c r="E1207" s="43">
        <v>117032</v>
      </c>
      <c r="F1207" s="43"/>
      <c r="G1207" s="364"/>
      <c r="H1207" s="391" t="s">
        <v>9568</v>
      </c>
    </row>
    <row r="1208" spans="1:8" x14ac:dyDescent="0.3">
      <c r="A1208" s="45">
        <v>44141</v>
      </c>
      <c r="B1208" s="402"/>
      <c r="C1208" s="39" t="s">
        <v>1512</v>
      </c>
      <c r="D1208" s="39" t="s">
        <v>6245</v>
      </c>
      <c r="E1208" s="43">
        <v>39556</v>
      </c>
      <c r="F1208" s="43"/>
      <c r="G1208" s="364"/>
      <c r="H1208" s="391" t="s">
        <v>9568</v>
      </c>
    </row>
    <row r="1209" spans="1:8" x14ac:dyDescent="0.3">
      <c r="A1209" s="45">
        <v>44141</v>
      </c>
      <c r="B1209" s="402"/>
      <c r="C1209" s="39" t="s">
        <v>1512</v>
      </c>
      <c r="D1209" s="39" t="s">
        <v>6673</v>
      </c>
      <c r="E1209" s="43">
        <v>35000</v>
      </c>
      <c r="F1209" s="43"/>
      <c r="G1209" s="364"/>
      <c r="H1209" s="391" t="s">
        <v>9568</v>
      </c>
    </row>
    <row r="1210" spans="1:8" x14ac:dyDescent="0.3">
      <c r="A1210" s="45">
        <v>44141</v>
      </c>
      <c r="B1210" s="402"/>
      <c r="C1210" s="39" t="s">
        <v>1512</v>
      </c>
      <c r="D1210" s="39" t="s">
        <v>74</v>
      </c>
      <c r="E1210" s="43">
        <v>6000</v>
      </c>
      <c r="F1210" s="43"/>
      <c r="G1210" s="364"/>
      <c r="H1210" s="391" t="s">
        <v>9568</v>
      </c>
    </row>
    <row r="1211" spans="1:8" x14ac:dyDescent="0.3">
      <c r="A1211" s="45">
        <v>44142</v>
      </c>
      <c r="B1211" s="580"/>
      <c r="C1211" s="554" t="s">
        <v>2960</v>
      </c>
      <c r="D1211" s="554"/>
      <c r="E1211" s="554"/>
      <c r="F1211" s="43">
        <v>400000</v>
      </c>
      <c r="G1211" s="364"/>
      <c r="H1211" s="391" t="s">
        <v>9568</v>
      </c>
    </row>
    <row r="1212" spans="1:8" x14ac:dyDescent="0.3">
      <c r="A1212" s="45">
        <v>44142</v>
      </c>
      <c r="B1212" s="402"/>
      <c r="C1212" s="39" t="s">
        <v>1512</v>
      </c>
      <c r="D1212" s="39" t="s">
        <v>14</v>
      </c>
      <c r="E1212" s="43">
        <v>50000</v>
      </c>
      <c r="F1212" s="43"/>
      <c r="G1212" s="364"/>
      <c r="H1212" s="391" t="s">
        <v>9568</v>
      </c>
    </row>
    <row r="1213" spans="1:8" x14ac:dyDescent="0.3">
      <c r="A1213" s="45">
        <v>44142</v>
      </c>
      <c r="B1213" s="399"/>
      <c r="C1213" s="5" t="s">
        <v>6675</v>
      </c>
      <c r="D1213" s="5" t="s">
        <v>6676</v>
      </c>
      <c r="E1213" s="43">
        <v>10000</v>
      </c>
      <c r="F1213" s="43"/>
      <c r="G1213" s="364"/>
      <c r="H1213" s="391" t="s">
        <v>9568</v>
      </c>
    </row>
    <row r="1214" spans="1:8" x14ac:dyDescent="0.3">
      <c r="A1214" s="45">
        <v>44142</v>
      </c>
      <c r="B1214" s="399"/>
      <c r="C1214" s="5" t="s">
        <v>1970</v>
      </c>
      <c r="D1214" s="5" t="s">
        <v>3611</v>
      </c>
      <c r="E1214" s="43">
        <v>50000</v>
      </c>
      <c r="F1214" s="43"/>
      <c r="G1214" s="364"/>
      <c r="H1214" s="391" t="s">
        <v>9568</v>
      </c>
    </row>
    <row r="1215" spans="1:8" x14ac:dyDescent="0.3">
      <c r="A1215" s="45">
        <v>44142</v>
      </c>
      <c r="B1215" s="402"/>
      <c r="C1215" s="39" t="s">
        <v>1512</v>
      </c>
      <c r="D1215" s="39" t="s">
        <v>6558</v>
      </c>
      <c r="E1215" s="43">
        <v>31750</v>
      </c>
      <c r="F1215" s="43"/>
      <c r="G1215" s="364"/>
      <c r="H1215" s="391" t="s">
        <v>9568</v>
      </c>
    </row>
    <row r="1216" spans="1:8" x14ac:dyDescent="0.3">
      <c r="A1216" s="45">
        <v>44142</v>
      </c>
      <c r="B1216" s="402"/>
      <c r="C1216" s="39" t="s">
        <v>1512</v>
      </c>
      <c r="D1216" s="39" t="s">
        <v>6677</v>
      </c>
      <c r="E1216" s="43">
        <v>97960</v>
      </c>
      <c r="F1216" s="43"/>
      <c r="G1216" s="364"/>
      <c r="H1216" s="391" t="s">
        <v>9568</v>
      </c>
    </row>
    <row r="1217" spans="1:8" x14ac:dyDescent="0.3">
      <c r="A1217" s="45">
        <v>44142</v>
      </c>
      <c r="B1217" s="402"/>
      <c r="C1217" s="39" t="s">
        <v>1512</v>
      </c>
      <c r="D1217" s="39" t="s">
        <v>6387</v>
      </c>
      <c r="E1217" s="43">
        <v>82339</v>
      </c>
      <c r="F1217" s="43"/>
      <c r="G1217" s="364"/>
      <c r="H1217" s="391" t="s">
        <v>9568</v>
      </c>
    </row>
    <row r="1218" spans="1:8" x14ac:dyDescent="0.3">
      <c r="A1218" s="45">
        <v>44142</v>
      </c>
      <c r="B1218" s="402"/>
      <c r="C1218" s="39" t="s">
        <v>1512</v>
      </c>
      <c r="D1218" s="39" t="s">
        <v>6556</v>
      </c>
      <c r="E1218" s="43">
        <v>48903</v>
      </c>
      <c r="F1218" s="43"/>
      <c r="G1218" s="364"/>
      <c r="H1218" s="391" t="s">
        <v>9568</v>
      </c>
    </row>
    <row r="1219" spans="1:8" x14ac:dyDescent="0.3">
      <c r="A1219" s="45">
        <v>44142</v>
      </c>
      <c r="B1219" s="402"/>
      <c r="C1219" s="39" t="s">
        <v>1512</v>
      </c>
      <c r="D1219" s="39" t="s">
        <v>6678</v>
      </c>
      <c r="E1219" s="43">
        <v>44960</v>
      </c>
      <c r="F1219" s="43"/>
      <c r="G1219" s="364"/>
      <c r="H1219" s="391" t="s">
        <v>9568</v>
      </c>
    </row>
    <row r="1220" spans="1:8" x14ac:dyDescent="0.3">
      <c r="A1220" s="45">
        <v>44152</v>
      </c>
      <c r="B1220" s="580"/>
      <c r="C1220" s="554" t="s">
        <v>2960</v>
      </c>
      <c r="D1220" s="554"/>
      <c r="E1220" s="554"/>
      <c r="F1220" s="43">
        <v>80000</v>
      </c>
      <c r="G1220" s="364">
        <f>F1220</f>
        <v>80000</v>
      </c>
      <c r="H1220" s="391" t="s">
        <v>9568</v>
      </c>
    </row>
    <row r="1221" spans="1:8" x14ac:dyDescent="0.3">
      <c r="A1221" s="45">
        <v>44152</v>
      </c>
      <c r="B1221" s="399"/>
      <c r="C1221" s="5" t="s">
        <v>25</v>
      </c>
      <c r="D1221" s="5" t="s">
        <v>6361</v>
      </c>
      <c r="E1221" s="43">
        <f>700+290+60+290+540+60+280+760+130+290+160+300+680+405</f>
        <v>4945</v>
      </c>
      <c r="F1221" s="43"/>
      <c r="G1221" s="364">
        <f t="shared" ref="G1221:G1228" si="0">G1220+F1221-E1221</f>
        <v>75055</v>
      </c>
      <c r="H1221" s="391" t="s">
        <v>9568</v>
      </c>
    </row>
    <row r="1222" spans="1:8" x14ac:dyDescent="0.3">
      <c r="A1222" s="45">
        <v>44152</v>
      </c>
      <c r="B1222" s="399"/>
      <c r="C1222" s="5" t="s">
        <v>110</v>
      </c>
      <c r="D1222" s="5" t="s">
        <v>6680</v>
      </c>
      <c r="E1222" s="43">
        <v>60000</v>
      </c>
      <c r="F1222" s="43"/>
      <c r="G1222" s="364">
        <f t="shared" si="0"/>
        <v>15055</v>
      </c>
      <c r="H1222" s="391" t="s">
        <v>9568</v>
      </c>
    </row>
    <row r="1223" spans="1:8" x14ac:dyDescent="0.3">
      <c r="A1223" s="45">
        <v>44152</v>
      </c>
      <c r="B1223" s="580"/>
      <c r="C1223" s="554" t="s">
        <v>2960</v>
      </c>
      <c r="D1223" s="554"/>
      <c r="E1223" s="554"/>
      <c r="F1223" s="43">
        <v>3500</v>
      </c>
      <c r="G1223" s="364">
        <f t="shared" si="0"/>
        <v>18555</v>
      </c>
      <c r="H1223" s="391" t="s">
        <v>9568</v>
      </c>
    </row>
    <row r="1224" spans="1:8" x14ac:dyDescent="0.3">
      <c r="A1224" s="45">
        <v>44152</v>
      </c>
      <c r="B1224" s="399"/>
      <c r="C1224" s="5" t="s">
        <v>1616</v>
      </c>
      <c r="D1224" s="5" t="s">
        <v>1658</v>
      </c>
      <c r="E1224" s="43">
        <v>1500</v>
      </c>
      <c r="F1224" s="43"/>
      <c r="G1224" s="364">
        <f t="shared" si="0"/>
        <v>17055</v>
      </c>
      <c r="H1224" s="391" t="s">
        <v>9568</v>
      </c>
    </row>
    <row r="1225" spans="1:8" x14ac:dyDescent="0.3">
      <c r="A1225" s="45">
        <v>44152</v>
      </c>
      <c r="B1225" s="402"/>
      <c r="C1225" s="39" t="s">
        <v>1512</v>
      </c>
      <c r="D1225" s="39" t="s">
        <v>6684</v>
      </c>
      <c r="E1225" s="43">
        <v>5890</v>
      </c>
      <c r="F1225" s="43"/>
      <c r="G1225" s="364">
        <f t="shared" si="0"/>
        <v>11165</v>
      </c>
      <c r="H1225" s="391" t="s">
        <v>9568</v>
      </c>
    </row>
    <row r="1226" spans="1:8" x14ac:dyDescent="0.3">
      <c r="A1226" s="45">
        <v>44153</v>
      </c>
      <c r="B1226" s="399"/>
      <c r="C1226" s="5" t="s">
        <v>1074</v>
      </c>
      <c r="D1226" s="5" t="s">
        <v>6468</v>
      </c>
      <c r="E1226" s="43">
        <f>4950+2520</f>
        <v>7470</v>
      </c>
      <c r="F1226" s="43"/>
      <c r="G1226" s="364">
        <f t="shared" si="0"/>
        <v>3695</v>
      </c>
      <c r="H1226" s="391" t="s">
        <v>9568</v>
      </c>
    </row>
    <row r="1227" spans="1:8" x14ac:dyDescent="0.3">
      <c r="A1227" s="45">
        <v>44153</v>
      </c>
      <c r="B1227" s="399"/>
      <c r="C1227" s="5" t="s">
        <v>1074</v>
      </c>
      <c r="D1227" s="5" t="s">
        <v>6469</v>
      </c>
      <c r="E1227" s="43">
        <f>1980+970</f>
        <v>2950</v>
      </c>
      <c r="F1227" s="43"/>
      <c r="G1227" s="364">
        <f t="shared" si="0"/>
        <v>745</v>
      </c>
      <c r="H1227" s="391" t="s">
        <v>9568</v>
      </c>
    </row>
    <row r="1228" spans="1:8" x14ac:dyDescent="0.3">
      <c r="A1228" s="45">
        <v>44153</v>
      </c>
      <c r="B1228" s="399"/>
      <c r="C1228" s="5" t="s">
        <v>1787</v>
      </c>
      <c r="D1228" s="5" t="s">
        <v>6685</v>
      </c>
      <c r="E1228" s="43">
        <v>500</v>
      </c>
      <c r="F1228" s="43"/>
      <c r="G1228" s="364">
        <f t="shared" si="0"/>
        <v>245</v>
      </c>
      <c r="H1228" s="391" t="s">
        <v>9568</v>
      </c>
    </row>
    <row r="1229" spans="1:8" x14ac:dyDescent="0.3">
      <c r="A1229" s="45">
        <v>44153</v>
      </c>
      <c r="B1229" s="580"/>
      <c r="C1229" s="554" t="s">
        <v>6688</v>
      </c>
      <c r="D1229" s="554"/>
      <c r="E1229" s="554"/>
      <c r="F1229" s="43">
        <v>100000</v>
      </c>
      <c r="G1229" s="364">
        <f t="shared" ref="G1229:G1296" si="1">G1228+F1229-E1229</f>
        <v>100245</v>
      </c>
      <c r="H1229" s="391" t="s">
        <v>9568</v>
      </c>
    </row>
    <row r="1230" spans="1:8" ht="37.5" x14ac:dyDescent="0.3">
      <c r="A1230" s="45">
        <v>44153</v>
      </c>
      <c r="B1230" s="399"/>
      <c r="C1230" s="5" t="s">
        <v>6686</v>
      </c>
      <c r="D1230" s="92" t="s">
        <v>6687</v>
      </c>
      <c r="E1230" s="43">
        <v>20000</v>
      </c>
      <c r="F1230" s="43"/>
      <c r="G1230" s="364">
        <f t="shared" si="1"/>
        <v>80245</v>
      </c>
      <c r="H1230" s="391" t="s">
        <v>9568</v>
      </c>
    </row>
    <row r="1231" spans="1:8" x14ac:dyDescent="0.3">
      <c r="A1231" s="45">
        <v>44153</v>
      </c>
      <c r="B1231" s="399"/>
      <c r="C1231" s="5" t="s">
        <v>14</v>
      </c>
      <c r="D1231" s="5" t="s">
        <v>3910</v>
      </c>
      <c r="E1231" s="43">
        <v>15000</v>
      </c>
      <c r="F1231" s="43"/>
      <c r="G1231" s="364">
        <f t="shared" si="1"/>
        <v>65245</v>
      </c>
      <c r="H1231" s="391" t="s">
        <v>9568</v>
      </c>
    </row>
    <row r="1232" spans="1:8" x14ac:dyDescent="0.3">
      <c r="A1232" s="45">
        <v>44153</v>
      </c>
      <c r="B1232" s="399"/>
      <c r="C1232" s="5" t="s">
        <v>11</v>
      </c>
      <c r="D1232" s="5" t="s">
        <v>6691</v>
      </c>
      <c r="E1232" s="43">
        <v>1000</v>
      </c>
      <c r="F1232" s="43"/>
      <c r="G1232" s="364">
        <f t="shared" si="1"/>
        <v>64245</v>
      </c>
      <c r="H1232" s="391" t="s">
        <v>9568</v>
      </c>
    </row>
    <row r="1233" spans="1:8" x14ac:dyDescent="0.3">
      <c r="A1233" s="45">
        <v>44153</v>
      </c>
      <c r="B1233" s="399"/>
      <c r="C1233" s="5" t="s">
        <v>11</v>
      </c>
      <c r="D1233" s="5" t="s">
        <v>6692</v>
      </c>
      <c r="E1233" s="43">
        <v>4500</v>
      </c>
      <c r="F1233" s="43"/>
      <c r="G1233" s="364">
        <f t="shared" si="1"/>
        <v>59745</v>
      </c>
      <c r="H1233" s="391" t="s">
        <v>9568</v>
      </c>
    </row>
    <row r="1234" spans="1:8" x14ac:dyDescent="0.3">
      <c r="A1234" s="45">
        <v>44153</v>
      </c>
      <c r="B1234" s="399"/>
      <c r="C1234" s="5" t="s">
        <v>6693</v>
      </c>
      <c r="D1234" s="5" t="s">
        <v>6694</v>
      </c>
      <c r="E1234" s="43">
        <v>3000</v>
      </c>
      <c r="F1234" s="43"/>
      <c r="G1234" s="364">
        <f t="shared" si="1"/>
        <v>56745</v>
      </c>
      <c r="H1234" s="391" t="s">
        <v>9568</v>
      </c>
    </row>
    <row r="1235" spans="1:8" x14ac:dyDescent="0.3">
      <c r="A1235" s="45">
        <v>44153</v>
      </c>
      <c r="B1235" s="399"/>
      <c r="C1235" s="5" t="s">
        <v>6430</v>
      </c>
      <c r="D1235" s="5" t="s">
        <v>6695</v>
      </c>
      <c r="E1235" s="43">
        <v>33500</v>
      </c>
      <c r="F1235" s="43"/>
      <c r="G1235" s="364">
        <f t="shared" si="1"/>
        <v>23245</v>
      </c>
      <c r="H1235" s="391" t="s">
        <v>9568</v>
      </c>
    </row>
    <row r="1236" spans="1:8" x14ac:dyDescent="0.3">
      <c r="A1236" s="45">
        <v>44153</v>
      </c>
      <c r="B1236" s="399"/>
      <c r="C1236" s="5" t="s">
        <v>84</v>
      </c>
      <c r="D1236" s="5" t="s">
        <v>6696</v>
      </c>
      <c r="E1236" s="43">
        <v>10000</v>
      </c>
      <c r="F1236" s="43"/>
      <c r="G1236" s="364">
        <f t="shared" si="1"/>
        <v>13245</v>
      </c>
      <c r="H1236" s="391" t="s">
        <v>9568</v>
      </c>
    </row>
    <row r="1237" spans="1:8" x14ac:dyDescent="0.3">
      <c r="A1237" s="45">
        <v>44153</v>
      </c>
      <c r="B1237" s="399"/>
      <c r="C1237" s="5" t="s">
        <v>10</v>
      </c>
      <c r="D1237" s="5" t="s">
        <v>6697</v>
      </c>
      <c r="E1237" s="43">
        <v>2000</v>
      </c>
      <c r="F1237" s="43"/>
      <c r="G1237" s="364">
        <f t="shared" si="1"/>
        <v>11245</v>
      </c>
      <c r="H1237" s="391" t="s">
        <v>9568</v>
      </c>
    </row>
    <row r="1238" spans="1:8" x14ac:dyDescent="0.3">
      <c r="A1238" s="45">
        <v>44153</v>
      </c>
      <c r="B1238" s="399"/>
      <c r="C1238" s="5" t="s">
        <v>11</v>
      </c>
      <c r="D1238" s="5" t="s">
        <v>6698</v>
      </c>
      <c r="E1238" s="43">
        <v>2830</v>
      </c>
      <c r="F1238" s="43"/>
      <c r="G1238" s="364">
        <f t="shared" si="1"/>
        <v>8415</v>
      </c>
      <c r="H1238" s="391" t="s">
        <v>9568</v>
      </c>
    </row>
    <row r="1239" spans="1:8" x14ac:dyDescent="0.3">
      <c r="A1239" s="45">
        <v>44154</v>
      </c>
      <c r="B1239" s="580"/>
      <c r="C1239" s="554" t="s">
        <v>6688</v>
      </c>
      <c r="D1239" s="554"/>
      <c r="E1239" s="554"/>
      <c r="F1239" s="43">
        <v>100000</v>
      </c>
      <c r="G1239" s="364">
        <f t="shared" si="1"/>
        <v>108415</v>
      </c>
      <c r="H1239" s="391" t="s">
        <v>9568</v>
      </c>
    </row>
    <row r="1240" spans="1:8" x14ac:dyDescent="0.3">
      <c r="A1240" s="45">
        <v>44154</v>
      </c>
      <c r="B1240" s="399"/>
      <c r="C1240" s="5" t="s">
        <v>1074</v>
      </c>
      <c r="D1240" s="5" t="s">
        <v>6701</v>
      </c>
      <c r="E1240" s="43">
        <v>18525</v>
      </c>
      <c r="F1240" s="43"/>
      <c r="G1240" s="364">
        <f t="shared" si="1"/>
        <v>89890</v>
      </c>
      <c r="H1240" s="391" t="s">
        <v>9568</v>
      </c>
    </row>
    <row r="1241" spans="1:8" x14ac:dyDescent="0.3">
      <c r="A1241" s="45">
        <v>44154</v>
      </c>
      <c r="B1241" s="399"/>
      <c r="C1241" s="5" t="s">
        <v>1074</v>
      </c>
      <c r="D1241" s="5" t="s">
        <v>5691</v>
      </c>
      <c r="E1241" s="43">
        <v>7961</v>
      </c>
      <c r="F1241" s="43"/>
      <c r="G1241" s="364">
        <f t="shared" si="1"/>
        <v>81929</v>
      </c>
      <c r="H1241" s="391" t="s">
        <v>9568</v>
      </c>
    </row>
    <row r="1242" spans="1:8" x14ac:dyDescent="0.3">
      <c r="A1242" s="45">
        <v>44155</v>
      </c>
      <c r="B1242" s="399"/>
      <c r="C1242" s="5" t="s">
        <v>3563</v>
      </c>
      <c r="D1242" s="5" t="s">
        <v>6702</v>
      </c>
      <c r="E1242" s="43">
        <v>4441</v>
      </c>
      <c r="F1242" s="43"/>
      <c r="G1242" s="364">
        <f t="shared" si="1"/>
        <v>77488</v>
      </c>
      <c r="H1242" s="391" t="s">
        <v>9568</v>
      </c>
    </row>
    <row r="1243" spans="1:8" x14ac:dyDescent="0.3">
      <c r="A1243" s="45">
        <v>44155</v>
      </c>
      <c r="B1243" s="399"/>
      <c r="C1243" s="5" t="s">
        <v>5938</v>
      </c>
      <c r="D1243" s="5" t="s">
        <v>6703</v>
      </c>
      <c r="E1243" s="43">
        <v>20430</v>
      </c>
      <c r="F1243" s="43"/>
      <c r="G1243" s="364">
        <f t="shared" si="1"/>
        <v>57058</v>
      </c>
      <c r="H1243" s="391" t="s">
        <v>9568</v>
      </c>
    </row>
    <row r="1244" spans="1:8" x14ac:dyDescent="0.3">
      <c r="A1244" s="45">
        <v>44155</v>
      </c>
      <c r="B1244" s="399"/>
      <c r="C1244" s="5" t="s">
        <v>5156</v>
      </c>
      <c r="D1244" s="5" t="s">
        <v>6704</v>
      </c>
      <c r="E1244" s="43">
        <v>75</v>
      </c>
      <c r="F1244" s="43"/>
      <c r="G1244" s="364">
        <f t="shared" si="1"/>
        <v>56983</v>
      </c>
      <c r="H1244" s="391" t="s">
        <v>9568</v>
      </c>
    </row>
    <row r="1245" spans="1:8" x14ac:dyDescent="0.3">
      <c r="A1245" s="45">
        <v>44155</v>
      </c>
      <c r="B1245" s="399"/>
      <c r="C1245" s="5" t="s">
        <v>247</v>
      </c>
      <c r="D1245" s="5" t="s">
        <v>2013</v>
      </c>
      <c r="E1245" s="43">
        <v>150</v>
      </c>
      <c r="F1245" s="43"/>
      <c r="G1245" s="364">
        <f t="shared" si="1"/>
        <v>56833</v>
      </c>
      <c r="H1245" s="391" t="s">
        <v>9568</v>
      </c>
    </row>
    <row r="1246" spans="1:8" x14ac:dyDescent="0.3">
      <c r="A1246" s="45">
        <v>44155</v>
      </c>
      <c r="B1246" s="399"/>
      <c r="C1246" s="5" t="s">
        <v>18</v>
      </c>
      <c r="D1246" s="5" t="s">
        <v>6705</v>
      </c>
      <c r="E1246" s="43">
        <v>2000</v>
      </c>
      <c r="F1246" s="43"/>
      <c r="G1246" s="364">
        <f t="shared" si="1"/>
        <v>54833</v>
      </c>
      <c r="H1246" s="391" t="s">
        <v>9568</v>
      </c>
    </row>
    <row r="1247" spans="1:8" x14ac:dyDescent="0.3">
      <c r="A1247" s="45">
        <v>44155</v>
      </c>
      <c r="B1247" s="399"/>
      <c r="C1247" s="5" t="s">
        <v>0</v>
      </c>
      <c r="D1247" s="5" t="s">
        <v>3910</v>
      </c>
      <c r="E1247" s="43">
        <v>5000</v>
      </c>
      <c r="F1247" s="43"/>
      <c r="G1247" s="364">
        <f t="shared" si="1"/>
        <v>49833</v>
      </c>
      <c r="H1247" s="391" t="s">
        <v>9568</v>
      </c>
    </row>
    <row r="1248" spans="1:8" x14ac:dyDescent="0.3">
      <c r="A1248" s="45">
        <v>44155</v>
      </c>
      <c r="B1248" s="399"/>
      <c r="C1248" s="5" t="s">
        <v>2348</v>
      </c>
      <c r="D1248" s="5" t="s">
        <v>294</v>
      </c>
      <c r="E1248" s="43">
        <v>2000</v>
      </c>
      <c r="F1248" s="43"/>
      <c r="G1248" s="364">
        <f t="shared" si="1"/>
        <v>47833</v>
      </c>
      <c r="H1248" s="391" t="s">
        <v>9568</v>
      </c>
    </row>
    <row r="1249" spans="1:8" x14ac:dyDescent="0.3">
      <c r="A1249" s="45">
        <v>44155</v>
      </c>
      <c r="B1249" s="402"/>
      <c r="C1249" s="39" t="s">
        <v>1512</v>
      </c>
      <c r="D1249" s="39" t="s">
        <v>6706</v>
      </c>
      <c r="E1249" s="43">
        <v>35000</v>
      </c>
      <c r="F1249" s="43"/>
      <c r="G1249" s="364">
        <f t="shared" si="1"/>
        <v>12833</v>
      </c>
      <c r="H1249" s="391" t="s">
        <v>9568</v>
      </c>
    </row>
    <row r="1250" spans="1:8" x14ac:dyDescent="0.3">
      <c r="A1250" s="45">
        <v>44156</v>
      </c>
      <c r="B1250" s="580"/>
      <c r="C1250" s="554" t="s">
        <v>2960</v>
      </c>
      <c r="D1250" s="554"/>
      <c r="E1250" s="554"/>
      <c r="F1250" s="43">
        <v>150000</v>
      </c>
      <c r="G1250" s="364">
        <f t="shared" si="1"/>
        <v>162833</v>
      </c>
      <c r="H1250" s="391" t="s">
        <v>9568</v>
      </c>
    </row>
    <row r="1251" spans="1:8" x14ac:dyDescent="0.3">
      <c r="A1251" s="45">
        <v>44156</v>
      </c>
      <c r="B1251" s="402"/>
      <c r="C1251" s="39" t="s">
        <v>1512</v>
      </c>
      <c r="D1251" s="39" t="s">
        <v>6707</v>
      </c>
      <c r="E1251" s="43">
        <v>22065</v>
      </c>
      <c r="F1251" s="43"/>
      <c r="G1251" s="364">
        <f t="shared" si="1"/>
        <v>140768</v>
      </c>
      <c r="H1251" s="391" t="s">
        <v>9568</v>
      </c>
    </row>
    <row r="1252" spans="1:8" x14ac:dyDescent="0.3">
      <c r="A1252" s="45">
        <v>44156</v>
      </c>
      <c r="B1252" s="399"/>
      <c r="C1252" s="5" t="s">
        <v>6708</v>
      </c>
      <c r="D1252" s="5" t="s">
        <v>6709</v>
      </c>
      <c r="E1252" s="43">
        <v>71782</v>
      </c>
      <c r="F1252" s="43"/>
      <c r="G1252" s="364">
        <f t="shared" si="1"/>
        <v>68986</v>
      </c>
      <c r="H1252" s="391" t="s">
        <v>9568</v>
      </c>
    </row>
    <row r="1253" spans="1:8" x14ac:dyDescent="0.3">
      <c r="A1253" s="45">
        <v>44156</v>
      </c>
      <c r="B1253" s="404"/>
      <c r="C1253" s="41" t="s">
        <v>6430</v>
      </c>
      <c r="D1253" s="41" t="s">
        <v>6710</v>
      </c>
      <c r="E1253" s="42">
        <v>12000</v>
      </c>
      <c r="F1253" s="43"/>
      <c r="G1253" s="364">
        <f t="shared" si="1"/>
        <v>56986</v>
      </c>
      <c r="H1253" s="391" t="s">
        <v>9568</v>
      </c>
    </row>
    <row r="1254" spans="1:8" x14ac:dyDescent="0.3">
      <c r="A1254" s="45">
        <v>44159</v>
      </c>
      <c r="B1254" s="399"/>
      <c r="C1254" s="5" t="s">
        <v>6099</v>
      </c>
      <c r="D1254" s="5" t="s">
        <v>6711</v>
      </c>
      <c r="E1254" s="43">
        <v>20200</v>
      </c>
      <c r="F1254" s="43"/>
      <c r="G1254" s="364">
        <f t="shared" si="1"/>
        <v>36786</v>
      </c>
      <c r="H1254" s="391" t="s">
        <v>9568</v>
      </c>
    </row>
    <row r="1255" spans="1:8" x14ac:dyDescent="0.3">
      <c r="A1255" s="45">
        <v>44159</v>
      </c>
      <c r="B1255" s="399"/>
      <c r="C1255" s="5" t="s">
        <v>14</v>
      </c>
      <c r="D1255" s="5" t="s">
        <v>6717</v>
      </c>
      <c r="E1255" s="43">
        <v>5000</v>
      </c>
      <c r="F1255" s="43"/>
      <c r="G1255" s="364">
        <f t="shared" si="1"/>
        <v>31786</v>
      </c>
      <c r="H1255" s="391" t="s">
        <v>9568</v>
      </c>
    </row>
    <row r="1256" spans="1:8" x14ac:dyDescent="0.3">
      <c r="A1256" s="45">
        <v>44159</v>
      </c>
      <c r="B1256" s="399"/>
      <c r="C1256" s="5" t="s">
        <v>5709</v>
      </c>
      <c r="D1256" s="5" t="s">
        <v>3172</v>
      </c>
      <c r="E1256" s="43">
        <v>900</v>
      </c>
      <c r="F1256" s="43"/>
      <c r="G1256" s="364">
        <f t="shared" si="1"/>
        <v>30886</v>
      </c>
      <c r="H1256" s="391" t="s">
        <v>9568</v>
      </c>
    </row>
    <row r="1257" spans="1:8" x14ac:dyDescent="0.3">
      <c r="A1257" s="45">
        <v>44159</v>
      </c>
      <c r="B1257" s="399"/>
      <c r="C1257" s="5" t="s">
        <v>5709</v>
      </c>
      <c r="D1257" s="5" t="s">
        <v>6712</v>
      </c>
      <c r="E1257" s="43">
        <v>1000</v>
      </c>
      <c r="F1257" s="43"/>
      <c r="G1257" s="364">
        <f t="shared" si="1"/>
        <v>29886</v>
      </c>
      <c r="H1257" s="391" t="s">
        <v>9568</v>
      </c>
    </row>
    <row r="1258" spans="1:8" x14ac:dyDescent="0.3">
      <c r="A1258" s="45">
        <v>44160</v>
      </c>
      <c r="B1258" s="399"/>
      <c r="C1258" s="5" t="s">
        <v>25</v>
      </c>
      <c r="D1258" s="5" t="s">
        <v>6361</v>
      </c>
      <c r="E1258" s="43">
        <f>800+40+1000+110+80+180+140+200+160+30+50+40+450+290+40</f>
        <v>3610</v>
      </c>
      <c r="F1258" s="43"/>
      <c r="G1258" s="364">
        <f t="shared" si="1"/>
        <v>26276</v>
      </c>
      <c r="H1258" s="391" t="s">
        <v>9568</v>
      </c>
    </row>
    <row r="1259" spans="1:8" x14ac:dyDescent="0.3">
      <c r="A1259" s="45">
        <v>44160</v>
      </c>
      <c r="B1259" s="399"/>
      <c r="C1259" s="5" t="s">
        <v>1616</v>
      </c>
      <c r="D1259" s="5" t="s">
        <v>6465</v>
      </c>
      <c r="E1259" s="43">
        <v>600</v>
      </c>
      <c r="F1259" s="43"/>
      <c r="G1259" s="364">
        <f t="shared" si="1"/>
        <v>25676</v>
      </c>
      <c r="H1259" s="391" t="s">
        <v>9568</v>
      </c>
    </row>
    <row r="1260" spans="1:8" x14ac:dyDescent="0.3">
      <c r="A1260" s="45">
        <v>44160</v>
      </c>
      <c r="B1260" s="399"/>
      <c r="C1260" s="5" t="s">
        <v>2948</v>
      </c>
      <c r="D1260" s="5" t="s">
        <v>64</v>
      </c>
      <c r="E1260" s="43">
        <v>1000</v>
      </c>
      <c r="F1260" s="43"/>
      <c r="G1260" s="364">
        <f t="shared" si="1"/>
        <v>24676</v>
      </c>
      <c r="H1260" s="391" t="s">
        <v>9568</v>
      </c>
    </row>
    <row r="1261" spans="1:8" x14ac:dyDescent="0.3">
      <c r="A1261" s="45">
        <v>44160</v>
      </c>
      <c r="B1261" s="399"/>
      <c r="C1261" s="5" t="s">
        <v>3559</v>
      </c>
      <c r="D1261" s="5" t="s">
        <v>91</v>
      </c>
      <c r="E1261" s="43">
        <v>650</v>
      </c>
      <c r="F1261" s="43"/>
      <c r="G1261" s="364">
        <f t="shared" si="1"/>
        <v>24026</v>
      </c>
      <c r="H1261" s="391" t="s">
        <v>9568</v>
      </c>
    </row>
    <row r="1262" spans="1:8" x14ac:dyDescent="0.3">
      <c r="A1262" s="45">
        <v>44160</v>
      </c>
      <c r="B1262" s="399"/>
      <c r="C1262" s="5" t="s">
        <v>0</v>
      </c>
      <c r="D1262" s="5" t="s">
        <v>3910</v>
      </c>
      <c r="E1262" s="43">
        <v>5000</v>
      </c>
      <c r="F1262" s="43"/>
      <c r="G1262" s="364">
        <f t="shared" si="1"/>
        <v>19026</v>
      </c>
      <c r="H1262" s="391" t="s">
        <v>9568</v>
      </c>
    </row>
    <row r="1263" spans="1:8" x14ac:dyDescent="0.3">
      <c r="A1263" s="45">
        <v>44160</v>
      </c>
      <c r="B1263" s="399"/>
      <c r="C1263" s="5" t="s">
        <v>25</v>
      </c>
      <c r="D1263" s="5" t="s">
        <v>2025</v>
      </c>
      <c r="E1263" s="43">
        <v>100</v>
      </c>
      <c r="F1263" s="43"/>
      <c r="G1263" s="364">
        <f t="shared" si="1"/>
        <v>18926</v>
      </c>
      <c r="H1263" s="391" t="s">
        <v>9568</v>
      </c>
    </row>
    <row r="1264" spans="1:8" x14ac:dyDescent="0.3">
      <c r="A1264" s="45">
        <v>44160</v>
      </c>
      <c r="B1264" s="399"/>
      <c r="C1264" s="5" t="s">
        <v>14</v>
      </c>
      <c r="D1264" s="5" t="s">
        <v>6715</v>
      </c>
      <c r="E1264" s="43">
        <v>6491</v>
      </c>
      <c r="F1264" s="43"/>
      <c r="G1264" s="364">
        <f t="shared" si="1"/>
        <v>12435</v>
      </c>
      <c r="H1264" s="391" t="s">
        <v>9568</v>
      </c>
    </row>
    <row r="1265" spans="1:8" x14ac:dyDescent="0.3">
      <c r="A1265" s="45">
        <v>44160</v>
      </c>
      <c r="B1265" s="399"/>
      <c r="C1265" s="5" t="s">
        <v>25</v>
      </c>
      <c r="D1265" s="5" t="s">
        <v>6718</v>
      </c>
      <c r="E1265" s="43">
        <v>100</v>
      </c>
      <c r="F1265" s="43"/>
      <c r="G1265" s="364">
        <f t="shared" si="1"/>
        <v>12335</v>
      </c>
      <c r="H1265" s="391" t="s">
        <v>9568</v>
      </c>
    </row>
    <row r="1266" spans="1:8" x14ac:dyDescent="0.3">
      <c r="A1266" s="45">
        <v>44161</v>
      </c>
      <c r="B1266" s="399"/>
      <c r="C1266" s="5" t="s">
        <v>84</v>
      </c>
      <c r="D1266" s="5" t="s">
        <v>6719</v>
      </c>
      <c r="E1266" s="43">
        <v>10000</v>
      </c>
      <c r="F1266" s="43"/>
      <c r="G1266" s="364">
        <f t="shared" si="1"/>
        <v>2335</v>
      </c>
      <c r="H1266" s="391" t="s">
        <v>9568</v>
      </c>
    </row>
    <row r="1267" spans="1:8" x14ac:dyDescent="0.3">
      <c r="A1267" s="45">
        <v>44161</v>
      </c>
      <c r="B1267" s="399"/>
      <c r="C1267" s="5" t="s">
        <v>25</v>
      </c>
      <c r="D1267" s="5" t="s">
        <v>2025</v>
      </c>
      <c r="E1267" s="43">
        <v>100</v>
      </c>
      <c r="F1267" s="43"/>
      <c r="G1267" s="364">
        <f t="shared" si="1"/>
        <v>2235</v>
      </c>
      <c r="H1267" s="391" t="s">
        <v>9568</v>
      </c>
    </row>
    <row r="1268" spans="1:8" x14ac:dyDescent="0.3">
      <c r="A1268" s="45">
        <v>44162</v>
      </c>
      <c r="B1268" s="580"/>
      <c r="C1268" s="554" t="s">
        <v>6688</v>
      </c>
      <c r="D1268" s="554"/>
      <c r="E1268" s="554"/>
      <c r="F1268" s="43">
        <v>100000</v>
      </c>
      <c r="G1268" s="364">
        <f t="shared" si="1"/>
        <v>102235</v>
      </c>
      <c r="H1268" s="391" t="s">
        <v>9568</v>
      </c>
    </row>
    <row r="1269" spans="1:8" x14ac:dyDescent="0.3">
      <c r="A1269" s="45">
        <v>44162</v>
      </c>
      <c r="B1269" s="399"/>
      <c r="C1269" s="5" t="s">
        <v>6430</v>
      </c>
      <c r="D1269" s="5" t="s">
        <v>6720</v>
      </c>
      <c r="E1269" s="43">
        <v>10000</v>
      </c>
      <c r="F1269" s="43"/>
      <c r="G1269" s="364">
        <f t="shared" si="1"/>
        <v>92235</v>
      </c>
      <c r="H1269" s="391" t="s">
        <v>9568</v>
      </c>
    </row>
    <row r="1270" spans="1:8" x14ac:dyDescent="0.3">
      <c r="A1270" s="45">
        <v>44162</v>
      </c>
      <c r="B1270" s="399"/>
      <c r="C1270" s="5" t="s">
        <v>25</v>
      </c>
      <c r="D1270" s="5" t="s">
        <v>6721</v>
      </c>
      <c r="E1270" s="43">
        <v>100</v>
      </c>
      <c r="F1270" s="43"/>
      <c r="G1270" s="364">
        <f t="shared" si="1"/>
        <v>92135</v>
      </c>
      <c r="H1270" s="391" t="s">
        <v>9568</v>
      </c>
    </row>
    <row r="1271" spans="1:8" x14ac:dyDescent="0.3">
      <c r="A1271" s="45">
        <v>44162</v>
      </c>
      <c r="B1271" s="399"/>
      <c r="C1271" s="5" t="s">
        <v>1616</v>
      </c>
      <c r="D1271" s="5" t="s">
        <v>6724</v>
      </c>
      <c r="E1271" s="43">
        <v>1000</v>
      </c>
      <c r="F1271" s="43"/>
      <c r="G1271" s="364">
        <f t="shared" si="1"/>
        <v>91135</v>
      </c>
      <c r="H1271" s="391" t="s">
        <v>9568</v>
      </c>
    </row>
    <row r="1272" spans="1:8" x14ac:dyDescent="0.3">
      <c r="A1272" s="45">
        <v>44163</v>
      </c>
      <c r="B1272" s="399"/>
      <c r="C1272" s="5" t="s">
        <v>6722</v>
      </c>
      <c r="D1272" s="5" t="s">
        <v>6723</v>
      </c>
      <c r="E1272" s="43">
        <v>2000</v>
      </c>
      <c r="F1272" s="43"/>
      <c r="G1272" s="364">
        <f t="shared" si="1"/>
        <v>89135</v>
      </c>
      <c r="H1272" s="391" t="s">
        <v>9568</v>
      </c>
    </row>
    <row r="1273" spans="1:8" x14ac:dyDescent="0.3">
      <c r="A1273" s="45">
        <v>44163</v>
      </c>
      <c r="B1273" s="399"/>
      <c r="C1273" s="5" t="s">
        <v>84</v>
      </c>
      <c r="D1273" s="5" t="s">
        <v>6725</v>
      </c>
      <c r="E1273" s="43">
        <v>1000</v>
      </c>
      <c r="F1273" s="43"/>
      <c r="G1273" s="364">
        <f t="shared" si="1"/>
        <v>88135</v>
      </c>
      <c r="H1273" s="391" t="s">
        <v>9568</v>
      </c>
    </row>
    <row r="1274" spans="1:8" x14ac:dyDescent="0.3">
      <c r="A1274" s="45">
        <v>44163</v>
      </c>
      <c r="B1274" s="399"/>
      <c r="C1274" s="5" t="s">
        <v>14</v>
      </c>
      <c r="D1274" s="5" t="s">
        <v>6727</v>
      </c>
      <c r="E1274" s="43">
        <v>20000</v>
      </c>
      <c r="F1274" s="43"/>
      <c r="G1274" s="364">
        <f t="shared" si="1"/>
        <v>68135</v>
      </c>
      <c r="H1274" s="391" t="s">
        <v>9568</v>
      </c>
    </row>
    <row r="1275" spans="1:8" x14ac:dyDescent="0.3">
      <c r="A1275" s="45">
        <v>44163</v>
      </c>
      <c r="B1275" s="399"/>
      <c r="C1275" s="5" t="s">
        <v>84</v>
      </c>
      <c r="D1275" s="5" t="s">
        <v>6726</v>
      </c>
      <c r="E1275" s="43">
        <v>1000</v>
      </c>
      <c r="F1275" s="43"/>
      <c r="G1275" s="364">
        <f t="shared" si="1"/>
        <v>67135</v>
      </c>
      <c r="H1275" s="391" t="s">
        <v>9568</v>
      </c>
    </row>
    <row r="1276" spans="1:8" x14ac:dyDescent="0.3">
      <c r="A1276" s="45">
        <v>44165</v>
      </c>
      <c r="B1276" s="399"/>
      <c r="C1276" s="5" t="s">
        <v>4915</v>
      </c>
      <c r="D1276" s="5" t="s">
        <v>6728</v>
      </c>
      <c r="E1276" s="43">
        <v>8000</v>
      </c>
      <c r="F1276" s="43"/>
      <c r="G1276" s="364">
        <f t="shared" si="1"/>
        <v>59135</v>
      </c>
      <c r="H1276" s="391" t="s">
        <v>9568</v>
      </c>
    </row>
    <row r="1277" spans="1:8" x14ac:dyDescent="0.3">
      <c r="A1277" s="45">
        <v>44165</v>
      </c>
      <c r="B1277" s="399"/>
      <c r="C1277" s="5" t="s">
        <v>6729</v>
      </c>
      <c r="D1277" s="5" t="s">
        <v>6730</v>
      </c>
      <c r="E1277" s="43">
        <v>20000</v>
      </c>
      <c r="F1277" s="43"/>
      <c r="G1277" s="364">
        <f t="shared" si="1"/>
        <v>39135</v>
      </c>
      <c r="H1277" s="391" t="s">
        <v>9568</v>
      </c>
    </row>
    <row r="1278" spans="1:8" x14ac:dyDescent="0.3">
      <c r="A1278" s="45">
        <v>44166</v>
      </c>
      <c r="B1278" s="399"/>
      <c r="C1278" s="5" t="s">
        <v>14</v>
      </c>
      <c r="D1278" s="5" t="s">
        <v>6731</v>
      </c>
      <c r="E1278" s="43">
        <v>3546</v>
      </c>
      <c r="F1278" s="43"/>
      <c r="G1278" s="364">
        <f t="shared" si="1"/>
        <v>35589</v>
      </c>
      <c r="H1278" s="391" t="s">
        <v>9568</v>
      </c>
    </row>
    <row r="1279" spans="1:8" x14ac:dyDescent="0.3">
      <c r="A1279" s="45">
        <v>44166</v>
      </c>
      <c r="B1279" s="418"/>
      <c r="C1279" s="123" t="s">
        <v>2570</v>
      </c>
      <c r="D1279" s="123" t="s">
        <v>6732</v>
      </c>
      <c r="E1279" s="52">
        <f>580+380+527</f>
        <v>1487</v>
      </c>
      <c r="G1279" s="364">
        <f t="shared" si="1"/>
        <v>34102</v>
      </c>
      <c r="H1279" s="391" t="s">
        <v>9568</v>
      </c>
    </row>
    <row r="1280" spans="1:8" x14ac:dyDescent="0.3">
      <c r="A1280" s="45">
        <v>44166</v>
      </c>
      <c r="B1280" s="580"/>
      <c r="C1280" s="554" t="s">
        <v>6688</v>
      </c>
      <c r="D1280" s="554"/>
      <c r="E1280" s="554"/>
      <c r="F1280" s="43">
        <v>100000</v>
      </c>
      <c r="G1280" s="364">
        <f t="shared" si="1"/>
        <v>134102</v>
      </c>
      <c r="H1280" s="391" t="s">
        <v>9568</v>
      </c>
    </row>
    <row r="1281" spans="1:8" x14ac:dyDescent="0.3">
      <c r="A1281" s="45">
        <v>44166</v>
      </c>
      <c r="B1281" s="399"/>
      <c r="C1281" s="5" t="s">
        <v>6171</v>
      </c>
      <c r="D1281" s="5" t="s">
        <v>6734</v>
      </c>
      <c r="E1281" s="43">
        <v>5000</v>
      </c>
      <c r="F1281" s="43"/>
      <c r="G1281" s="364">
        <f t="shared" si="1"/>
        <v>129102</v>
      </c>
      <c r="H1281" s="391" t="s">
        <v>9568</v>
      </c>
    </row>
    <row r="1282" spans="1:8" x14ac:dyDescent="0.3">
      <c r="A1282" s="45">
        <v>44166</v>
      </c>
      <c r="B1282" s="399"/>
      <c r="C1282" s="5" t="s">
        <v>25</v>
      </c>
      <c r="D1282" s="5" t="s">
        <v>6733</v>
      </c>
      <c r="E1282" s="43">
        <v>120</v>
      </c>
      <c r="F1282" s="43"/>
      <c r="G1282" s="364">
        <f t="shared" si="1"/>
        <v>128982</v>
      </c>
      <c r="H1282" s="391" t="s">
        <v>9568</v>
      </c>
    </row>
    <row r="1283" spans="1:8" x14ac:dyDescent="0.3">
      <c r="A1283" s="45">
        <v>44166</v>
      </c>
      <c r="B1283" s="399"/>
      <c r="C1283" s="5" t="s">
        <v>18</v>
      </c>
      <c r="D1283" s="5" t="s">
        <v>6735</v>
      </c>
      <c r="E1283" s="43">
        <v>2500</v>
      </c>
      <c r="F1283" s="43"/>
      <c r="G1283" s="364">
        <f t="shared" si="1"/>
        <v>126482</v>
      </c>
      <c r="H1283" s="391" t="s">
        <v>9568</v>
      </c>
    </row>
    <row r="1284" spans="1:8" x14ac:dyDescent="0.3">
      <c r="A1284" s="45">
        <v>44166</v>
      </c>
      <c r="B1284" s="399"/>
      <c r="C1284" s="5" t="s">
        <v>25</v>
      </c>
      <c r="D1284" s="5" t="s">
        <v>3917</v>
      </c>
      <c r="E1284" s="43">
        <v>350</v>
      </c>
      <c r="F1284" s="43"/>
      <c r="G1284" s="364">
        <f t="shared" si="1"/>
        <v>126132</v>
      </c>
      <c r="H1284" s="391" t="s">
        <v>9568</v>
      </c>
    </row>
    <row r="1285" spans="1:8" x14ac:dyDescent="0.3">
      <c r="A1285" s="45">
        <v>44166</v>
      </c>
      <c r="B1285" s="399"/>
      <c r="C1285" s="5" t="s">
        <v>25</v>
      </c>
      <c r="D1285" s="5" t="s">
        <v>6739</v>
      </c>
      <c r="E1285" s="43">
        <v>50</v>
      </c>
      <c r="F1285" s="43"/>
      <c r="G1285" s="364">
        <f t="shared" si="1"/>
        <v>126082</v>
      </c>
      <c r="H1285" s="391" t="s">
        <v>9568</v>
      </c>
    </row>
    <row r="1286" spans="1:8" x14ac:dyDescent="0.3">
      <c r="A1286" s="45">
        <v>44166</v>
      </c>
      <c r="B1286" s="399"/>
      <c r="C1286" s="5" t="s">
        <v>6221</v>
      </c>
      <c r="D1286" s="5" t="s">
        <v>6736</v>
      </c>
      <c r="E1286" s="43">
        <v>12900</v>
      </c>
      <c r="F1286" s="43"/>
      <c r="G1286" s="364">
        <f t="shared" si="1"/>
        <v>113182</v>
      </c>
      <c r="H1286" s="391" t="s">
        <v>9568</v>
      </c>
    </row>
    <row r="1287" spans="1:8" x14ac:dyDescent="0.3">
      <c r="A1287" s="45">
        <v>44166</v>
      </c>
      <c r="B1287" s="399"/>
      <c r="C1287" s="5" t="s">
        <v>6737</v>
      </c>
      <c r="D1287" s="5" t="s">
        <v>6738</v>
      </c>
      <c r="E1287" s="43">
        <v>4750</v>
      </c>
      <c r="F1287" s="43"/>
      <c r="G1287" s="364">
        <f t="shared" si="1"/>
        <v>108432</v>
      </c>
      <c r="H1287" s="391" t="s">
        <v>9568</v>
      </c>
    </row>
    <row r="1288" spans="1:8" x14ac:dyDescent="0.3">
      <c r="A1288" s="45">
        <v>44167</v>
      </c>
      <c r="B1288" s="399"/>
      <c r="C1288" s="5" t="s">
        <v>11</v>
      </c>
      <c r="D1288" s="5" t="s">
        <v>6740</v>
      </c>
      <c r="E1288" s="43">
        <v>2000</v>
      </c>
      <c r="F1288" s="43"/>
      <c r="G1288" s="364">
        <f t="shared" si="1"/>
        <v>106432</v>
      </c>
      <c r="H1288" s="391" t="s">
        <v>9568</v>
      </c>
    </row>
    <row r="1289" spans="1:8" x14ac:dyDescent="0.3">
      <c r="A1289" s="45">
        <v>44167</v>
      </c>
      <c r="B1289" s="399"/>
      <c r="C1289" s="5" t="s">
        <v>4400</v>
      </c>
      <c r="D1289" s="5" t="s">
        <v>6743</v>
      </c>
      <c r="E1289" s="43">
        <v>3000</v>
      </c>
      <c r="F1289" s="43"/>
      <c r="G1289" s="364">
        <f t="shared" si="1"/>
        <v>103432</v>
      </c>
      <c r="H1289" s="391" t="s">
        <v>9568</v>
      </c>
    </row>
    <row r="1290" spans="1:8" x14ac:dyDescent="0.3">
      <c r="A1290" s="45">
        <v>44167</v>
      </c>
      <c r="B1290" s="399"/>
      <c r="C1290" s="5" t="s">
        <v>2318</v>
      </c>
      <c r="D1290" s="5" t="s">
        <v>6741</v>
      </c>
      <c r="E1290" s="43">
        <v>30000</v>
      </c>
      <c r="F1290" s="43"/>
      <c r="G1290" s="364">
        <f t="shared" si="1"/>
        <v>73432</v>
      </c>
      <c r="H1290" s="391" t="s">
        <v>9568</v>
      </c>
    </row>
    <row r="1291" spans="1:8" x14ac:dyDescent="0.3">
      <c r="A1291" s="45">
        <v>44167</v>
      </c>
      <c r="B1291" s="399"/>
      <c r="C1291" s="5" t="s">
        <v>6430</v>
      </c>
      <c r="D1291" s="5" t="s">
        <v>6742</v>
      </c>
      <c r="E1291" s="43">
        <v>1100</v>
      </c>
      <c r="F1291" s="43"/>
      <c r="G1291" s="364">
        <f t="shared" si="1"/>
        <v>72332</v>
      </c>
      <c r="H1291" s="391" t="s">
        <v>9568</v>
      </c>
    </row>
    <row r="1292" spans="1:8" x14ac:dyDescent="0.3">
      <c r="A1292" s="45">
        <v>44168</v>
      </c>
      <c r="B1292" s="399"/>
      <c r="C1292" s="5" t="s">
        <v>18</v>
      </c>
      <c r="D1292" s="5" t="s">
        <v>6744</v>
      </c>
      <c r="E1292" s="43">
        <v>5470</v>
      </c>
      <c r="F1292" s="43"/>
      <c r="G1292" s="364">
        <f t="shared" si="1"/>
        <v>66862</v>
      </c>
      <c r="H1292" s="391" t="s">
        <v>9568</v>
      </c>
    </row>
    <row r="1293" spans="1:8" x14ac:dyDescent="0.3">
      <c r="A1293" s="45">
        <v>44168</v>
      </c>
      <c r="B1293" s="399"/>
      <c r="C1293" s="5" t="s">
        <v>6746</v>
      </c>
      <c r="D1293" s="5" t="s">
        <v>6749</v>
      </c>
      <c r="E1293" s="43">
        <v>50000</v>
      </c>
      <c r="F1293" s="43"/>
      <c r="G1293" s="364">
        <f t="shared" si="1"/>
        <v>16862</v>
      </c>
      <c r="H1293" s="391" t="s">
        <v>9568</v>
      </c>
    </row>
    <row r="1294" spans="1:8" x14ac:dyDescent="0.3">
      <c r="A1294" s="45">
        <v>44168</v>
      </c>
      <c r="B1294" s="399"/>
      <c r="C1294" s="5" t="s">
        <v>84</v>
      </c>
      <c r="D1294" s="5" t="s">
        <v>6745</v>
      </c>
      <c r="E1294" s="43">
        <v>10000</v>
      </c>
      <c r="F1294" s="43"/>
      <c r="G1294" s="364">
        <f t="shared" si="1"/>
        <v>6862</v>
      </c>
      <c r="H1294" s="391" t="s">
        <v>9568</v>
      </c>
    </row>
    <row r="1295" spans="1:8" x14ac:dyDescent="0.3">
      <c r="A1295" s="45">
        <v>44168</v>
      </c>
      <c r="B1295" s="399"/>
      <c r="C1295" s="5" t="s">
        <v>3559</v>
      </c>
      <c r="D1295" s="5" t="s">
        <v>6747</v>
      </c>
      <c r="E1295" s="43">
        <v>4200</v>
      </c>
      <c r="F1295" s="43"/>
      <c r="G1295" s="364">
        <f t="shared" si="1"/>
        <v>2662</v>
      </c>
      <c r="H1295" s="391" t="s">
        <v>9568</v>
      </c>
    </row>
    <row r="1296" spans="1:8" x14ac:dyDescent="0.3">
      <c r="A1296" s="45">
        <v>44169</v>
      </c>
      <c r="B1296" s="399"/>
      <c r="C1296" s="5" t="s">
        <v>25</v>
      </c>
      <c r="D1296" s="5" t="s">
        <v>6361</v>
      </c>
      <c r="E1296" s="43">
        <f>900+340+100+100+290+300+90+600+90+100+50+20</f>
        <v>2980</v>
      </c>
      <c r="F1296" s="43"/>
      <c r="G1296" s="364">
        <f t="shared" si="1"/>
        <v>-318</v>
      </c>
      <c r="H1296" s="391" t="s">
        <v>9568</v>
      </c>
    </row>
    <row r="1297" spans="1:8" x14ac:dyDescent="0.3">
      <c r="A1297" s="45">
        <v>44169</v>
      </c>
      <c r="B1297" s="580"/>
      <c r="C1297" s="554" t="s">
        <v>5653</v>
      </c>
      <c r="D1297" s="554"/>
      <c r="E1297" s="554"/>
      <c r="F1297" s="43">
        <v>50000</v>
      </c>
      <c r="G1297" s="364">
        <f>F1297</f>
        <v>50000</v>
      </c>
      <c r="H1297" s="391" t="s">
        <v>9568</v>
      </c>
    </row>
    <row r="1298" spans="1:8" x14ac:dyDescent="0.3">
      <c r="A1298" s="45">
        <v>44169</v>
      </c>
      <c r="B1298" s="399"/>
      <c r="C1298" s="5" t="s">
        <v>0</v>
      </c>
      <c r="D1298" s="92" t="s">
        <v>6756</v>
      </c>
      <c r="E1298" s="43">
        <v>10000</v>
      </c>
      <c r="F1298" s="43"/>
      <c r="G1298" s="364">
        <f>G1297+F1298-E1298</f>
        <v>40000</v>
      </c>
      <c r="H1298" s="391" t="s">
        <v>9568</v>
      </c>
    </row>
    <row r="1299" spans="1:8" x14ac:dyDescent="0.3">
      <c r="A1299" s="45">
        <v>44169</v>
      </c>
      <c r="B1299" s="399"/>
      <c r="C1299" s="5" t="s">
        <v>5162</v>
      </c>
      <c r="D1299" s="5" t="s">
        <v>6750</v>
      </c>
      <c r="E1299" s="43">
        <v>600</v>
      </c>
      <c r="F1299" s="43"/>
      <c r="G1299" s="364">
        <f>G1298+F1299-E1299</f>
        <v>39400</v>
      </c>
      <c r="H1299" s="391" t="s">
        <v>9568</v>
      </c>
    </row>
    <row r="1300" spans="1:8" x14ac:dyDescent="0.3">
      <c r="A1300" s="45">
        <v>44170</v>
      </c>
      <c r="B1300" s="399"/>
      <c r="C1300" s="5" t="s">
        <v>6675</v>
      </c>
      <c r="D1300" s="5" t="s">
        <v>6751</v>
      </c>
      <c r="E1300" s="43">
        <v>25000</v>
      </c>
      <c r="F1300" s="43"/>
      <c r="G1300" s="364">
        <f>G1299+F1300-E1300</f>
        <v>14400</v>
      </c>
      <c r="H1300" s="391" t="s">
        <v>9568</v>
      </c>
    </row>
    <row r="1301" spans="1:8" x14ac:dyDescent="0.3">
      <c r="A1301" s="45">
        <v>44170</v>
      </c>
      <c r="B1301" s="399"/>
      <c r="C1301" s="5" t="s">
        <v>6430</v>
      </c>
      <c r="D1301" s="5" t="s">
        <v>6753</v>
      </c>
      <c r="E1301" s="43">
        <v>300</v>
      </c>
      <c r="F1301" s="43"/>
      <c r="G1301" s="364">
        <f t="shared" ref="G1301:G1360" si="2">G1300+F1301-E1301</f>
        <v>14100</v>
      </c>
      <c r="H1301" s="391" t="s">
        <v>9568</v>
      </c>
    </row>
    <row r="1302" spans="1:8" x14ac:dyDescent="0.3">
      <c r="A1302" s="45">
        <v>44170</v>
      </c>
      <c r="B1302" s="399"/>
      <c r="C1302" s="5" t="s">
        <v>0</v>
      </c>
      <c r="D1302" s="5" t="s">
        <v>5813</v>
      </c>
      <c r="E1302" s="43">
        <v>1000</v>
      </c>
      <c r="F1302" s="43"/>
      <c r="G1302" s="364">
        <f t="shared" si="2"/>
        <v>13100</v>
      </c>
      <c r="H1302" s="391" t="s">
        <v>9568</v>
      </c>
    </row>
    <row r="1303" spans="1:8" ht="37.5" x14ac:dyDescent="0.3">
      <c r="A1303" s="45">
        <v>44170</v>
      </c>
      <c r="B1303" s="399"/>
      <c r="C1303" s="5" t="s">
        <v>84</v>
      </c>
      <c r="D1303" s="92" t="s">
        <v>6755</v>
      </c>
      <c r="E1303" s="43">
        <v>10000</v>
      </c>
      <c r="F1303" s="43"/>
      <c r="G1303" s="364">
        <f t="shared" si="2"/>
        <v>3100</v>
      </c>
      <c r="H1303" s="391" t="s">
        <v>9568</v>
      </c>
    </row>
    <row r="1304" spans="1:8" x14ac:dyDescent="0.3">
      <c r="A1304" s="45">
        <v>44172</v>
      </c>
      <c r="B1304" s="399"/>
      <c r="C1304" s="5" t="s">
        <v>14</v>
      </c>
      <c r="D1304" s="5" t="s">
        <v>3904</v>
      </c>
      <c r="E1304" s="43">
        <v>1000</v>
      </c>
      <c r="F1304" s="43"/>
      <c r="G1304" s="364">
        <f t="shared" si="2"/>
        <v>2100</v>
      </c>
      <c r="H1304" s="391" t="s">
        <v>9568</v>
      </c>
    </row>
    <row r="1305" spans="1:8" x14ac:dyDescent="0.3">
      <c r="A1305" s="45">
        <v>44172</v>
      </c>
      <c r="B1305" s="399"/>
      <c r="C1305" s="5" t="s">
        <v>25</v>
      </c>
      <c r="D1305" s="5" t="s">
        <v>6361</v>
      </c>
      <c r="E1305" s="43">
        <f>300+700+130+290+120+50+60+60+40</f>
        <v>1750</v>
      </c>
      <c r="F1305" s="43"/>
      <c r="G1305" s="364">
        <f t="shared" si="2"/>
        <v>350</v>
      </c>
      <c r="H1305" s="391" t="s">
        <v>9568</v>
      </c>
    </row>
    <row r="1306" spans="1:8" x14ac:dyDescent="0.3">
      <c r="A1306" s="45">
        <v>44172</v>
      </c>
      <c r="B1306" s="580"/>
      <c r="C1306" s="554" t="s">
        <v>5653</v>
      </c>
      <c r="D1306" s="554"/>
      <c r="E1306" s="554"/>
      <c r="F1306" s="43">
        <v>500000</v>
      </c>
      <c r="G1306" s="364">
        <f t="shared" si="2"/>
        <v>500350</v>
      </c>
      <c r="H1306" s="391" t="s">
        <v>9568</v>
      </c>
    </row>
    <row r="1307" spans="1:8" x14ac:dyDescent="0.3">
      <c r="A1307" s="45">
        <v>44172</v>
      </c>
      <c r="B1307" s="399"/>
      <c r="C1307" s="5" t="s">
        <v>110</v>
      </c>
      <c r="D1307" s="5" t="s">
        <v>640</v>
      </c>
      <c r="E1307" s="43">
        <v>3000</v>
      </c>
      <c r="F1307" s="43"/>
      <c r="G1307" s="364">
        <f t="shared" si="2"/>
        <v>497350</v>
      </c>
      <c r="H1307" s="391" t="s">
        <v>9568</v>
      </c>
    </row>
    <row r="1308" spans="1:8" ht="37.5" x14ac:dyDescent="0.3">
      <c r="A1308" s="45">
        <v>44172</v>
      </c>
      <c r="B1308" s="399"/>
      <c r="C1308" s="5" t="s">
        <v>57</v>
      </c>
      <c r="D1308" s="92" t="s">
        <v>6758</v>
      </c>
      <c r="E1308" s="43">
        <v>2110</v>
      </c>
      <c r="F1308" s="43"/>
      <c r="G1308" s="364">
        <f t="shared" si="2"/>
        <v>495240</v>
      </c>
      <c r="H1308" s="391" t="s">
        <v>9568</v>
      </c>
    </row>
    <row r="1309" spans="1:8" x14ac:dyDescent="0.3">
      <c r="A1309" s="45">
        <v>44172</v>
      </c>
      <c r="B1309" s="399"/>
      <c r="C1309" s="5" t="s">
        <v>84</v>
      </c>
      <c r="D1309" s="92" t="s">
        <v>6757</v>
      </c>
      <c r="E1309" s="43">
        <v>10000</v>
      </c>
      <c r="F1309" s="43"/>
      <c r="G1309" s="364">
        <f t="shared" si="2"/>
        <v>485240</v>
      </c>
      <c r="H1309" s="391" t="s">
        <v>9568</v>
      </c>
    </row>
    <row r="1310" spans="1:8" x14ac:dyDescent="0.3">
      <c r="A1310" s="45">
        <v>44172</v>
      </c>
      <c r="B1310" s="399"/>
      <c r="C1310" s="5" t="s">
        <v>25</v>
      </c>
      <c r="D1310" s="5" t="s">
        <v>6361</v>
      </c>
      <c r="E1310" s="43">
        <f>90+140</f>
        <v>230</v>
      </c>
      <c r="F1310" s="43"/>
      <c r="G1310" s="364">
        <f t="shared" si="2"/>
        <v>485010</v>
      </c>
      <c r="H1310" s="391" t="s">
        <v>9568</v>
      </c>
    </row>
    <row r="1311" spans="1:8" x14ac:dyDescent="0.3">
      <c r="A1311" s="45">
        <v>44173</v>
      </c>
      <c r="B1311" s="402"/>
      <c r="C1311" s="39" t="s">
        <v>1512</v>
      </c>
      <c r="D1311" s="39" t="s">
        <v>6546</v>
      </c>
      <c r="E1311" s="43">
        <v>105759</v>
      </c>
      <c r="F1311" s="43"/>
      <c r="G1311" s="364">
        <f t="shared" si="2"/>
        <v>379251</v>
      </c>
      <c r="H1311" s="391" t="s">
        <v>9568</v>
      </c>
    </row>
    <row r="1312" spans="1:8" x14ac:dyDescent="0.3">
      <c r="A1312" s="45">
        <v>44173</v>
      </c>
      <c r="B1312" s="402"/>
      <c r="C1312" s="39" t="s">
        <v>1512</v>
      </c>
      <c r="D1312" s="39" t="s">
        <v>6387</v>
      </c>
      <c r="E1312" s="43">
        <v>84658</v>
      </c>
      <c r="F1312" s="43"/>
      <c r="G1312" s="364">
        <f t="shared" si="2"/>
        <v>294593</v>
      </c>
      <c r="H1312" s="391" t="s">
        <v>9568</v>
      </c>
    </row>
    <row r="1313" spans="1:8" x14ac:dyDescent="0.3">
      <c r="A1313" s="45">
        <v>44173</v>
      </c>
      <c r="B1313" s="402"/>
      <c r="C1313" s="39" t="s">
        <v>1512</v>
      </c>
      <c r="D1313" s="39" t="s">
        <v>7824</v>
      </c>
      <c r="E1313" s="43">
        <v>174988</v>
      </c>
      <c r="F1313" s="43"/>
      <c r="G1313" s="364">
        <f t="shared" si="2"/>
        <v>119605</v>
      </c>
      <c r="H1313" s="391" t="s">
        <v>9568</v>
      </c>
    </row>
    <row r="1314" spans="1:8" x14ac:dyDescent="0.3">
      <c r="A1314" s="45">
        <v>44173</v>
      </c>
      <c r="B1314" s="402"/>
      <c r="C1314" s="39" t="s">
        <v>1512</v>
      </c>
      <c r="D1314" s="39" t="s">
        <v>6559</v>
      </c>
      <c r="E1314" s="43">
        <v>68950</v>
      </c>
      <c r="F1314" s="43"/>
      <c r="G1314" s="364">
        <f t="shared" si="2"/>
        <v>50655</v>
      </c>
      <c r="H1314" s="391" t="s">
        <v>9568</v>
      </c>
    </row>
    <row r="1315" spans="1:8" x14ac:dyDescent="0.3">
      <c r="A1315" s="45">
        <v>44173</v>
      </c>
      <c r="B1315" s="402"/>
      <c r="C1315" s="39" t="s">
        <v>1512</v>
      </c>
      <c r="D1315" s="39" t="s">
        <v>6759</v>
      </c>
      <c r="E1315" s="43">
        <v>43800</v>
      </c>
      <c r="F1315" s="43"/>
      <c r="G1315" s="364">
        <f t="shared" si="2"/>
        <v>6855</v>
      </c>
      <c r="H1315" s="391" t="s">
        <v>9568</v>
      </c>
    </row>
    <row r="1316" spans="1:8" x14ac:dyDescent="0.3">
      <c r="A1316" s="45">
        <v>44173</v>
      </c>
      <c r="B1316" s="399"/>
      <c r="C1316" s="5" t="s">
        <v>6430</v>
      </c>
      <c r="D1316" s="5" t="s">
        <v>6762</v>
      </c>
      <c r="E1316" s="43">
        <v>3000</v>
      </c>
      <c r="F1316" s="43"/>
      <c r="G1316" s="364">
        <f t="shared" si="2"/>
        <v>3855</v>
      </c>
      <c r="H1316" s="391" t="s">
        <v>9568</v>
      </c>
    </row>
    <row r="1317" spans="1:8" x14ac:dyDescent="0.3">
      <c r="A1317" s="45">
        <v>44173</v>
      </c>
      <c r="B1317" s="399"/>
      <c r="C1317" s="5" t="s">
        <v>11</v>
      </c>
      <c r="D1317" s="5" t="s">
        <v>6760</v>
      </c>
      <c r="E1317" s="43">
        <v>800</v>
      </c>
      <c r="F1317" s="43"/>
      <c r="G1317" s="364">
        <f t="shared" si="2"/>
        <v>3055</v>
      </c>
      <c r="H1317" s="391" t="s">
        <v>9568</v>
      </c>
    </row>
    <row r="1318" spans="1:8" x14ac:dyDescent="0.3">
      <c r="A1318" s="45">
        <v>44173</v>
      </c>
      <c r="B1318" s="399"/>
      <c r="C1318" s="5" t="s">
        <v>25</v>
      </c>
      <c r="D1318" s="5" t="s">
        <v>6761</v>
      </c>
      <c r="E1318" s="43">
        <v>1000</v>
      </c>
      <c r="F1318" s="43"/>
      <c r="G1318" s="364">
        <f t="shared" si="2"/>
        <v>2055</v>
      </c>
      <c r="H1318" s="391" t="s">
        <v>9568</v>
      </c>
    </row>
    <row r="1319" spans="1:8" x14ac:dyDescent="0.3">
      <c r="A1319" s="45">
        <v>44173</v>
      </c>
      <c r="B1319" s="399"/>
      <c r="C1319" s="5" t="s">
        <v>25</v>
      </c>
      <c r="D1319" s="5" t="s">
        <v>6764</v>
      </c>
      <c r="E1319" s="43">
        <v>115</v>
      </c>
      <c r="F1319" s="43"/>
      <c r="G1319" s="364">
        <f t="shared" si="2"/>
        <v>1940</v>
      </c>
      <c r="H1319" s="391" t="s">
        <v>9568</v>
      </c>
    </row>
    <row r="1320" spans="1:8" x14ac:dyDescent="0.3">
      <c r="A1320" s="45">
        <v>44173</v>
      </c>
      <c r="B1320" s="399"/>
      <c r="C1320" s="5" t="s">
        <v>4248</v>
      </c>
      <c r="D1320" s="5" t="s">
        <v>6765</v>
      </c>
      <c r="E1320" s="43">
        <v>120</v>
      </c>
      <c r="F1320" s="43"/>
      <c r="G1320" s="364">
        <f t="shared" si="2"/>
        <v>1820</v>
      </c>
      <c r="H1320" s="391" t="s">
        <v>9568</v>
      </c>
    </row>
    <row r="1321" spans="1:8" x14ac:dyDescent="0.3">
      <c r="A1321" s="45">
        <v>44174</v>
      </c>
      <c r="B1321" s="399"/>
      <c r="C1321" s="5" t="s">
        <v>1787</v>
      </c>
      <c r="D1321" s="5" t="s">
        <v>6763</v>
      </c>
      <c r="E1321" s="43">
        <v>1500</v>
      </c>
      <c r="F1321" s="43"/>
      <c r="G1321" s="364">
        <f t="shared" si="2"/>
        <v>320</v>
      </c>
      <c r="H1321" s="391" t="s">
        <v>9568</v>
      </c>
    </row>
    <row r="1322" spans="1:8" x14ac:dyDescent="0.3">
      <c r="A1322" s="45">
        <v>44174</v>
      </c>
      <c r="B1322" s="580"/>
      <c r="C1322" s="554" t="s">
        <v>4106</v>
      </c>
      <c r="D1322" s="554"/>
      <c r="E1322" s="554"/>
      <c r="F1322" s="43">
        <v>450000</v>
      </c>
      <c r="G1322" s="364">
        <f t="shared" si="2"/>
        <v>450320</v>
      </c>
      <c r="H1322" s="391" t="s">
        <v>9568</v>
      </c>
    </row>
    <row r="1323" spans="1:8" x14ac:dyDescent="0.3">
      <c r="A1323" s="45">
        <v>44174</v>
      </c>
      <c r="B1323" s="402"/>
      <c r="C1323" s="39" t="s">
        <v>1512</v>
      </c>
      <c r="D1323" s="39" t="s">
        <v>6767</v>
      </c>
      <c r="E1323" s="43">
        <f>165206+1500</f>
        <v>166706</v>
      </c>
      <c r="F1323" s="43"/>
      <c r="G1323" s="364">
        <f t="shared" si="2"/>
        <v>283614</v>
      </c>
      <c r="H1323" s="391" t="s">
        <v>9568</v>
      </c>
    </row>
    <row r="1324" spans="1:8" x14ac:dyDescent="0.3">
      <c r="A1324" s="45">
        <v>44174</v>
      </c>
      <c r="B1324" s="402"/>
      <c r="C1324" s="39" t="s">
        <v>1512</v>
      </c>
      <c r="D1324" s="39" t="s">
        <v>6768</v>
      </c>
      <c r="E1324" s="43">
        <v>39969</v>
      </c>
      <c r="F1324" s="43"/>
      <c r="G1324" s="364">
        <f t="shared" si="2"/>
        <v>243645</v>
      </c>
      <c r="H1324" s="391" t="s">
        <v>9568</v>
      </c>
    </row>
    <row r="1325" spans="1:8" x14ac:dyDescent="0.3">
      <c r="A1325" s="45">
        <v>44174</v>
      </c>
      <c r="B1325" s="402"/>
      <c r="C1325" s="39" t="s">
        <v>1512</v>
      </c>
      <c r="D1325" s="39" t="s">
        <v>6558</v>
      </c>
      <c r="E1325" s="43">
        <v>38375</v>
      </c>
      <c r="F1325" s="43"/>
      <c r="G1325" s="364">
        <f t="shared" si="2"/>
        <v>205270</v>
      </c>
      <c r="H1325" s="391" t="s">
        <v>9568</v>
      </c>
    </row>
    <row r="1326" spans="1:8" x14ac:dyDescent="0.3">
      <c r="A1326" s="45">
        <v>44174</v>
      </c>
      <c r="B1326" s="402"/>
      <c r="C1326" s="39" t="s">
        <v>1512</v>
      </c>
      <c r="D1326" s="39" t="s">
        <v>6557</v>
      </c>
      <c r="E1326" s="43">
        <v>54869</v>
      </c>
      <c r="F1326" s="43"/>
      <c r="G1326" s="364">
        <f t="shared" si="2"/>
        <v>150401</v>
      </c>
      <c r="H1326" s="391" t="s">
        <v>9568</v>
      </c>
    </row>
    <row r="1327" spans="1:8" x14ac:dyDescent="0.3">
      <c r="A1327" s="45">
        <v>44174</v>
      </c>
      <c r="B1327" s="402"/>
      <c r="C1327" s="39" t="s">
        <v>1512</v>
      </c>
      <c r="D1327" s="39" t="s">
        <v>6678</v>
      </c>
      <c r="E1327" s="43">
        <v>38667</v>
      </c>
      <c r="F1327" s="43"/>
      <c r="G1327" s="364">
        <f t="shared" si="2"/>
        <v>111734</v>
      </c>
      <c r="H1327" s="391" t="s">
        <v>9568</v>
      </c>
    </row>
    <row r="1328" spans="1:8" x14ac:dyDescent="0.3">
      <c r="A1328" s="45">
        <v>44174</v>
      </c>
      <c r="B1328" s="399"/>
      <c r="C1328" s="5" t="s">
        <v>10</v>
      </c>
      <c r="D1328" s="5" t="s">
        <v>6766</v>
      </c>
      <c r="E1328" s="43">
        <v>3000</v>
      </c>
      <c r="F1328" s="43"/>
      <c r="G1328" s="364">
        <f t="shared" si="2"/>
        <v>108734</v>
      </c>
      <c r="H1328" s="391" t="s">
        <v>9568</v>
      </c>
    </row>
    <row r="1329" spans="1:8" x14ac:dyDescent="0.3">
      <c r="A1329" s="45">
        <v>44174</v>
      </c>
      <c r="B1329" s="399"/>
      <c r="C1329" s="5" t="s">
        <v>10</v>
      </c>
      <c r="D1329" s="5" t="s">
        <v>6770</v>
      </c>
      <c r="E1329" s="43">
        <v>2000</v>
      </c>
      <c r="F1329" s="43"/>
      <c r="G1329" s="364">
        <f t="shared" si="2"/>
        <v>106734</v>
      </c>
      <c r="H1329" s="391" t="s">
        <v>9568</v>
      </c>
    </row>
    <row r="1330" spans="1:8" x14ac:dyDescent="0.3">
      <c r="A1330" s="45">
        <v>44174</v>
      </c>
      <c r="B1330" s="402"/>
      <c r="C1330" s="39" t="s">
        <v>1512</v>
      </c>
      <c r="D1330" s="39" t="s">
        <v>6769</v>
      </c>
      <c r="E1330" s="43">
        <v>20000</v>
      </c>
      <c r="F1330" s="43"/>
      <c r="G1330" s="364">
        <f>G1329+F1330-E1330</f>
        <v>86734</v>
      </c>
      <c r="H1330" s="391" t="s">
        <v>9568</v>
      </c>
    </row>
    <row r="1331" spans="1:8" x14ac:dyDescent="0.3">
      <c r="A1331" s="45">
        <v>44175</v>
      </c>
      <c r="B1331" s="399"/>
      <c r="C1331" s="5" t="s">
        <v>4550</v>
      </c>
      <c r="D1331" s="5" t="s">
        <v>6771</v>
      </c>
      <c r="E1331" s="43">
        <v>53500</v>
      </c>
      <c r="F1331" s="43"/>
      <c r="G1331" s="364">
        <f>G1330+F1331-E1331</f>
        <v>33234</v>
      </c>
      <c r="H1331" s="391" t="s">
        <v>9568</v>
      </c>
    </row>
    <row r="1332" spans="1:8" x14ac:dyDescent="0.3">
      <c r="A1332" s="45">
        <v>44175</v>
      </c>
      <c r="B1332" s="409"/>
      <c r="C1332" s="61" t="s">
        <v>6722</v>
      </c>
      <c r="D1332" s="61" t="s">
        <v>3183</v>
      </c>
      <c r="E1332" s="62">
        <v>15000</v>
      </c>
      <c r="F1332" s="43"/>
      <c r="G1332" s="364">
        <f t="shared" si="2"/>
        <v>18234</v>
      </c>
      <c r="H1332" s="391" t="s">
        <v>9568</v>
      </c>
    </row>
    <row r="1333" spans="1:8" x14ac:dyDescent="0.3">
      <c r="A1333" s="184">
        <v>44175</v>
      </c>
      <c r="B1333" s="419"/>
      <c r="C1333" s="6" t="s">
        <v>6722</v>
      </c>
      <c r="D1333" s="6" t="s">
        <v>6772</v>
      </c>
      <c r="E1333" s="7">
        <v>2850</v>
      </c>
      <c r="F1333" s="67"/>
      <c r="G1333" s="364">
        <f t="shared" si="2"/>
        <v>15384</v>
      </c>
      <c r="H1333" s="391" t="s">
        <v>9568</v>
      </c>
    </row>
    <row r="1334" spans="1:8" x14ac:dyDescent="0.3">
      <c r="A1334" s="45">
        <v>44175</v>
      </c>
      <c r="B1334" s="399"/>
      <c r="C1334" s="5" t="s">
        <v>4869</v>
      </c>
      <c r="D1334" s="5" t="s">
        <v>40</v>
      </c>
      <c r="E1334" s="43">
        <v>3954</v>
      </c>
      <c r="F1334" s="43"/>
      <c r="G1334" s="364">
        <f t="shared" si="2"/>
        <v>11430</v>
      </c>
      <c r="H1334" s="391" t="s">
        <v>9568</v>
      </c>
    </row>
    <row r="1335" spans="1:8" x14ac:dyDescent="0.3">
      <c r="A1335" s="45">
        <v>44175</v>
      </c>
      <c r="B1335" s="399"/>
      <c r="C1335" s="5" t="s">
        <v>2948</v>
      </c>
      <c r="D1335" s="5" t="s">
        <v>64</v>
      </c>
      <c r="E1335" s="43">
        <v>800</v>
      </c>
      <c r="F1335" s="43"/>
      <c r="G1335" s="364">
        <f t="shared" si="2"/>
        <v>10630</v>
      </c>
      <c r="H1335" s="391" t="s">
        <v>9568</v>
      </c>
    </row>
    <row r="1336" spans="1:8" x14ac:dyDescent="0.3">
      <c r="A1336" s="45">
        <v>44175</v>
      </c>
      <c r="B1336" s="399"/>
      <c r="C1336" s="5" t="s">
        <v>14</v>
      </c>
      <c r="D1336" s="5" t="s">
        <v>294</v>
      </c>
      <c r="E1336" s="43">
        <v>3000</v>
      </c>
      <c r="F1336" s="43"/>
      <c r="G1336" s="364">
        <f t="shared" si="2"/>
        <v>7630</v>
      </c>
      <c r="H1336" s="391" t="s">
        <v>9568</v>
      </c>
    </row>
    <row r="1337" spans="1:8" x14ac:dyDescent="0.3">
      <c r="A1337" s="45">
        <v>44175</v>
      </c>
      <c r="B1337" s="409"/>
      <c r="C1337" s="61" t="s">
        <v>6430</v>
      </c>
      <c r="D1337" s="61" t="s">
        <v>6773</v>
      </c>
      <c r="E1337" s="62">
        <v>6000</v>
      </c>
      <c r="F1337" s="43"/>
      <c r="G1337" s="364">
        <f t="shared" si="2"/>
        <v>1630</v>
      </c>
      <c r="H1337" s="391" t="s">
        <v>9568</v>
      </c>
    </row>
    <row r="1338" spans="1:8" x14ac:dyDescent="0.3">
      <c r="A1338" s="45">
        <v>44177</v>
      </c>
      <c r="B1338" s="399"/>
      <c r="C1338" s="5" t="s">
        <v>14</v>
      </c>
      <c r="D1338" s="5" t="s">
        <v>294</v>
      </c>
      <c r="E1338" s="43">
        <v>100</v>
      </c>
      <c r="F1338" s="43"/>
      <c r="G1338" s="364">
        <f t="shared" si="2"/>
        <v>1530</v>
      </c>
      <c r="H1338" s="391" t="s">
        <v>9568</v>
      </c>
    </row>
    <row r="1339" spans="1:8" x14ac:dyDescent="0.3">
      <c r="A1339" s="45">
        <v>44177</v>
      </c>
      <c r="B1339" s="399"/>
      <c r="C1339" s="5" t="s">
        <v>14</v>
      </c>
      <c r="D1339" s="5" t="s">
        <v>294</v>
      </c>
      <c r="E1339" s="43">
        <v>1000</v>
      </c>
      <c r="F1339" s="43"/>
      <c r="G1339" s="364">
        <f t="shared" si="2"/>
        <v>530</v>
      </c>
      <c r="H1339" s="391" t="s">
        <v>9568</v>
      </c>
    </row>
    <row r="1340" spans="1:8" x14ac:dyDescent="0.3">
      <c r="A1340" s="45">
        <v>44177</v>
      </c>
      <c r="B1340" s="580"/>
      <c r="C1340" s="554" t="s">
        <v>5653</v>
      </c>
      <c r="D1340" s="554"/>
      <c r="E1340" s="554"/>
      <c r="F1340" s="43">
        <v>8000</v>
      </c>
      <c r="G1340" s="364">
        <f t="shared" si="2"/>
        <v>8530</v>
      </c>
      <c r="H1340" s="391" t="s">
        <v>9568</v>
      </c>
    </row>
    <row r="1341" spans="1:8" x14ac:dyDescent="0.3">
      <c r="A1341" s="45">
        <v>44179</v>
      </c>
      <c r="B1341" s="399"/>
      <c r="C1341" s="5" t="s">
        <v>4246</v>
      </c>
      <c r="D1341" s="5" t="s">
        <v>6774</v>
      </c>
      <c r="E1341" s="43">
        <v>1400</v>
      </c>
      <c r="F1341" s="43"/>
      <c r="G1341" s="364">
        <f t="shared" si="2"/>
        <v>7130</v>
      </c>
      <c r="H1341" s="391" t="s">
        <v>9568</v>
      </c>
    </row>
    <row r="1342" spans="1:8" x14ac:dyDescent="0.3">
      <c r="A1342" s="45">
        <v>44179</v>
      </c>
      <c r="B1342" s="399"/>
      <c r="C1342" s="5" t="s">
        <v>4246</v>
      </c>
      <c r="D1342" s="5" t="s">
        <v>6775</v>
      </c>
      <c r="E1342" s="43">
        <v>3000</v>
      </c>
      <c r="F1342" s="43"/>
      <c r="G1342" s="364">
        <f t="shared" si="2"/>
        <v>4130</v>
      </c>
      <c r="H1342" s="391" t="s">
        <v>9568</v>
      </c>
    </row>
    <row r="1343" spans="1:8" x14ac:dyDescent="0.3">
      <c r="A1343" s="45">
        <v>44179</v>
      </c>
      <c r="B1343" s="409"/>
      <c r="C1343" s="61" t="s">
        <v>4246</v>
      </c>
      <c r="D1343" s="61" t="s">
        <v>6776</v>
      </c>
      <c r="E1343" s="62">
        <v>1000</v>
      </c>
      <c r="F1343" s="43"/>
      <c r="G1343" s="364">
        <f t="shared" si="2"/>
        <v>3130</v>
      </c>
      <c r="H1343" s="391" t="s">
        <v>9568</v>
      </c>
    </row>
    <row r="1344" spans="1:8" x14ac:dyDescent="0.3">
      <c r="A1344" s="45">
        <v>44179</v>
      </c>
      <c r="B1344" s="580"/>
      <c r="C1344" s="554" t="s">
        <v>5653</v>
      </c>
      <c r="D1344" s="554"/>
      <c r="E1344" s="554"/>
      <c r="F1344" s="43">
        <v>14000</v>
      </c>
      <c r="G1344" s="364">
        <f t="shared" si="2"/>
        <v>17130</v>
      </c>
      <c r="H1344" s="391" t="s">
        <v>9568</v>
      </c>
    </row>
    <row r="1345" spans="1:8" x14ac:dyDescent="0.3">
      <c r="A1345" s="45">
        <v>44179</v>
      </c>
      <c r="B1345" s="399"/>
      <c r="C1345" s="5" t="s">
        <v>4246</v>
      </c>
      <c r="D1345" s="5" t="s">
        <v>6778</v>
      </c>
      <c r="E1345" s="43">
        <v>7000</v>
      </c>
      <c r="F1345" s="43"/>
      <c r="G1345" s="364">
        <f t="shared" si="2"/>
        <v>10130</v>
      </c>
      <c r="H1345" s="391" t="s">
        <v>9568</v>
      </c>
    </row>
    <row r="1346" spans="1:8" x14ac:dyDescent="0.3">
      <c r="A1346" s="45">
        <v>44179</v>
      </c>
      <c r="B1346" s="580"/>
      <c r="C1346" s="554" t="s">
        <v>4106</v>
      </c>
      <c r="D1346" s="554"/>
      <c r="E1346" s="554"/>
      <c r="F1346" s="43">
        <v>120000</v>
      </c>
      <c r="G1346" s="364">
        <f t="shared" si="2"/>
        <v>130130</v>
      </c>
      <c r="H1346" s="391" t="s">
        <v>9568</v>
      </c>
    </row>
    <row r="1347" spans="1:8" x14ac:dyDescent="0.3">
      <c r="A1347" s="45">
        <v>44179</v>
      </c>
      <c r="B1347" s="399"/>
      <c r="C1347" s="5" t="s">
        <v>1074</v>
      </c>
      <c r="D1347" s="5" t="s">
        <v>6779</v>
      </c>
      <c r="E1347" s="43">
        <v>9780</v>
      </c>
      <c r="F1347" s="43"/>
      <c r="G1347" s="364">
        <f t="shared" si="2"/>
        <v>120350</v>
      </c>
      <c r="H1347" s="391" t="s">
        <v>9568</v>
      </c>
    </row>
    <row r="1348" spans="1:8" x14ac:dyDescent="0.3">
      <c r="A1348" s="45">
        <v>44180</v>
      </c>
      <c r="B1348" s="399"/>
      <c r="C1348" s="5" t="s">
        <v>5930</v>
      </c>
      <c r="D1348" s="5" t="s">
        <v>3332</v>
      </c>
      <c r="E1348" s="43">
        <v>33240</v>
      </c>
      <c r="F1348" s="43"/>
      <c r="G1348" s="364">
        <f t="shared" si="2"/>
        <v>87110</v>
      </c>
      <c r="H1348" s="391" t="s">
        <v>9568</v>
      </c>
    </row>
    <row r="1349" spans="1:8" x14ac:dyDescent="0.3">
      <c r="A1349" s="45">
        <v>44180</v>
      </c>
      <c r="B1349" s="399"/>
      <c r="C1349" s="5" t="s">
        <v>5938</v>
      </c>
      <c r="D1349" s="5" t="s">
        <v>6782</v>
      </c>
      <c r="E1349" s="43">
        <v>20429</v>
      </c>
      <c r="F1349" s="43"/>
      <c r="G1349" s="364">
        <f t="shared" si="2"/>
        <v>66681</v>
      </c>
      <c r="H1349" s="391" t="s">
        <v>9568</v>
      </c>
    </row>
    <row r="1350" spans="1:8" x14ac:dyDescent="0.3">
      <c r="A1350" s="45">
        <v>44180</v>
      </c>
      <c r="B1350" s="399"/>
      <c r="C1350" s="5" t="s">
        <v>1616</v>
      </c>
      <c r="D1350" s="5" t="s">
        <v>6780</v>
      </c>
      <c r="E1350" s="43">
        <v>4000</v>
      </c>
      <c r="F1350" s="43"/>
      <c r="G1350" s="364">
        <f t="shared" si="2"/>
        <v>62681</v>
      </c>
      <c r="H1350" s="391" t="s">
        <v>9568</v>
      </c>
    </row>
    <row r="1351" spans="1:8" x14ac:dyDescent="0.3">
      <c r="A1351" s="45">
        <v>44180</v>
      </c>
      <c r="B1351" s="399"/>
      <c r="C1351" s="5" t="s">
        <v>1616</v>
      </c>
      <c r="D1351" s="5" t="s">
        <v>6781</v>
      </c>
      <c r="E1351" s="43">
        <v>1000</v>
      </c>
      <c r="F1351" s="43"/>
      <c r="G1351" s="364">
        <f t="shared" si="2"/>
        <v>61681</v>
      </c>
      <c r="H1351" s="391" t="s">
        <v>9568</v>
      </c>
    </row>
    <row r="1352" spans="1:8" x14ac:dyDescent="0.3">
      <c r="A1352" s="45">
        <v>44180</v>
      </c>
      <c r="B1352" s="399"/>
      <c r="C1352" s="5" t="s">
        <v>6221</v>
      </c>
      <c r="D1352" s="5" t="s">
        <v>40</v>
      </c>
      <c r="E1352" s="43">
        <v>36450</v>
      </c>
      <c r="F1352" s="43"/>
      <c r="G1352" s="364">
        <f t="shared" si="2"/>
        <v>25231</v>
      </c>
      <c r="H1352" s="391" t="s">
        <v>9568</v>
      </c>
    </row>
    <row r="1353" spans="1:8" x14ac:dyDescent="0.3">
      <c r="A1353" s="45">
        <v>44180</v>
      </c>
      <c r="B1353" s="399"/>
      <c r="C1353" s="5" t="s">
        <v>14</v>
      </c>
      <c r="D1353" s="5" t="s">
        <v>294</v>
      </c>
      <c r="E1353" s="43">
        <v>1000</v>
      </c>
      <c r="F1353" s="43"/>
      <c r="G1353" s="364">
        <f t="shared" si="2"/>
        <v>24231</v>
      </c>
      <c r="H1353" s="391" t="s">
        <v>9568</v>
      </c>
    </row>
    <row r="1354" spans="1:8" x14ac:dyDescent="0.3">
      <c r="A1354" s="45">
        <v>44180</v>
      </c>
      <c r="B1354" s="399"/>
      <c r="C1354" s="5" t="s">
        <v>4055</v>
      </c>
      <c r="D1354" s="5" t="s">
        <v>6783</v>
      </c>
      <c r="E1354" s="43">
        <v>15000</v>
      </c>
      <c r="F1354" s="43"/>
      <c r="G1354" s="364">
        <f t="shared" si="2"/>
        <v>9231</v>
      </c>
      <c r="H1354" s="391" t="s">
        <v>9568</v>
      </c>
    </row>
    <row r="1355" spans="1:8" x14ac:dyDescent="0.3">
      <c r="A1355" s="45">
        <v>44180</v>
      </c>
      <c r="B1355" s="399"/>
      <c r="C1355" s="5" t="s">
        <v>25</v>
      </c>
      <c r="D1355" s="5" t="s">
        <v>6049</v>
      </c>
      <c r="E1355" s="43">
        <v>150</v>
      </c>
      <c r="F1355" s="43"/>
      <c r="G1355" s="364">
        <f t="shared" si="2"/>
        <v>9081</v>
      </c>
      <c r="H1355" s="391" t="s">
        <v>9568</v>
      </c>
    </row>
    <row r="1356" spans="1:8" x14ac:dyDescent="0.3">
      <c r="A1356" s="45">
        <v>44181</v>
      </c>
      <c r="B1356" s="399"/>
      <c r="C1356" s="5" t="s">
        <v>54</v>
      </c>
      <c r="D1356" s="5" t="s">
        <v>6784</v>
      </c>
      <c r="E1356" s="43">
        <v>2000</v>
      </c>
      <c r="F1356" s="43"/>
      <c r="G1356" s="364">
        <f t="shared" si="2"/>
        <v>7081</v>
      </c>
      <c r="H1356" s="391" t="s">
        <v>9568</v>
      </c>
    </row>
    <row r="1357" spans="1:8" x14ac:dyDescent="0.3">
      <c r="A1357" s="45">
        <v>44182</v>
      </c>
      <c r="B1357" s="399"/>
      <c r="C1357" s="5" t="s">
        <v>25</v>
      </c>
      <c r="D1357" s="5" t="s">
        <v>6361</v>
      </c>
      <c r="E1357" s="43">
        <f>1000+40+20+200+60+60+40</f>
        <v>1420</v>
      </c>
      <c r="F1357" s="43"/>
      <c r="G1357" s="364">
        <f t="shared" si="2"/>
        <v>5661</v>
      </c>
      <c r="H1357" s="391" t="s">
        <v>9568</v>
      </c>
    </row>
    <row r="1358" spans="1:8" ht="37.5" x14ac:dyDescent="0.3">
      <c r="A1358" s="45">
        <v>44182</v>
      </c>
      <c r="B1358" s="420"/>
      <c r="C1358" s="239" t="s">
        <v>18</v>
      </c>
      <c r="D1358" s="240" t="s">
        <v>6799</v>
      </c>
      <c r="E1358" s="174">
        <v>3000</v>
      </c>
      <c r="F1358" s="28"/>
      <c r="G1358" s="364">
        <f t="shared" si="2"/>
        <v>2661</v>
      </c>
      <c r="H1358" s="391" t="s">
        <v>9568</v>
      </c>
    </row>
    <row r="1359" spans="1:8" x14ac:dyDescent="0.3">
      <c r="A1359" s="45">
        <v>44183</v>
      </c>
      <c r="B1359" s="399"/>
      <c r="C1359" s="5" t="s">
        <v>5709</v>
      </c>
      <c r="D1359" s="5" t="s">
        <v>6785</v>
      </c>
      <c r="E1359" s="43">
        <v>1000</v>
      </c>
      <c r="F1359" s="43"/>
      <c r="G1359" s="364">
        <f t="shared" si="2"/>
        <v>1661</v>
      </c>
      <c r="H1359" s="391" t="s">
        <v>9568</v>
      </c>
    </row>
    <row r="1360" spans="1:8" x14ac:dyDescent="0.3">
      <c r="A1360" s="45">
        <v>44183</v>
      </c>
      <c r="B1360" s="399"/>
      <c r="C1360" s="5" t="s">
        <v>14</v>
      </c>
      <c r="D1360" s="5" t="s">
        <v>294</v>
      </c>
      <c r="E1360" s="43">
        <v>1000</v>
      </c>
      <c r="F1360" s="43"/>
      <c r="G1360" s="364">
        <f t="shared" si="2"/>
        <v>661</v>
      </c>
      <c r="H1360" s="391" t="s">
        <v>9568</v>
      </c>
    </row>
    <row r="1361" spans="1:11" x14ac:dyDescent="0.3">
      <c r="A1361" s="45">
        <v>44183</v>
      </c>
      <c r="B1361" s="580"/>
      <c r="C1361" s="554" t="s">
        <v>6786</v>
      </c>
      <c r="D1361" s="554"/>
      <c r="E1361" s="554"/>
      <c r="F1361" s="43">
        <v>102700</v>
      </c>
      <c r="G1361" s="364">
        <f t="shared" ref="G1361:G1382" si="3">G1360+F1361-E1361</f>
        <v>103361</v>
      </c>
      <c r="H1361" s="391" t="s">
        <v>9568</v>
      </c>
    </row>
    <row r="1362" spans="1:11" x14ac:dyDescent="0.3">
      <c r="A1362" s="45">
        <v>44183</v>
      </c>
      <c r="B1362" s="399"/>
      <c r="C1362" s="5" t="s">
        <v>11</v>
      </c>
      <c r="D1362" s="5" t="s">
        <v>294</v>
      </c>
      <c r="E1362" s="43">
        <v>15000</v>
      </c>
      <c r="F1362" s="43"/>
      <c r="G1362" s="364">
        <f t="shared" si="3"/>
        <v>88361</v>
      </c>
      <c r="H1362" s="391" t="s">
        <v>9568</v>
      </c>
    </row>
    <row r="1363" spans="1:11" x14ac:dyDescent="0.3">
      <c r="A1363" s="45">
        <v>44183</v>
      </c>
      <c r="B1363" s="399"/>
      <c r="C1363" s="5" t="s">
        <v>14</v>
      </c>
      <c r="D1363" s="5" t="s">
        <v>294</v>
      </c>
      <c r="E1363" s="43">
        <v>10000</v>
      </c>
      <c r="F1363" s="43"/>
      <c r="G1363" s="364">
        <f t="shared" si="3"/>
        <v>78361</v>
      </c>
      <c r="H1363" s="391" t="s">
        <v>9568</v>
      </c>
    </row>
    <row r="1364" spans="1:11" ht="37.5" x14ac:dyDescent="0.3">
      <c r="A1364" s="45">
        <v>44183</v>
      </c>
      <c r="B1364" s="399"/>
      <c r="C1364" s="5" t="s">
        <v>6430</v>
      </c>
      <c r="D1364" s="92" t="s">
        <v>6787</v>
      </c>
      <c r="E1364" s="43">
        <v>10000</v>
      </c>
      <c r="F1364" s="43"/>
      <c r="G1364" s="364">
        <f t="shared" si="3"/>
        <v>68361</v>
      </c>
      <c r="H1364" s="391" t="s">
        <v>9568</v>
      </c>
    </row>
    <row r="1365" spans="1:11" x14ac:dyDescent="0.3">
      <c r="A1365" s="45">
        <v>44183</v>
      </c>
      <c r="B1365" s="409"/>
      <c r="C1365" s="61" t="s">
        <v>6788</v>
      </c>
      <c r="D1365" s="61" t="s">
        <v>6789</v>
      </c>
      <c r="E1365" s="62">
        <v>14000</v>
      </c>
      <c r="F1365" s="43"/>
      <c r="G1365" s="364">
        <f t="shared" si="3"/>
        <v>54361</v>
      </c>
      <c r="H1365" s="391" t="s">
        <v>9568</v>
      </c>
    </row>
    <row r="1366" spans="1:11" x14ac:dyDescent="0.3">
      <c r="A1366" s="45">
        <v>44183</v>
      </c>
      <c r="B1366" s="399"/>
      <c r="C1366" s="5" t="s">
        <v>25</v>
      </c>
      <c r="D1366" s="5" t="s">
        <v>2013</v>
      </c>
      <c r="E1366" s="43">
        <v>170</v>
      </c>
      <c r="F1366" s="43"/>
      <c r="G1366" s="364">
        <f t="shared" si="3"/>
        <v>54191</v>
      </c>
      <c r="H1366" s="391" t="s">
        <v>9568</v>
      </c>
    </row>
    <row r="1367" spans="1:11" x14ac:dyDescent="0.3">
      <c r="A1367" s="45">
        <v>44183</v>
      </c>
      <c r="B1367" s="399"/>
      <c r="C1367" s="5" t="s">
        <v>5846</v>
      </c>
      <c r="D1367" s="5" t="s">
        <v>6790</v>
      </c>
      <c r="E1367" s="43">
        <v>200</v>
      </c>
      <c r="F1367" s="43"/>
      <c r="G1367" s="364">
        <f t="shared" si="3"/>
        <v>53991</v>
      </c>
      <c r="H1367" s="391" t="s">
        <v>9568</v>
      </c>
    </row>
    <row r="1368" spans="1:11" x14ac:dyDescent="0.3">
      <c r="A1368" s="45">
        <v>44184</v>
      </c>
      <c r="B1368" s="402"/>
      <c r="C1368" s="39" t="s">
        <v>1512</v>
      </c>
      <c r="D1368" s="39" t="s">
        <v>6791</v>
      </c>
      <c r="E1368" s="43">
        <v>23450</v>
      </c>
      <c r="F1368" s="43"/>
      <c r="G1368" s="364">
        <f t="shared" si="3"/>
        <v>30541</v>
      </c>
      <c r="H1368" s="391" t="s">
        <v>9568</v>
      </c>
    </row>
    <row r="1369" spans="1:11" x14ac:dyDescent="0.3">
      <c r="A1369" s="45">
        <v>44184</v>
      </c>
      <c r="B1369" s="399"/>
      <c r="C1369" s="5" t="s">
        <v>5162</v>
      </c>
      <c r="D1369" s="5" t="s">
        <v>6792</v>
      </c>
      <c r="E1369" s="43">
        <v>600</v>
      </c>
      <c r="F1369" s="43"/>
      <c r="G1369" s="364">
        <f t="shared" si="3"/>
        <v>29941</v>
      </c>
      <c r="H1369" s="391" t="s">
        <v>9568</v>
      </c>
    </row>
    <row r="1370" spans="1:11" x14ac:dyDescent="0.3">
      <c r="A1370" s="45">
        <v>44184</v>
      </c>
      <c r="B1370" s="399"/>
      <c r="C1370" s="5" t="s">
        <v>6430</v>
      </c>
      <c r="D1370" s="5" t="s">
        <v>6793</v>
      </c>
      <c r="E1370" s="65">
        <v>9540</v>
      </c>
      <c r="F1370" s="65"/>
      <c r="G1370" s="364">
        <f t="shared" si="3"/>
        <v>20401</v>
      </c>
      <c r="H1370" s="391" t="s">
        <v>9568</v>
      </c>
      <c r="I1370" s="102"/>
      <c r="J1370" s="102"/>
      <c r="K1370" s="102"/>
    </row>
    <row r="1371" spans="1:11" x14ac:dyDescent="0.3">
      <c r="A1371" s="45">
        <v>44186</v>
      </c>
      <c r="B1371" s="399"/>
      <c r="C1371" s="5" t="s">
        <v>4550</v>
      </c>
      <c r="D1371" s="5" t="s">
        <v>438</v>
      </c>
      <c r="E1371" s="43">
        <v>430</v>
      </c>
      <c r="F1371" s="43"/>
      <c r="G1371" s="364">
        <f t="shared" si="3"/>
        <v>19971</v>
      </c>
      <c r="H1371" s="391" t="s">
        <v>9568</v>
      </c>
    </row>
    <row r="1372" spans="1:11" x14ac:dyDescent="0.3">
      <c r="A1372" s="45">
        <v>44186</v>
      </c>
      <c r="B1372" s="399"/>
      <c r="C1372" s="5" t="s">
        <v>25</v>
      </c>
      <c r="D1372" s="5" t="s">
        <v>6361</v>
      </c>
      <c r="E1372" s="43">
        <f>400+240+50+600+600</f>
        <v>1890</v>
      </c>
      <c r="F1372" s="43"/>
      <c r="G1372" s="364">
        <f t="shared" si="3"/>
        <v>18081</v>
      </c>
      <c r="H1372" s="391" t="s">
        <v>9568</v>
      </c>
    </row>
    <row r="1373" spans="1:11" x14ac:dyDescent="0.3">
      <c r="A1373" s="45">
        <v>44186</v>
      </c>
      <c r="B1373" s="580"/>
      <c r="C1373" s="554" t="s">
        <v>6800</v>
      </c>
      <c r="D1373" s="554"/>
      <c r="E1373" s="554"/>
      <c r="F1373" s="43">
        <v>16500</v>
      </c>
      <c r="G1373" s="364">
        <f t="shared" si="3"/>
        <v>34581</v>
      </c>
      <c r="H1373" s="391" t="s">
        <v>9568</v>
      </c>
    </row>
    <row r="1374" spans="1:11" x14ac:dyDescent="0.3">
      <c r="A1374" s="45">
        <v>44186</v>
      </c>
      <c r="B1374" s="409"/>
      <c r="C1374" s="61" t="s">
        <v>1012</v>
      </c>
      <c r="D1374" s="61" t="s">
        <v>6794</v>
      </c>
      <c r="E1374" s="62">
        <v>10000</v>
      </c>
      <c r="F1374" s="43"/>
      <c r="G1374" s="364">
        <f t="shared" si="3"/>
        <v>24581</v>
      </c>
      <c r="H1374" s="391" t="s">
        <v>9568</v>
      </c>
    </row>
    <row r="1375" spans="1:11" x14ac:dyDescent="0.3">
      <c r="A1375" s="45">
        <v>44186</v>
      </c>
      <c r="B1375" s="399"/>
      <c r="C1375" s="5" t="s">
        <v>1616</v>
      </c>
      <c r="D1375" s="5" t="s">
        <v>6795</v>
      </c>
      <c r="E1375" s="43">
        <v>3000</v>
      </c>
      <c r="F1375" s="43"/>
      <c r="G1375" s="364">
        <f t="shared" si="3"/>
        <v>21581</v>
      </c>
      <c r="H1375" s="391" t="s">
        <v>9568</v>
      </c>
    </row>
    <row r="1376" spans="1:11" x14ac:dyDescent="0.3">
      <c r="A1376" s="45">
        <v>44187</v>
      </c>
      <c r="B1376" s="399"/>
      <c r="C1376" s="5" t="s">
        <v>14</v>
      </c>
      <c r="D1376" s="5" t="s">
        <v>294</v>
      </c>
      <c r="E1376" s="43">
        <v>1000</v>
      </c>
      <c r="F1376" s="43"/>
      <c r="G1376" s="364">
        <f t="shared" si="3"/>
        <v>20581</v>
      </c>
      <c r="H1376" s="391" t="s">
        <v>9568</v>
      </c>
    </row>
    <row r="1377" spans="1:8" x14ac:dyDescent="0.3">
      <c r="A1377" s="45">
        <v>44187</v>
      </c>
      <c r="B1377" s="409"/>
      <c r="C1377" s="61" t="s">
        <v>247</v>
      </c>
      <c r="D1377" s="61" t="s">
        <v>6796</v>
      </c>
      <c r="E1377" s="62">
        <v>300</v>
      </c>
      <c r="F1377" s="43"/>
      <c r="G1377" s="364">
        <f t="shared" si="3"/>
        <v>20281</v>
      </c>
      <c r="H1377" s="391" t="s">
        <v>9568</v>
      </c>
    </row>
    <row r="1378" spans="1:8" x14ac:dyDescent="0.3">
      <c r="A1378" s="45">
        <v>44187</v>
      </c>
      <c r="B1378" s="399"/>
      <c r="C1378" s="5" t="s">
        <v>1837</v>
      </c>
      <c r="D1378" s="5" t="s">
        <v>6797</v>
      </c>
      <c r="E1378" s="65">
        <v>300</v>
      </c>
      <c r="F1378" s="43"/>
      <c r="G1378" s="364">
        <f t="shared" si="3"/>
        <v>19981</v>
      </c>
      <c r="H1378" s="391" t="s">
        <v>9568</v>
      </c>
    </row>
    <row r="1379" spans="1:8" x14ac:dyDescent="0.3">
      <c r="A1379" s="45">
        <v>44187</v>
      </c>
      <c r="B1379" s="399"/>
      <c r="C1379" s="5" t="s">
        <v>1837</v>
      </c>
      <c r="D1379" s="5" t="s">
        <v>6798</v>
      </c>
      <c r="E1379" s="65">
        <v>500</v>
      </c>
      <c r="F1379" s="43"/>
      <c r="G1379" s="364">
        <f t="shared" si="3"/>
        <v>19481</v>
      </c>
      <c r="H1379" s="391" t="s">
        <v>9568</v>
      </c>
    </row>
    <row r="1380" spans="1:8" ht="37.5" x14ac:dyDescent="0.3">
      <c r="A1380" s="45">
        <v>44188</v>
      </c>
      <c r="B1380" s="399"/>
      <c r="C1380" s="5" t="s">
        <v>18</v>
      </c>
      <c r="D1380" s="92" t="s">
        <v>6801</v>
      </c>
      <c r="E1380" s="43">
        <v>7000</v>
      </c>
      <c r="F1380" s="43"/>
      <c r="G1380" s="364">
        <f t="shared" si="3"/>
        <v>12481</v>
      </c>
      <c r="H1380" s="391" t="s">
        <v>9568</v>
      </c>
    </row>
    <row r="1381" spans="1:8" x14ac:dyDescent="0.3">
      <c r="A1381" s="45">
        <v>44188</v>
      </c>
      <c r="B1381" s="399"/>
      <c r="C1381" s="5" t="s">
        <v>14</v>
      </c>
      <c r="D1381" s="5" t="s">
        <v>640</v>
      </c>
      <c r="E1381" s="43">
        <v>1000</v>
      </c>
      <c r="F1381" s="43"/>
      <c r="G1381" s="364">
        <f t="shared" si="3"/>
        <v>11481</v>
      </c>
      <c r="H1381" s="391" t="s">
        <v>9568</v>
      </c>
    </row>
    <row r="1382" spans="1:8" x14ac:dyDescent="0.3">
      <c r="A1382" s="45">
        <v>44188</v>
      </c>
      <c r="B1382" s="399"/>
      <c r="C1382" s="5" t="s">
        <v>14</v>
      </c>
      <c r="D1382" s="5" t="s">
        <v>294</v>
      </c>
      <c r="E1382" s="43">
        <v>1000</v>
      </c>
      <c r="F1382" s="43"/>
      <c r="G1382" s="364">
        <f t="shared" si="3"/>
        <v>10481</v>
      </c>
      <c r="H1382" s="391" t="s">
        <v>9568</v>
      </c>
    </row>
    <row r="1383" spans="1:8" x14ac:dyDescent="0.3">
      <c r="A1383" s="45">
        <v>44188</v>
      </c>
      <c r="B1383" s="580"/>
      <c r="C1383" s="554" t="s">
        <v>6802</v>
      </c>
      <c r="D1383" s="554"/>
      <c r="E1383" s="554"/>
      <c r="F1383" s="43">
        <v>45000</v>
      </c>
      <c r="G1383" s="364">
        <f t="shared" ref="G1383:G1414" si="4">G1382+F1383-E1383</f>
        <v>55481</v>
      </c>
      <c r="H1383" s="391" t="s">
        <v>9568</v>
      </c>
    </row>
    <row r="1384" spans="1:8" x14ac:dyDescent="0.3">
      <c r="A1384" s="45">
        <v>44188</v>
      </c>
      <c r="B1384" s="399"/>
      <c r="C1384" s="5" t="s">
        <v>1074</v>
      </c>
      <c r="D1384" s="5" t="s">
        <v>5691</v>
      </c>
      <c r="E1384" s="43">
        <v>4942</v>
      </c>
      <c r="F1384" s="43"/>
      <c r="G1384" s="364">
        <f t="shared" si="4"/>
        <v>50539</v>
      </c>
      <c r="H1384" s="391" t="s">
        <v>9568</v>
      </c>
    </row>
    <row r="1385" spans="1:8" x14ac:dyDescent="0.3">
      <c r="A1385" s="45">
        <v>44188</v>
      </c>
      <c r="B1385" s="399"/>
      <c r="C1385" s="5" t="s">
        <v>1074</v>
      </c>
      <c r="D1385" s="5" t="s">
        <v>6701</v>
      </c>
      <c r="E1385" s="43">
        <v>12013</v>
      </c>
      <c r="F1385" s="43"/>
      <c r="G1385" s="364">
        <f t="shared" si="4"/>
        <v>38526</v>
      </c>
      <c r="H1385" s="391" t="s">
        <v>9568</v>
      </c>
    </row>
    <row r="1386" spans="1:8" x14ac:dyDescent="0.3">
      <c r="A1386" s="45">
        <v>44188</v>
      </c>
      <c r="B1386" s="402"/>
      <c r="C1386" s="39" t="s">
        <v>1512</v>
      </c>
      <c r="D1386" s="39" t="s">
        <v>6804</v>
      </c>
      <c r="E1386" s="43">
        <v>28060</v>
      </c>
      <c r="F1386" s="43"/>
      <c r="G1386" s="364">
        <f t="shared" si="4"/>
        <v>10466</v>
      </c>
      <c r="H1386" s="391" t="s">
        <v>9568</v>
      </c>
    </row>
    <row r="1387" spans="1:8" x14ac:dyDescent="0.3">
      <c r="A1387" s="45">
        <v>44189</v>
      </c>
      <c r="B1387" s="322"/>
      <c r="C1387" s="44" t="s">
        <v>1787</v>
      </c>
      <c r="D1387" s="92" t="s">
        <v>6805</v>
      </c>
      <c r="E1387" s="28">
        <v>1500</v>
      </c>
      <c r="F1387" s="43"/>
      <c r="G1387" s="364">
        <f t="shared" si="4"/>
        <v>8966</v>
      </c>
      <c r="H1387" s="391" t="s">
        <v>9568</v>
      </c>
    </row>
    <row r="1388" spans="1:8" x14ac:dyDescent="0.3">
      <c r="A1388" s="45">
        <v>44189</v>
      </c>
      <c r="B1388" s="399"/>
      <c r="C1388" s="5" t="s">
        <v>5846</v>
      </c>
      <c r="D1388" s="5" t="s">
        <v>6808</v>
      </c>
      <c r="E1388" s="43">
        <v>300</v>
      </c>
      <c r="F1388" s="43"/>
      <c r="G1388" s="364">
        <f t="shared" si="4"/>
        <v>8666</v>
      </c>
      <c r="H1388" s="391" t="s">
        <v>9568</v>
      </c>
    </row>
    <row r="1389" spans="1:8" x14ac:dyDescent="0.3">
      <c r="A1389" s="45">
        <v>44191</v>
      </c>
      <c r="B1389" s="409"/>
      <c r="C1389" s="61" t="s">
        <v>84</v>
      </c>
      <c r="D1389" s="61" t="s">
        <v>6813</v>
      </c>
      <c r="E1389" s="62">
        <v>500</v>
      </c>
      <c r="F1389" s="43"/>
      <c r="G1389" s="364">
        <f t="shared" si="4"/>
        <v>8166</v>
      </c>
      <c r="H1389" s="391" t="s">
        <v>9568</v>
      </c>
    </row>
    <row r="1390" spans="1:8" x14ac:dyDescent="0.3">
      <c r="A1390" s="45">
        <v>44191</v>
      </c>
      <c r="B1390" s="399"/>
      <c r="C1390" s="5" t="s">
        <v>18</v>
      </c>
      <c r="D1390" s="5" t="s">
        <v>640</v>
      </c>
      <c r="E1390" s="43">
        <v>680</v>
      </c>
      <c r="F1390" s="43"/>
      <c r="G1390" s="364">
        <f t="shared" si="4"/>
        <v>7486</v>
      </c>
      <c r="H1390" s="391" t="s">
        <v>9568</v>
      </c>
    </row>
    <row r="1391" spans="1:8" x14ac:dyDescent="0.3">
      <c r="A1391" s="45">
        <v>44193</v>
      </c>
      <c r="B1391" s="399"/>
      <c r="C1391" s="5" t="s">
        <v>25</v>
      </c>
      <c r="D1391" s="5" t="s">
        <v>6361</v>
      </c>
      <c r="E1391" s="43">
        <f>700+140+250+580+160+290+50+40+250</f>
        <v>2460</v>
      </c>
      <c r="F1391" s="43"/>
      <c r="G1391" s="364">
        <f t="shared" si="4"/>
        <v>5026</v>
      </c>
      <c r="H1391" s="391" t="s">
        <v>9568</v>
      </c>
    </row>
    <row r="1392" spans="1:8" x14ac:dyDescent="0.3">
      <c r="A1392" s="45">
        <v>44193</v>
      </c>
      <c r="B1392" s="399"/>
      <c r="C1392" s="5" t="s">
        <v>11</v>
      </c>
      <c r="D1392" s="5" t="s">
        <v>6811</v>
      </c>
      <c r="E1392" s="43">
        <v>750</v>
      </c>
      <c r="F1392" s="43"/>
      <c r="G1392" s="364">
        <f t="shared" si="4"/>
        <v>4276</v>
      </c>
      <c r="H1392" s="391" t="s">
        <v>9568</v>
      </c>
    </row>
    <row r="1393" spans="1:8" x14ac:dyDescent="0.3">
      <c r="A1393" s="45">
        <v>44193</v>
      </c>
      <c r="B1393" s="399"/>
      <c r="C1393" s="5" t="s">
        <v>1074</v>
      </c>
      <c r="D1393" s="5" t="s">
        <v>6812</v>
      </c>
      <c r="E1393" s="43">
        <f>480+560</f>
        <v>1040</v>
      </c>
      <c r="F1393" s="43"/>
      <c r="G1393" s="364">
        <f t="shared" si="4"/>
        <v>3236</v>
      </c>
      <c r="H1393" s="391" t="s">
        <v>9568</v>
      </c>
    </row>
    <row r="1394" spans="1:8" x14ac:dyDescent="0.3">
      <c r="A1394" s="45">
        <v>44193</v>
      </c>
      <c r="B1394" s="399"/>
      <c r="C1394" s="5" t="s">
        <v>14</v>
      </c>
      <c r="D1394" s="5" t="s">
        <v>6715</v>
      </c>
      <c r="E1394" s="43">
        <v>1358</v>
      </c>
      <c r="F1394" s="43"/>
      <c r="G1394" s="364">
        <f t="shared" si="4"/>
        <v>1878</v>
      </c>
      <c r="H1394" s="391" t="s">
        <v>9568</v>
      </c>
    </row>
    <row r="1395" spans="1:8" x14ac:dyDescent="0.3">
      <c r="A1395" s="45">
        <v>44194</v>
      </c>
      <c r="B1395" s="399"/>
      <c r="C1395" s="5" t="s">
        <v>5156</v>
      </c>
      <c r="D1395" s="5" t="s">
        <v>6814</v>
      </c>
      <c r="E1395" s="43">
        <v>500</v>
      </c>
      <c r="F1395" s="43"/>
      <c r="G1395" s="364">
        <f t="shared" si="4"/>
        <v>1378</v>
      </c>
      <c r="H1395" s="391" t="s">
        <v>9568</v>
      </c>
    </row>
    <row r="1396" spans="1:8" x14ac:dyDescent="0.3">
      <c r="A1396" s="45">
        <v>44194</v>
      </c>
      <c r="B1396" s="399"/>
      <c r="C1396" s="5" t="s">
        <v>25</v>
      </c>
      <c r="D1396" s="5" t="s">
        <v>6361</v>
      </c>
      <c r="E1396" s="43">
        <f>100+200</f>
        <v>300</v>
      </c>
      <c r="F1396" s="43"/>
      <c r="G1396" s="364">
        <f t="shared" si="4"/>
        <v>1078</v>
      </c>
      <c r="H1396" s="391" t="s">
        <v>9568</v>
      </c>
    </row>
    <row r="1397" spans="1:8" x14ac:dyDescent="0.3">
      <c r="A1397" s="45">
        <v>44194</v>
      </c>
      <c r="B1397" s="580"/>
      <c r="C1397" s="554" t="s">
        <v>4106</v>
      </c>
      <c r="D1397" s="554"/>
      <c r="E1397" s="554"/>
      <c r="F1397" s="43">
        <v>50000</v>
      </c>
      <c r="G1397" s="364">
        <f t="shared" si="4"/>
        <v>51078</v>
      </c>
      <c r="H1397" s="391" t="s">
        <v>9568</v>
      </c>
    </row>
    <row r="1398" spans="1:8" x14ac:dyDescent="0.3">
      <c r="A1398" s="45">
        <v>44194</v>
      </c>
      <c r="B1398" s="399"/>
      <c r="C1398" s="5" t="s">
        <v>84</v>
      </c>
      <c r="D1398" s="5" t="s">
        <v>6815</v>
      </c>
      <c r="E1398" s="43">
        <v>2000</v>
      </c>
      <c r="F1398" s="43"/>
      <c r="G1398" s="364">
        <f t="shared" si="4"/>
        <v>49078</v>
      </c>
      <c r="H1398" s="391" t="s">
        <v>9568</v>
      </c>
    </row>
    <row r="1399" spans="1:8" x14ac:dyDescent="0.3">
      <c r="A1399" s="45">
        <v>44194</v>
      </c>
      <c r="B1399" s="399"/>
      <c r="C1399" s="5" t="s">
        <v>18</v>
      </c>
      <c r="D1399" s="5" t="s">
        <v>6816</v>
      </c>
      <c r="E1399" s="43">
        <v>3000</v>
      </c>
      <c r="F1399" s="43"/>
      <c r="G1399" s="364">
        <f t="shared" si="4"/>
        <v>46078</v>
      </c>
      <c r="H1399" s="391" t="s">
        <v>9568</v>
      </c>
    </row>
    <row r="1400" spans="1:8" x14ac:dyDescent="0.3">
      <c r="A1400" s="147">
        <v>44195</v>
      </c>
      <c r="B1400" s="421"/>
      <c r="C1400" s="78" t="s">
        <v>6614</v>
      </c>
      <c r="D1400" s="78" t="s">
        <v>6817</v>
      </c>
      <c r="E1400" s="77">
        <v>3500</v>
      </c>
      <c r="F1400" s="77"/>
      <c r="G1400" s="365">
        <f t="shared" si="4"/>
        <v>42578</v>
      </c>
      <c r="H1400" s="391" t="s">
        <v>9568</v>
      </c>
    </row>
    <row r="1401" spans="1:8" x14ac:dyDescent="0.3">
      <c r="A1401" s="45">
        <v>44195</v>
      </c>
      <c r="B1401" s="399"/>
      <c r="C1401" s="5" t="s">
        <v>25</v>
      </c>
      <c r="D1401" s="5" t="s">
        <v>2025</v>
      </c>
      <c r="E1401" s="43">
        <v>50</v>
      </c>
      <c r="F1401" s="43"/>
      <c r="G1401" s="364">
        <f t="shared" si="4"/>
        <v>42528</v>
      </c>
      <c r="H1401" s="391" t="s">
        <v>9568</v>
      </c>
    </row>
    <row r="1402" spans="1:8" x14ac:dyDescent="0.3">
      <c r="A1402" s="45">
        <v>44195</v>
      </c>
      <c r="B1402" s="399"/>
      <c r="C1402" s="5" t="s">
        <v>3559</v>
      </c>
      <c r="D1402" s="5" t="s">
        <v>91</v>
      </c>
      <c r="E1402" s="43">
        <v>650</v>
      </c>
      <c r="F1402" s="43"/>
      <c r="G1402" s="364">
        <f t="shared" si="4"/>
        <v>41878</v>
      </c>
      <c r="H1402" s="391" t="s">
        <v>9568</v>
      </c>
    </row>
    <row r="1403" spans="1:8" x14ac:dyDescent="0.3">
      <c r="A1403" s="45">
        <v>44195</v>
      </c>
      <c r="B1403" s="402"/>
      <c r="C1403" s="39" t="s">
        <v>1512</v>
      </c>
      <c r="D1403" s="39" t="s">
        <v>4257</v>
      </c>
      <c r="E1403" s="43">
        <v>16000</v>
      </c>
      <c r="F1403" s="43"/>
      <c r="G1403" s="364">
        <f t="shared" si="4"/>
        <v>25878</v>
      </c>
      <c r="H1403" s="391" t="s">
        <v>9568</v>
      </c>
    </row>
    <row r="1404" spans="1:8" x14ac:dyDescent="0.3">
      <c r="A1404" s="45">
        <v>44195</v>
      </c>
      <c r="B1404" s="399"/>
      <c r="C1404" s="5" t="s">
        <v>84</v>
      </c>
      <c r="D1404" s="5" t="s">
        <v>6818</v>
      </c>
      <c r="E1404" s="65">
        <v>15000</v>
      </c>
      <c r="F1404" s="65"/>
      <c r="G1404" s="364">
        <f t="shared" si="4"/>
        <v>10878</v>
      </c>
      <c r="H1404" s="391" t="s">
        <v>9568</v>
      </c>
    </row>
    <row r="1405" spans="1:8" x14ac:dyDescent="0.3">
      <c r="A1405" s="45">
        <v>44195</v>
      </c>
      <c r="B1405" s="399"/>
      <c r="C1405" s="5" t="s">
        <v>5162</v>
      </c>
      <c r="D1405" s="5" t="s">
        <v>6819</v>
      </c>
      <c r="E1405" s="65">
        <v>5000</v>
      </c>
      <c r="F1405" s="65"/>
      <c r="G1405" s="364">
        <f t="shared" si="4"/>
        <v>5878</v>
      </c>
      <c r="H1405" s="391" t="s">
        <v>9568</v>
      </c>
    </row>
    <row r="1406" spans="1:8" x14ac:dyDescent="0.3">
      <c r="A1406" s="45">
        <v>44196</v>
      </c>
      <c r="B1406" s="399"/>
      <c r="C1406" s="5" t="s">
        <v>1837</v>
      </c>
      <c r="D1406" s="5" t="s">
        <v>6821</v>
      </c>
      <c r="E1406" s="65">
        <v>1000</v>
      </c>
      <c r="F1406" s="65"/>
      <c r="G1406" s="364">
        <f t="shared" si="4"/>
        <v>4878</v>
      </c>
      <c r="H1406" s="391" t="s">
        <v>9568</v>
      </c>
    </row>
    <row r="1407" spans="1:8" x14ac:dyDescent="0.3">
      <c r="A1407" s="45">
        <v>44196</v>
      </c>
      <c r="B1407" s="399"/>
      <c r="C1407" s="5" t="s">
        <v>84</v>
      </c>
      <c r="D1407" s="5" t="s">
        <v>6822</v>
      </c>
      <c r="E1407" s="65">
        <v>500</v>
      </c>
      <c r="F1407" s="65"/>
      <c r="G1407" s="364">
        <f t="shared" si="4"/>
        <v>4378</v>
      </c>
      <c r="H1407" s="391" t="s">
        <v>9568</v>
      </c>
    </row>
    <row r="1408" spans="1:8" x14ac:dyDescent="0.3">
      <c r="A1408" s="45">
        <v>43832</v>
      </c>
      <c r="B1408" s="580"/>
      <c r="C1408" s="554" t="s">
        <v>6823</v>
      </c>
      <c r="D1408" s="554"/>
      <c r="E1408" s="554"/>
      <c r="F1408" s="43">
        <v>30550</v>
      </c>
      <c r="G1408" s="364">
        <f t="shared" si="4"/>
        <v>34928</v>
      </c>
      <c r="H1408" s="391" t="s">
        <v>9568</v>
      </c>
    </row>
    <row r="1409" spans="1:10" ht="24.6" customHeight="1" x14ac:dyDescent="0.3">
      <c r="A1409" s="45">
        <v>43832</v>
      </c>
      <c r="B1409" s="399"/>
      <c r="C1409" s="5" t="s">
        <v>6430</v>
      </c>
      <c r="D1409" s="5" t="s">
        <v>3611</v>
      </c>
      <c r="E1409" s="43">
        <v>5000</v>
      </c>
      <c r="F1409" s="43"/>
      <c r="G1409" s="364">
        <f t="shared" si="4"/>
        <v>29928</v>
      </c>
      <c r="H1409" s="391" t="s">
        <v>9568</v>
      </c>
    </row>
    <row r="1410" spans="1:10" x14ac:dyDescent="0.3">
      <c r="A1410" s="45">
        <v>43832</v>
      </c>
      <c r="B1410" s="399"/>
      <c r="C1410" s="5" t="s">
        <v>6572</v>
      </c>
      <c r="D1410" s="5" t="s">
        <v>5508</v>
      </c>
      <c r="E1410" s="43">
        <v>10700</v>
      </c>
      <c r="F1410" s="43"/>
      <c r="G1410" s="364">
        <f t="shared" si="4"/>
        <v>19228</v>
      </c>
      <c r="H1410" s="391" t="s">
        <v>9568</v>
      </c>
    </row>
    <row r="1411" spans="1:10" x14ac:dyDescent="0.3">
      <c r="A1411" s="45">
        <v>43832</v>
      </c>
      <c r="B1411" s="399"/>
      <c r="C1411" s="5" t="s">
        <v>6614</v>
      </c>
      <c r="D1411" s="5" t="s">
        <v>6824</v>
      </c>
      <c r="E1411" s="43">
        <v>7000</v>
      </c>
      <c r="F1411" s="43"/>
      <c r="G1411" s="364">
        <f t="shared" si="4"/>
        <v>12228</v>
      </c>
      <c r="H1411" s="391" t="s">
        <v>9568</v>
      </c>
    </row>
    <row r="1412" spans="1:10" x14ac:dyDescent="0.3">
      <c r="A1412" s="45">
        <v>43832</v>
      </c>
      <c r="B1412" s="399"/>
      <c r="C1412" s="5" t="s">
        <v>25</v>
      </c>
      <c r="D1412" s="5" t="s">
        <v>2025</v>
      </c>
      <c r="E1412" s="43">
        <v>100</v>
      </c>
      <c r="F1412" s="43"/>
      <c r="G1412" s="364">
        <f t="shared" si="4"/>
        <v>12128</v>
      </c>
      <c r="H1412" s="391" t="s">
        <v>9568</v>
      </c>
    </row>
    <row r="1413" spans="1:10" x14ac:dyDescent="0.3">
      <c r="A1413" s="45">
        <v>43832</v>
      </c>
      <c r="B1413" s="399"/>
      <c r="C1413" s="5" t="s">
        <v>1616</v>
      </c>
      <c r="D1413" s="5" t="s">
        <v>6825</v>
      </c>
      <c r="E1413" s="43">
        <v>6000</v>
      </c>
      <c r="F1413" s="43"/>
      <c r="G1413" s="364">
        <f t="shared" si="4"/>
        <v>6128</v>
      </c>
      <c r="H1413" s="391" t="s">
        <v>9568</v>
      </c>
    </row>
    <row r="1414" spans="1:10" x14ac:dyDescent="0.3">
      <c r="A1414" s="45">
        <v>43834</v>
      </c>
      <c r="B1414" s="399"/>
      <c r="C1414" s="5" t="s">
        <v>64</v>
      </c>
      <c r="D1414" s="5" t="s">
        <v>4731</v>
      </c>
      <c r="E1414" s="43">
        <v>3000</v>
      </c>
      <c r="F1414" s="43"/>
      <c r="G1414" s="364">
        <f t="shared" si="4"/>
        <v>3128</v>
      </c>
      <c r="H1414" s="391" t="s">
        <v>9568</v>
      </c>
    </row>
    <row r="1415" spans="1:10" x14ac:dyDescent="0.3">
      <c r="A1415" s="45">
        <v>43834</v>
      </c>
      <c r="B1415" s="580"/>
      <c r="C1415" s="554" t="s">
        <v>4415</v>
      </c>
      <c r="D1415" s="554"/>
      <c r="E1415" s="554"/>
      <c r="F1415" s="43">
        <v>390000</v>
      </c>
      <c r="G1415" s="364">
        <f t="shared" ref="G1415:G1539" si="5">G1414+F1415-E1415</f>
        <v>393128</v>
      </c>
      <c r="H1415" s="391" t="s">
        <v>9568</v>
      </c>
    </row>
    <row r="1416" spans="1:10" x14ac:dyDescent="0.3">
      <c r="A1416" s="45">
        <v>43834</v>
      </c>
      <c r="B1416" s="399"/>
      <c r="C1416" s="5" t="s">
        <v>4550</v>
      </c>
      <c r="D1416" s="61" t="s">
        <v>6828</v>
      </c>
      <c r="E1416" s="43">
        <v>20000</v>
      </c>
      <c r="F1416" s="43"/>
      <c r="G1416" s="364">
        <f t="shared" si="5"/>
        <v>373128</v>
      </c>
      <c r="H1416" s="391" t="s">
        <v>9568</v>
      </c>
    </row>
    <row r="1417" spans="1:10" x14ac:dyDescent="0.3">
      <c r="A1417" s="45">
        <v>43834</v>
      </c>
      <c r="B1417" s="399"/>
      <c r="C1417" s="5" t="s">
        <v>4550</v>
      </c>
      <c r="D1417" s="5" t="s">
        <v>6834</v>
      </c>
      <c r="E1417" s="43">
        <v>5500</v>
      </c>
      <c r="F1417" s="43"/>
      <c r="G1417" s="364">
        <f t="shared" si="5"/>
        <v>367628</v>
      </c>
      <c r="H1417" s="391" t="s">
        <v>9568</v>
      </c>
    </row>
    <row r="1418" spans="1:10" x14ac:dyDescent="0.3">
      <c r="A1418" s="45">
        <v>43834</v>
      </c>
      <c r="B1418" s="402"/>
      <c r="C1418" s="39" t="s">
        <v>1512</v>
      </c>
      <c r="D1418" s="39" t="s">
        <v>6829</v>
      </c>
      <c r="E1418" s="43">
        <v>5600</v>
      </c>
      <c r="F1418" s="43"/>
      <c r="G1418" s="364">
        <f t="shared" si="5"/>
        <v>362028</v>
      </c>
      <c r="H1418" s="391" t="s">
        <v>9568</v>
      </c>
    </row>
    <row r="1419" spans="1:10" x14ac:dyDescent="0.3">
      <c r="A1419" s="45">
        <v>43834</v>
      </c>
      <c r="B1419" s="399"/>
      <c r="C1419" s="5" t="s">
        <v>2948</v>
      </c>
      <c r="D1419" s="5" t="s">
        <v>2128</v>
      </c>
      <c r="E1419" s="43">
        <v>20000</v>
      </c>
      <c r="F1419" s="43"/>
      <c r="G1419" s="364">
        <f t="shared" si="5"/>
        <v>342028</v>
      </c>
      <c r="H1419" s="391" t="s">
        <v>9568</v>
      </c>
    </row>
    <row r="1420" spans="1:10" x14ac:dyDescent="0.3">
      <c r="A1420" s="45">
        <v>43834</v>
      </c>
      <c r="B1420" s="399"/>
      <c r="C1420" s="5" t="s">
        <v>541</v>
      </c>
      <c r="D1420" s="5" t="s">
        <v>543</v>
      </c>
      <c r="E1420" s="43">
        <v>20000</v>
      </c>
      <c r="F1420" s="43"/>
      <c r="G1420" s="364">
        <f t="shared" si="5"/>
        <v>322028</v>
      </c>
      <c r="H1420" s="391" t="s">
        <v>9568</v>
      </c>
    </row>
    <row r="1421" spans="1:10" x14ac:dyDescent="0.3">
      <c r="A1421" s="45">
        <v>43834</v>
      </c>
      <c r="B1421" s="402"/>
      <c r="C1421" s="39" t="s">
        <v>1512</v>
      </c>
      <c r="D1421" s="39" t="s">
        <v>6830</v>
      </c>
      <c r="E1421" s="43">
        <v>11023</v>
      </c>
      <c r="F1421" s="43"/>
      <c r="G1421" s="364">
        <f t="shared" si="5"/>
        <v>311005</v>
      </c>
      <c r="H1421" s="391" t="s">
        <v>9568</v>
      </c>
    </row>
    <row r="1422" spans="1:10" x14ac:dyDescent="0.3">
      <c r="A1422" s="45">
        <v>43834</v>
      </c>
      <c r="B1422" s="399"/>
      <c r="C1422" s="5" t="s">
        <v>0</v>
      </c>
      <c r="D1422" s="5" t="s">
        <v>6831</v>
      </c>
      <c r="E1422" s="43">
        <v>5000</v>
      </c>
      <c r="F1422" s="43"/>
      <c r="G1422" s="364">
        <f t="shared" si="5"/>
        <v>306005</v>
      </c>
      <c r="H1422" s="391" t="s">
        <v>9568</v>
      </c>
      <c r="I1422" s="249"/>
      <c r="J1422" s="43"/>
    </row>
    <row r="1423" spans="1:10" x14ac:dyDescent="0.3">
      <c r="A1423" s="45">
        <v>43834</v>
      </c>
      <c r="B1423" s="399"/>
      <c r="C1423" s="5" t="s">
        <v>18</v>
      </c>
      <c r="D1423" s="5" t="s">
        <v>6832</v>
      </c>
      <c r="E1423" s="43">
        <v>2000</v>
      </c>
      <c r="F1423" s="43"/>
      <c r="G1423" s="364">
        <f t="shared" si="5"/>
        <v>304005</v>
      </c>
      <c r="H1423" s="391" t="s">
        <v>9568</v>
      </c>
      <c r="I1423" s="249"/>
      <c r="J1423" s="43"/>
    </row>
    <row r="1424" spans="1:10" x14ac:dyDescent="0.3">
      <c r="A1424" s="147">
        <v>43834</v>
      </c>
      <c r="B1424" s="422"/>
      <c r="C1424" s="242" t="s">
        <v>1512</v>
      </c>
      <c r="D1424" s="242" t="s">
        <v>6833</v>
      </c>
      <c r="E1424" s="77">
        <v>37840</v>
      </c>
      <c r="F1424" s="77"/>
      <c r="G1424" s="365">
        <f t="shared" si="5"/>
        <v>266165</v>
      </c>
      <c r="H1424" s="391" t="s">
        <v>9568</v>
      </c>
      <c r="I1424" s="249"/>
      <c r="J1424" s="43"/>
    </row>
    <row r="1425" spans="1:10" x14ac:dyDescent="0.3">
      <c r="A1425" s="45">
        <v>43835</v>
      </c>
      <c r="B1425" s="399"/>
      <c r="C1425" s="5" t="s">
        <v>1787</v>
      </c>
      <c r="D1425" s="5" t="s">
        <v>6835</v>
      </c>
      <c r="E1425" s="43">
        <v>1700</v>
      </c>
      <c r="F1425" s="43"/>
      <c r="G1425" s="364">
        <f t="shared" si="5"/>
        <v>264465</v>
      </c>
      <c r="H1425" s="391" t="s">
        <v>9568</v>
      </c>
      <c r="I1425" s="249"/>
      <c r="J1425" s="43"/>
    </row>
    <row r="1426" spans="1:10" x14ac:dyDescent="0.3">
      <c r="A1426" s="45">
        <v>43835</v>
      </c>
      <c r="B1426" s="399"/>
      <c r="C1426" s="5" t="s">
        <v>14</v>
      </c>
      <c r="D1426" s="5" t="s">
        <v>294</v>
      </c>
      <c r="E1426" s="43">
        <v>50000</v>
      </c>
      <c r="F1426" s="43"/>
      <c r="G1426" s="364">
        <f t="shared" si="5"/>
        <v>214465</v>
      </c>
      <c r="H1426" s="391" t="s">
        <v>9568</v>
      </c>
      <c r="I1426" s="249"/>
      <c r="J1426" s="43"/>
    </row>
    <row r="1427" spans="1:10" x14ac:dyDescent="0.3">
      <c r="A1427" s="45">
        <v>43835</v>
      </c>
      <c r="B1427" s="399"/>
      <c r="C1427" s="5" t="s">
        <v>6341</v>
      </c>
      <c r="D1427" s="5" t="s">
        <v>6836</v>
      </c>
      <c r="E1427" s="43">
        <v>12800</v>
      </c>
      <c r="F1427" s="43"/>
      <c r="G1427" s="364">
        <f t="shared" si="5"/>
        <v>201665</v>
      </c>
      <c r="H1427" s="391" t="s">
        <v>9568</v>
      </c>
      <c r="I1427" s="249"/>
      <c r="J1427" s="43"/>
    </row>
    <row r="1428" spans="1:10" x14ac:dyDescent="0.3">
      <c r="A1428" s="45">
        <v>43835</v>
      </c>
      <c r="B1428" s="399"/>
      <c r="C1428" s="5" t="s">
        <v>6341</v>
      </c>
      <c r="D1428" s="5" t="s">
        <v>4703</v>
      </c>
      <c r="E1428" s="43">
        <v>5100</v>
      </c>
      <c r="F1428" s="43"/>
      <c r="G1428" s="364">
        <f t="shared" si="5"/>
        <v>196565</v>
      </c>
      <c r="H1428" s="391" t="s">
        <v>9568</v>
      </c>
      <c r="I1428" s="249"/>
      <c r="J1428" s="43"/>
    </row>
    <row r="1429" spans="1:10" x14ac:dyDescent="0.3">
      <c r="A1429" s="45">
        <v>43835</v>
      </c>
      <c r="B1429" s="399"/>
      <c r="C1429" s="5" t="s">
        <v>4869</v>
      </c>
      <c r="D1429" s="5" t="s">
        <v>40</v>
      </c>
      <c r="E1429" s="43">
        <v>4370</v>
      </c>
      <c r="F1429" s="43"/>
      <c r="G1429" s="364">
        <f>G1428+F1429-E1429</f>
        <v>192195</v>
      </c>
      <c r="H1429" s="391" t="s">
        <v>9568</v>
      </c>
    </row>
    <row r="1430" spans="1:10" x14ac:dyDescent="0.3">
      <c r="A1430" s="45">
        <v>43835</v>
      </c>
      <c r="B1430" s="399"/>
      <c r="C1430" s="5" t="s">
        <v>4946</v>
      </c>
      <c r="D1430" s="5" t="s">
        <v>6332</v>
      </c>
      <c r="E1430" s="43">
        <v>526</v>
      </c>
      <c r="F1430" s="43"/>
      <c r="G1430" s="364">
        <f t="shared" si="5"/>
        <v>191669</v>
      </c>
      <c r="H1430" s="391" t="s">
        <v>9568</v>
      </c>
    </row>
    <row r="1431" spans="1:10" x14ac:dyDescent="0.3">
      <c r="A1431" s="45">
        <v>43835</v>
      </c>
      <c r="B1431" s="580"/>
      <c r="C1431" s="554" t="s">
        <v>4415</v>
      </c>
      <c r="D1431" s="554"/>
      <c r="E1431" s="554"/>
      <c r="F1431" s="43">
        <v>500000</v>
      </c>
      <c r="G1431" s="364">
        <f t="shared" si="5"/>
        <v>691669</v>
      </c>
      <c r="H1431" s="391" t="s">
        <v>9568</v>
      </c>
    </row>
    <row r="1432" spans="1:10" x14ac:dyDescent="0.3">
      <c r="A1432" s="45">
        <v>43835</v>
      </c>
      <c r="B1432" s="399"/>
      <c r="C1432" s="5" t="s">
        <v>6837</v>
      </c>
      <c r="D1432" s="5" t="s">
        <v>6838</v>
      </c>
      <c r="E1432" s="43">
        <v>100000</v>
      </c>
      <c r="F1432" s="43"/>
      <c r="G1432" s="364">
        <f t="shared" si="5"/>
        <v>591669</v>
      </c>
      <c r="H1432" s="391" t="s">
        <v>9568</v>
      </c>
    </row>
    <row r="1433" spans="1:10" x14ac:dyDescent="0.3">
      <c r="A1433" s="45">
        <v>43835</v>
      </c>
      <c r="B1433" s="399"/>
      <c r="C1433" s="5" t="s">
        <v>4055</v>
      </c>
      <c r="D1433" s="5" t="s">
        <v>6839</v>
      </c>
      <c r="E1433" s="43">
        <v>200</v>
      </c>
      <c r="F1433" s="43"/>
      <c r="G1433" s="364">
        <f t="shared" si="5"/>
        <v>591469</v>
      </c>
      <c r="H1433" s="391" t="s">
        <v>9568</v>
      </c>
    </row>
    <row r="1434" spans="1:10" x14ac:dyDescent="0.3">
      <c r="A1434" s="45">
        <v>43835</v>
      </c>
      <c r="B1434" s="399"/>
      <c r="C1434" s="5" t="s">
        <v>6840</v>
      </c>
      <c r="D1434" s="5" t="s">
        <v>6841</v>
      </c>
      <c r="E1434" s="43">
        <v>38000</v>
      </c>
      <c r="F1434" s="43"/>
      <c r="G1434" s="364">
        <f t="shared" si="5"/>
        <v>553469</v>
      </c>
      <c r="H1434" s="391" t="s">
        <v>9568</v>
      </c>
    </row>
    <row r="1435" spans="1:10" ht="37.5" x14ac:dyDescent="0.3">
      <c r="A1435" s="45">
        <v>43836</v>
      </c>
      <c r="B1435" s="409"/>
      <c r="C1435" s="61" t="s">
        <v>1837</v>
      </c>
      <c r="D1435" s="132" t="s">
        <v>6843</v>
      </c>
      <c r="E1435" s="62">
        <v>1000</v>
      </c>
      <c r="F1435" s="43"/>
      <c r="G1435" s="364">
        <f t="shared" si="5"/>
        <v>552469</v>
      </c>
      <c r="H1435" s="391" t="s">
        <v>9568</v>
      </c>
    </row>
    <row r="1436" spans="1:10" x14ac:dyDescent="0.3">
      <c r="A1436" s="45">
        <v>43836</v>
      </c>
      <c r="B1436" s="399"/>
      <c r="C1436" s="5" t="s">
        <v>14</v>
      </c>
      <c r="D1436" s="5" t="s">
        <v>294</v>
      </c>
      <c r="E1436" s="43">
        <v>50000</v>
      </c>
      <c r="F1436" s="43"/>
      <c r="G1436" s="364">
        <f t="shared" si="5"/>
        <v>502469</v>
      </c>
      <c r="H1436" s="391" t="s">
        <v>9568</v>
      </c>
    </row>
    <row r="1437" spans="1:10" x14ac:dyDescent="0.3">
      <c r="A1437" s="45">
        <v>43836</v>
      </c>
      <c r="B1437" s="399"/>
      <c r="C1437" s="5" t="s">
        <v>25</v>
      </c>
      <c r="D1437" s="5" t="s">
        <v>6854</v>
      </c>
      <c r="E1437" s="43">
        <v>1000</v>
      </c>
      <c r="F1437" s="43"/>
      <c r="G1437" s="364">
        <f t="shared" si="5"/>
        <v>501469</v>
      </c>
      <c r="H1437" s="391" t="s">
        <v>9568</v>
      </c>
    </row>
    <row r="1438" spans="1:10" x14ac:dyDescent="0.3">
      <c r="A1438" s="45">
        <v>43836</v>
      </c>
      <c r="B1438" s="402"/>
      <c r="C1438" s="39" t="s">
        <v>1512</v>
      </c>
      <c r="D1438" s="39" t="s">
        <v>6546</v>
      </c>
      <c r="E1438" s="43">
        <v>119633</v>
      </c>
      <c r="F1438" s="43"/>
      <c r="G1438" s="364">
        <f t="shared" si="5"/>
        <v>381836</v>
      </c>
      <c r="H1438" s="391" t="s">
        <v>9568</v>
      </c>
    </row>
    <row r="1439" spans="1:10" x14ac:dyDescent="0.3">
      <c r="A1439" s="45">
        <v>43836</v>
      </c>
      <c r="B1439" s="402"/>
      <c r="C1439" s="39" t="s">
        <v>1512</v>
      </c>
      <c r="D1439" s="39" t="s">
        <v>6842</v>
      </c>
      <c r="E1439" s="43">
        <f>31000+35000</f>
        <v>66000</v>
      </c>
      <c r="F1439" s="43"/>
      <c r="G1439" s="364">
        <f t="shared" si="5"/>
        <v>315836</v>
      </c>
      <c r="H1439" s="391" t="s">
        <v>9568</v>
      </c>
    </row>
    <row r="1440" spans="1:10" x14ac:dyDescent="0.3">
      <c r="A1440" s="45">
        <v>43837</v>
      </c>
      <c r="B1440" s="401"/>
      <c r="C1440" s="73" t="s">
        <v>25</v>
      </c>
      <c r="D1440" s="73" t="s">
        <v>6844</v>
      </c>
      <c r="E1440" s="183">
        <v>180</v>
      </c>
      <c r="F1440" s="183"/>
      <c r="G1440" s="364">
        <f t="shared" si="5"/>
        <v>315656</v>
      </c>
      <c r="H1440" s="391" t="s">
        <v>9568</v>
      </c>
    </row>
    <row r="1441" spans="1:8" x14ac:dyDescent="0.3">
      <c r="A1441" s="45">
        <v>43837</v>
      </c>
      <c r="B1441" s="402"/>
      <c r="C1441" s="39" t="s">
        <v>1512</v>
      </c>
      <c r="D1441" s="39" t="s">
        <v>6387</v>
      </c>
      <c r="E1441" s="43">
        <v>98246</v>
      </c>
      <c r="F1441" s="43"/>
      <c r="G1441" s="364">
        <f t="shared" si="5"/>
        <v>217410</v>
      </c>
      <c r="H1441" s="391" t="s">
        <v>9568</v>
      </c>
    </row>
    <row r="1442" spans="1:8" x14ac:dyDescent="0.3">
      <c r="A1442" s="45">
        <v>43837</v>
      </c>
      <c r="B1442" s="402"/>
      <c r="C1442" s="39" t="s">
        <v>1512</v>
      </c>
      <c r="D1442" s="39" t="s">
        <v>6852</v>
      </c>
      <c r="E1442" s="183">
        <v>61645</v>
      </c>
      <c r="F1442" s="183"/>
      <c r="G1442" s="364">
        <f t="shared" si="5"/>
        <v>155765</v>
      </c>
      <c r="H1442" s="391" t="s">
        <v>9568</v>
      </c>
    </row>
    <row r="1443" spans="1:8" x14ac:dyDescent="0.3">
      <c r="A1443" s="45">
        <v>43837</v>
      </c>
      <c r="B1443" s="401"/>
      <c r="C1443" s="73" t="s">
        <v>6145</v>
      </c>
      <c r="D1443" s="73" t="s">
        <v>6845</v>
      </c>
      <c r="E1443" s="183">
        <v>50000</v>
      </c>
      <c r="F1443" s="183"/>
      <c r="G1443" s="364">
        <f t="shared" si="5"/>
        <v>105765</v>
      </c>
      <c r="H1443" s="391" t="s">
        <v>9568</v>
      </c>
    </row>
    <row r="1444" spans="1:8" x14ac:dyDescent="0.3">
      <c r="A1444" s="45">
        <v>43837</v>
      </c>
      <c r="B1444" s="402"/>
      <c r="C1444" s="39" t="s">
        <v>1512</v>
      </c>
      <c r="D1444" s="73" t="s">
        <v>6678</v>
      </c>
      <c r="E1444" s="183">
        <v>39516</v>
      </c>
      <c r="F1444" s="183"/>
      <c r="G1444" s="364">
        <f t="shared" si="5"/>
        <v>66249</v>
      </c>
      <c r="H1444" s="391" t="s">
        <v>9568</v>
      </c>
    </row>
    <row r="1445" spans="1:8" x14ac:dyDescent="0.3">
      <c r="A1445" s="45">
        <v>43837</v>
      </c>
      <c r="B1445" s="402"/>
      <c r="C1445" s="39" t="s">
        <v>1512</v>
      </c>
      <c r="D1445" s="73" t="s">
        <v>6853</v>
      </c>
      <c r="E1445" s="183">
        <v>48484</v>
      </c>
      <c r="F1445" s="183"/>
      <c r="G1445" s="364">
        <f t="shared" si="5"/>
        <v>17765</v>
      </c>
      <c r="H1445" s="391" t="s">
        <v>9568</v>
      </c>
    </row>
    <row r="1446" spans="1:8" x14ac:dyDescent="0.3">
      <c r="A1446" s="45">
        <v>43837</v>
      </c>
      <c r="B1446" s="580"/>
      <c r="C1446" s="554" t="s">
        <v>4415</v>
      </c>
      <c r="D1446" s="554"/>
      <c r="E1446" s="554"/>
      <c r="F1446" s="43">
        <v>200000</v>
      </c>
      <c r="G1446" s="364">
        <f t="shared" si="5"/>
        <v>217765</v>
      </c>
      <c r="H1446" s="391" t="s">
        <v>9568</v>
      </c>
    </row>
    <row r="1447" spans="1:8" x14ac:dyDescent="0.3">
      <c r="A1447" s="45">
        <v>43837</v>
      </c>
      <c r="B1447" s="402"/>
      <c r="C1447" s="39" t="s">
        <v>1512</v>
      </c>
      <c r="D1447" s="5" t="s">
        <v>6846</v>
      </c>
      <c r="E1447" s="43">
        <v>193255</v>
      </c>
      <c r="F1447" s="43"/>
      <c r="G1447" s="364">
        <f t="shared" si="5"/>
        <v>24510</v>
      </c>
      <c r="H1447" s="391" t="s">
        <v>9568</v>
      </c>
    </row>
    <row r="1448" spans="1:8" x14ac:dyDescent="0.3">
      <c r="A1448" s="45">
        <v>43838</v>
      </c>
      <c r="B1448" s="399"/>
      <c r="C1448" s="5" t="s">
        <v>1012</v>
      </c>
      <c r="D1448" s="5" t="s">
        <v>6850</v>
      </c>
      <c r="E1448" s="43">
        <v>2000</v>
      </c>
      <c r="F1448" s="43"/>
      <c r="G1448" s="364">
        <f t="shared" si="5"/>
        <v>22510</v>
      </c>
      <c r="H1448" s="391" t="s">
        <v>9568</v>
      </c>
    </row>
    <row r="1449" spans="1:8" x14ac:dyDescent="0.3">
      <c r="A1449" s="45">
        <v>43839</v>
      </c>
      <c r="B1449" s="399"/>
      <c r="C1449" s="5" t="s">
        <v>25</v>
      </c>
      <c r="D1449" s="5" t="s">
        <v>6851</v>
      </c>
      <c r="E1449" s="43">
        <v>1000</v>
      </c>
      <c r="F1449" s="43"/>
      <c r="G1449" s="364">
        <f t="shared" si="5"/>
        <v>21510</v>
      </c>
      <c r="H1449" s="391" t="s">
        <v>9568</v>
      </c>
    </row>
    <row r="1450" spans="1:8" x14ac:dyDescent="0.3">
      <c r="A1450" s="45">
        <v>43839</v>
      </c>
      <c r="B1450" s="399"/>
      <c r="C1450" s="5" t="s">
        <v>14</v>
      </c>
      <c r="D1450" s="5" t="s">
        <v>640</v>
      </c>
      <c r="E1450" s="43">
        <v>1000</v>
      </c>
      <c r="F1450" s="43"/>
      <c r="G1450" s="364">
        <f t="shared" si="5"/>
        <v>20510</v>
      </c>
      <c r="H1450" s="391" t="s">
        <v>9568</v>
      </c>
    </row>
    <row r="1451" spans="1:8" x14ac:dyDescent="0.3">
      <c r="A1451" s="45">
        <v>43839</v>
      </c>
      <c r="B1451" s="399"/>
      <c r="C1451" s="5" t="s">
        <v>14</v>
      </c>
      <c r="D1451" s="5" t="s">
        <v>294</v>
      </c>
      <c r="E1451" s="43">
        <v>15000</v>
      </c>
      <c r="F1451" s="43"/>
      <c r="G1451" s="364">
        <f t="shared" si="5"/>
        <v>5510</v>
      </c>
      <c r="H1451" s="391" t="s">
        <v>9568</v>
      </c>
    </row>
    <row r="1452" spans="1:8" x14ac:dyDescent="0.3">
      <c r="A1452" s="45">
        <v>43839</v>
      </c>
      <c r="B1452" s="580"/>
      <c r="C1452" s="554" t="s">
        <v>4415</v>
      </c>
      <c r="D1452" s="554"/>
      <c r="E1452" s="554"/>
      <c r="F1452" s="43">
        <v>100000</v>
      </c>
      <c r="G1452" s="364">
        <f t="shared" si="5"/>
        <v>105510</v>
      </c>
      <c r="H1452" s="391" t="s">
        <v>9568</v>
      </c>
    </row>
    <row r="1453" spans="1:8" x14ac:dyDescent="0.3">
      <c r="A1453" s="45">
        <v>43841</v>
      </c>
      <c r="B1453" s="399"/>
      <c r="C1453" s="5" t="s">
        <v>25</v>
      </c>
      <c r="D1453" s="5" t="s">
        <v>4276</v>
      </c>
      <c r="E1453" s="43">
        <v>4035</v>
      </c>
      <c r="F1453" s="43"/>
      <c r="G1453" s="364">
        <f t="shared" si="5"/>
        <v>101475</v>
      </c>
      <c r="H1453" s="391" t="s">
        <v>9568</v>
      </c>
    </row>
    <row r="1454" spans="1:8" x14ac:dyDescent="0.3">
      <c r="A1454" s="45">
        <v>43841</v>
      </c>
      <c r="B1454" s="399"/>
      <c r="C1454" s="5" t="s">
        <v>1012</v>
      </c>
      <c r="D1454" s="5" t="s">
        <v>3729</v>
      </c>
      <c r="E1454" s="43">
        <v>10000</v>
      </c>
      <c r="F1454" s="43"/>
      <c r="G1454" s="364">
        <f t="shared" si="5"/>
        <v>91475</v>
      </c>
      <c r="H1454" s="391" t="s">
        <v>9568</v>
      </c>
    </row>
    <row r="1455" spans="1:8" x14ac:dyDescent="0.3">
      <c r="A1455" s="45">
        <v>43841</v>
      </c>
      <c r="B1455" s="399"/>
      <c r="C1455" s="5" t="s">
        <v>5709</v>
      </c>
      <c r="D1455" s="5" t="s">
        <v>6855</v>
      </c>
      <c r="E1455" s="43">
        <v>3000</v>
      </c>
      <c r="F1455" s="43"/>
      <c r="G1455" s="364">
        <f t="shared" si="5"/>
        <v>88475</v>
      </c>
      <c r="H1455" s="391" t="s">
        <v>9568</v>
      </c>
    </row>
    <row r="1456" spans="1:8" x14ac:dyDescent="0.3">
      <c r="A1456" s="45">
        <v>43841</v>
      </c>
      <c r="B1456" s="399"/>
      <c r="C1456" s="5" t="s">
        <v>6171</v>
      </c>
      <c r="D1456" s="5" t="s">
        <v>40</v>
      </c>
      <c r="E1456" s="43">
        <v>21000</v>
      </c>
      <c r="F1456" s="43"/>
      <c r="G1456" s="364">
        <f t="shared" si="5"/>
        <v>67475</v>
      </c>
      <c r="H1456" s="391" t="s">
        <v>9568</v>
      </c>
    </row>
    <row r="1457" spans="1:8" x14ac:dyDescent="0.3">
      <c r="A1457" s="45">
        <v>43841</v>
      </c>
      <c r="B1457" s="399"/>
      <c r="C1457" s="5" t="s">
        <v>5938</v>
      </c>
      <c r="D1457" s="5" t="s">
        <v>40</v>
      </c>
      <c r="E1457" s="43">
        <v>20000</v>
      </c>
      <c r="F1457" s="43"/>
      <c r="G1457" s="364">
        <f t="shared" si="5"/>
        <v>47475</v>
      </c>
      <c r="H1457" s="391" t="s">
        <v>9568</v>
      </c>
    </row>
    <row r="1458" spans="1:8" x14ac:dyDescent="0.3">
      <c r="A1458" s="45">
        <v>43841</v>
      </c>
      <c r="B1458" s="402"/>
      <c r="C1458" s="39" t="s">
        <v>1512</v>
      </c>
      <c r="D1458" s="39" t="s">
        <v>6558</v>
      </c>
      <c r="E1458" s="183">
        <v>31500</v>
      </c>
      <c r="F1458" s="183"/>
      <c r="G1458" s="364">
        <f t="shared" si="5"/>
        <v>15975</v>
      </c>
      <c r="H1458" s="391" t="s">
        <v>9568</v>
      </c>
    </row>
    <row r="1459" spans="1:8" x14ac:dyDescent="0.3">
      <c r="A1459" s="45">
        <v>43841</v>
      </c>
      <c r="B1459" s="580"/>
      <c r="C1459" s="554" t="s">
        <v>6858</v>
      </c>
      <c r="D1459" s="554"/>
      <c r="E1459" s="554"/>
      <c r="F1459" s="43">
        <v>964597</v>
      </c>
      <c r="G1459" s="364">
        <f t="shared" si="5"/>
        <v>980572</v>
      </c>
      <c r="H1459" s="391" t="s">
        <v>9568</v>
      </c>
    </row>
    <row r="1460" spans="1:8" x14ac:dyDescent="0.3">
      <c r="A1460" s="45">
        <v>43841</v>
      </c>
      <c r="B1460" s="399"/>
      <c r="C1460" s="5" t="s">
        <v>25</v>
      </c>
      <c r="D1460" s="5" t="s">
        <v>6049</v>
      </c>
      <c r="E1460" s="43">
        <v>150</v>
      </c>
      <c r="F1460" s="43"/>
      <c r="G1460" s="364">
        <f t="shared" si="5"/>
        <v>980422</v>
      </c>
      <c r="H1460" s="391" t="s">
        <v>9568</v>
      </c>
    </row>
    <row r="1461" spans="1:8" x14ac:dyDescent="0.3">
      <c r="A1461" s="45">
        <v>43841</v>
      </c>
      <c r="B1461" s="399"/>
      <c r="C1461" s="5" t="s">
        <v>6430</v>
      </c>
      <c r="D1461" s="5" t="s">
        <v>40</v>
      </c>
      <c r="E1461" s="43">
        <v>46200</v>
      </c>
      <c r="F1461" s="43"/>
      <c r="G1461" s="364">
        <f t="shared" si="5"/>
        <v>934222</v>
      </c>
      <c r="H1461" s="391" t="s">
        <v>9568</v>
      </c>
    </row>
    <row r="1462" spans="1:8" x14ac:dyDescent="0.3">
      <c r="A1462" s="45">
        <v>43842</v>
      </c>
      <c r="B1462" s="402"/>
      <c r="C1462" s="39" t="s">
        <v>1512</v>
      </c>
      <c r="D1462" s="39" t="s">
        <v>6557</v>
      </c>
      <c r="E1462" s="183">
        <v>52704</v>
      </c>
      <c r="F1462" s="183"/>
      <c r="G1462" s="364">
        <f t="shared" si="5"/>
        <v>881518</v>
      </c>
      <c r="H1462" s="391" t="s">
        <v>9568</v>
      </c>
    </row>
    <row r="1463" spans="1:8" x14ac:dyDescent="0.3">
      <c r="A1463" s="45">
        <v>43842</v>
      </c>
      <c r="B1463" s="399"/>
      <c r="C1463" s="5" t="s">
        <v>6856</v>
      </c>
      <c r="D1463" s="5" t="s">
        <v>6857</v>
      </c>
      <c r="E1463" s="43">
        <v>52840</v>
      </c>
      <c r="F1463" s="43"/>
      <c r="G1463" s="364">
        <f t="shared" si="5"/>
        <v>828678</v>
      </c>
      <c r="H1463" s="391" t="s">
        <v>9568</v>
      </c>
    </row>
    <row r="1464" spans="1:8" x14ac:dyDescent="0.3">
      <c r="A1464" s="45">
        <v>43842</v>
      </c>
      <c r="B1464" s="399"/>
      <c r="C1464" s="5" t="s">
        <v>25</v>
      </c>
      <c r="D1464" s="5" t="s">
        <v>6859</v>
      </c>
      <c r="E1464" s="43">
        <v>100</v>
      </c>
      <c r="F1464" s="43"/>
      <c r="G1464" s="364">
        <f t="shared" si="5"/>
        <v>828578</v>
      </c>
      <c r="H1464" s="391" t="s">
        <v>9568</v>
      </c>
    </row>
    <row r="1465" spans="1:8" x14ac:dyDescent="0.3">
      <c r="A1465" s="45">
        <v>43842</v>
      </c>
      <c r="B1465" s="399"/>
      <c r="C1465" s="5" t="s">
        <v>84</v>
      </c>
      <c r="D1465" s="5" t="s">
        <v>6860</v>
      </c>
      <c r="E1465" s="65">
        <v>10000</v>
      </c>
      <c r="F1465" s="65"/>
      <c r="G1465" s="364">
        <f t="shared" si="5"/>
        <v>818578</v>
      </c>
      <c r="H1465" s="391" t="s">
        <v>9568</v>
      </c>
    </row>
    <row r="1466" spans="1:8" x14ac:dyDescent="0.3">
      <c r="A1466" s="45">
        <v>43843</v>
      </c>
      <c r="B1466" s="399"/>
      <c r="C1466" s="5" t="s">
        <v>25</v>
      </c>
      <c r="D1466" s="5" t="s">
        <v>6861</v>
      </c>
      <c r="E1466" s="43">
        <v>1700</v>
      </c>
      <c r="F1466" s="43"/>
      <c r="G1466" s="364">
        <f t="shared" si="5"/>
        <v>816878</v>
      </c>
      <c r="H1466" s="391" t="s">
        <v>9568</v>
      </c>
    </row>
    <row r="1467" spans="1:8" x14ac:dyDescent="0.3">
      <c r="A1467" s="45">
        <v>43843</v>
      </c>
      <c r="B1467" s="399"/>
      <c r="C1467" s="5" t="s">
        <v>3559</v>
      </c>
      <c r="D1467" s="5" t="s">
        <v>6862</v>
      </c>
      <c r="E1467" s="43">
        <v>75000</v>
      </c>
      <c r="F1467" s="43"/>
      <c r="G1467" s="364">
        <f t="shared" si="5"/>
        <v>741878</v>
      </c>
      <c r="H1467" s="391" t="s">
        <v>9568</v>
      </c>
    </row>
    <row r="1468" spans="1:8" x14ac:dyDescent="0.3">
      <c r="A1468" s="45">
        <v>43843</v>
      </c>
      <c r="B1468" s="399"/>
      <c r="C1468" s="5" t="s">
        <v>2984</v>
      </c>
      <c r="D1468" s="5" t="s">
        <v>6863</v>
      </c>
      <c r="E1468" s="43">
        <v>10000</v>
      </c>
      <c r="F1468" s="43"/>
      <c r="G1468" s="364">
        <f t="shared" si="5"/>
        <v>731878</v>
      </c>
      <c r="H1468" s="391" t="s">
        <v>9568</v>
      </c>
    </row>
    <row r="1469" spans="1:8" x14ac:dyDescent="0.3">
      <c r="A1469" s="45">
        <v>43844</v>
      </c>
      <c r="B1469" s="399"/>
      <c r="C1469" s="5" t="s">
        <v>6864</v>
      </c>
      <c r="D1469" s="5" t="s">
        <v>6865</v>
      </c>
      <c r="E1469" s="43">
        <v>94200</v>
      </c>
      <c r="F1469" s="43"/>
      <c r="G1469" s="364">
        <f t="shared" si="5"/>
        <v>637678</v>
      </c>
      <c r="H1469" s="391" t="s">
        <v>9568</v>
      </c>
    </row>
    <row r="1470" spans="1:8" x14ac:dyDescent="0.3">
      <c r="A1470" s="45">
        <v>43844</v>
      </c>
      <c r="B1470" s="399"/>
      <c r="C1470" s="5" t="s">
        <v>6866</v>
      </c>
      <c r="D1470" s="5" t="s">
        <v>6867</v>
      </c>
      <c r="E1470" s="43">
        <v>61500</v>
      </c>
      <c r="F1470" s="43"/>
      <c r="G1470" s="364">
        <f t="shared" si="5"/>
        <v>576178</v>
      </c>
      <c r="H1470" s="391" t="s">
        <v>9568</v>
      </c>
    </row>
    <row r="1471" spans="1:8" x14ac:dyDescent="0.3">
      <c r="A1471" s="45">
        <v>43844</v>
      </c>
      <c r="B1471" s="399"/>
      <c r="C1471" s="5" t="s">
        <v>1616</v>
      </c>
      <c r="D1471" s="5" t="s">
        <v>6868</v>
      </c>
      <c r="E1471" s="43">
        <v>600</v>
      </c>
      <c r="F1471" s="43"/>
      <c r="G1471" s="364">
        <f t="shared" si="5"/>
        <v>575578</v>
      </c>
      <c r="H1471" s="391" t="s">
        <v>9568</v>
      </c>
    </row>
    <row r="1472" spans="1:8" x14ac:dyDescent="0.3">
      <c r="A1472" s="45">
        <v>43844</v>
      </c>
      <c r="B1472" s="399"/>
      <c r="C1472" s="5" t="s">
        <v>10</v>
      </c>
      <c r="D1472" s="5" t="s">
        <v>6869</v>
      </c>
      <c r="E1472" s="43">
        <v>2000</v>
      </c>
      <c r="F1472" s="43"/>
      <c r="G1472" s="364">
        <f t="shared" si="5"/>
        <v>573578</v>
      </c>
      <c r="H1472" s="391" t="s">
        <v>9568</v>
      </c>
    </row>
    <row r="1473" spans="1:8" x14ac:dyDescent="0.3">
      <c r="A1473" s="45">
        <v>43844</v>
      </c>
      <c r="B1473" s="399"/>
      <c r="C1473" s="5" t="s">
        <v>6870</v>
      </c>
      <c r="D1473" s="5" t="s">
        <v>6871</v>
      </c>
      <c r="E1473" s="43">
        <v>100000</v>
      </c>
      <c r="F1473" s="43"/>
      <c r="G1473" s="364">
        <f t="shared" si="5"/>
        <v>473578</v>
      </c>
      <c r="H1473" s="391" t="s">
        <v>9568</v>
      </c>
    </row>
    <row r="1474" spans="1:8" x14ac:dyDescent="0.3">
      <c r="A1474" s="45">
        <v>43844</v>
      </c>
      <c r="B1474" s="399"/>
      <c r="C1474" s="5" t="s">
        <v>1970</v>
      </c>
      <c r="D1474" s="5" t="s">
        <v>6872</v>
      </c>
      <c r="E1474" s="43">
        <v>60000</v>
      </c>
      <c r="F1474" s="43"/>
      <c r="G1474" s="364">
        <f t="shared" si="5"/>
        <v>413578</v>
      </c>
      <c r="H1474" s="391" t="s">
        <v>9568</v>
      </c>
    </row>
    <row r="1475" spans="1:8" x14ac:dyDescent="0.3">
      <c r="A1475" s="45">
        <v>43845</v>
      </c>
      <c r="B1475" s="399"/>
      <c r="C1475" s="5" t="s">
        <v>4400</v>
      </c>
      <c r="D1475" s="5" t="s">
        <v>40</v>
      </c>
      <c r="E1475" s="43">
        <v>3000</v>
      </c>
      <c r="F1475" s="43"/>
      <c r="G1475" s="364">
        <f t="shared" si="5"/>
        <v>410578</v>
      </c>
      <c r="H1475" s="391" t="s">
        <v>9568</v>
      </c>
    </row>
    <row r="1476" spans="1:8" x14ac:dyDescent="0.3">
      <c r="A1476" s="45">
        <v>43845</v>
      </c>
      <c r="B1476" s="399"/>
      <c r="C1476" s="5" t="s">
        <v>14</v>
      </c>
      <c r="D1476" s="5" t="s">
        <v>294</v>
      </c>
      <c r="E1476" s="43">
        <v>50000</v>
      </c>
      <c r="F1476" s="43"/>
      <c r="G1476" s="364">
        <f t="shared" si="5"/>
        <v>360578</v>
      </c>
      <c r="H1476" s="391" t="s">
        <v>9568</v>
      </c>
    </row>
    <row r="1477" spans="1:8" x14ac:dyDescent="0.3">
      <c r="A1477" s="45">
        <v>43845</v>
      </c>
      <c r="B1477" s="404"/>
      <c r="C1477" s="41" t="s">
        <v>5156</v>
      </c>
      <c r="D1477" s="41" t="s">
        <v>6874</v>
      </c>
      <c r="E1477" s="42">
        <v>1120</v>
      </c>
      <c r="F1477" s="43"/>
      <c r="G1477" s="364">
        <f t="shared" si="5"/>
        <v>359458</v>
      </c>
      <c r="H1477" s="391" t="s">
        <v>9568</v>
      </c>
    </row>
    <row r="1478" spans="1:8" x14ac:dyDescent="0.3">
      <c r="A1478" s="45">
        <v>43846</v>
      </c>
      <c r="B1478" s="399"/>
      <c r="C1478" s="5" t="s">
        <v>4550</v>
      </c>
      <c r="D1478" s="5" t="s">
        <v>294</v>
      </c>
      <c r="E1478" s="43">
        <v>20000</v>
      </c>
      <c r="F1478" s="43"/>
      <c r="G1478" s="364">
        <f t="shared" si="5"/>
        <v>339458</v>
      </c>
      <c r="H1478" s="391" t="s">
        <v>9568</v>
      </c>
    </row>
    <row r="1479" spans="1:8" x14ac:dyDescent="0.3">
      <c r="A1479" s="45">
        <v>43846</v>
      </c>
      <c r="B1479" s="399"/>
      <c r="C1479" s="5" t="s">
        <v>1012</v>
      </c>
      <c r="D1479" s="5" t="s">
        <v>6875</v>
      </c>
      <c r="E1479" s="43">
        <v>4000</v>
      </c>
      <c r="F1479" s="43"/>
      <c r="G1479" s="364">
        <f t="shared" si="5"/>
        <v>335458</v>
      </c>
      <c r="H1479" s="391" t="s">
        <v>9568</v>
      </c>
    </row>
    <row r="1480" spans="1:8" x14ac:dyDescent="0.3">
      <c r="A1480" s="45">
        <v>43846</v>
      </c>
      <c r="B1480" s="399"/>
      <c r="C1480" s="5" t="s">
        <v>4550</v>
      </c>
      <c r="D1480" s="5" t="s">
        <v>6876</v>
      </c>
      <c r="E1480" s="43">
        <v>7500</v>
      </c>
      <c r="F1480" s="43"/>
      <c r="G1480" s="364">
        <f t="shared" si="5"/>
        <v>327958</v>
      </c>
      <c r="H1480" s="391" t="s">
        <v>9568</v>
      </c>
    </row>
    <row r="1481" spans="1:8" x14ac:dyDescent="0.3">
      <c r="A1481" s="45">
        <v>43846</v>
      </c>
      <c r="B1481" s="399"/>
      <c r="C1481" s="5" t="s">
        <v>25</v>
      </c>
      <c r="D1481" s="5" t="s">
        <v>6428</v>
      </c>
      <c r="E1481" s="43">
        <f>800+100+120+120</f>
        <v>1140</v>
      </c>
      <c r="F1481" s="43"/>
      <c r="G1481" s="364">
        <f t="shared" si="5"/>
        <v>326818</v>
      </c>
      <c r="H1481" s="391" t="s">
        <v>9568</v>
      </c>
    </row>
    <row r="1482" spans="1:8" x14ac:dyDescent="0.3">
      <c r="A1482" s="45">
        <v>43846</v>
      </c>
      <c r="B1482" s="399"/>
      <c r="C1482" s="5" t="s">
        <v>14</v>
      </c>
      <c r="D1482" s="5" t="s">
        <v>294</v>
      </c>
      <c r="E1482" s="43">
        <v>15000</v>
      </c>
      <c r="F1482" s="43"/>
      <c r="G1482" s="364">
        <f t="shared" si="5"/>
        <v>311818</v>
      </c>
      <c r="H1482" s="391" t="s">
        <v>9568</v>
      </c>
    </row>
    <row r="1483" spans="1:8" x14ac:dyDescent="0.3">
      <c r="A1483" s="45">
        <v>43846</v>
      </c>
      <c r="B1483" s="399"/>
      <c r="C1483" s="5" t="s">
        <v>5156</v>
      </c>
      <c r="D1483" s="5" t="s">
        <v>6877</v>
      </c>
      <c r="E1483" s="65">
        <v>320</v>
      </c>
      <c r="F1483" s="43"/>
      <c r="G1483" s="364">
        <f t="shared" si="5"/>
        <v>311498</v>
      </c>
      <c r="H1483" s="391" t="s">
        <v>9568</v>
      </c>
    </row>
    <row r="1484" spans="1:8" x14ac:dyDescent="0.3">
      <c r="A1484" s="45">
        <v>43848</v>
      </c>
      <c r="B1484" s="399"/>
      <c r="C1484" s="5" t="s">
        <v>25</v>
      </c>
      <c r="D1484" s="5" t="s">
        <v>4276</v>
      </c>
      <c r="E1484" s="65">
        <v>4665</v>
      </c>
      <c r="F1484" s="43"/>
      <c r="G1484" s="364">
        <f t="shared" si="5"/>
        <v>306833</v>
      </c>
      <c r="H1484" s="391" t="s">
        <v>9568</v>
      </c>
    </row>
    <row r="1485" spans="1:8" x14ac:dyDescent="0.3">
      <c r="A1485" s="45">
        <v>43848</v>
      </c>
      <c r="B1485" s="399"/>
      <c r="C1485" s="5" t="s">
        <v>5930</v>
      </c>
      <c r="D1485" s="5" t="s">
        <v>40</v>
      </c>
      <c r="E1485" s="43">
        <v>80247</v>
      </c>
      <c r="F1485" s="43"/>
      <c r="G1485" s="364">
        <f t="shared" si="5"/>
        <v>226586</v>
      </c>
      <c r="H1485" s="391" t="s">
        <v>9568</v>
      </c>
    </row>
    <row r="1486" spans="1:8" x14ac:dyDescent="0.3">
      <c r="A1486" s="45">
        <v>43848</v>
      </c>
      <c r="B1486" s="399"/>
      <c r="C1486" s="5" t="s">
        <v>18</v>
      </c>
      <c r="D1486" s="5" t="s">
        <v>6880</v>
      </c>
      <c r="E1486" s="43">
        <v>30000</v>
      </c>
      <c r="F1486" s="43"/>
      <c r="G1486" s="364">
        <f t="shared" si="5"/>
        <v>196586</v>
      </c>
      <c r="H1486" s="391" t="s">
        <v>9568</v>
      </c>
    </row>
    <row r="1487" spans="1:8" x14ac:dyDescent="0.3">
      <c r="A1487" s="45">
        <v>43848</v>
      </c>
      <c r="B1487" s="399"/>
      <c r="C1487" s="5" t="s">
        <v>47</v>
      </c>
      <c r="D1487" s="5" t="s">
        <v>6878</v>
      </c>
      <c r="E1487" s="43">
        <v>900</v>
      </c>
      <c r="F1487" s="43"/>
      <c r="G1487" s="364">
        <f t="shared" si="5"/>
        <v>195686</v>
      </c>
      <c r="H1487" s="391" t="s">
        <v>9568</v>
      </c>
    </row>
    <row r="1488" spans="1:8" x14ac:dyDescent="0.3">
      <c r="A1488" s="45">
        <v>43848</v>
      </c>
      <c r="B1488" s="399"/>
      <c r="C1488" s="5" t="s">
        <v>25</v>
      </c>
      <c r="D1488" s="5" t="s">
        <v>6879</v>
      </c>
      <c r="E1488" s="43">
        <v>100</v>
      </c>
      <c r="F1488" s="43"/>
      <c r="G1488" s="364">
        <f t="shared" si="5"/>
        <v>195586</v>
      </c>
      <c r="H1488" s="391" t="s">
        <v>9568</v>
      </c>
    </row>
    <row r="1489" spans="1:8" ht="37.5" x14ac:dyDescent="0.3">
      <c r="A1489" s="45">
        <v>43848</v>
      </c>
      <c r="B1489" s="322"/>
      <c r="C1489" s="44" t="s">
        <v>18</v>
      </c>
      <c r="D1489" s="124" t="s">
        <v>6911</v>
      </c>
      <c r="E1489" s="28">
        <v>5000</v>
      </c>
      <c r="F1489" s="28"/>
      <c r="G1489" s="364">
        <f t="shared" si="5"/>
        <v>190586</v>
      </c>
      <c r="H1489" s="391" t="s">
        <v>9568</v>
      </c>
    </row>
    <row r="1490" spans="1:8" x14ac:dyDescent="0.3">
      <c r="A1490" s="45">
        <v>43848</v>
      </c>
      <c r="B1490" s="399"/>
      <c r="C1490" s="5" t="s">
        <v>1512</v>
      </c>
      <c r="D1490" s="5" t="s">
        <v>6882</v>
      </c>
      <c r="E1490" s="43">
        <v>200</v>
      </c>
      <c r="F1490" s="43"/>
      <c r="G1490" s="364">
        <f t="shared" si="5"/>
        <v>190386</v>
      </c>
      <c r="H1490" s="391" t="s">
        <v>9568</v>
      </c>
    </row>
    <row r="1491" spans="1:8" ht="56.25" x14ac:dyDescent="0.3">
      <c r="A1491" s="45">
        <v>43848</v>
      </c>
      <c r="B1491" s="399"/>
      <c r="C1491" s="5" t="s">
        <v>1074</v>
      </c>
      <c r="D1491" s="92" t="s">
        <v>6883</v>
      </c>
      <c r="E1491" s="43">
        <v>12240</v>
      </c>
      <c r="F1491" s="43"/>
      <c r="G1491" s="364">
        <f t="shared" si="5"/>
        <v>178146</v>
      </c>
      <c r="H1491" s="391" t="s">
        <v>9568</v>
      </c>
    </row>
    <row r="1492" spans="1:8" x14ac:dyDescent="0.3">
      <c r="A1492" s="45">
        <v>43848</v>
      </c>
      <c r="B1492" s="399"/>
      <c r="C1492" s="5" t="s">
        <v>84</v>
      </c>
      <c r="D1492" s="5" t="s">
        <v>6884</v>
      </c>
      <c r="E1492" s="43">
        <v>3000</v>
      </c>
      <c r="F1492" s="43"/>
      <c r="G1492" s="364">
        <f t="shared" si="5"/>
        <v>175146</v>
      </c>
      <c r="H1492" s="391" t="s">
        <v>9568</v>
      </c>
    </row>
    <row r="1493" spans="1:8" x14ac:dyDescent="0.3">
      <c r="A1493" s="45">
        <v>43848</v>
      </c>
      <c r="B1493" s="399"/>
      <c r="C1493" s="5" t="s">
        <v>1012</v>
      </c>
      <c r="D1493" s="5" t="s">
        <v>6875</v>
      </c>
      <c r="E1493" s="43">
        <v>20000</v>
      </c>
      <c r="F1493" s="43"/>
      <c r="G1493" s="364">
        <f t="shared" si="5"/>
        <v>155146</v>
      </c>
      <c r="H1493" s="391" t="s">
        <v>9568</v>
      </c>
    </row>
    <row r="1494" spans="1:8" x14ac:dyDescent="0.3">
      <c r="A1494" s="45">
        <v>43848</v>
      </c>
      <c r="B1494" s="399"/>
      <c r="C1494" s="5" t="s">
        <v>84</v>
      </c>
      <c r="D1494" s="5" t="s">
        <v>6885</v>
      </c>
      <c r="E1494" s="43">
        <v>10000</v>
      </c>
      <c r="F1494" s="43"/>
      <c r="G1494" s="364">
        <f t="shared" si="5"/>
        <v>145146</v>
      </c>
      <c r="H1494" s="391" t="s">
        <v>9568</v>
      </c>
    </row>
    <row r="1495" spans="1:8" x14ac:dyDescent="0.3">
      <c r="A1495" s="45">
        <v>43848</v>
      </c>
      <c r="B1495" s="399"/>
      <c r="C1495" s="5" t="s">
        <v>84</v>
      </c>
      <c r="D1495" s="5" t="s">
        <v>6886</v>
      </c>
      <c r="E1495" s="43">
        <v>3000</v>
      </c>
      <c r="F1495" s="43"/>
      <c r="G1495" s="364">
        <f t="shared" si="5"/>
        <v>142146</v>
      </c>
      <c r="H1495" s="391" t="s">
        <v>9568</v>
      </c>
    </row>
    <row r="1496" spans="1:8" x14ac:dyDescent="0.3">
      <c r="A1496" s="45">
        <v>43848</v>
      </c>
      <c r="B1496" s="399"/>
      <c r="C1496" s="5" t="s">
        <v>4550</v>
      </c>
      <c r="D1496" s="5" t="s">
        <v>294</v>
      </c>
      <c r="E1496" s="43">
        <v>100000</v>
      </c>
      <c r="F1496" s="43"/>
      <c r="G1496" s="364">
        <f t="shared" si="5"/>
        <v>42146</v>
      </c>
      <c r="H1496" s="391" t="s">
        <v>9568</v>
      </c>
    </row>
    <row r="1497" spans="1:8" x14ac:dyDescent="0.3">
      <c r="A1497" s="45">
        <v>43849</v>
      </c>
      <c r="B1497" s="399"/>
      <c r="C1497" s="5" t="s">
        <v>6430</v>
      </c>
      <c r="D1497" s="5" t="s">
        <v>6887</v>
      </c>
      <c r="E1497" s="43">
        <v>15000</v>
      </c>
      <c r="F1497" s="43"/>
      <c r="G1497" s="364">
        <f t="shared" si="5"/>
        <v>27146</v>
      </c>
      <c r="H1497" s="391" t="s">
        <v>9568</v>
      </c>
    </row>
    <row r="1498" spans="1:8" x14ac:dyDescent="0.3">
      <c r="A1498" s="45">
        <v>43849</v>
      </c>
      <c r="B1498" s="399"/>
      <c r="C1498" s="5" t="s">
        <v>5156</v>
      </c>
      <c r="D1498" s="5" t="s">
        <v>6888</v>
      </c>
      <c r="E1498" s="43">
        <v>3400</v>
      </c>
      <c r="F1498" s="43"/>
      <c r="G1498" s="364">
        <f t="shared" si="5"/>
        <v>23746</v>
      </c>
      <c r="H1498" s="391" t="s">
        <v>9568</v>
      </c>
    </row>
    <row r="1499" spans="1:8" x14ac:dyDescent="0.3">
      <c r="A1499" s="45">
        <v>43849</v>
      </c>
      <c r="B1499" s="399"/>
      <c r="C1499" s="5" t="s">
        <v>5162</v>
      </c>
      <c r="D1499" s="5" t="s">
        <v>6038</v>
      </c>
      <c r="E1499" s="43">
        <v>600</v>
      </c>
      <c r="F1499" s="43"/>
      <c r="G1499" s="364">
        <f t="shared" si="5"/>
        <v>23146</v>
      </c>
      <c r="H1499" s="391" t="s">
        <v>9568</v>
      </c>
    </row>
    <row r="1500" spans="1:8" x14ac:dyDescent="0.3">
      <c r="A1500" s="45">
        <v>43849</v>
      </c>
      <c r="B1500" s="399"/>
      <c r="C1500" s="5" t="s">
        <v>1787</v>
      </c>
      <c r="D1500" s="5"/>
      <c r="E1500" s="43">
        <v>2000</v>
      </c>
      <c r="F1500" s="43"/>
      <c r="G1500" s="364">
        <f t="shared" si="5"/>
        <v>21146</v>
      </c>
      <c r="H1500" s="391" t="s">
        <v>9568</v>
      </c>
    </row>
    <row r="1501" spans="1:8" x14ac:dyDescent="0.3">
      <c r="A1501" s="45">
        <v>43850</v>
      </c>
      <c r="B1501" s="399"/>
      <c r="C1501" s="5" t="s">
        <v>6889</v>
      </c>
      <c r="D1501" s="5" t="s">
        <v>6890</v>
      </c>
      <c r="E1501" s="43">
        <v>2000</v>
      </c>
      <c r="F1501" s="43"/>
      <c r="G1501" s="364">
        <f t="shared" si="5"/>
        <v>19146</v>
      </c>
      <c r="H1501" s="391" t="s">
        <v>9568</v>
      </c>
    </row>
    <row r="1502" spans="1:8" x14ac:dyDescent="0.3">
      <c r="A1502" s="45">
        <v>43850</v>
      </c>
      <c r="B1502" s="399"/>
      <c r="C1502" s="5" t="s">
        <v>84</v>
      </c>
      <c r="D1502" s="5" t="s">
        <v>6892</v>
      </c>
      <c r="E1502" s="43">
        <v>5000</v>
      </c>
      <c r="F1502" s="43"/>
      <c r="G1502" s="364">
        <f t="shared" si="5"/>
        <v>14146</v>
      </c>
      <c r="H1502" s="391" t="s">
        <v>9568</v>
      </c>
    </row>
    <row r="1503" spans="1:8" x14ac:dyDescent="0.3">
      <c r="A1503" s="45">
        <v>43851</v>
      </c>
      <c r="B1503" s="399"/>
      <c r="C1503" s="5" t="s">
        <v>25</v>
      </c>
      <c r="D1503" s="5" t="s">
        <v>6893</v>
      </c>
      <c r="E1503" s="43">
        <f>100+350</f>
        <v>450</v>
      </c>
      <c r="F1503" s="43"/>
      <c r="G1503" s="364">
        <f t="shared" si="5"/>
        <v>13696</v>
      </c>
      <c r="H1503" s="391" t="s">
        <v>9568</v>
      </c>
    </row>
    <row r="1504" spans="1:8" x14ac:dyDescent="0.3">
      <c r="A1504" s="45">
        <v>43851</v>
      </c>
      <c r="B1504" s="399"/>
      <c r="C1504" s="5" t="s">
        <v>25</v>
      </c>
      <c r="D1504" s="5" t="s">
        <v>6894</v>
      </c>
      <c r="E1504" s="43">
        <v>500</v>
      </c>
      <c r="F1504" s="43"/>
      <c r="G1504" s="364">
        <f t="shared" si="5"/>
        <v>13196</v>
      </c>
      <c r="H1504" s="391" t="s">
        <v>9568</v>
      </c>
    </row>
    <row r="1505" spans="1:8" x14ac:dyDescent="0.3">
      <c r="A1505" s="45">
        <v>43852</v>
      </c>
      <c r="B1505" s="399"/>
      <c r="C1505" s="5" t="s">
        <v>5156</v>
      </c>
      <c r="D1505" s="5" t="s">
        <v>6895</v>
      </c>
      <c r="E1505" s="43">
        <v>160</v>
      </c>
      <c r="F1505" s="43"/>
      <c r="G1505" s="364">
        <f t="shared" si="5"/>
        <v>13036</v>
      </c>
      <c r="H1505" s="391" t="s">
        <v>9568</v>
      </c>
    </row>
    <row r="1506" spans="1:8" x14ac:dyDescent="0.3">
      <c r="A1506" s="45">
        <v>43852</v>
      </c>
      <c r="B1506" s="399"/>
      <c r="C1506" s="5" t="s">
        <v>2948</v>
      </c>
      <c r="D1506" s="5" t="s">
        <v>6896</v>
      </c>
      <c r="E1506" s="43">
        <v>475</v>
      </c>
      <c r="F1506" s="43"/>
      <c r="G1506" s="364">
        <f t="shared" si="5"/>
        <v>12561</v>
      </c>
      <c r="H1506" s="391" t="s">
        <v>9568</v>
      </c>
    </row>
    <row r="1507" spans="1:8" x14ac:dyDescent="0.3">
      <c r="A1507" s="45">
        <v>43852</v>
      </c>
      <c r="B1507" s="399"/>
      <c r="C1507" s="5" t="s">
        <v>25</v>
      </c>
      <c r="D1507" s="5" t="s">
        <v>6897</v>
      </c>
      <c r="E1507" s="43">
        <v>300</v>
      </c>
      <c r="F1507" s="43"/>
      <c r="G1507" s="364">
        <f t="shared" si="5"/>
        <v>12261</v>
      </c>
      <c r="H1507" s="391" t="s">
        <v>9568</v>
      </c>
    </row>
    <row r="1508" spans="1:8" x14ac:dyDescent="0.3">
      <c r="A1508" s="45">
        <v>43852</v>
      </c>
      <c r="B1508" s="580"/>
      <c r="C1508" s="554" t="s">
        <v>4415</v>
      </c>
      <c r="D1508" s="554"/>
      <c r="E1508" s="554"/>
      <c r="F1508" s="43">
        <v>50000</v>
      </c>
      <c r="G1508" s="364">
        <f t="shared" si="5"/>
        <v>62261</v>
      </c>
      <c r="H1508" s="391" t="s">
        <v>9568</v>
      </c>
    </row>
    <row r="1509" spans="1:8" x14ac:dyDescent="0.3">
      <c r="A1509" s="45">
        <v>43852</v>
      </c>
      <c r="B1509" s="399"/>
      <c r="C1509" s="5" t="s">
        <v>14</v>
      </c>
      <c r="D1509" s="5" t="s">
        <v>294</v>
      </c>
      <c r="E1509" s="43">
        <v>20000</v>
      </c>
      <c r="F1509" s="43"/>
      <c r="G1509" s="364">
        <f t="shared" si="5"/>
        <v>42261</v>
      </c>
      <c r="H1509" s="391" t="s">
        <v>9568</v>
      </c>
    </row>
    <row r="1510" spans="1:8" x14ac:dyDescent="0.3">
      <c r="A1510" s="45">
        <v>43852</v>
      </c>
      <c r="B1510" s="399"/>
      <c r="C1510" s="5" t="s">
        <v>6840</v>
      </c>
      <c r="D1510" s="5" t="s">
        <v>6900</v>
      </c>
      <c r="E1510" s="43">
        <v>6600</v>
      </c>
      <c r="F1510" s="43"/>
      <c r="G1510" s="364">
        <f t="shared" si="5"/>
        <v>35661</v>
      </c>
      <c r="H1510" s="391" t="s">
        <v>9568</v>
      </c>
    </row>
    <row r="1511" spans="1:8" x14ac:dyDescent="0.3">
      <c r="A1511" s="45">
        <v>43853</v>
      </c>
      <c r="B1511" s="399"/>
      <c r="C1511" s="5" t="s">
        <v>84</v>
      </c>
      <c r="D1511" s="5" t="s">
        <v>6901</v>
      </c>
      <c r="E1511" s="43">
        <v>5000</v>
      </c>
      <c r="F1511" s="43"/>
      <c r="G1511" s="364">
        <f t="shared" si="5"/>
        <v>30661</v>
      </c>
      <c r="H1511" s="391" t="s">
        <v>9568</v>
      </c>
    </row>
    <row r="1512" spans="1:8" x14ac:dyDescent="0.3">
      <c r="A1512" s="45">
        <v>43853</v>
      </c>
      <c r="B1512" s="399"/>
      <c r="C1512" s="5" t="s">
        <v>84</v>
      </c>
      <c r="D1512" s="5" t="s">
        <v>6902</v>
      </c>
      <c r="E1512" s="43">
        <v>7500</v>
      </c>
      <c r="F1512" s="43"/>
      <c r="G1512" s="364">
        <f t="shared" si="5"/>
        <v>23161</v>
      </c>
      <c r="H1512" s="391" t="s">
        <v>9568</v>
      </c>
    </row>
    <row r="1513" spans="1:8" x14ac:dyDescent="0.3">
      <c r="A1513" s="45">
        <v>43853</v>
      </c>
      <c r="B1513" s="399"/>
      <c r="C1513" s="5" t="s">
        <v>1012</v>
      </c>
      <c r="D1513" s="5" t="s">
        <v>6903</v>
      </c>
      <c r="E1513" s="43">
        <v>3000</v>
      </c>
      <c r="F1513" s="43"/>
      <c r="G1513" s="364">
        <f t="shared" si="5"/>
        <v>20161</v>
      </c>
      <c r="H1513" s="391" t="s">
        <v>9568</v>
      </c>
    </row>
    <row r="1514" spans="1:8" x14ac:dyDescent="0.3">
      <c r="A1514" s="45">
        <v>43853</v>
      </c>
      <c r="B1514" s="399"/>
      <c r="C1514" s="5" t="s">
        <v>1837</v>
      </c>
      <c r="D1514" s="5" t="s">
        <v>6904</v>
      </c>
      <c r="E1514" s="43">
        <v>500</v>
      </c>
      <c r="F1514" s="43"/>
      <c r="G1514" s="364">
        <f t="shared" si="5"/>
        <v>19661</v>
      </c>
      <c r="H1514" s="391" t="s">
        <v>9568</v>
      </c>
    </row>
    <row r="1515" spans="1:8" x14ac:dyDescent="0.3">
      <c r="A1515" s="45">
        <v>43855</v>
      </c>
      <c r="B1515" s="580"/>
      <c r="C1515" s="554" t="s">
        <v>4415</v>
      </c>
      <c r="D1515" s="554"/>
      <c r="E1515" s="554"/>
      <c r="F1515" s="43">
        <v>200000</v>
      </c>
      <c r="G1515" s="364">
        <f t="shared" si="5"/>
        <v>219661</v>
      </c>
      <c r="H1515" s="391" t="s">
        <v>9568</v>
      </c>
    </row>
    <row r="1516" spans="1:8" x14ac:dyDescent="0.3">
      <c r="A1516" s="45">
        <v>43855</v>
      </c>
      <c r="B1516" s="399"/>
      <c r="C1516" s="5" t="s">
        <v>5709</v>
      </c>
      <c r="D1516" s="5" t="s">
        <v>6905</v>
      </c>
      <c r="E1516" s="43">
        <v>25000</v>
      </c>
      <c r="F1516" s="43"/>
      <c r="G1516" s="364">
        <f t="shared" si="5"/>
        <v>194661</v>
      </c>
      <c r="H1516" s="391" t="s">
        <v>9568</v>
      </c>
    </row>
    <row r="1517" spans="1:8" x14ac:dyDescent="0.3">
      <c r="A1517" s="45">
        <v>43855</v>
      </c>
      <c r="B1517" s="399"/>
      <c r="C1517" s="5" t="s">
        <v>5709</v>
      </c>
      <c r="D1517" s="5" t="s">
        <v>6906</v>
      </c>
      <c r="E1517" s="43">
        <v>1500</v>
      </c>
      <c r="F1517" s="43"/>
      <c r="G1517" s="364">
        <f t="shared" si="5"/>
        <v>193161</v>
      </c>
      <c r="H1517" s="391" t="s">
        <v>9568</v>
      </c>
    </row>
    <row r="1518" spans="1:8" x14ac:dyDescent="0.3">
      <c r="A1518" s="45">
        <v>43855</v>
      </c>
      <c r="B1518" s="399"/>
      <c r="C1518" s="5" t="s">
        <v>1074</v>
      </c>
      <c r="D1518" s="5" t="s">
        <v>6907</v>
      </c>
      <c r="E1518" s="43">
        <v>7410</v>
      </c>
      <c r="F1518" s="43"/>
      <c r="G1518" s="364">
        <f t="shared" si="5"/>
        <v>185751</v>
      </c>
      <c r="H1518" s="391" t="s">
        <v>9568</v>
      </c>
    </row>
    <row r="1519" spans="1:8" x14ac:dyDescent="0.3">
      <c r="A1519" s="45">
        <v>43855</v>
      </c>
      <c r="B1519" s="399"/>
      <c r="C1519" s="5" t="s">
        <v>1074</v>
      </c>
      <c r="D1519" s="5" t="s">
        <v>6701</v>
      </c>
      <c r="E1519" s="43">
        <v>12295</v>
      </c>
      <c r="F1519" s="43"/>
      <c r="G1519" s="364">
        <f t="shared" si="5"/>
        <v>173456</v>
      </c>
      <c r="H1519" s="391" t="s">
        <v>9568</v>
      </c>
    </row>
    <row r="1520" spans="1:8" x14ac:dyDescent="0.3">
      <c r="A1520" s="45">
        <v>43855</v>
      </c>
      <c r="B1520" s="399"/>
      <c r="C1520" s="5" t="s">
        <v>1458</v>
      </c>
      <c r="D1520" s="5" t="s">
        <v>4276</v>
      </c>
      <c r="E1520" s="43"/>
      <c r="F1520" s="43"/>
      <c r="G1520" s="364">
        <f t="shared" si="5"/>
        <v>173456</v>
      </c>
      <c r="H1520" s="391" t="s">
        <v>9568</v>
      </c>
    </row>
    <row r="1521" spans="1:8" x14ac:dyDescent="0.3">
      <c r="A1521" s="45">
        <v>43855</v>
      </c>
      <c r="B1521" s="399"/>
      <c r="C1521" s="5" t="s">
        <v>0</v>
      </c>
      <c r="D1521" s="5" t="s">
        <v>294</v>
      </c>
      <c r="E1521" s="43">
        <v>50000</v>
      </c>
      <c r="F1521" s="43"/>
      <c r="G1521" s="364">
        <f t="shared" si="5"/>
        <v>123456</v>
      </c>
      <c r="H1521" s="391" t="s">
        <v>9568</v>
      </c>
    </row>
    <row r="1522" spans="1:8" x14ac:dyDescent="0.3">
      <c r="A1522" s="45">
        <v>43855</v>
      </c>
      <c r="B1522" s="399"/>
      <c r="C1522" s="5" t="s">
        <v>6908</v>
      </c>
      <c r="D1522" s="5" t="s">
        <v>6909</v>
      </c>
      <c r="E1522" s="43">
        <v>5000</v>
      </c>
      <c r="F1522" s="43"/>
      <c r="G1522" s="364">
        <f t="shared" si="5"/>
        <v>118456</v>
      </c>
      <c r="H1522" s="391" t="s">
        <v>9568</v>
      </c>
    </row>
    <row r="1523" spans="1:8" x14ac:dyDescent="0.3">
      <c r="A1523" s="45">
        <v>43855</v>
      </c>
      <c r="B1523" s="399"/>
      <c r="C1523" s="5" t="s">
        <v>5709</v>
      </c>
      <c r="D1523" s="5" t="s">
        <v>6910</v>
      </c>
      <c r="E1523" s="43">
        <v>5000</v>
      </c>
      <c r="F1523" s="43"/>
      <c r="G1523" s="364">
        <f t="shared" si="5"/>
        <v>113456</v>
      </c>
      <c r="H1523" s="391" t="s">
        <v>9568</v>
      </c>
    </row>
    <row r="1524" spans="1:8" x14ac:dyDescent="0.3">
      <c r="A1524" s="45">
        <v>43856</v>
      </c>
      <c r="B1524" s="399"/>
      <c r="C1524" s="5" t="s">
        <v>25</v>
      </c>
      <c r="D1524" s="5" t="s">
        <v>4276</v>
      </c>
      <c r="E1524" s="43">
        <f>5086+130+60+40+100+40+1600</f>
        <v>7056</v>
      </c>
      <c r="F1524" s="43"/>
      <c r="G1524" s="364">
        <f t="shared" si="5"/>
        <v>106400</v>
      </c>
      <c r="H1524" s="391" t="s">
        <v>9568</v>
      </c>
    </row>
    <row r="1525" spans="1:8" x14ac:dyDescent="0.3">
      <c r="A1525" s="45">
        <v>43856</v>
      </c>
      <c r="B1525" s="399"/>
      <c r="C1525" s="5" t="s">
        <v>0</v>
      </c>
      <c r="D1525" s="5" t="s">
        <v>294</v>
      </c>
      <c r="E1525" s="43">
        <v>20000</v>
      </c>
      <c r="F1525" s="43"/>
      <c r="G1525" s="364">
        <f t="shared" si="5"/>
        <v>86400</v>
      </c>
      <c r="H1525" s="391" t="s">
        <v>9568</v>
      </c>
    </row>
    <row r="1526" spans="1:8" x14ac:dyDescent="0.3">
      <c r="A1526" s="45">
        <v>43857</v>
      </c>
      <c r="B1526" s="399"/>
      <c r="C1526" s="5" t="s">
        <v>18</v>
      </c>
      <c r="D1526" s="5" t="s">
        <v>6938</v>
      </c>
      <c r="E1526" s="43">
        <v>5000</v>
      </c>
      <c r="F1526" s="43"/>
      <c r="G1526" s="364">
        <f t="shared" si="5"/>
        <v>81400</v>
      </c>
      <c r="H1526" s="391" t="s">
        <v>9568</v>
      </c>
    </row>
    <row r="1527" spans="1:8" x14ac:dyDescent="0.3">
      <c r="A1527" s="45">
        <v>43857</v>
      </c>
      <c r="B1527" s="399"/>
      <c r="C1527" s="5" t="s">
        <v>1787</v>
      </c>
      <c r="D1527" s="5" t="s">
        <v>6913</v>
      </c>
      <c r="E1527" s="43">
        <v>1200</v>
      </c>
      <c r="F1527" s="43"/>
      <c r="G1527" s="364">
        <f t="shared" si="5"/>
        <v>80200</v>
      </c>
      <c r="H1527" s="391" t="s">
        <v>9568</v>
      </c>
    </row>
    <row r="1528" spans="1:8" x14ac:dyDescent="0.3">
      <c r="A1528" s="45">
        <v>43857</v>
      </c>
      <c r="B1528" s="399"/>
      <c r="C1528" s="5" t="s">
        <v>6430</v>
      </c>
      <c r="D1528" s="5" t="s">
        <v>294</v>
      </c>
      <c r="E1528" s="43">
        <v>10000</v>
      </c>
      <c r="F1528" s="43"/>
      <c r="G1528" s="364">
        <f t="shared" si="5"/>
        <v>70200</v>
      </c>
      <c r="H1528" s="391" t="s">
        <v>9568</v>
      </c>
    </row>
    <row r="1529" spans="1:8" ht="37.5" x14ac:dyDescent="0.3">
      <c r="A1529" s="45">
        <v>43857</v>
      </c>
      <c r="B1529" s="399"/>
      <c r="C1529" s="5" t="s">
        <v>1787</v>
      </c>
      <c r="D1529" s="92" t="s">
        <v>6914</v>
      </c>
      <c r="E1529" s="43">
        <v>6000</v>
      </c>
      <c r="F1529" s="43"/>
      <c r="G1529" s="364">
        <f t="shared" si="5"/>
        <v>64200</v>
      </c>
      <c r="H1529" s="391" t="s">
        <v>9568</v>
      </c>
    </row>
    <row r="1530" spans="1:8" x14ac:dyDescent="0.3">
      <c r="A1530" s="45">
        <v>43857</v>
      </c>
      <c r="B1530" s="399"/>
      <c r="C1530" s="5" t="s">
        <v>3559</v>
      </c>
      <c r="D1530" s="5" t="s">
        <v>91</v>
      </c>
      <c r="E1530" s="43">
        <v>660</v>
      </c>
      <c r="F1530" s="43"/>
      <c r="G1530" s="364">
        <f t="shared" si="5"/>
        <v>63540</v>
      </c>
      <c r="H1530" s="391" t="s">
        <v>9568</v>
      </c>
    </row>
    <row r="1531" spans="1:8" x14ac:dyDescent="0.3">
      <c r="A1531" s="45">
        <v>43857</v>
      </c>
      <c r="B1531" s="399"/>
      <c r="C1531" s="5" t="s">
        <v>25</v>
      </c>
      <c r="D1531" s="5" t="s">
        <v>6915</v>
      </c>
      <c r="E1531" s="43">
        <v>100</v>
      </c>
      <c r="F1531" s="43"/>
      <c r="G1531" s="364">
        <f t="shared" si="5"/>
        <v>63440</v>
      </c>
      <c r="H1531" s="391" t="s">
        <v>9568</v>
      </c>
    </row>
    <row r="1532" spans="1:8" x14ac:dyDescent="0.3">
      <c r="A1532" s="45">
        <v>43858</v>
      </c>
      <c r="B1532" s="399"/>
      <c r="C1532" s="5" t="s">
        <v>0</v>
      </c>
      <c r="D1532" s="5" t="s">
        <v>294</v>
      </c>
      <c r="E1532" s="43">
        <v>15000</v>
      </c>
      <c r="F1532" s="43"/>
      <c r="G1532" s="364">
        <f t="shared" si="5"/>
        <v>48440</v>
      </c>
      <c r="H1532" s="391" t="s">
        <v>9568</v>
      </c>
    </row>
    <row r="1533" spans="1:8" x14ac:dyDescent="0.3">
      <c r="A1533" s="45">
        <v>43858</v>
      </c>
      <c r="B1533" s="399"/>
      <c r="C1533" s="5" t="s">
        <v>1787</v>
      </c>
      <c r="D1533" s="5" t="s">
        <v>6913</v>
      </c>
      <c r="E1533" s="43">
        <v>1200</v>
      </c>
      <c r="F1533" s="43"/>
      <c r="G1533" s="364">
        <f t="shared" si="5"/>
        <v>47240</v>
      </c>
      <c r="H1533" s="391" t="s">
        <v>9568</v>
      </c>
    </row>
    <row r="1534" spans="1:8" x14ac:dyDescent="0.3">
      <c r="A1534" s="45">
        <v>43858</v>
      </c>
      <c r="B1534" s="399"/>
      <c r="C1534" s="5" t="s">
        <v>1616</v>
      </c>
      <c r="D1534" s="5" t="s">
        <v>640</v>
      </c>
      <c r="E1534" s="43">
        <v>1500</v>
      </c>
      <c r="F1534" s="43"/>
      <c r="G1534" s="364">
        <f t="shared" si="5"/>
        <v>45740</v>
      </c>
      <c r="H1534" s="391" t="s">
        <v>9568</v>
      </c>
    </row>
    <row r="1535" spans="1:8" x14ac:dyDescent="0.3">
      <c r="A1535" s="45">
        <v>43858</v>
      </c>
      <c r="B1535" s="399"/>
      <c r="C1535" s="5" t="s">
        <v>5482</v>
      </c>
      <c r="D1535" s="5" t="s">
        <v>40</v>
      </c>
      <c r="E1535" s="43">
        <v>15000</v>
      </c>
      <c r="F1535" s="43"/>
      <c r="G1535" s="364">
        <f t="shared" si="5"/>
        <v>30740</v>
      </c>
      <c r="H1535" s="391" t="s">
        <v>9568</v>
      </c>
    </row>
    <row r="1536" spans="1:8" x14ac:dyDescent="0.3">
      <c r="A1536" s="45">
        <v>43858</v>
      </c>
      <c r="B1536" s="399"/>
      <c r="C1536" s="5" t="s">
        <v>25</v>
      </c>
      <c r="D1536" s="5" t="s">
        <v>6916</v>
      </c>
      <c r="E1536" s="43">
        <v>400</v>
      </c>
      <c r="F1536" s="43"/>
      <c r="G1536" s="364">
        <f t="shared" si="5"/>
        <v>30340</v>
      </c>
      <c r="H1536" s="391" t="s">
        <v>9568</v>
      </c>
    </row>
    <row r="1537" spans="1:11" x14ac:dyDescent="0.3">
      <c r="A1537" s="45">
        <v>43858</v>
      </c>
      <c r="B1537" s="399"/>
      <c r="C1537" s="5" t="s">
        <v>25</v>
      </c>
      <c r="D1537" s="5" t="s">
        <v>6917</v>
      </c>
      <c r="E1537" s="43">
        <v>5000</v>
      </c>
      <c r="F1537" s="43"/>
      <c r="G1537" s="364">
        <f t="shared" si="5"/>
        <v>25340</v>
      </c>
      <c r="H1537" s="391" t="s">
        <v>9568</v>
      </c>
    </row>
    <row r="1538" spans="1:11" x14ac:dyDescent="0.3">
      <c r="A1538" s="45">
        <v>43859</v>
      </c>
      <c r="B1538" s="399"/>
      <c r="C1538" s="5" t="s">
        <v>0</v>
      </c>
      <c r="D1538" s="5" t="s">
        <v>5629</v>
      </c>
      <c r="E1538" s="43">
        <v>10000</v>
      </c>
      <c r="F1538" s="43"/>
      <c r="G1538" s="364">
        <f t="shared" si="5"/>
        <v>15340</v>
      </c>
      <c r="H1538" s="391" t="s">
        <v>9568</v>
      </c>
    </row>
    <row r="1539" spans="1:11" x14ac:dyDescent="0.3">
      <c r="A1539" s="45">
        <v>43859</v>
      </c>
      <c r="B1539" s="399"/>
      <c r="C1539" s="5" t="s">
        <v>25</v>
      </c>
      <c r="D1539" s="5" t="s">
        <v>6879</v>
      </c>
      <c r="E1539" s="43">
        <v>100</v>
      </c>
      <c r="F1539" s="43"/>
      <c r="G1539" s="364">
        <f t="shared" si="5"/>
        <v>15240</v>
      </c>
      <c r="H1539" s="391" t="s">
        <v>9568</v>
      </c>
    </row>
    <row r="1540" spans="1:11" x14ac:dyDescent="0.3">
      <c r="A1540" s="45">
        <v>43859</v>
      </c>
      <c r="B1540" s="580"/>
      <c r="C1540" s="554" t="s">
        <v>4415</v>
      </c>
      <c r="D1540" s="554"/>
      <c r="E1540" s="554"/>
      <c r="F1540" s="43">
        <v>30000</v>
      </c>
      <c r="G1540" s="364">
        <f t="shared" ref="G1540:G1603" si="6">G1539+F1540-E1540</f>
        <v>45240</v>
      </c>
      <c r="H1540" s="391" t="s">
        <v>9568</v>
      </c>
    </row>
    <row r="1541" spans="1:11" x14ac:dyDescent="0.3">
      <c r="A1541" s="45">
        <v>43859</v>
      </c>
      <c r="B1541" s="399"/>
      <c r="C1541" s="5" t="s">
        <v>6918</v>
      </c>
      <c r="D1541" s="5" t="s">
        <v>40</v>
      </c>
      <c r="E1541" s="43">
        <v>5000</v>
      </c>
      <c r="F1541" s="43"/>
      <c r="G1541" s="364">
        <f t="shared" si="6"/>
        <v>40240</v>
      </c>
      <c r="H1541" s="391" t="s">
        <v>9568</v>
      </c>
    </row>
    <row r="1542" spans="1:11" x14ac:dyDescent="0.3">
      <c r="A1542" s="45">
        <v>43860</v>
      </c>
      <c r="B1542" s="399"/>
      <c r="C1542" s="5" t="s">
        <v>25</v>
      </c>
      <c r="D1542" s="5" t="s">
        <v>4276</v>
      </c>
      <c r="E1542" s="43">
        <f>800+360+280+200+40+100+180+30+200+450+440+90+500+30+330+20+30+50+30+100+430+280+200+120+50+300+150+200</f>
        <v>5990</v>
      </c>
      <c r="F1542" s="43"/>
      <c r="G1542" s="364">
        <f t="shared" si="6"/>
        <v>34250</v>
      </c>
      <c r="H1542" s="391" t="s">
        <v>9568</v>
      </c>
      <c r="J1542" s="166"/>
      <c r="K1542" s="166"/>
    </row>
    <row r="1543" spans="1:11" x14ac:dyDescent="0.3">
      <c r="A1543" s="45">
        <v>43862</v>
      </c>
      <c r="B1543" s="399"/>
      <c r="C1543" s="5" t="s">
        <v>11</v>
      </c>
      <c r="D1543" s="5" t="s">
        <v>6919</v>
      </c>
      <c r="E1543" s="43">
        <v>500</v>
      </c>
      <c r="F1543" s="43"/>
      <c r="G1543" s="364">
        <f t="shared" si="6"/>
        <v>33750</v>
      </c>
      <c r="H1543" s="391" t="s">
        <v>9568</v>
      </c>
      <c r="J1543" s="330"/>
      <c r="K1543" s="330"/>
    </row>
    <row r="1544" spans="1:11" x14ac:dyDescent="0.3">
      <c r="A1544" s="45">
        <v>43862</v>
      </c>
      <c r="B1544" s="399"/>
      <c r="C1544" s="5" t="s">
        <v>1074</v>
      </c>
      <c r="D1544" s="5" t="s">
        <v>6920</v>
      </c>
      <c r="E1544" s="43">
        <f>526+450+790</f>
        <v>1766</v>
      </c>
      <c r="F1544" s="43"/>
      <c r="G1544" s="364">
        <f t="shared" si="6"/>
        <v>31984</v>
      </c>
      <c r="H1544" s="391" t="s">
        <v>9568</v>
      </c>
      <c r="J1544" s="331"/>
      <c r="K1544" s="331"/>
    </row>
    <row r="1545" spans="1:11" x14ac:dyDescent="0.3">
      <c r="A1545" s="45">
        <v>43862</v>
      </c>
      <c r="B1545" s="399"/>
      <c r="C1545" s="5" t="s">
        <v>25</v>
      </c>
      <c r="D1545" s="5" t="s">
        <v>6049</v>
      </c>
      <c r="E1545" s="43">
        <v>100</v>
      </c>
      <c r="F1545" s="43"/>
      <c r="G1545" s="364">
        <f t="shared" si="6"/>
        <v>31884</v>
      </c>
      <c r="H1545" s="391" t="s">
        <v>9568</v>
      </c>
      <c r="J1545" s="331"/>
      <c r="K1545" s="331"/>
    </row>
    <row r="1546" spans="1:11" x14ac:dyDescent="0.3">
      <c r="A1546" s="45">
        <v>43862</v>
      </c>
      <c r="B1546" s="580"/>
      <c r="C1546" s="554" t="s">
        <v>4415</v>
      </c>
      <c r="D1546" s="554"/>
      <c r="E1546" s="554"/>
      <c r="F1546" s="43">
        <v>100000</v>
      </c>
      <c r="G1546" s="364">
        <f t="shared" si="6"/>
        <v>131884</v>
      </c>
      <c r="H1546" s="391" t="s">
        <v>9568</v>
      </c>
      <c r="J1546" s="331"/>
      <c r="K1546" s="331"/>
    </row>
    <row r="1547" spans="1:11" x14ac:dyDescent="0.3">
      <c r="A1547" s="45">
        <v>43863</v>
      </c>
      <c r="B1547" s="399"/>
      <c r="C1547" s="5" t="s">
        <v>6921</v>
      </c>
      <c r="D1547" s="5"/>
      <c r="E1547" s="43">
        <v>5000</v>
      </c>
      <c r="F1547" s="43"/>
      <c r="G1547" s="364">
        <f t="shared" si="6"/>
        <v>126884</v>
      </c>
      <c r="H1547" s="391" t="s">
        <v>9568</v>
      </c>
      <c r="J1547" s="331"/>
      <c r="K1547" s="331"/>
    </row>
    <row r="1548" spans="1:11" x14ac:dyDescent="0.3">
      <c r="A1548" s="45">
        <v>43863</v>
      </c>
      <c r="B1548" s="322"/>
      <c r="C1548" s="44" t="s">
        <v>26</v>
      </c>
      <c r="D1548" s="243" t="s">
        <v>6923</v>
      </c>
      <c r="E1548" s="28">
        <v>2600</v>
      </c>
      <c r="F1548" s="43"/>
      <c r="G1548" s="364">
        <f t="shared" si="6"/>
        <v>124284</v>
      </c>
      <c r="H1548" s="391" t="s">
        <v>9568</v>
      </c>
      <c r="J1548" s="331"/>
      <c r="K1548" s="244"/>
    </row>
    <row r="1549" spans="1:11" x14ac:dyDescent="0.3">
      <c r="A1549" s="45">
        <v>43864</v>
      </c>
      <c r="B1549" s="399"/>
      <c r="C1549" s="5" t="s">
        <v>1012</v>
      </c>
      <c r="D1549" s="5" t="s">
        <v>6928</v>
      </c>
      <c r="E1549" s="43">
        <v>5000</v>
      </c>
      <c r="F1549" s="43"/>
      <c r="G1549" s="364">
        <f t="shared" si="6"/>
        <v>119284</v>
      </c>
      <c r="H1549" s="391" t="s">
        <v>9568</v>
      </c>
    </row>
    <row r="1550" spans="1:11" x14ac:dyDescent="0.3">
      <c r="A1550" s="45">
        <v>43864</v>
      </c>
      <c r="B1550" s="580"/>
      <c r="C1550" s="554" t="s">
        <v>4415</v>
      </c>
      <c r="D1550" s="554"/>
      <c r="E1550" s="554"/>
      <c r="F1550" s="43">
        <v>465000</v>
      </c>
      <c r="G1550" s="364">
        <f t="shared" si="6"/>
        <v>584284</v>
      </c>
      <c r="H1550" s="391" t="s">
        <v>9568</v>
      </c>
    </row>
    <row r="1551" spans="1:11" x14ac:dyDescent="0.3">
      <c r="A1551" s="45">
        <v>43864</v>
      </c>
      <c r="B1551" s="399"/>
      <c r="C1551" s="5" t="s">
        <v>6171</v>
      </c>
      <c r="D1551" s="5" t="s">
        <v>3332</v>
      </c>
      <c r="E1551" s="43">
        <v>22000</v>
      </c>
      <c r="F1551" s="43"/>
      <c r="G1551" s="364">
        <f t="shared" si="6"/>
        <v>562284</v>
      </c>
      <c r="H1551" s="391" t="s">
        <v>9568</v>
      </c>
    </row>
    <row r="1552" spans="1:11" x14ac:dyDescent="0.3">
      <c r="A1552" s="45">
        <v>43864</v>
      </c>
      <c r="B1552" s="399"/>
      <c r="C1552" s="5" t="s">
        <v>0</v>
      </c>
      <c r="D1552" s="5" t="s">
        <v>294</v>
      </c>
      <c r="E1552" s="43">
        <v>5000</v>
      </c>
      <c r="F1552" s="43"/>
      <c r="G1552" s="364">
        <f t="shared" si="6"/>
        <v>557284</v>
      </c>
      <c r="H1552" s="391" t="s">
        <v>9568</v>
      </c>
    </row>
    <row r="1553" spans="1:8" x14ac:dyDescent="0.3">
      <c r="A1553" s="45">
        <v>43865</v>
      </c>
      <c r="B1553" s="399"/>
      <c r="C1553" s="5" t="s">
        <v>25</v>
      </c>
      <c r="D1553" s="5" t="s">
        <v>6924</v>
      </c>
      <c r="E1553" s="43">
        <v>1000</v>
      </c>
      <c r="F1553" s="43"/>
      <c r="G1553" s="364">
        <f t="shared" si="6"/>
        <v>556284</v>
      </c>
      <c r="H1553" s="391" t="s">
        <v>9568</v>
      </c>
    </row>
    <row r="1554" spans="1:8" x14ac:dyDescent="0.3">
      <c r="A1554" s="45">
        <v>43865</v>
      </c>
      <c r="B1554" s="399"/>
      <c r="C1554" s="5" t="s">
        <v>6430</v>
      </c>
      <c r="D1554" s="5" t="s">
        <v>5629</v>
      </c>
      <c r="E1554" s="43">
        <v>2500</v>
      </c>
      <c r="F1554" s="43"/>
      <c r="G1554" s="364">
        <f t="shared" si="6"/>
        <v>553784</v>
      </c>
      <c r="H1554" s="391" t="s">
        <v>9568</v>
      </c>
    </row>
    <row r="1555" spans="1:8" x14ac:dyDescent="0.3">
      <c r="A1555" s="45">
        <v>43865</v>
      </c>
      <c r="B1555" s="399"/>
      <c r="C1555" s="5" t="s">
        <v>25</v>
      </c>
      <c r="D1555" s="5" t="s">
        <v>2013</v>
      </c>
      <c r="E1555" s="43">
        <v>120</v>
      </c>
      <c r="F1555" s="43"/>
      <c r="G1555" s="364">
        <f t="shared" si="6"/>
        <v>553664</v>
      </c>
      <c r="H1555" s="391" t="s">
        <v>9568</v>
      </c>
    </row>
    <row r="1556" spans="1:8" x14ac:dyDescent="0.3">
      <c r="A1556" s="45">
        <v>43865</v>
      </c>
      <c r="B1556" s="399"/>
      <c r="C1556" s="5" t="s">
        <v>25</v>
      </c>
      <c r="D1556" s="5" t="s">
        <v>6925</v>
      </c>
      <c r="E1556" s="43">
        <v>3240</v>
      </c>
      <c r="F1556" s="43"/>
      <c r="G1556" s="364">
        <f t="shared" si="6"/>
        <v>550424</v>
      </c>
      <c r="H1556" s="391" t="s">
        <v>9568</v>
      </c>
    </row>
    <row r="1557" spans="1:8" x14ac:dyDescent="0.3">
      <c r="A1557" s="45">
        <v>43865</v>
      </c>
      <c r="B1557" s="399"/>
      <c r="C1557" s="5" t="s">
        <v>6926</v>
      </c>
      <c r="D1557" s="5" t="s">
        <v>5156</v>
      </c>
      <c r="E1557" s="43">
        <v>900</v>
      </c>
      <c r="F1557" s="43"/>
      <c r="G1557" s="364">
        <f t="shared" si="6"/>
        <v>549524</v>
      </c>
      <c r="H1557" s="391" t="s">
        <v>9568</v>
      </c>
    </row>
    <row r="1558" spans="1:8" x14ac:dyDescent="0.3">
      <c r="A1558" s="45">
        <v>43865</v>
      </c>
      <c r="B1558" s="399"/>
      <c r="C1558" s="5" t="s">
        <v>1837</v>
      </c>
      <c r="D1558" s="5" t="s">
        <v>6927</v>
      </c>
      <c r="E1558" s="43">
        <v>500</v>
      </c>
      <c r="F1558" s="43"/>
      <c r="G1558" s="364">
        <f t="shared" si="6"/>
        <v>549024</v>
      </c>
      <c r="H1558" s="391" t="s">
        <v>9568</v>
      </c>
    </row>
    <row r="1559" spans="1:8" x14ac:dyDescent="0.3">
      <c r="A1559" s="45">
        <v>43865</v>
      </c>
      <c r="B1559" s="399"/>
      <c r="C1559" s="5" t="s">
        <v>1012</v>
      </c>
      <c r="D1559" s="5" t="s">
        <v>6928</v>
      </c>
      <c r="E1559" s="43">
        <v>5000</v>
      </c>
      <c r="F1559" s="43"/>
      <c r="G1559" s="364">
        <f t="shared" si="6"/>
        <v>544024</v>
      </c>
      <c r="H1559" s="391" t="s">
        <v>9568</v>
      </c>
    </row>
    <row r="1560" spans="1:8" x14ac:dyDescent="0.3">
      <c r="A1560" s="45">
        <v>43865</v>
      </c>
      <c r="B1560" s="402"/>
      <c r="C1560" s="39" t="s">
        <v>1512</v>
      </c>
      <c r="D1560" s="39" t="s">
        <v>6546</v>
      </c>
      <c r="E1560" s="183">
        <v>122746</v>
      </c>
      <c r="F1560" s="183"/>
      <c r="G1560" s="364">
        <f t="shared" si="6"/>
        <v>421278</v>
      </c>
      <c r="H1560" s="391" t="s">
        <v>9568</v>
      </c>
    </row>
    <row r="1561" spans="1:8" x14ac:dyDescent="0.3">
      <c r="A1561" s="45">
        <v>43865</v>
      </c>
      <c r="B1561" s="402"/>
      <c r="C1561" s="39" t="s">
        <v>1512</v>
      </c>
      <c r="D1561" s="39" t="s">
        <v>6387</v>
      </c>
      <c r="E1561" s="183">
        <v>104427</v>
      </c>
      <c r="F1561" s="183"/>
      <c r="G1561" s="364">
        <f t="shared" si="6"/>
        <v>316851</v>
      </c>
      <c r="H1561" s="391" t="s">
        <v>9568</v>
      </c>
    </row>
    <row r="1562" spans="1:8" x14ac:dyDescent="0.3">
      <c r="A1562" s="45">
        <v>43865</v>
      </c>
      <c r="B1562" s="402"/>
      <c r="C1562" s="39" t="s">
        <v>1512</v>
      </c>
      <c r="D1562" s="39" t="s">
        <v>6929</v>
      </c>
      <c r="E1562" s="183">
        <v>200871</v>
      </c>
      <c r="F1562" s="183"/>
      <c r="G1562" s="364">
        <f t="shared" si="6"/>
        <v>115980</v>
      </c>
      <c r="H1562" s="391" t="s">
        <v>9568</v>
      </c>
    </row>
    <row r="1563" spans="1:8" x14ac:dyDescent="0.3">
      <c r="A1563" s="45">
        <v>43865</v>
      </c>
      <c r="B1563" s="402"/>
      <c r="C1563" s="39" t="s">
        <v>1512</v>
      </c>
      <c r="D1563" s="39" t="s">
        <v>6930</v>
      </c>
      <c r="E1563" s="183">
        <v>81903</v>
      </c>
      <c r="F1563" s="183"/>
      <c r="G1563" s="364">
        <f t="shared" si="6"/>
        <v>34077</v>
      </c>
      <c r="H1563" s="391" t="s">
        <v>9568</v>
      </c>
    </row>
    <row r="1564" spans="1:8" x14ac:dyDescent="0.3">
      <c r="A1564" s="45">
        <v>43865</v>
      </c>
      <c r="B1564" s="399"/>
      <c r="C1564" s="5" t="s">
        <v>6931</v>
      </c>
      <c r="D1564" s="5" t="s">
        <v>6932</v>
      </c>
      <c r="E1564" s="43">
        <v>2000</v>
      </c>
      <c r="F1564" s="43"/>
      <c r="G1564" s="364">
        <f t="shared" si="6"/>
        <v>32077</v>
      </c>
      <c r="H1564" s="391" t="s">
        <v>9568</v>
      </c>
    </row>
    <row r="1565" spans="1:8" x14ac:dyDescent="0.3">
      <c r="A1565" s="45">
        <v>43867</v>
      </c>
      <c r="B1565" s="399"/>
      <c r="C1565" s="5" t="s">
        <v>25</v>
      </c>
      <c r="D1565" s="5" t="s">
        <v>4276</v>
      </c>
      <c r="E1565" s="43">
        <f>1400+320+40+40+280+60+140+120+130+80+200+180+280</f>
        <v>3270</v>
      </c>
      <c r="F1565" s="43"/>
      <c r="G1565" s="364">
        <f t="shared" si="6"/>
        <v>28807</v>
      </c>
      <c r="H1565" s="391" t="s">
        <v>9568</v>
      </c>
    </row>
    <row r="1566" spans="1:8" x14ac:dyDescent="0.3">
      <c r="A1566" s="45">
        <v>43867</v>
      </c>
      <c r="B1566" s="399"/>
      <c r="C1566" s="5" t="s">
        <v>1837</v>
      </c>
      <c r="D1566" s="5" t="s">
        <v>6933</v>
      </c>
      <c r="E1566" s="43">
        <v>6000</v>
      </c>
      <c r="F1566" s="43"/>
      <c r="G1566" s="364">
        <f t="shared" si="6"/>
        <v>22807</v>
      </c>
      <c r="H1566" s="391" t="s">
        <v>9568</v>
      </c>
    </row>
    <row r="1567" spans="1:8" x14ac:dyDescent="0.3">
      <c r="A1567" s="45">
        <v>43867</v>
      </c>
      <c r="B1567" s="402"/>
      <c r="C1567" s="39" t="s">
        <v>1512</v>
      </c>
      <c r="D1567" s="39" t="s">
        <v>6934</v>
      </c>
      <c r="E1567" s="183">
        <v>11435</v>
      </c>
      <c r="F1567" s="183"/>
      <c r="G1567" s="364">
        <f t="shared" si="6"/>
        <v>11372</v>
      </c>
      <c r="H1567" s="391" t="s">
        <v>9568</v>
      </c>
    </row>
    <row r="1568" spans="1:8" x14ac:dyDescent="0.3">
      <c r="A1568" s="45">
        <v>43867</v>
      </c>
      <c r="B1568" s="402"/>
      <c r="C1568" s="39" t="s">
        <v>1512</v>
      </c>
      <c r="D1568" s="39" t="s">
        <v>6935</v>
      </c>
      <c r="E1568" s="43">
        <v>7950</v>
      </c>
      <c r="F1568" s="43"/>
      <c r="G1568" s="364">
        <f t="shared" si="6"/>
        <v>3422</v>
      </c>
      <c r="H1568" s="391" t="s">
        <v>9568</v>
      </c>
    </row>
    <row r="1569" spans="1:8" x14ac:dyDescent="0.3">
      <c r="A1569" s="45">
        <v>43867</v>
      </c>
      <c r="B1569" s="580"/>
      <c r="C1569" s="554" t="s">
        <v>4415</v>
      </c>
      <c r="D1569" s="554"/>
      <c r="E1569" s="554"/>
      <c r="F1569" s="43">
        <v>235000</v>
      </c>
      <c r="G1569" s="364">
        <f t="shared" si="6"/>
        <v>238422</v>
      </c>
      <c r="H1569" s="391" t="s">
        <v>9568</v>
      </c>
    </row>
    <row r="1570" spans="1:8" x14ac:dyDescent="0.3">
      <c r="A1570" s="45">
        <v>43867</v>
      </c>
      <c r="B1570" s="399"/>
      <c r="C1570" s="5" t="s">
        <v>0</v>
      </c>
      <c r="D1570" s="5" t="s">
        <v>294</v>
      </c>
      <c r="E1570" s="43">
        <v>35000</v>
      </c>
      <c r="F1570" s="43"/>
      <c r="G1570" s="364">
        <f t="shared" si="6"/>
        <v>203422</v>
      </c>
      <c r="H1570" s="391" t="s">
        <v>9568</v>
      </c>
    </row>
    <row r="1571" spans="1:8" x14ac:dyDescent="0.3">
      <c r="A1571" s="45">
        <v>43838</v>
      </c>
      <c r="B1571" s="402"/>
      <c r="C1571" s="39" t="s">
        <v>1512</v>
      </c>
      <c r="D1571" s="39" t="s">
        <v>6936</v>
      </c>
      <c r="E1571" s="183">
        <v>104609</v>
      </c>
      <c r="F1571" s="183"/>
      <c r="G1571" s="364">
        <f t="shared" si="6"/>
        <v>98813</v>
      </c>
      <c r="H1571" s="391" t="s">
        <v>9568</v>
      </c>
    </row>
    <row r="1572" spans="1:8" x14ac:dyDescent="0.3">
      <c r="A1572" s="45">
        <v>43838</v>
      </c>
      <c r="B1572" s="402"/>
      <c r="C1572" s="39" t="s">
        <v>1512</v>
      </c>
      <c r="D1572" s="39" t="s">
        <v>6556</v>
      </c>
      <c r="E1572" s="183">
        <v>52202</v>
      </c>
      <c r="F1572" s="183"/>
      <c r="G1572" s="364">
        <f t="shared" si="6"/>
        <v>46611</v>
      </c>
      <c r="H1572" s="391" t="s">
        <v>9568</v>
      </c>
    </row>
    <row r="1573" spans="1:8" x14ac:dyDescent="0.3">
      <c r="A1573" s="45">
        <v>43838</v>
      </c>
      <c r="B1573" s="402"/>
      <c r="C1573" s="39" t="s">
        <v>1512</v>
      </c>
      <c r="D1573" s="39" t="s">
        <v>6678</v>
      </c>
      <c r="E1573" s="183">
        <v>43000</v>
      </c>
      <c r="F1573" s="183"/>
      <c r="G1573" s="364">
        <f t="shared" si="6"/>
        <v>3611</v>
      </c>
      <c r="H1573" s="391" t="s">
        <v>9568</v>
      </c>
    </row>
    <row r="1574" spans="1:8" x14ac:dyDescent="0.3">
      <c r="A1574" s="45">
        <v>43838</v>
      </c>
      <c r="B1574" s="401"/>
      <c r="C1574" s="73" t="s">
        <v>25</v>
      </c>
      <c r="D1574" s="73" t="s">
        <v>6939</v>
      </c>
      <c r="E1574" s="183">
        <v>100</v>
      </c>
      <c r="F1574" s="183"/>
      <c r="G1574" s="364">
        <f t="shared" si="6"/>
        <v>3511</v>
      </c>
      <c r="H1574" s="391" t="s">
        <v>9568</v>
      </c>
    </row>
    <row r="1575" spans="1:8" x14ac:dyDescent="0.3">
      <c r="A1575" s="45">
        <v>43838</v>
      </c>
      <c r="B1575" s="401"/>
      <c r="C1575" s="73" t="s">
        <v>6430</v>
      </c>
      <c r="D1575" s="73" t="s">
        <v>294</v>
      </c>
      <c r="E1575" s="183">
        <v>1000</v>
      </c>
      <c r="F1575" s="183"/>
      <c r="G1575" s="364">
        <f t="shared" si="6"/>
        <v>2511</v>
      </c>
      <c r="H1575" s="391" t="s">
        <v>9568</v>
      </c>
    </row>
    <row r="1576" spans="1:8" x14ac:dyDescent="0.3">
      <c r="A1576" s="45">
        <v>43839</v>
      </c>
      <c r="B1576" s="580"/>
      <c r="C1576" s="554" t="s">
        <v>3444</v>
      </c>
      <c r="D1576" s="554"/>
      <c r="E1576" s="554"/>
      <c r="F1576" s="43">
        <v>100000</v>
      </c>
      <c r="G1576" s="364">
        <f t="shared" si="6"/>
        <v>102511</v>
      </c>
      <c r="H1576" s="391" t="s">
        <v>9568</v>
      </c>
    </row>
    <row r="1577" spans="1:8" x14ac:dyDescent="0.3">
      <c r="A1577" s="45">
        <v>43839</v>
      </c>
      <c r="B1577" s="580"/>
      <c r="C1577" s="554" t="s">
        <v>3444</v>
      </c>
      <c r="D1577" s="554"/>
      <c r="E1577" s="554"/>
      <c r="F1577" s="43">
        <v>35000</v>
      </c>
      <c r="G1577" s="364">
        <f t="shared" si="6"/>
        <v>137511</v>
      </c>
      <c r="H1577" s="391" t="s">
        <v>9568</v>
      </c>
    </row>
    <row r="1578" spans="1:8" x14ac:dyDescent="0.3">
      <c r="A1578" s="45">
        <v>43839</v>
      </c>
      <c r="B1578" s="580"/>
      <c r="C1578" s="554" t="s">
        <v>4415</v>
      </c>
      <c r="D1578" s="554"/>
      <c r="E1578" s="554"/>
      <c r="F1578" s="43">
        <v>30000</v>
      </c>
      <c r="G1578" s="364">
        <f t="shared" si="6"/>
        <v>167511</v>
      </c>
      <c r="H1578" s="391" t="s">
        <v>9568</v>
      </c>
    </row>
    <row r="1579" spans="1:8" x14ac:dyDescent="0.3">
      <c r="A1579" s="45">
        <v>43838</v>
      </c>
      <c r="B1579" s="401"/>
      <c r="C1579" s="73" t="s">
        <v>1012</v>
      </c>
      <c r="D1579" s="73" t="s">
        <v>6875</v>
      </c>
      <c r="E1579" s="43">
        <v>10000</v>
      </c>
      <c r="F1579" s="43"/>
      <c r="G1579" s="364">
        <f t="shared" si="6"/>
        <v>157511</v>
      </c>
      <c r="H1579" s="391" t="s">
        <v>9568</v>
      </c>
    </row>
    <row r="1580" spans="1:8" x14ac:dyDescent="0.3">
      <c r="A1580" s="45">
        <v>43838</v>
      </c>
      <c r="B1580" s="401"/>
      <c r="C1580" s="73" t="s">
        <v>5709</v>
      </c>
      <c r="D1580" s="73" t="s">
        <v>6940</v>
      </c>
      <c r="E1580" s="43">
        <v>3400</v>
      </c>
      <c r="F1580" s="43"/>
      <c r="G1580" s="364">
        <f t="shared" si="6"/>
        <v>154111</v>
      </c>
      <c r="H1580" s="391" t="s">
        <v>9568</v>
      </c>
    </row>
    <row r="1581" spans="1:8" x14ac:dyDescent="0.3">
      <c r="A1581" s="45">
        <v>43839</v>
      </c>
      <c r="B1581" s="399"/>
      <c r="C1581" s="5" t="s">
        <v>1787</v>
      </c>
      <c r="D1581" s="5" t="s">
        <v>6941</v>
      </c>
      <c r="E1581" s="43">
        <v>3000</v>
      </c>
      <c r="F1581" s="43"/>
      <c r="G1581" s="364">
        <f t="shared" si="6"/>
        <v>151111</v>
      </c>
      <c r="H1581" s="391" t="s">
        <v>9568</v>
      </c>
    </row>
    <row r="1582" spans="1:8" x14ac:dyDescent="0.3">
      <c r="A1582" s="45">
        <v>43839</v>
      </c>
      <c r="B1582" s="399"/>
      <c r="C1582" s="5" t="s">
        <v>57</v>
      </c>
      <c r="D1582" s="92" t="s">
        <v>6942</v>
      </c>
      <c r="E1582" s="43">
        <v>2000</v>
      </c>
      <c r="F1582" s="43"/>
      <c r="G1582" s="364">
        <f t="shared" si="6"/>
        <v>149111</v>
      </c>
      <c r="H1582" s="391" t="s">
        <v>9568</v>
      </c>
    </row>
    <row r="1583" spans="1:8" x14ac:dyDescent="0.3">
      <c r="A1583" s="45">
        <v>43839</v>
      </c>
      <c r="B1583" s="399"/>
      <c r="C1583" s="5" t="s">
        <v>56</v>
      </c>
      <c r="D1583" s="5" t="s">
        <v>6943</v>
      </c>
      <c r="E1583" s="43">
        <v>350</v>
      </c>
      <c r="F1583" s="43"/>
      <c r="G1583" s="364">
        <f t="shared" si="6"/>
        <v>148761</v>
      </c>
      <c r="H1583" s="391" t="s">
        <v>9568</v>
      </c>
    </row>
    <row r="1584" spans="1:8" x14ac:dyDescent="0.3">
      <c r="A1584" s="45">
        <v>43839</v>
      </c>
      <c r="B1584" s="399"/>
      <c r="C1584" s="5" t="s">
        <v>1616</v>
      </c>
      <c r="D1584" s="5" t="s">
        <v>640</v>
      </c>
      <c r="E1584" s="43">
        <v>600</v>
      </c>
      <c r="F1584" s="43"/>
      <c r="G1584" s="364">
        <f t="shared" si="6"/>
        <v>148161</v>
      </c>
      <c r="H1584" s="391" t="s">
        <v>9568</v>
      </c>
    </row>
    <row r="1585" spans="1:8" x14ac:dyDescent="0.3">
      <c r="A1585" s="45">
        <v>43839</v>
      </c>
      <c r="B1585" s="399"/>
      <c r="C1585" s="5" t="s">
        <v>6944</v>
      </c>
      <c r="D1585" s="5" t="s">
        <v>4703</v>
      </c>
      <c r="E1585" s="43">
        <v>2000</v>
      </c>
      <c r="F1585" s="43"/>
      <c r="G1585" s="364">
        <f t="shared" si="6"/>
        <v>146161</v>
      </c>
      <c r="H1585" s="391" t="s">
        <v>9568</v>
      </c>
    </row>
    <row r="1586" spans="1:8" x14ac:dyDescent="0.3">
      <c r="A1586" s="45">
        <v>43839</v>
      </c>
      <c r="B1586" s="402"/>
      <c r="C1586" s="39" t="s">
        <v>1512</v>
      </c>
      <c r="D1586" s="39" t="s">
        <v>6945</v>
      </c>
      <c r="E1586" s="183">
        <v>24870</v>
      </c>
      <c r="F1586" s="183"/>
      <c r="G1586" s="364">
        <f t="shared" si="6"/>
        <v>121291</v>
      </c>
      <c r="H1586" s="391" t="s">
        <v>9568</v>
      </c>
    </row>
    <row r="1587" spans="1:8" x14ac:dyDescent="0.3">
      <c r="A1587" s="45">
        <v>43839</v>
      </c>
      <c r="B1587" s="399"/>
      <c r="C1587" s="5" t="s">
        <v>4550</v>
      </c>
      <c r="D1587" s="5" t="s">
        <v>294</v>
      </c>
      <c r="E1587" s="43">
        <v>20000</v>
      </c>
      <c r="F1587" s="43"/>
      <c r="G1587" s="364">
        <f t="shared" si="6"/>
        <v>101291</v>
      </c>
      <c r="H1587" s="391" t="s">
        <v>9568</v>
      </c>
    </row>
    <row r="1588" spans="1:8" x14ac:dyDescent="0.3">
      <c r="A1588" s="45">
        <v>43839</v>
      </c>
      <c r="B1588" s="399"/>
      <c r="C1588" s="5" t="s">
        <v>84</v>
      </c>
      <c r="D1588" s="5" t="s">
        <v>6948</v>
      </c>
      <c r="E1588" s="43">
        <v>5000</v>
      </c>
      <c r="F1588" s="43"/>
      <c r="G1588" s="364">
        <f t="shared" si="6"/>
        <v>96291</v>
      </c>
      <c r="H1588" s="391" t="s">
        <v>9568</v>
      </c>
    </row>
    <row r="1589" spans="1:8" x14ac:dyDescent="0.3">
      <c r="A1589" s="45">
        <v>43839</v>
      </c>
      <c r="B1589" s="399"/>
      <c r="C1589" s="5" t="s">
        <v>5162</v>
      </c>
      <c r="D1589" s="5" t="s">
        <v>6038</v>
      </c>
      <c r="E1589" s="43">
        <v>600</v>
      </c>
      <c r="F1589" s="43"/>
      <c r="G1589" s="364">
        <f t="shared" si="6"/>
        <v>95691</v>
      </c>
      <c r="H1589" s="391" t="s">
        <v>9568</v>
      </c>
    </row>
    <row r="1590" spans="1:8" ht="37.5" x14ac:dyDescent="0.3">
      <c r="A1590" s="45">
        <v>43839</v>
      </c>
      <c r="B1590" s="399"/>
      <c r="C1590" s="5" t="s">
        <v>6946</v>
      </c>
      <c r="D1590" s="92" t="s">
        <v>6947</v>
      </c>
      <c r="E1590" s="43">
        <v>35300</v>
      </c>
      <c r="F1590" s="43"/>
      <c r="G1590" s="364">
        <f t="shared" si="6"/>
        <v>60391</v>
      </c>
      <c r="H1590" s="391" t="s">
        <v>9568</v>
      </c>
    </row>
    <row r="1591" spans="1:8" x14ac:dyDescent="0.3">
      <c r="A1591" s="45">
        <v>43839</v>
      </c>
      <c r="B1591" s="399"/>
      <c r="C1591" s="5" t="s">
        <v>14</v>
      </c>
      <c r="D1591" s="5" t="s">
        <v>294</v>
      </c>
      <c r="E1591" s="43">
        <v>25000</v>
      </c>
      <c r="F1591" s="43"/>
      <c r="G1591" s="364">
        <f t="shared" si="6"/>
        <v>35391</v>
      </c>
      <c r="H1591" s="391" t="s">
        <v>9568</v>
      </c>
    </row>
    <row r="1592" spans="1:8" x14ac:dyDescent="0.3">
      <c r="A1592" s="45">
        <v>43839</v>
      </c>
      <c r="B1592" s="399"/>
      <c r="C1592" s="5" t="s">
        <v>84</v>
      </c>
      <c r="D1592" s="5" t="s">
        <v>6949</v>
      </c>
      <c r="E1592" s="43">
        <v>15000</v>
      </c>
      <c r="F1592" s="43"/>
      <c r="G1592" s="364">
        <f t="shared" si="6"/>
        <v>20391</v>
      </c>
      <c r="H1592" s="391" t="s">
        <v>9568</v>
      </c>
    </row>
    <row r="1593" spans="1:8" x14ac:dyDescent="0.3">
      <c r="A1593" s="45">
        <v>43840</v>
      </c>
      <c r="B1593" s="399"/>
      <c r="C1593" s="5" t="s">
        <v>0</v>
      </c>
      <c r="D1593" s="5" t="s">
        <v>294</v>
      </c>
      <c r="E1593" s="43">
        <v>13000</v>
      </c>
      <c r="F1593" s="43"/>
      <c r="G1593" s="364">
        <f t="shared" si="6"/>
        <v>7391</v>
      </c>
      <c r="H1593" s="391" t="s">
        <v>9568</v>
      </c>
    </row>
    <row r="1594" spans="1:8" x14ac:dyDescent="0.3">
      <c r="A1594" s="45">
        <v>43840</v>
      </c>
      <c r="B1594" s="580"/>
      <c r="C1594" s="554" t="s">
        <v>3444</v>
      </c>
      <c r="D1594" s="554"/>
      <c r="E1594" s="554"/>
      <c r="F1594" s="43">
        <v>150000</v>
      </c>
      <c r="G1594" s="364">
        <f t="shared" si="6"/>
        <v>157391</v>
      </c>
      <c r="H1594" s="391" t="s">
        <v>9568</v>
      </c>
    </row>
    <row r="1595" spans="1:8" x14ac:dyDescent="0.3">
      <c r="A1595" s="45">
        <v>43840</v>
      </c>
      <c r="B1595" s="399"/>
      <c r="C1595" s="5" t="s">
        <v>6341</v>
      </c>
      <c r="D1595" s="5" t="s">
        <v>6950</v>
      </c>
      <c r="E1595" s="43">
        <v>15000</v>
      </c>
      <c r="F1595" s="43"/>
      <c r="G1595" s="364">
        <f t="shared" si="6"/>
        <v>142391</v>
      </c>
      <c r="H1595" s="391" t="s">
        <v>9568</v>
      </c>
    </row>
    <row r="1596" spans="1:8" x14ac:dyDescent="0.3">
      <c r="A1596" s="45">
        <v>43840</v>
      </c>
      <c r="B1596" s="402"/>
      <c r="C1596" s="39" t="s">
        <v>1512</v>
      </c>
      <c r="D1596" s="39" t="s">
        <v>6557</v>
      </c>
      <c r="E1596" s="183">
        <v>53987</v>
      </c>
      <c r="F1596" s="183"/>
      <c r="G1596" s="364">
        <f t="shared" si="6"/>
        <v>88404</v>
      </c>
      <c r="H1596" s="391" t="s">
        <v>9568</v>
      </c>
    </row>
    <row r="1597" spans="1:8" x14ac:dyDescent="0.3">
      <c r="A1597" s="45">
        <v>43840</v>
      </c>
      <c r="B1597" s="402"/>
      <c r="C1597" s="39" t="s">
        <v>1512</v>
      </c>
      <c r="D1597" s="5" t="s">
        <v>6759</v>
      </c>
      <c r="E1597" s="43">
        <v>39600</v>
      </c>
      <c r="F1597" s="43"/>
      <c r="G1597" s="364">
        <f t="shared" si="6"/>
        <v>48804</v>
      </c>
      <c r="H1597" s="391" t="s">
        <v>9568</v>
      </c>
    </row>
    <row r="1598" spans="1:8" x14ac:dyDescent="0.3">
      <c r="A1598" s="45">
        <v>43840</v>
      </c>
      <c r="B1598" s="399"/>
      <c r="C1598" s="5" t="s">
        <v>18</v>
      </c>
      <c r="D1598" s="5" t="s">
        <v>294</v>
      </c>
      <c r="E1598" s="43">
        <v>5000</v>
      </c>
      <c r="F1598" s="43"/>
      <c r="G1598" s="364">
        <f t="shared" si="6"/>
        <v>43804</v>
      </c>
      <c r="H1598" s="391" t="s">
        <v>9568</v>
      </c>
    </row>
    <row r="1599" spans="1:8" x14ac:dyDescent="0.3">
      <c r="A1599" s="45">
        <v>43841</v>
      </c>
      <c r="B1599" s="402"/>
      <c r="C1599" s="39" t="s">
        <v>1512</v>
      </c>
      <c r="D1599" s="5" t="s">
        <v>6951</v>
      </c>
      <c r="E1599" s="43">
        <v>21600</v>
      </c>
      <c r="F1599" s="43"/>
      <c r="G1599" s="364">
        <f t="shared" si="6"/>
        <v>22204</v>
      </c>
      <c r="H1599" s="391" t="s">
        <v>9568</v>
      </c>
    </row>
    <row r="1600" spans="1:8" x14ac:dyDescent="0.3">
      <c r="A1600" s="45">
        <v>43841</v>
      </c>
      <c r="B1600" s="402"/>
      <c r="C1600" s="39" t="s">
        <v>1512</v>
      </c>
      <c r="D1600" s="5" t="s">
        <v>6952</v>
      </c>
      <c r="E1600" s="43">
        <v>11700</v>
      </c>
      <c r="F1600" s="43"/>
      <c r="G1600" s="364">
        <f t="shared" si="6"/>
        <v>10504</v>
      </c>
      <c r="H1600" s="391" t="s">
        <v>9568</v>
      </c>
    </row>
    <row r="1601" spans="1:15" x14ac:dyDescent="0.3">
      <c r="A1601" s="45">
        <v>43841</v>
      </c>
      <c r="B1601" s="399"/>
      <c r="C1601" s="5" t="s">
        <v>25</v>
      </c>
      <c r="D1601" s="5" t="s">
        <v>6049</v>
      </c>
      <c r="E1601" s="43">
        <v>120</v>
      </c>
      <c r="F1601" s="43"/>
      <c r="G1601" s="364">
        <f t="shared" si="6"/>
        <v>10384</v>
      </c>
      <c r="H1601" s="391" t="s">
        <v>9568</v>
      </c>
    </row>
    <row r="1602" spans="1:15" x14ac:dyDescent="0.3">
      <c r="A1602" s="45">
        <v>43841</v>
      </c>
      <c r="B1602" s="402"/>
      <c r="C1602" s="39" t="s">
        <v>4869</v>
      </c>
      <c r="D1602" s="5" t="s">
        <v>40</v>
      </c>
      <c r="E1602" s="43">
        <v>4152</v>
      </c>
      <c r="F1602" s="43"/>
      <c r="G1602" s="364">
        <f t="shared" si="6"/>
        <v>6232</v>
      </c>
      <c r="H1602" s="391" t="s">
        <v>9568</v>
      </c>
    </row>
    <row r="1603" spans="1:15" x14ac:dyDescent="0.3">
      <c r="A1603" s="45">
        <v>43841</v>
      </c>
      <c r="B1603" s="402"/>
      <c r="C1603" s="39" t="s">
        <v>14</v>
      </c>
      <c r="D1603" s="5" t="s">
        <v>640</v>
      </c>
      <c r="E1603" s="43">
        <v>1000</v>
      </c>
      <c r="F1603" s="43"/>
      <c r="G1603" s="364">
        <f t="shared" si="6"/>
        <v>5232</v>
      </c>
      <c r="H1603" s="391" t="s">
        <v>9568</v>
      </c>
    </row>
    <row r="1604" spans="1:15" x14ac:dyDescent="0.3">
      <c r="A1604" s="45">
        <v>43841</v>
      </c>
      <c r="B1604" s="580"/>
      <c r="C1604" s="554" t="s">
        <v>3444</v>
      </c>
      <c r="D1604" s="554"/>
      <c r="E1604" s="554"/>
      <c r="F1604" s="43">
        <v>100000</v>
      </c>
      <c r="G1604" s="364">
        <f t="shared" ref="G1604:G1610" si="7">G1603+F1604-E1604</f>
        <v>105232</v>
      </c>
      <c r="H1604" s="391" t="s">
        <v>9568</v>
      </c>
    </row>
    <row r="1605" spans="1:15" x14ac:dyDescent="0.3">
      <c r="A1605" s="45">
        <v>43841</v>
      </c>
      <c r="B1605" s="402"/>
      <c r="C1605" s="39" t="s">
        <v>541</v>
      </c>
      <c r="D1605" s="5" t="s">
        <v>6955</v>
      </c>
      <c r="E1605" s="43">
        <v>11410</v>
      </c>
      <c r="F1605" s="43"/>
      <c r="G1605" s="364">
        <f t="shared" si="7"/>
        <v>93822</v>
      </c>
      <c r="H1605" s="391" t="s">
        <v>9568</v>
      </c>
    </row>
    <row r="1606" spans="1:15" x14ac:dyDescent="0.3">
      <c r="A1606" s="45">
        <v>43841</v>
      </c>
      <c r="B1606" s="401"/>
      <c r="C1606" s="73" t="s">
        <v>25</v>
      </c>
      <c r="D1606" s="5" t="s">
        <v>4276</v>
      </c>
      <c r="E1606" s="43">
        <v>4988</v>
      </c>
      <c r="F1606" s="43"/>
      <c r="G1606" s="364">
        <f t="shared" si="7"/>
        <v>88834</v>
      </c>
      <c r="H1606" s="391" t="s">
        <v>9568</v>
      </c>
    </row>
    <row r="1607" spans="1:15" x14ac:dyDescent="0.3">
      <c r="A1607" s="45">
        <v>43841</v>
      </c>
      <c r="B1607" s="401"/>
      <c r="C1607" s="73" t="s">
        <v>6430</v>
      </c>
      <c r="D1607" s="5" t="s">
        <v>4615</v>
      </c>
      <c r="E1607" s="43">
        <v>6000</v>
      </c>
      <c r="F1607" s="43"/>
      <c r="G1607" s="364">
        <f t="shared" si="7"/>
        <v>82834</v>
      </c>
      <c r="H1607" s="391" t="s">
        <v>9568</v>
      </c>
    </row>
    <row r="1608" spans="1:15" x14ac:dyDescent="0.3">
      <c r="A1608" s="45">
        <v>43841</v>
      </c>
      <c r="B1608" s="399"/>
      <c r="C1608" s="5" t="s">
        <v>5930</v>
      </c>
      <c r="D1608" s="5"/>
      <c r="E1608" s="43">
        <v>54480</v>
      </c>
      <c r="F1608" s="43"/>
      <c r="G1608" s="364">
        <f t="shared" si="7"/>
        <v>28354</v>
      </c>
      <c r="H1608" s="391" t="s">
        <v>9568</v>
      </c>
    </row>
    <row r="1609" spans="1:15" x14ac:dyDescent="0.3">
      <c r="A1609" s="45">
        <v>43842</v>
      </c>
      <c r="B1609" s="399"/>
      <c r="C1609" s="5" t="s">
        <v>14</v>
      </c>
      <c r="D1609" s="5" t="s">
        <v>294</v>
      </c>
      <c r="E1609" s="43">
        <v>20000</v>
      </c>
      <c r="F1609" s="43"/>
      <c r="G1609" s="364">
        <f t="shared" si="7"/>
        <v>8354</v>
      </c>
      <c r="H1609" s="391" t="s">
        <v>9568</v>
      </c>
    </row>
    <row r="1610" spans="1:15" x14ac:dyDescent="0.3">
      <c r="A1610" s="45">
        <v>43842</v>
      </c>
      <c r="B1610" s="399"/>
      <c r="C1610" s="5" t="s">
        <v>6908</v>
      </c>
      <c r="D1610" s="5" t="s">
        <v>2013</v>
      </c>
      <c r="E1610" s="43">
        <v>200</v>
      </c>
      <c r="F1610" s="43"/>
      <c r="G1610" s="364">
        <f t="shared" si="7"/>
        <v>8154</v>
      </c>
      <c r="H1610" s="391" t="s">
        <v>9568</v>
      </c>
    </row>
    <row r="1611" spans="1:15" x14ac:dyDescent="0.3">
      <c r="A1611" s="45">
        <v>43842</v>
      </c>
      <c r="B1611" s="580"/>
      <c r="C1611" s="554" t="s">
        <v>3444</v>
      </c>
      <c r="D1611" s="554"/>
      <c r="E1611" s="554"/>
      <c r="F1611" s="43">
        <v>50000</v>
      </c>
      <c r="G1611" s="364">
        <f t="shared" ref="G1611:G1616" si="8">G1610+F1611-E1611</f>
        <v>58154</v>
      </c>
      <c r="H1611" s="391" t="s">
        <v>9568</v>
      </c>
    </row>
    <row r="1612" spans="1:15" x14ac:dyDescent="0.3">
      <c r="A1612" s="45">
        <v>43842</v>
      </c>
      <c r="B1612" s="399"/>
      <c r="C1612" s="5" t="s">
        <v>6957</v>
      </c>
      <c r="D1612" s="5" t="s">
        <v>294</v>
      </c>
      <c r="E1612" s="43">
        <v>15000</v>
      </c>
      <c r="F1612" s="43"/>
      <c r="G1612" s="364">
        <f t="shared" si="8"/>
        <v>43154</v>
      </c>
      <c r="H1612" s="391" t="s">
        <v>9568</v>
      </c>
    </row>
    <row r="1613" spans="1:15" x14ac:dyDescent="0.3">
      <c r="A1613" s="45">
        <v>43842</v>
      </c>
      <c r="B1613" s="399"/>
      <c r="C1613" s="5" t="s">
        <v>5156</v>
      </c>
      <c r="D1613" s="5" t="s">
        <v>6958</v>
      </c>
      <c r="E1613" s="43">
        <v>500</v>
      </c>
      <c r="F1613" s="43"/>
      <c r="G1613" s="364">
        <f t="shared" si="8"/>
        <v>42654</v>
      </c>
      <c r="H1613" s="391" t="s">
        <v>9568</v>
      </c>
    </row>
    <row r="1614" spans="1:15" x14ac:dyDescent="0.3">
      <c r="A1614" s="45">
        <v>43842</v>
      </c>
      <c r="B1614" s="399"/>
      <c r="C1614" s="5" t="s">
        <v>6959</v>
      </c>
      <c r="D1614" s="5" t="s">
        <v>6960</v>
      </c>
      <c r="E1614" s="43">
        <v>500</v>
      </c>
      <c r="F1614" s="43"/>
      <c r="G1614" s="364">
        <f t="shared" si="8"/>
        <v>42154</v>
      </c>
      <c r="H1614" s="391" t="s">
        <v>9568</v>
      </c>
      <c r="O1614" s="93"/>
    </row>
    <row r="1615" spans="1:15" x14ac:dyDescent="0.3">
      <c r="A1615" s="45">
        <v>43842</v>
      </c>
      <c r="B1615" s="399"/>
      <c r="C1615" s="5" t="s">
        <v>1787</v>
      </c>
      <c r="D1615" s="5" t="s">
        <v>6961</v>
      </c>
      <c r="E1615" s="43">
        <v>2500</v>
      </c>
      <c r="F1615" s="43"/>
      <c r="G1615" s="364">
        <f t="shared" si="8"/>
        <v>39654</v>
      </c>
      <c r="H1615" s="391" t="s">
        <v>9568</v>
      </c>
      <c r="L1615" s="93"/>
    </row>
    <row r="1616" spans="1:15" x14ac:dyDescent="0.3">
      <c r="A1616" s="45">
        <v>43842</v>
      </c>
      <c r="B1616" s="399"/>
      <c r="C1616" s="5" t="s">
        <v>541</v>
      </c>
      <c r="D1616" s="5" t="s">
        <v>6962</v>
      </c>
      <c r="E1616" s="43">
        <v>15000</v>
      </c>
      <c r="F1616" s="43"/>
      <c r="G1616" s="364">
        <f t="shared" si="8"/>
        <v>24654</v>
      </c>
      <c r="H1616" s="391" t="s">
        <v>9568</v>
      </c>
      <c r="L1616" s="52"/>
    </row>
    <row r="1617" spans="1:12" x14ac:dyDescent="0.3">
      <c r="A1617" s="45">
        <v>43843</v>
      </c>
      <c r="B1617" s="580"/>
      <c r="C1617" s="554" t="s">
        <v>3444</v>
      </c>
      <c r="D1617" s="554"/>
      <c r="E1617" s="554"/>
      <c r="F1617" s="43">
        <v>150000</v>
      </c>
      <c r="G1617" s="364">
        <f t="shared" ref="G1617:G1665" si="9">G1616+F1617-E1617</f>
        <v>174654</v>
      </c>
      <c r="H1617" s="391" t="s">
        <v>9568</v>
      </c>
      <c r="L1617" s="93"/>
    </row>
    <row r="1618" spans="1:12" x14ac:dyDescent="0.3">
      <c r="A1618" s="45">
        <v>43843</v>
      </c>
      <c r="B1618" s="399"/>
      <c r="C1618" s="5" t="s">
        <v>14</v>
      </c>
      <c r="D1618" s="5" t="s">
        <v>294</v>
      </c>
      <c r="E1618" s="43">
        <v>15000</v>
      </c>
      <c r="F1618" s="43"/>
      <c r="G1618" s="364">
        <f t="shared" si="9"/>
        <v>159654</v>
      </c>
      <c r="H1618" s="391" t="s">
        <v>9568</v>
      </c>
      <c r="L1618" s="93"/>
    </row>
    <row r="1619" spans="1:12" x14ac:dyDescent="0.3">
      <c r="A1619" s="45">
        <v>43843</v>
      </c>
      <c r="B1619" s="399"/>
      <c r="C1619" s="5" t="s">
        <v>1012</v>
      </c>
      <c r="D1619" s="5" t="s">
        <v>6963</v>
      </c>
      <c r="E1619" s="43">
        <v>2000</v>
      </c>
      <c r="F1619" s="43"/>
      <c r="G1619" s="364">
        <f t="shared" si="9"/>
        <v>157654</v>
      </c>
      <c r="H1619" s="391" t="s">
        <v>9568</v>
      </c>
    </row>
    <row r="1620" spans="1:12" x14ac:dyDescent="0.3">
      <c r="A1620" s="45">
        <v>43843</v>
      </c>
      <c r="B1620" s="399"/>
      <c r="C1620" s="5" t="s">
        <v>110</v>
      </c>
      <c r="D1620" s="5" t="s">
        <v>3172</v>
      </c>
      <c r="E1620" s="43">
        <v>10500</v>
      </c>
      <c r="F1620" s="43"/>
      <c r="G1620" s="364">
        <f t="shared" si="9"/>
        <v>147154</v>
      </c>
      <c r="H1620" s="391" t="s">
        <v>9568</v>
      </c>
      <c r="L1620" s="93"/>
    </row>
    <row r="1621" spans="1:12" x14ac:dyDescent="0.3">
      <c r="A1621" s="45">
        <v>43845</v>
      </c>
      <c r="B1621" s="399"/>
      <c r="C1621" s="5" t="s">
        <v>0</v>
      </c>
      <c r="D1621" s="5" t="s">
        <v>6965</v>
      </c>
      <c r="E1621" s="43">
        <v>20000</v>
      </c>
      <c r="F1621" s="43"/>
      <c r="G1621" s="364">
        <f t="shared" si="9"/>
        <v>127154</v>
      </c>
      <c r="H1621" s="391" t="s">
        <v>9568</v>
      </c>
    </row>
    <row r="1622" spans="1:12" x14ac:dyDescent="0.3">
      <c r="A1622" s="45">
        <v>43845</v>
      </c>
      <c r="B1622" s="399"/>
      <c r="C1622" s="5" t="s">
        <v>1787</v>
      </c>
      <c r="D1622" s="5" t="s">
        <v>6966</v>
      </c>
      <c r="E1622" s="43">
        <v>1200</v>
      </c>
      <c r="F1622" s="43"/>
      <c r="G1622" s="364">
        <f t="shared" si="9"/>
        <v>125954</v>
      </c>
      <c r="H1622" s="391" t="s">
        <v>9568</v>
      </c>
      <c r="L1622" s="93"/>
    </row>
    <row r="1623" spans="1:12" x14ac:dyDescent="0.3">
      <c r="A1623" s="45">
        <v>43845</v>
      </c>
      <c r="B1623" s="399"/>
      <c r="C1623" s="5" t="s">
        <v>1837</v>
      </c>
      <c r="D1623" s="5" t="s">
        <v>2013</v>
      </c>
      <c r="E1623" s="43">
        <v>1075</v>
      </c>
      <c r="F1623" s="43"/>
      <c r="G1623" s="364">
        <f t="shared" si="9"/>
        <v>124879</v>
      </c>
      <c r="H1623" s="391" t="s">
        <v>9568</v>
      </c>
    </row>
    <row r="1624" spans="1:12" x14ac:dyDescent="0.3">
      <c r="A1624" s="45">
        <v>43845</v>
      </c>
      <c r="B1624" s="399"/>
      <c r="C1624" s="5" t="s">
        <v>1837</v>
      </c>
      <c r="D1624" s="5" t="s">
        <v>6967</v>
      </c>
      <c r="E1624" s="43">
        <v>1600</v>
      </c>
      <c r="F1624" s="43"/>
      <c r="G1624" s="364">
        <f t="shared" si="9"/>
        <v>123279</v>
      </c>
      <c r="H1624" s="391" t="s">
        <v>9568</v>
      </c>
    </row>
    <row r="1625" spans="1:12" x14ac:dyDescent="0.3">
      <c r="A1625" s="45">
        <v>43845</v>
      </c>
      <c r="B1625" s="399"/>
      <c r="C1625" s="5" t="s">
        <v>84</v>
      </c>
      <c r="D1625" s="5" t="s">
        <v>6968</v>
      </c>
      <c r="E1625" s="43">
        <v>5000</v>
      </c>
      <c r="F1625" s="43"/>
      <c r="G1625" s="364">
        <f t="shared" si="9"/>
        <v>118279</v>
      </c>
      <c r="H1625" s="391" t="s">
        <v>9568</v>
      </c>
    </row>
    <row r="1626" spans="1:12" x14ac:dyDescent="0.3">
      <c r="A1626" s="45">
        <v>43845</v>
      </c>
      <c r="B1626" s="399"/>
      <c r="C1626" s="5" t="s">
        <v>54</v>
      </c>
      <c r="D1626" s="5" t="s">
        <v>6969</v>
      </c>
      <c r="E1626" s="43">
        <v>10451</v>
      </c>
      <c r="F1626" s="43"/>
      <c r="G1626" s="364">
        <f t="shared" si="9"/>
        <v>107828</v>
      </c>
      <c r="H1626" s="391" t="s">
        <v>9568</v>
      </c>
    </row>
    <row r="1627" spans="1:12" x14ac:dyDescent="0.3">
      <c r="A1627" s="45">
        <v>43845</v>
      </c>
      <c r="B1627" s="399"/>
      <c r="C1627" s="5" t="s">
        <v>1616</v>
      </c>
      <c r="D1627" s="5" t="s">
        <v>6970</v>
      </c>
      <c r="E1627" s="43">
        <v>3000</v>
      </c>
      <c r="F1627" s="43"/>
      <c r="G1627" s="364">
        <f t="shared" si="9"/>
        <v>104828</v>
      </c>
      <c r="H1627" s="391" t="s">
        <v>9568</v>
      </c>
    </row>
    <row r="1628" spans="1:12" x14ac:dyDescent="0.3">
      <c r="A1628" s="45">
        <v>43845</v>
      </c>
      <c r="B1628" s="399"/>
      <c r="C1628" s="5" t="s">
        <v>110</v>
      </c>
      <c r="D1628" s="5" t="s">
        <v>640</v>
      </c>
      <c r="E1628" s="43">
        <v>2000</v>
      </c>
      <c r="F1628" s="43"/>
      <c r="G1628" s="364">
        <f t="shared" si="9"/>
        <v>102828</v>
      </c>
      <c r="H1628" s="391" t="s">
        <v>9568</v>
      </c>
    </row>
    <row r="1629" spans="1:12" x14ac:dyDescent="0.3">
      <c r="A1629" s="45">
        <v>43845</v>
      </c>
      <c r="B1629" s="399"/>
      <c r="C1629" s="5" t="s">
        <v>6430</v>
      </c>
      <c r="D1629" s="5" t="s">
        <v>3557</v>
      </c>
      <c r="E1629" s="43">
        <v>5000</v>
      </c>
      <c r="F1629" s="43"/>
      <c r="G1629" s="364">
        <f t="shared" si="9"/>
        <v>97828</v>
      </c>
      <c r="H1629" s="391" t="s">
        <v>9568</v>
      </c>
    </row>
    <row r="1630" spans="1:12" x14ac:dyDescent="0.3">
      <c r="A1630" s="45">
        <v>43846</v>
      </c>
      <c r="B1630" s="399"/>
      <c r="C1630" s="5" t="s">
        <v>6971</v>
      </c>
      <c r="D1630" s="5" t="s">
        <v>6972</v>
      </c>
      <c r="E1630" s="43">
        <v>15000</v>
      </c>
      <c r="F1630" s="43"/>
      <c r="G1630" s="364">
        <f t="shared" si="9"/>
        <v>82828</v>
      </c>
      <c r="H1630" s="391" t="s">
        <v>9568</v>
      </c>
    </row>
    <row r="1631" spans="1:12" x14ac:dyDescent="0.3">
      <c r="A1631" s="45">
        <v>43846</v>
      </c>
      <c r="B1631" s="399"/>
      <c r="C1631" s="5" t="s">
        <v>14</v>
      </c>
      <c r="D1631" s="5" t="s">
        <v>294</v>
      </c>
      <c r="E1631" s="43">
        <v>10000</v>
      </c>
      <c r="F1631" s="43"/>
      <c r="G1631" s="364">
        <f t="shared" si="9"/>
        <v>72828</v>
      </c>
      <c r="H1631" s="391" t="s">
        <v>9568</v>
      </c>
    </row>
    <row r="1632" spans="1:12" x14ac:dyDescent="0.3">
      <c r="A1632" s="45">
        <v>43846</v>
      </c>
      <c r="B1632" s="399"/>
      <c r="C1632" s="5" t="s">
        <v>693</v>
      </c>
      <c r="D1632" s="5" t="s">
        <v>7013</v>
      </c>
      <c r="E1632" s="43">
        <v>35000</v>
      </c>
      <c r="F1632" s="43"/>
      <c r="G1632" s="364">
        <f t="shared" si="9"/>
        <v>37828</v>
      </c>
      <c r="H1632" s="391" t="s">
        <v>9568</v>
      </c>
    </row>
    <row r="1633" spans="1:8" x14ac:dyDescent="0.3">
      <c r="A1633" s="45">
        <v>43846</v>
      </c>
      <c r="B1633" s="399"/>
      <c r="C1633" s="5" t="s">
        <v>6576</v>
      </c>
      <c r="D1633" s="5" t="s">
        <v>6973</v>
      </c>
      <c r="E1633" s="43">
        <v>12600</v>
      </c>
      <c r="F1633" s="43"/>
      <c r="G1633" s="364">
        <f t="shared" si="9"/>
        <v>25228</v>
      </c>
      <c r="H1633" s="391" t="s">
        <v>9568</v>
      </c>
    </row>
    <row r="1634" spans="1:8" x14ac:dyDescent="0.3">
      <c r="A1634" s="45">
        <v>43846</v>
      </c>
      <c r="B1634" s="399"/>
      <c r="C1634" s="5" t="s">
        <v>0</v>
      </c>
      <c r="D1634" s="5" t="s">
        <v>6965</v>
      </c>
      <c r="E1634" s="43">
        <v>15000</v>
      </c>
      <c r="F1634" s="43"/>
      <c r="G1634" s="364">
        <f t="shared" si="9"/>
        <v>10228</v>
      </c>
      <c r="H1634" s="391" t="s">
        <v>9568</v>
      </c>
    </row>
    <row r="1635" spans="1:8" x14ac:dyDescent="0.3">
      <c r="A1635" s="45">
        <v>44213</v>
      </c>
      <c r="B1635" s="399"/>
      <c r="C1635" s="5" t="s">
        <v>541</v>
      </c>
      <c r="D1635" s="5" t="s">
        <v>7002</v>
      </c>
      <c r="E1635" s="43">
        <v>600</v>
      </c>
      <c r="F1635" s="43"/>
      <c r="G1635" s="364">
        <f t="shared" si="9"/>
        <v>9628</v>
      </c>
      <c r="H1635" s="391" t="s">
        <v>9568</v>
      </c>
    </row>
    <row r="1636" spans="1:8" x14ac:dyDescent="0.3">
      <c r="A1636" s="45">
        <v>44213</v>
      </c>
      <c r="B1636" s="399"/>
      <c r="C1636" s="5" t="s">
        <v>1787</v>
      </c>
      <c r="D1636" s="5" t="s">
        <v>7003</v>
      </c>
      <c r="E1636" s="43">
        <v>2200</v>
      </c>
      <c r="F1636" s="43"/>
      <c r="G1636" s="364">
        <f t="shared" si="9"/>
        <v>7428</v>
      </c>
      <c r="H1636" s="391" t="s">
        <v>9568</v>
      </c>
    </row>
    <row r="1637" spans="1:8" x14ac:dyDescent="0.3">
      <c r="A1637" s="45">
        <v>44213</v>
      </c>
      <c r="B1637" s="418"/>
      <c r="C1637" s="123" t="s">
        <v>1012</v>
      </c>
      <c r="D1637" s="123" t="s">
        <v>6928</v>
      </c>
      <c r="E1637" s="52">
        <v>1500</v>
      </c>
      <c r="G1637" s="364">
        <f t="shared" si="9"/>
        <v>5928</v>
      </c>
      <c r="H1637" s="391" t="s">
        <v>9568</v>
      </c>
    </row>
    <row r="1638" spans="1:8" x14ac:dyDescent="0.3">
      <c r="A1638" s="45">
        <v>44213</v>
      </c>
      <c r="B1638" s="418"/>
      <c r="C1638" s="123" t="s">
        <v>25</v>
      </c>
      <c r="D1638" s="123" t="s">
        <v>4276</v>
      </c>
      <c r="E1638" s="52">
        <f>1400+100+400+120+280+150+130+20+120+150+40+120+270+60+40+160+270+40+280</f>
        <v>4150</v>
      </c>
      <c r="G1638" s="364">
        <f t="shared" si="9"/>
        <v>1778</v>
      </c>
      <c r="H1638" s="391" t="s">
        <v>9568</v>
      </c>
    </row>
    <row r="1639" spans="1:8" x14ac:dyDescent="0.3">
      <c r="A1639" s="45">
        <v>44213</v>
      </c>
      <c r="B1639" s="418"/>
      <c r="C1639" s="123" t="s">
        <v>5156</v>
      </c>
      <c r="D1639" s="123" t="s">
        <v>6926</v>
      </c>
      <c r="E1639" s="52">
        <v>450</v>
      </c>
      <c r="G1639" s="364">
        <f t="shared" si="9"/>
        <v>1328</v>
      </c>
      <c r="H1639" s="391" t="s">
        <v>9568</v>
      </c>
    </row>
    <row r="1640" spans="1:8" x14ac:dyDescent="0.3">
      <c r="A1640" s="45">
        <v>43842</v>
      </c>
      <c r="B1640" s="580"/>
      <c r="C1640" s="554" t="s">
        <v>5379</v>
      </c>
      <c r="D1640" s="554"/>
      <c r="E1640" s="554"/>
      <c r="F1640" s="43">
        <v>50000</v>
      </c>
      <c r="G1640" s="364">
        <f t="shared" si="9"/>
        <v>51328</v>
      </c>
      <c r="H1640" s="391" t="s">
        <v>9568</v>
      </c>
    </row>
    <row r="1641" spans="1:8" x14ac:dyDescent="0.3">
      <c r="A1641" s="45">
        <v>44213</v>
      </c>
      <c r="B1641" s="399"/>
      <c r="C1641" s="5" t="s">
        <v>5938</v>
      </c>
      <c r="D1641" s="5" t="s">
        <v>7011</v>
      </c>
      <c r="E1641" s="43">
        <v>20000</v>
      </c>
      <c r="F1641" s="43"/>
      <c r="G1641" s="364">
        <f t="shared" si="9"/>
        <v>31328</v>
      </c>
      <c r="H1641" s="391" t="s">
        <v>9568</v>
      </c>
    </row>
    <row r="1642" spans="1:8" ht="56.25" x14ac:dyDescent="0.3">
      <c r="A1642" s="45">
        <v>44213</v>
      </c>
      <c r="B1642" s="399"/>
      <c r="C1642" s="5" t="s">
        <v>1074</v>
      </c>
      <c r="D1642" s="92" t="s">
        <v>7012</v>
      </c>
      <c r="E1642" s="43">
        <v>11870</v>
      </c>
      <c r="F1642" s="43"/>
      <c r="G1642" s="364">
        <f t="shared" si="9"/>
        <v>19458</v>
      </c>
      <c r="H1642" s="391" t="s">
        <v>9568</v>
      </c>
    </row>
    <row r="1643" spans="1:8" x14ac:dyDescent="0.3">
      <c r="A1643" s="45">
        <v>44213</v>
      </c>
      <c r="B1643" s="399"/>
      <c r="C1643" s="5" t="s">
        <v>25</v>
      </c>
      <c r="D1643" s="5" t="s">
        <v>2013</v>
      </c>
      <c r="E1643" s="43">
        <v>150</v>
      </c>
      <c r="F1643" s="43"/>
      <c r="G1643" s="364">
        <f t="shared" si="9"/>
        <v>19308</v>
      </c>
      <c r="H1643" s="391" t="s">
        <v>9568</v>
      </c>
    </row>
    <row r="1644" spans="1:8" x14ac:dyDescent="0.3">
      <c r="A1644" s="45">
        <v>44213</v>
      </c>
      <c r="B1644" s="399"/>
      <c r="C1644" s="5" t="s">
        <v>4400</v>
      </c>
      <c r="D1644" s="5" t="s">
        <v>7011</v>
      </c>
      <c r="E1644" s="43">
        <v>3000</v>
      </c>
      <c r="F1644" s="43"/>
      <c r="G1644" s="364">
        <f t="shared" si="9"/>
        <v>16308</v>
      </c>
      <c r="H1644" s="391" t="s">
        <v>9568</v>
      </c>
    </row>
    <row r="1645" spans="1:8" x14ac:dyDescent="0.3">
      <c r="A1645" s="45">
        <v>44213</v>
      </c>
      <c r="B1645" s="404"/>
      <c r="C1645" s="41" t="s">
        <v>1787</v>
      </c>
      <c r="D1645" s="41" t="s">
        <v>4399</v>
      </c>
      <c r="E1645" s="42">
        <v>800</v>
      </c>
      <c r="F1645" s="43"/>
      <c r="G1645" s="364">
        <f t="shared" si="9"/>
        <v>15508</v>
      </c>
      <c r="H1645" s="391" t="s">
        <v>9568</v>
      </c>
    </row>
    <row r="1646" spans="1:8" x14ac:dyDescent="0.3">
      <c r="A1646" s="45">
        <v>44245</v>
      </c>
      <c r="B1646" s="399"/>
      <c r="C1646" s="5" t="s">
        <v>5156</v>
      </c>
      <c r="D1646" s="5" t="s">
        <v>6926</v>
      </c>
      <c r="E1646" s="43">
        <v>100</v>
      </c>
      <c r="F1646" s="43"/>
      <c r="G1646" s="364">
        <f t="shared" si="9"/>
        <v>15408</v>
      </c>
      <c r="H1646" s="391" t="s">
        <v>9568</v>
      </c>
    </row>
    <row r="1647" spans="1:8" x14ac:dyDescent="0.3">
      <c r="A1647" s="45">
        <v>44245</v>
      </c>
      <c r="B1647" s="399"/>
      <c r="C1647" s="5" t="s">
        <v>84</v>
      </c>
      <c r="D1647" s="5" t="s">
        <v>6948</v>
      </c>
      <c r="E1647" s="43">
        <v>4000</v>
      </c>
      <c r="F1647" s="43"/>
      <c r="G1647" s="364">
        <f t="shared" si="9"/>
        <v>11408</v>
      </c>
      <c r="H1647" s="391" t="s">
        <v>9568</v>
      </c>
    </row>
    <row r="1648" spans="1:8" x14ac:dyDescent="0.3">
      <c r="A1648" s="45">
        <v>44245</v>
      </c>
      <c r="B1648" s="399"/>
      <c r="C1648" s="5" t="s">
        <v>84</v>
      </c>
      <c r="D1648" s="5" t="s">
        <v>7014</v>
      </c>
      <c r="E1648" s="43">
        <v>2000</v>
      </c>
      <c r="F1648" s="43"/>
      <c r="G1648" s="364">
        <f t="shared" si="9"/>
        <v>9408</v>
      </c>
      <c r="H1648" s="391" t="s">
        <v>9568</v>
      </c>
    </row>
    <row r="1649" spans="1:8" x14ac:dyDescent="0.3">
      <c r="A1649" s="45">
        <v>44245</v>
      </c>
      <c r="B1649" s="399"/>
      <c r="C1649" s="5" t="s">
        <v>0</v>
      </c>
      <c r="D1649" s="5" t="s">
        <v>294</v>
      </c>
      <c r="E1649" s="43">
        <v>3000</v>
      </c>
      <c r="F1649" s="43"/>
      <c r="G1649" s="364">
        <f t="shared" si="9"/>
        <v>6408</v>
      </c>
      <c r="H1649" s="391" t="s">
        <v>9568</v>
      </c>
    </row>
    <row r="1650" spans="1:8" x14ac:dyDescent="0.3">
      <c r="A1650" s="45">
        <v>43880</v>
      </c>
      <c r="B1650" s="581"/>
      <c r="C1650" s="555" t="s">
        <v>5431</v>
      </c>
      <c r="D1650" s="556"/>
      <c r="E1650" s="557"/>
      <c r="F1650" s="43">
        <v>220000</v>
      </c>
      <c r="G1650" s="364">
        <f>G1649+F1650-E1650</f>
        <v>226408</v>
      </c>
      <c r="H1650" s="391" t="s">
        <v>9568</v>
      </c>
    </row>
    <row r="1651" spans="1:8" x14ac:dyDescent="0.3">
      <c r="A1651" s="45">
        <v>43880</v>
      </c>
      <c r="B1651" s="399"/>
      <c r="C1651" s="5" t="s">
        <v>0</v>
      </c>
      <c r="D1651" s="5" t="s">
        <v>5476</v>
      </c>
      <c r="E1651" s="43">
        <v>30000</v>
      </c>
      <c r="F1651" s="43"/>
      <c r="G1651" s="364">
        <f>G1650+F1651-E1651</f>
        <v>196408</v>
      </c>
      <c r="H1651" s="391" t="s">
        <v>9568</v>
      </c>
    </row>
    <row r="1652" spans="1:8" x14ac:dyDescent="0.3">
      <c r="A1652" s="45">
        <v>43880</v>
      </c>
      <c r="B1652" s="399"/>
      <c r="C1652" s="5" t="s">
        <v>5709</v>
      </c>
      <c r="D1652" s="5" t="s">
        <v>4615</v>
      </c>
      <c r="E1652" s="43">
        <v>20000</v>
      </c>
      <c r="F1652" s="43"/>
      <c r="G1652" s="364">
        <f t="shared" si="9"/>
        <v>176408</v>
      </c>
      <c r="H1652" s="391" t="s">
        <v>9568</v>
      </c>
    </row>
    <row r="1653" spans="1:8" x14ac:dyDescent="0.3">
      <c r="A1653" s="45">
        <v>43880</v>
      </c>
      <c r="B1653" s="399"/>
      <c r="C1653" s="5" t="s">
        <v>7017</v>
      </c>
      <c r="D1653" s="5" t="s">
        <v>5508</v>
      </c>
      <c r="E1653" s="43">
        <v>100000</v>
      </c>
      <c r="F1653" s="43"/>
      <c r="G1653" s="364">
        <f t="shared" si="9"/>
        <v>76408</v>
      </c>
      <c r="H1653" s="391" t="s">
        <v>9568</v>
      </c>
    </row>
    <row r="1654" spans="1:8" x14ac:dyDescent="0.3">
      <c r="A1654" s="45">
        <v>43880</v>
      </c>
      <c r="B1654" s="399"/>
      <c r="C1654" s="5" t="s">
        <v>4055</v>
      </c>
      <c r="D1654" s="5" t="s">
        <v>7018</v>
      </c>
      <c r="E1654" s="43">
        <v>30000</v>
      </c>
      <c r="F1654" s="43"/>
      <c r="G1654" s="364">
        <f t="shared" si="9"/>
        <v>46408</v>
      </c>
      <c r="H1654" s="391" t="s">
        <v>9568</v>
      </c>
    </row>
    <row r="1655" spans="1:8" x14ac:dyDescent="0.3">
      <c r="A1655" s="45">
        <v>43881</v>
      </c>
      <c r="B1655" s="399"/>
      <c r="C1655" s="5" t="s">
        <v>0</v>
      </c>
      <c r="D1655" s="5" t="s">
        <v>294</v>
      </c>
      <c r="E1655" s="43">
        <v>35000</v>
      </c>
      <c r="F1655" s="43"/>
      <c r="G1655" s="364">
        <f t="shared" si="9"/>
        <v>11408</v>
      </c>
      <c r="H1655" s="391" t="s">
        <v>9568</v>
      </c>
    </row>
    <row r="1656" spans="1:8" x14ac:dyDescent="0.3">
      <c r="A1656" s="45">
        <v>43881</v>
      </c>
      <c r="B1656" s="399"/>
      <c r="C1656" s="5" t="s">
        <v>6959</v>
      </c>
      <c r="D1656" s="5" t="s">
        <v>7021</v>
      </c>
      <c r="E1656" s="43">
        <f>300+200+170</f>
        <v>670</v>
      </c>
      <c r="F1656" s="43"/>
      <c r="G1656" s="364">
        <f t="shared" si="9"/>
        <v>10738</v>
      </c>
      <c r="H1656" s="391" t="s">
        <v>9568</v>
      </c>
    </row>
    <row r="1657" spans="1:8" x14ac:dyDescent="0.3">
      <c r="A1657" s="45">
        <v>43881</v>
      </c>
      <c r="B1657" s="581"/>
      <c r="C1657" s="555" t="s">
        <v>5379</v>
      </c>
      <c r="D1657" s="556"/>
      <c r="E1657" s="557"/>
      <c r="F1657" s="43">
        <v>200000</v>
      </c>
      <c r="G1657" s="364">
        <f t="shared" si="9"/>
        <v>210738</v>
      </c>
      <c r="H1657" s="391" t="s">
        <v>9568</v>
      </c>
    </row>
    <row r="1658" spans="1:8" x14ac:dyDescent="0.3">
      <c r="A1658" s="45">
        <v>43881</v>
      </c>
      <c r="B1658" s="399"/>
      <c r="C1658" s="5" t="s">
        <v>6430</v>
      </c>
      <c r="D1658" s="5" t="s">
        <v>7024</v>
      </c>
      <c r="E1658" s="43">
        <v>8000</v>
      </c>
      <c r="F1658" s="43"/>
      <c r="G1658" s="364">
        <f t="shared" si="9"/>
        <v>202738</v>
      </c>
      <c r="H1658" s="391" t="s">
        <v>9568</v>
      </c>
    </row>
    <row r="1659" spans="1:8" x14ac:dyDescent="0.3">
      <c r="A1659" s="45">
        <v>43881</v>
      </c>
      <c r="B1659" s="399"/>
      <c r="C1659" s="5" t="s">
        <v>1012</v>
      </c>
      <c r="D1659" s="5" t="s">
        <v>7025</v>
      </c>
      <c r="E1659" s="43">
        <v>10000</v>
      </c>
      <c r="F1659" s="43"/>
      <c r="G1659" s="364">
        <f t="shared" si="9"/>
        <v>192738</v>
      </c>
      <c r="H1659" s="391" t="s">
        <v>9568</v>
      </c>
    </row>
    <row r="1660" spans="1:8" x14ac:dyDescent="0.3">
      <c r="A1660" s="45">
        <v>43883</v>
      </c>
      <c r="B1660" s="399"/>
      <c r="C1660" s="5" t="s">
        <v>1787</v>
      </c>
      <c r="D1660" s="5" t="s">
        <v>7026</v>
      </c>
      <c r="E1660" s="43">
        <v>1000</v>
      </c>
      <c r="F1660" s="43"/>
      <c r="G1660" s="364">
        <f t="shared" si="9"/>
        <v>191738</v>
      </c>
      <c r="H1660" s="391" t="s">
        <v>9568</v>
      </c>
    </row>
    <row r="1661" spans="1:8" x14ac:dyDescent="0.3">
      <c r="A1661" s="45">
        <v>43883</v>
      </c>
      <c r="B1661" s="399"/>
      <c r="C1661" s="5" t="s">
        <v>56</v>
      </c>
      <c r="D1661" s="5" t="s">
        <v>7027</v>
      </c>
      <c r="E1661" s="43">
        <v>400</v>
      </c>
      <c r="F1661" s="43"/>
      <c r="G1661" s="364">
        <f t="shared" si="9"/>
        <v>191338</v>
      </c>
      <c r="H1661" s="391" t="s">
        <v>9568</v>
      </c>
    </row>
    <row r="1662" spans="1:8" x14ac:dyDescent="0.3">
      <c r="A1662" s="45">
        <v>43883</v>
      </c>
      <c r="B1662" s="399"/>
      <c r="C1662" s="5" t="s">
        <v>7031</v>
      </c>
      <c r="D1662" s="5" t="s">
        <v>7032</v>
      </c>
      <c r="E1662" s="43">
        <v>115000</v>
      </c>
      <c r="F1662" s="43"/>
      <c r="G1662" s="364">
        <f t="shared" si="9"/>
        <v>76338</v>
      </c>
      <c r="H1662" s="391" t="s">
        <v>9568</v>
      </c>
    </row>
    <row r="1663" spans="1:8" x14ac:dyDescent="0.3">
      <c r="A1663" s="45">
        <v>43883</v>
      </c>
      <c r="B1663" s="399"/>
      <c r="C1663" s="5" t="s">
        <v>6430</v>
      </c>
      <c r="D1663" s="5" t="s">
        <v>294</v>
      </c>
      <c r="E1663" s="43">
        <v>4000</v>
      </c>
      <c r="F1663" s="43"/>
      <c r="G1663" s="364">
        <f t="shared" si="9"/>
        <v>72338</v>
      </c>
      <c r="H1663" s="391" t="s">
        <v>9568</v>
      </c>
    </row>
    <row r="1664" spans="1:8" x14ac:dyDescent="0.3">
      <c r="A1664" s="45">
        <v>43883</v>
      </c>
      <c r="B1664" s="399"/>
      <c r="C1664" s="5" t="s">
        <v>18</v>
      </c>
      <c r="D1664" s="5" t="s">
        <v>294</v>
      </c>
      <c r="E1664" s="43">
        <v>5000</v>
      </c>
      <c r="F1664" s="43"/>
      <c r="G1664" s="364">
        <f t="shared" si="9"/>
        <v>67338</v>
      </c>
      <c r="H1664" s="391" t="s">
        <v>9568</v>
      </c>
    </row>
    <row r="1665" spans="1:8" x14ac:dyDescent="0.3">
      <c r="A1665" s="45">
        <v>43884</v>
      </c>
      <c r="B1665" s="399"/>
      <c r="C1665" s="5" t="s">
        <v>1189</v>
      </c>
      <c r="D1665" s="5" t="s">
        <v>7028</v>
      </c>
      <c r="E1665" s="43">
        <v>1000</v>
      </c>
      <c r="F1665" s="43"/>
      <c r="G1665" s="364">
        <f t="shared" si="9"/>
        <v>66338</v>
      </c>
      <c r="H1665" s="391" t="s">
        <v>9568</v>
      </c>
    </row>
    <row r="1666" spans="1:8" x14ac:dyDescent="0.3">
      <c r="A1666" s="45">
        <v>43884</v>
      </c>
      <c r="B1666" s="399"/>
      <c r="C1666" s="5" t="s">
        <v>1787</v>
      </c>
      <c r="D1666" s="5" t="s">
        <v>7034</v>
      </c>
      <c r="E1666" s="43">
        <v>1000</v>
      </c>
      <c r="F1666" s="43"/>
      <c r="G1666" s="364">
        <f t="shared" ref="G1666:G1729" si="10">G1665+F1666-E1666</f>
        <v>65338</v>
      </c>
      <c r="H1666" s="391" t="s">
        <v>9568</v>
      </c>
    </row>
    <row r="1667" spans="1:8" x14ac:dyDescent="0.3">
      <c r="A1667" s="45">
        <v>43884</v>
      </c>
      <c r="B1667" s="399"/>
      <c r="C1667" s="5" t="s">
        <v>5709</v>
      </c>
      <c r="D1667" s="5" t="s">
        <v>7029</v>
      </c>
      <c r="E1667" s="43">
        <v>2150</v>
      </c>
      <c r="F1667" s="43"/>
      <c r="G1667" s="364">
        <f t="shared" si="10"/>
        <v>63188</v>
      </c>
      <c r="H1667" s="391" t="s">
        <v>9568</v>
      </c>
    </row>
    <row r="1668" spans="1:8" ht="37.5" x14ac:dyDescent="0.3">
      <c r="A1668" s="45">
        <v>43884</v>
      </c>
      <c r="B1668" s="322"/>
      <c r="C1668" s="44" t="s">
        <v>5709</v>
      </c>
      <c r="D1668" s="124" t="s">
        <v>7030</v>
      </c>
      <c r="E1668" s="28">
        <f>13000+3000</f>
        <v>16000</v>
      </c>
      <c r="F1668" s="28"/>
      <c r="G1668" s="364">
        <f t="shared" si="10"/>
        <v>47188</v>
      </c>
      <c r="H1668" s="391" t="s">
        <v>9568</v>
      </c>
    </row>
    <row r="1669" spans="1:8" x14ac:dyDescent="0.3">
      <c r="A1669" s="45">
        <v>43884</v>
      </c>
      <c r="B1669" s="399"/>
      <c r="C1669" s="5" t="s">
        <v>1189</v>
      </c>
      <c r="D1669" s="5" t="s">
        <v>294</v>
      </c>
      <c r="E1669" s="43">
        <v>1000</v>
      </c>
      <c r="F1669" s="43"/>
      <c r="G1669" s="364">
        <f t="shared" si="10"/>
        <v>46188</v>
      </c>
      <c r="H1669" s="391" t="s">
        <v>9568</v>
      </c>
    </row>
    <row r="1670" spans="1:8" x14ac:dyDescent="0.3">
      <c r="A1670" s="45">
        <v>43884</v>
      </c>
      <c r="B1670" s="399"/>
      <c r="C1670" s="5" t="s">
        <v>1787</v>
      </c>
      <c r="D1670" s="5" t="s">
        <v>7033</v>
      </c>
      <c r="E1670" s="43">
        <v>850</v>
      </c>
      <c r="F1670" s="43"/>
      <c r="G1670" s="364">
        <f t="shared" si="10"/>
        <v>45338</v>
      </c>
      <c r="H1670" s="391" t="s">
        <v>9568</v>
      </c>
    </row>
    <row r="1671" spans="1:8" x14ac:dyDescent="0.3">
      <c r="A1671" s="45">
        <v>43884</v>
      </c>
      <c r="B1671" s="399"/>
      <c r="C1671" s="5" t="s">
        <v>1189</v>
      </c>
      <c r="D1671" s="5" t="s">
        <v>294</v>
      </c>
      <c r="E1671" s="43">
        <v>3000</v>
      </c>
      <c r="F1671" s="43"/>
      <c r="G1671" s="364">
        <f t="shared" si="10"/>
        <v>42338</v>
      </c>
      <c r="H1671" s="391" t="s">
        <v>9568</v>
      </c>
    </row>
    <row r="1672" spans="1:8" x14ac:dyDescent="0.3">
      <c r="A1672" s="45">
        <v>43885</v>
      </c>
      <c r="B1672" s="399"/>
      <c r="C1672" s="5" t="s">
        <v>25</v>
      </c>
      <c r="D1672" s="5" t="s">
        <v>4276</v>
      </c>
      <c r="E1672" s="43">
        <f>1400+300+500+95+50+240+140+60+280+40+120+80+280+60+320+80+40+50+270+320+20+330+15</f>
        <v>5090</v>
      </c>
      <c r="F1672" s="43"/>
      <c r="G1672" s="364">
        <f t="shared" si="10"/>
        <v>37248</v>
      </c>
      <c r="H1672" s="391" t="s">
        <v>9568</v>
      </c>
    </row>
    <row r="1673" spans="1:8" x14ac:dyDescent="0.3">
      <c r="A1673" s="45">
        <v>43885</v>
      </c>
      <c r="B1673" s="399"/>
      <c r="C1673" s="5" t="s">
        <v>84</v>
      </c>
      <c r="D1673" s="5" t="s">
        <v>7036</v>
      </c>
      <c r="E1673" s="43">
        <v>10000</v>
      </c>
      <c r="F1673" s="43"/>
      <c r="G1673" s="364">
        <f t="shared" si="10"/>
        <v>27248</v>
      </c>
      <c r="H1673" s="391" t="s">
        <v>9568</v>
      </c>
    </row>
    <row r="1674" spans="1:8" x14ac:dyDescent="0.3">
      <c r="A1674" s="45">
        <v>43885</v>
      </c>
      <c r="B1674" s="399"/>
      <c r="C1674" s="5" t="s">
        <v>5930</v>
      </c>
      <c r="D1674" s="5" t="s">
        <v>7037</v>
      </c>
      <c r="E1674" s="43">
        <f>183+71</f>
        <v>254</v>
      </c>
      <c r="F1674" s="43"/>
      <c r="G1674" s="364">
        <f t="shared" si="10"/>
        <v>26994</v>
      </c>
      <c r="H1674" s="391" t="s">
        <v>9568</v>
      </c>
    </row>
    <row r="1675" spans="1:8" ht="37.5" x14ac:dyDescent="0.3">
      <c r="A1675" s="45">
        <v>43885</v>
      </c>
      <c r="B1675" s="322"/>
      <c r="C1675" s="44" t="s">
        <v>25</v>
      </c>
      <c r="D1675" s="124" t="s">
        <v>7038</v>
      </c>
      <c r="E1675" s="28">
        <f>100+20+140+100+100+20</f>
        <v>480</v>
      </c>
      <c r="F1675" s="28"/>
      <c r="G1675" s="364">
        <f t="shared" si="10"/>
        <v>26514</v>
      </c>
      <c r="H1675" s="391" t="s">
        <v>9568</v>
      </c>
    </row>
    <row r="1676" spans="1:8" x14ac:dyDescent="0.3">
      <c r="A1676" s="45">
        <v>43885</v>
      </c>
      <c r="B1676" s="399"/>
      <c r="C1676" s="5" t="s">
        <v>84</v>
      </c>
      <c r="D1676" s="5" t="s">
        <v>7039</v>
      </c>
      <c r="E1676" s="43">
        <v>5000</v>
      </c>
      <c r="F1676" s="43"/>
      <c r="G1676" s="364">
        <f t="shared" si="10"/>
        <v>21514</v>
      </c>
      <c r="H1676" s="391" t="s">
        <v>9568</v>
      </c>
    </row>
    <row r="1677" spans="1:8" x14ac:dyDescent="0.3">
      <c r="A1677" s="45">
        <v>43886</v>
      </c>
      <c r="B1677" s="399"/>
      <c r="C1677" s="5" t="s">
        <v>1012</v>
      </c>
      <c r="D1677" s="5" t="s">
        <v>6963</v>
      </c>
      <c r="E1677" s="43">
        <v>3000</v>
      </c>
      <c r="F1677" s="43"/>
      <c r="G1677" s="364">
        <f t="shared" si="10"/>
        <v>18514</v>
      </c>
      <c r="H1677" s="391" t="s">
        <v>9568</v>
      </c>
    </row>
    <row r="1678" spans="1:8" x14ac:dyDescent="0.3">
      <c r="A1678" s="45">
        <v>43887</v>
      </c>
      <c r="B1678" s="399"/>
      <c r="C1678" s="5" t="s">
        <v>7040</v>
      </c>
      <c r="D1678" s="5" t="s">
        <v>5398</v>
      </c>
      <c r="E1678" s="43">
        <v>3000</v>
      </c>
      <c r="F1678" s="43"/>
      <c r="G1678" s="364">
        <f t="shared" si="10"/>
        <v>15514</v>
      </c>
      <c r="H1678" s="391" t="s">
        <v>9568</v>
      </c>
    </row>
    <row r="1679" spans="1:8" x14ac:dyDescent="0.3">
      <c r="A1679" s="45">
        <v>43887</v>
      </c>
      <c r="B1679" s="399"/>
      <c r="C1679" s="5" t="s">
        <v>2346</v>
      </c>
      <c r="D1679" s="5" t="s">
        <v>7034</v>
      </c>
      <c r="E1679" s="43">
        <v>1700</v>
      </c>
      <c r="F1679" s="43"/>
      <c r="G1679" s="364">
        <f t="shared" si="10"/>
        <v>13814</v>
      </c>
      <c r="H1679" s="391" t="s">
        <v>9568</v>
      </c>
    </row>
    <row r="1680" spans="1:8" ht="37.5" x14ac:dyDescent="0.3">
      <c r="A1680" s="45">
        <v>43887</v>
      </c>
      <c r="B1680" s="322"/>
      <c r="C1680" s="44" t="s">
        <v>25</v>
      </c>
      <c r="D1680" s="92" t="s">
        <v>7041</v>
      </c>
      <c r="E1680" s="28">
        <v>200</v>
      </c>
      <c r="F1680" s="43"/>
      <c r="G1680" s="364">
        <f t="shared" si="10"/>
        <v>13614</v>
      </c>
      <c r="H1680" s="391" t="s">
        <v>9568</v>
      </c>
    </row>
    <row r="1681" spans="1:8" x14ac:dyDescent="0.3">
      <c r="A1681" s="45">
        <v>43888</v>
      </c>
      <c r="B1681" s="399"/>
      <c r="C1681" s="5" t="s">
        <v>1837</v>
      </c>
      <c r="D1681" s="5" t="s">
        <v>294</v>
      </c>
      <c r="E1681" s="43">
        <v>2000</v>
      </c>
      <c r="F1681" s="43"/>
      <c r="G1681" s="364">
        <f t="shared" si="10"/>
        <v>11614</v>
      </c>
      <c r="H1681" s="391" t="s">
        <v>9568</v>
      </c>
    </row>
    <row r="1682" spans="1:8" x14ac:dyDescent="0.3">
      <c r="A1682" s="45">
        <v>43888</v>
      </c>
      <c r="B1682" s="399"/>
      <c r="C1682" s="5" t="s">
        <v>25</v>
      </c>
      <c r="D1682" s="5" t="s">
        <v>6049</v>
      </c>
      <c r="E1682" s="43">
        <v>100</v>
      </c>
      <c r="F1682" s="43"/>
      <c r="G1682" s="364">
        <f t="shared" si="10"/>
        <v>11514</v>
      </c>
      <c r="H1682" s="391" t="s">
        <v>9568</v>
      </c>
    </row>
    <row r="1683" spans="1:8" x14ac:dyDescent="0.3">
      <c r="A1683" s="45">
        <v>43888</v>
      </c>
      <c r="B1683" s="399"/>
      <c r="C1683" s="5" t="s">
        <v>7043</v>
      </c>
      <c r="D1683" s="5" t="s">
        <v>7044</v>
      </c>
      <c r="E1683" s="43">
        <v>2000</v>
      </c>
      <c r="F1683" s="43"/>
      <c r="G1683" s="364">
        <f t="shared" si="10"/>
        <v>9514</v>
      </c>
      <c r="H1683" s="391" t="s">
        <v>9568</v>
      </c>
    </row>
    <row r="1684" spans="1:8" x14ac:dyDescent="0.3">
      <c r="A1684" s="45">
        <v>44256</v>
      </c>
      <c r="B1684" s="418"/>
      <c r="C1684" s="123" t="s">
        <v>3335</v>
      </c>
      <c r="D1684" s="123" t="s">
        <v>7046</v>
      </c>
      <c r="E1684" s="52">
        <v>50</v>
      </c>
      <c r="G1684" s="364">
        <f t="shared" si="10"/>
        <v>9464</v>
      </c>
      <c r="H1684" s="391" t="s">
        <v>9568</v>
      </c>
    </row>
    <row r="1685" spans="1:8" x14ac:dyDescent="0.3">
      <c r="A1685" s="45">
        <v>44256</v>
      </c>
      <c r="B1685" s="581"/>
      <c r="C1685" s="555" t="s">
        <v>7048</v>
      </c>
      <c r="D1685" s="556"/>
      <c r="E1685" s="557"/>
      <c r="F1685" s="43">
        <v>100000</v>
      </c>
      <c r="G1685" s="364">
        <f t="shared" si="10"/>
        <v>109464</v>
      </c>
      <c r="H1685" s="391" t="s">
        <v>9568</v>
      </c>
    </row>
    <row r="1686" spans="1:8" x14ac:dyDescent="0.3">
      <c r="A1686" s="45">
        <v>44256</v>
      </c>
      <c r="B1686" s="581"/>
      <c r="C1686" s="555" t="s">
        <v>7048</v>
      </c>
      <c r="D1686" s="556"/>
      <c r="E1686" s="557"/>
      <c r="F1686" s="43">
        <v>50000</v>
      </c>
      <c r="G1686" s="364">
        <f t="shared" si="10"/>
        <v>159464</v>
      </c>
      <c r="H1686" s="391" t="s">
        <v>9568</v>
      </c>
    </row>
    <row r="1687" spans="1:8" x14ac:dyDescent="0.3">
      <c r="A1687" s="45">
        <v>44256</v>
      </c>
      <c r="B1687" s="399"/>
      <c r="C1687" s="5" t="s">
        <v>110</v>
      </c>
      <c r="D1687" s="5" t="s">
        <v>7049</v>
      </c>
      <c r="E1687" s="43">
        <v>20500</v>
      </c>
      <c r="F1687" s="43"/>
      <c r="G1687" s="364">
        <f t="shared" si="10"/>
        <v>138964</v>
      </c>
      <c r="H1687" s="391" t="s">
        <v>9568</v>
      </c>
    </row>
    <row r="1688" spans="1:8" x14ac:dyDescent="0.3">
      <c r="A1688" s="45">
        <v>44256</v>
      </c>
      <c r="B1688" s="399"/>
      <c r="C1688" s="5" t="s">
        <v>26</v>
      </c>
      <c r="D1688" s="5" t="s">
        <v>7050</v>
      </c>
      <c r="E1688" s="43">
        <v>600</v>
      </c>
      <c r="F1688" s="43"/>
      <c r="G1688" s="364">
        <f t="shared" si="10"/>
        <v>138364</v>
      </c>
      <c r="H1688" s="391" t="s">
        <v>9568</v>
      </c>
    </row>
    <row r="1689" spans="1:8" x14ac:dyDescent="0.3">
      <c r="A1689" s="45">
        <v>44256</v>
      </c>
      <c r="B1689" s="399"/>
      <c r="C1689" s="5" t="s">
        <v>0</v>
      </c>
      <c r="D1689" s="5" t="s">
        <v>6507</v>
      </c>
      <c r="E1689" s="43">
        <v>15000</v>
      </c>
      <c r="F1689" s="43"/>
      <c r="G1689" s="364">
        <f t="shared" si="10"/>
        <v>123364</v>
      </c>
      <c r="H1689" s="391" t="s">
        <v>9568</v>
      </c>
    </row>
    <row r="1690" spans="1:8" x14ac:dyDescent="0.3">
      <c r="A1690" s="45">
        <v>44256</v>
      </c>
      <c r="B1690" s="399"/>
      <c r="C1690" s="5" t="s">
        <v>1787</v>
      </c>
      <c r="D1690" s="5" t="s">
        <v>7055</v>
      </c>
      <c r="E1690" s="43">
        <v>1000</v>
      </c>
      <c r="F1690" s="43"/>
      <c r="G1690" s="364">
        <f t="shared" si="10"/>
        <v>122364</v>
      </c>
      <c r="H1690" s="391" t="s">
        <v>9568</v>
      </c>
    </row>
    <row r="1691" spans="1:8" x14ac:dyDescent="0.3">
      <c r="A1691" s="45">
        <v>44256</v>
      </c>
      <c r="B1691" s="399"/>
      <c r="C1691" s="5" t="s">
        <v>7040</v>
      </c>
      <c r="D1691" s="5" t="s">
        <v>5398</v>
      </c>
      <c r="E1691" s="43">
        <v>4500</v>
      </c>
      <c r="F1691" s="43"/>
      <c r="G1691" s="364">
        <f t="shared" si="10"/>
        <v>117864</v>
      </c>
      <c r="H1691" s="391" t="s">
        <v>9568</v>
      </c>
    </row>
    <row r="1692" spans="1:8" x14ac:dyDescent="0.3">
      <c r="A1692" s="45">
        <v>44256</v>
      </c>
      <c r="B1692" s="399"/>
      <c r="C1692" s="5" t="s">
        <v>14</v>
      </c>
      <c r="D1692" s="5" t="s">
        <v>7059</v>
      </c>
      <c r="E1692" s="43">
        <v>1693</v>
      </c>
      <c r="F1692" s="43"/>
      <c r="G1692" s="364">
        <f t="shared" si="10"/>
        <v>116171</v>
      </c>
      <c r="H1692" s="391" t="s">
        <v>9568</v>
      </c>
    </row>
    <row r="1693" spans="1:8" x14ac:dyDescent="0.3">
      <c r="A1693" s="45">
        <v>44256</v>
      </c>
      <c r="B1693" s="399"/>
      <c r="C1693" s="5" t="s">
        <v>1074</v>
      </c>
      <c r="D1693" s="5" t="s">
        <v>7060</v>
      </c>
      <c r="E1693" s="43">
        <v>23405</v>
      </c>
      <c r="F1693" s="43"/>
      <c r="G1693" s="364">
        <f t="shared" si="10"/>
        <v>92766</v>
      </c>
      <c r="H1693" s="391" t="s">
        <v>9568</v>
      </c>
    </row>
    <row r="1694" spans="1:8" x14ac:dyDescent="0.3">
      <c r="A1694" s="45">
        <v>44256</v>
      </c>
      <c r="B1694" s="399"/>
      <c r="C1694" s="5" t="s">
        <v>1512</v>
      </c>
      <c r="D1694" s="5" t="s">
        <v>7063</v>
      </c>
      <c r="E1694" s="43">
        <v>35000</v>
      </c>
      <c r="F1694" s="43"/>
      <c r="G1694" s="364">
        <f t="shared" si="10"/>
        <v>57766</v>
      </c>
      <c r="H1694" s="391" t="s">
        <v>9568</v>
      </c>
    </row>
    <row r="1695" spans="1:8" x14ac:dyDescent="0.3">
      <c r="A1695" s="45">
        <v>44256</v>
      </c>
      <c r="B1695" s="399"/>
      <c r="C1695" s="5" t="s">
        <v>84</v>
      </c>
      <c r="D1695" s="5" t="s">
        <v>7064</v>
      </c>
      <c r="E1695" s="43">
        <v>10000</v>
      </c>
      <c r="F1695" s="43"/>
      <c r="G1695" s="364">
        <f t="shared" si="10"/>
        <v>47766</v>
      </c>
      <c r="H1695" s="391" t="s">
        <v>9568</v>
      </c>
    </row>
    <row r="1696" spans="1:8" x14ac:dyDescent="0.3">
      <c r="A1696" s="45">
        <v>44256</v>
      </c>
      <c r="B1696" s="399"/>
      <c r="C1696" s="5" t="s">
        <v>1837</v>
      </c>
      <c r="D1696" s="5" t="s">
        <v>294</v>
      </c>
      <c r="E1696" s="43">
        <v>1500</v>
      </c>
      <c r="F1696" s="43"/>
      <c r="G1696" s="364">
        <f t="shared" si="10"/>
        <v>46266</v>
      </c>
      <c r="H1696" s="391" t="s">
        <v>9568</v>
      </c>
    </row>
    <row r="1697" spans="1:8" x14ac:dyDescent="0.3">
      <c r="A1697" s="45">
        <v>44256</v>
      </c>
      <c r="B1697" s="399"/>
      <c r="C1697" s="5" t="s">
        <v>1787</v>
      </c>
      <c r="D1697" s="5" t="s">
        <v>7065</v>
      </c>
      <c r="E1697" s="43">
        <v>1400</v>
      </c>
      <c r="F1697" s="43"/>
      <c r="G1697" s="364">
        <f t="shared" si="10"/>
        <v>44866</v>
      </c>
      <c r="H1697" s="391" t="s">
        <v>9568</v>
      </c>
    </row>
    <row r="1698" spans="1:8" x14ac:dyDescent="0.3">
      <c r="A1698" s="45">
        <v>44256</v>
      </c>
      <c r="B1698" s="399"/>
      <c r="C1698" s="5" t="s">
        <v>84</v>
      </c>
      <c r="D1698" s="5" t="s">
        <v>7066</v>
      </c>
      <c r="E1698" s="43">
        <v>1000</v>
      </c>
      <c r="F1698" s="43"/>
      <c r="G1698" s="364">
        <f t="shared" si="10"/>
        <v>43866</v>
      </c>
      <c r="H1698" s="391" t="s">
        <v>9568</v>
      </c>
    </row>
    <row r="1699" spans="1:8" x14ac:dyDescent="0.3">
      <c r="A1699" s="45">
        <v>44257</v>
      </c>
      <c r="B1699" s="399"/>
      <c r="C1699" s="5" t="s">
        <v>5896</v>
      </c>
      <c r="D1699" s="5" t="s">
        <v>7069</v>
      </c>
      <c r="E1699" s="43">
        <v>24000</v>
      </c>
      <c r="F1699" s="43"/>
      <c r="G1699" s="364">
        <f t="shared" si="10"/>
        <v>19866</v>
      </c>
      <c r="H1699" s="391" t="s">
        <v>9568</v>
      </c>
    </row>
    <row r="1700" spans="1:8" x14ac:dyDescent="0.3">
      <c r="A1700" s="45">
        <v>44257</v>
      </c>
      <c r="B1700" s="399"/>
      <c r="C1700" s="5" t="s">
        <v>25</v>
      </c>
      <c r="D1700" s="5" t="s">
        <v>4276</v>
      </c>
      <c r="E1700" s="43">
        <f>4198+1400+2+70+220+560</f>
        <v>6450</v>
      </c>
      <c r="F1700" s="43"/>
      <c r="G1700" s="364">
        <f t="shared" si="10"/>
        <v>13416</v>
      </c>
      <c r="H1700" s="391" t="s">
        <v>9568</v>
      </c>
    </row>
    <row r="1701" spans="1:8" x14ac:dyDescent="0.3">
      <c r="A1701" s="45">
        <v>44257</v>
      </c>
      <c r="B1701" s="399"/>
      <c r="C1701" s="5" t="s">
        <v>25</v>
      </c>
      <c r="D1701" s="5" t="s">
        <v>7093</v>
      </c>
      <c r="E1701" s="43">
        <v>5000</v>
      </c>
      <c r="F1701" s="43"/>
      <c r="G1701" s="364">
        <f t="shared" si="10"/>
        <v>8416</v>
      </c>
      <c r="H1701" s="391" t="s">
        <v>9568</v>
      </c>
    </row>
    <row r="1702" spans="1:8" x14ac:dyDescent="0.3">
      <c r="A1702" s="45">
        <v>44258</v>
      </c>
      <c r="B1702" s="581"/>
      <c r="C1702" s="555" t="s">
        <v>7088</v>
      </c>
      <c r="D1702" s="556"/>
      <c r="E1702" s="557"/>
      <c r="F1702" s="43">
        <v>100000</v>
      </c>
      <c r="G1702" s="364">
        <f>G1701+F1702-E1702</f>
        <v>108416</v>
      </c>
      <c r="H1702" s="391" t="s">
        <v>9568</v>
      </c>
    </row>
    <row r="1703" spans="1:8" x14ac:dyDescent="0.3">
      <c r="A1703" s="45">
        <v>44258</v>
      </c>
      <c r="B1703" s="581"/>
      <c r="C1703" s="555" t="s">
        <v>7088</v>
      </c>
      <c r="D1703" s="556"/>
      <c r="E1703" s="557"/>
      <c r="F1703" s="43">
        <v>50000</v>
      </c>
      <c r="G1703" s="364">
        <f>G1702+F1703-E1703</f>
        <v>158416</v>
      </c>
      <c r="H1703" s="391" t="s">
        <v>9568</v>
      </c>
    </row>
    <row r="1704" spans="1:8" x14ac:dyDescent="0.3">
      <c r="A1704" s="45">
        <v>44258</v>
      </c>
      <c r="B1704" s="399"/>
      <c r="C1704" s="5" t="s">
        <v>14</v>
      </c>
      <c r="D1704" s="5" t="s">
        <v>294</v>
      </c>
      <c r="E1704" s="43">
        <v>50000</v>
      </c>
      <c r="F1704" s="43"/>
      <c r="G1704" s="364">
        <f>G1703+F1704-E1704</f>
        <v>108416</v>
      </c>
      <c r="H1704" s="391" t="s">
        <v>9568</v>
      </c>
    </row>
    <row r="1705" spans="1:8" x14ac:dyDescent="0.3">
      <c r="A1705" s="45">
        <v>44258</v>
      </c>
      <c r="B1705" s="399"/>
      <c r="C1705" s="5" t="s">
        <v>14</v>
      </c>
      <c r="D1705" s="5" t="s">
        <v>294</v>
      </c>
      <c r="E1705" s="43">
        <v>20000</v>
      </c>
      <c r="F1705" s="43"/>
      <c r="G1705" s="364">
        <f>G1704+F1705-E1705</f>
        <v>88416</v>
      </c>
      <c r="H1705" s="391" t="s">
        <v>9568</v>
      </c>
    </row>
    <row r="1706" spans="1:8" x14ac:dyDescent="0.3">
      <c r="A1706" s="45">
        <v>44258</v>
      </c>
      <c r="B1706" s="399"/>
      <c r="C1706" s="5" t="s">
        <v>5709</v>
      </c>
      <c r="D1706" s="5" t="s">
        <v>7082</v>
      </c>
      <c r="E1706" s="43">
        <v>2700</v>
      </c>
      <c r="F1706" s="43"/>
      <c r="G1706" s="364">
        <f t="shared" si="10"/>
        <v>85716</v>
      </c>
      <c r="H1706" s="391" t="s">
        <v>9568</v>
      </c>
    </row>
    <row r="1707" spans="1:8" x14ac:dyDescent="0.3">
      <c r="A1707" s="45">
        <v>44258</v>
      </c>
      <c r="B1707" s="399"/>
      <c r="C1707" s="5" t="s">
        <v>5709</v>
      </c>
      <c r="D1707" s="5" t="s">
        <v>7083</v>
      </c>
      <c r="E1707" s="43">
        <v>7000</v>
      </c>
      <c r="F1707" s="43"/>
      <c r="G1707" s="364">
        <f t="shared" si="10"/>
        <v>78716</v>
      </c>
      <c r="H1707" s="391" t="s">
        <v>9568</v>
      </c>
    </row>
    <row r="1708" spans="1:8" x14ac:dyDescent="0.3">
      <c r="A1708" s="45">
        <v>44258</v>
      </c>
      <c r="B1708" s="399"/>
      <c r="C1708" s="5" t="s">
        <v>7084</v>
      </c>
      <c r="D1708" s="5" t="s">
        <v>7086</v>
      </c>
      <c r="E1708" s="43">
        <v>12000</v>
      </c>
      <c r="F1708" s="43"/>
      <c r="G1708" s="364">
        <f t="shared" si="10"/>
        <v>66716</v>
      </c>
      <c r="H1708" s="391" t="s">
        <v>9568</v>
      </c>
    </row>
    <row r="1709" spans="1:8" x14ac:dyDescent="0.3">
      <c r="A1709" s="45">
        <v>44258</v>
      </c>
      <c r="B1709" s="399"/>
      <c r="C1709" s="5" t="s">
        <v>54</v>
      </c>
      <c r="D1709" s="5" t="s">
        <v>7085</v>
      </c>
      <c r="E1709" s="43">
        <v>48600</v>
      </c>
      <c r="F1709" s="43"/>
      <c r="G1709" s="364">
        <f t="shared" si="10"/>
        <v>18116</v>
      </c>
      <c r="H1709" s="391" t="s">
        <v>9568</v>
      </c>
    </row>
    <row r="1710" spans="1:8" ht="37.5" x14ac:dyDescent="0.3">
      <c r="A1710" s="45">
        <v>44258</v>
      </c>
      <c r="B1710" s="399"/>
      <c r="C1710" s="5" t="s">
        <v>1787</v>
      </c>
      <c r="D1710" s="92" t="s">
        <v>7087</v>
      </c>
      <c r="E1710" s="43">
        <v>1500</v>
      </c>
      <c r="F1710" s="43"/>
      <c r="G1710" s="364">
        <f t="shared" si="10"/>
        <v>16616</v>
      </c>
      <c r="H1710" s="391" t="s">
        <v>9568</v>
      </c>
    </row>
    <row r="1711" spans="1:8" x14ac:dyDescent="0.3">
      <c r="A1711" s="45">
        <v>44258</v>
      </c>
      <c r="B1711" s="399"/>
      <c r="C1711" s="5" t="s">
        <v>6430</v>
      </c>
      <c r="D1711" s="5" t="s">
        <v>294</v>
      </c>
      <c r="E1711" s="43">
        <v>1500</v>
      </c>
      <c r="F1711" s="43"/>
      <c r="G1711" s="364">
        <f t="shared" si="10"/>
        <v>15116</v>
      </c>
      <c r="H1711" s="391" t="s">
        <v>9568</v>
      </c>
    </row>
    <row r="1712" spans="1:8" x14ac:dyDescent="0.3">
      <c r="A1712" s="45">
        <v>44258</v>
      </c>
      <c r="B1712" s="399"/>
      <c r="C1712" s="5" t="s">
        <v>3559</v>
      </c>
      <c r="D1712" s="5" t="s">
        <v>91</v>
      </c>
      <c r="E1712" s="43">
        <v>670</v>
      </c>
      <c r="F1712" s="43"/>
      <c r="G1712" s="364">
        <f t="shared" si="10"/>
        <v>14446</v>
      </c>
      <c r="H1712" s="391" t="s">
        <v>9568</v>
      </c>
    </row>
    <row r="1713" spans="1:8" x14ac:dyDescent="0.3">
      <c r="A1713" s="45">
        <v>44259</v>
      </c>
      <c r="B1713" s="581"/>
      <c r="C1713" s="555" t="s">
        <v>7100</v>
      </c>
      <c r="D1713" s="556"/>
      <c r="E1713" s="557"/>
      <c r="F1713" s="43">
        <v>200000</v>
      </c>
      <c r="G1713" s="364">
        <f t="shared" si="10"/>
        <v>214446</v>
      </c>
      <c r="H1713" s="391" t="s">
        <v>9568</v>
      </c>
    </row>
    <row r="1714" spans="1:8" x14ac:dyDescent="0.3">
      <c r="A1714" s="45">
        <v>44259</v>
      </c>
      <c r="B1714" s="399"/>
      <c r="C1714" s="5" t="s">
        <v>14</v>
      </c>
      <c r="D1714" s="5" t="s">
        <v>294</v>
      </c>
      <c r="E1714" s="43">
        <v>100000</v>
      </c>
      <c r="F1714" s="43"/>
      <c r="G1714" s="364">
        <f t="shared" si="10"/>
        <v>114446</v>
      </c>
      <c r="H1714" s="391" t="s">
        <v>9568</v>
      </c>
    </row>
    <row r="1715" spans="1:8" x14ac:dyDescent="0.3">
      <c r="A1715" s="45">
        <v>44259</v>
      </c>
      <c r="B1715" s="399"/>
      <c r="C1715" s="5" t="s">
        <v>7099</v>
      </c>
      <c r="D1715" s="5" t="s">
        <v>294</v>
      </c>
      <c r="E1715" s="43">
        <v>5000</v>
      </c>
      <c r="F1715" s="43"/>
      <c r="G1715" s="364">
        <f t="shared" si="10"/>
        <v>109446</v>
      </c>
      <c r="H1715" s="391" t="s">
        <v>9568</v>
      </c>
    </row>
    <row r="1716" spans="1:8" x14ac:dyDescent="0.3">
      <c r="A1716" s="45">
        <v>44259</v>
      </c>
      <c r="B1716" s="399"/>
      <c r="C1716" s="5" t="s">
        <v>14</v>
      </c>
      <c r="D1716" s="5" t="s">
        <v>7146</v>
      </c>
      <c r="E1716" s="43">
        <v>20000</v>
      </c>
      <c r="F1716" s="43"/>
      <c r="G1716" s="364">
        <f t="shared" si="10"/>
        <v>89446</v>
      </c>
      <c r="H1716" s="391" t="s">
        <v>9568</v>
      </c>
    </row>
    <row r="1717" spans="1:8" x14ac:dyDescent="0.3">
      <c r="A1717" s="45">
        <v>44260</v>
      </c>
      <c r="B1717" s="399"/>
      <c r="C1717" s="5" t="s">
        <v>25</v>
      </c>
      <c r="D1717" s="5" t="s">
        <v>5108</v>
      </c>
      <c r="E1717" s="43">
        <v>1000</v>
      </c>
      <c r="F1717" s="43"/>
      <c r="G1717" s="364">
        <f t="shared" si="10"/>
        <v>88446</v>
      </c>
      <c r="H1717" s="391" t="s">
        <v>9568</v>
      </c>
    </row>
    <row r="1718" spans="1:8" x14ac:dyDescent="0.3">
      <c r="A1718" s="45">
        <v>44260</v>
      </c>
      <c r="B1718" s="399"/>
      <c r="C1718" s="5" t="s">
        <v>25</v>
      </c>
      <c r="D1718" s="5" t="s">
        <v>2025</v>
      </c>
      <c r="E1718" s="43">
        <v>150</v>
      </c>
      <c r="F1718" s="43"/>
      <c r="G1718" s="364">
        <f t="shared" si="10"/>
        <v>88296</v>
      </c>
      <c r="H1718" s="391" t="s">
        <v>9568</v>
      </c>
    </row>
    <row r="1719" spans="1:8" x14ac:dyDescent="0.3">
      <c r="A1719" s="45">
        <v>44260</v>
      </c>
      <c r="B1719" s="399"/>
      <c r="C1719" s="5" t="s">
        <v>25</v>
      </c>
      <c r="D1719" s="5" t="s">
        <v>7102</v>
      </c>
      <c r="E1719" s="43">
        <v>140</v>
      </c>
      <c r="F1719" s="43"/>
      <c r="G1719" s="364">
        <f t="shared" si="10"/>
        <v>88156</v>
      </c>
      <c r="H1719" s="391" t="s">
        <v>9568</v>
      </c>
    </row>
    <row r="1720" spans="1:8" x14ac:dyDescent="0.3">
      <c r="A1720" s="45">
        <v>44260</v>
      </c>
      <c r="B1720" s="399"/>
      <c r="C1720" s="5" t="s">
        <v>0</v>
      </c>
      <c r="D1720" s="5" t="s">
        <v>294</v>
      </c>
      <c r="E1720" s="43">
        <v>5000</v>
      </c>
      <c r="F1720" s="43"/>
      <c r="G1720" s="364">
        <f t="shared" si="10"/>
        <v>83156</v>
      </c>
      <c r="H1720" s="391" t="s">
        <v>9568</v>
      </c>
    </row>
    <row r="1721" spans="1:8" x14ac:dyDescent="0.3">
      <c r="A1721" s="45">
        <v>44260</v>
      </c>
      <c r="B1721" s="399"/>
      <c r="C1721" s="5" t="s">
        <v>25</v>
      </c>
      <c r="D1721" s="5" t="s">
        <v>7103</v>
      </c>
      <c r="E1721" s="43">
        <v>150</v>
      </c>
      <c r="F1721" s="43"/>
      <c r="G1721" s="364">
        <f t="shared" si="10"/>
        <v>83006</v>
      </c>
      <c r="H1721" s="391" t="s">
        <v>9568</v>
      </c>
    </row>
    <row r="1722" spans="1:8" x14ac:dyDescent="0.3">
      <c r="A1722" s="45">
        <v>44260</v>
      </c>
      <c r="B1722" s="399"/>
      <c r="C1722" s="5" t="s">
        <v>541</v>
      </c>
      <c r="D1722" s="5" t="s">
        <v>7104</v>
      </c>
      <c r="E1722" s="43">
        <v>2000</v>
      </c>
      <c r="F1722" s="43"/>
      <c r="G1722" s="364">
        <f t="shared" si="10"/>
        <v>81006</v>
      </c>
      <c r="H1722" s="391" t="s">
        <v>9568</v>
      </c>
    </row>
    <row r="1723" spans="1:8" x14ac:dyDescent="0.3">
      <c r="A1723" s="45">
        <v>44260</v>
      </c>
      <c r="B1723" s="581"/>
      <c r="C1723" s="555" t="s">
        <v>4415</v>
      </c>
      <c r="D1723" s="556"/>
      <c r="E1723" s="557"/>
      <c r="F1723" s="43">
        <v>485000</v>
      </c>
      <c r="G1723" s="364">
        <f t="shared" si="10"/>
        <v>566006</v>
      </c>
      <c r="H1723" s="391" t="s">
        <v>9568</v>
      </c>
    </row>
    <row r="1724" spans="1:8" x14ac:dyDescent="0.3">
      <c r="A1724" s="45">
        <v>44260</v>
      </c>
      <c r="B1724" s="402"/>
      <c r="C1724" s="39" t="s">
        <v>1512</v>
      </c>
      <c r="D1724" s="39" t="s">
        <v>6926</v>
      </c>
      <c r="E1724" s="183">
        <v>147766</v>
      </c>
      <c r="F1724" s="183"/>
      <c r="G1724" s="364">
        <f t="shared" si="10"/>
        <v>418240</v>
      </c>
      <c r="H1724" s="391" t="s">
        <v>9568</v>
      </c>
    </row>
    <row r="1725" spans="1:8" x14ac:dyDescent="0.3">
      <c r="A1725" s="45">
        <v>44260</v>
      </c>
      <c r="B1725" s="402"/>
      <c r="C1725" s="39" t="s">
        <v>1512</v>
      </c>
      <c r="D1725" s="39" t="s">
        <v>6546</v>
      </c>
      <c r="E1725" s="183">
        <v>113384</v>
      </c>
      <c r="F1725" s="183"/>
      <c r="G1725" s="364">
        <f t="shared" si="10"/>
        <v>304856</v>
      </c>
      <c r="H1725" s="391" t="s">
        <v>9568</v>
      </c>
    </row>
    <row r="1726" spans="1:8" x14ac:dyDescent="0.3">
      <c r="A1726" s="45">
        <v>44260</v>
      </c>
      <c r="B1726" s="402"/>
      <c r="C1726" s="39" t="s">
        <v>1512</v>
      </c>
      <c r="D1726" s="39" t="s">
        <v>7105</v>
      </c>
      <c r="E1726" s="183">
        <v>118000</v>
      </c>
      <c r="F1726" s="183"/>
      <c r="G1726" s="364">
        <f t="shared" si="10"/>
        <v>186856</v>
      </c>
      <c r="H1726" s="391" t="s">
        <v>9568</v>
      </c>
    </row>
    <row r="1727" spans="1:8" x14ac:dyDescent="0.3">
      <c r="A1727" s="45">
        <v>44260</v>
      </c>
      <c r="B1727" s="402"/>
      <c r="C1727" s="39" t="s">
        <v>1512</v>
      </c>
      <c r="D1727" s="39" t="s">
        <v>6387</v>
      </c>
      <c r="E1727" s="183">
        <v>89080</v>
      </c>
      <c r="F1727" s="183"/>
      <c r="G1727" s="364">
        <f t="shared" si="10"/>
        <v>97776</v>
      </c>
      <c r="H1727" s="391" t="s">
        <v>9568</v>
      </c>
    </row>
    <row r="1728" spans="1:8" x14ac:dyDescent="0.3">
      <c r="A1728" s="45">
        <v>44260</v>
      </c>
      <c r="B1728" s="402"/>
      <c r="C1728" s="39" t="s">
        <v>1512</v>
      </c>
      <c r="D1728" s="39" t="s">
        <v>7127</v>
      </c>
      <c r="E1728" s="183">
        <v>35013</v>
      </c>
      <c r="F1728" s="183"/>
      <c r="G1728" s="364">
        <f t="shared" si="10"/>
        <v>62763</v>
      </c>
      <c r="H1728" s="391" t="s">
        <v>9568</v>
      </c>
    </row>
    <row r="1729" spans="1:8" x14ac:dyDescent="0.3">
      <c r="A1729" s="45">
        <v>44260</v>
      </c>
      <c r="B1729" s="581"/>
      <c r="C1729" s="555" t="s">
        <v>7048</v>
      </c>
      <c r="D1729" s="556"/>
      <c r="E1729" s="557"/>
      <c r="F1729" s="43">
        <v>400000</v>
      </c>
      <c r="G1729" s="364">
        <f t="shared" si="10"/>
        <v>462763</v>
      </c>
      <c r="H1729" s="391" t="s">
        <v>9568</v>
      </c>
    </row>
    <row r="1730" spans="1:8" x14ac:dyDescent="0.3">
      <c r="A1730" s="45">
        <v>44260</v>
      </c>
      <c r="B1730" s="402"/>
      <c r="C1730" s="39" t="s">
        <v>1512</v>
      </c>
      <c r="D1730" s="39" t="s">
        <v>6678</v>
      </c>
      <c r="E1730" s="183">
        <v>50143</v>
      </c>
      <c r="F1730" s="183"/>
      <c r="G1730" s="364">
        <f t="shared" ref="G1730:G1787" si="11">G1729+F1730-E1730</f>
        <v>412620</v>
      </c>
      <c r="H1730" s="391" t="s">
        <v>9568</v>
      </c>
    </row>
    <row r="1731" spans="1:8" x14ac:dyDescent="0.3">
      <c r="A1731" s="45">
        <v>44260</v>
      </c>
      <c r="B1731" s="581"/>
      <c r="C1731" s="555" t="s">
        <v>7106</v>
      </c>
      <c r="D1731" s="556"/>
      <c r="E1731" s="557"/>
      <c r="F1731" s="43">
        <v>109780</v>
      </c>
      <c r="G1731" s="364">
        <f t="shared" si="11"/>
        <v>522400</v>
      </c>
      <c r="H1731" s="391" t="s">
        <v>9568</v>
      </c>
    </row>
    <row r="1732" spans="1:8" x14ac:dyDescent="0.3">
      <c r="A1732" s="45">
        <v>44260</v>
      </c>
      <c r="B1732" s="423"/>
      <c r="C1732" s="114" t="s">
        <v>5709</v>
      </c>
      <c r="D1732" s="114" t="s">
        <v>7109</v>
      </c>
      <c r="E1732" s="52">
        <v>1150</v>
      </c>
      <c r="G1732" s="364">
        <f t="shared" si="11"/>
        <v>521250</v>
      </c>
      <c r="H1732" s="391" t="s">
        <v>9568</v>
      </c>
    </row>
    <row r="1733" spans="1:8" x14ac:dyDescent="0.3">
      <c r="A1733" s="45">
        <v>44260</v>
      </c>
      <c r="B1733" s="399"/>
      <c r="C1733" s="5" t="s">
        <v>4281</v>
      </c>
      <c r="D1733" s="5" t="s">
        <v>7107</v>
      </c>
      <c r="E1733" s="43">
        <v>125000</v>
      </c>
      <c r="F1733" s="43"/>
      <c r="G1733" s="364">
        <f t="shared" si="11"/>
        <v>396250</v>
      </c>
      <c r="H1733" s="391" t="s">
        <v>9568</v>
      </c>
    </row>
    <row r="1734" spans="1:8" x14ac:dyDescent="0.3">
      <c r="A1734" s="45">
        <v>44260</v>
      </c>
      <c r="B1734" s="399"/>
      <c r="C1734" s="5" t="s">
        <v>1837</v>
      </c>
      <c r="D1734" s="5" t="s">
        <v>7108</v>
      </c>
      <c r="E1734" s="43">
        <v>2000</v>
      </c>
      <c r="F1734" s="43"/>
      <c r="G1734" s="364">
        <f t="shared" si="11"/>
        <v>394250</v>
      </c>
      <c r="H1734" s="391" t="s">
        <v>9568</v>
      </c>
    </row>
    <row r="1735" spans="1:8" x14ac:dyDescent="0.3">
      <c r="A1735" s="45">
        <v>44260</v>
      </c>
      <c r="B1735" s="399"/>
      <c r="C1735" s="5" t="s">
        <v>14</v>
      </c>
      <c r="D1735" s="5" t="s">
        <v>4310</v>
      </c>
      <c r="E1735" s="43">
        <v>20000</v>
      </c>
      <c r="F1735" s="43"/>
      <c r="G1735" s="364">
        <f t="shared" si="11"/>
        <v>374250</v>
      </c>
      <c r="H1735" s="391" t="s">
        <v>9568</v>
      </c>
    </row>
    <row r="1736" spans="1:8" x14ac:dyDescent="0.3">
      <c r="A1736" s="45">
        <v>44260</v>
      </c>
      <c r="B1736" s="399"/>
      <c r="C1736" s="5" t="s">
        <v>5709</v>
      </c>
      <c r="D1736" s="5" t="s">
        <v>294</v>
      </c>
      <c r="E1736" s="43">
        <v>2500</v>
      </c>
      <c r="F1736" s="43"/>
      <c r="G1736" s="364">
        <f t="shared" si="11"/>
        <v>371750</v>
      </c>
      <c r="H1736" s="391" t="s">
        <v>9568</v>
      </c>
    </row>
    <row r="1737" spans="1:8" x14ac:dyDescent="0.3">
      <c r="A1737" s="45">
        <v>44261</v>
      </c>
      <c r="B1737" s="399"/>
      <c r="C1737" s="5" t="s">
        <v>4550</v>
      </c>
      <c r="D1737" s="5" t="s">
        <v>294</v>
      </c>
      <c r="E1737" s="43">
        <v>50000</v>
      </c>
      <c r="F1737" s="43"/>
      <c r="G1737" s="364">
        <f t="shared" si="11"/>
        <v>321750</v>
      </c>
      <c r="H1737" s="391" t="s">
        <v>9568</v>
      </c>
    </row>
    <row r="1738" spans="1:8" x14ac:dyDescent="0.3">
      <c r="A1738" s="45">
        <v>44261</v>
      </c>
      <c r="B1738" s="402"/>
      <c r="C1738" s="39" t="s">
        <v>1512</v>
      </c>
      <c r="D1738" s="39" t="s">
        <v>6759</v>
      </c>
      <c r="E1738" s="183">
        <v>29600</v>
      </c>
      <c r="F1738" s="183"/>
      <c r="G1738" s="364">
        <f t="shared" si="11"/>
        <v>292150</v>
      </c>
      <c r="H1738" s="391" t="s">
        <v>9568</v>
      </c>
    </row>
    <row r="1739" spans="1:8" x14ac:dyDescent="0.3">
      <c r="A1739" s="45">
        <v>44261</v>
      </c>
      <c r="B1739" s="399"/>
      <c r="C1739" s="5" t="s">
        <v>25</v>
      </c>
      <c r="D1739" s="5" t="s">
        <v>7112</v>
      </c>
      <c r="E1739" s="43">
        <v>500</v>
      </c>
      <c r="F1739" s="43"/>
      <c r="G1739" s="364">
        <f t="shared" si="11"/>
        <v>291650</v>
      </c>
      <c r="H1739" s="391" t="s">
        <v>9568</v>
      </c>
    </row>
    <row r="1740" spans="1:8" x14ac:dyDescent="0.3">
      <c r="A1740" s="45">
        <v>44261</v>
      </c>
      <c r="B1740" s="399"/>
      <c r="C1740" s="5" t="s">
        <v>14</v>
      </c>
      <c r="D1740" s="5" t="s">
        <v>294</v>
      </c>
      <c r="E1740" s="43">
        <v>15000</v>
      </c>
      <c r="F1740" s="43"/>
      <c r="G1740" s="364">
        <f t="shared" si="11"/>
        <v>276650</v>
      </c>
      <c r="H1740" s="391" t="s">
        <v>9568</v>
      </c>
    </row>
    <row r="1741" spans="1:8" x14ac:dyDescent="0.3">
      <c r="A1741" s="45">
        <v>44261</v>
      </c>
      <c r="B1741" s="399"/>
      <c r="C1741" s="5" t="s">
        <v>6430</v>
      </c>
      <c r="D1741" s="5" t="s">
        <v>7115</v>
      </c>
      <c r="E1741" s="43">
        <v>10000</v>
      </c>
      <c r="F1741" s="43"/>
      <c r="G1741" s="364">
        <f t="shared" si="11"/>
        <v>266650</v>
      </c>
      <c r="H1741" s="391" t="s">
        <v>9568</v>
      </c>
    </row>
    <row r="1742" spans="1:8" x14ac:dyDescent="0.3">
      <c r="A1742" s="45">
        <v>44261</v>
      </c>
      <c r="B1742" s="402"/>
      <c r="C1742" s="39" t="s">
        <v>1512</v>
      </c>
      <c r="D1742" s="39" t="s">
        <v>7116</v>
      </c>
      <c r="E1742" s="183">
        <v>202378</v>
      </c>
      <c r="F1742" s="183"/>
      <c r="G1742" s="364">
        <f t="shared" si="11"/>
        <v>64272</v>
      </c>
      <c r="H1742" s="391" t="s">
        <v>9568</v>
      </c>
    </row>
    <row r="1743" spans="1:8" x14ac:dyDescent="0.3">
      <c r="A1743" s="45">
        <v>44261</v>
      </c>
      <c r="B1743" s="402"/>
      <c r="C1743" s="39" t="s">
        <v>1512</v>
      </c>
      <c r="D1743" s="39" t="s">
        <v>7117</v>
      </c>
      <c r="E1743" s="183">
        <v>4000</v>
      </c>
      <c r="F1743" s="183"/>
      <c r="G1743" s="364">
        <f t="shared" si="11"/>
        <v>60272</v>
      </c>
      <c r="H1743" s="391" t="s">
        <v>9568</v>
      </c>
    </row>
    <row r="1744" spans="1:8" x14ac:dyDescent="0.3">
      <c r="A1744" s="45">
        <v>44261</v>
      </c>
      <c r="B1744" s="399"/>
      <c r="C1744" s="5" t="s">
        <v>5930</v>
      </c>
      <c r="D1744" s="5" t="s">
        <v>40</v>
      </c>
      <c r="E1744" s="43">
        <v>28600</v>
      </c>
      <c r="F1744" s="43"/>
      <c r="G1744" s="364">
        <f t="shared" si="11"/>
        <v>31672</v>
      </c>
      <c r="H1744" s="391" t="s">
        <v>9568</v>
      </c>
    </row>
    <row r="1745" spans="1:8" x14ac:dyDescent="0.3">
      <c r="A1745" s="45">
        <v>44263</v>
      </c>
      <c r="B1745" s="399"/>
      <c r="C1745" s="5" t="s">
        <v>25</v>
      </c>
      <c r="D1745" s="5" t="s">
        <v>6209</v>
      </c>
      <c r="E1745" s="43">
        <v>150</v>
      </c>
      <c r="F1745" s="43"/>
      <c r="G1745" s="364">
        <f t="shared" si="11"/>
        <v>31522</v>
      </c>
      <c r="H1745" s="391" t="s">
        <v>9568</v>
      </c>
    </row>
    <row r="1746" spans="1:8" x14ac:dyDescent="0.3">
      <c r="A1746" s="45">
        <v>44263</v>
      </c>
      <c r="B1746" s="581"/>
      <c r="C1746" s="555" t="s">
        <v>7048</v>
      </c>
      <c r="D1746" s="556"/>
      <c r="E1746" s="557"/>
      <c r="F1746" s="43">
        <v>100000</v>
      </c>
      <c r="G1746" s="364">
        <f t="shared" si="11"/>
        <v>131522</v>
      </c>
      <c r="H1746" s="391" t="s">
        <v>9568</v>
      </c>
    </row>
    <row r="1747" spans="1:8" x14ac:dyDescent="0.3">
      <c r="A1747" s="45">
        <v>44263</v>
      </c>
      <c r="B1747" s="399"/>
      <c r="C1747" s="5" t="s">
        <v>14</v>
      </c>
      <c r="D1747" s="5" t="s">
        <v>294</v>
      </c>
      <c r="E1747" s="43">
        <f>21000+24000</f>
        <v>45000</v>
      </c>
      <c r="F1747" s="43"/>
      <c r="G1747" s="364">
        <f t="shared" si="11"/>
        <v>86522</v>
      </c>
      <c r="H1747" s="391" t="s">
        <v>9568</v>
      </c>
    </row>
    <row r="1748" spans="1:8" x14ac:dyDescent="0.3">
      <c r="A1748" s="45">
        <v>44263</v>
      </c>
      <c r="B1748" s="402"/>
      <c r="C1748" s="39" t="s">
        <v>1512</v>
      </c>
      <c r="D1748" s="39" t="s">
        <v>7119</v>
      </c>
      <c r="E1748" s="183">
        <v>5000</v>
      </c>
      <c r="F1748" s="183"/>
      <c r="G1748" s="364">
        <f t="shared" si="11"/>
        <v>81522</v>
      </c>
      <c r="H1748" s="391" t="s">
        <v>9568</v>
      </c>
    </row>
    <row r="1749" spans="1:8" x14ac:dyDescent="0.3">
      <c r="A1749" s="45">
        <v>44263</v>
      </c>
      <c r="B1749" s="402"/>
      <c r="C1749" s="39" t="s">
        <v>1512</v>
      </c>
      <c r="D1749" s="39" t="s">
        <v>7120</v>
      </c>
      <c r="E1749" s="183">
        <v>29000</v>
      </c>
      <c r="F1749" s="183"/>
      <c r="G1749" s="364">
        <f t="shared" si="11"/>
        <v>52522</v>
      </c>
      <c r="H1749" s="391" t="s">
        <v>9568</v>
      </c>
    </row>
    <row r="1750" spans="1:8" x14ac:dyDescent="0.3">
      <c r="A1750" s="45">
        <v>44263</v>
      </c>
      <c r="B1750" s="399"/>
      <c r="C1750" s="5" t="s">
        <v>7121</v>
      </c>
      <c r="D1750" s="5" t="s">
        <v>7122</v>
      </c>
      <c r="E1750" s="43">
        <v>35000</v>
      </c>
      <c r="F1750" s="43"/>
      <c r="G1750" s="364">
        <f t="shared" si="11"/>
        <v>17522</v>
      </c>
      <c r="H1750" s="391" t="s">
        <v>9568</v>
      </c>
    </row>
    <row r="1751" spans="1:8" x14ac:dyDescent="0.3">
      <c r="A1751" s="45">
        <v>44263</v>
      </c>
      <c r="B1751" s="402"/>
      <c r="C1751" s="39" t="s">
        <v>1512</v>
      </c>
      <c r="D1751" s="39" t="s">
        <v>7123</v>
      </c>
      <c r="E1751" s="43">
        <v>3000</v>
      </c>
      <c r="F1751" s="43"/>
      <c r="G1751" s="364">
        <f t="shared" si="11"/>
        <v>14522</v>
      </c>
      <c r="H1751" s="391" t="s">
        <v>9568</v>
      </c>
    </row>
    <row r="1752" spans="1:8" x14ac:dyDescent="0.3">
      <c r="A1752" s="45">
        <v>44263</v>
      </c>
      <c r="B1752" s="402"/>
      <c r="C1752" s="39" t="s">
        <v>1512</v>
      </c>
      <c r="D1752" s="39" t="s">
        <v>7124</v>
      </c>
      <c r="E1752" s="43">
        <v>3000</v>
      </c>
      <c r="F1752" s="43"/>
      <c r="G1752" s="364">
        <f t="shared" si="11"/>
        <v>11522</v>
      </c>
      <c r="H1752" s="391" t="s">
        <v>9568</v>
      </c>
    </row>
    <row r="1753" spans="1:8" x14ac:dyDescent="0.3">
      <c r="A1753" s="45">
        <v>44263</v>
      </c>
      <c r="B1753" s="402"/>
      <c r="C1753" s="39" t="s">
        <v>1512</v>
      </c>
      <c r="D1753" s="39" t="s">
        <v>7125</v>
      </c>
      <c r="E1753" s="43">
        <v>8820</v>
      </c>
      <c r="F1753" s="43"/>
      <c r="G1753" s="364">
        <f t="shared" si="11"/>
        <v>2702</v>
      </c>
      <c r="H1753" s="391" t="s">
        <v>9568</v>
      </c>
    </row>
    <row r="1754" spans="1:8" x14ac:dyDescent="0.3">
      <c r="A1754" s="45">
        <v>44264</v>
      </c>
      <c r="B1754" s="581"/>
      <c r="C1754" s="555" t="s">
        <v>4415</v>
      </c>
      <c r="D1754" s="556"/>
      <c r="E1754" s="557"/>
      <c r="F1754" s="43">
        <v>225000</v>
      </c>
      <c r="G1754" s="364">
        <f t="shared" si="11"/>
        <v>227702</v>
      </c>
      <c r="H1754" s="391" t="s">
        <v>9568</v>
      </c>
    </row>
    <row r="1755" spans="1:8" x14ac:dyDescent="0.3">
      <c r="A1755" s="45">
        <v>44264</v>
      </c>
      <c r="B1755" s="399"/>
      <c r="C1755" s="5" t="s">
        <v>6430</v>
      </c>
      <c r="D1755" s="5" t="s">
        <v>7126</v>
      </c>
      <c r="E1755" s="43">
        <v>3000</v>
      </c>
      <c r="F1755" s="43"/>
      <c r="G1755" s="364">
        <f t="shared" si="11"/>
        <v>224702</v>
      </c>
      <c r="H1755" s="391" t="s">
        <v>9568</v>
      </c>
    </row>
    <row r="1756" spans="1:8" x14ac:dyDescent="0.3">
      <c r="A1756" s="45">
        <v>44264</v>
      </c>
      <c r="B1756" s="399"/>
      <c r="C1756" s="5" t="s">
        <v>0</v>
      </c>
      <c r="D1756" s="5" t="s">
        <v>294</v>
      </c>
      <c r="E1756" s="43">
        <v>50000</v>
      </c>
      <c r="F1756" s="43"/>
      <c r="G1756" s="364">
        <f t="shared" si="11"/>
        <v>174702</v>
      </c>
      <c r="H1756" s="391" t="s">
        <v>9568</v>
      </c>
    </row>
    <row r="1757" spans="1:8" x14ac:dyDescent="0.3">
      <c r="A1757" s="45">
        <v>44264</v>
      </c>
      <c r="B1757" s="399"/>
      <c r="C1757" s="5" t="s">
        <v>7128</v>
      </c>
      <c r="D1757" s="5" t="s">
        <v>7129</v>
      </c>
      <c r="E1757" s="43">
        <v>2000</v>
      </c>
      <c r="F1757" s="43"/>
      <c r="G1757" s="364">
        <f t="shared" si="11"/>
        <v>172702</v>
      </c>
      <c r="H1757" s="391" t="s">
        <v>9568</v>
      </c>
    </row>
    <row r="1758" spans="1:8" x14ac:dyDescent="0.3">
      <c r="A1758" s="45">
        <v>44264</v>
      </c>
      <c r="B1758" s="399"/>
      <c r="C1758" s="5" t="s">
        <v>7130</v>
      </c>
      <c r="D1758" s="5" t="s">
        <v>40</v>
      </c>
      <c r="E1758" s="43">
        <v>5000</v>
      </c>
      <c r="F1758" s="43"/>
      <c r="G1758" s="364">
        <f t="shared" si="11"/>
        <v>167702</v>
      </c>
      <c r="H1758" s="391" t="s">
        <v>9568</v>
      </c>
    </row>
    <row r="1759" spans="1:8" x14ac:dyDescent="0.3">
      <c r="A1759" s="45">
        <v>44264</v>
      </c>
      <c r="B1759" s="399"/>
      <c r="C1759" s="5" t="s">
        <v>6430</v>
      </c>
      <c r="D1759" s="5" t="s">
        <v>7131</v>
      </c>
      <c r="E1759" s="43">
        <v>3600</v>
      </c>
      <c r="F1759" s="43"/>
      <c r="G1759" s="364">
        <f t="shared" si="11"/>
        <v>164102</v>
      </c>
      <c r="H1759" s="391" t="s">
        <v>9568</v>
      </c>
    </row>
    <row r="1760" spans="1:8" x14ac:dyDescent="0.3">
      <c r="A1760" s="45">
        <v>44264</v>
      </c>
      <c r="B1760" s="399"/>
      <c r="C1760" s="5" t="s">
        <v>5709</v>
      </c>
      <c r="D1760" s="5" t="s">
        <v>7143</v>
      </c>
      <c r="E1760" s="43">
        <v>1500</v>
      </c>
      <c r="F1760" s="43"/>
      <c r="G1760" s="364">
        <f t="shared" si="11"/>
        <v>162602</v>
      </c>
      <c r="H1760" s="391" t="s">
        <v>9568</v>
      </c>
    </row>
    <row r="1761" spans="1:8" x14ac:dyDescent="0.3">
      <c r="A1761" s="45">
        <v>44264</v>
      </c>
      <c r="B1761" s="399"/>
      <c r="C1761" s="5" t="s">
        <v>25</v>
      </c>
      <c r="D1761" s="5" t="s">
        <v>4731</v>
      </c>
      <c r="E1761" s="43">
        <v>3000</v>
      </c>
      <c r="F1761" s="43"/>
      <c r="G1761" s="364">
        <f t="shared" si="11"/>
        <v>159602</v>
      </c>
      <c r="H1761" s="391" t="s">
        <v>9568</v>
      </c>
    </row>
    <row r="1762" spans="1:8" x14ac:dyDescent="0.3">
      <c r="A1762" s="45">
        <v>44264</v>
      </c>
      <c r="B1762" s="399"/>
      <c r="C1762" s="5" t="s">
        <v>25</v>
      </c>
      <c r="D1762" s="5" t="s">
        <v>4276</v>
      </c>
      <c r="E1762" s="43">
        <f>480+100+520+280+50+70+150+280+40+130+400+150+300+600+280+150+140+1550+550+150+280+80+1400</f>
        <v>8130</v>
      </c>
      <c r="F1762" s="43"/>
      <c r="G1762" s="364">
        <f t="shared" si="11"/>
        <v>151472</v>
      </c>
      <c r="H1762" s="391" t="s">
        <v>9568</v>
      </c>
    </row>
    <row r="1763" spans="1:8" x14ac:dyDescent="0.3">
      <c r="A1763" s="45">
        <v>44264</v>
      </c>
      <c r="B1763" s="399"/>
      <c r="C1763" s="5" t="s">
        <v>5156</v>
      </c>
      <c r="D1763" s="5" t="s">
        <v>6913</v>
      </c>
      <c r="E1763" s="43">
        <v>750</v>
      </c>
      <c r="F1763" s="43"/>
      <c r="G1763" s="364">
        <f t="shared" si="11"/>
        <v>150722</v>
      </c>
      <c r="H1763" s="391" t="s">
        <v>9568</v>
      </c>
    </row>
    <row r="1764" spans="1:8" x14ac:dyDescent="0.3">
      <c r="A1764" s="45">
        <v>44264</v>
      </c>
      <c r="B1764" s="399"/>
      <c r="C1764" s="5" t="s">
        <v>25</v>
      </c>
      <c r="D1764" s="5" t="s">
        <v>7144</v>
      </c>
      <c r="E1764" s="43">
        <v>200</v>
      </c>
      <c r="F1764" s="43"/>
      <c r="G1764" s="364">
        <f t="shared" si="11"/>
        <v>150522</v>
      </c>
      <c r="H1764" s="391" t="s">
        <v>9568</v>
      </c>
    </row>
    <row r="1765" spans="1:8" x14ac:dyDescent="0.3">
      <c r="A1765" s="45">
        <v>44264</v>
      </c>
      <c r="B1765" s="399"/>
      <c r="C1765" s="5" t="s">
        <v>6430</v>
      </c>
      <c r="D1765" s="5" t="s">
        <v>294</v>
      </c>
      <c r="E1765" s="43">
        <v>5000</v>
      </c>
      <c r="F1765" s="43"/>
      <c r="G1765" s="364">
        <f t="shared" si="11"/>
        <v>145522</v>
      </c>
      <c r="H1765" s="391" t="s">
        <v>9568</v>
      </c>
    </row>
    <row r="1766" spans="1:8" x14ac:dyDescent="0.3">
      <c r="A1766" s="45">
        <v>44264</v>
      </c>
      <c r="B1766" s="399"/>
      <c r="C1766" s="5" t="s">
        <v>57</v>
      </c>
      <c r="D1766" s="5" t="s">
        <v>294</v>
      </c>
      <c r="E1766" s="43">
        <v>5000</v>
      </c>
      <c r="F1766" s="43"/>
      <c r="G1766" s="364">
        <f t="shared" si="11"/>
        <v>140522</v>
      </c>
      <c r="H1766" s="391" t="s">
        <v>9568</v>
      </c>
    </row>
    <row r="1767" spans="1:8" x14ac:dyDescent="0.3">
      <c r="A1767" s="45">
        <v>44265</v>
      </c>
      <c r="B1767" s="402"/>
      <c r="C1767" s="39" t="s">
        <v>1512</v>
      </c>
      <c r="D1767" s="39" t="s">
        <v>6952</v>
      </c>
      <c r="E1767" s="43">
        <v>29835</v>
      </c>
      <c r="F1767" s="43"/>
      <c r="G1767" s="364">
        <f t="shared" si="11"/>
        <v>110687</v>
      </c>
      <c r="H1767" s="391" t="s">
        <v>9568</v>
      </c>
    </row>
    <row r="1768" spans="1:8" x14ac:dyDescent="0.3">
      <c r="A1768" s="45">
        <v>44265</v>
      </c>
      <c r="B1768" s="399"/>
      <c r="C1768" s="5" t="s">
        <v>5162</v>
      </c>
      <c r="D1768" s="5" t="s">
        <v>7145</v>
      </c>
      <c r="E1768" s="43">
        <v>1000</v>
      </c>
      <c r="F1768" s="43"/>
      <c r="G1768" s="364">
        <f t="shared" si="11"/>
        <v>109687</v>
      </c>
      <c r="H1768" s="391" t="s">
        <v>9568</v>
      </c>
    </row>
    <row r="1769" spans="1:8" x14ac:dyDescent="0.3">
      <c r="A1769" s="45">
        <v>44265</v>
      </c>
      <c r="B1769" s="399"/>
      <c r="C1769" s="5" t="s">
        <v>14</v>
      </c>
      <c r="D1769" s="5" t="s">
        <v>294</v>
      </c>
      <c r="E1769" s="43">
        <v>100000</v>
      </c>
      <c r="F1769" s="43"/>
      <c r="G1769" s="364">
        <f t="shared" si="11"/>
        <v>9687</v>
      </c>
      <c r="H1769" s="391" t="s">
        <v>9568</v>
      </c>
    </row>
    <row r="1770" spans="1:8" ht="37.5" x14ac:dyDescent="0.3">
      <c r="A1770" s="45">
        <v>44265</v>
      </c>
      <c r="B1770" s="399"/>
      <c r="C1770" s="5" t="s">
        <v>1616</v>
      </c>
      <c r="D1770" s="92" t="s">
        <v>7147</v>
      </c>
      <c r="E1770" s="43">
        <v>7000</v>
      </c>
      <c r="F1770" s="43"/>
      <c r="G1770" s="364">
        <f t="shared" si="11"/>
        <v>2687</v>
      </c>
      <c r="H1770" s="391" t="s">
        <v>9568</v>
      </c>
    </row>
    <row r="1771" spans="1:8" x14ac:dyDescent="0.3">
      <c r="A1771" s="45">
        <v>44265</v>
      </c>
      <c r="B1771" s="581"/>
      <c r="C1771" s="555" t="s">
        <v>7048</v>
      </c>
      <c r="D1771" s="556"/>
      <c r="E1771" s="557"/>
      <c r="F1771" s="43">
        <v>35000</v>
      </c>
      <c r="G1771" s="364">
        <f t="shared" si="11"/>
        <v>37687</v>
      </c>
      <c r="H1771" s="391" t="s">
        <v>9568</v>
      </c>
    </row>
    <row r="1772" spans="1:8" x14ac:dyDescent="0.3">
      <c r="A1772" s="45">
        <v>44265</v>
      </c>
      <c r="B1772" s="399"/>
      <c r="C1772" s="5" t="s">
        <v>6908</v>
      </c>
      <c r="D1772" s="5" t="s">
        <v>7152</v>
      </c>
      <c r="E1772" s="43">
        <v>36500</v>
      </c>
      <c r="F1772" s="43"/>
      <c r="G1772" s="364">
        <f t="shared" si="11"/>
        <v>1187</v>
      </c>
      <c r="H1772" s="391" t="s">
        <v>9568</v>
      </c>
    </row>
    <row r="1773" spans="1:8" x14ac:dyDescent="0.3">
      <c r="A1773" s="45">
        <v>44266</v>
      </c>
      <c r="B1773" s="581"/>
      <c r="C1773" s="555" t="s">
        <v>7048</v>
      </c>
      <c r="D1773" s="556"/>
      <c r="E1773" s="557"/>
      <c r="F1773" s="43">
        <v>50000</v>
      </c>
      <c r="G1773" s="364">
        <f t="shared" si="11"/>
        <v>51187</v>
      </c>
      <c r="H1773" s="391" t="s">
        <v>9568</v>
      </c>
    </row>
    <row r="1774" spans="1:8" x14ac:dyDescent="0.3">
      <c r="A1774" s="45">
        <v>44266</v>
      </c>
      <c r="B1774" s="399"/>
      <c r="C1774" s="5" t="s">
        <v>57</v>
      </c>
      <c r="D1774" s="5" t="s">
        <v>294</v>
      </c>
      <c r="E1774" s="43">
        <v>20000</v>
      </c>
      <c r="F1774" s="43"/>
      <c r="G1774" s="364">
        <f t="shared" si="11"/>
        <v>31187</v>
      </c>
      <c r="H1774" s="391" t="s">
        <v>9568</v>
      </c>
    </row>
    <row r="1775" spans="1:8" x14ac:dyDescent="0.3">
      <c r="A1775" s="45">
        <v>44266</v>
      </c>
      <c r="B1775" s="581"/>
      <c r="C1775" s="555" t="s">
        <v>4415</v>
      </c>
      <c r="D1775" s="556"/>
      <c r="E1775" s="557"/>
      <c r="F1775" s="43">
        <v>190000</v>
      </c>
      <c r="G1775" s="364">
        <f t="shared" si="11"/>
        <v>221187</v>
      </c>
      <c r="H1775" s="391" t="s">
        <v>9568</v>
      </c>
    </row>
    <row r="1776" spans="1:8" x14ac:dyDescent="0.3">
      <c r="A1776" s="45">
        <v>44266</v>
      </c>
      <c r="B1776" s="399"/>
      <c r="C1776" s="5" t="s">
        <v>57</v>
      </c>
      <c r="D1776" s="5" t="s">
        <v>294</v>
      </c>
      <c r="E1776" s="43">
        <v>50000</v>
      </c>
      <c r="F1776" s="43"/>
      <c r="G1776" s="364">
        <f t="shared" si="11"/>
        <v>171187</v>
      </c>
      <c r="H1776" s="391" t="s">
        <v>9568</v>
      </c>
    </row>
    <row r="1777" spans="1:8" x14ac:dyDescent="0.3">
      <c r="A1777" s="45">
        <v>44266</v>
      </c>
      <c r="B1777" s="399"/>
      <c r="C1777" s="5" t="s">
        <v>5709</v>
      </c>
      <c r="D1777" s="5" t="s">
        <v>294</v>
      </c>
      <c r="E1777" s="43">
        <v>15000</v>
      </c>
      <c r="F1777" s="43"/>
      <c r="G1777" s="364">
        <f t="shared" si="11"/>
        <v>156187</v>
      </c>
      <c r="H1777" s="391" t="s">
        <v>9568</v>
      </c>
    </row>
    <row r="1778" spans="1:8" x14ac:dyDescent="0.3">
      <c r="A1778" s="45">
        <v>44266</v>
      </c>
      <c r="B1778" s="402"/>
      <c r="C1778" s="39" t="s">
        <v>1512</v>
      </c>
      <c r="D1778" s="39" t="s">
        <v>6557</v>
      </c>
      <c r="E1778" s="43">
        <v>99362</v>
      </c>
      <c r="F1778" s="43"/>
      <c r="G1778" s="364">
        <f>G1777+F1778-E1778</f>
        <v>56825</v>
      </c>
      <c r="H1778" s="391" t="s">
        <v>9568</v>
      </c>
    </row>
    <row r="1779" spans="1:8" x14ac:dyDescent="0.3">
      <c r="A1779" s="45">
        <v>44266</v>
      </c>
      <c r="B1779" s="399"/>
      <c r="C1779" s="5" t="s">
        <v>18</v>
      </c>
      <c r="D1779" s="5" t="s">
        <v>294</v>
      </c>
      <c r="E1779" s="43">
        <v>5000</v>
      </c>
      <c r="F1779" s="43"/>
      <c r="G1779" s="364">
        <f t="shared" si="11"/>
        <v>51825</v>
      </c>
      <c r="H1779" s="391" t="s">
        <v>9568</v>
      </c>
    </row>
    <row r="1780" spans="1:8" x14ac:dyDescent="0.3">
      <c r="A1780" s="45">
        <v>44266</v>
      </c>
      <c r="B1780" s="416"/>
      <c r="C1780" s="234" t="s">
        <v>84</v>
      </c>
      <c r="D1780" s="234" t="s">
        <v>7153</v>
      </c>
      <c r="E1780" s="245">
        <v>200</v>
      </c>
      <c r="F1780" s="43"/>
      <c r="G1780" s="364">
        <f t="shared" si="11"/>
        <v>51625</v>
      </c>
      <c r="H1780" s="391" t="s">
        <v>9568</v>
      </c>
    </row>
    <row r="1781" spans="1:8" x14ac:dyDescent="0.3">
      <c r="A1781" s="45">
        <v>44266</v>
      </c>
      <c r="B1781" s="399"/>
      <c r="C1781" s="5" t="s">
        <v>6341</v>
      </c>
      <c r="D1781" s="5" t="s">
        <v>7155</v>
      </c>
      <c r="E1781" s="43">
        <v>25000</v>
      </c>
      <c r="F1781" s="43"/>
      <c r="G1781" s="364">
        <f t="shared" si="11"/>
        <v>26625</v>
      </c>
      <c r="H1781" s="391" t="s">
        <v>9568</v>
      </c>
    </row>
    <row r="1782" spans="1:8" x14ac:dyDescent="0.3">
      <c r="A1782" s="45">
        <v>44266</v>
      </c>
      <c r="B1782" s="399"/>
      <c r="C1782" s="5" t="s">
        <v>6341</v>
      </c>
      <c r="D1782" s="5" t="s">
        <v>7154</v>
      </c>
      <c r="E1782" s="43">
        <v>6300</v>
      </c>
      <c r="F1782" s="43"/>
      <c r="G1782" s="364">
        <f t="shared" si="11"/>
        <v>20325</v>
      </c>
      <c r="H1782" s="391" t="s">
        <v>9568</v>
      </c>
    </row>
    <row r="1783" spans="1:8" x14ac:dyDescent="0.3">
      <c r="A1783" s="45">
        <v>44266</v>
      </c>
      <c r="B1783" s="581"/>
      <c r="C1783" s="555" t="s">
        <v>4415</v>
      </c>
      <c r="D1783" s="556"/>
      <c r="E1783" s="557"/>
      <c r="F1783" s="43">
        <v>250000</v>
      </c>
      <c r="G1783" s="364">
        <f>G1782+F1783-E1783</f>
        <v>270325</v>
      </c>
      <c r="H1783" s="391" t="s">
        <v>9568</v>
      </c>
    </row>
    <row r="1784" spans="1:8" x14ac:dyDescent="0.3">
      <c r="A1784" s="45">
        <v>44266</v>
      </c>
      <c r="B1784" s="399"/>
      <c r="C1784" s="5" t="s">
        <v>6430</v>
      </c>
      <c r="D1784" s="5" t="s">
        <v>294</v>
      </c>
      <c r="E1784" s="43">
        <v>5000</v>
      </c>
      <c r="F1784" s="43"/>
      <c r="G1784" s="364">
        <f t="shared" si="11"/>
        <v>265325</v>
      </c>
      <c r="H1784" s="391" t="s">
        <v>9568</v>
      </c>
    </row>
    <row r="1785" spans="1:8" x14ac:dyDescent="0.3">
      <c r="A1785" s="45">
        <v>44267</v>
      </c>
      <c r="B1785" s="424"/>
      <c r="C1785" s="246" t="s">
        <v>7156</v>
      </c>
      <c r="D1785" s="246" t="s">
        <v>7157</v>
      </c>
      <c r="E1785" s="247">
        <v>45000</v>
      </c>
      <c r="F1785" s="43"/>
      <c r="G1785" s="364">
        <f t="shared" si="11"/>
        <v>220325</v>
      </c>
      <c r="H1785" s="391" t="s">
        <v>9568</v>
      </c>
    </row>
    <row r="1786" spans="1:8" x14ac:dyDescent="0.3">
      <c r="A1786" s="45">
        <v>44267</v>
      </c>
      <c r="B1786" s="424"/>
      <c r="C1786" s="246" t="s">
        <v>7158</v>
      </c>
      <c r="D1786" s="246" t="s">
        <v>7159</v>
      </c>
      <c r="E1786" s="247">
        <v>2170</v>
      </c>
      <c r="F1786" s="43"/>
      <c r="G1786" s="364">
        <f t="shared" si="11"/>
        <v>218155</v>
      </c>
      <c r="H1786" s="391" t="s">
        <v>9568</v>
      </c>
    </row>
    <row r="1787" spans="1:8" x14ac:dyDescent="0.3">
      <c r="A1787" s="45">
        <v>44267</v>
      </c>
      <c r="B1787" s="399"/>
      <c r="C1787" s="5" t="s">
        <v>1012</v>
      </c>
      <c r="D1787" s="5" t="s">
        <v>7160</v>
      </c>
      <c r="E1787" s="43">
        <v>15000</v>
      </c>
      <c r="F1787" s="43"/>
      <c r="G1787" s="364">
        <f t="shared" si="11"/>
        <v>203155</v>
      </c>
      <c r="H1787" s="391" t="s">
        <v>9568</v>
      </c>
    </row>
    <row r="1788" spans="1:8" x14ac:dyDescent="0.3">
      <c r="A1788" s="45">
        <v>44267</v>
      </c>
      <c r="B1788" s="399"/>
      <c r="C1788" s="5" t="s">
        <v>5618</v>
      </c>
      <c r="D1788" s="5" t="s">
        <v>7159</v>
      </c>
      <c r="E1788" s="43">
        <v>9000</v>
      </c>
      <c r="F1788" s="43"/>
      <c r="G1788" s="364">
        <f t="shared" ref="G1788:G1796" si="12">G1787+F1788-E1788</f>
        <v>194155</v>
      </c>
      <c r="H1788" s="391" t="s">
        <v>9568</v>
      </c>
    </row>
    <row r="1789" spans="1:8" x14ac:dyDescent="0.3">
      <c r="A1789" s="45">
        <v>44267</v>
      </c>
      <c r="B1789" s="399"/>
      <c r="C1789" s="5" t="s">
        <v>0</v>
      </c>
      <c r="D1789" s="5" t="s">
        <v>294</v>
      </c>
      <c r="E1789" s="43">
        <v>30000</v>
      </c>
      <c r="F1789" s="43"/>
      <c r="G1789" s="364">
        <f t="shared" si="12"/>
        <v>164155</v>
      </c>
      <c r="H1789" s="391" t="s">
        <v>9568</v>
      </c>
    </row>
    <row r="1790" spans="1:8" x14ac:dyDescent="0.3">
      <c r="A1790" s="45">
        <v>44267</v>
      </c>
      <c r="B1790" s="581"/>
      <c r="C1790" s="555" t="s">
        <v>7161</v>
      </c>
      <c r="D1790" s="556"/>
      <c r="E1790" s="557"/>
      <c r="F1790" s="43">
        <v>57500</v>
      </c>
      <c r="G1790" s="364">
        <f t="shared" si="12"/>
        <v>221655</v>
      </c>
      <c r="H1790" s="391" t="s">
        <v>9568</v>
      </c>
    </row>
    <row r="1791" spans="1:8" x14ac:dyDescent="0.3">
      <c r="A1791" s="45">
        <v>44267</v>
      </c>
      <c r="B1791" s="399"/>
      <c r="C1791" s="5" t="s">
        <v>0</v>
      </c>
      <c r="D1791" s="5" t="s">
        <v>7162</v>
      </c>
      <c r="E1791" s="43">
        <v>5000</v>
      </c>
      <c r="F1791" s="43"/>
      <c r="G1791" s="364">
        <f t="shared" si="12"/>
        <v>216655</v>
      </c>
      <c r="H1791" s="391" t="s">
        <v>9568</v>
      </c>
    </row>
    <row r="1792" spans="1:8" x14ac:dyDescent="0.3">
      <c r="A1792" s="45">
        <v>44267</v>
      </c>
      <c r="B1792" s="399"/>
      <c r="C1792" s="5" t="s">
        <v>0</v>
      </c>
      <c r="D1792" s="5" t="s">
        <v>294</v>
      </c>
      <c r="E1792" s="43">
        <v>131000</v>
      </c>
      <c r="F1792" s="43"/>
      <c r="G1792" s="364">
        <f t="shared" si="12"/>
        <v>85655</v>
      </c>
      <c r="H1792" s="391" t="s">
        <v>9568</v>
      </c>
    </row>
    <row r="1793" spans="1:8" x14ac:dyDescent="0.3">
      <c r="A1793" s="45">
        <v>44267</v>
      </c>
      <c r="B1793" s="399"/>
      <c r="C1793" s="5" t="s">
        <v>7165</v>
      </c>
      <c r="D1793" s="5" t="s">
        <v>7166</v>
      </c>
      <c r="E1793" s="43">
        <v>35000</v>
      </c>
      <c r="F1793" s="43"/>
      <c r="G1793" s="364">
        <f t="shared" si="12"/>
        <v>50655</v>
      </c>
      <c r="H1793" s="391" t="s">
        <v>9568</v>
      </c>
    </row>
    <row r="1794" spans="1:8" x14ac:dyDescent="0.3">
      <c r="A1794" s="45">
        <v>44267</v>
      </c>
      <c r="B1794" s="399"/>
      <c r="C1794" s="5" t="s">
        <v>7163</v>
      </c>
      <c r="D1794" s="5" t="s">
        <v>40</v>
      </c>
      <c r="E1794" s="43">
        <v>1200</v>
      </c>
      <c r="F1794" s="43"/>
      <c r="G1794" s="364">
        <f t="shared" si="12"/>
        <v>49455</v>
      </c>
      <c r="H1794" s="391" t="s">
        <v>9568</v>
      </c>
    </row>
    <row r="1795" spans="1:8" x14ac:dyDescent="0.3">
      <c r="A1795" s="45">
        <v>44267</v>
      </c>
      <c r="B1795" s="399"/>
      <c r="C1795" s="5" t="s">
        <v>3559</v>
      </c>
      <c r="D1795" s="5" t="s">
        <v>7164</v>
      </c>
      <c r="E1795" s="43">
        <v>25000</v>
      </c>
      <c r="F1795" s="43"/>
      <c r="G1795" s="364">
        <f t="shared" si="12"/>
        <v>24455</v>
      </c>
      <c r="H1795" s="391" t="s">
        <v>9568</v>
      </c>
    </row>
    <row r="1796" spans="1:8" x14ac:dyDescent="0.3">
      <c r="A1796" s="45">
        <v>44268</v>
      </c>
      <c r="B1796" s="399"/>
      <c r="C1796" s="5" t="s">
        <v>25</v>
      </c>
      <c r="D1796" s="5" t="s">
        <v>4276</v>
      </c>
      <c r="E1796" s="43">
        <f>800+600+40+440+280+90+90+800+100+40+20+90+360+170+100+100+280+25</f>
        <v>4425</v>
      </c>
      <c r="F1796" s="43"/>
      <c r="G1796" s="364">
        <f t="shared" si="12"/>
        <v>20030</v>
      </c>
      <c r="H1796" s="391" t="s">
        <v>9568</v>
      </c>
    </row>
    <row r="1797" spans="1:8" x14ac:dyDescent="0.3">
      <c r="A1797" s="45">
        <v>44268</v>
      </c>
      <c r="B1797" s="399"/>
      <c r="C1797" s="5" t="s">
        <v>25</v>
      </c>
      <c r="D1797" s="5" t="s">
        <v>7167</v>
      </c>
      <c r="E1797" s="43">
        <v>860</v>
      </c>
      <c r="F1797" s="43"/>
      <c r="G1797" s="364">
        <f t="shared" ref="G1797:G1862" si="13">G1796+F1797-E1797</f>
        <v>19170</v>
      </c>
      <c r="H1797" s="391" t="s">
        <v>9568</v>
      </c>
    </row>
    <row r="1798" spans="1:8" x14ac:dyDescent="0.3">
      <c r="A1798" s="45">
        <v>44268</v>
      </c>
      <c r="B1798" s="399"/>
      <c r="C1798" s="5" t="s">
        <v>6908</v>
      </c>
      <c r="D1798" s="5" t="s">
        <v>7168</v>
      </c>
      <c r="E1798" s="43">
        <v>7000</v>
      </c>
      <c r="F1798" s="43"/>
      <c r="G1798" s="364">
        <f t="shared" si="13"/>
        <v>12170</v>
      </c>
      <c r="H1798" s="391" t="s">
        <v>9568</v>
      </c>
    </row>
    <row r="1799" spans="1:8" x14ac:dyDescent="0.3">
      <c r="A1799" s="45">
        <v>44268</v>
      </c>
      <c r="B1799" s="399"/>
      <c r="C1799" s="5" t="s">
        <v>84</v>
      </c>
      <c r="D1799" s="5" t="s">
        <v>7169</v>
      </c>
      <c r="E1799" s="43">
        <v>2000</v>
      </c>
      <c r="F1799" s="43"/>
      <c r="G1799" s="364">
        <f t="shared" si="13"/>
        <v>10170</v>
      </c>
      <c r="H1799" s="391" t="s">
        <v>9568</v>
      </c>
    </row>
    <row r="1800" spans="1:8" x14ac:dyDescent="0.3">
      <c r="A1800" s="45">
        <v>44268</v>
      </c>
      <c r="B1800" s="399"/>
      <c r="C1800" s="5" t="s">
        <v>25</v>
      </c>
      <c r="D1800" s="5" t="s">
        <v>7179</v>
      </c>
      <c r="E1800" s="43">
        <v>230</v>
      </c>
      <c r="F1800" s="43"/>
      <c r="G1800" s="364">
        <f t="shared" si="13"/>
        <v>9940</v>
      </c>
      <c r="H1800" s="391" t="s">
        <v>9568</v>
      </c>
    </row>
    <row r="1801" spans="1:8" ht="37.5" x14ac:dyDescent="0.3">
      <c r="A1801" s="45">
        <v>44270</v>
      </c>
      <c r="B1801" s="399"/>
      <c r="C1801" s="5" t="s">
        <v>25</v>
      </c>
      <c r="D1801" s="92" t="s">
        <v>7181</v>
      </c>
      <c r="E1801" s="43">
        <v>2000</v>
      </c>
      <c r="F1801" s="43"/>
      <c r="G1801" s="364">
        <f t="shared" si="13"/>
        <v>7940</v>
      </c>
      <c r="H1801" s="391" t="s">
        <v>9568</v>
      </c>
    </row>
    <row r="1802" spans="1:8" x14ac:dyDescent="0.3">
      <c r="A1802" s="45">
        <v>44270</v>
      </c>
      <c r="B1802" s="399"/>
      <c r="C1802" s="5" t="s">
        <v>1837</v>
      </c>
      <c r="D1802" s="5" t="s">
        <v>7182</v>
      </c>
      <c r="E1802" s="43">
        <v>1000</v>
      </c>
      <c r="F1802" s="43"/>
      <c r="G1802" s="364">
        <f t="shared" si="13"/>
        <v>6940</v>
      </c>
      <c r="H1802" s="391" t="s">
        <v>9568</v>
      </c>
    </row>
    <row r="1803" spans="1:8" x14ac:dyDescent="0.3">
      <c r="A1803" s="45">
        <v>44270</v>
      </c>
      <c r="B1803" s="399"/>
      <c r="C1803" s="5" t="s">
        <v>57</v>
      </c>
      <c r="D1803" s="5" t="s">
        <v>4187</v>
      </c>
      <c r="E1803" s="43">
        <v>3000</v>
      </c>
      <c r="F1803" s="43"/>
      <c r="G1803" s="364">
        <f t="shared" si="13"/>
        <v>3940</v>
      </c>
      <c r="H1803" s="391" t="s">
        <v>9568</v>
      </c>
    </row>
    <row r="1804" spans="1:8" x14ac:dyDescent="0.3">
      <c r="A1804" s="45">
        <v>44270</v>
      </c>
      <c r="B1804" s="581"/>
      <c r="C1804" s="555" t="s">
        <v>861</v>
      </c>
      <c r="D1804" s="556"/>
      <c r="E1804" s="557"/>
      <c r="F1804" s="43">
        <v>50000</v>
      </c>
      <c r="G1804" s="364">
        <f t="shared" si="13"/>
        <v>53940</v>
      </c>
      <c r="H1804" s="391" t="s">
        <v>9568</v>
      </c>
    </row>
    <row r="1805" spans="1:8" x14ac:dyDescent="0.3">
      <c r="A1805" s="45">
        <v>44270</v>
      </c>
      <c r="B1805" s="399"/>
      <c r="C1805" s="5" t="s">
        <v>6341</v>
      </c>
      <c r="D1805" s="5" t="s">
        <v>7183</v>
      </c>
      <c r="E1805" s="43">
        <v>11000</v>
      </c>
      <c r="F1805" s="43"/>
      <c r="G1805" s="364">
        <f t="shared" si="13"/>
        <v>42940</v>
      </c>
      <c r="H1805" s="391" t="s">
        <v>9568</v>
      </c>
    </row>
    <row r="1806" spans="1:8" x14ac:dyDescent="0.3">
      <c r="A1806" s="45">
        <v>44270</v>
      </c>
      <c r="B1806" s="399"/>
      <c r="C1806" s="5" t="s">
        <v>6430</v>
      </c>
      <c r="D1806" s="5" t="s">
        <v>7184</v>
      </c>
      <c r="E1806" s="43">
        <v>3000</v>
      </c>
      <c r="F1806" s="43"/>
      <c r="G1806" s="364">
        <f t="shared" si="13"/>
        <v>39940</v>
      </c>
      <c r="H1806" s="391" t="s">
        <v>9568</v>
      </c>
    </row>
    <row r="1807" spans="1:8" x14ac:dyDescent="0.3">
      <c r="A1807" s="45">
        <v>44270</v>
      </c>
      <c r="B1807" s="399"/>
      <c r="C1807" s="5" t="s">
        <v>84</v>
      </c>
      <c r="D1807" s="5" t="s">
        <v>7191</v>
      </c>
      <c r="E1807" s="43">
        <v>4000</v>
      </c>
      <c r="F1807" s="43"/>
      <c r="G1807" s="364">
        <f t="shared" si="13"/>
        <v>35940</v>
      </c>
      <c r="H1807" s="391" t="s">
        <v>9568</v>
      </c>
    </row>
    <row r="1808" spans="1:8" x14ac:dyDescent="0.3">
      <c r="A1808" s="45">
        <v>44270</v>
      </c>
      <c r="B1808" s="399"/>
      <c r="C1808" s="5" t="s">
        <v>84</v>
      </c>
      <c r="D1808" s="5" t="s">
        <v>7192</v>
      </c>
      <c r="E1808" s="43">
        <v>1000</v>
      </c>
      <c r="F1808" s="43"/>
      <c r="G1808" s="364">
        <f t="shared" si="13"/>
        <v>34940</v>
      </c>
      <c r="H1808" s="391" t="s">
        <v>9568</v>
      </c>
    </row>
    <row r="1809" spans="1:8" x14ac:dyDescent="0.3">
      <c r="A1809" s="45">
        <v>44270</v>
      </c>
      <c r="B1809" s="399"/>
      <c r="C1809" s="5" t="s">
        <v>25</v>
      </c>
      <c r="D1809" s="5" t="s">
        <v>7193</v>
      </c>
      <c r="E1809" s="43">
        <v>3175</v>
      </c>
      <c r="F1809" s="43"/>
      <c r="G1809" s="364">
        <f t="shared" si="13"/>
        <v>31765</v>
      </c>
      <c r="H1809" s="391" t="s">
        <v>9568</v>
      </c>
    </row>
    <row r="1810" spans="1:8" x14ac:dyDescent="0.3">
      <c r="A1810" s="45">
        <v>44270</v>
      </c>
      <c r="B1810" s="399"/>
      <c r="C1810" s="5" t="s">
        <v>18</v>
      </c>
      <c r="D1810" s="5" t="s">
        <v>7194</v>
      </c>
      <c r="E1810" s="43">
        <v>10000</v>
      </c>
      <c r="F1810" s="43"/>
      <c r="G1810" s="364">
        <f t="shared" si="13"/>
        <v>21765</v>
      </c>
      <c r="H1810" s="391" t="s">
        <v>9568</v>
      </c>
    </row>
    <row r="1811" spans="1:8" x14ac:dyDescent="0.3">
      <c r="A1811" s="45">
        <v>44270</v>
      </c>
      <c r="B1811" s="399"/>
      <c r="C1811" s="5" t="s">
        <v>0</v>
      </c>
      <c r="D1811" s="5" t="s">
        <v>294</v>
      </c>
      <c r="E1811" s="43">
        <v>5000</v>
      </c>
      <c r="F1811" s="43"/>
      <c r="G1811" s="364">
        <f t="shared" si="13"/>
        <v>16765</v>
      </c>
      <c r="H1811" s="391" t="s">
        <v>9568</v>
      </c>
    </row>
    <row r="1812" spans="1:8" x14ac:dyDescent="0.3">
      <c r="A1812" s="45">
        <v>44271</v>
      </c>
      <c r="B1812" s="581"/>
      <c r="C1812" s="555" t="s">
        <v>7195</v>
      </c>
      <c r="D1812" s="556"/>
      <c r="E1812" s="557"/>
      <c r="F1812" s="43">
        <v>30000</v>
      </c>
      <c r="G1812" s="364">
        <f t="shared" si="13"/>
        <v>46765</v>
      </c>
      <c r="H1812" s="391" t="s">
        <v>9568</v>
      </c>
    </row>
    <row r="1813" spans="1:8" x14ac:dyDescent="0.3">
      <c r="A1813" s="45">
        <v>44271</v>
      </c>
      <c r="B1813" s="399"/>
      <c r="C1813" s="5" t="s">
        <v>0</v>
      </c>
      <c r="D1813" s="5" t="s">
        <v>294</v>
      </c>
      <c r="E1813" s="43">
        <v>20000</v>
      </c>
      <c r="F1813" s="43"/>
      <c r="G1813" s="364">
        <f t="shared" si="13"/>
        <v>26765</v>
      </c>
      <c r="H1813" s="391" t="s">
        <v>9568</v>
      </c>
    </row>
    <row r="1814" spans="1:8" x14ac:dyDescent="0.3">
      <c r="A1814" s="45">
        <v>44271</v>
      </c>
      <c r="B1814" s="399"/>
      <c r="C1814" s="5" t="s">
        <v>4869</v>
      </c>
      <c r="D1814" s="5" t="s">
        <v>40</v>
      </c>
      <c r="E1814" s="43">
        <v>4170</v>
      </c>
      <c r="F1814" s="43"/>
      <c r="G1814" s="364">
        <f t="shared" si="13"/>
        <v>22595</v>
      </c>
      <c r="H1814" s="391" t="s">
        <v>9568</v>
      </c>
    </row>
    <row r="1815" spans="1:8" x14ac:dyDescent="0.3">
      <c r="A1815" s="45">
        <v>44271</v>
      </c>
      <c r="B1815" s="399"/>
      <c r="C1815" s="5" t="s">
        <v>25</v>
      </c>
      <c r="D1815" s="5" t="s">
        <v>2013</v>
      </c>
      <c r="E1815" s="43">
        <v>160</v>
      </c>
      <c r="F1815" s="43"/>
      <c r="G1815" s="364">
        <f t="shared" si="13"/>
        <v>22435</v>
      </c>
      <c r="H1815" s="391" t="s">
        <v>9568</v>
      </c>
    </row>
    <row r="1816" spans="1:8" x14ac:dyDescent="0.3">
      <c r="A1816" s="45">
        <v>44271</v>
      </c>
      <c r="B1816" s="399"/>
      <c r="C1816" s="5" t="s">
        <v>1787</v>
      </c>
      <c r="D1816" s="5" t="s">
        <v>40</v>
      </c>
      <c r="E1816" s="43">
        <v>1200</v>
      </c>
      <c r="F1816" s="43"/>
      <c r="G1816" s="364">
        <f t="shared" si="13"/>
        <v>21235</v>
      </c>
      <c r="H1816" s="391" t="s">
        <v>9568</v>
      </c>
    </row>
    <row r="1817" spans="1:8" x14ac:dyDescent="0.3">
      <c r="A1817" s="45">
        <v>44271</v>
      </c>
      <c r="B1817" s="399"/>
      <c r="C1817" s="5" t="s">
        <v>5709</v>
      </c>
      <c r="D1817" s="5" t="s">
        <v>40</v>
      </c>
      <c r="E1817" s="43">
        <v>5000</v>
      </c>
      <c r="F1817" s="43"/>
      <c r="G1817" s="364">
        <f t="shared" si="13"/>
        <v>16235</v>
      </c>
      <c r="H1817" s="391" t="s">
        <v>9568</v>
      </c>
    </row>
    <row r="1818" spans="1:8" x14ac:dyDescent="0.3">
      <c r="A1818" s="45">
        <v>44271</v>
      </c>
      <c r="B1818" s="399"/>
      <c r="C1818" s="5" t="s">
        <v>6430</v>
      </c>
      <c r="D1818" s="5" t="s">
        <v>294</v>
      </c>
      <c r="E1818" s="43">
        <v>950</v>
      </c>
      <c r="F1818" s="43"/>
      <c r="G1818" s="364">
        <f t="shared" si="13"/>
        <v>15285</v>
      </c>
      <c r="H1818" s="391" t="s">
        <v>9568</v>
      </c>
    </row>
    <row r="1819" spans="1:8" x14ac:dyDescent="0.3">
      <c r="A1819" s="45">
        <v>44272</v>
      </c>
      <c r="B1819" s="581"/>
      <c r="C1819" s="555" t="s">
        <v>7196</v>
      </c>
      <c r="D1819" s="556"/>
      <c r="E1819" s="557"/>
      <c r="F1819" s="43">
        <v>100000</v>
      </c>
      <c r="G1819" s="364">
        <f t="shared" si="13"/>
        <v>115285</v>
      </c>
      <c r="H1819" s="391" t="s">
        <v>9568</v>
      </c>
    </row>
    <row r="1820" spans="1:8" x14ac:dyDescent="0.3">
      <c r="A1820" s="45">
        <v>44272</v>
      </c>
      <c r="B1820" s="399"/>
      <c r="C1820" s="5" t="s">
        <v>54</v>
      </c>
      <c r="D1820" s="5" t="s">
        <v>7197</v>
      </c>
      <c r="E1820" s="43">
        <f>15000+16500</f>
        <v>31500</v>
      </c>
      <c r="F1820" s="43"/>
      <c r="G1820" s="364">
        <f t="shared" si="13"/>
        <v>83785</v>
      </c>
      <c r="H1820" s="391" t="s">
        <v>9568</v>
      </c>
    </row>
    <row r="1821" spans="1:8" x14ac:dyDescent="0.3">
      <c r="A1821" s="45">
        <v>44272</v>
      </c>
      <c r="B1821" s="399"/>
      <c r="C1821" s="5" t="s">
        <v>5665</v>
      </c>
      <c r="D1821" s="5" t="s">
        <v>7202</v>
      </c>
      <c r="E1821" s="43">
        <v>20000</v>
      </c>
      <c r="F1821" s="43"/>
      <c r="G1821" s="364">
        <f t="shared" si="13"/>
        <v>63785</v>
      </c>
      <c r="H1821" s="391" t="s">
        <v>9568</v>
      </c>
    </row>
    <row r="1822" spans="1:8" x14ac:dyDescent="0.3">
      <c r="A1822" s="45">
        <v>44272</v>
      </c>
      <c r="B1822" s="399"/>
      <c r="C1822" s="5" t="s">
        <v>4550</v>
      </c>
      <c r="D1822" s="5" t="s">
        <v>7203</v>
      </c>
      <c r="E1822" s="43">
        <v>20000</v>
      </c>
      <c r="F1822" s="43"/>
      <c r="G1822" s="364">
        <f t="shared" si="13"/>
        <v>43785</v>
      </c>
      <c r="H1822" s="391" t="s">
        <v>9568</v>
      </c>
    </row>
    <row r="1823" spans="1:8" x14ac:dyDescent="0.3">
      <c r="A1823" s="45">
        <v>44272</v>
      </c>
      <c r="B1823" s="399"/>
      <c r="C1823" s="5" t="s">
        <v>5162</v>
      </c>
      <c r="D1823" s="5" t="s">
        <v>7204</v>
      </c>
      <c r="E1823" s="43">
        <v>600</v>
      </c>
      <c r="F1823" s="43"/>
      <c r="G1823" s="364">
        <f t="shared" si="13"/>
        <v>43185</v>
      </c>
      <c r="H1823" s="391" t="s">
        <v>9568</v>
      </c>
    </row>
    <row r="1824" spans="1:8" x14ac:dyDescent="0.3">
      <c r="A1824" s="45">
        <v>44273</v>
      </c>
      <c r="B1824" s="399"/>
      <c r="C1824" s="5" t="s">
        <v>7214</v>
      </c>
      <c r="D1824" s="5" t="s">
        <v>7206</v>
      </c>
      <c r="E1824" s="43">
        <v>10000</v>
      </c>
      <c r="F1824" s="43"/>
      <c r="G1824" s="364">
        <f t="shared" si="13"/>
        <v>33185</v>
      </c>
      <c r="H1824" s="391" t="s">
        <v>9568</v>
      </c>
    </row>
    <row r="1825" spans="1:13" x14ac:dyDescent="0.3">
      <c r="A1825" s="45">
        <v>44273</v>
      </c>
      <c r="B1825" s="399"/>
      <c r="C1825" s="5" t="s">
        <v>0</v>
      </c>
      <c r="D1825" s="5" t="s">
        <v>294</v>
      </c>
      <c r="E1825" s="43">
        <v>10000</v>
      </c>
      <c r="F1825" s="43"/>
      <c r="G1825" s="364">
        <f t="shared" si="13"/>
        <v>23185</v>
      </c>
      <c r="H1825" s="391" t="s">
        <v>9568</v>
      </c>
    </row>
    <row r="1826" spans="1:13" x14ac:dyDescent="0.3">
      <c r="A1826" s="45">
        <v>44273</v>
      </c>
      <c r="B1826" s="399"/>
      <c r="C1826" s="5" t="s">
        <v>1837</v>
      </c>
      <c r="D1826" s="5" t="s">
        <v>294</v>
      </c>
      <c r="E1826" s="43">
        <v>2000</v>
      </c>
      <c r="F1826" s="43"/>
      <c r="G1826" s="364">
        <f t="shared" si="13"/>
        <v>21185</v>
      </c>
      <c r="H1826" s="391" t="s">
        <v>9568</v>
      </c>
    </row>
    <row r="1827" spans="1:13" ht="56.25" x14ac:dyDescent="0.3">
      <c r="A1827" s="45">
        <v>44273</v>
      </c>
      <c r="B1827" s="399"/>
      <c r="C1827" s="5" t="s">
        <v>1074</v>
      </c>
      <c r="D1827" s="92" t="s">
        <v>7218</v>
      </c>
      <c r="E1827" s="43">
        <f>8010+5000</f>
        <v>13010</v>
      </c>
      <c r="F1827" s="43"/>
      <c r="G1827" s="364">
        <f t="shared" si="13"/>
        <v>8175</v>
      </c>
      <c r="H1827" s="391" t="s">
        <v>9568</v>
      </c>
    </row>
    <row r="1828" spans="1:13" x14ac:dyDescent="0.3">
      <c r="A1828" s="45">
        <v>44273</v>
      </c>
      <c r="B1828" s="399"/>
      <c r="C1828" s="5" t="s">
        <v>84</v>
      </c>
      <c r="D1828" s="5" t="s">
        <v>7207</v>
      </c>
      <c r="E1828" s="43">
        <v>3000</v>
      </c>
      <c r="F1828" s="43"/>
      <c r="G1828" s="364">
        <f t="shared" si="13"/>
        <v>5175</v>
      </c>
      <c r="H1828" s="391" t="s">
        <v>9568</v>
      </c>
    </row>
    <row r="1829" spans="1:13" x14ac:dyDescent="0.3">
      <c r="A1829" s="45">
        <v>44273</v>
      </c>
      <c r="B1829" s="581"/>
      <c r="C1829" s="555" t="s">
        <v>7088</v>
      </c>
      <c r="D1829" s="556"/>
      <c r="E1829" s="557"/>
      <c r="F1829" s="43">
        <v>150000</v>
      </c>
      <c r="G1829" s="364">
        <f t="shared" si="13"/>
        <v>155175</v>
      </c>
      <c r="H1829" s="391" t="s">
        <v>9568</v>
      </c>
    </row>
    <row r="1830" spans="1:13" x14ac:dyDescent="0.3">
      <c r="A1830" s="45">
        <v>44273</v>
      </c>
      <c r="B1830" s="399"/>
      <c r="C1830" s="5" t="s">
        <v>7156</v>
      </c>
      <c r="D1830" s="5" t="s">
        <v>7208</v>
      </c>
      <c r="E1830" s="43">
        <v>70000</v>
      </c>
      <c r="F1830" s="43"/>
      <c r="G1830" s="364">
        <f t="shared" si="13"/>
        <v>85175</v>
      </c>
      <c r="H1830" s="391" t="s">
        <v>9568</v>
      </c>
    </row>
    <row r="1831" spans="1:13" x14ac:dyDescent="0.3">
      <c r="A1831" s="45">
        <v>44273</v>
      </c>
      <c r="B1831" s="399"/>
      <c r="C1831" s="5" t="s">
        <v>7099</v>
      </c>
      <c r="D1831" s="5" t="s">
        <v>7209</v>
      </c>
      <c r="E1831" s="43">
        <v>4700</v>
      </c>
      <c r="F1831" s="43"/>
      <c r="G1831" s="364">
        <f t="shared" si="13"/>
        <v>80475</v>
      </c>
      <c r="H1831" s="391" t="s">
        <v>9568</v>
      </c>
    </row>
    <row r="1832" spans="1:13" x14ac:dyDescent="0.3">
      <c r="A1832" s="45">
        <v>44273</v>
      </c>
      <c r="B1832" s="399"/>
      <c r="C1832" s="5" t="s">
        <v>84</v>
      </c>
      <c r="D1832" s="5" t="s">
        <v>7210</v>
      </c>
      <c r="E1832" s="43">
        <v>5000</v>
      </c>
      <c r="F1832" s="43"/>
      <c r="G1832" s="364">
        <f t="shared" si="13"/>
        <v>75475</v>
      </c>
      <c r="H1832" s="391" t="s">
        <v>9568</v>
      </c>
      <c r="M1832" s="135"/>
    </row>
    <row r="1833" spans="1:13" x14ac:dyDescent="0.3">
      <c r="A1833" s="45">
        <v>44274</v>
      </c>
      <c r="B1833" s="399"/>
      <c r="C1833" s="5" t="s">
        <v>107</v>
      </c>
      <c r="D1833" s="5" t="s">
        <v>7211</v>
      </c>
      <c r="E1833" s="43">
        <v>1400</v>
      </c>
      <c r="F1833" s="43"/>
      <c r="G1833" s="364">
        <f t="shared" si="13"/>
        <v>74075</v>
      </c>
      <c r="H1833" s="391" t="s">
        <v>9568</v>
      </c>
      <c r="L1833" s="238"/>
      <c r="M1833" s="238"/>
    </row>
    <row r="1834" spans="1:13" x14ac:dyDescent="0.3">
      <c r="A1834" s="45">
        <v>44274</v>
      </c>
      <c r="B1834" s="399"/>
      <c r="C1834" s="5" t="s">
        <v>107</v>
      </c>
      <c r="D1834" s="5" t="s">
        <v>4723</v>
      </c>
      <c r="E1834" s="43">
        <v>1000</v>
      </c>
      <c r="F1834" s="43"/>
      <c r="G1834" s="364">
        <f t="shared" si="13"/>
        <v>73075</v>
      </c>
      <c r="H1834" s="391" t="s">
        <v>9568</v>
      </c>
    </row>
    <row r="1835" spans="1:13" x14ac:dyDescent="0.3">
      <c r="A1835" s="45">
        <v>44274</v>
      </c>
      <c r="B1835" s="399"/>
      <c r="C1835" s="5" t="s">
        <v>25</v>
      </c>
      <c r="D1835" s="5" t="s">
        <v>4276</v>
      </c>
      <c r="E1835" s="43">
        <v>8257</v>
      </c>
      <c r="F1835" s="43"/>
      <c r="G1835" s="364">
        <f t="shared" si="13"/>
        <v>64818</v>
      </c>
      <c r="H1835" s="391" t="s">
        <v>9568</v>
      </c>
      <c r="M1835" s="248"/>
    </row>
    <row r="1836" spans="1:13" x14ac:dyDescent="0.3">
      <c r="A1836" s="45">
        <v>44274</v>
      </c>
      <c r="B1836" s="399"/>
      <c r="C1836" s="5" t="s">
        <v>5938</v>
      </c>
      <c r="D1836" s="5" t="s">
        <v>5508</v>
      </c>
      <c r="E1836" s="43">
        <v>20000</v>
      </c>
      <c r="F1836" s="43"/>
      <c r="G1836" s="364">
        <f t="shared" si="13"/>
        <v>44818</v>
      </c>
      <c r="H1836" s="391" t="s">
        <v>9568</v>
      </c>
    </row>
    <row r="1837" spans="1:13" x14ac:dyDescent="0.3">
      <c r="A1837" s="45">
        <v>44274</v>
      </c>
      <c r="B1837" s="399"/>
      <c r="C1837" s="5" t="s">
        <v>7040</v>
      </c>
      <c r="D1837" s="5" t="s">
        <v>40</v>
      </c>
      <c r="E1837" s="43">
        <v>1000</v>
      </c>
      <c r="F1837" s="43"/>
      <c r="G1837" s="364">
        <f t="shared" si="13"/>
        <v>43818</v>
      </c>
      <c r="H1837" s="391" t="s">
        <v>9568</v>
      </c>
    </row>
    <row r="1838" spans="1:13" x14ac:dyDescent="0.3">
      <c r="A1838" s="45">
        <v>44274</v>
      </c>
      <c r="B1838" s="399"/>
      <c r="C1838" s="5" t="s">
        <v>7216</v>
      </c>
      <c r="D1838" s="5" t="s">
        <v>7217</v>
      </c>
      <c r="E1838" s="43">
        <v>100</v>
      </c>
      <c r="F1838" s="43"/>
      <c r="G1838" s="364">
        <f t="shared" si="13"/>
        <v>43718</v>
      </c>
      <c r="H1838" s="391" t="s">
        <v>9568</v>
      </c>
    </row>
    <row r="1839" spans="1:13" x14ac:dyDescent="0.3">
      <c r="A1839" s="45">
        <v>44274</v>
      </c>
      <c r="B1839" s="399"/>
      <c r="C1839" s="5" t="s">
        <v>7040</v>
      </c>
      <c r="D1839" s="5" t="s">
        <v>5508</v>
      </c>
      <c r="E1839" s="43">
        <v>10000</v>
      </c>
      <c r="F1839" s="43"/>
      <c r="G1839" s="364">
        <f t="shared" si="13"/>
        <v>33718</v>
      </c>
      <c r="H1839" s="391" t="s">
        <v>9568</v>
      </c>
    </row>
    <row r="1840" spans="1:13" x14ac:dyDescent="0.3">
      <c r="A1840" s="45">
        <v>44274</v>
      </c>
      <c r="B1840" s="399"/>
      <c r="C1840" s="5" t="s">
        <v>14</v>
      </c>
      <c r="D1840" s="5" t="s">
        <v>5508</v>
      </c>
      <c r="E1840" s="43">
        <v>10000</v>
      </c>
      <c r="F1840" s="43"/>
      <c r="G1840" s="364">
        <f t="shared" si="13"/>
        <v>23718</v>
      </c>
      <c r="H1840" s="391" t="s">
        <v>9568</v>
      </c>
    </row>
    <row r="1841" spans="1:8" x14ac:dyDescent="0.3">
      <c r="A1841" s="45">
        <v>44274</v>
      </c>
      <c r="B1841" s="399"/>
      <c r="C1841" s="5" t="s">
        <v>6341</v>
      </c>
      <c r="D1841" s="5" t="s">
        <v>7219</v>
      </c>
      <c r="E1841" s="43">
        <v>10000</v>
      </c>
      <c r="F1841" s="43"/>
      <c r="G1841" s="364">
        <f t="shared" si="13"/>
        <v>13718</v>
      </c>
      <c r="H1841" s="391" t="s">
        <v>9568</v>
      </c>
    </row>
    <row r="1842" spans="1:8" x14ac:dyDescent="0.3">
      <c r="A1842" s="45">
        <v>44274</v>
      </c>
      <c r="B1842" s="399"/>
      <c r="C1842" s="5" t="s">
        <v>6430</v>
      </c>
      <c r="D1842" s="5" t="s">
        <v>7220</v>
      </c>
      <c r="E1842" s="43">
        <v>5000</v>
      </c>
      <c r="F1842" s="43"/>
      <c r="G1842" s="364">
        <f t="shared" si="13"/>
        <v>8718</v>
      </c>
      <c r="H1842" s="391" t="s">
        <v>9568</v>
      </c>
    </row>
    <row r="1843" spans="1:8" x14ac:dyDescent="0.3">
      <c r="A1843" s="45">
        <v>44274</v>
      </c>
      <c r="B1843" s="399"/>
      <c r="C1843" s="5" t="s">
        <v>64</v>
      </c>
      <c r="D1843" s="5" t="s">
        <v>40</v>
      </c>
      <c r="E1843" s="43">
        <v>3000</v>
      </c>
      <c r="F1843" s="43"/>
      <c r="G1843" s="364">
        <f t="shared" si="13"/>
        <v>5718</v>
      </c>
      <c r="H1843" s="391" t="s">
        <v>9568</v>
      </c>
    </row>
    <row r="1844" spans="1:8" x14ac:dyDescent="0.3">
      <c r="A1844" s="45">
        <v>44274</v>
      </c>
      <c r="B1844" s="399"/>
      <c r="C1844" s="5" t="s">
        <v>6908</v>
      </c>
      <c r="D1844" s="5" t="s">
        <v>7221</v>
      </c>
      <c r="E1844" s="43">
        <v>3000</v>
      </c>
      <c r="F1844" s="43"/>
      <c r="G1844" s="364">
        <f t="shared" si="13"/>
        <v>2718</v>
      </c>
      <c r="H1844" s="391" t="s">
        <v>9568</v>
      </c>
    </row>
    <row r="1845" spans="1:8" x14ac:dyDescent="0.3">
      <c r="A1845" s="45">
        <v>44277</v>
      </c>
      <c r="B1845" s="581"/>
      <c r="C1845" s="555" t="s">
        <v>3444</v>
      </c>
      <c r="D1845" s="556"/>
      <c r="E1845" s="557"/>
      <c r="F1845" s="43">
        <v>150000</v>
      </c>
      <c r="G1845" s="364">
        <f t="shared" si="13"/>
        <v>152718</v>
      </c>
      <c r="H1845" s="391" t="s">
        <v>9568</v>
      </c>
    </row>
    <row r="1846" spans="1:8" x14ac:dyDescent="0.3">
      <c r="A1846" s="45">
        <v>44277</v>
      </c>
      <c r="B1846" s="399"/>
      <c r="C1846" s="5" t="s">
        <v>0</v>
      </c>
      <c r="D1846" s="5" t="s">
        <v>294</v>
      </c>
      <c r="E1846" s="43">
        <v>40000</v>
      </c>
      <c r="F1846" s="43"/>
      <c r="G1846" s="364">
        <f t="shared" si="13"/>
        <v>112718</v>
      </c>
      <c r="H1846" s="391" t="s">
        <v>9568</v>
      </c>
    </row>
    <row r="1847" spans="1:8" x14ac:dyDescent="0.3">
      <c r="A1847" s="45">
        <v>44277</v>
      </c>
      <c r="B1847" s="399"/>
      <c r="C1847" s="5" t="s">
        <v>14</v>
      </c>
      <c r="D1847" s="5" t="s">
        <v>294</v>
      </c>
      <c r="E1847" s="43">
        <v>25000</v>
      </c>
      <c r="F1847" s="43"/>
      <c r="G1847" s="364">
        <f t="shared" si="13"/>
        <v>87718</v>
      </c>
      <c r="H1847" s="391" t="s">
        <v>9568</v>
      </c>
    </row>
    <row r="1848" spans="1:8" x14ac:dyDescent="0.3">
      <c r="A1848" s="45">
        <v>44277</v>
      </c>
      <c r="B1848" s="399"/>
      <c r="C1848" s="5" t="s">
        <v>84</v>
      </c>
      <c r="D1848" s="5" t="s">
        <v>7225</v>
      </c>
      <c r="E1848" s="43">
        <v>10000</v>
      </c>
      <c r="F1848" s="43"/>
      <c r="G1848" s="364">
        <f t="shared" si="13"/>
        <v>77718</v>
      </c>
      <c r="H1848" s="391" t="s">
        <v>9568</v>
      </c>
    </row>
    <row r="1849" spans="1:8" x14ac:dyDescent="0.3">
      <c r="A1849" s="45">
        <v>44277</v>
      </c>
      <c r="B1849" s="399"/>
      <c r="C1849" s="5" t="s">
        <v>54</v>
      </c>
      <c r="D1849" s="5" t="s">
        <v>7226</v>
      </c>
      <c r="E1849" s="43">
        <v>13450</v>
      </c>
      <c r="F1849" s="43"/>
      <c r="G1849" s="364">
        <f t="shared" si="13"/>
        <v>64268</v>
      </c>
      <c r="H1849" s="391" t="s">
        <v>9568</v>
      </c>
    </row>
    <row r="1850" spans="1:8" x14ac:dyDescent="0.3">
      <c r="A1850" s="45">
        <v>44277</v>
      </c>
      <c r="B1850" s="399"/>
      <c r="C1850" s="5" t="s">
        <v>6908</v>
      </c>
      <c r="D1850" s="5" t="s">
        <v>7227</v>
      </c>
      <c r="E1850" s="43">
        <v>3500</v>
      </c>
      <c r="F1850" s="43"/>
      <c r="G1850" s="364">
        <f t="shared" si="13"/>
        <v>60768</v>
      </c>
      <c r="H1850" s="391" t="s">
        <v>9568</v>
      </c>
    </row>
    <row r="1851" spans="1:8" x14ac:dyDescent="0.3">
      <c r="A1851" s="45">
        <v>44277</v>
      </c>
      <c r="B1851" s="399"/>
      <c r="C1851" s="5" t="s">
        <v>6908</v>
      </c>
      <c r="D1851" s="5" t="s">
        <v>7227</v>
      </c>
      <c r="E1851" s="43">
        <v>2000</v>
      </c>
      <c r="F1851" s="43"/>
      <c r="G1851" s="364">
        <f t="shared" si="13"/>
        <v>58768</v>
      </c>
      <c r="H1851" s="391" t="s">
        <v>9568</v>
      </c>
    </row>
    <row r="1852" spans="1:8" x14ac:dyDescent="0.3">
      <c r="A1852" s="45">
        <v>44277</v>
      </c>
      <c r="B1852" s="399"/>
      <c r="C1852" s="5" t="s">
        <v>54</v>
      </c>
      <c r="D1852" s="5" t="s">
        <v>7228</v>
      </c>
      <c r="E1852" s="43">
        <v>5000</v>
      </c>
      <c r="F1852" s="43"/>
      <c r="G1852" s="364">
        <f t="shared" si="13"/>
        <v>53768</v>
      </c>
      <c r="H1852" s="391" t="s">
        <v>9568</v>
      </c>
    </row>
    <row r="1853" spans="1:8" x14ac:dyDescent="0.3">
      <c r="A1853" s="45">
        <v>44277</v>
      </c>
      <c r="B1853" s="399"/>
      <c r="C1853" s="5" t="s">
        <v>7229</v>
      </c>
      <c r="D1853" s="5" t="s">
        <v>4703</v>
      </c>
      <c r="E1853" s="43">
        <v>500</v>
      </c>
      <c r="F1853" s="43"/>
      <c r="G1853" s="364">
        <f t="shared" si="13"/>
        <v>53268</v>
      </c>
      <c r="H1853" s="391" t="s">
        <v>9568</v>
      </c>
    </row>
    <row r="1854" spans="1:8" x14ac:dyDescent="0.3">
      <c r="A1854" s="45">
        <v>44277</v>
      </c>
      <c r="B1854" s="399"/>
      <c r="C1854" s="5" t="s">
        <v>5709</v>
      </c>
      <c r="D1854" s="5" t="s">
        <v>7230</v>
      </c>
      <c r="E1854" s="43">
        <v>20000</v>
      </c>
      <c r="F1854" s="43"/>
      <c r="G1854" s="364">
        <f t="shared" si="13"/>
        <v>33268</v>
      </c>
      <c r="H1854" s="391" t="s">
        <v>9568</v>
      </c>
    </row>
    <row r="1855" spans="1:8" x14ac:dyDescent="0.3">
      <c r="A1855" s="45">
        <v>44277</v>
      </c>
      <c r="B1855" s="399"/>
      <c r="C1855" s="5" t="s">
        <v>4550</v>
      </c>
      <c r="D1855" s="5" t="s">
        <v>438</v>
      </c>
      <c r="E1855" s="43">
        <v>20000</v>
      </c>
      <c r="F1855" s="43"/>
      <c r="G1855" s="364">
        <f t="shared" si="13"/>
        <v>13268</v>
      </c>
      <c r="H1855" s="391" t="s">
        <v>9568</v>
      </c>
    </row>
    <row r="1856" spans="1:8" x14ac:dyDescent="0.3">
      <c r="A1856" s="45">
        <v>44277</v>
      </c>
      <c r="B1856" s="399"/>
      <c r="C1856" s="5" t="s">
        <v>25</v>
      </c>
      <c r="D1856" s="5" t="s">
        <v>7231</v>
      </c>
      <c r="E1856" s="43">
        <v>4000</v>
      </c>
      <c r="F1856" s="43"/>
      <c r="G1856" s="364">
        <f t="shared" si="13"/>
        <v>9268</v>
      </c>
      <c r="H1856" s="391" t="s">
        <v>9568</v>
      </c>
    </row>
    <row r="1857" spans="1:8" x14ac:dyDescent="0.3">
      <c r="A1857" s="45">
        <v>44277</v>
      </c>
      <c r="B1857" s="399"/>
      <c r="C1857" s="5" t="s">
        <v>7040</v>
      </c>
      <c r="D1857" s="5" t="s">
        <v>40</v>
      </c>
      <c r="E1857" s="43">
        <v>6500</v>
      </c>
      <c r="F1857" s="43"/>
      <c r="G1857" s="364">
        <f t="shared" si="13"/>
        <v>2768</v>
      </c>
      <c r="H1857" s="391" t="s">
        <v>9568</v>
      </c>
    </row>
    <row r="1858" spans="1:8" x14ac:dyDescent="0.3">
      <c r="A1858" s="45">
        <v>44279</v>
      </c>
      <c r="B1858" s="581"/>
      <c r="C1858" s="555" t="s">
        <v>3444</v>
      </c>
      <c r="D1858" s="556"/>
      <c r="E1858" s="557"/>
      <c r="F1858" s="43">
        <v>100000</v>
      </c>
      <c r="G1858" s="364">
        <f>G1857+F1858-E1858</f>
        <v>102768</v>
      </c>
      <c r="H1858" s="391" t="s">
        <v>9568</v>
      </c>
    </row>
    <row r="1859" spans="1:8" x14ac:dyDescent="0.3">
      <c r="A1859" s="45">
        <v>44279</v>
      </c>
      <c r="B1859" s="399"/>
      <c r="C1859" s="5" t="s">
        <v>57</v>
      </c>
      <c r="D1859" s="5" t="s">
        <v>7232</v>
      </c>
      <c r="E1859" s="43">
        <v>5000</v>
      </c>
      <c r="F1859" s="43"/>
      <c r="G1859" s="364">
        <f t="shared" si="13"/>
        <v>97768</v>
      </c>
      <c r="H1859" s="391" t="s">
        <v>9568</v>
      </c>
    </row>
    <row r="1860" spans="1:8" x14ac:dyDescent="0.3">
      <c r="A1860" s="45">
        <v>44279</v>
      </c>
      <c r="B1860" s="399"/>
      <c r="C1860" s="5" t="s">
        <v>1837</v>
      </c>
      <c r="D1860" s="5" t="s">
        <v>7233</v>
      </c>
      <c r="E1860" s="43">
        <v>2500</v>
      </c>
      <c r="F1860" s="43"/>
      <c r="G1860" s="364">
        <f t="shared" si="13"/>
        <v>95268</v>
      </c>
      <c r="H1860" s="391" t="s">
        <v>9568</v>
      </c>
    </row>
    <row r="1861" spans="1:8" x14ac:dyDescent="0.3">
      <c r="A1861" s="45">
        <v>44279</v>
      </c>
      <c r="B1861" s="399"/>
      <c r="C1861" s="5" t="s">
        <v>84</v>
      </c>
      <c r="D1861" s="5" t="s">
        <v>7234</v>
      </c>
      <c r="E1861" s="43">
        <v>2000</v>
      </c>
      <c r="F1861" s="43"/>
      <c r="G1861" s="364">
        <f t="shared" si="13"/>
        <v>93268</v>
      </c>
      <c r="H1861" s="391" t="s">
        <v>9568</v>
      </c>
    </row>
    <row r="1862" spans="1:8" x14ac:dyDescent="0.3">
      <c r="A1862" s="45">
        <v>44279</v>
      </c>
      <c r="B1862" s="399"/>
      <c r="C1862" s="5" t="s">
        <v>1074</v>
      </c>
      <c r="D1862" s="5" t="s">
        <v>7235</v>
      </c>
      <c r="E1862" s="43">
        <f>13212+2871+2923+8229</f>
        <v>27235</v>
      </c>
      <c r="F1862" s="43"/>
      <c r="G1862" s="364">
        <f t="shared" si="13"/>
        <v>66033</v>
      </c>
      <c r="H1862" s="391" t="s">
        <v>9568</v>
      </c>
    </row>
    <row r="1863" spans="1:8" x14ac:dyDescent="0.3">
      <c r="A1863" s="45">
        <v>44279</v>
      </c>
      <c r="B1863" s="399"/>
      <c r="C1863" s="5" t="s">
        <v>14</v>
      </c>
      <c r="D1863" s="5" t="s">
        <v>6494</v>
      </c>
      <c r="E1863" s="43">
        <v>1852</v>
      </c>
      <c r="F1863" s="43"/>
      <c r="G1863" s="364">
        <f t="shared" ref="G1863:G1925" si="14">G1862+F1863-E1863</f>
        <v>64181</v>
      </c>
      <c r="H1863" s="391" t="s">
        <v>9568</v>
      </c>
    </row>
    <row r="1864" spans="1:8" x14ac:dyDescent="0.3">
      <c r="A1864" s="45">
        <v>44279</v>
      </c>
      <c r="B1864" s="399"/>
      <c r="C1864" s="5" t="s">
        <v>0</v>
      </c>
      <c r="D1864" s="5" t="s">
        <v>7236</v>
      </c>
      <c r="E1864" s="43">
        <v>15000</v>
      </c>
      <c r="F1864" s="43"/>
      <c r="G1864" s="364">
        <f t="shared" si="14"/>
        <v>49181</v>
      </c>
      <c r="H1864" s="391" t="s">
        <v>9568</v>
      </c>
    </row>
    <row r="1865" spans="1:8" x14ac:dyDescent="0.3">
      <c r="A1865" s="45">
        <v>44279</v>
      </c>
      <c r="B1865" s="399"/>
      <c r="C1865" s="5" t="s">
        <v>6430</v>
      </c>
      <c r="D1865" s="5" t="s">
        <v>294</v>
      </c>
      <c r="E1865" s="43">
        <v>3000</v>
      </c>
      <c r="F1865" s="43"/>
      <c r="G1865" s="364">
        <f t="shared" si="14"/>
        <v>46181</v>
      </c>
      <c r="H1865" s="391" t="s">
        <v>9568</v>
      </c>
    </row>
    <row r="1866" spans="1:8" x14ac:dyDescent="0.3">
      <c r="A1866" s="45">
        <v>44279</v>
      </c>
      <c r="B1866" s="399"/>
      <c r="C1866" s="5" t="s">
        <v>84</v>
      </c>
      <c r="D1866" s="5" t="s">
        <v>7237</v>
      </c>
      <c r="E1866" s="43">
        <v>5000</v>
      </c>
      <c r="F1866" s="43"/>
      <c r="G1866" s="364">
        <f t="shared" si="14"/>
        <v>41181</v>
      </c>
      <c r="H1866" s="391" t="s">
        <v>9568</v>
      </c>
    </row>
    <row r="1867" spans="1:8" x14ac:dyDescent="0.3">
      <c r="A1867" s="45">
        <v>44279</v>
      </c>
      <c r="B1867" s="399"/>
      <c r="C1867" s="5" t="s">
        <v>84</v>
      </c>
      <c r="D1867" s="5" t="s">
        <v>7238</v>
      </c>
      <c r="E1867" s="43">
        <v>2000</v>
      </c>
      <c r="F1867" s="43"/>
      <c r="G1867" s="364">
        <f t="shared" si="14"/>
        <v>39181</v>
      </c>
      <c r="H1867" s="391" t="s">
        <v>9568</v>
      </c>
    </row>
    <row r="1868" spans="1:8" x14ac:dyDescent="0.3">
      <c r="A1868" s="45">
        <v>44280</v>
      </c>
      <c r="B1868" s="399"/>
      <c r="C1868" s="5" t="s">
        <v>7121</v>
      </c>
      <c r="D1868" s="5" t="s">
        <v>7239</v>
      </c>
      <c r="E1868" s="43">
        <v>450</v>
      </c>
      <c r="F1868" s="43"/>
      <c r="G1868" s="364">
        <f t="shared" si="14"/>
        <v>38731</v>
      </c>
      <c r="H1868" s="391" t="s">
        <v>9568</v>
      </c>
    </row>
    <row r="1869" spans="1:8" x14ac:dyDescent="0.3">
      <c r="A1869" s="45">
        <v>44280</v>
      </c>
      <c r="B1869" s="399"/>
      <c r="C1869" s="5" t="s">
        <v>18</v>
      </c>
      <c r="D1869" s="5" t="s">
        <v>7194</v>
      </c>
      <c r="E1869" s="43">
        <v>10000</v>
      </c>
      <c r="F1869" s="43"/>
      <c r="G1869" s="364">
        <f t="shared" si="14"/>
        <v>28731</v>
      </c>
      <c r="H1869" s="391" t="s">
        <v>9568</v>
      </c>
    </row>
    <row r="1870" spans="1:8" x14ac:dyDescent="0.3">
      <c r="A1870" s="45">
        <v>44280</v>
      </c>
      <c r="B1870" s="399"/>
      <c r="C1870" s="5" t="s">
        <v>7040</v>
      </c>
      <c r="D1870" s="5" t="s">
        <v>40</v>
      </c>
      <c r="E1870" s="43">
        <v>5000</v>
      </c>
      <c r="F1870" s="43"/>
      <c r="G1870" s="364">
        <f t="shared" si="14"/>
        <v>23731</v>
      </c>
      <c r="H1870" s="391" t="s">
        <v>9568</v>
      </c>
    </row>
    <row r="1871" spans="1:8" x14ac:dyDescent="0.3">
      <c r="A1871" s="45">
        <v>44280</v>
      </c>
      <c r="B1871" s="399"/>
      <c r="C1871" s="5" t="s">
        <v>5156</v>
      </c>
      <c r="D1871" s="5" t="s">
        <v>7244</v>
      </c>
      <c r="E1871" s="43">
        <v>350</v>
      </c>
      <c r="F1871" s="43"/>
      <c r="G1871" s="364">
        <f t="shared" si="14"/>
        <v>23381</v>
      </c>
      <c r="H1871" s="391" t="s">
        <v>9568</v>
      </c>
    </row>
    <row r="1872" spans="1:8" x14ac:dyDescent="0.3">
      <c r="A1872" s="45">
        <v>44280</v>
      </c>
      <c r="B1872" s="399"/>
      <c r="C1872" s="5" t="s">
        <v>1787</v>
      </c>
      <c r="D1872" s="5" t="s">
        <v>7247</v>
      </c>
      <c r="E1872" s="43">
        <v>1000</v>
      </c>
      <c r="F1872" s="43"/>
      <c r="G1872" s="364">
        <f t="shared" si="14"/>
        <v>22381</v>
      </c>
      <c r="H1872" s="391" t="s">
        <v>9568</v>
      </c>
    </row>
    <row r="1873" spans="1:8" x14ac:dyDescent="0.3">
      <c r="A1873" s="45">
        <v>44281</v>
      </c>
      <c r="B1873" s="399"/>
      <c r="C1873" s="5" t="s">
        <v>107</v>
      </c>
      <c r="D1873" s="5" t="s">
        <v>7248</v>
      </c>
      <c r="E1873" s="43">
        <v>500</v>
      </c>
      <c r="F1873" s="43"/>
      <c r="G1873" s="364">
        <f t="shared" si="14"/>
        <v>21881</v>
      </c>
      <c r="H1873" s="391" t="s">
        <v>9568</v>
      </c>
    </row>
    <row r="1874" spans="1:8" x14ac:dyDescent="0.3">
      <c r="A1874" s="45">
        <v>44281</v>
      </c>
      <c r="B1874" s="399"/>
      <c r="C1874" s="5" t="s">
        <v>14</v>
      </c>
      <c r="D1874" s="5" t="s">
        <v>294</v>
      </c>
      <c r="E1874" s="43">
        <v>1500</v>
      </c>
      <c r="F1874" s="43"/>
      <c r="G1874" s="364">
        <f t="shared" si="14"/>
        <v>20381</v>
      </c>
      <c r="H1874" s="391" t="s">
        <v>9568</v>
      </c>
    </row>
    <row r="1875" spans="1:8" x14ac:dyDescent="0.3">
      <c r="A1875" s="45">
        <v>44281</v>
      </c>
      <c r="B1875" s="399"/>
      <c r="C1875" s="5" t="s">
        <v>5709</v>
      </c>
      <c r="D1875" s="5" t="s">
        <v>7249</v>
      </c>
      <c r="E1875" s="43">
        <v>13600</v>
      </c>
      <c r="F1875" s="43"/>
      <c r="G1875" s="364">
        <f t="shared" si="14"/>
        <v>6781</v>
      </c>
      <c r="H1875" s="391" t="s">
        <v>9568</v>
      </c>
    </row>
    <row r="1876" spans="1:8" x14ac:dyDescent="0.3">
      <c r="A1876" s="45">
        <v>44282</v>
      </c>
      <c r="B1876" s="581"/>
      <c r="C1876" s="555" t="s">
        <v>861</v>
      </c>
      <c r="D1876" s="556"/>
      <c r="E1876" s="557"/>
      <c r="F1876" s="43">
        <v>100000</v>
      </c>
      <c r="G1876" s="364">
        <f t="shared" si="14"/>
        <v>106781</v>
      </c>
      <c r="H1876" s="391" t="s">
        <v>9568</v>
      </c>
    </row>
    <row r="1877" spans="1:8" x14ac:dyDescent="0.3">
      <c r="A1877" s="45">
        <v>44282</v>
      </c>
      <c r="B1877" s="399"/>
      <c r="C1877" s="5" t="s">
        <v>7099</v>
      </c>
      <c r="D1877" s="5" t="s">
        <v>7263</v>
      </c>
      <c r="E1877" s="43">
        <v>9430</v>
      </c>
      <c r="F1877" s="43"/>
      <c r="G1877" s="364">
        <f t="shared" si="14"/>
        <v>97351</v>
      </c>
      <c r="H1877" s="391" t="s">
        <v>9568</v>
      </c>
    </row>
    <row r="1878" spans="1:8" x14ac:dyDescent="0.3">
      <c r="A1878" s="45">
        <v>44282</v>
      </c>
      <c r="B1878" s="399"/>
      <c r="C1878" s="5" t="s">
        <v>25</v>
      </c>
      <c r="D1878" s="5" t="s">
        <v>4276</v>
      </c>
      <c r="E1878" s="43">
        <v>5150</v>
      </c>
      <c r="F1878" s="43"/>
      <c r="G1878" s="364">
        <f t="shared" si="14"/>
        <v>92201</v>
      </c>
      <c r="H1878" s="391" t="s">
        <v>9568</v>
      </c>
    </row>
    <row r="1879" spans="1:8" x14ac:dyDescent="0.3">
      <c r="A1879" s="45">
        <v>44282</v>
      </c>
      <c r="B1879" s="399"/>
      <c r="C1879" s="5" t="s">
        <v>6430</v>
      </c>
      <c r="D1879" s="5" t="s">
        <v>294</v>
      </c>
      <c r="E1879" s="43">
        <v>3000</v>
      </c>
      <c r="F1879" s="43"/>
      <c r="G1879" s="364">
        <f t="shared" si="14"/>
        <v>89201</v>
      </c>
      <c r="H1879" s="391" t="s">
        <v>9568</v>
      </c>
    </row>
    <row r="1880" spans="1:8" x14ac:dyDescent="0.3">
      <c r="A1880" s="45">
        <v>44284</v>
      </c>
      <c r="B1880" s="399"/>
      <c r="C1880" s="5" t="s">
        <v>6430</v>
      </c>
      <c r="D1880" s="5" t="s">
        <v>294</v>
      </c>
      <c r="E1880" s="43">
        <v>5000</v>
      </c>
      <c r="F1880" s="43"/>
      <c r="G1880" s="364">
        <f t="shared" si="14"/>
        <v>84201</v>
      </c>
      <c r="H1880" s="391" t="s">
        <v>9568</v>
      </c>
    </row>
    <row r="1881" spans="1:8" x14ac:dyDescent="0.3">
      <c r="A1881" s="45">
        <v>44282</v>
      </c>
      <c r="B1881" s="399"/>
      <c r="C1881" s="5" t="s">
        <v>4550</v>
      </c>
      <c r="D1881" s="5" t="s">
        <v>7250</v>
      </c>
      <c r="E1881" s="43">
        <v>5000</v>
      </c>
      <c r="F1881" s="43"/>
      <c r="G1881" s="364">
        <f t="shared" si="14"/>
        <v>79201</v>
      </c>
      <c r="H1881" s="391" t="s">
        <v>9568</v>
      </c>
    </row>
    <row r="1882" spans="1:8" x14ac:dyDescent="0.3">
      <c r="A1882" s="45">
        <v>44284</v>
      </c>
      <c r="B1882" s="399"/>
      <c r="C1882" s="5" t="s">
        <v>18</v>
      </c>
      <c r="D1882" s="5" t="s">
        <v>294</v>
      </c>
      <c r="E1882" s="43">
        <v>5000</v>
      </c>
      <c r="F1882" s="43"/>
      <c r="G1882" s="364">
        <f t="shared" si="14"/>
        <v>74201</v>
      </c>
      <c r="H1882" s="391" t="s">
        <v>9568</v>
      </c>
    </row>
    <row r="1883" spans="1:8" x14ac:dyDescent="0.3">
      <c r="A1883" s="45">
        <v>44284</v>
      </c>
      <c r="B1883" s="399"/>
      <c r="C1883" s="5" t="s">
        <v>25</v>
      </c>
      <c r="D1883" s="5" t="s">
        <v>7251</v>
      </c>
      <c r="E1883" s="43">
        <v>300</v>
      </c>
      <c r="F1883" s="43"/>
      <c r="G1883" s="364">
        <f t="shared" si="14"/>
        <v>73901</v>
      </c>
      <c r="H1883" s="391" t="s">
        <v>9568</v>
      </c>
    </row>
    <row r="1884" spans="1:8" x14ac:dyDescent="0.3">
      <c r="A1884" s="45">
        <v>44284</v>
      </c>
      <c r="B1884" s="399"/>
      <c r="C1884" s="5" t="s">
        <v>6221</v>
      </c>
      <c r="D1884" s="5" t="s">
        <v>7183</v>
      </c>
      <c r="E1884" s="43">
        <v>35200</v>
      </c>
      <c r="F1884" s="43"/>
      <c r="G1884" s="364">
        <f t="shared" si="14"/>
        <v>38701</v>
      </c>
      <c r="H1884" s="391" t="s">
        <v>9568</v>
      </c>
    </row>
    <row r="1885" spans="1:8" x14ac:dyDescent="0.3">
      <c r="A1885" s="45">
        <v>44284</v>
      </c>
      <c r="B1885" s="399"/>
      <c r="C1885" s="5" t="s">
        <v>14</v>
      </c>
      <c r="D1885" s="5" t="s">
        <v>294</v>
      </c>
      <c r="E1885" s="43">
        <v>15000</v>
      </c>
      <c r="F1885" s="43"/>
      <c r="G1885" s="364">
        <f t="shared" si="14"/>
        <v>23701</v>
      </c>
      <c r="H1885" s="391" t="s">
        <v>9568</v>
      </c>
    </row>
    <row r="1886" spans="1:8" x14ac:dyDescent="0.3">
      <c r="A1886" s="45">
        <v>44284</v>
      </c>
      <c r="B1886" s="399"/>
      <c r="C1886" s="5" t="s">
        <v>6908</v>
      </c>
      <c r="D1886" s="5" t="s">
        <v>7221</v>
      </c>
      <c r="E1886" s="43">
        <v>2000</v>
      </c>
      <c r="F1886" s="43"/>
      <c r="G1886" s="364">
        <f t="shared" si="14"/>
        <v>21701</v>
      </c>
      <c r="H1886" s="391" t="s">
        <v>9568</v>
      </c>
    </row>
    <row r="1887" spans="1:8" x14ac:dyDescent="0.3">
      <c r="A1887" s="45">
        <v>44284</v>
      </c>
      <c r="B1887" s="399"/>
      <c r="C1887" s="5" t="s">
        <v>6430</v>
      </c>
      <c r="D1887" s="5" t="s">
        <v>4350</v>
      </c>
      <c r="E1887" s="43">
        <v>3000</v>
      </c>
      <c r="F1887" s="43"/>
      <c r="G1887" s="364">
        <f t="shared" si="14"/>
        <v>18701</v>
      </c>
      <c r="H1887" s="391" t="s">
        <v>9568</v>
      </c>
    </row>
    <row r="1888" spans="1:8" x14ac:dyDescent="0.3">
      <c r="A1888" s="45">
        <v>44284</v>
      </c>
      <c r="B1888" s="399"/>
      <c r="C1888" s="5" t="s">
        <v>7040</v>
      </c>
      <c r="D1888" s="5" t="s">
        <v>5508</v>
      </c>
      <c r="E1888" s="43">
        <v>10000</v>
      </c>
      <c r="F1888" s="43"/>
      <c r="G1888" s="364">
        <f t="shared" si="14"/>
        <v>8701</v>
      </c>
      <c r="H1888" s="391" t="s">
        <v>9568</v>
      </c>
    </row>
    <row r="1889" spans="1:8" x14ac:dyDescent="0.3">
      <c r="A1889" s="45">
        <v>44284</v>
      </c>
      <c r="B1889" s="581"/>
      <c r="C1889" s="555" t="s">
        <v>5431</v>
      </c>
      <c r="D1889" s="556"/>
      <c r="E1889" s="557"/>
      <c r="F1889" s="43">
        <v>20000</v>
      </c>
      <c r="G1889" s="364">
        <f t="shared" si="14"/>
        <v>28701</v>
      </c>
      <c r="H1889" s="391" t="s">
        <v>9568</v>
      </c>
    </row>
    <row r="1890" spans="1:8" x14ac:dyDescent="0.3">
      <c r="A1890" s="45">
        <v>44284</v>
      </c>
      <c r="B1890" s="399"/>
      <c r="C1890" s="5" t="s">
        <v>7121</v>
      </c>
      <c r="D1890" s="5" t="s">
        <v>7252</v>
      </c>
      <c r="E1890" s="43">
        <v>20000</v>
      </c>
      <c r="F1890" s="43"/>
      <c r="G1890" s="364">
        <f t="shared" si="14"/>
        <v>8701</v>
      </c>
      <c r="H1890" s="391" t="s">
        <v>9568</v>
      </c>
    </row>
    <row r="1891" spans="1:8" x14ac:dyDescent="0.3">
      <c r="A1891" s="45">
        <v>44285</v>
      </c>
      <c r="B1891" s="399"/>
      <c r="C1891" s="5" t="s">
        <v>25</v>
      </c>
      <c r="D1891" s="5" t="s">
        <v>7253</v>
      </c>
      <c r="E1891" s="43">
        <f>527+250</f>
        <v>777</v>
      </c>
      <c r="F1891" s="43"/>
      <c r="G1891" s="364">
        <f t="shared" si="14"/>
        <v>7924</v>
      </c>
      <c r="H1891" s="391" t="s">
        <v>9568</v>
      </c>
    </row>
    <row r="1892" spans="1:8" x14ac:dyDescent="0.3">
      <c r="A1892" s="45">
        <v>44285</v>
      </c>
      <c r="B1892" s="418"/>
      <c r="C1892" s="123" t="s">
        <v>6430</v>
      </c>
      <c r="D1892" s="123" t="s">
        <v>2013</v>
      </c>
      <c r="E1892" s="52">
        <v>500</v>
      </c>
      <c r="G1892" s="364">
        <f t="shared" si="14"/>
        <v>7424</v>
      </c>
      <c r="H1892" s="391" t="s">
        <v>9568</v>
      </c>
    </row>
    <row r="1893" spans="1:8" x14ac:dyDescent="0.3">
      <c r="A1893" s="45">
        <v>44285</v>
      </c>
      <c r="B1893" s="581"/>
      <c r="C1893" s="555" t="s">
        <v>5431</v>
      </c>
      <c r="D1893" s="556"/>
      <c r="E1893" s="557"/>
      <c r="F1893" s="43">
        <v>200000</v>
      </c>
      <c r="G1893" s="364">
        <f t="shared" si="14"/>
        <v>207424</v>
      </c>
      <c r="H1893" s="391" t="s">
        <v>9568</v>
      </c>
    </row>
    <row r="1894" spans="1:8" x14ac:dyDescent="0.3">
      <c r="A1894" s="45">
        <v>44285</v>
      </c>
      <c r="B1894" s="399"/>
      <c r="C1894" s="5" t="s">
        <v>7254</v>
      </c>
      <c r="D1894" s="5" t="s">
        <v>7018</v>
      </c>
      <c r="E1894" s="43">
        <v>20000</v>
      </c>
      <c r="F1894" s="43"/>
      <c r="G1894" s="364">
        <f t="shared" si="14"/>
        <v>187424</v>
      </c>
      <c r="H1894" s="391" t="s">
        <v>9568</v>
      </c>
    </row>
    <row r="1895" spans="1:8" x14ac:dyDescent="0.3">
      <c r="A1895" s="45">
        <v>44285</v>
      </c>
      <c r="B1895" s="399"/>
      <c r="C1895" s="5" t="s">
        <v>2224</v>
      </c>
      <c r="D1895" s="5" t="s">
        <v>7255</v>
      </c>
      <c r="E1895" s="43">
        <v>50000</v>
      </c>
      <c r="F1895" s="43"/>
      <c r="G1895" s="364">
        <f t="shared" si="14"/>
        <v>137424</v>
      </c>
      <c r="H1895" s="391" t="s">
        <v>9568</v>
      </c>
    </row>
    <row r="1896" spans="1:8" x14ac:dyDescent="0.3">
      <c r="A1896" s="184">
        <v>44285</v>
      </c>
      <c r="B1896" s="399"/>
      <c r="C1896" s="5" t="s">
        <v>3559</v>
      </c>
      <c r="D1896" s="5" t="s">
        <v>91</v>
      </c>
      <c r="E1896" s="43">
        <v>650</v>
      </c>
      <c r="F1896" s="43"/>
      <c r="G1896" s="364">
        <f t="shared" si="14"/>
        <v>136774</v>
      </c>
      <c r="H1896" s="391" t="s">
        <v>9568</v>
      </c>
    </row>
    <row r="1897" spans="1:8" x14ac:dyDescent="0.3">
      <c r="A1897" s="45">
        <v>44285</v>
      </c>
      <c r="B1897" s="399"/>
      <c r="C1897" s="5" t="s">
        <v>6430</v>
      </c>
      <c r="D1897" s="5" t="s">
        <v>7256</v>
      </c>
      <c r="E1897" s="43">
        <v>5800</v>
      </c>
      <c r="F1897" s="43"/>
      <c r="G1897" s="364">
        <f t="shared" si="14"/>
        <v>130974</v>
      </c>
      <c r="H1897" s="391" t="s">
        <v>9568</v>
      </c>
    </row>
    <row r="1898" spans="1:8" x14ac:dyDescent="0.3">
      <c r="A1898" s="45">
        <v>44285</v>
      </c>
      <c r="B1898" s="399"/>
      <c r="C1898" s="5" t="s">
        <v>6430</v>
      </c>
      <c r="D1898" s="5" t="s">
        <v>7278</v>
      </c>
      <c r="E1898" s="43">
        <v>1000</v>
      </c>
      <c r="F1898" s="43"/>
      <c r="G1898" s="364">
        <f t="shared" si="14"/>
        <v>129974</v>
      </c>
      <c r="H1898" s="391" t="s">
        <v>9568</v>
      </c>
    </row>
    <row r="1899" spans="1:8" x14ac:dyDescent="0.3">
      <c r="A1899" s="45">
        <v>44286</v>
      </c>
      <c r="B1899" s="399"/>
      <c r="C1899" s="5" t="s">
        <v>5896</v>
      </c>
      <c r="D1899" s="5" t="s">
        <v>40</v>
      </c>
      <c r="E1899" s="43">
        <v>4000</v>
      </c>
      <c r="F1899" s="43"/>
      <c r="G1899" s="364">
        <f t="shared" si="14"/>
        <v>125974</v>
      </c>
      <c r="H1899" s="391" t="s">
        <v>9568</v>
      </c>
    </row>
    <row r="1900" spans="1:8" x14ac:dyDescent="0.3">
      <c r="A1900" s="45">
        <v>44286</v>
      </c>
      <c r="B1900" s="399"/>
      <c r="C1900" s="5" t="s">
        <v>6430</v>
      </c>
      <c r="D1900" s="5" t="s">
        <v>294</v>
      </c>
      <c r="E1900" s="43">
        <v>5000</v>
      </c>
      <c r="F1900" s="43"/>
      <c r="G1900" s="364">
        <f t="shared" si="14"/>
        <v>120974</v>
      </c>
      <c r="H1900" s="391" t="s">
        <v>9568</v>
      </c>
    </row>
    <row r="1901" spans="1:8" x14ac:dyDescent="0.3">
      <c r="A1901" s="45">
        <v>44286</v>
      </c>
      <c r="B1901" s="399"/>
      <c r="C1901" s="5" t="s">
        <v>0</v>
      </c>
      <c r="D1901" s="5" t="s">
        <v>294</v>
      </c>
      <c r="E1901" s="43">
        <v>18000</v>
      </c>
      <c r="F1901" s="43"/>
      <c r="G1901" s="364">
        <f t="shared" si="14"/>
        <v>102974</v>
      </c>
      <c r="H1901" s="391" t="s">
        <v>9568</v>
      </c>
    </row>
    <row r="1902" spans="1:8" x14ac:dyDescent="0.3">
      <c r="A1902" s="45">
        <v>44286</v>
      </c>
      <c r="B1902" s="399"/>
      <c r="C1902" s="5" t="s">
        <v>4055</v>
      </c>
      <c r="D1902" s="5" t="s">
        <v>40</v>
      </c>
      <c r="E1902" s="43">
        <v>16870</v>
      </c>
      <c r="F1902" s="43"/>
      <c r="G1902" s="364">
        <f t="shared" si="14"/>
        <v>86104</v>
      </c>
      <c r="H1902" s="391" t="s">
        <v>9568</v>
      </c>
    </row>
    <row r="1903" spans="1:8" x14ac:dyDescent="0.3">
      <c r="A1903" s="45">
        <v>44286</v>
      </c>
      <c r="B1903" s="399"/>
      <c r="C1903" s="5" t="s">
        <v>6171</v>
      </c>
      <c r="D1903" s="5" t="s">
        <v>40</v>
      </c>
      <c r="E1903" s="43">
        <v>22000</v>
      </c>
      <c r="F1903" s="43"/>
      <c r="G1903" s="364">
        <f t="shared" si="14"/>
        <v>64104</v>
      </c>
      <c r="H1903" s="391" t="s">
        <v>9568</v>
      </c>
    </row>
    <row r="1904" spans="1:8" x14ac:dyDescent="0.3">
      <c r="A1904" s="45">
        <v>44287</v>
      </c>
      <c r="B1904" s="399"/>
      <c r="C1904" s="5" t="s">
        <v>6430</v>
      </c>
      <c r="D1904" s="5" t="s">
        <v>4615</v>
      </c>
      <c r="E1904" s="43">
        <v>7940</v>
      </c>
      <c r="F1904" s="43"/>
      <c r="G1904" s="364">
        <f t="shared" si="14"/>
        <v>56164</v>
      </c>
      <c r="H1904" s="391" t="s">
        <v>9568</v>
      </c>
    </row>
    <row r="1905" spans="1:8" x14ac:dyDescent="0.3">
      <c r="A1905" s="45">
        <v>44287</v>
      </c>
      <c r="B1905" s="399"/>
      <c r="C1905" s="5" t="s">
        <v>5665</v>
      </c>
      <c r="D1905" s="5" t="s">
        <v>7259</v>
      </c>
      <c r="E1905" s="43">
        <v>30000</v>
      </c>
      <c r="F1905" s="43"/>
      <c r="G1905" s="364">
        <f t="shared" si="14"/>
        <v>26164</v>
      </c>
      <c r="H1905" s="391" t="s">
        <v>9568</v>
      </c>
    </row>
    <row r="1906" spans="1:8" x14ac:dyDescent="0.3">
      <c r="A1906" s="45">
        <v>44287</v>
      </c>
      <c r="B1906" s="399"/>
      <c r="C1906" s="5" t="s">
        <v>6926</v>
      </c>
      <c r="D1906" s="5" t="s">
        <v>7260</v>
      </c>
      <c r="E1906" s="43">
        <v>12000</v>
      </c>
      <c r="F1906" s="43"/>
      <c r="G1906" s="364">
        <f t="shared" si="14"/>
        <v>14164</v>
      </c>
      <c r="H1906" s="391" t="s">
        <v>9568</v>
      </c>
    </row>
    <row r="1907" spans="1:8" x14ac:dyDescent="0.3">
      <c r="A1907" s="45">
        <v>44287</v>
      </c>
      <c r="B1907" s="581"/>
      <c r="C1907" s="555" t="s">
        <v>7261</v>
      </c>
      <c r="D1907" s="556"/>
      <c r="E1907" s="557"/>
      <c r="F1907" s="43">
        <v>124000</v>
      </c>
      <c r="G1907" s="364">
        <f t="shared" si="14"/>
        <v>138164</v>
      </c>
      <c r="H1907" s="391" t="s">
        <v>9568</v>
      </c>
    </row>
    <row r="1908" spans="1:8" x14ac:dyDescent="0.3">
      <c r="A1908" s="45">
        <v>44287</v>
      </c>
      <c r="B1908" s="399"/>
      <c r="C1908" s="5" t="s">
        <v>6430</v>
      </c>
      <c r="D1908" s="5" t="s">
        <v>7126</v>
      </c>
      <c r="E1908" s="43">
        <v>3300</v>
      </c>
      <c r="F1908" s="43"/>
      <c r="G1908" s="364">
        <f t="shared" si="14"/>
        <v>134864</v>
      </c>
      <c r="H1908" s="391" t="s">
        <v>9568</v>
      </c>
    </row>
    <row r="1909" spans="1:8" x14ac:dyDescent="0.3">
      <c r="A1909" s="45">
        <v>44287</v>
      </c>
      <c r="B1909" s="399"/>
      <c r="C1909" s="5" t="s">
        <v>4550</v>
      </c>
      <c r="D1909" s="5" t="s">
        <v>294</v>
      </c>
      <c r="E1909" s="43">
        <v>100000</v>
      </c>
      <c r="F1909" s="43"/>
      <c r="G1909" s="364">
        <f t="shared" si="14"/>
        <v>34864</v>
      </c>
      <c r="H1909" s="391" t="s">
        <v>9568</v>
      </c>
    </row>
    <row r="1910" spans="1:8" x14ac:dyDescent="0.3">
      <c r="A1910" s="45">
        <v>44288</v>
      </c>
      <c r="B1910" s="399"/>
      <c r="C1910" s="5" t="s">
        <v>57</v>
      </c>
      <c r="D1910" s="5" t="s">
        <v>7262</v>
      </c>
      <c r="E1910" s="43">
        <v>2000</v>
      </c>
      <c r="F1910" s="43"/>
      <c r="G1910" s="364">
        <f t="shared" si="14"/>
        <v>32864</v>
      </c>
      <c r="H1910" s="391" t="s">
        <v>9568</v>
      </c>
    </row>
    <row r="1911" spans="1:8" x14ac:dyDescent="0.3">
      <c r="A1911" s="45">
        <v>44288</v>
      </c>
      <c r="B1911" s="399"/>
      <c r="C1911" s="5" t="s">
        <v>14</v>
      </c>
      <c r="D1911" s="5" t="s">
        <v>294</v>
      </c>
      <c r="E1911" s="43">
        <v>13000</v>
      </c>
      <c r="F1911" s="43"/>
      <c r="G1911" s="364">
        <f t="shared" si="14"/>
        <v>19864</v>
      </c>
      <c r="H1911" s="391" t="s">
        <v>9568</v>
      </c>
    </row>
    <row r="1912" spans="1:8" x14ac:dyDescent="0.3">
      <c r="A1912" s="45">
        <v>44288</v>
      </c>
      <c r="B1912" s="399"/>
      <c r="C1912" s="5" t="s">
        <v>25</v>
      </c>
      <c r="D1912" s="5" t="s">
        <v>4276</v>
      </c>
      <c r="E1912" s="43">
        <f>1400+30+110+860+280+80+220+160+70+100+280+290+260+360+50+100+30</f>
        <v>4680</v>
      </c>
      <c r="F1912" s="43"/>
      <c r="G1912" s="364">
        <f t="shared" si="14"/>
        <v>15184</v>
      </c>
      <c r="H1912" s="391" t="s">
        <v>9568</v>
      </c>
    </row>
    <row r="1913" spans="1:8" x14ac:dyDescent="0.3">
      <c r="A1913" s="45">
        <v>44288</v>
      </c>
      <c r="B1913" s="425"/>
      <c r="C1913" s="74" t="s">
        <v>7158</v>
      </c>
      <c r="D1913" s="76" t="s">
        <v>7281</v>
      </c>
      <c r="E1913" s="249">
        <v>1250</v>
      </c>
      <c r="F1913" s="43"/>
      <c r="G1913" s="364">
        <f t="shared" si="14"/>
        <v>13934</v>
      </c>
      <c r="H1913" s="391" t="s">
        <v>9568</v>
      </c>
    </row>
    <row r="1914" spans="1:8" x14ac:dyDescent="0.3">
      <c r="A1914" s="45">
        <v>44291</v>
      </c>
      <c r="B1914" s="581"/>
      <c r="C1914" s="555" t="s">
        <v>4415</v>
      </c>
      <c r="D1914" s="556"/>
      <c r="E1914" s="557"/>
      <c r="F1914" s="43">
        <v>395000</v>
      </c>
      <c r="G1914" s="364">
        <f t="shared" si="14"/>
        <v>408934</v>
      </c>
      <c r="H1914" s="391" t="s">
        <v>9568</v>
      </c>
    </row>
    <row r="1915" spans="1:8" x14ac:dyDescent="0.3">
      <c r="A1915" s="45">
        <v>44291</v>
      </c>
      <c r="B1915" s="399"/>
      <c r="C1915" s="5" t="s">
        <v>0</v>
      </c>
      <c r="D1915" s="5" t="s">
        <v>294</v>
      </c>
      <c r="E1915" s="43">
        <v>5000</v>
      </c>
      <c r="F1915" s="43"/>
      <c r="G1915" s="364">
        <f t="shared" si="14"/>
        <v>403934</v>
      </c>
      <c r="H1915" s="391" t="s">
        <v>9568</v>
      </c>
    </row>
    <row r="1916" spans="1:8" x14ac:dyDescent="0.3">
      <c r="A1916" s="45">
        <v>44291</v>
      </c>
      <c r="B1916" s="399"/>
      <c r="C1916" s="5" t="s">
        <v>6908</v>
      </c>
      <c r="D1916" s="5" t="s">
        <v>294</v>
      </c>
      <c r="E1916" s="43">
        <v>10000</v>
      </c>
      <c r="F1916" s="43"/>
      <c r="G1916" s="364">
        <f t="shared" si="14"/>
        <v>393934</v>
      </c>
      <c r="H1916" s="391" t="s">
        <v>9568</v>
      </c>
    </row>
    <row r="1917" spans="1:8" x14ac:dyDescent="0.3">
      <c r="A1917" s="45">
        <v>44291</v>
      </c>
      <c r="B1917" s="399"/>
      <c r="C1917" s="5" t="s">
        <v>7282</v>
      </c>
      <c r="D1917" s="5" t="s">
        <v>7825</v>
      </c>
      <c r="E1917" s="43">
        <v>20000</v>
      </c>
      <c r="F1917" s="43"/>
      <c r="G1917" s="364">
        <f t="shared" si="14"/>
        <v>373934</v>
      </c>
      <c r="H1917" s="391" t="s">
        <v>9568</v>
      </c>
    </row>
    <row r="1918" spans="1:8" x14ac:dyDescent="0.3">
      <c r="A1918" s="45">
        <v>44291</v>
      </c>
      <c r="B1918" s="399"/>
      <c r="C1918" s="5" t="s">
        <v>5156</v>
      </c>
      <c r="D1918" s="5" t="s">
        <v>7283</v>
      </c>
      <c r="E1918" s="43">
        <v>1800</v>
      </c>
      <c r="F1918" s="43"/>
      <c r="G1918" s="364">
        <f t="shared" si="14"/>
        <v>372134</v>
      </c>
      <c r="H1918" s="391" t="s">
        <v>9568</v>
      </c>
    </row>
    <row r="1919" spans="1:8" x14ac:dyDescent="0.3">
      <c r="A1919" s="45">
        <v>44291</v>
      </c>
      <c r="B1919" s="399"/>
      <c r="C1919" s="5" t="s">
        <v>25</v>
      </c>
      <c r="D1919" s="5" t="s">
        <v>7284</v>
      </c>
      <c r="E1919" s="43">
        <v>200</v>
      </c>
      <c r="F1919" s="43"/>
      <c r="G1919" s="364">
        <f t="shared" si="14"/>
        <v>371934</v>
      </c>
      <c r="H1919" s="391" t="s">
        <v>9568</v>
      </c>
    </row>
    <row r="1920" spans="1:8" x14ac:dyDescent="0.3">
      <c r="A1920" s="45">
        <v>44291</v>
      </c>
      <c r="B1920" s="399"/>
      <c r="C1920" s="5" t="s">
        <v>18</v>
      </c>
      <c r="D1920" s="5" t="s">
        <v>3910</v>
      </c>
      <c r="E1920" s="43">
        <v>5000</v>
      </c>
      <c r="F1920" s="43"/>
      <c r="G1920" s="364">
        <f t="shared" si="14"/>
        <v>366934</v>
      </c>
      <c r="H1920" s="391" t="s">
        <v>9568</v>
      </c>
    </row>
    <row r="1921" spans="1:8" x14ac:dyDescent="0.3">
      <c r="A1921" s="45">
        <v>44291</v>
      </c>
      <c r="B1921" s="581"/>
      <c r="C1921" s="555" t="s">
        <v>4415</v>
      </c>
      <c r="D1921" s="556"/>
      <c r="E1921" s="557"/>
      <c r="F1921" s="43">
        <v>250000</v>
      </c>
      <c r="G1921" s="364">
        <f t="shared" si="14"/>
        <v>616934</v>
      </c>
      <c r="H1921" s="391" t="s">
        <v>9568</v>
      </c>
    </row>
    <row r="1922" spans="1:8" ht="131.25" customHeight="1" x14ac:dyDescent="0.3">
      <c r="A1922" s="45">
        <v>44291</v>
      </c>
      <c r="B1922" s="426"/>
      <c r="C1922" s="250" t="s">
        <v>1512</v>
      </c>
      <c r="D1922" s="251" t="s">
        <v>7826</v>
      </c>
      <c r="E1922" s="28">
        <v>540670</v>
      </c>
      <c r="F1922" s="43"/>
      <c r="G1922" s="364">
        <f t="shared" si="14"/>
        <v>76264</v>
      </c>
      <c r="H1922" s="391" t="s">
        <v>9568</v>
      </c>
    </row>
    <row r="1923" spans="1:8" x14ac:dyDescent="0.3">
      <c r="A1923" s="45">
        <v>44291</v>
      </c>
      <c r="B1923" s="401"/>
      <c r="C1923" s="73" t="s">
        <v>25</v>
      </c>
      <c r="D1923" s="73" t="s">
        <v>650</v>
      </c>
      <c r="E1923" s="183">
        <v>1000</v>
      </c>
      <c r="F1923" s="183"/>
      <c r="G1923" s="364">
        <f t="shared" si="14"/>
        <v>75264</v>
      </c>
      <c r="H1923" s="391" t="s">
        <v>9568</v>
      </c>
    </row>
    <row r="1924" spans="1:8" x14ac:dyDescent="0.3">
      <c r="A1924" s="45">
        <v>44291</v>
      </c>
      <c r="B1924" s="401"/>
      <c r="C1924" s="73" t="s">
        <v>7128</v>
      </c>
      <c r="D1924" s="73" t="s">
        <v>7286</v>
      </c>
      <c r="E1924" s="183">
        <v>2000</v>
      </c>
      <c r="F1924" s="183"/>
      <c r="G1924" s="364">
        <f t="shared" si="14"/>
        <v>73264</v>
      </c>
      <c r="H1924" s="391" t="s">
        <v>9568</v>
      </c>
    </row>
    <row r="1925" spans="1:8" x14ac:dyDescent="0.3">
      <c r="A1925" s="45">
        <v>44292</v>
      </c>
      <c r="B1925" s="401"/>
      <c r="C1925" s="73" t="s">
        <v>3563</v>
      </c>
      <c r="D1925" s="73" t="s">
        <v>7287</v>
      </c>
      <c r="E1925" s="183">
        <f>3375+1127</f>
        <v>4502</v>
      </c>
      <c r="F1925" s="183"/>
      <c r="G1925" s="364">
        <f t="shared" si="14"/>
        <v>68762</v>
      </c>
      <c r="H1925" s="391" t="s">
        <v>9568</v>
      </c>
    </row>
    <row r="1926" spans="1:8" x14ac:dyDescent="0.3">
      <c r="A1926" s="45">
        <v>44292</v>
      </c>
      <c r="B1926" s="401"/>
      <c r="C1926" s="73" t="s">
        <v>5979</v>
      </c>
      <c r="D1926" s="73" t="s">
        <v>40</v>
      </c>
      <c r="E1926" s="183">
        <v>12000</v>
      </c>
      <c r="F1926" s="183"/>
      <c r="G1926" s="364">
        <f>G1925+F1926-E1926</f>
        <v>56762</v>
      </c>
      <c r="H1926" s="391" t="s">
        <v>9568</v>
      </c>
    </row>
    <row r="1927" spans="1:8" x14ac:dyDescent="0.3">
      <c r="A1927" s="45">
        <v>44292</v>
      </c>
      <c r="B1927" s="399"/>
      <c r="C1927" s="5" t="s">
        <v>541</v>
      </c>
      <c r="D1927" s="5" t="s">
        <v>7290</v>
      </c>
      <c r="E1927" s="43">
        <v>9500</v>
      </c>
      <c r="F1927" s="43"/>
      <c r="G1927" s="364">
        <f>G1926+F1927-E1927</f>
        <v>47262</v>
      </c>
      <c r="H1927" s="391" t="s">
        <v>9568</v>
      </c>
    </row>
    <row r="1928" spans="1:8" x14ac:dyDescent="0.3">
      <c r="A1928" s="45">
        <v>44292</v>
      </c>
      <c r="B1928" s="399"/>
      <c r="C1928" s="5" t="s">
        <v>57</v>
      </c>
      <c r="D1928" s="5" t="s">
        <v>4187</v>
      </c>
      <c r="E1928" s="43">
        <v>3000</v>
      </c>
      <c r="F1928" s="43"/>
      <c r="G1928" s="364">
        <f t="shared" ref="G1928:G1995" si="15">G1927+F1928-E1928</f>
        <v>44262</v>
      </c>
      <c r="H1928" s="391" t="s">
        <v>9568</v>
      </c>
    </row>
    <row r="1929" spans="1:8" x14ac:dyDescent="0.3">
      <c r="A1929" s="45">
        <v>44292</v>
      </c>
      <c r="B1929" s="399"/>
      <c r="C1929" s="5" t="s">
        <v>14</v>
      </c>
      <c r="D1929" s="5" t="s">
        <v>7291</v>
      </c>
      <c r="E1929" s="43">
        <v>20000</v>
      </c>
      <c r="F1929" s="43"/>
      <c r="G1929" s="364">
        <f t="shared" si="15"/>
        <v>24262</v>
      </c>
      <c r="H1929" s="391" t="s">
        <v>9568</v>
      </c>
    </row>
    <row r="1930" spans="1:8" x14ac:dyDescent="0.3">
      <c r="A1930" s="45">
        <v>44293</v>
      </c>
      <c r="B1930" s="399"/>
      <c r="C1930" s="5" t="s">
        <v>7040</v>
      </c>
      <c r="D1930" s="5" t="s">
        <v>294</v>
      </c>
      <c r="E1930" s="43">
        <v>10000</v>
      </c>
      <c r="F1930" s="43"/>
      <c r="G1930" s="364">
        <f t="shared" si="15"/>
        <v>14262</v>
      </c>
      <c r="H1930" s="391" t="s">
        <v>9568</v>
      </c>
    </row>
    <row r="1931" spans="1:8" x14ac:dyDescent="0.3">
      <c r="A1931" s="45">
        <v>44293</v>
      </c>
      <c r="B1931" s="399"/>
      <c r="C1931" s="5" t="s">
        <v>107</v>
      </c>
      <c r="D1931" s="5" t="s">
        <v>294</v>
      </c>
      <c r="E1931" s="43">
        <v>1000</v>
      </c>
      <c r="F1931" s="43"/>
      <c r="G1931" s="364">
        <f t="shared" si="15"/>
        <v>13262</v>
      </c>
      <c r="H1931" s="391" t="s">
        <v>9568</v>
      </c>
    </row>
    <row r="1932" spans="1:8" x14ac:dyDescent="0.3">
      <c r="A1932" s="45">
        <v>44293</v>
      </c>
      <c r="B1932" s="399"/>
      <c r="C1932" s="5" t="s">
        <v>107</v>
      </c>
      <c r="D1932" s="5" t="s">
        <v>7292</v>
      </c>
      <c r="E1932" s="43">
        <v>300</v>
      </c>
      <c r="F1932" s="43"/>
      <c r="G1932" s="364">
        <f t="shared" si="15"/>
        <v>12962</v>
      </c>
      <c r="H1932" s="391" t="s">
        <v>9568</v>
      </c>
    </row>
    <row r="1933" spans="1:8" x14ac:dyDescent="0.3">
      <c r="A1933" s="45">
        <v>44293</v>
      </c>
      <c r="B1933" s="399"/>
      <c r="C1933" s="5" t="s">
        <v>25</v>
      </c>
      <c r="D1933" s="5" t="s">
        <v>4276</v>
      </c>
      <c r="E1933" s="43">
        <f>1000+1000+600+1000+500+350+60+100+40+80+50+200+350+100+50+260+80+80+100+300</f>
        <v>6300</v>
      </c>
      <c r="F1933" s="43"/>
      <c r="G1933" s="364">
        <f t="shared" si="15"/>
        <v>6662</v>
      </c>
      <c r="H1933" s="391" t="s">
        <v>9568</v>
      </c>
    </row>
    <row r="1934" spans="1:8" x14ac:dyDescent="0.3">
      <c r="A1934" s="45">
        <v>44293</v>
      </c>
      <c r="B1934" s="399"/>
      <c r="C1934" s="5" t="s">
        <v>1787</v>
      </c>
      <c r="D1934" s="5" t="s">
        <v>7293</v>
      </c>
      <c r="E1934" s="43">
        <v>1500</v>
      </c>
      <c r="F1934" s="43"/>
      <c r="G1934" s="364">
        <f t="shared" si="15"/>
        <v>5162</v>
      </c>
      <c r="H1934" s="391" t="s">
        <v>9568</v>
      </c>
    </row>
    <row r="1935" spans="1:8" x14ac:dyDescent="0.3">
      <c r="A1935" s="45">
        <v>44293</v>
      </c>
      <c r="B1935" s="399"/>
      <c r="C1935" s="5" t="s">
        <v>6341</v>
      </c>
      <c r="D1935" s="5" t="s">
        <v>7294</v>
      </c>
      <c r="E1935" s="43">
        <v>1500</v>
      </c>
      <c r="F1935" s="43"/>
      <c r="G1935" s="364">
        <f t="shared" si="15"/>
        <v>3662</v>
      </c>
      <c r="H1935" s="391" t="s">
        <v>9568</v>
      </c>
    </row>
    <row r="1936" spans="1:8" x14ac:dyDescent="0.3">
      <c r="A1936" s="45">
        <v>44293</v>
      </c>
      <c r="B1936" s="581"/>
      <c r="C1936" s="555" t="s">
        <v>4329</v>
      </c>
      <c r="D1936" s="556"/>
      <c r="E1936" s="557"/>
      <c r="F1936" s="43">
        <v>500000</v>
      </c>
      <c r="G1936" s="364">
        <f t="shared" si="15"/>
        <v>503662</v>
      </c>
      <c r="H1936" s="391" t="s">
        <v>9568</v>
      </c>
    </row>
    <row r="1937" spans="1:8" ht="100.5" customHeight="1" x14ac:dyDescent="0.3">
      <c r="A1937" s="45">
        <v>44293</v>
      </c>
      <c r="B1937" s="426"/>
      <c r="C1937" s="250" t="s">
        <v>1512</v>
      </c>
      <c r="D1937" s="251" t="s">
        <v>7827</v>
      </c>
      <c r="E1937" s="28">
        <v>452899</v>
      </c>
      <c r="F1937" s="43"/>
      <c r="G1937" s="364">
        <f t="shared" si="15"/>
        <v>50763</v>
      </c>
      <c r="H1937" s="391" t="s">
        <v>9568</v>
      </c>
    </row>
    <row r="1938" spans="1:8" x14ac:dyDescent="0.3">
      <c r="A1938" s="45">
        <v>44293</v>
      </c>
      <c r="B1938" s="399"/>
      <c r="C1938" s="5" t="s">
        <v>14</v>
      </c>
      <c r="D1938" s="5" t="s">
        <v>294</v>
      </c>
      <c r="E1938" s="43">
        <v>15000</v>
      </c>
      <c r="F1938" s="43"/>
      <c r="G1938" s="364">
        <f t="shared" si="15"/>
        <v>35763</v>
      </c>
      <c r="H1938" s="391" t="s">
        <v>9568</v>
      </c>
    </row>
    <row r="1939" spans="1:8" x14ac:dyDescent="0.3">
      <c r="A1939" s="45">
        <v>44293</v>
      </c>
      <c r="B1939" s="399"/>
      <c r="C1939" s="5" t="s">
        <v>7099</v>
      </c>
      <c r="D1939" s="5" t="s">
        <v>7296</v>
      </c>
      <c r="E1939" s="43">
        <v>1500</v>
      </c>
      <c r="F1939" s="43"/>
      <c r="G1939" s="364">
        <f t="shared" si="15"/>
        <v>34263</v>
      </c>
      <c r="H1939" s="391" t="s">
        <v>9568</v>
      </c>
    </row>
    <row r="1940" spans="1:8" x14ac:dyDescent="0.3">
      <c r="A1940" s="45">
        <v>44293</v>
      </c>
      <c r="B1940" s="399"/>
      <c r="C1940" s="5" t="s">
        <v>7040</v>
      </c>
      <c r="D1940" s="5" t="s">
        <v>7297</v>
      </c>
      <c r="E1940" s="43">
        <v>20000</v>
      </c>
      <c r="F1940" s="43"/>
      <c r="G1940" s="364">
        <f t="shared" si="15"/>
        <v>14263</v>
      </c>
      <c r="H1940" s="391" t="s">
        <v>9568</v>
      </c>
    </row>
    <row r="1941" spans="1:8" x14ac:dyDescent="0.3">
      <c r="A1941" s="45">
        <v>44294</v>
      </c>
      <c r="B1941" s="399"/>
      <c r="C1941" s="5" t="s">
        <v>0</v>
      </c>
      <c r="D1941" s="5" t="s">
        <v>294</v>
      </c>
      <c r="E1941" s="43">
        <v>500</v>
      </c>
      <c r="F1941" s="43"/>
      <c r="G1941" s="364">
        <f t="shared" si="15"/>
        <v>13763</v>
      </c>
      <c r="H1941" s="391" t="s">
        <v>9568</v>
      </c>
    </row>
    <row r="1942" spans="1:8" x14ac:dyDescent="0.3">
      <c r="A1942" s="45">
        <v>44294</v>
      </c>
      <c r="B1942" s="399"/>
      <c r="C1942" s="5" t="s">
        <v>11</v>
      </c>
      <c r="D1942" s="5" t="s">
        <v>7300</v>
      </c>
      <c r="E1942" s="43">
        <v>2000</v>
      </c>
      <c r="F1942" s="43"/>
      <c r="G1942" s="364">
        <f t="shared" si="15"/>
        <v>11763</v>
      </c>
      <c r="H1942" s="391" t="s">
        <v>9568</v>
      </c>
    </row>
    <row r="1943" spans="1:8" x14ac:dyDescent="0.3">
      <c r="A1943" s="45">
        <v>44294</v>
      </c>
      <c r="B1943" s="399"/>
      <c r="C1943" s="5" t="s">
        <v>7121</v>
      </c>
      <c r="D1943" s="5" t="s">
        <v>294</v>
      </c>
      <c r="E1943" s="43">
        <v>5000</v>
      </c>
      <c r="F1943" s="43"/>
      <c r="G1943" s="364">
        <f t="shared" si="15"/>
        <v>6763</v>
      </c>
      <c r="H1943" s="391" t="s">
        <v>9568</v>
      </c>
    </row>
    <row r="1944" spans="1:8" x14ac:dyDescent="0.3">
      <c r="A1944" s="45">
        <v>44295</v>
      </c>
      <c r="B1944" s="399"/>
      <c r="C1944" s="5" t="s">
        <v>0</v>
      </c>
      <c r="D1944" s="5" t="s">
        <v>294</v>
      </c>
      <c r="E1944" s="43">
        <v>200</v>
      </c>
      <c r="F1944" s="43"/>
      <c r="G1944" s="364">
        <f t="shared" si="15"/>
        <v>6563</v>
      </c>
      <c r="H1944" s="391" t="s">
        <v>9568</v>
      </c>
    </row>
    <row r="1945" spans="1:8" x14ac:dyDescent="0.3">
      <c r="A1945" s="45">
        <v>44298</v>
      </c>
      <c r="B1945" s="581"/>
      <c r="C1945" s="555" t="s">
        <v>5431</v>
      </c>
      <c r="D1945" s="556"/>
      <c r="E1945" s="557"/>
      <c r="F1945" s="43">
        <v>70000</v>
      </c>
      <c r="G1945" s="364">
        <f t="shared" si="15"/>
        <v>76563</v>
      </c>
      <c r="H1945" s="391" t="s">
        <v>9568</v>
      </c>
    </row>
    <row r="1946" spans="1:8" x14ac:dyDescent="0.3">
      <c r="A1946" s="45">
        <v>44298</v>
      </c>
      <c r="B1946" s="581"/>
      <c r="C1946" s="555" t="s">
        <v>5431</v>
      </c>
      <c r="D1946" s="556"/>
      <c r="E1946" s="557"/>
      <c r="F1946" s="43">
        <v>45000</v>
      </c>
      <c r="G1946" s="364">
        <f t="shared" si="15"/>
        <v>121563</v>
      </c>
      <c r="H1946" s="391" t="s">
        <v>9568</v>
      </c>
    </row>
    <row r="1947" spans="1:8" x14ac:dyDescent="0.3">
      <c r="A1947" s="45">
        <v>44298</v>
      </c>
      <c r="B1947" s="581"/>
      <c r="C1947" s="555" t="s">
        <v>5431</v>
      </c>
      <c r="D1947" s="556"/>
      <c r="E1947" s="557"/>
      <c r="F1947" s="43">
        <v>50000</v>
      </c>
      <c r="G1947" s="364">
        <f t="shared" si="15"/>
        <v>171563</v>
      </c>
      <c r="H1947" s="391" t="s">
        <v>9568</v>
      </c>
    </row>
    <row r="1948" spans="1:8" ht="37.5" x14ac:dyDescent="0.3">
      <c r="A1948" s="45">
        <v>44298</v>
      </c>
      <c r="B1948" s="322"/>
      <c r="C1948" s="44" t="s">
        <v>7099</v>
      </c>
      <c r="D1948" s="92" t="s">
        <v>7301</v>
      </c>
      <c r="E1948" s="43">
        <v>7580</v>
      </c>
      <c r="F1948" s="43"/>
      <c r="G1948" s="364">
        <f t="shared" si="15"/>
        <v>163983</v>
      </c>
      <c r="H1948" s="391" t="s">
        <v>9568</v>
      </c>
    </row>
    <row r="1949" spans="1:8" x14ac:dyDescent="0.3">
      <c r="A1949" s="45">
        <v>44298</v>
      </c>
      <c r="B1949" s="322"/>
      <c r="C1949" s="44" t="s">
        <v>68</v>
      </c>
      <c r="D1949" s="92" t="s">
        <v>4512</v>
      </c>
      <c r="E1949" s="43">
        <v>500</v>
      </c>
      <c r="F1949" s="43"/>
      <c r="G1949" s="364">
        <f t="shared" si="15"/>
        <v>163483</v>
      </c>
      <c r="H1949" s="391" t="s">
        <v>9568</v>
      </c>
    </row>
    <row r="1950" spans="1:8" x14ac:dyDescent="0.3">
      <c r="A1950" s="45">
        <v>44298</v>
      </c>
      <c r="B1950" s="399"/>
      <c r="C1950" s="5" t="s">
        <v>7308</v>
      </c>
      <c r="D1950" s="5" t="s">
        <v>7309</v>
      </c>
      <c r="E1950" s="43">
        <v>38000</v>
      </c>
      <c r="F1950" s="43"/>
      <c r="G1950" s="364">
        <f t="shared" si="15"/>
        <v>125483</v>
      </c>
      <c r="H1950" s="391" t="s">
        <v>9568</v>
      </c>
    </row>
    <row r="1951" spans="1:8" x14ac:dyDescent="0.3">
      <c r="A1951" s="45">
        <v>44298</v>
      </c>
      <c r="B1951" s="399"/>
      <c r="C1951" s="5" t="s">
        <v>6430</v>
      </c>
      <c r="D1951" s="5" t="s">
        <v>5635</v>
      </c>
      <c r="E1951" s="43">
        <v>20000</v>
      </c>
      <c r="F1951" s="43"/>
      <c r="G1951" s="364">
        <f t="shared" si="15"/>
        <v>105483</v>
      </c>
      <c r="H1951" s="391" t="s">
        <v>9568</v>
      </c>
    </row>
    <row r="1952" spans="1:8" x14ac:dyDescent="0.3">
      <c r="A1952" s="45">
        <v>44298</v>
      </c>
      <c r="B1952" s="581"/>
      <c r="C1952" s="555" t="s">
        <v>7310</v>
      </c>
      <c r="D1952" s="556"/>
      <c r="E1952" s="557"/>
      <c r="F1952" s="43">
        <v>10000</v>
      </c>
      <c r="G1952" s="364">
        <f t="shared" si="15"/>
        <v>115483</v>
      </c>
      <c r="H1952" s="391" t="s">
        <v>9568</v>
      </c>
    </row>
    <row r="1953" spans="1:8" x14ac:dyDescent="0.3">
      <c r="A1953" s="45">
        <v>44298</v>
      </c>
      <c r="B1953" s="402"/>
      <c r="C1953" s="39" t="s">
        <v>1512</v>
      </c>
      <c r="D1953" s="39" t="s">
        <v>7305</v>
      </c>
      <c r="E1953" s="43">
        <v>38000</v>
      </c>
      <c r="F1953" s="43"/>
      <c r="G1953" s="364">
        <f t="shared" si="15"/>
        <v>77483</v>
      </c>
      <c r="H1953" s="391" t="s">
        <v>9568</v>
      </c>
    </row>
    <row r="1954" spans="1:8" x14ac:dyDescent="0.3">
      <c r="A1954" s="45">
        <v>44298</v>
      </c>
      <c r="B1954" s="402"/>
      <c r="C1954" s="39" t="s">
        <v>1512</v>
      </c>
      <c r="D1954" s="39" t="s">
        <v>3618</v>
      </c>
      <c r="E1954" s="43">
        <v>45000</v>
      </c>
      <c r="F1954" s="43"/>
      <c r="G1954" s="364">
        <f t="shared" si="15"/>
        <v>32483</v>
      </c>
      <c r="H1954" s="391" t="s">
        <v>9568</v>
      </c>
    </row>
    <row r="1955" spans="1:8" x14ac:dyDescent="0.3">
      <c r="A1955" s="45">
        <v>44298</v>
      </c>
      <c r="B1955" s="402"/>
      <c r="C1955" s="39" t="s">
        <v>1512</v>
      </c>
      <c r="D1955" s="39" t="s">
        <v>7306</v>
      </c>
      <c r="E1955" s="43">
        <v>12774</v>
      </c>
      <c r="F1955" s="43"/>
      <c r="G1955" s="364">
        <f t="shared" si="15"/>
        <v>19709</v>
      </c>
      <c r="H1955" s="391" t="s">
        <v>9568</v>
      </c>
    </row>
    <row r="1956" spans="1:8" x14ac:dyDescent="0.3">
      <c r="A1956" s="45">
        <v>44298</v>
      </c>
      <c r="B1956" s="402"/>
      <c r="C1956" s="39" t="s">
        <v>1512</v>
      </c>
      <c r="D1956" s="39" t="s">
        <v>7307</v>
      </c>
      <c r="E1956" s="43">
        <v>11032</v>
      </c>
      <c r="F1956" s="43"/>
      <c r="G1956" s="364">
        <f t="shared" si="15"/>
        <v>8677</v>
      </c>
      <c r="H1956" s="391" t="s">
        <v>9568</v>
      </c>
    </row>
    <row r="1957" spans="1:8" x14ac:dyDescent="0.3">
      <c r="A1957" s="45">
        <v>44298</v>
      </c>
      <c r="B1957" s="399"/>
      <c r="C1957" s="5" t="s">
        <v>25</v>
      </c>
      <c r="D1957" s="5" t="s">
        <v>4276</v>
      </c>
      <c r="E1957" s="43">
        <f>180+650+100+120+260+130+200+80+250+60+1000+260+300+300+60+50+200+1250+200+260+100+80+70+600+1100</f>
        <v>7860</v>
      </c>
      <c r="F1957" s="43"/>
      <c r="G1957" s="364">
        <f t="shared" si="15"/>
        <v>817</v>
      </c>
      <c r="H1957" s="391" t="s">
        <v>9568</v>
      </c>
    </row>
    <row r="1958" spans="1:8" x14ac:dyDescent="0.3">
      <c r="A1958" s="45">
        <v>44298</v>
      </c>
      <c r="B1958" s="399"/>
      <c r="C1958" s="5" t="s">
        <v>25</v>
      </c>
      <c r="D1958" s="5" t="s">
        <v>6859</v>
      </c>
      <c r="E1958" s="43">
        <v>100</v>
      </c>
      <c r="F1958" s="43"/>
      <c r="G1958" s="364">
        <f t="shared" si="15"/>
        <v>717</v>
      </c>
      <c r="H1958" s="391" t="s">
        <v>9568</v>
      </c>
    </row>
    <row r="1959" spans="1:8" x14ac:dyDescent="0.3">
      <c r="A1959" s="45">
        <v>44298</v>
      </c>
      <c r="B1959" s="581"/>
      <c r="C1959" s="555" t="s">
        <v>5431</v>
      </c>
      <c r="D1959" s="556"/>
      <c r="E1959" s="557"/>
      <c r="F1959" s="43">
        <v>100000</v>
      </c>
      <c r="G1959" s="364">
        <f>G1958+F1959-E1959</f>
        <v>100717</v>
      </c>
      <c r="H1959" s="391" t="s">
        <v>9568</v>
      </c>
    </row>
    <row r="1960" spans="1:8" x14ac:dyDescent="0.3">
      <c r="A1960" s="45">
        <v>44298</v>
      </c>
      <c r="B1960" s="399"/>
      <c r="C1960" s="5" t="s">
        <v>0</v>
      </c>
      <c r="D1960" s="5" t="s">
        <v>294</v>
      </c>
      <c r="E1960" s="43">
        <v>10000</v>
      </c>
      <c r="F1960" s="43"/>
      <c r="G1960" s="364">
        <f>G1959+F1960-E1960</f>
        <v>90717</v>
      </c>
      <c r="H1960" s="391" t="s">
        <v>9568</v>
      </c>
    </row>
    <row r="1961" spans="1:8" ht="37.5" x14ac:dyDescent="0.3">
      <c r="A1961" s="45">
        <v>44298</v>
      </c>
      <c r="B1961" s="427"/>
      <c r="C1961" s="92" t="s">
        <v>7315</v>
      </c>
      <c r="D1961" s="5" t="s">
        <v>7316</v>
      </c>
      <c r="E1961" s="43">
        <v>10000</v>
      </c>
      <c r="F1961" s="43"/>
      <c r="G1961" s="364">
        <f t="shared" si="15"/>
        <v>80717</v>
      </c>
      <c r="H1961" s="391" t="s">
        <v>9568</v>
      </c>
    </row>
    <row r="1962" spans="1:8" x14ac:dyDescent="0.3">
      <c r="A1962" s="45">
        <v>44300</v>
      </c>
      <c r="B1962" s="399"/>
      <c r="C1962" s="5" t="s">
        <v>14</v>
      </c>
      <c r="D1962" s="5" t="s">
        <v>7317</v>
      </c>
      <c r="E1962" s="43">
        <v>11000</v>
      </c>
      <c r="F1962" s="43"/>
      <c r="G1962" s="364">
        <f t="shared" si="15"/>
        <v>69717</v>
      </c>
      <c r="H1962" s="391" t="s">
        <v>9568</v>
      </c>
    </row>
    <row r="1963" spans="1:8" x14ac:dyDescent="0.3">
      <c r="A1963" s="45">
        <v>44300</v>
      </c>
      <c r="B1963" s="399"/>
      <c r="C1963" s="5" t="s">
        <v>14</v>
      </c>
      <c r="D1963" s="5" t="s">
        <v>294</v>
      </c>
      <c r="E1963" s="43">
        <v>15000</v>
      </c>
      <c r="F1963" s="43"/>
      <c r="G1963" s="364">
        <f t="shared" si="15"/>
        <v>54717</v>
      </c>
      <c r="H1963" s="391" t="s">
        <v>9568</v>
      </c>
    </row>
    <row r="1964" spans="1:8" x14ac:dyDescent="0.3">
      <c r="A1964" s="45">
        <v>44300</v>
      </c>
      <c r="B1964" s="402"/>
      <c r="C1964" s="39" t="s">
        <v>1512</v>
      </c>
      <c r="D1964" s="39" t="s">
        <v>7318</v>
      </c>
      <c r="E1964" s="43">
        <f>16500+15000</f>
        <v>31500</v>
      </c>
      <c r="F1964" s="43"/>
      <c r="G1964" s="364">
        <f t="shared" si="15"/>
        <v>23217</v>
      </c>
      <c r="H1964" s="391" t="s">
        <v>9568</v>
      </c>
    </row>
    <row r="1965" spans="1:8" x14ac:dyDescent="0.3">
      <c r="A1965" s="45">
        <v>44300</v>
      </c>
      <c r="B1965" s="399"/>
      <c r="C1965" s="5" t="s">
        <v>5156</v>
      </c>
      <c r="D1965" s="5" t="s">
        <v>7319</v>
      </c>
      <c r="E1965" s="43">
        <v>5750</v>
      </c>
      <c r="F1965" s="43"/>
      <c r="G1965" s="364">
        <f t="shared" si="15"/>
        <v>17467</v>
      </c>
      <c r="H1965" s="391" t="s">
        <v>9568</v>
      </c>
    </row>
    <row r="1966" spans="1:8" x14ac:dyDescent="0.3">
      <c r="A1966" s="45">
        <v>44300</v>
      </c>
      <c r="B1966" s="399"/>
      <c r="C1966" s="5" t="s">
        <v>5162</v>
      </c>
      <c r="D1966" s="5" t="s">
        <v>7322</v>
      </c>
      <c r="E1966" s="43">
        <v>700</v>
      </c>
      <c r="F1966" s="43"/>
      <c r="G1966" s="364">
        <f t="shared" si="15"/>
        <v>16767</v>
      </c>
      <c r="H1966" s="391" t="s">
        <v>9568</v>
      </c>
    </row>
    <row r="1967" spans="1:8" x14ac:dyDescent="0.3">
      <c r="A1967" s="45">
        <v>44300</v>
      </c>
      <c r="B1967" s="399"/>
      <c r="C1967" s="5" t="s">
        <v>5162</v>
      </c>
      <c r="D1967" s="5" t="s">
        <v>7323</v>
      </c>
      <c r="E1967" s="43">
        <v>650</v>
      </c>
      <c r="F1967" s="43"/>
      <c r="G1967" s="364">
        <f t="shared" si="15"/>
        <v>16117</v>
      </c>
      <c r="H1967" s="391" t="s">
        <v>9568</v>
      </c>
    </row>
    <row r="1968" spans="1:8" x14ac:dyDescent="0.3">
      <c r="A1968" s="45">
        <v>44300</v>
      </c>
      <c r="B1968" s="581"/>
      <c r="C1968" s="555" t="s">
        <v>3444</v>
      </c>
      <c r="D1968" s="556"/>
      <c r="E1968" s="557"/>
      <c r="F1968" s="43">
        <v>100000</v>
      </c>
      <c r="G1968" s="364">
        <f t="shared" si="15"/>
        <v>116117</v>
      </c>
      <c r="H1968" s="391" t="s">
        <v>9568</v>
      </c>
    </row>
    <row r="1969" spans="1:8" x14ac:dyDescent="0.3">
      <c r="A1969" s="45">
        <v>44300</v>
      </c>
      <c r="B1969" s="402"/>
      <c r="C1969" s="39" t="s">
        <v>1512</v>
      </c>
      <c r="D1969" s="39" t="s">
        <v>7325</v>
      </c>
      <c r="E1969" s="43">
        <v>81164</v>
      </c>
      <c r="F1969" s="43"/>
      <c r="G1969" s="364">
        <f t="shared" si="15"/>
        <v>34953</v>
      </c>
      <c r="H1969" s="391" t="s">
        <v>9568</v>
      </c>
    </row>
    <row r="1970" spans="1:8" x14ac:dyDescent="0.3">
      <c r="A1970" s="45">
        <v>44300</v>
      </c>
      <c r="B1970" s="399"/>
      <c r="C1970" s="5" t="s">
        <v>6341</v>
      </c>
      <c r="D1970" s="5" t="s">
        <v>7326</v>
      </c>
      <c r="E1970" s="43">
        <v>3500</v>
      </c>
      <c r="F1970" s="43"/>
      <c r="G1970" s="364">
        <f t="shared" si="15"/>
        <v>31453</v>
      </c>
      <c r="H1970" s="391" t="s">
        <v>9568</v>
      </c>
    </row>
    <row r="1971" spans="1:8" x14ac:dyDescent="0.3">
      <c r="A1971" s="45">
        <v>44300</v>
      </c>
      <c r="B1971" s="399"/>
      <c r="C1971" s="5" t="s">
        <v>64</v>
      </c>
      <c r="D1971" s="5" t="s">
        <v>7327</v>
      </c>
      <c r="E1971" s="43">
        <v>6000</v>
      </c>
      <c r="F1971" s="43"/>
      <c r="G1971" s="364">
        <f t="shared" si="15"/>
        <v>25453</v>
      </c>
      <c r="H1971" s="391" t="s">
        <v>9568</v>
      </c>
    </row>
    <row r="1972" spans="1:8" x14ac:dyDescent="0.3">
      <c r="A1972" s="45">
        <v>44301</v>
      </c>
      <c r="B1972" s="399"/>
      <c r="C1972" s="5" t="s">
        <v>5938</v>
      </c>
      <c r="D1972" s="5" t="s">
        <v>40</v>
      </c>
      <c r="E1972" s="43">
        <v>20000</v>
      </c>
      <c r="F1972" s="43"/>
      <c r="G1972" s="364">
        <f t="shared" si="15"/>
        <v>5453</v>
      </c>
      <c r="H1972" s="391" t="s">
        <v>9568</v>
      </c>
    </row>
    <row r="1973" spans="1:8" x14ac:dyDescent="0.3">
      <c r="A1973" s="45">
        <v>44301</v>
      </c>
      <c r="B1973" s="580"/>
      <c r="C1973" s="554" t="s">
        <v>5431</v>
      </c>
      <c r="D1973" s="554"/>
      <c r="E1973" s="554"/>
      <c r="F1973" s="43">
        <v>100000</v>
      </c>
      <c r="G1973" s="364">
        <f t="shared" si="15"/>
        <v>105453</v>
      </c>
      <c r="H1973" s="391" t="s">
        <v>9568</v>
      </c>
    </row>
    <row r="1974" spans="1:8" x14ac:dyDescent="0.3">
      <c r="A1974" s="45">
        <v>44301</v>
      </c>
      <c r="B1974" s="399"/>
      <c r="C1974" s="5" t="s">
        <v>7330</v>
      </c>
      <c r="D1974" s="5" t="s">
        <v>7331</v>
      </c>
      <c r="E1974" s="43">
        <v>2827</v>
      </c>
      <c r="F1974" s="43"/>
      <c r="G1974" s="364">
        <f t="shared" si="15"/>
        <v>102626</v>
      </c>
      <c r="H1974" s="391" t="s">
        <v>9568</v>
      </c>
    </row>
    <row r="1975" spans="1:8" x14ac:dyDescent="0.3">
      <c r="A1975" s="45">
        <v>44301</v>
      </c>
      <c r="B1975" s="399"/>
      <c r="C1975" s="5" t="s">
        <v>4055</v>
      </c>
      <c r="D1975" s="5" t="s">
        <v>294</v>
      </c>
      <c r="E1975" s="43">
        <v>2700</v>
      </c>
      <c r="F1975" s="43"/>
      <c r="G1975" s="364">
        <f t="shared" si="15"/>
        <v>99926</v>
      </c>
      <c r="H1975" s="391" t="s">
        <v>9568</v>
      </c>
    </row>
    <row r="1976" spans="1:8" x14ac:dyDescent="0.3">
      <c r="A1976" s="45">
        <v>44301</v>
      </c>
      <c r="B1976" s="399"/>
      <c r="C1976" s="5" t="s">
        <v>7121</v>
      </c>
      <c r="D1976" s="5" t="s">
        <v>7332</v>
      </c>
      <c r="E1976" s="43">
        <v>30000</v>
      </c>
      <c r="F1976" s="43"/>
      <c r="G1976" s="364">
        <f t="shared" si="15"/>
        <v>69926</v>
      </c>
      <c r="H1976" s="391" t="s">
        <v>9568</v>
      </c>
    </row>
    <row r="1977" spans="1:8" x14ac:dyDescent="0.3">
      <c r="A1977" s="45">
        <v>44301</v>
      </c>
      <c r="B1977" s="399"/>
      <c r="C1977" s="5" t="s">
        <v>4550</v>
      </c>
      <c r="D1977" s="5" t="s">
        <v>294</v>
      </c>
      <c r="E1977" s="43">
        <v>30000</v>
      </c>
      <c r="F1977" s="43"/>
      <c r="G1977" s="364">
        <f t="shared" si="15"/>
        <v>39926</v>
      </c>
      <c r="H1977" s="391" t="s">
        <v>9568</v>
      </c>
    </row>
    <row r="1978" spans="1:8" x14ac:dyDescent="0.3">
      <c r="A1978" s="45">
        <v>44301</v>
      </c>
      <c r="B1978" s="399"/>
      <c r="C1978" s="5" t="s">
        <v>6341</v>
      </c>
      <c r="D1978" s="5" t="s">
        <v>6900</v>
      </c>
      <c r="E1978" s="43">
        <v>15000</v>
      </c>
      <c r="F1978" s="43"/>
      <c r="G1978" s="364">
        <f t="shared" si="15"/>
        <v>24926</v>
      </c>
      <c r="H1978" s="391" t="s">
        <v>9568</v>
      </c>
    </row>
    <row r="1979" spans="1:8" x14ac:dyDescent="0.3">
      <c r="A1979" s="45">
        <v>44301</v>
      </c>
      <c r="B1979" s="399"/>
      <c r="C1979" s="5" t="s">
        <v>4055</v>
      </c>
      <c r="D1979" s="41" t="s">
        <v>7333</v>
      </c>
      <c r="E1979" s="43">
        <v>2000</v>
      </c>
      <c r="F1979" s="43"/>
      <c r="G1979" s="364">
        <f t="shared" si="15"/>
        <v>22926</v>
      </c>
      <c r="H1979" s="391" t="s">
        <v>9568</v>
      </c>
    </row>
    <row r="1980" spans="1:8" x14ac:dyDescent="0.3">
      <c r="A1980" s="45">
        <v>44301</v>
      </c>
      <c r="B1980" s="402"/>
      <c r="C1980" s="39" t="s">
        <v>1512</v>
      </c>
      <c r="D1980" s="39" t="s">
        <v>7338</v>
      </c>
      <c r="E1980" s="43">
        <v>6000</v>
      </c>
      <c r="F1980" s="43"/>
      <c r="G1980" s="364">
        <f>G1979+F1980-E1980</f>
        <v>16926</v>
      </c>
      <c r="H1980" s="391" t="s">
        <v>9568</v>
      </c>
    </row>
    <row r="1981" spans="1:8" x14ac:dyDescent="0.3">
      <c r="A1981" s="45">
        <v>44301</v>
      </c>
      <c r="B1981" s="399"/>
      <c r="C1981" s="5" t="s">
        <v>57</v>
      </c>
      <c r="D1981" s="5" t="s">
        <v>7347</v>
      </c>
      <c r="E1981" s="43">
        <v>1000</v>
      </c>
      <c r="F1981" s="43"/>
      <c r="G1981" s="364">
        <f t="shared" si="15"/>
        <v>15926</v>
      </c>
      <c r="H1981" s="391" t="s">
        <v>9568</v>
      </c>
    </row>
    <row r="1982" spans="1:8" x14ac:dyDescent="0.3">
      <c r="A1982" s="45">
        <v>44302</v>
      </c>
      <c r="B1982" s="399"/>
      <c r="C1982" s="5" t="s">
        <v>14</v>
      </c>
      <c r="D1982" s="5" t="s">
        <v>6552</v>
      </c>
      <c r="E1982" s="43">
        <v>1000</v>
      </c>
      <c r="F1982" s="43"/>
      <c r="G1982" s="364">
        <f t="shared" si="15"/>
        <v>14926</v>
      </c>
      <c r="H1982" s="391" t="s">
        <v>9568</v>
      </c>
    </row>
    <row r="1983" spans="1:8" x14ac:dyDescent="0.3">
      <c r="A1983" s="45">
        <v>44302</v>
      </c>
      <c r="B1983" s="399"/>
      <c r="C1983" s="5" t="s">
        <v>5162</v>
      </c>
      <c r="D1983" s="5" t="s">
        <v>7334</v>
      </c>
      <c r="E1983" s="43">
        <v>3000</v>
      </c>
      <c r="F1983" s="43"/>
      <c r="G1983" s="364">
        <f t="shared" si="15"/>
        <v>11926</v>
      </c>
      <c r="H1983" s="391" t="s">
        <v>9568</v>
      </c>
    </row>
    <row r="1984" spans="1:8" x14ac:dyDescent="0.3">
      <c r="A1984" s="45">
        <v>44304</v>
      </c>
      <c r="B1984" s="580"/>
      <c r="C1984" s="554" t="s">
        <v>5431</v>
      </c>
      <c r="D1984" s="554"/>
      <c r="E1984" s="554"/>
      <c r="F1984" s="43">
        <v>100000</v>
      </c>
      <c r="G1984" s="364">
        <f>G1983+F1984-E1984</f>
        <v>111926</v>
      </c>
      <c r="H1984" s="391" t="s">
        <v>9568</v>
      </c>
    </row>
    <row r="1985" spans="1:8" x14ac:dyDescent="0.3">
      <c r="A1985" s="45">
        <v>44304</v>
      </c>
      <c r="B1985" s="399"/>
      <c r="C1985" s="5" t="s">
        <v>84</v>
      </c>
      <c r="D1985" s="5" t="s">
        <v>7335</v>
      </c>
      <c r="E1985" s="43">
        <v>10000</v>
      </c>
      <c r="F1985" s="43"/>
      <c r="G1985" s="364">
        <f t="shared" si="15"/>
        <v>101926</v>
      </c>
      <c r="H1985" s="391" t="s">
        <v>9568</v>
      </c>
    </row>
    <row r="1986" spans="1:8" x14ac:dyDescent="0.3">
      <c r="A1986" s="45">
        <v>44305</v>
      </c>
      <c r="B1986" s="399"/>
      <c r="C1986" s="5" t="s">
        <v>1837</v>
      </c>
      <c r="D1986" s="5" t="s">
        <v>7233</v>
      </c>
      <c r="E1986" s="43">
        <v>2000</v>
      </c>
      <c r="F1986" s="43"/>
      <c r="G1986" s="364">
        <f t="shared" si="15"/>
        <v>99926</v>
      </c>
      <c r="H1986" s="391" t="s">
        <v>9568</v>
      </c>
    </row>
    <row r="1987" spans="1:8" x14ac:dyDescent="0.3">
      <c r="A1987" s="45">
        <v>44305</v>
      </c>
      <c r="B1987" s="404"/>
      <c r="C1987" s="41" t="s">
        <v>68</v>
      </c>
      <c r="D1987" s="221" t="s">
        <v>7439</v>
      </c>
      <c r="E1987" s="42">
        <v>17000</v>
      </c>
      <c r="F1987" s="43"/>
      <c r="G1987" s="364">
        <f t="shared" si="15"/>
        <v>82926</v>
      </c>
      <c r="H1987" s="391" t="s">
        <v>9568</v>
      </c>
    </row>
    <row r="1988" spans="1:8" x14ac:dyDescent="0.3">
      <c r="A1988" s="45">
        <v>44305</v>
      </c>
      <c r="B1988" s="399"/>
      <c r="C1988" s="5" t="s">
        <v>1837</v>
      </c>
      <c r="D1988" s="5" t="s">
        <v>7336</v>
      </c>
      <c r="E1988" s="43">
        <v>1000</v>
      </c>
      <c r="F1988" s="43"/>
      <c r="G1988" s="364">
        <f t="shared" si="15"/>
        <v>81926</v>
      </c>
      <c r="H1988" s="391" t="s">
        <v>9568</v>
      </c>
    </row>
    <row r="1989" spans="1:8" x14ac:dyDescent="0.3">
      <c r="A1989" s="45">
        <v>44305</v>
      </c>
      <c r="B1989" s="399"/>
      <c r="C1989" s="5" t="s">
        <v>1837</v>
      </c>
      <c r="D1989" s="5" t="s">
        <v>7337</v>
      </c>
      <c r="E1989" s="43">
        <v>8000</v>
      </c>
      <c r="F1989" s="43"/>
      <c r="G1989" s="364">
        <f t="shared" si="15"/>
        <v>73926</v>
      </c>
      <c r="H1989" s="391" t="s">
        <v>9568</v>
      </c>
    </row>
    <row r="1990" spans="1:8" x14ac:dyDescent="0.3">
      <c r="A1990" s="45">
        <v>44305</v>
      </c>
      <c r="B1990" s="399"/>
      <c r="C1990" s="5" t="s">
        <v>1074</v>
      </c>
      <c r="D1990" s="5" t="s">
        <v>7339</v>
      </c>
      <c r="E1990" s="43">
        <f>1370+2520+2790+4880</f>
        <v>11560</v>
      </c>
      <c r="F1990" s="43"/>
      <c r="G1990" s="364">
        <f t="shared" si="15"/>
        <v>62366</v>
      </c>
      <c r="H1990" s="391" t="s">
        <v>9568</v>
      </c>
    </row>
    <row r="1991" spans="1:8" x14ac:dyDescent="0.3">
      <c r="A1991" s="45">
        <v>44306</v>
      </c>
      <c r="B1991" s="399"/>
      <c r="C1991" s="5" t="s">
        <v>4869</v>
      </c>
      <c r="D1991" s="5" t="s">
        <v>40</v>
      </c>
      <c r="E1991" s="43">
        <v>4370</v>
      </c>
      <c r="F1991" s="43"/>
      <c r="G1991" s="364">
        <f t="shared" si="15"/>
        <v>57996</v>
      </c>
      <c r="H1991" s="391" t="s">
        <v>9568</v>
      </c>
    </row>
    <row r="1992" spans="1:8" x14ac:dyDescent="0.3">
      <c r="A1992" s="45">
        <v>44306</v>
      </c>
      <c r="B1992" s="399"/>
      <c r="C1992" s="5" t="s">
        <v>7340</v>
      </c>
      <c r="D1992" s="5" t="s">
        <v>7341</v>
      </c>
      <c r="E1992" s="43">
        <v>53250</v>
      </c>
      <c r="F1992" s="43"/>
      <c r="G1992" s="364">
        <f t="shared" si="15"/>
        <v>4746</v>
      </c>
      <c r="H1992" s="391" t="s">
        <v>9568</v>
      </c>
    </row>
    <row r="1993" spans="1:8" x14ac:dyDescent="0.3">
      <c r="A1993" s="45">
        <v>44307</v>
      </c>
      <c r="B1993" s="580"/>
      <c r="C1993" s="554" t="s">
        <v>7343</v>
      </c>
      <c r="D1993" s="554"/>
      <c r="E1993" s="554"/>
      <c r="F1993" s="43">
        <v>25000</v>
      </c>
      <c r="G1993" s="364">
        <f t="shared" si="15"/>
        <v>29746</v>
      </c>
      <c r="H1993" s="391" t="s">
        <v>9568</v>
      </c>
    </row>
    <row r="1994" spans="1:8" x14ac:dyDescent="0.3">
      <c r="A1994" s="45">
        <v>44307</v>
      </c>
      <c r="B1994" s="399"/>
      <c r="C1994" s="5" t="s">
        <v>7040</v>
      </c>
      <c r="D1994" s="5" t="s">
        <v>5508</v>
      </c>
      <c r="E1994" s="43">
        <v>5000</v>
      </c>
      <c r="F1994" s="43"/>
      <c r="G1994" s="364">
        <f t="shared" si="15"/>
        <v>24746</v>
      </c>
      <c r="H1994" s="391" t="s">
        <v>9568</v>
      </c>
    </row>
    <row r="1995" spans="1:8" x14ac:dyDescent="0.3">
      <c r="A1995" s="45">
        <v>44307</v>
      </c>
      <c r="B1995" s="399"/>
      <c r="C1995" s="5" t="s">
        <v>7344</v>
      </c>
      <c r="D1995" s="5" t="s">
        <v>7345</v>
      </c>
      <c r="E1995" s="43">
        <v>5000</v>
      </c>
      <c r="F1995" s="43"/>
      <c r="G1995" s="364">
        <f t="shared" si="15"/>
        <v>19746</v>
      </c>
      <c r="H1995" s="391" t="s">
        <v>9568</v>
      </c>
    </row>
    <row r="1996" spans="1:8" x14ac:dyDescent="0.3">
      <c r="A1996" s="45">
        <v>44307</v>
      </c>
      <c r="B1996" s="399"/>
      <c r="C1996" s="5" t="s">
        <v>25</v>
      </c>
      <c r="D1996" s="5" t="s">
        <v>4276</v>
      </c>
      <c r="E1996" s="43">
        <f>1000+1550+300+200+600</f>
        <v>3650</v>
      </c>
      <c r="F1996" s="43"/>
      <c r="G1996" s="364">
        <f t="shared" ref="G1996:G2059" si="16">G1995+F1996-E1996</f>
        <v>16096</v>
      </c>
      <c r="H1996" s="391" t="s">
        <v>9568</v>
      </c>
    </row>
    <row r="1997" spans="1:8" x14ac:dyDescent="0.3">
      <c r="A1997" s="45">
        <v>44307</v>
      </c>
      <c r="B1997" s="580"/>
      <c r="C1997" s="554" t="s">
        <v>7348</v>
      </c>
      <c r="D1997" s="554"/>
      <c r="E1997" s="554"/>
      <c r="F1997" s="43">
        <v>20000</v>
      </c>
      <c r="G1997" s="364">
        <f t="shared" si="16"/>
        <v>36096</v>
      </c>
      <c r="H1997" s="391" t="s">
        <v>9568</v>
      </c>
    </row>
    <row r="1998" spans="1:8" x14ac:dyDescent="0.3">
      <c r="A1998" s="45">
        <v>44307</v>
      </c>
      <c r="B1998" s="399"/>
      <c r="C1998" s="5" t="s">
        <v>18</v>
      </c>
      <c r="D1998" s="5" t="s">
        <v>7346</v>
      </c>
      <c r="E1998" s="43">
        <v>33000</v>
      </c>
      <c r="F1998" s="43"/>
      <c r="G1998" s="364">
        <f t="shared" si="16"/>
        <v>3096</v>
      </c>
      <c r="H1998" s="391" t="s">
        <v>9568</v>
      </c>
    </row>
    <row r="1999" spans="1:8" x14ac:dyDescent="0.3">
      <c r="A1999" s="45">
        <v>44308</v>
      </c>
      <c r="B1999" s="580"/>
      <c r="C1999" s="554" t="s">
        <v>5431</v>
      </c>
      <c r="D1999" s="554"/>
      <c r="E1999" s="554"/>
      <c r="F1999" s="43">
        <v>90000</v>
      </c>
      <c r="G1999" s="364">
        <f t="shared" si="16"/>
        <v>93096</v>
      </c>
      <c r="H1999" s="391" t="s">
        <v>9568</v>
      </c>
    </row>
    <row r="2000" spans="1:8" x14ac:dyDescent="0.3">
      <c r="A2000" s="45">
        <v>44308</v>
      </c>
      <c r="B2000" s="399"/>
      <c r="C2000" s="5" t="s">
        <v>84</v>
      </c>
      <c r="D2000" s="5" t="s">
        <v>7351</v>
      </c>
      <c r="E2000" s="43">
        <v>20000</v>
      </c>
      <c r="F2000" s="43"/>
      <c r="G2000" s="364">
        <f t="shared" si="16"/>
        <v>73096</v>
      </c>
      <c r="H2000" s="391" t="s">
        <v>9568</v>
      </c>
    </row>
    <row r="2001" spans="1:8" x14ac:dyDescent="0.3">
      <c r="A2001" s="45">
        <v>44308</v>
      </c>
      <c r="B2001" s="399"/>
      <c r="C2001" s="5" t="s">
        <v>7349</v>
      </c>
      <c r="D2001" s="5" t="s">
        <v>7350</v>
      </c>
      <c r="E2001" s="43">
        <v>20000</v>
      </c>
      <c r="F2001" s="43"/>
      <c r="G2001" s="364">
        <f t="shared" si="16"/>
        <v>53096</v>
      </c>
      <c r="H2001" s="391" t="s">
        <v>9568</v>
      </c>
    </row>
    <row r="2002" spans="1:8" x14ac:dyDescent="0.3">
      <c r="A2002" s="45">
        <v>44309</v>
      </c>
      <c r="B2002" s="399"/>
      <c r="C2002" s="5" t="s">
        <v>7158</v>
      </c>
      <c r="D2002" s="5" t="s">
        <v>4187</v>
      </c>
      <c r="E2002" s="43">
        <v>600</v>
      </c>
      <c r="F2002" s="43"/>
      <c r="G2002" s="364">
        <f t="shared" si="16"/>
        <v>52496</v>
      </c>
      <c r="H2002" s="391" t="s">
        <v>9568</v>
      </c>
    </row>
    <row r="2003" spans="1:8" x14ac:dyDescent="0.3">
      <c r="A2003" s="45">
        <v>44309</v>
      </c>
      <c r="B2003" s="399"/>
      <c r="C2003" s="5" t="s">
        <v>7158</v>
      </c>
      <c r="D2003" s="5" t="s">
        <v>7352</v>
      </c>
      <c r="E2003" s="43">
        <v>1000</v>
      </c>
      <c r="F2003" s="43"/>
      <c r="G2003" s="364">
        <f t="shared" si="16"/>
        <v>51496</v>
      </c>
      <c r="H2003" s="391" t="s">
        <v>9568</v>
      </c>
    </row>
    <row r="2004" spans="1:8" x14ac:dyDescent="0.3">
      <c r="A2004" s="45">
        <v>44309</v>
      </c>
      <c r="B2004" s="399"/>
      <c r="C2004" s="5" t="s">
        <v>57</v>
      </c>
      <c r="D2004" s="5" t="s">
        <v>7376</v>
      </c>
      <c r="E2004" s="43">
        <v>1000</v>
      </c>
      <c r="F2004" s="43"/>
      <c r="G2004" s="364">
        <f t="shared" si="16"/>
        <v>50496</v>
      </c>
      <c r="H2004" s="391" t="s">
        <v>9568</v>
      </c>
    </row>
    <row r="2005" spans="1:8" x14ac:dyDescent="0.3">
      <c r="A2005" s="45">
        <v>44310</v>
      </c>
      <c r="B2005" s="399"/>
      <c r="C2005" s="5" t="s">
        <v>1837</v>
      </c>
      <c r="D2005" s="5" t="s">
        <v>7356</v>
      </c>
      <c r="E2005" s="43">
        <v>1000</v>
      </c>
      <c r="F2005" s="43"/>
      <c r="G2005" s="364">
        <f t="shared" si="16"/>
        <v>49496</v>
      </c>
      <c r="H2005" s="391" t="s">
        <v>9568</v>
      </c>
    </row>
    <row r="2006" spans="1:8" x14ac:dyDescent="0.3">
      <c r="A2006" s="45">
        <v>44310</v>
      </c>
      <c r="B2006" s="399"/>
      <c r="C2006" s="5" t="s">
        <v>18</v>
      </c>
      <c r="D2006" s="5" t="s">
        <v>7357</v>
      </c>
      <c r="E2006" s="43">
        <v>33000</v>
      </c>
      <c r="F2006" s="43"/>
      <c r="G2006" s="364">
        <f t="shared" si="16"/>
        <v>16496</v>
      </c>
      <c r="H2006" s="391" t="s">
        <v>9568</v>
      </c>
    </row>
    <row r="2007" spans="1:8" x14ac:dyDescent="0.3">
      <c r="A2007" s="45">
        <v>44310</v>
      </c>
      <c r="B2007" s="399"/>
      <c r="C2007" s="5" t="s">
        <v>1616</v>
      </c>
      <c r="D2007" s="5" t="s">
        <v>640</v>
      </c>
      <c r="E2007" s="43">
        <v>1500</v>
      </c>
      <c r="F2007" s="43"/>
      <c r="G2007" s="364">
        <f t="shared" si="16"/>
        <v>14996</v>
      </c>
      <c r="H2007" s="391" t="s">
        <v>9568</v>
      </c>
    </row>
    <row r="2008" spans="1:8" x14ac:dyDescent="0.3">
      <c r="A2008" s="45">
        <v>44310</v>
      </c>
      <c r="B2008" s="399"/>
      <c r="C2008" s="5" t="s">
        <v>6430</v>
      </c>
      <c r="D2008" s="5" t="s">
        <v>3557</v>
      </c>
      <c r="E2008" s="43">
        <v>3000</v>
      </c>
      <c r="F2008" s="43"/>
      <c r="G2008" s="364">
        <f t="shared" si="16"/>
        <v>11996</v>
      </c>
      <c r="H2008" s="391" t="s">
        <v>9568</v>
      </c>
    </row>
    <row r="2009" spans="1:8" x14ac:dyDescent="0.3">
      <c r="A2009" s="45">
        <v>44310</v>
      </c>
      <c r="B2009" s="399"/>
      <c r="C2009" s="5" t="s">
        <v>84</v>
      </c>
      <c r="D2009" s="5" t="s">
        <v>7361</v>
      </c>
      <c r="E2009" s="43">
        <v>5000</v>
      </c>
      <c r="F2009" s="43"/>
      <c r="G2009" s="364">
        <f t="shared" si="16"/>
        <v>6996</v>
      </c>
      <c r="H2009" s="391" t="s">
        <v>9568</v>
      </c>
    </row>
    <row r="2010" spans="1:8" x14ac:dyDescent="0.3">
      <c r="A2010" s="45">
        <v>44310</v>
      </c>
      <c r="B2010" s="580"/>
      <c r="C2010" s="554" t="s">
        <v>5431</v>
      </c>
      <c r="D2010" s="554"/>
      <c r="E2010" s="554"/>
      <c r="F2010" s="43">
        <v>100000</v>
      </c>
      <c r="G2010" s="364">
        <f>G2009+F2010-E2010</f>
        <v>106996</v>
      </c>
      <c r="H2010" s="391" t="s">
        <v>9568</v>
      </c>
    </row>
    <row r="2011" spans="1:8" x14ac:dyDescent="0.3">
      <c r="A2011" s="45">
        <v>44310</v>
      </c>
      <c r="B2011" s="399"/>
      <c r="C2011" s="5" t="s">
        <v>0</v>
      </c>
      <c r="D2011" s="5" t="s">
        <v>294</v>
      </c>
      <c r="E2011" s="43">
        <v>30000</v>
      </c>
      <c r="F2011" s="43"/>
      <c r="G2011" s="364">
        <f t="shared" si="16"/>
        <v>76996</v>
      </c>
      <c r="H2011" s="391" t="s">
        <v>9568</v>
      </c>
    </row>
    <row r="2012" spans="1:8" x14ac:dyDescent="0.3">
      <c r="A2012" s="45">
        <v>44310</v>
      </c>
      <c r="B2012" s="399"/>
      <c r="C2012" s="5" t="s">
        <v>84</v>
      </c>
      <c r="D2012" s="5" t="s">
        <v>7362</v>
      </c>
      <c r="E2012" s="43">
        <v>5000</v>
      </c>
      <c r="F2012" s="43"/>
      <c r="G2012" s="364">
        <f t="shared" si="16"/>
        <v>71996</v>
      </c>
      <c r="H2012" s="391" t="s">
        <v>9568</v>
      </c>
    </row>
    <row r="2013" spans="1:8" x14ac:dyDescent="0.3">
      <c r="A2013" s="45">
        <v>44310</v>
      </c>
      <c r="B2013" s="399"/>
      <c r="C2013" s="5" t="s">
        <v>1837</v>
      </c>
      <c r="D2013" s="5" t="s">
        <v>7363</v>
      </c>
      <c r="E2013" s="43">
        <v>400</v>
      </c>
      <c r="F2013" s="43"/>
      <c r="G2013" s="364">
        <f t="shared" si="16"/>
        <v>71596</v>
      </c>
      <c r="H2013" s="391" t="s">
        <v>9568</v>
      </c>
    </row>
    <row r="2014" spans="1:8" x14ac:dyDescent="0.3">
      <c r="A2014" s="45">
        <v>44312</v>
      </c>
      <c r="B2014" s="399"/>
      <c r="C2014" s="5" t="s">
        <v>84</v>
      </c>
      <c r="D2014" s="5" t="s">
        <v>7365</v>
      </c>
      <c r="E2014" s="43">
        <v>5000</v>
      </c>
      <c r="F2014" s="43"/>
      <c r="G2014" s="364">
        <f>G2013+F2014-E2014</f>
        <v>66596</v>
      </c>
      <c r="H2014" s="391" t="s">
        <v>9568</v>
      </c>
    </row>
    <row r="2015" spans="1:8" x14ac:dyDescent="0.3">
      <c r="A2015" s="45">
        <v>44312</v>
      </c>
      <c r="B2015" s="399"/>
      <c r="C2015" s="5" t="s">
        <v>4550</v>
      </c>
      <c r="D2015" s="5" t="s">
        <v>294</v>
      </c>
      <c r="E2015" s="43">
        <v>22000</v>
      </c>
      <c r="F2015" s="43"/>
      <c r="G2015" s="364">
        <f t="shared" si="16"/>
        <v>44596</v>
      </c>
      <c r="H2015" s="391" t="s">
        <v>9568</v>
      </c>
    </row>
    <row r="2016" spans="1:8" x14ac:dyDescent="0.3">
      <c r="A2016" s="45">
        <v>44312</v>
      </c>
      <c r="B2016" s="580"/>
      <c r="C2016" s="554" t="s">
        <v>5431</v>
      </c>
      <c r="D2016" s="554"/>
      <c r="E2016" s="554"/>
      <c r="F2016" s="43">
        <v>50000</v>
      </c>
      <c r="G2016" s="364">
        <f t="shared" si="16"/>
        <v>94596</v>
      </c>
      <c r="H2016" s="391" t="s">
        <v>9568</v>
      </c>
    </row>
    <row r="2017" spans="1:8" x14ac:dyDescent="0.3">
      <c r="A2017" s="45">
        <v>44312</v>
      </c>
      <c r="B2017" s="404"/>
      <c r="C2017" s="41" t="s">
        <v>18</v>
      </c>
      <c r="D2017" s="41" t="s">
        <v>7375</v>
      </c>
      <c r="E2017" s="42">
        <v>53600</v>
      </c>
      <c r="F2017" s="43"/>
      <c r="G2017" s="364">
        <f t="shared" si="16"/>
        <v>40996</v>
      </c>
      <c r="H2017" s="391" t="s">
        <v>9568</v>
      </c>
    </row>
    <row r="2018" spans="1:8" x14ac:dyDescent="0.3">
      <c r="A2018" s="45">
        <v>44312</v>
      </c>
      <c r="B2018" s="399"/>
      <c r="C2018" s="5" t="s">
        <v>7366</v>
      </c>
      <c r="D2018" s="5" t="s">
        <v>7367</v>
      </c>
      <c r="E2018" s="43">
        <v>20000</v>
      </c>
      <c r="F2018" s="43"/>
      <c r="G2018" s="364">
        <f t="shared" si="16"/>
        <v>20996</v>
      </c>
      <c r="H2018" s="391" t="s">
        <v>9568</v>
      </c>
    </row>
    <row r="2019" spans="1:8" x14ac:dyDescent="0.3">
      <c r="A2019" s="45">
        <v>44312</v>
      </c>
      <c r="B2019" s="399"/>
      <c r="C2019" s="5" t="s">
        <v>7366</v>
      </c>
      <c r="D2019" s="5" t="s">
        <v>7368</v>
      </c>
      <c r="E2019" s="43">
        <v>20000</v>
      </c>
      <c r="F2019" s="43"/>
      <c r="G2019" s="364">
        <f t="shared" si="16"/>
        <v>996</v>
      </c>
      <c r="H2019" s="391" t="s">
        <v>9568</v>
      </c>
    </row>
    <row r="2020" spans="1:8" x14ac:dyDescent="0.3">
      <c r="A2020" s="45">
        <v>44312</v>
      </c>
      <c r="B2020" s="580"/>
      <c r="C2020" s="554" t="s">
        <v>5431</v>
      </c>
      <c r="D2020" s="554"/>
      <c r="E2020" s="554"/>
      <c r="F2020" s="43">
        <v>50000</v>
      </c>
      <c r="G2020" s="364">
        <f>G2019+F2020-E2020</f>
        <v>50996</v>
      </c>
      <c r="H2020" s="391" t="s">
        <v>9568</v>
      </c>
    </row>
    <row r="2021" spans="1:8" x14ac:dyDescent="0.3">
      <c r="A2021" s="45">
        <v>44312</v>
      </c>
      <c r="B2021" s="399"/>
      <c r="C2021" s="5" t="s">
        <v>7369</v>
      </c>
      <c r="D2021" s="5" t="s">
        <v>7370</v>
      </c>
      <c r="E2021" s="43">
        <v>44000</v>
      </c>
      <c r="F2021" s="43"/>
      <c r="G2021" s="364">
        <f>G2020+F2021-E2021</f>
        <v>6996</v>
      </c>
      <c r="H2021" s="391" t="s">
        <v>9568</v>
      </c>
    </row>
    <row r="2022" spans="1:8" x14ac:dyDescent="0.3">
      <c r="A2022" s="45">
        <v>44312</v>
      </c>
      <c r="B2022" s="399"/>
      <c r="C2022" s="5" t="s">
        <v>6908</v>
      </c>
      <c r="D2022" s="5" t="s">
        <v>7371</v>
      </c>
      <c r="E2022" s="43">
        <v>5000</v>
      </c>
      <c r="F2022" s="43"/>
      <c r="G2022" s="364">
        <f>G2021+F2022-E2022</f>
        <v>1996</v>
      </c>
      <c r="H2022" s="391" t="s">
        <v>9568</v>
      </c>
    </row>
    <row r="2023" spans="1:8" x14ac:dyDescent="0.3">
      <c r="A2023" s="45">
        <v>44313</v>
      </c>
      <c r="B2023" s="399"/>
      <c r="C2023" s="5" t="s">
        <v>56</v>
      </c>
      <c r="D2023" s="5" t="s">
        <v>2013</v>
      </c>
      <c r="E2023" s="43">
        <v>220</v>
      </c>
      <c r="F2023" s="43"/>
      <c r="G2023" s="364">
        <f t="shared" si="16"/>
        <v>1776</v>
      </c>
      <c r="H2023" s="391" t="s">
        <v>9568</v>
      </c>
    </row>
    <row r="2024" spans="1:8" x14ac:dyDescent="0.3">
      <c r="A2024" s="45">
        <v>44314</v>
      </c>
      <c r="B2024" s="580"/>
      <c r="C2024" s="554" t="s">
        <v>7374</v>
      </c>
      <c r="D2024" s="554"/>
      <c r="E2024" s="554"/>
      <c r="F2024" s="43">
        <v>201000</v>
      </c>
      <c r="G2024" s="364">
        <f t="shared" si="16"/>
        <v>202776</v>
      </c>
      <c r="H2024" s="391" t="s">
        <v>9568</v>
      </c>
    </row>
    <row r="2025" spans="1:8" x14ac:dyDescent="0.3">
      <c r="A2025" s="45">
        <v>44314</v>
      </c>
      <c r="B2025" s="399"/>
      <c r="C2025" s="5" t="s">
        <v>7040</v>
      </c>
      <c r="D2025" s="5" t="s">
        <v>294</v>
      </c>
      <c r="E2025" s="43">
        <v>8000</v>
      </c>
      <c r="F2025" s="43"/>
      <c r="G2025" s="364">
        <f t="shared" si="16"/>
        <v>194776</v>
      </c>
      <c r="H2025" s="391" t="s">
        <v>9568</v>
      </c>
    </row>
    <row r="2026" spans="1:8" x14ac:dyDescent="0.3">
      <c r="A2026" s="45">
        <v>44314</v>
      </c>
      <c r="B2026" s="399"/>
      <c r="C2026" s="5" t="s">
        <v>18</v>
      </c>
      <c r="D2026" s="41" t="s">
        <v>7375</v>
      </c>
      <c r="E2026" s="43">
        <v>39000</v>
      </c>
      <c r="F2026" s="43"/>
      <c r="G2026" s="364">
        <f t="shared" si="16"/>
        <v>155776</v>
      </c>
      <c r="H2026" s="391" t="s">
        <v>9568</v>
      </c>
    </row>
    <row r="2027" spans="1:8" x14ac:dyDescent="0.3">
      <c r="A2027" s="45">
        <v>44314</v>
      </c>
      <c r="B2027" s="399"/>
      <c r="C2027" s="5" t="s">
        <v>5156</v>
      </c>
      <c r="D2027" s="5" t="s">
        <v>6926</v>
      </c>
      <c r="E2027" s="43">
        <v>720</v>
      </c>
      <c r="F2027" s="43"/>
      <c r="G2027" s="364">
        <f t="shared" si="16"/>
        <v>155056</v>
      </c>
      <c r="H2027" s="391" t="s">
        <v>9568</v>
      </c>
    </row>
    <row r="2028" spans="1:8" x14ac:dyDescent="0.3">
      <c r="A2028" s="45">
        <v>44314</v>
      </c>
      <c r="B2028" s="399"/>
      <c r="C2028" s="5" t="s">
        <v>57</v>
      </c>
      <c r="D2028" s="5" t="s">
        <v>7355</v>
      </c>
      <c r="E2028" s="43">
        <v>2000</v>
      </c>
      <c r="F2028" s="43"/>
      <c r="G2028" s="364">
        <f t="shared" si="16"/>
        <v>153056</v>
      </c>
      <c r="H2028" s="391" t="s">
        <v>9568</v>
      </c>
    </row>
    <row r="2029" spans="1:8" x14ac:dyDescent="0.3">
      <c r="A2029" s="45">
        <v>44315</v>
      </c>
      <c r="B2029" s="399"/>
      <c r="C2029" s="5" t="s">
        <v>7099</v>
      </c>
      <c r="D2029" s="5" t="s">
        <v>7377</v>
      </c>
      <c r="E2029" s="43">
        <v>5000</v>
      </c>
      <c r="F2029" s="43"/>
      <c r="G2029" s="364">
        <f t="shared" si="16"/>
        <v>148056</v>
      </c>
      <c r="H2029" s="391" t="s">
        <v>9568</v>
      </c>
    </row>
    <row r="2030" spans="1:8" x14ac:dyDescent="0.3">
      <c r="A2030" s="45">
        <v>44315</v>
      </c>
      <c r="B2030" s="399"/>
      <c r="C2030" s="5" t="s">
        <v>7315</v>
      </c>
      <c r="D2030" s="5" t="s">
        <v>7378</v>
      </c>
      <c r="E2030" s="43">
        <v>6500</v>
      </c>
      <c r="F2030" s="43"/>
      <c r="G2030" s="364">
        <f t="shared" si="16"/>
        <v>141556</v>
      </c>
      <c r="H2030" s="391" t="s">
        <v>9568</v>
      </c>
    </row>
    <row r="2031" spans="1:8" x14ac:dyDescent="0.3">
      <c r="A2031" s="45">
        <v>44315</v>
      </c>
      <c r="B2031" s="399"/>
      <c r="C2031" s="5" t="s">
        <v>5709</v>
      </c>
      <c r="D2031" s="5" t="s">
        <v>294</v>
      </c>
      <c r="E2031" s="43">
        <v>5000</v>
      </c>
      <c r="F2031" s="43"/>
      <c r="G2031" s="364">
        <f t="shared" si="16"/>
        <v>136556</v>
      </c>
      <c r="H2031" s="391" t="s">
        <v>9568</v>
      </c>
    </row>
    <row r="2032" spans="1:8" x14ac:dyDescent="0.3">
      <c r="A2032" s="45">
        <v>44316</v>
      </c>
      <c r="B2032" s="399"/>
      <c r="C2032" s="5" t="s">
        <v>47</v>
      </c>
      <c r="D2032" s="5" t="s">
        <v>7380</v>
      </c>
      <c r="E2032" s="43">
        <v>1500</v>
      </c>
      <c r="F2032" s="43"/>
      <c r="G2032" s="364">
        <f t="shared" si="16"/>
        <v>135056</v>
      </c>
      <c r="H2032" s="391" t="s">
        <v>9568</v>
      </c>
    </row>
    <row r="2033" spans="1:14" x14ac:dyDescent="0.3">
      <c r="A2033" s="45">
        <v>44316</v>
      </c>
      <c r="B2033" s="399"/>
      <c r="C2033" s="5" t="s">
        <v>541</v>
      </c>
      <c r="D2033" s="5" t="s">
        <v>5377</v>
      </c>
      <c r="E2033" s="43">
        <v>600</v>
      </c>
      <c r="F2033" s="43"/>
      <c r="G2033" s="364">
        <f t="shared" si="16"/>
        <v>134456</v>
      </c>
      <c r="H2033" s="391" t="s">
        <v>9568</v>
      </c>
    </row>
    <row r="2034" spans="1:14" x14ac:dyDescent="0.3">
      <c r="A2034" s="45">
        <v>44319</v>
      </c>
      <c r="B2034" s="399"/>
      <c r="C2034" s="5" t="s">
        <v>14</v>
      </c>
      <c r="D2034" s="5" t="s">
        <v>7381</v>
      </c>
      <c r="E2034" s="43">
        <v>1000</v>
      </c>
      <c r="F2034" s="43"/>
      <c r="G2034" s="364">
        <f t="shared" si="16"/>
        <v>133456</v>
      </c>
      <c r="H2034" s="391" t="s">
        <v>9568</v>
      </c>
    </row>
    <row r="2035" spans="1:14" x14ac:dyDescent="0.3">
      <c r="A2035" s="45">
        <v>44319</v>
      </c>
      <c r="B2035" s="399"/>
      <c r="C2035" s="5" t="s">
        <v>57</v>
      </c>
      <c r="D2035" s="5" t="s">
        <v>7382</v>
      </c>
      <c r="E2035" s="43">
        <v>1000</v>
      </c>
      <c r="F2035" s="43"/>
      <c r="G2035" s="364">
        <f t="shared" si="16"/>
        <v>132456</v>
      </c>
      <c r="H2035" s="391" t="s">
        <v>9568</v>
      </c>
    </row>
    <row r="2036" spans="1:14" ht="37.5" x14ac:dyDescent="0.3">
      <c r="A2036" s="45">
        <v>44319</v>
      </c>
      <c r="B2036" s="322"/>
      <c r="C2036" s="44" t="s">
        <v>4550</v>
      </c>
      <c r="D2036" s="124" t="s">
        <v>7383</v>
      </c>
      <c r="E2036" s="28">
        <v>40000</v>
      </c>
      <c r="F2036" s="28"/>
      <c r="G2036" s="364">
        <f t="shared" si="16"/>
        <v>92456</v>
      </c>
      <c r="H2036" s="391" t="s">
        <v>9568</v>
      </c>
    </row>
    <row r="2037" spans="1:14" x14ac:dyDescent="0.3">
      <c r="A2037" s="45">
        <v>44319</v>
      </c>
      <c r="B2037" s="399"/>
      <c r="C2037" s="5" t="s">
        <v>4869</v>
      </c>
      <c r="D2037" s="5" t="s">
        <v>40</v>
      </c>
      <c r="E2037" s="43">
        <v>4162</v>
      </c>
      <c r="F2037" s="43"/>
      <c r="G2037" s="364">
        <f t="shared" si="16"/>
        <v>88294</v>
      </c>
      <c r="H2037" s="391" t="s">
        <v>9568</v>
      </c>
    </row>
    <row r="2038" spans="1:14" x14ac:dyDescent="0.3">
      <c r="A2038" s="45">
        <v>44319</v>
      </c>
      <c r="B2038" s="399"/>
      <c r="C2038" s="5" t="s">
        <v>1074</v>
      </c>
      <c r="D2038" s="5" t="s">
        <v>4946</v>
      </c>
      <c r="E2038" s="43">
        <v>526</v>
      </c>
      <c r="F2038" s="43"/>
      <c r="G2038" s="364">
        <f t="shared" si="16"/>
        <v>87768</v>
      </c>
      <c r="H2038" s="391" t="s">
        <v>9568</v>
      </c>
    </row>
    <row r="2039" spans="1:14" x14ac:dyDescent="0.3">
      <c r="A2039" s="45">
        <v>44319</v>
      </c>
      <c r="B2039" s="399"/>
      <c r="C2039" s="5" t="s">
        <v>0</v>
      </c>
      <c r="D2039" s="5" t="s">
        <v>4350</v>
      </c>
      <c r="E2039" s="43">
        <v>15000</v>
      </c>
      <c r="F2039" s="43"/>
      <c r="G2039" s="364">
        <f t="shared" si="16"/>
        <v>72768</v>
      </c>
      <c r="H2039" s="391" t="s">
        <v>9568</v>
      </c>
    </row>
    <row r="2040" spans="1:14" x14ac:dyDescent="0.3">
      <c r="A2040" s="45">
        <v>44319</v>
      </c>
      <c r="B2040" s="399"/>
      <c r="C2040" s="5" t="s">
        <v>7156</v>
      </c>
      <c r="D2040" s="5" t="s">
        <v>7384</v>
      </c>
      <c r="E2040" s="43">
        <v>30000</v>
      </c>
      <c r="F2040" s="43"/>
      <c r="G2040" s="364">
        <f t="shared" si="16"/>
        <v>42768</v>
      </c>
      <c r="H2040" s="391" t="s">
        <v>9568</v>
      </c>
    </row>
    <row r="2041" spans="1:14" x14ac:dyDescent="0.3">
      <c r="A2041" s="45">
        <v>44319</v>
      </c>
      <c r="B2041" s="399"/>
      <c r="C2041" s="5" t="s">
        <v>14</v>
      </c>
      <c r="D2041" s="5" t="s">
        <v>7385</v>
      </c>
      <c r="E2041" s="43">
        <v>6503</v>
      </c>
      <c r="F2041" s="43"/>
      <c r="G2041" s="364">
        <f t="shared" si="16"/>
        <v>36265</v>
      </c>
      <c r="H2041" s="391" t="s">
        <v>9568</v>
      </c>
    </row>
    <row r="2042" spans="1:14" x14ac:dyDescent="0.3">
      <c r="A2042" s="45">
        <v>44319</v>
      </c>
      <c r="B2042" s="399"/>
      <c r="C2042" s="5" t="s">
        <v>1512</v>
      </c>
      <c r="D2042" s="5" t="s">
        <v>7387</v>
      </c>
      <c r="E2042" s="43">
        <v>2000</v>
      </c>
      <c r="F2042" s="43"/>
      <c r="G2042" s="364">
        <f t="shared" si="16"/>
        <v>34265</v>
      </c>
      <c r="H2042" s="391" t="s">
        <v>9568</v>
      </c>
    </row>
    <row r="2043" spans="1:14" x14ac:dyDescent="0.3">
      <c r="A2043" s="184">
        <v>44320</v>
      </c>
      <c r="B2043" s="407"/>
      <c r="C2043" s="66" t="s">
        <v>7158</v>
      </c>
      <c r="D2043" s="66" t="s">
        <v>4187</v>
      </c>
      <c r="E2043" s="67">
        <v>500</v>
      </c>
      <c r="F2043" s="67"/>
      <c r="G2043" s="366">
        <f t="shared" si="16"/>
        <v>33765</v>
      </c>
      <c r="H2043" s="391" t="s">
        <v>9568</v>
      </c>
    </row>
    <row r="2044" spans="1:14" x14ac:dyDescent="0.3">
      <c r="A2044" s="45">
        <v>44320</v>
      </c>
      <c r="B2044" s="399"/>
      <c r="C2044" s="5" t="s">
        <v>1837</v>
      </c>
      <c r="D2044" s="5" t="s">
        <v>7388</v>
      </c>
      <c r="E2044" s="43">
        <v>500</v>
      </c>
      <c r="F2044" s="43"/>
      <c r="G2044" s="364">
        <f t="shared" si="16"/>
        <v>33265</v>
      </c>
      <c r="H2044" s="391" t="s">
        <v>9568</v>
      </c>
    </row>
    <row r="2045" spans="1:14" x14ac:dyDescent="0.3">
      <c r="A2045" s="45">
        <v>44320</v>
      </c>
      <c r="B2045" s="399"/>
      <c r="C2045" s="5" t="s">
        <v>1837</v>
      </c>
      <c r="D2045" s="5" t="s">
        <v>1624</v>
      </c>
      <c r="E2045" s="43">
        <v>100</v>
      </c>
      <c r="F2045" s="43"/>
      <c r="G2045" s="364">
        <f t="shared" si="16"/>
        <v>33165</v>
      </c>
      <c r="H2045" s="391" t="s">
        <v>9568</v>
      </c>
    </row>
    <row r="2046" spans="1:14" x14ac:dyDescent="0.3">
      <c r="A2046" s="45">
        <v>44320</v>
      </c>
      <c r="B2046" s="399"/>
      <c r="C2046" s="5" t="s">
        <v>18</v>
      </c>
      <c r="D2046" s="5" t="s">
        <v>7389</v>
      </c>
      <c r="E2046" s="43">
        <v>2000</v>
      </c>
      <c r="F2046" s="43"/>
      <c r="G2046" s="364">
        <f t="shared" si="16"/>
        <v>31165</v>
      </c>
      <c r="H2046" s="391" t="s">
        <v>9568</v>
      </c>
    </row>
    <row r="2047" spans="1:14" x14ac:dyDescent="0.3">
      <c r="A2047" s="45">
        <v>44321</v>
      </c>
      <c r="B2047" s="399"/>
      <c r="C2047" s="5" t="s">
        <v>6430</v>
      </c>
      <c r="D2047" s="5" t="s">
        <v>5476</v>
      </c>
      <c r="E2047" s="43">
        <v>2000</v>
      </c>
      <c r="F2047" s="43"/>
      <c r="G2047" s="364">
        <f t="shared" si="16"/>
        <v>29165</v>
      </c>
      <c r="H2047" s="391" t="s">
        <v>9568</v>
      </c>
    </row>
    <row r="2048" spans="1:14" x14ac:dyDescent="0.3">
      <c r="A2048" s="45">
        <v>44321</v>
      </c>
      <c r="B2048" s="399"/>
      <c r="C2048" s="5" t="s">
        <v>25</v>
      </c>
      <c r="D2048" s="5" t="s">
        <v>7405</v>
      </c>
      <c r="E2048" s="43">
        <v>1000</v>
      </c>
      <c r="F2048" s="43"/>
      <c r="G2048" s="364">
        <f t="shared" si="16"/>
        <v>28165</v>
      </c>
      <c r="H2048" s="391" t="s">
        <v>9568</v>
      </c>
      <c r="I2048" s="368"/>
      <c r="J2048" s="43"/>
      <c r="K2048" s="43"/>
      <c r="L2048" s="43"/>
      <c r="M2048" s="43"/>
      <c r="N2048" s="48"/>
    </row>
    <row r="2049" spans="1:8" x14ac:dyDescent="0.3">
      <c r="A2049" s="45">
        <v>44321</v>
      </c>
      <c r="B2049" s="399"/>
      <c r="C2049" s="5" t="s">
        <v>4125</v>
      </c>
      <c r="D2049" s="5" t="s">
        <v>40</v>
      </c>
      <c r="E2049" s="43">
        <v>25000</v>
      </c>
      <c r="F2049" s="43"/>
      <c r="G2049" s="364">
        <f t="shared" si="16"/>
        <v>3165</v>
      </c>
      <c r="H2049" s="391" t="s">
        <v>9568</v>
      </c>
    </row>
    <row r="2050" spans="1:8" x14ac:dyDescent="0.3">
      <c r="A2050" s="45">
        <v>44321</v>
      </c>
      <c r="B2050" s="580"/>
      <c r="C2050" s="554" t="s">
        <v>4329</v>
      </c>
      <c r="D2050" s="554"/>
      <c r="E2050" s="554"/>
      <c r="F2050" s="43">
        <v>500000</v>
      </c>
      <c r="G2050" s="364">
        <f>G2049+F2050-E2050</f>
        <v>503165</v>
      </c>
      <c r="H2050" s="391" t="s">
        <v>9568</v>
      </c>
    </row>
    <row r="2051" spans="1:8" x14ac:dyDescent="0.3">
      <c r="A2051" s="45">
        <v>44321</v>
      </c>
      <c r="B2051" s="580"/>
      <c r="C2051" s="554" t="s">
        <v>861</v>
      </c>
      <c r="D2051" s="554"/>
      <c r="E2051" s="554"/>
      <c r="F2051" s="43">
        <v>500000</v>
      </c>
      <c r="G2051" s="364">
        <f>G2050+F2051-E2051</f>
        <v>1003165</v>
      </c>
      <c r="H2051" s="391" t="s">
        <v>9568</v>
      </c>
    </row>
    <row r="2052" spans="1:8" x14ac:dyDescent="0.3">
      <c r="A2052" s="45">
        <v>44321</v>
      </c>
      <c r="B2052" s="402"/>
      <c r="C2052" s="39" t="s">
        <v>1512</v>
      </c>
      <c r="D2052" s="39" t="s">
        <v>6842</v>
      </c>
      <c r="E2052" s="43">
        <v>119000</v>
      </c>
      <c r="F2052" s="43"/>
      <c r="G2052" s="364">
        <f>G2051+F2052-E2052</f>
        <v>884165</v>
      </c>
      <c r="H2052" s="391" t="s">
        <v>9568</v>
      </c>
    </row>
    <row r="2053" spans="1:8" x14ac:dyDescent="0.3">
      <c r="A2053" s="45">
        <v>44321</v>
      </c>
      <c r="B2053" s="402"/>
      <c r="C2053" s="39" t="s">
        <v>1512</v>
      </c>
      <c r="D2053" s="39" t="s">
        <v>7116</v>
      </c>
      <c r="E2053" s="43">
        <v>211115</v>
      </c>
      <c r="F2053" s="43"/>
      <c r="G2053" s="364">
        <f t="shared" si="16"/>
        <v>673050</v>
      </c>
      <c r="H2053" s="391" t="s">
        <v>9568</v>
      </c>
    </row>
    <row r="2054" spans="1:8" x14ac:dyDescent="0.3">
      <c r="A2054" s="45">
        <v>44321</v>
      </c>
      <c r="B2054" s="402"/>
      <c r="C2054" s="39" t="s">
        <v>1512</v>
      </c>
      <c r="D2054" s="39" t="s">
        <v>6546</v>
      </c>
      <c r="E2054" s="43">
        <v>116254</v>
      </c>
      <c r="F2054" s="43"/>
      <c r="G2054" s="364">
        <f t="shared" si="16"/>
        <v>556796</v>
      </c>
      <c r="H2054" s="391" t="s">
        <v>9568</v>
      </c>
    </row>
    <row r="2055" spans="1:8" x14ac:dyDescent="0.3">
      <c r="A2055" s="45">
        <v>44321</v>
      </c>
      <c r="B2055" s="402"/>
      <c r="C2055" s="39" t="s">
        <v>1512</v>
      </c>
      <c r="D2055" s="39" t="s">
        <v>6387</v>
      </c>
      <c r="E2055" s="43">
        <v>92458</v>
      </c>
      <c r="F2055" s="43"/>
      <c r="G2055" s="364">
        <f t="shared" si="16"/>
        <v>464338</v>
      </c>
      <c r="H2055" s="391" t="s">
        <v>9568</v>
      </c>
    </row>
    <row r="2056" spans="1:8" x14ac:dyDescent="0.3">
      <c r="A2056" s="45">
        <v>44321</v>
      </c>
      <c r="B2056" s="402"/>
      <c r="C2056" s="39" t="s">
        <v>1512</v>
      </c>
      <c r="D2056" s="39" t="s">
        <v>6556</v>
      </c>
      <c r="E2056" s="43">
        <v>81067</v>
      </c>
      <c r="F2056" s="43"/>
      <c r="G2056" s="364">
        <f t="shared" si="16"/>
        <v>383271</v>
      </c>
      <c r="H2056" s="391" t="s">
        <v>9568</v>
      </c>
    </row>
    <row r="2057" spans="1:8" x14ac:dyDescent="0.3">
      <c r="A2057" s="45">
        <v>44321</v>
      </c>
      <c r="B2057" s="402"/>
      <c r="C2057" s="39" t="s">
        <v>1512</v>
      </c>
      <c r="D2057" s="39" t="s">
        <v>7406</v>
      </c>
      <c r="E2057" s="43">
        <v>82483</v>
      </c>
      <c r="F2057" s="43"/>
      <c r="G2057" s="364">
        <f t="shared" si="16"/>
        <v>300788</v>
      </c>
      <c r="H2057" s="391" t="s">
        <v>9568</v>
      </c>
    </row>
    <row r="2058" spans="1:8" x14ac:dyDescent="0.3">
      <c r="A2058" s="45">
        <v>44321</v>
      </c>
      <c r="B2058" s="402"/>
      <c r="C2058" s="39" t="s">
        <v>1512</v>
      </c>
      <c r="D2058" s="39" t="s">
        <v>691</v>
      </c>
      <c r="E2058" s="43">
        <v>47021</v>
      </c>
      <c r="F2058" s="43"/>
      <c r="G2058" s="364">
        <f t="shared" si="16"/>
        <v>253767</v>
      </c>
      <c r="H2058" s="391" t="s">
        <v>9568</v>
      </c>
    </row>
    <row r="2059" spans="1:8" x14ac:dyDescent="0.3">
      <c r="A2059" s="45">
        <v>44321</v>
      </c>
      <c r="B2059" s="402"/>
      <c r="C2059" s="39" t="s">
        <v>1512</v>
      </c>
      <c r="D2059" s="39" t="s">
        <v>6877</v>
      </c>
      <c r="E2059" s="43">
        <v>127450</v>
      </c>
      <c r="F2059" s="43"/>
      <c r="G2059" s="364">
        <f t="shared" si="16"/>
        <v>126317</v>
      </c>
      <c r="H2059" s="391" t="s">
        <v>9568</v>
      </c>
    </row>
    <row r="2060" spans="1:8" x14ac:dyDescent="0.3">
      <c r="A2060" s="45">
        <v>44321</v>
      </c>
      <c r="B2060" s="402"/>
      <c r="C2060" s="39" t="s">
        <v>1512</v>
      </c>
      <c r="D2060" s="39" t="s">
        <v>7407</v>
      </c>
      <c r="E2060" s="43">
        <v>108923</v>
      </c>
      <c r="F2060" s="43"/>
      <c r="G2060" s="364">
        <f t="shared" ref="G2060:G2068" si="17">G2059+F2060-E2060</f>
        <v>17394</v>
      </c>
      <c r="H2060" s="391" t="s">
        <v>9568</v>
      </c>
    </row>
    <row r="2061" spans="1:8" x14ac:dyDescent="0.3">
      <c r="A2061" s="45">
        <v>44321</v>
      </c>
      <c r="B2061" s="399"/>
      <c r="C2061" s="5" t="s">
        <v>541</v>
      </c>
      <c r="D2061" s="5" t="s">
        <v>7408</v>
      </c>
      <c r="E2061" s="43">
        <v>15000</v>
      </c>
      <c r="F2061" s="43"/>
      <c r="G2061" s="364">
        <f t="shared" si="17"/>
        <v>2394</v>
      </c>
      <c r="H2061" s="391" t="s">
        <v>9568</v>
      </c>
    </row>
    <row r="2062" spans="1:8" x14ac:dyDescent="0.3">
      <c r="A2062" s="45">
        <v>44322</v>
      </c>
      <c r="B2062" s="399"/>
      <c r="C2062" s="5" t="s">
        <v>1616</v>
      </c>
      <c r="D2062" s="5" t="s">
        <v>78</v>
      </c>
      <c r="E2062" s="43">
        <v>2000</v>
      </c>
      <c r="F2062" s="43"/>
      <c r="G2062" s="364">
        <f t="shared" si="17"/>
        <v>394</v>
      </c>
      <c r="H2062" s="391" t="s">
        <v>9568</v>
      </c>
    </row>
    <row r="2063" spans="1:8" x14ac:dyDescent="0.3">
      <c r="A2063" s="45">
        <v>44322</v>
      </c>
      <c r="B2063" s="580"/>
      <c r="C2063" s="554" t="s">
        <v>7422</v>
      </c>
      <c r="D2063" s="554"/>
      <c r="E2063" s="554"/>
      <c r="F2063" s="43">
        <f>201000-10000</f>
        <v>191000</v>
      </c>
      <c r="G2063" s="364">
        <f t="shared" si="17"/>
        <v>191394</v>
      </c>
      <c r="H2063" s="391" t="s">
        <v>9568</v>
      </c>
    </row>
    <row r="2064" spans="1:8" x14ac:dyDescent="0.3">
      <c r="A2064" s="45">
        <v>44322</v>
      </c>
      <c r="B2064" s="399"/>
      <c r="C2064" s="5" t="s">
        <v>1837</v>
      </c>
      <c r="D2064" s="5" t="s">
        <v>7412</v>
      </c>
      <c r="E2064" s="43">
        <v>500</v>
      </c>
      <c r="F2064" s="43"/>
      <c r="G2064" s="364">
        <f t="shared" si="17"/>
        <v>190894</v>
      </c>
      <c r="H2064" s="391" t="s">
        <v>9568</v>
      </c>
    </row>
    <row r="2065" spans="1:8" x14ac:dyDescent="0.3">
      <c r="A2065" s="45">
        <v>44322</v>
      </c>
      <c r="B2065" s="399"/>
      <c r="C2065" s="5" t="s">
        <v>25</v>
      </c>
      <c r="D2065" s="5" t="s">
        <v>7413</v>
      </c>
      <c r="E2065" s="43">
        <v>200</v>
      </c>
      <c r="F2065" s="43"/>
      <c r="G2065" s="364">
        <f t="shared" si="17"/>
        <v>190694</v>
      </c>
      <c r="H2065" s="391" t="s">
        <v>9568</v>
      </c>
    </row>
    <row r="2066" spans="1:8" x14ac:dyDescent="0.3">
      <c r="A2066" s="45">
        <v>44322</v>
      </c>
      <c r="B2066" s="399"/>
      <c r="C2066" s="5" t="s">
        <v>68</v>
      </c>
      <c r="D2066" s="92" t="s">
        <v>7414</v>
      </c>
      <c r="E2066" s="43">
        <v>5000</v>
      </c>
      <c r="F2066" s="43"/>
      <c r="G2066" s="364">
        <f t="shared" si="17"/>
        <v>185694</v>
      </c>
      <c r="H2066" s="391" t="s">
        <v>9568</v>
      </c>
    </row>
    <row r="2067" spans="1:8" x14ac:dyDescent="0.3">
      <c r="A2067" s="45">
        <v>44322</v>
      </c>
      <c r="B2067" s="399"/>
      <c r="C2067" s="5" t="s">
        <v>5162</v>
      </c>
      <c r="D2067" s="92" t="s">
        <v>7442</v>
      </c>
      <c r="E2067" s="43">
        <v>5000</v>
      </c>
      <c r="F2067" s="43"/>
      <c r="G2067" s="364">
        <f t="shared" si="17"/>
        <v>180694</v>
      </c>
      <c r="H2067" s="391" t="s">
        <v>9568</v>
      </c>
    </row>
    <row r="2068" spans="1:8" x14ac:dyDescent="0.3">
      <c r="A2068" s="45">
        <v>44322</v>
      </c>
      <c r="B2068" s="399"/>
      <c r="C2068" s="5" t="s">
        <v>7415</v>
      </c>
      <c r="D2068" s="92" t="s">
        <v>7416</v>
      </c>
      <c r="E2068" s="43">
        <v>40000</v>
      </c>
      <c r="F2068" s="43"/>
      <c r="G2068" s="364">
        <f t="shared" si="17"/>
        <v>140694</v>
      </c>
      <c r="H2068" s="391" t="s">
        <v>9568</v>
      </c>
    </row>
    <row r="2069" spans="1:8" x14ac:dyDescent="0.3">
      <c r="A2069" s="45">
        <v>44322</v>
      </c>
      <c r="B2069" s="399"/>
      <c r="C2069" s="5" t="s">
        <v>93</v>
      </c>
      <c r="D2069" s="92" t="s">
        <v>7417</v>
      </c>
      <c r="E2069" s="43">
        <v>13200</v>
      </c>
      <c r="F2069" s="43"/>
      <c r="G2069" s="364">
        <f t="shared" ref="G2069:G2093" si="18">G2068+F2069-E2069</f>
        <v>127494</v>
      </c>
      <c r="H2069" s="391" t="s">
        <v>9568</v>
      </c>
    </row>
    <row r="2070" spans="1:8" x14ac:dyDescent="0.3">
      <c r="A2070" s="45">
        <v>44323</v>
      </c>
      <c r="B2070" s="399"/>
      <c r="C2070" s="5" t="s">
        <v>5930</v>
      </c>
      <c r="D2070" s="5" t="s">
        <v>7418</v>
      </c>
      <c r="E2070" s="43">
        <v>31680</v>
      </c>
      <c r="F2070" s="43"/>
      <c r="G2070" s="364">
        <f t="shared" si="18"/>
        <v>95814</v>
      </c>
      <c r="H2070" s="391" t="s">
        <v>9568</v>
      </c>
    </row>
    <row r="2071" spans="1:8" x14ac:dyDescent="0.3">
      <c r="A2071" s="45">
        <v>44323</v>
      </c>
      <c r="B2071" s="402"/>
      <c r="C2071" s="39" t="s">
        <v>1512</v>
      </c>
      <c r="D2071" s="39" t="s">
        <v>7419</v>
      </c>
      <c r="E2071" s="43">
        <v>11000</v>
      </c>
      <c r="F2071" s="43"/>
      <c r="G2071" s="364">
        <f t="shared" si="18"/>
        <v>84814</v>
      </c>
      <c r="H2071" s="391" t="s">
        <v>9568</v>
      </c>
    </row>
    <row r="2072" spans="1:8" x14ac:dyDescent="0.3">
      <c r="A2072" s="45">
        <v>44323</v>
      </c>
      <c r="B2072" s="402"/>
      <c r="C2072" s="39" t="s">
        <v>1512</v>
      </c>
      <c r="D2072" s="39" t="s">
        <v>7420</v>
      </c>
      <c r="E2072" s="43">
        <v>20000</v>
      </c>
      <c r="F2072" s="43"/>
      <c r="G2072" s="364">
        <f t="shared" si="18"/>
        <v>64814</v>
      </c>
      <c r="H2072" s="391" t="s">
        <v>9568</v>
      </c>
    </row>
    <row r="2073" spans="1:8" x14ac:dyDescent="0.3">
      <c r="A2073" s="45">
        <v>44323</v>
      </c>
      <c r="B2073" s="402"/>
      <c r="C2073" s="39" t="s">
        <v>1512</v>
      </c>
      <c r="D2073" s="39" t="s">
        <v>7421</v>
      </c>
      <c r="E2073" s="43">
        <f>31500+2000+1500</f>
        <v>35000</v>
      </c>
      <c r="F2073" s="43"/>
      <c r="G2073" s="364">
        <f t="shared" si="18"/>
        <v>29814</v>
      </c>
      <c r="H2073" s="391" t="s">
        <v>9568</v>
      </c>
    </row>
    <row r="2074" spans="1:8" x14ac:dyDescent="0.3">
      <c r="A2074" s="45">
        <v>44323</v>
      </c>
      <c r="B2074" s="399"/>
      <c r="C2074" s="5" t="s">
        <v>14</v>
      </c>
      <c r="D2074" s="5" t="s">
        <v>294</v>
      </c>
      <c r="E2074" s="43">
        <v>10000</v>
      </c>
      <c r="F2074" s="43"/>
      <c r="G2074" s="364">
        <f t="shared" si="18"/>
        <v>19814</v>
      </c>
      <c r="H2074" s="391" t="s">
        <v>9568</v>
      </c>
    </row>
    <row r="2075" spans="1:8" x14ac:dyDescent="0.3">
      <c r="A2075" s="45">
        <v>44323</v>
      </c>
      <c r="B2075" s="580"/>
      <c r="C2075" s="554" t="s">
        <v>4415</v>
      </c>
      <c r="D2075" s="554"/>
      <c r="E2075" s="554"/>
      <c r="F2075" s="43">
        <v>750000</v>
      </c>
      <c r="G2075" s="364">
        <f t="shared" si="18"/>
        <v>769814</v>
      </c>
      <c r="H2075" s="391" t="s">
        <v>9568</v>
      </c>
    </row>
    <row r="2076" spans="1:8" x14ac:dyDescent="0.3">
      <c r="A2076" s="45">
        <v>44323</v>
      </c>
      <c r="B2076" s="399"/>
      <c r="C2076" s="5" t="s">
        <v>7427</v>
      </c>
      <c r="D2076" s="5" t="s">
        <v>1953</v>
      </c>
      <c r="E2076" s="43">
        <v>457750</v>
      </c>
      <c r="F2076" s="43"/>
      <c r="G2076" s="364">
        <f t="shared" si="18"/>
        <v>312064</v>
      </c>
      <c r="H2076" s="391" t="s">
        <v>9568</v>
      </c>
    </row>
    <row r="2077" spans="1:8" x14ac:dyDescent="0.3">
      <c r="A2077" s="45">
        <v>44323</v>
      </c>
      <c r="B2077" s="399"/>
      <c r="C2077" s="5" t="s">
        <v>14</v>
      </c>
      <c r="D2077" s="5" t="s">
        <v>7428</v>
      </c>
      <c r="E2077" s="43">
        <v>250000</v>
      </c>
      <c r="F2077" s="43"/>
      <c r="G2077" s="364">
        <f t="shared" si="18"/>
        <v>62064</v>
      </c>
      <c r="H2077" s="391" t="s">
        <v>9568</v>
      </c>
    </row>
    <row r="2078" spans="1:8" x14ac:dyDescent="0.3">
      <c r="A2078" s="45">
        <v>44324</v>
      </c>
      <c r="B2078" s="580"/>
      <c r="C2078" s="554" t="s">
        <v>4415</v>
      </c>
      <c r="D2078" s="554"/>
      <c r="E2078" s="554"/>
      <c r="F2078" s="43">
        <v>200000</v>
      </c>
      <c r="G2078" s="364">
        <f t="shared" si="18"/>
        <v>262064</v>
      </c>
      <c r="H2078" s="391" t="s">
        <v>9568</v>
      </c>
    </row>
    <row r="2079" spans="1:8" x14ac:dyDescent="0.3">
      <c r="A2079" s="45">
        <v>44323</v>
      </c>
      <c r="B2079" s="402"/>
      <c r="C2079" s="39" t="s">
        <v>1512</v>
      </c>
      <c r="D2079" s="39" t="s">
        <v>7429</v>
      </c>
      <c r="E2079" s="43">
        <v>72583</v>
      </c>
      <c r="F2079" s="43"/>
      <c r="G2079" s="364">
        <f t="shared" si="18"/>
        <v>189481</v>
      </c>
      <c r="H2079" s="391" t="s">
        <v>9568</v>
      </c>
    </row>
    <row r="2080" spans="1:8" x14ac:dyDescent="0.3">
      <c r="A2080" s="45">
        <v>44324</v>
      </c>
      <c r="B2080" s="402"/>
      <c r="C2080" s="39" t="s">
        <v>1512</v>
      </c>
      <c r="D2080" s="5" t="s">
        <v>7430</v>
      </c>
      <c r="E2080" s="43">
        <v>34896</v>
      </c>
      <c r="F2080" s="43"/>
      <c r="G2080" s="364">
        <f t="shared" si="18"/>
        <v>154585</v>
      </c>
      <c r="H2080" s="391" t="s">
        <v>9568</v>
      </c>
    </row>
    <row r="2081" spans="1:8" x14ac:dyDescent="0.3">
      <c r="A2081" s="45">
        <v>44324</v>
      </c>
      <c r="B2081" s="402"/>
      <c r="C2081" s="39" t="s">
        <v>1512</v>
      </c>
      <c r="D2081" s="5" t="s">
        <v>6679</v>
      </c>
      <c r="E2081" s="43">
        <v>20100</v>
      </c>
      <c r="F2081" s="43"/>
      <c r="G2081" s="364">
        <f t="shared" si="18"/>
        <v>134485</v>
      </c>
      <c r="H2081" s="391" t="s">
        <v>9568</v>
      </c>
    </row>
    <row r="2082" spans="1:8" x14ac:dyDescent="0.3">
      <c r="A2082" s="45">
        <v>44323</v>
      </c>
      <c r="B2082" s="399"/>
      <c r="C2082" s="5" t="s">
        <v>6430</v>
      </c>
      <c r="D2082" s="5" t="s">
        <v>2013</v>
      </c>
      <c r="E2082" s="43">
        <v>100</v>
      </c>
      <c r="F2082" s="43"/>
      <c r="G2082" s="364">
        <f t="shared" si="18"/>
        <v>134385</v>
      </c>
      <c r="H2082" s="391" t="s">
        <v>9568</v>
      </c>
    </row>
    <row r="2083" spans="1:8" x14ac:dyDescent="0.3">
      <c r="A2083" s="45">
        <v>44324</v>
      </c>
      <c r="B2083" s="399"/>
      <c r="C2083" s="5" t="s">
        <v>1343</v>
      </c>
      <c r="D2083" s="5" t="s">
        <v>7431</v>
      </c>
      <c r="E2083" s="43">
        <v>30000</v>
      </c>
      <c r="F2083" s="43"/>
      <c r="G2083" s="364">
        <f t="shared" si="18"/>
        <v>104385</v>
      </c>
      <c r="H2083" s="391" t="s">
        <v>9568</v>
      </c>
    </row>
    <row r="2084" spans="1:8" x14ac:dyDescent="0.3">
      <c r="A2084" s="45">
        <v>44324</v>
      </c>
      <c r="B2084" s="399"/>
      <c r="C2084" s="5" t="s">
        <v>1086</v>
      </c>
      <c r="D2084" s="5" t="s">
        <v>7434</v>
      </c>
      <c r="E2084" s="43">
        <v>30000</v>
      </c>
      <c r="F2084" s="43"/>
      <c r="G2084" s="364">
        <f t="shared" si="18"/>
        <v>74385</v>
      </c>
      <c r="H2084" s="391" t="s">
        <v>9568</v>
      </c>
    </row>
    <row r="2085" spans="1:8" x14ac:dyDescent="0.3">
      <c r="A2085" s="45">
        <v>44324</v>
      </c>
      <c r="B2085" s="399"/>
      <c r="C2085" s="5" t="s">
        <v>64</v>
      </c>
      <c r="D2085" s="5" t="s">
        <v>25</v>
      </c>
      <c r="E2085" s="43">
        <v>900</v>
      </c>
      <c r="F2085" s="43"/>
      <c r="G2085" s="364">
        <f t="shared" si="18"/>
        <v>73485</v>
      </c>
      <c r="H2085" s="391" t="s">
        <v>9568</v>
      </c>
    </row>
    <row r="2086" spans="1:8" x14ac:dyDescent="0.3">
      <c r="A2086" s="45">
        <v>44324</v>
      </c>
      <c r="B2086" s="399"/>
      <c r="C2086" s="5" t="s">
        <v>14</v>
      </c>
      <c r="D2086" s="5" t="s">
        <v>7441</v>
      </c>
      <c r="E2086" s="43">
        <v>15000</v>
      </c>
      <c r="F2086" s="43"/>
      <c r="G2086" s="364">
        <f t="shared" si="18"/>
        <v>58485</v>
      </c>
      <c r="H2086" s="391" t="s">
        <v>9568</v>
      </c>
    </row>
    <row r="2087" spans="1:8" x14ac:dyDescent="0.3">
      <c r="A2087" s="45">
        <v>44324</v>
      </c>
      <c r="B2087" s="399"/>
      <c r="C2087" s="5" t="s">
        <v>7040</v>
      </c>
      <c r="D2087" s="5" t="s">
        <v>294</v>
      </c>
      <c r="E2087" s="43">
        <v>10000</v>
      </c>
      <c r="F2087" s="43"/>
      <c r="G2087" s="364">
        <f t="shared" si="18"/>
        <v>48485</v>
      </c>
      <c r="H2087" s="391" t="s">
        <v>9568</v>
      </c>
    </row>
    <row r="2088" spans="1:8" x14ac:dyDescent="0.3">
      <c r="A2088" s="45">
        <v>44324</v>
      </c>
      <c r="B2088" s="399"/>
      <c r="C2088" s="5" t="s">
        <v>6341</v>
      </c>
      <c r="D2088" s="5" t="s">
        <v>7433</v>
      </c>
      <c r="E2088" s="43">
        <v>10000</v>
      </c>
      <c r="F2088" s="43"/>
      <c r="G2088" s="364">
        <f t="shared" si="18"/>
        <v>38485</v>
      </c>
      <c r="H2088" s="391" t="s">
        <v>9568</v>
      </c>
    </row>
    <row r="2089" spans="1:8" x14ac:dyDescent="0.3">
      <c r="A2089" s="45">
        <v>44333</v>
      </c>
      <c r="B2089" s="399"/>
      <c r="C2089" s="5" t="s">
        <v>57</v>
      </c>
      <c r="D2089" s="5" t="s">
        <v>7435</v>
      </c>
      <c r="E2089" s="43">
        <v>1000</v>
      </c>
      <c r="F2089" s="43"/>
      <c r="G2089" s="364">
        <f t="shared" si="18"/>
        <v>37485</v>
      </c>
      <c r="H2089" s="391" t="s">
        <v>9568</v>
      </c>
    </row>
    <row r="2090" spans="1:8" x14ac:dyDescent="0.3">
      <c r="A2090" s="45">
        <v>44333</v>
      </c>
      <c r="B2090" s="580"/>
      <c r="C2090" s="554" t="s">
        <v>861</v>
      </c>
      <c r="D2090" s="554"/>
      <c r="E2090" s="554"/>
      <c r="F2090" s="43">
        <v>100000</v>
      </c>
      <c r="G2090" s="364">
        <f t="shared" si="18"/>
        <v>137485</v>
      </c>
      <c r="H2090" s="391" t="s">
        <v>9568</v>
      </c>
    </row>
    <row r="2091" spans="1:8" x14ac:dyDescent="0.3">
      <c r="A2091" s="45">
        <v>44333</v>
      </c>
      <c r="B2091" s="404"/>
      <c r="C2091" s="41" t="s">
        <v>1837</v>
      </c>
      <c r="D2091" s="41" t="s">
        <v>7437</v>
      </c>
      <c r="E2091" s="42">
        <v>97000</v>
      </c>
      <c r="F2091" s="43"/>
      <c r="G2091" s="364">
        <f t="shared" si="18"/>
        <v>40485</v>
      </c>
      <c r="H2091" s="391" t="s">
        <v>9568</v>
      </c>
    </row>
    <row r="2092" spans="1:8" x14ac:dyDescent="0.3">
      <c r="A2092" s="45">
        <v>44333</v>
      </c>
      <c r="B2092" s="399"/>
      <c r="C2092" s="5" t="s">
        <v>14</v>
      </c>
      <c r="D2092" s="5" t="s">
        <v>294</v>
      </c>
      <c r="E2092" s="43">
        <v>20000</v>
      </c>
      <c r="F2092" s="43"/>
      <c r="G2092" s="364">
        <f t="shared" si="18"/>
        <v>20485</v>
      </c>
      <c r="H2092" s="391" t="s">
        <v>9568</v>
      </c>
    </row>
    <row r="2093" spans="1:8" x14ac:dyDescent="0.3">
      <c r="A2093" s="45">
        <v>44333</v>
      </c>
      <c r="B2093" s="399"/>
      <c r="C2093" s="5" t="s">
        <v>1074</v>
      </c>
      <c r="D2093" s="5" t="s">
        <v>40</v>
      </c>
      <c r="E2093" s="43">
        <v>3140</v>
      </c>
      <c r="F2093" s="43"/>
      <c r="G2093" s="364">
        <f t="shared" si="18"/>
        <v>17345</v>
      </c>
      <c r="H2093" s="391" t="s">
        <v>9568</v>
      </c>
    </row>
    <row r="2094" spans="1:8" x14ac:dyDescent="0.3">
      <c r="A2094" s="45">
        <v>44333</v>
      </c>
      <c r="B2094" s="399"/>
      <c r="C2094" s="5" t="s">
        <v>26</v>
      </c>
      <c r="D2094" s="5" t="s">
        <v>7461</v>
      </c>
      <c r="E2094" s="43">
        <v>1650</v>
      </c>
      <c r="F2094" s="43"/>
      <c r="G2094" s="364">
        <f t="shared" ref="G2094:G2158" si="19">G2093+F2094-E2094</f>
        <v>15695</v>
      </c>
      <c r="H2094" s="391" t="s">
        <v>9568</v>
      </c>
    </row>
    <row r="2095" spans="1:8" x14ac:dyDescent="0.3">
      <c r="A2095" s="45">
        <v>44333</v>
      </c>
      <c r="B2095" s="399"/>
      <c r="C2095" s="5" t="s">
        <v>25</v>
      </c>
      <c r="D2095" s="5" t="s">
        <v>7251</v>
      </c>
      <c r="E2095" s="43">
        <v>100</v>
      </c>
      <c r="F2095" s="43"/>
      <c r="G2095" s="364">
        <f t="shared" si="19"/>
        <v>15595</v>
      </c>
      <c r="H2095" s="391" t="s">
        <v>9568</v>
      </c>
    </row>
    <row r="2096" spans="1:8" x14ac:dyDescent="0.3">
      <c r="A2096" s="45">
        <v>44333</v>
      </c>
      <c r="B2096" s="399"/>
      <c r="C2096" s="5" t="s">
        <v>25</v>
      </c>
      <c r="D2096" s="5" t="s">
        <v>7443</v>
      </c>
      <c r="E2096" s="43">
        <v>70</v>
      </c>
      <c r="F2096" s="43"/>
      <c r="G2096" s="364">
        <f t="shared" si="19"/>
        <v>15525</v>
      </c>
      <c r="H2096" s="391" t="s">
        <v>9568</v>
      </c>
    </row>
    <row r="2097" spans="1:11" x14ac:dyDescent="0.3">
      <c r="A2097" s="45">
        <v>44333</v>
      </c>
      <c r="B2097" s="580"/>
      <c r="C2097" s="554" t="s">
        <v>7440</v>
      </c>
      <c r="D2097" s="554"/>
      <c r="E2097" s="554"/>
      <c r="F2097" s="43">
        <v>60000</v>
      </c>
      <c r="G2097" s="364">
        <f t="shared" si="19"/>
        <v>75525</v>
      </c>
      <c r="H2097" s="391" t="s">
        <v>9568</v>
      </c>
    </row>
    <row r="2098" spans="1:11" x14ac:dyDescent="0.3">
      <c r="A2098" s="45">
        <v>44333</v>
      </c>
      <c r="B2098" s="399"/>
      <c r="C2098" s="5" t="s">
        <v>25</v>
      </c>
      <c r="D2098" s="5" t="s">
        <v>6049</v>
      </c>
      <c r="E2098" s="43">
        <v>100</v>
      </c>
      <c r="F2098" s="43"/>
      <c r="G2098" s="364">
        <f t="shared" si="19"/>
        <v>75425</v>
      </c>
      <c r="H2098" s="391" t="s">
        <v>9568</v>
      </c>
    </row>
    <row r="2099" spans="1:11" x14ac:dyDescent="0.3">
      <c r="A2099" s="45">
        <v>44334</v>
      </c>
      <c r="B2099" s="399"/>
      <c r="C2099" s="5" t="s">
        <v>25</v>
      </c>
      <c r="D2099" s="5" t="s">
        <v>4276</v>
      </c>
      <c r="E2099" s="43">
        <v>7230</v>
      </c>
      <c r="F2099" s="43"/>
      <c r="G2099" s="364">
        <f t="shared" si="19"/>
        <v>68195</v>
      </c>
      <c r="H2099" s="391" t="s">
        <v>9568</v>
      </c>
    </row>
    <row r="2100" spans="1:11" x14ac:dyDescent="0.3">
      <c r="A2100" s="45">
        <v>44335</v>
      </c>
      <c r="B2100" s="399"/>
      <c r="C2100" s="5" t="s">
        <v>6430</v>
      </c>
      <c r="D2100" s="5" t="s">
        <v>7444</v>
      </c>
      <c r="E2100" s="43">
        <v>1000</v>
      </c>
      <c r="F2100" s="43"/>
      <c r="G2100" s="364">
        <f t="shared" si="19"/>
        <v>67195</v>
      </c>
      <c r="H2100" s="391" t="s">
        <v>9568</v>
      </c>
    </row>
    <row r="2101" spans="1:11" x14ac:dyDescent="0.3">
      <c r="A2101" s="45">
        <v>44335</v>
      </c>
      <c r="B2101" s="399"/>
      <c r="C2101" s="5" t="s">
        <v>6430</v>
      </c>
      <c r="D2101" s="5" t="s">
        <v>7445</v>
      </c>
      <c r="E2101" s="43">
        <v>1000</v>
      </c>
      <c r="F2101" s="43"/>
      <c r="G2101" s="364">
        <f t="shared" si="19"/>
        <v>66195</v>
      </c>
      <c r="H2101" s="391" t="s">
        <v>9568</v>
      </c>
    </row>
    <row r="2102" spans="1:11" x14ac:dyDescent="0.3">
      <c r="A2102" s="45">
        <v>44335</v>
      </c>
      <c r="B2102" s="399"/>
      <c r="C2102" s="5" t="s">
        <v>0</v>
      </c>
      <c r="D2102" s="5" t="s">
        <v>3183</v>
      </c>
      <c r="E2102" s="43">
        <v>10000</v>
      </c>
      <c r="F2102" s="43"/>
      <c r="G2102" s="364">
        <f t="shared" si="19"/>
        <v>56195</v>
      </c>
      <c r="H2102" s="391" t="s">
        <v>9568</v>
      </c>
    </row>
    <row r="2103" spans="1:11" x14ac:dyDescent="0.3">
      <c r="A2103" s="45">
        <v>44336</v>
      </c>
      <c r="B2103" s="399"/>
      <c r="C2103" s="5" t="s">
        <v>7214</v>
      </c>
      <c r="D2103" s="5" t="s">
        <v>7447</v>
      </c>
      <c r="E2103" s="43">
        <v>10000</v>
      </c>
      <c r="F2103" s="43"/>
      <c r="G2103" s="364">
        <f t="shared" si="19"/>
        <v>46195</v>
      </c>
      <c r="H2103" s="391" t="s">
        <v>9568</v>
      </c>
    </row>
    <row r="2104" spans="1:11" x14ac:dyDescent="0.3">
      <c r="A2104" s="45">
        <v>44336</v>
      </c>
      <c r="B2104" s="399"/>
      <c r="C2104" s="5" t="s">
        <v>5665</v>
      </c>
      <c r="D2104" s="5" t="s">
        <v>7451</v>
      </c>
      <c r="E2104" s="43">
        <v>10000</v>
      </c>
      <c r="F2104" s="43"/>
      <c r="G2104" s="364">
        <f t="shared" si="19"/>
        <v>36195</v>
      </c>
      <c r="H2104" s="391" t="s">
        <v>9568</v>
      </c>
    </row>
    <row r="2105" spans="1:11" x14ac:dyDescent="0.3">
      <c r="A2105" s="45">
        <v>44336</v>
      </c>
      <c r="B2105" s="399"/>
      <c r="C2105" s="5" t="s">
        <v>68</v>
      </c>
      <c r="D2105" s="5" t="s">
        <v>7453</v>
      </c>
      <c r="E2105" s="43">
        <v>15000</v>
      </c>
      <c r="F2105" s="43"/>
      <c r="G2105" s="364">
        <f t="shared" si="19"/>
        <v>21195</v>
      </c>
      <c r="H2105" s="391" t="s">
        <v>9568</v>
      </c>
    </row>
    <row r="2106" spans="1:11" x14ac:dyDescent="0.3">
      <c r="A2106" s="45">
        <v>44336</v>
      </c>
      <c r="B2106" s="399"/>
      <c r="C2106" s="5" t="s">
        <v>7454</v>
      </c>
      <c r="D2106" s="5" t="s">
        <v>7455</v>
      </c>
      <c r="E2106" s="43">
        <v>3000</v>
      </c>
      <c r="F2106" s="43"/>
      <c r="G2106" s="364">
        <f t="shared" si="19"/>
        <v>18195</v>
      </c>
      <c r="H2106" s="391" t="s">
        <v>9568</v>
      </c>
      <c r="I2106" s="29"/>
      <c r="J2106" s="29"/>
      <c r="K2106" s="29"/>
    </row>
    <row r="2107" spans="1:11" x14ac:dyDescent="0.3">
      <c r="A2107" s="45">
        <v>44336</v>
      </c>
      <c r="B2107" s="580"/>
      <c r="C2107" s="554" t="s">
        <v>7440</v>
      </c>
      <c r="D2107" s="554"/>
      <c r="E2107" s="554"/>
      <c r="F2107" s="43">
        <v>50000</v>
      </c>
      <c r="G2107" s="364">
        <f t="shared" si="19"/>
        <v>68195</v>
      </c>
      <c r="H2107" s="391" t="s">
        <v>9568</v>
      </c>
      <c r="I2107" s="166"/>
      <c r="J2107" s="166"/>
      <c r="K2107" s="43"/>
    </row>
    <row r="2108" spans="1:11" x14ac:dyDescent="0.3">
      <c r="A2108" s="45">
        <v>44336</v>
      </c>
      <c r="B2108" s="399"/>
      <c r="C2108" s="5" t="s">
        <v>4055</v>
      </c>
      <c r="D2108" s="5" t="s">
        <v>7456</v>
      </c>
      <c r="E2108" s="43">
        <v>40000</v>
      </c>
      <c r="F2108" s="43"/>
      <c r="G2108" s="364">
        <f t="shared" si="19"/>
        <v>28195</v>
      </c>
      <c r="H2108" s="391" t="s">
        <v>9568</v>
      </c>
      <c r="I2108" s="166"/>
      <c r="J2108" s="166"/>
      <c r="K2108" s="43"/>
    </row>
    <row r="2109" spans="1:11" x14ac:dyDescent="0.3">
      <c r="A2109" s="45">
        <v>44336</v>
      </c>
      <c r="B2109" s="399"/>
      <c r="C2109" s="5" t="s">
        <v>7457</v>
      </c>
      <c r="D2109" s="5" t="s">
        <v>7458</v>
      </c>
      <c r="E2109" s="43">
        <v>16000</v>
      </c>
      <c r="F2109" s="43"/>
      <c r="G2109" s="364">
        <f t="shared" si="19"/>
        <v>12195</v>
      </c>
      <c r="H2109" s="391" t="s">
        <v>9568</v>
      </c>
      <c r="I2109" s="166"/>
      <c r="J2109" s="166"/>
      <c r="K2109" s="43"/>
    </row>
    <row r="2110" spans="1:11" x14ac:dyDescent="0.3">
      <c r="A2110" s="45">
        <v>44336</v>
      </c>
      <c r="B2110" s="399"/>
      <c r="C2110" s="5" t="s">
        <v>7214</v>
      </c>
      <c r="D2110" s="5" t="s">
        <v>7460</v>
      </c>
      <c r="E2110" s="43">
        <v>2500</v>
      </c>
      <c r="F2110" s="43"/>
      <c r="G2110" s="364">
        <f t="shared" si="19"/>
        <v>9695</v>
      </c>
      <c r="H2110" s="391" t="s">
        <v>9568</v>
      </c>
      <c r="I2110" s="166"/>
      <c r="J2110" s="166"/>
      <c r="K2110" s="43"/>
    </row>
    <row r="2111" spans="1:11" x14ac:dyDescent="0.3">
      <c r="A2111" s="45">
        <v>44336</v>
      </c>
      <c r="B2111" s="580"/>
      <c r="C2111" s="554" t="s">
        <v>7440</v>
      </c>
      <c r="D2111" s="554"/>
      <c r="E2111" s="554"/>
      <c r="F2111" s="43">
        <v>50000</v>
      </c>
      <c r="G2111" s="364">
        <f t="shared" si="19"/>
        <v>59695</v>
      </c>
      <c r="H2111" s="391" t="s">
        <v>9568</v>
      </c>
      <c r="I2111" s="166"/>
      <c r="J2111" s="166"/>
      <c r="K2111" s="43"/>
    </row>
    <row r="2112" spans="1:11" x14ac:dyDescent="0.3">
      <c r="A2112" s="45">
        <v>44336</v>
      </c>
      <c r="B2112" s="399"/>
      <c r="C2112" s="5" t="s">
        <v>4550</v>
      </c>
      <c r="D2112" s="5" t="s">
        <v>7462</v>
      </c>
      <c r="E2112" s="43">
        <v>20000</v>
      </c>
      <c r="F2112" s="43"/>
      <c r="G2112" s="364">
        <f t="shared" si="19"/>
        <v>39695</v>
      </c>
      <c r="H2112" s="391" t="s">
        <v>9568</v>
      </c>
      <c r="I2112" s="166"/>
      <c r="J2112" s="166"/>
      <c r="K2112" s="43"/>
    </row>
    <row r="2113" spans="1:13" x14ac:dyDescent="0.3">
      <c r="A2113" s="45">
        <v>44337</v>
      </c>
      <c r="B2113" s="399"/>
      <c r="C2113" s="5" t="s">
        <v>5156</v>
      </c>
      <c r="D2113" s="5" t="s">
        <v>7466</v>
      </c>
      <c r="E2113" s="43">
        <v>7260</v>
      </c>
      <c r="F2113" s="43"/>
      <c r="G2113" s="364">
        <f t="shared" si="19"/>
        <v>32435</v>
      </c>
      <c r="H2113" s="391" t="s">
        <v>9568</v>
      </c>
      <c r="I2113" s="166"/>
      <c r="J2113" s="166"/>
      <c r="K2113" s="43"/>
    </row>
    <row r="2114" spans="1:13" x14ac:dyDescent="0.3">
      <c r="A2114" s="45">
        <v>44337</v>
      </c>
      <c r="B2114" s="399"/>
      <c r="C2114" s="5" t="s">
        <v>5156</v>
      </c>
      <c r="D2114" s="5" t="s">
        <v>7467</v>
      </c>
      <c r="E2114" s="43">
        <v>120</v>
      </c>
      <c r="F2114" s="43"/>
      <c r="G2114" s="364">
        <f t="shared" si="19"/>
        <v>32315</v>
      </c>
      <c r="H2114" s="391" t="s">
        <v>9568</v>
      </c>
    </row>
    <row r="2115" spans="1:13" x14ac:dyDescent="0.3">
      <c r="A2115" s="45">
        <v>44337</v>
      </c>
      <c r="B2115" s="580"/>
      <c r="C2115" s="554" t="s">
        <v>7440</v>
      </c>
      <c r="D2115" s="554"/>
      <c r="E2115" s="554"/>
      <c r="F2115" s="43">
        <v>100000</v>
      </c>
      <c r="G2115" s="364">
        <f t="shared" si="19"/>
        <v>132315</v>
      </c>
      <c r="H2115" s="391" t="s">
        <v>9568</v>
      </c>
    </row>
    <row r="2116" spans="1:13" x14ac:dyDescent="0.3">
      <c r="A2116" s="45">
        <v>44337</v>
      </c>
      <c r="B2116" s="399"/>
      <c r="C2116" s="5" t="s">
        <v>110</v>
      </c>
      <c r="D2116" s="5" t="s">
        <v>640</v>
      </c>
      <c r="E2116" s="43">
        <v>3000</v>
      </c>
      <c r="F2116" s="43"/>
      <c r="G2116" s="364">
        <f t="shared" si="19"/>
        <v>129315</v>
      </c>
      <c r="H2116" s="391" t="s">
        <v>9568</v>
      </c>
    </row>
    <row r="2117" spans="1:13" x14ac:dyDescent="0.3">
      <c r="A2117" s="45">
        <v>44337</v>
      </c>
      <c r="B2117" s="399"/>
      <c r="C2117" s="5" t="s">
        <v>1837</v>
      </c>
      <c r="D2117" s="5" t="s">
        <v>3557</v>
      </c>
      <c r="E2117" s="43">
        <v>75000</v>
      </c>
      <c r="F2117" s="43"/>
      <c r="G2117" s="364">
        <f t="shared" si="19"/>
        <v>54315</v>
      </c>
      <c r="H2117" s="391" t="s">
        <v>9568</v>
      </c>
      <c r="M2117" s="93"/>
    </row>
    <row r="2118" spans="1:13" x14ac:dyDescent="0.3">
      <c r="A2118" s="45">
        <v>44337</v>
      </c>
      <c r="B2118" s="399"/>
      <c r="C2118" s="5" t="s">
        <v>6908</v>
      </c>
      <c r="D2118" s="5" t="s">
        <v>7472</v>
      </c>
      <c r="E2118" s="43">
        <v>4000</v>
      </c>
      <c r="F2118" s="43"/>
      <c r="G2118" s="364">
        <f t="shared" si="19"/>
        <v>50315</v>
      </c>
      <c r="H2118" s="391" t="s">
        <v>9568</v>
      </c>
    </row>
    <row r="2119" spans="1:13" x14ac:dyDescent="0.3">
      <c r="A2119" s="45">
        <v>44338</v>
      </c>
      <c r="B2119" s="399"/>
      <c r="C2119" s="5" t="s">
        <v>6341</v>
      </c>
      <c r="D2119" s="5" t="s">
        <v>7530</v>
      </c>
      <c r="E2119" s="43">
        <v>4000</v>
      </c>
      <c r="F2119" s="43"/>
      <c r="G2119" s="364">
        <f t="shared" si="19"/>
        <v>46315</v>
      </c>
      <c r="H2119" s="391" t="s">
        <v>9568</v>
      </c>
      <c r="M2119" s="93"/>
    </row>
    <row r="2120" spans="1:13" x14ac:dyDescent="0.3">
      <c r="A2120" s="45">
        <v>44338</v>
      </c>
      <c r="B2120" s="580"/>
      <c r="C2120" s="554" t="s">
        <v>7440</v>
      </c>
      <c r="D2120" s="554"/>
      <c r="E2120" s="554"/>
      <c r="F2120" s="43">
        <v>100000</v>
      </c>
      <c r="G2120" s="364">
        <f t="shared" si="19"/>
        <v>146315</v>
      </c>
      <c r="H2120" s="391" t="s">
        <v>9568</v>
      </c>
    </row>
    <row r="2121" spans="1:13" x14ac:dyDescent="0.3">
      <c r="A2121" s="45">
        <v>44338</v>
      </c>
      <c r="B2121" s="399"/>
      <c r="C2121" s="5" t="s">
        <v>57</v>
      </c>
      <c r="D2121" s="5" t="s">
        <v>7473</v>
      </c>
      <c r="E2121" s="43">
        <v>10000</v>
      </c>
      <c r="F2121" s="43"/>
      <c r="G2121" s="364">
        <f t="shared" si="19"/>
        <v>136315</v>
      </c>
      <c r="H2121" s="391" t="s">
        <v>9568</v>
      </c>
    </row>
    <row r="2122" spans="1:13" x14ac:dyDescent="0.3">
      <c r="A2122" s="45">
        <v>44338</v>
      </c>
      <c r="B2122" s="399"/>
      <c r="C2122" s="5" t="s">
        <v>7474</v>
      </c>
      <c r="D2122" s="5" t="s">
        <v>7475</v>
      </c>
      <c r="E2122" s="43">
        <v>50000</v>
      </c>
      <c r="F2122" s="43"/>
      <c r="G2122" s="364">
        <f t="shared" si="19"/>
        <v>86315</v>
      </c>
      <c r="H2122" s="391" t="s">
        <v>9568</v>
      </c>
    </row>
    <row r="2123" spans="1:13" x14ac:dyDescent="0.3">
      <c r="A2123" s="45">
        <v>44340</v>
      </c>
      <c r="B2123" s="399"/>
      <c r="C2123" s="5" t="s">
        <v>1541</v>
      </c>
      <c r="D2123" s="5" t="s">
        <v>7476</v>
      </c>
      <c r="E2123" s="43">
        <v>1000</v>
      </c>
      <c r="F2123" s="43"/>
      <c r="G2123" s="364">
        <f t="shared" si="19"/>
        <v>85315</v>
      </c>
      <c r="H2123" s="391" t="s">
        <v>9568</v>
      </c>
    </row>
    <row r="2124" spans="1:13" x14ac:dyDescent="0.3">
      <c r="A2124" s="45">
        <v>44340</v>
      </c>
      <c r="B2124" s="399"/>
      <c r="C2124" s="5" t="s">
        <v>5938</v>
      </c>
      <c r="D2124" s="5" t="s">
        <v>7477</v>
      </c>
      <c r="E2124" s="43">
        <v>20000</v>
      </c>
      <c r="F2124" s="43"/>
      <c r="G2124" s="364">
        <f t="shared" si="19"/>
        <v>65315</v>
      </c>
      <c r="H2124" s="391" t="s">
        <v>9568</v>
      </c>
    </row>
    <row r="2125" spans="1:13" x14ac:dyDescent="0.3">
      <c r="A2125" s="45">
        <v>44340</v>
      </c>
      <c r="B2125" s="401"/>
      <c r="C2125" s="73" t="s">
        <v>6877</v>
      </c>
      <c r="D2125" s="73" t="s">
        <v>7526</v>
      </c>
      <c r="E2125" s="183">
        <f>10000-5500</f>
        <v>4500</v>
      </c>
      <c r="F2125" s="43"/>
      <c r="G2125" s="364">
        <f t="shared" si="19"/>
        <v>60815</v>
      </c>
      <c r="H2125" s="391" t="s">
        <v>9568</v>
      </c>
    </row>
    <row r="2126" spans="1:13" x14ac:dyDescent="0.3">
      <c r="A2126" s="45">
        <v>44341</v>
      </c>
      <c r="B2126" s="399"/>
      <c r="C2126" s="5" t="s">
        <v>1873</v>
      </c>
      <c r="D2126" s="5" t="s">
        <v>7478</v>
      </c>
      <c r="E2126" s="43">
        <v>1000</v>
      </c>
      <c r="F2126" s="43"/>
      <c r="G2126" s="364">
        <f t="shared" si="19"/>
        <v>59815</v>
      </c>
      <c r="H2126" s="391" t="s">
        <v>9568</v>
      </c>
    </row>
    <row r="2127" spans="1:13" x14ac:dyDescent="0.3">
      <c r="A2127" s="45">
        <v>44341</v>
      </c>
      <c r="B2127" s="399"/>
      <c r="C2127" s="5" t="s">
        <v>14</v>
      </c>
      <c r="D2127" s="5" t="s">
        <v>294</v>
      </c>
      <c r="E2127" s="43">
        <v>5000</v>
      </c>
      <c r="F2127" s="43"/>
      <c r="G2127" s="364">
        <f t="shared" si="19"/>
        <v>54815</v>
      </c>
      <c r="H2127" s="391" t="s">
        <v>9568</v>
      </c>
    </row>
    <row r="2128" spans="1:13" x14ac:dyDescent="0.3">
      <c r="A2128" s="45">
        <v>44341</v>
      </c>
      <c r="B2128" s="399"/>
      <c r="C2128" s="5" t="s">
        <v>84</v>
      </c>
      <c r="D2128" s="5" t="s">
        <v>7479</v>
      </c>
      <c r="E2128" s="43">
        <v>5000</v>
      </c>
      <c r="F2128" s="43"/>
      <c r="G2128" s="364">
        <f t="shared" si="19"/>
        <v>49815</v>
      </c>
      <c r="H2128" s="391" t="s">
        <v>9568</v>
      </c>
    </row>
    <row r="2129" spans="1:8" x14ac:dyDescent="0.3">
      <c r="A2129" s="45">
        <v>44341</v>
      </c>
      <c r="B2129" s="580"/>
      <c r="C2129" s="554" t="s">
        <v>7440</v>
      </c>
      <c r="D2129" s="554"/>
      <c r="E2129" s="554"/>
      <c r="F2129" s="43">
        <v>300000</v>
      </c>
      <c r="G2129" s="364">
        <f t="shared" si="19"/>
        <v>349815</v>
      </c>
      <c r="H2129" s="391" t="s">
        <v>9568</v>
      </c>
    </row>
    <row r="2130" spans="1:8" ht="31.5" customHeight="1" x14ac:dyDescent="0.3">
      <c r="A2130" s="45">
        <v>44341</v>
      </c>
      <c r="B2130" s="322"/>
      <c r="C2130" s="44" t="s">
        <v>7340</v>
      </c>
      <c r="D2130" s="92" t="s">
        <v>7480</v>
      </c>
      <c r="E2130" s="28">
        <v>55000</v>
      </c>
      <c r="F2130" s="43"/>
      <c r="G2130" s="364">
        <f t="shared" si="19"/>
        <v>294815</v>
      </c>
      <c r="H2130" s="391" t="s">
        <v>9568</v>
      </c>
    </row>
    <row r="2131" spans="1:8" ht="31.5" customHeight="1" x14ac:dyDescent="0.3">
      <c r="A2131" s="45">
        <v>44341</v>
      </c>
      <c r="B2131" s="322"/>
      <c r="C2131" s="44" t="s">
        <v>7494</v>
      </c>
      <c r="D2131" s="92" t="s">
        <v>7157</v>
      </c>
      <c r="E2131" s="28">
        <v>5000</v>
      </c>
      <c r="F2131" s="43"/>
      <c r="G2131" s="364">
        <f t="shared" si="19"/>
        <v>289815</v>
      </c>
      <c r="H2131" s="391" t="s">
        <v>9568</v>
      </c>
    </row>
    <row r="2132" spans="1:8" x14ac:dyDescent="0.3">
      <c r="A2132" s="45">
        <v>44341</v>
      </c>
      <c r="B2132" s="399"/>
      <c r="C2132" s="5" t="s">
        <v>1873</v>
      </c>
      <c r="D2132" s="5" t="s">
        <v>7492</v>
      </c>
      <c r="E2132" s="43">
        <v>500</v>
      </c>
      <c r="F2132" s="43"/>
      <c r="G2132" s="364">
        <f t="shared" si="19"/>
        <v>289315</v>
      </c>
      <c r="H2132" s="391" t="s">
        <v>9568</v>
      </c>
    </row>
    <row r="2133" spans="1:8" x14ac:dyDescent="0.3">
      <c r="A2133" s="45">
        <v>44341</v>
      </c>
      <c r="B2133" s="399"/>
      <c r="C2133" s="5" t="s">
        <v>25</v>
      </c>
      <c r="D2133" s="5" t="s">
        <v>7493</v>
      </c>
      <c r="E2133" s="43">
        <v>220</v>
      </c>
      <c r="F2133" s="43"/>
      <c r="G2133" s="364">
        <f t="shared" si="19"/>
        <v>289095</v>
      </c>
      <c r="H2133" s="391" t="s">
        <v>9568</v>
      </c>
    </row>
    <row r="2134" spans="1:8" x14ac:dyDescent="0.3">
      <c r="A2134" s="45">
        <v>44341</v>
      </c>
      <c r="B2134" s="399"/>
      <c r="C2134" s="5" t="s">
        <v>25</v>
      </c>
      <c r="D2134" s="5" t="s">
        <v>4276</v>
      </c>
      <c r="E2134" s="43">
        <v>8706</v>
      </c>
      <c r="F2134" s="43"/>
      <c r="G2134" s="364">
        <f t="shared" si="19"/>
        <v>280389</v>
      </c>
      <c r="H2134" s="391" t="s">
        <v>9568</v>
      </c>
    </row>
    <row r="2135" spans="1:8" x14ac:dyDescent="0.3">
      <c r="A2135" s="45">
        <v>44341</v>
      </c>
      <c r="B2135" s="399"/>
      <c r="C2135" s="5" t="s">
        <v>5793</v>
      </c>
      <c r="D2135" s="5" t="s">
        <v>7499</v>
      </c>
      <c r="E2135" s="43">
        <v>500</v>
      </c>
      <c r="F2135" s="43"/>
      <c r="G2135" s="364">
        <f t="shared" si="19"/>
        <v>279889</v>
      </c>
      <c r="H2135" s="391" t="s">
        <v>9568</v>
      </c>
    </row>
    <row r="2136" spans="1:8" x14ac:dyDescent="0.3">
      <c r="A2136" s="45">
        <v>44343</v>
      </c>
      <c r="B2136" s="399"/>
      <c r="C2136" s="5" t="s">
        <v>14</v>
      </c>
      <c r="D2136" s="5" t="s">
        <v>294</v>
      </c>
      <c r="E2136" s="43">
        <v>10000</v>
      </c>
      <c r="F2136" s="43"/>
      <c r="G2136" s="364">
        <f t="shared" si="19"/>
        <v>269889</v>
      </c>
      <c r="H2136" s="391" t="s">
        <v>9568</v>
      </c>
    </row>
    <row r="2137" spans="1:8" x14ac:dyDescent="0.3">
      <c r="A2137" s="45">
        <v>44343</v>
      </c>
      <c r="B2137" s="399"/>
      <c r="C2137" s="5" t="s">
        <v>11</v>
      </c>
      <c r="D2137" s="5" t="s">
        <v>3910</v>
      </c>
      <c r="E2137" s="43">
        <v>1000</v>
      </c>
      <c r="F2137" s="43"/>
      <c r="G2137" s="364">
        <f t="shared" si="19"/>
        <v>268889</v>
      </c>
      <c r="H2137" s="391" t="s">
        <v>9568</v>
      </c>
    </row>
    <row r="2138" spans="1:8" x14ac:dyDescent="0.3">
      <c r="A2138" s="45">
        <v>44343</v>
      </c>
      <c r="B2138" s="399"/>
      <c r="C2138" s="5" t="s">
        <v>1837</v>
      </c>
      <c r="D2138" s="5" t="s">
        <v>7131</v>
      </c>
      <c r="E2138" s="43">
        <v>2500</v>
      </c>
      <c r="F2138" s="43"/>
      <c r="G2138" s="364">
        <f t="shared" si="19"/>
        <v>266389</v>
      </c>
      <c r="H2138" s="391" t="s">
        <v>9568</v>
      </c>
    </row>
    <row r="2139" spans="1:8" x14ac:dyDescent="0.3">
      <c r="A2139" s="45">
        <v>44343</v>
      </c>
      <c r="B2139" s="399"/>
      <c r="C2139" s="5" t="s">
        <v>1074</v>
      </c>
      <c r="D2139" s="5" t="s">
        <v>7500</v>
      </c>
      <c r="E2139" s="43">
        <v>51339</v>
      </c>
      <c r="F2139" s="43"/>
      <c r="G2139" s="364">
        <f t="shared" si="19"/>
        <v>215050</v>
      </c>
      <c r="H2139" s="391" t="s">
        <v>9568</v>
      </c>
    </row>
    <row r="2140" spans="1:8" x14ac:dyDescent="0.3">
      <c r="A2140" s="45">
        <v>44344</v>
      </c>
      <c r="B2140" s="399"/>
      <c r="C2140" s="5" t="s">
        <v>6430</v>
      </c>
      <c r="D2140" s="5" t="s">
        <v>7501</v>
      </c>
      <c r="E2140" s="43">
        <v>6450</v>
      </c>
      <c r="F2140" s="43"/>
      <c r="G2140" s="364">
        <f t="shared" si="19"/>
        <v>208600</v>
      </c>
      <c r="H2140" s="391" t="s">
        <v>9568</v>
      </c>
    </row>
    <row r="2141" spans="1:8" x14ac:dyDescent="0.3">
      <c r="A2141" s="45">
        <v>44344</v>
      </c>
      <c r="B2141" s="399"/>
      <c r="C2141" s="5" t="s">
        <v>6430</v>
      </c>
      <c r="D2141" s="5" t="s">
        <v>7502</v>
      </c>
      <c r="E2141" s="43">
        <v>250</v>
      </c>
      <c r="F2141" s="43"/>
      <c r="G2141" s="364">
        <f t="shared" si="19"/>
        <v>208350</v>
      </c>
      <c r="H2141" s="391" t="s">
        <v>9568</v>
      </c>
    </row>
    <row r="2142" spans="1:8" x14ac:dyDescent="0.3">
      <c r="A2142" s="45">
        <v>44344</v>
      </c>
      <c r="B2142" s="399"/>
      <c r="C2142" s="5" t="s">
        <v>7099</v>
      </c>
      <c r="D2142" s="5" t="s">
        <v>7503</v>
      </c>
      <c r="E2142" s="43">
        <v>1000</v>
      </c>
      <c r="F2142" s="43"/>
      <c r="G2142" s="364">
        <f t="shared" si="19"/>
        <v>207350</v>
      </c>
      <c r="H2142" s="391" t="s">
        <v>9568</v>
      </c>
    </row>
    <row r="2143" spans="1:8" x14ac:dyDescent="0.3">
      <c r="A2143" s="45">
        <v>44344</v>
      </c>
      <c r="B2143" s="399"/>
      <c r="C2143" s="5" t="s">
        <v>7504</v>
      </c>
      <c r="D2143" s="5" t="s">
        <v>5508</v>
      </c>
      <c r="E2143" s="43">
        <v>141750</v>
      </c>
      <c r="F2143" s="43"/>
      <c r="G2143" s="364">
        <f t="shared" si="19"/>
        <v>65600</v>
      </c>
      <c r="H2143" s="391" t="s">
        <v>9568</v>
      </c>
    </row>
    <row r="2144" spans="1:8" x14ac:dyDescent="0.3">
      <c r="A2144" s="45">
        <v>44345</v>
      </c>
      <c r="B2144" s="399"/>
      <c r="C2144" s="5" t="s">
        <v>6908</v>
      </c>
      <c r="D2144" s="5" t="s">
        <v>3910</v>
      </c>
      <c r="E2144" s="43">
        <v>1000</v>
      </c>
      <c r="F2144" s="43"/>
      <c r="G2144" s="364">
        <f t="shared" si="19"/>
        <v>64600</v>
      </c>
      <c r="H2144" s="391" t="s">
        <v>9568</v>
      </c>
    </row>
    <row r="2145" spans="1:9" x14ac:dyDescent="0.3">
      <c r="A2145" s="45">
        <v>44345</v>
      </c>
      <c r="B2145" s="399"/>
      <c r="C2145" s="5" t="s">
        <v>0</v>
      </c>
      <c r="D2145" s="5" t="s">
        <v>7506</v>
      </c>
      <c r="E2145" s="43">
        <v>7050</v>
      </c>
      <c r="F2145" s="43"/>
      <c r="G2145" s="364">
        <f t="shared" si="19"/>
        <v>57550</v>
      </c>
      <c r="H2145" s="391" t="s">
        <v>9568</v>
      </c>
    </row>
    <row r="2146" spans="1:9" x14ac:dyDescent="0.3">
      <c r="A2146" s="45">
        <v>44345</v>
      </c>
      <c r="B2146" s="399"/>
      <c r="C2146" s="5" t="s">
        <v>14</v>
      </c>
      <c r="D2146" s="5" t="s">
        <v>640</v>
      </c>
      <c r="E2146" s="43">
        <v>1000</v>
      </c>
      <c r="F2146" s="43"/>
      <c r="G2146" s="364">
        <f t="shared" si="19"/>
        <v>56550</v>
      </c>
      <c r="H2146" s="391" t="s">
        <v>9568</v>
      </c>
    </row>
    <row r="2147" spans="1:9" x14ac:dyDescent="0.3">
      <c r="A2147" s="45">
        <v>44347</v>
      </c>
      <c r="B2147" s="399"/>
      <c r="C2147" s="5" t="s">
        <v>14</v>
      </c>
      <c r="D2147" s="5" t="s">
        <v>7507</v>
      </c>
      <c r="E2147" s="43">
        <v>32235</v>
      </c>
      <c r="F2147" s="43"/>
      <c r="G2147" s="364">
        <f t="shared" si="19"/>
        <v>24315</v>
      </c>
      <c r="H2147" s="391" t="s">
        <v>9568</v>
      </c>
    </row>
    <row r="2148" spans="1:9" x14ac:dyDescent="0.3">
      <c r="A2148" s="45">
        <v>44347</v>
      </c>
      <c r="B2148" s="399"/>
      <c r="C2148" s="5" t="s">
        <v>25</v>
      </c>
      <c r="D2148" s="5" t="s">
        <v>5237</v>
      </c>
      <c r="E2148" s="43">
        <v>526</v>
      </c>
      <c r="F2148" s="43"/>
      <c r="G2148" s="364">
        <f t="shared" si="19"/>
        <v>23789</v>
      </c>
      <c r="H2148" s="391" t="s">
        <v>9568</v>
      </c>
    </row>
    <row r="2149" spans="1:9" x14ac:dyDescent="0.3">
      <c r="A2149" s="45">
        <v>44347</v>
      </c>
      <c r="B2149" s="580"/>
      <c r="C2149" s="554" t="s">
        <v>7440</v>
      </c>
      <c r="D2149" s="554"/>
      <c r="E2149" s="554"/>
      <c r="F2149" s="43">
        <v>50000</v>
      </c>
      <c r="G2149" s="364">
        <f t="shared" si="19"/>
        <v>73789</v>
      </c>
      <c r="H2149" s="391" t="s">
        <v>9568</v>
      </c>
    </row>
    <row r="2150" spans="1:9" x14ac:dyDescent="0.3">
      <c r="A2150" s="45">
        <v>44347</v>
      </c>
      <c r="B2150" s="399"/>
      <c r="C2150" s="5" t="s">
        <v>1012</v>
      </c>
      <c r="D2150" s="5" t="s">
        <v>7508</v>
      </c>
      <c r="E2150" s="43">
        <v>2000</v>
      </c>
      <c r="F2150" s="43"/>
      <c r="G2150" s="364">
        <f t="shared" si="19"/>
        <v>71789</v>
      </c>
      <c r="H2150" s="391" t="s">
        <v>9568</v>
      </c>
    </row>
    <row r="2151" spans="1:9" x14ac:dyDescent="0.3">
      <c r="A2151" s="45">
        <v>44347</v>
      </c>
      <c r="B2151" s="399"/>
      <c r="C2151" s="5" t="s">
        <v>54</v>
      </c>
      <c r="D2151" s="5" t="s">
        <v>4956</v>
      </c>
      <c r="E2151" s="43">
        <v>25000</v>
      </c>
      <c r="F2151" s="43"/>
      <c r="G2151" s="364">
        <f t="shared" si="19"/>
        <v>46789</v>
      </c>
      <c r="H2151" s="391" t="s">
        <v>9568</v>
      </c>
    </row>
    <row r="2152" spans="1:9" x14ac:dyDescent="0.3">
      <c r="A2152" s="45">
        <v>44348</v>
      </c>
      <c r="B2152" s="399"/>
      <c r="C2152" s="5" t="s">
        <v>84</v>
      </c>
      <c r="D2152" s="5" t="s">
        <v>7510</v>
      </c>
      <c r="E2152" s="43">
        <v>1000</v>
      </c>
      <c r="F2152" s="43"/>
      <c r="G2152" s="364">
        <f t="shared" si="19"/>
        <v>45789</v>
      </c>
      <c r="H2152" s="391" t="s">
        <v>9568</v>
      </c>
    </row>
    <row r="2153" spans="1:9" x14ac:dyDescent="0.3">
      <c r="A2153" s="45">
        <v>44348</v>
      </c>
      <c r="B2153" s="399"/>
      <c r="C2153" s="5" t="s">
        <v>25</v>
      </c>
      <c r="D2153" s="5" t="s">
        <v>4276</v>
      </c>
      <c r="E2153" s="43">
        <f>1400+580+440+150+140+190+260+110+100+180+260+80+260+140+400+180+130+300+100+90+180+160+50+40</f>
        <v>5920</v>
      </c>
      <c r="F2153" s="43"/>
      <c r="G2153" s="364">
        <f t="shared" si="19"/>
        <v>39869</v>
      </c>
      <c r="H2153" s="391" t="s">
        <v>9568</v>
      </c>
    </row>
    <row r="2154" spans="1:9" ht="37.5" x14ac:dyDescent="0.3">
      <c r="A2154" s="45">
        <v>44349</v>
      </c>
      <c r="B2154" s="399"/>
      <c r="C2154" s="5" t="s">
        <v>5793</v>
      </c>
      <c r="D2154" s="92" t="s">
        <v>7519</v>
      </c>
      <c r="E2154" s="28">
        <v>2000</v>
      </c>
      <c r="F2154" s="43"/>
      <c r="G2154" s="364">
        <f t="shared" si="19"/>
        <v>37869</v>
      </c>
      <c r="H2154" s="391" t="s">
        <v>9568</v>
      </c>
    </row>
    <row r="2155" spans="1:9" x14ac:dyDescent="0.3">
      <c r="A2155" s="45">
        <v>44349</v>
      </c>
      <c r="B2155" s="399"/>
      <c r="C2155" s="5" t="s">
        <v>0</v>
      </c>
      <c r="D2155" s="5" t="s">
        <v>294</v>
      </c>
      <c r="E2155" s="43">
        <v>10000</v>
      </c>
      <c r="F2155" s="43"/>
      <c r="G2155" s="364">
        <f t="shared" si="19"/>
        <v>27869</v>
      </c>
      <c r="H2155" s="391" t="s">
        <v>9568</v>
      </c>
    </row>
    <row r="2156" spans="1:9" x14ac:dyDescent="0.3">
      <c r="A2156" s="45">
        <v>44349</v>
      </c>
      <c r="B2156" s="399"/>
      <c r="C2156" s="5" t="s">
        <v>57</v>
      </c>
      <c r="D2156" s="5" t="s">
        <v>7511</v>
      </c>
      <c r="E2156" s="43">
        <v>3000</v>
      </c>
      <c r="F2156" s="43"/>
      <c r="G2156" s="364">
        <f t="shared" si="19"/>
        <v>24869</v>
      </c>
      <c r="H2156" s="391" t="s">
        <v>9568</v>
      </c>
    </row>
    <row r="2157" spans="1:9" x14ac:dyDescent="0.3">
      <c r="A2157" s="45">
        <v>44349</v>
      </c>
      <c r="B2157" s="399"/>
      <c r="C2157" s="5" t="s">
        <v>25</v>
      </c>
      <c r="D2157" s="5" t="s">
        <v>6334</v>
      </c>
      <c r="E2157" s="43">
        <v>1000</v>
      </c>
      <c r="F2157" s="43"/>
      <c r="G2157" s="364">
        <f t="shared" si="19"/>
        <v>23869</v>
      </c>
      <c r="H2157" s="391" t="s">
        <v>9568</v>
      </c>
    </row>
    <row r="2158" spans="1:9" x14ac:dyDescent="0.3">
      <c r="A2158" s="45">
        <v>44349</v>
      </c>
      <c r="B2158" s="580"/>
      <c r="C2158" s="554" t="s">
        <v>7440</v>
      </c>
      <c r="D2158" s="554"/>
      <c r="E2158" s="554"/>
      <c r="F2158" s="43">
        <v>720000</v>
      </c>
      <c r="G2158" s="364">
        <f t="shared" si="19"/>
        <v>743869</v>
      </c>
      <c r="H2158" s="391" t="s">
        <v>9568</v>
      </c>
    </row>
    <row r="2159" spans="1:9" x14ac:dyDescent="0.3">
      <c r="A2159" s="45">
        <v>44349</v>
      </c>
      <c r="B2159" s="580"/>
      <c r="C2159" s="554" t="s">
        <v>7048</v>
      </c>
      <c r="D2159" s="554"/>
      <c r="E2159" s="554"/>
      <c r="F2159" s="43">
        <v>500000</v>
      </c>
      <c r="G2159" s="364">
        <f t="shared" ref="G2159:G2227" si="20">G2158+F2159-E2159</f>
        <v>1243869</v>
      </c>
      <c r="H2159" s="391" t="s">
        <v>9568</v>
      </c>
      <c r="I2159" s="254"/>
    </row>
    <row r="2160" spans="1:9" x14ac:dyDescent="0.3">
      <c r="A2160" s="45">
        <v>44350</v>
      </c>
      <c r="B2160" s="399"/>
      <c r="C2160" s="5" t="s">
        <v>14</v>
      </c>
      <c r="D2160" s="5" t="s">
        <v>7517</v>
      </c>
      <c r="E2160" s="43">
        <v>20000</v>
      </c>
      <c r="F2160" s="43"/>
      <c r="G2160" s="364">
        <f t="shared" si="20"/>
        <v>1223869</v>
      </c>
      <c r="H2160" s="391" t="s">
        <v>9568</v>
      </c>
    </row>
    <row r="2161" spans="1:13" x14ac:dyDescent="0.3">
      <c r="A2161" s="45">
        <v>44350</v>
      </c>
      <c r="B2161" s="399"/>
      <c r="C2161" s="5" t="s">
        <v>4550</v>
      </c>
      <c r="D2161" s="5" t="s">
        <v>7250</v>
      </c>
      <c r="E2161" s="43">
        <v>20000</v>
      </c>
      <c r="F2161" s="43"/>
      <c r="G2161" s="364">
        <f t="shared" si="20"/>
        <v>1203869</v>
      </c>
      <c r="H2161" s="391" t="s">
        <v>9568</v>
      </c>
    </row>
    <row r="2162" spans="1:13" x14ac:dyDescent="0.3">
      <c r="A2162" s="45">
        <v>44350</v>
      </c>
      <c r="B2162" s="399"/>
      <c r="C2162" s="5" t="s">
        <v>7128</v>
      </c>
      <c r="D2162" s="5" t="s">
        <v>6932</v>
      </c>
      <c r="E2162" s="43">
        <v>2000</v>
      </c>
      <c r="F2162" s="43"/>
      <c r="G2162" s="364">
        <f t="shared" si="20"/>
        <v>1201869</v>
      </c>
      <c r="H2162" s="391" t="s">
        <v>9568</v>
      </c>
    </row>
    <row r="2163" spans="1:13" x14ac:dyDescent="0.3">
      <c r="A2163" s="45">
        <v>44350</v>
      </c>
      <c r="B2163" s="402"/>
      <c r="C2163" s="39" t="s">
        <v>1512</v>
      </c>
      <c r="D2163" s="39" t="s">
        <v>6842</v>
      </c>
      <c r="E2163" s="43">
        <v>94000</v>
      </c>
      <c r="F2163" s="43"/>
      <c r="G2163" s="364">
        <f t="shared" si="20"/>
        <v>1107869</v>
      </c>
      <c r="H2163" s="391" t="s">
        <v>9568</v>
      </c>
    </row>
    <row r="2164" spans="1:13" x14ac:dyDescent="0.3">
      <c r="A2164" s="45">
        <v>44350</v>
      </c>
      <c r="B2164" s="402"/>
      <c r="C2164" s="39" t="s">
        <v>1512</v>
      </c>
      <c r="D2164" s="39" t="s">
        <v>7116</v>
      </c>
      <c r="E2164" s="43">
        <v>201484</v>
      </c>
      <c r="F2164" s="43"/>
      <c r="G2164" s="364">
        <f t="shared" si="20"/>
        <v>906385</v>
      </c>
      <c r="H2164" s="391" t="s">
        <v>9568</v>
      </c>
    </row>
    <row r="2165" spans="1:13" x14ac:dyDescent="0.3">
      <c r="A2165" s="45">
        <v>44350</v>
      </c>
      <c r="B2165" s="402"/>
      <c r="C2165" s="39" t="s">
        <v>1512</v>
      </c>
      <c r="D2165" s="39" t="s">
        <v>6546</v>
      </c>
      <c r="E2165" s="43">
        <v>121335</v>
      </c>
      <c r="F2165" s="43"/>
      <c r="G2165" s="364">
        <f t="shared" si="20"/>
        <v>785050</v>
      </c>
      <c r="H2165" s="391" t="s">
        <v>9568</v>
      </c>
    </row>
    <row r="2166" spans="1:13" x14ac:dyDescent="0.3">
      <c r="A2166" s="45">
        <v>44350</v>
      </c>
      <c r="B2166" s="402"/>
      <c r="C2166" s="39" t="s">
        <v>1512</v>
      </c>
      <c r="D2166" s="39" t="s">
        <v>6387</v>
      </c>
      <c r="E2166" s="43">
        <v>89770</v>
      </c>
      <c r="F2166" s="43"/>
      <c r="G2166" s="364">
        <f t="shared" si="20"/>
        <v>695280</v>
      </c>
      <c r="H2166" s="391" t="s">
        <v>9568</v>
      </c>
    </row>
    <row r="2167" spans="1:13" x14ac:dyDescent="0.3">
      <c r="A2167" s="45">
        <v>44350</v>
      </c>
      <c r="B2167" s="402"/>
      <c r="C2167" s="39" t="s">
        <v>1512</v>
      </c>
      <c r="D2167" s="39" t="s">
        <v>6556</v>
      </c>
      <c r="E2167" s="43">
        <v>84968</v>
      </c>
      <c r="F2167" s="43"/>
      <c r="G2167" s="364">
        <f t="shared" si="20"/>
        <v>610312</v>
      </c>
      <c r="H2167" s="391" t="s">
        <v>9568</v>
      </c>
    </row>
    <row r="2168" spans="1:13" x14ac:dyDescent="0.3">
      <c r="A2168" s="45">
        <v>44350</v>
      </c>
      <c r="B2168" s="402"/>
      <c r="C2168" s="39" t="s">
        <v>1512</v>
      </c>
      <c r="D2168" s="39" t="s">
        <v>7520</v>
      </c>
      <c r="E2168" s="43">
        <v>163800</v>
      </c>
      <c r="F2168" s="43"/>
      <c r="G2168" s="364">
        <f t="shared" si="20"/>
        <v>446512</v>
      </c>
      <c r="H2168" s="391" t="s">
        <v>9568</v>
      </c>
    </row>
    <row r="2169" spans="1:13" x14ac:dyDescent="0.3">
      <c r="A2169" s="45">
        <v>44350</v>
      </c>
      <c r="B2169" s="402"/>
      <c r="C2169" s="39" t="s">
        <v>1512</v>
      </c>
      <c r="D2169" s="39" t="s">
        <v>3618</v>
      </c>
      <c r="E2169" s="43">
        <v>49355</v>
      </c>
      <c r="F2169" s="43"/>
      <c r="G2169" s="364">
        <f t="shared" si="20"/>
        <v>397157</v>
      </c>
      <c r="H2169" s="391" t="s">
        <v>9568</v>
      </c>
    </row>
    <row r="2170" spans="1:13" x14ac:dyDescent="0.3">
      <c r="A2170" s="45">
        <v>44350</v>
      </c>
      <c r="B2170" s="402"/>
      <c r="C2170" s="39" t="s">
        <v>1512</v>
      </c>
      <c r="D2170" s="39" t="s">
        <v>445</v>
      </c>
      <c r="E2170" s="43">
        <v>16734</v>
      </c>
      <c r="F2170" s="43"/>
      <c r="G2170" s="364">
        <f t="shared" si="20"/>
        <v>380423</v>
      </c>
      <c r="H2170" s="391" t="s">
        <v>9568</v>
      </c>
    </row>
    <row r="2171" spans="1:13" x14ac:dyDescent="0.3">
      <c r="A2171" s="45">
        <v>44350</v>
      </c>
      <c r="B2171" s="402"/>
      <c r="C2171" s="39" t="s">
        <v>1512</v>
      </c>
      <c r="D2171" s="39" t="s">
        <v>7521</v>
      </c>
      <c r="E2171" s="43">
        <v>64343</v>
      </c>
      <c r="F2171" s="43"/>
      <c r="G2171" s="364">
        <f t="shared" si="20"/>
        <v>316080</v>
      </c>
      <c r="H2171" s="391" t="s">
        <v>9568</v>
      </c>
      <c r="M2171" s="93"/>
    </row>
    <row r="2172" spans="1:13" x14ac:dyDescent="0.3">
      <c r="A2172" s="45">
        <v>44350</v>
      </c>
      <c r="B2172" s="402"/>
      <c r="C2172" s="39" t="s">
        <v>1512</v>
      </c>
      <c r="D2172" s="39" t="s">
        <v>6679</v>
      </c>
      <c r="E2172" s="43">
        <v>18290</v>
      </c>
      <c r="F2172" s="43"/>
      <c r="G2172" s="364">
        <f t="shared" si="20"/>
        <v>297790</v>
      </c>
      <c r="H2172" s="391" t="s">
        <v>9568</v>
      </c>
      <c r="M2172" s="93"/>
    </row>
    <row r="2173" spans="1:13" x14ac:dyDescent="0.3">
      <c r="A2173" s="45">
        <v>44350</v>
      </c>
      <c r="B2173" s="402"/>
      <c r="C2173" s="39" t="s">
        <v>1512</v>
      </c>
      <c r="D2173" s="39" t="s">
        <v>6952</v>
      </c>
      <c r="E2173" s="43">
        <v>28850</v>
      </c>
      <c r="F2173" s="43"/>
      <c r="G2173" s="364">
        <f t="shared" si="20"/>
        <v>268940</v>
      </c>
      <c r="H2173" s="391" t="s">
        <v>9568</v>
      </c>
      <c r="M2173" s="93"/>
    </row>
    <row r="2174" spans="1:13" x14ac:dyDescent="0.3">
      <c r="A2174" s="45">
        <v>44350</v>
      </c>
      <c r="B2174" s="399"/>
      <c r="C2174" s="5" t="s">
        <v>0</v>
      </c>
      <c r="D2174" s="5" t="s">
        <v>3910</v>
      </c>
      <c r="E2174" s="43">
        <v>115000</v>
      </c>
      <c r="F2174" s="43"/>
      <c r="G2174" s="364">
        <f t="shared" si="20"/>
        <v>153940</v>
      </c>
      <c r="H2174" s="391" t="s">
        <v>9568</v>
      </c>
    </row>
    <row r="2175" spans="1:13" x14ac:dyDescent="0.3">
      <c r="A2175" s="45">
        <v>44351</v>
      </c>
      <c r="B2175" s="401"/>
      <c r="C2175" s="73" t="s">
        <v>7522</v>
      </c>
      <c r="D2175" s="73" t="s">
        <v>7523</v>
      </c>
      <c r="E2175" s="43">
        <v>25000</v>
      </c>
      <c r="F2175" s="43"/>
      <c r="G2175" s="364">
        <f t="shared" si="20"/>
        <v>128940</v>
      </c>
      <c r="H2175" s="391" t="s">
        <v>9568</v>
      </c>
    </row>
    <row r="2176" spans="1:13" x14ac:dyDescent="0.3">
      <c r="A2176" s="45">
        <v>44352</v>
      </c>
      <c r="B2176" s="399"/>
      <c r="C2176" s="5" t="s">
        <v>7524</v>
      </c>
      <c r="D2176" s="5" t="s">
        <v>5398</v>
      </c>
      <c r="E2176" s="43">
        <v>34790</v>
      </c>
      <c r="F2176" s="43"/>
      <c r="G2176" s="364">
        <f t="shared" si="20"/>
        <v>94150</v>
      </c>
      <c r="H2176" s="391" t="s">
        <v>9568</v>
      </c>
    </row>
    <row r="2177" spans="1:13" x14ac:dyDescent="0.3">
      <c r="A2177" s="45">
        <v>44352</v>
      </c>
      <c r="B2177" s="322"/>
      <c r="C2177" s="44" t="s">
        <v>68</v>
      </c>
      <c r="D2177" s="124" t="s">
        <v>7525</v>
      </c>
      <c r="E2177" s="28">
        <v>19050</v>
      </c>
      <c r="F2177" s="43"/>
      <c r="G2177" s="364">
        <f t="shared" si="20"/>
        <v>75100</v>
      </c>
      <c r="H2177" s="391" t="s">
        <v>9568</v>
      </c>
    </row>
    <row r="2178" spans="1:13" x14ac:dyDescent="0.3">
      <c r="A2178" s="45">
        <v>44352</v>
      </c>
      <c r="B2178" s="399"/>
      <c r="C2178" s="5" t="s">
        <v>4550</v>
      </c>
      <c r="D2178" s="5" t="s">
        <v>7250</v>
      </c>
      <c r="E2178" s="43">
        <v>70000</v>
      </c>
      <c r="F2178" s="43"/>
      <c r="G2178" s="364">
        <f t="shared" si="20"/>
        <v>5100</v>
      </c>
      <c r="H2178" s="391" t="s">
        <v>9568</v>
      </c>
    </row>
    <row r="2179" spans="1:13" x14ac:dyDescent="0.3">
      <c r="A2179" s="45">
        <v>44354</v>
      </c>
      <c r="B2179" s="580"/>
      <c r="C2179" s="554" t="s">
        <v>7088</v>
      </c>
      <c r="D2179" s="554"/>
      <c r="E2179" s="554"/>
      <c r="F2179" s="43">
        <v>200000</v>
      </c>
      <c r="G2179" s="364">
        <f t="shared" si="20"/>
        <v>205100</v>
      </c>
      <c r="H2179" s="391" t="s">
        <v>9568</v>
      </c>
      <c r="I2179" s="254"/>
    </row>
    <row r="2180" spans="1:13" x14ac:dyDescent="0.3">
      <c r="A2180" s="45">
        <v>44354</v>
      </c>
      <c r="B2180" s="399"/>
      <c r="C2180" s="5" t="s">
        <v>84</v>
      </c>
      <c r="D2180" s="5" t="s">
        <v>7529</v>
      </c>
      <c r="E2180" s="43">
        <v>3000</v>
      </c>
      <c r="F2180" s="43"/>
      <c r="G2180" s="364">
        <f t="shared" si="20"/>
        <v>202100</v>
      </c>
      <c r="H2180" s="391" t="s">
        <v>9568</v>
      </c>
    </row>
    <row r="2181" spans="1:13" x14ac:dyDescent="0.3">
      <c r="A2181" s="45">
        <v>44354</v>
      </c>
      <c r="B2181" s="399"/>
      <c r="C2181" s="5" t="s">
        <v>14</v>
      </c>
      <c r="D2181" s="5" t="s">
        <v>294</v>
      </c>
      <c r="E2181" s="43">
        <v>10000</v>
      </c>
      <c r="F2181" s="43"/>
      <c r="G2181" s="364">
        <f t="shared" si="20"/>
        <v>192100</v>
      </c>
      <c r="H2181" s="391" t="s">
        <v>9568</v>
      </c>
    </row>
    <row r="2182" spans="1:13" x14ac:dyDescent="0.3">
      <c r="A2182" s="45">
        <v>44354</v>
      </c>
      <c r="B2182" s="402"/>
      <c r="C2182" s="39" t="s">
        <v>1512</v>
      </c>
      <c r="D2182" s="39" t="s">
        <v>7305</v>
      </c>
      <c r="E2182" s="43">
        <v>41677</v>
      </c>
      <c r="F2182" s="43"/>
      <c r="G2182" s="364">
        <f t="shared" si="20"/>
        <v>150423</v>
      </c>
      <c r="H2182" s="391" t="s">
        <v>9568</v>
      </c>
      <c r="M2182" s="93"/>
    </row>
    <row r="2183" spans="1:13" x14ac:dyDescent="0.3">
      <c r="A2183" s="45">
        <v>44355</v>
      </c>
      <c r="B2183" s="399"/>
      <c r="C2183" s="5" t="s">
        <v>25</v>
      </c>
      <c r="D2183" s="5" t="s">
        <v>4276</v>
      </c>
      <c r="E2183" s="43">
        <v>6530</v>
      </c>
      <c r="F2183" s="43"/>
      <c r="G2183" s="364">
        <f t="shared" si="20"/>
        <v>143893</v>
      </c>
      <c r="H2183" s="391" t="s">
        <v>9568</v>
      </c>
    </row>
    <row r="2184" spans="1:13" x14ac:dyDescent="0.3">
      <c r="A2184" s="45">
        <v>44356</v>
      </c>
      <c r="B2184" s="399"/>
      <c r="C2184" s="5" t="s">
        <v>57</v>
      </c>
      <c r="D2184" s="5" t="s">
        <v>294</v>
      </c>
      <c r="E2184" s="43">
        <v>20000</v>
      </c>
      <c r="F2184" s="43"/>
      <c r="G2184" s="364">
        <f t="shared" si="20"/>
        <v>123893</v>
      </c>
      <c r="H2184" s="391" t="s">
        <v>9568</v>
      </c>
    </row>
    <row r="2185" spans="1:13" x14ac:dyDescent="0.3">
      <c r="A2185" s="45">
        <v>44356</v>
      </c>
      <c r="B2185" s="580"/>
      <c r="C2185" s="554" t="s">
        <v>7088</v>
      </c>
      <c r="D2185" s="554"/>
      <c r="E2185" s="554"/>
      <c r="F2185" s="43">
        <v>250000</v>
      </c>
      <c r="G2185" s="364">
        <f t="shared" si="20"/>
        <v>373893</v>
      </c>
      <c r="H2185" s="391" t="s">
        <v>9568</v>
      </c>
      <c r="I2185" s="254"/>
    </row>
    <row r="2186" spans="1:13" x14ac:dyDescent="0.3">
      <c r="A2186" s="45">
        <v>44356</v>
      </c>
      <c r="B2186" s="580"/>
      <c r="C2186" s="554" t="s">
        <v>7088</v>
      </c>
      <c r="D2186" s="554"/>
      <c r="E2186" s="554"/>
      <c r="F2186" s="43">
        <v>250000</v>
      </c>
      <c r="G2186" s="364">
        <f t="shared" si="20"/>
        <v>623893</v>
      </c>
      <c r="H2186" s="391" t="s">
        <v>9568</v>
      </c>
      <c r="I2186" s="254"/>
    </row>
    <row r="2187" spans="1:13" x14ac:dyDescent="0.3">
      <c r="A2187" s="45">
        <v>44356</v>
      </c>
      <c r="B2187" s="399"/>
      <c r="C2187" s="5" t="s">
        <v>6341</v>
      </c>
      <c r="D2187" s="5" t="s">
        <v>7549</v>
      </c>
      <c r="E2187" s="43">
        <v>65000</v>
      </c>
      <c r="F2187" s="43"/>
      <c r="G2187" s="364">
        <f t="shared" si="20"/>
        <v>558893</v>
      </c>
      <c r="H2187" s="391" t="s">
        <v>9568</v>
      </c>
    </row>
    <row r="2188" spans="1:13" x14ac:dyDescent="0.3">
      <c r="A2188" s="45">
        <v>44356</v>
      </c>
      <c r="B2188" s="402"/>
      <c r="C2188" s="39" t="s">
        <v>1512</v>
      </c>
      <c r="D2188" s="39" t="s">
        <v>7419</v>
      </c>
      <c r="E2188" s="43">
        <v>14000</v>
      </c>
      <c r="F2188" s="43"/>
      <c r="G2188" s="364">
        <f t="shared" si="20"/>
        <v>544893</v>
      </c>
      <c r="H2188" s="391" t="s">
        <v>9568</v>
      </c>
      <c r="M2188" s="93"/>
    </row>
    <row r="2189" spans="1:13" x14ac:dyDescent="0.3">
      <c r="A2189" s="45">
        <v>44356</v>
      </c>
      <c r="B2189" s="402"/>
      <c r="C2189" s="39" t="s">
        <v>1512</v>
      </c>
      <c r="D2189" s="39" t="s">
        <v>7531</v>
      </c>
      <c r="E2189" s="43">
        <v>15500</v>
      </c>
      <c r="F2189" s="43"/>
      <c r="G2189" s="364">
        <f t="shared" si="20"/>
        <v>529393</v>
      </c>
      <c r="H2189" s="391" t="s">
        <v>9568</v>
      </c>
      <c r="M2189" s="93"/>
    </row>
    <row r="2190" spans="1:13" x14ac:dyDescent="0.3">
      <c r="A2190" s="45">
        <v>44356</v>
      </c>
      <c r="B2190" s="399"/>
      <c r="C2190" s="5" t="s">
        <v>2948</v>
      </c>
      <c r="D2190" s="5" t="s">
        <v>7532</v>
      </c>
      <c r="E2190" s="43">
        <v>500</v>
      </c>
      <c r="F2190" s="43"/>
      <c r="G2190" s="364">
        <f t="shared" si="20"/>
        <v>528893</v>
      </c>
      <c r="H2190" s="391" t="s">
        <v>9568</v>
      </c>
    </row>
    <row r="2191" spans="1:13" x14ac:dyDescent="0.3">
      <c r="A2191" s="45">
        <v>44356</v>
      </c>
      <c r="B2191" s="402"/>
      <c r="C2191" s="39" t="s">
        <v>1512</v>
      </c>
      <c r="D2191" s="39" t="s">
        <v>6412</v>
      </c>
      <c r="E2191" s="43">
        <v>75645</v>
      </c>
      <c r="F2191" s="43"/>
      <c r="G2191" s="364">
        <f t="shared" si="20"/>
        <v>453248</v>
      </c>
      <c r="H2191" s="391" t="s">
        <v>9568</v>
      </c>
      <c r="M2191" s="93"/>
    </row>
    <row r="2192" spans="1:13" x14ac:dyDescent="0.3">
      <c r="A2192" s="45">
        <v>44356</v>
      </c>
      <c r="B2192" s="402"/>
      <c r="C2192" s="39" t="s">
        <v>1512</v>
      </c>
      <c r="D2192" s="39" t="s">
        <v>7535</v>
      </c>
      <c r="E2192" s="43">
        <v>37258</v>
      </c>
      <c r="F2192" s="43"/>
      <c r="G2192" s="364">
        <f t="shared" si="20"/>
        <v>415990</v>
      </c>
      <c r="H2192" s="391" t="s">
        <v>9568</v>
      </c>
      <c r="M2192" s="93"/>
    </row>
    <row r="2193" spans="1:13" x14ac:dyDescent="0.3">
      <c r="A2193" s="45">
        <v>44356</v>
      </c>
      <c r="B2193" s="580"/>
      <c r="C2193" s="554" t="s">
        <v>7536</v>
      </c>
      <c r="D2193" s="554"/>
      <c r="E2193" s="554"/>
      <c r="F2193" s="43">
        <v>11700</v>
      </c>
      <c r="G2193" s="364">
        <f t="shared" si="20"/>
        <v>427690</v>
      </c>
      <c r="H2193" s="391" t="s">
        <v>9568</v>
      </c>
      <c r="I2193" s="254"/>
    </row>
    <row r="2194" spans="1:13" x14ac:dyDescent="0.3">
      <c r="A2194" s="45">
        <v>44357</v>
      </c>
      <c r="B2194" s="401"/>
      <c r="C2194" s="73" t="s">
        <v>4869</v>
      </c>
      <c r="D2194" s="73" t="s">
        <v>294</v>
      </c>
      <c r="E2194" s="183">
        <v>4162</v>
      </c>
      <c r="F2194" s="43"/>
      <c r="G2194" s="364">
        <f t="shared" si="20"/>
        <v>423528</v>
      </c>
      <c r="H2194" s="391" t="s">
        <v>9568</v>
      </c>
    </row>
    <row r="2195" spans="1:13" x14ac:dyDescent="0.3">
      <c r="A2195" s="45">
        <v>44357</v>
      </c>
      <c r="B2195" s="399"/>
      <c r="C2195" s="5" t="s">
        <v>18</v>
      </c>
      <c r="D2195" s="5" t="s">
        <v>294</v>
      </c>
      <c r="E2195" s="43">
        <v>1000</v>
      </c>
      <c r="F2195" s="43"/>
      <c r="G2195" s="364">
        <f t="shared" si="20"/>
        <v>422528</v>
      </c>
      <c r="H2195" s="391" t="s">
        <v>9568</v>
      </c>
    </row>
    <row r="2196" spans="1:13" x14ac:dyDescent="0.3">
      <c r="A2196" s="45">
        <v>44357</v>
      </c>
      <c r="B2196" s="580"/>
      <c r="C2196" s="554" t="s">
        <v>861</v>
      </c>
      <c r="D2196" s="554"/>
      <c r="E2196" s="554"/>
      <c r="F2196" s="43">
        <v>80000</v>
      </c>
      <c r="G2196" s="364">
        <f t="shared" si="20"/>
        <v>502528</v>
      </c>
      <c r="H2196" s="391" t="s">
        <v>9568</v>
      </c>
      <c r="I2196" s="254"/>
    </row>
    <row r="2197" spans="1:13" x14ac:dyDescent="0.3">
      <c r="A2197" s="45">
        <v>44357</v>
      </c>
      <c r="B2197" s="399"/>
      <c r="C2197" s="5" t="s">
        <v>7539</v>
      </c>
      <c r="D2197" s="73" t="s">
        <v>7540</v>
      </c>
      <c r="E2197" s="43">
        <v>40000</v>
      </c>
      <c r="F2197" s="43"/>
      <c r="G2197" s="364">
        <f t="shared" si="20"/>
        <v>462528</v>
      </c>
      <c r="H2197" s="391" t="s">
        <v>9568</v>
      </c>
    </row>
    <row r="2198" spans="1:13" x14ac:dyDescent="0.3">
      <c r="A2198" s="45">
        <v>44357</v>
      </c>
      <c r="B2198" s="399"/>
      <c r="C2198" s="5" t="s">
        <v>6341</v>
      </c>
      <c r="D2198" s="5" t="s">
        <v>7550</v>
      </c>
      <c r="E2198" s="43">
        <v>11000</v>
      </c>
      <c r="F2198" s="43"/>
      <c r="G2198" s="364">
        <f t="shared" si="20"/>
        <v>451528</v>
      </c>
      <c r="H2198" s="391" t="s">
        <v>9568</v>
      </c>
    </row>
    <row r="2199" spans="1:13" x14ac:dyDescent="0.3">
      <c r="A2199" s="45">
        <v>44357</v>
      </c>
      <c r="B2199" s="399"/>
      <c r="C2199" s="5" t="s">
        <v>6600</v>
      </c>
      <c r="D2199" s="5" t="s">
        <v>7541</v>
      </c>
      <c r="E2199" s="43">
        <v>10000</v>
      </c>
      <c r="F2199" s="43"/>
      <c r="G2199" s="364">
        <f t="shared" si="20"/>
        <v>441528</v>
      </c>
      <c r="H2199" s="391" t="s">
        <v>9568</v>
      </c>
      <c r="I2199" s="255"/>
    </row>
    <row r="2200" spans="1:13" x14ac:dyDescent="0.3">
      <c r="A2200" s="45">
        <v>44357</v>
      </c>
      <c r="B2200" s="399"/>
      <c r="C2200" s="5" t="s">
        <v>5162</v>
      </c>
      <c r="D2200" s="5" t="s">
        <v>7542</v>
      </c>
      <c r="E2200" s="43">
        <v>1200</v>
      </c>
      <c r="F2200" s="43"/>
      <c r="G2200" s="364">
        <f t="shared" si="20"/>
        <v>440328</v>
      </c>
      <c r="H2200" s="391" t="s">
        <v>9568</v>
      </c>
    </row>
    <row r="2201" spans="1:13" x14ac:dyDescent="0.3">
      <c r="A2201" s="45">
        <v>44358</v>
      </c>
      <c r="B2201" s="399"/>
      <c r="C2201" s="5" t="s">
        <v>7474</v>
      </c>
      <c r="D2201" s="5" t="s">
        <v>7543</v>
      </c>
      <c r="E2201" s="43">
        <v>75000</v>
      </c>
      <c r="F2201" s="43"/>
      <c r="G2201" s="364">
        <f t="shared" si="20"/>
        <v>365328</v>
      </c>
      <c r="H2201" s="391" t="s">
        <v>9568</v>
      </c>
    </row>
    <row r="2202" spans="1:13" x14ac:dyDescent="0.3">
      <c r="A2202" s="45">
        <v>44358</v>
      </c>
      <c r="B2202" s="399"/>
      <c r="C2202" s="5" t="s">
        <v>7544</v>
      </c>
      <c r="D2202" s="5" t="s">
        <v>7545</v>
      </c>
      <c r="E2202" s="43">
        <v>15000</v>
      </c>
      <c r="F2202" s="43"/>
      <c r="G2202" s="364">
        <f t="shared" si="20"/>
        <v>350328</v>
      </c>
      <c r="H2202" s="391" t="s">
        <v>9568</v>
      </c>
    </row>
    <row r="2203" spans="1:13" x14ac:dyDescent="0.3">
      <c r="A2203" s="45">
        <v>44358</v>
      </c>
      <c r="B2203" s="399"/>
      <c r="C2203" s="5" t="s">
        <v>7546</v>
      </c>
      <c r="D2203" s="5" t="s">
        <v>6067</v>
      </c>
      <c r="E2203" s="43">
        <v>50000</v>
      </c>
      <c r="F2203" s="43"/>
      <c r="G2203" s="364">
        <f t="shared" si="20"/>
        <v>300328</v>
      </c>
      <c r="H2203" s="391" t="s">
        <v>9568</v>
      </c>
    </row>
    <row r="2204" spans="1:13" x14ac:dyDescent="0.3">
      <c r="A2204" s="45">
        <v>44358</v>
      </c>
      <c r="B2204" s="399"/>
      <c r="C2204" s="5" t="s">
        <v>541</v>
      </c>
      <c r="D2204" s="5" t="s">
        <v>7547</v>
      </c>
      <c r="E2204" s="43">
        <v>40490</v>
      </c>
      <c r="F2204" s="43"/>
      <c r="G2204" s="364">
        <f t="shared" si="20"/>
        <v>259838</v>
      </c>
      <c r="H2204" s="391" t="s">
        <v>9568</v>
      </c>
    </row>
    <row r="2205" spans="1:13" x14ac:dyDescent="0.3">
      <c r="A2205" s="45">
        <v>44358</v>
      </c>
      <c r="B2205" s="402"/>
      <c r="C2205" s="39" t="s">
        <v>1512</v>
      </c>
      <c r="D2205" s="39" t="s">
        <v>7430</v>
      </c>
      <c r="E2205" s="43">
        <v>25000</v>
      </c>
      <c r="F2205" s="43"/>
      <c r="G2205" s="364">
        <f t="shared" si="20"/>
        <v>234838</v>
      </c>
      <c r="H2205" s="391" t="s">
        <v>9568</v>
      </c>
    </row>
    <row r="2206" spans="1:13" x14ac:dyDescent="0.3">
      <c r="A2206" s="45">
        <v>44358</v>
      </c>
      <c r="B2206" s="580"/>
      <c r="C2206" s="554" t="s">
        <v>861</v>
      </c>
      <c r="D2206" s="554"/>
      <c r="E2206" s="554"/>
      <c r="F2206" s="43">
        <v>150000</v>
      </c>
      <c r="G2206" s="364">
        <f t="shared" si="20"/>
        <v>384838</v>
      </c>
      <c r="H2206" s="391" t="s">
        <v>9568</v>
      </c>
      <c r="M2206" s="93"/>
    </row>
    <row r="2207" spans="1:13" x14ac:dyDescent="0.3">
      <c r="A2207" s="45">
        <v>44358</v>
      </c>
      <c r="B2207" s="399"/>
      <c r="C2207" s="5" t="s">
        <v>1616</v>
      </c>
      <c r="D2207" s="5" t="s">
        <v>3172</v>
      </c>
      <c r="E2207" s="43">
        <v>2600</v>
      </c>
      <c r="F2207" s="43"/>
      <c r="G2207" s="364">
        <f t="shared" si="20"/>
        <v>382238</v>
      </c>
      <c r="H2207" s="391" t="s">
        <v>9568</v>
      </c>
      <c r="I2207" s="254"/>
    </row>
    <row r="2208" spans="1:13" x14ac:dyDescent="0.3">
      <c r="A2208" s="45">
        <v>44359</v>
      </c>
      <c r="B2208" s="399"/>
      <c r="C2208" s="5" t="s">
        <v>57</v>
      </c>
      <c r="D2208" s="5" t="s">
        <v>7548</v>
      </c>
      <c r="E2208" s="43">
        <v>8000</v>
      </c>
      <c r="F2208" s="43"/>
      <c r="G2208" s="364">
        <f t="shared" si="20"/>
        <v>374238</v>
      </c>
      <c r="H2208" s="391" t="s">
        <v>9568</v>
      </c>
    </row>
    <row r="2209" spans="1:13" x14ac:dyDescent="0.3">
      <c r="A2209" s="45">
        <v>44359</v>
      </c>
      <c r="B2209" s="399"/>
      <c r="C2209" s="5" t="s">
        <v>5709</v>
      </c>
      <c r="D2209" s="5" t="s">
        <v>7131</v>
      </c>
      <c r="E2209" s="43">
        <v>4500</v>
      </c>
      <c r="F2209" s="43"/>
      <c r="G2209" s="364">
        <f t="shared" si="20"/>
        <v>369738</v>
      </c>
      <c r="H2209" s="391" t="s">
        <v>9568</v>
      </c>
    </row>
    <row r="2210" spans="1:13" x14ac:dyDescent="0.3">
      <c r="A2210" s="45">
        <v>44359</v>
      </c>
      <c r="B2210" s="399"/>
      <c r="C2210" s="5" t="s">
        <v>25</v>
      </c>
      <c r="D2210" s="5" t="s">
        <v>4276</v>
      </c>
      <c r="E2210" s="43">
        <v>6220</v>
      </c>
      <c r="F2210" s="43"/>
      <c r="G2210" s="364">
        <f t="shared" si="20"/>
        <v>363518</v>
      </c>
      <c r="H2210" s="391" t="s">
        <v>9568</v>
      </c>
    </row>
    <row r="2211" spans="1:13" x14ac:dyDescent="0.3">
      <c r="A2211" s="45">
        <v>44359</v>
      </c>
      <c r="B2211" s="399"/>
      <c r="C2211" s="5" t="s">
        <v>84</v>
      </c>
      <c r="D2211" s="5" t="s">
        <v>7551</v>
      </c>
      <c r="E2211" s="43">
        <v>5000</v>
      </c>
      <c r="F2211" s="43"/>
      <c r="G2211" s="364">
        <f t="shared" si="20"/>
        <v>358518</v>
      </c>
      <c r="H2211" s="391" t="s">
        <v>9568</v>
      </c>
    </row>
    <row r="2212" spans="1:13" x14ac:dyDescent="0.3">
      <c r="A2212" s="45">
        <v>44359</v>
      </c>
      <c r="B2212" s="399"/>
      <c r="C2212" s="5" t="s">
        <v>5709</v>
      </c>
      <c r="D2212" s="5" t="s">
        <v>7552</v>
      </c>
      <c r="E2212" s="43">
        <v>20000</v>
      </c>
      <c r="F2212" s="43"/>
      <c r="G2212" s="364">
        <f t="shared" si="20"/>
        <v>338518</v>
      </c>
      <c r="H2212" s="391" t="s">
        <v>9568</v>
      </c>
    </row>
    <row r="2213" spans="1:13" x14ac:dyDescent="0.3">
      <c r="A2213" s="45">
        <v>44359</v>
      </c>
      <c r="B2213" s="399"/>
      <c r="C2213" s="5" t="s">
        <v>0</v>
      </c>
      <c r="D2213" s="5" t="s">
        <v>294</v>
      </c>
      <c r="E2213" s="43">
        <v>25000</v>
      </c>
      <c r="F2213" s="43"/>
      <c r="G2213" s="364">
        <f t="shared" si="20"/>
        <v>313518</v>
      </c>
      <c r="H2213" s="391" t="s">
        <v>9568</v>
      </c>
      <c r="L2213" s="93"/>
      <c r="M2213" s="93"/>
    </row>
    <row r="2214" spans="1:13" x14ac:dyDescent="0.3">
      <c r="A2214" s="45">
        <v>44361</v>
      </c>
      <c r="B2214" s="399"/>
      <c r="C2214" s="5" t="s">
        <v>5938</v>
      </c>
      <c r="D2214" s="5" t="s">
        <v>7554</v>
      </c>
      <c r="E2214" s="43">
        <v>20000</v>
      </c>
      <c r="F2214" s="43"/>
      <c r="G2214" s="364">
        <f t="shared" si="20"/>
        <v>293518</v>
      </c>
      <c r="H2214" s="391" t="s">
        <v>9568</v>
      </c>
    </row>
    <row r="2215" spans="1:13" x14ac:dyDescent="0.3">
      <c r="A2215" s="45">
        <v>44361</v>
      </c>
      <c r="B2215" s="399"/>
      <c r="C2215" s="5" t="s">
        <v>14</v>
      </c>
      <c r="D2215" s="5" t="s">
        <v>7555</v>
      </c>
      <c r="E2215" s="43">
        <v>50000</v>
      </c>
      <c r="F2215" s="43"/>
      <c r="G2215" s="364">
        <f t="shared" si="20"/>
        <v>243518</v>
      </c>
      <c r="H2215" s="391" t="s">
        <v>9568</v>
      </c>
    </row>
    <row r="2216" spans="1:13" x14ac:dyDescent="0.3">
      <c r="A2216" s="45">
        <v>44361</v>
      </c>
      <c r="B2216" s="399"/>
      <c r="C2216" s="5" t="s">
        <v>6877</v>
      </c>
      <c r="D2216" s="5" t="s">
        <v>7557</v>
      </c>
      <c r="E2216" s="43">
        <v>50000</v>
      </c>
      <c r="F2216" s="43"/>
      <c r="G2216" s="364">
        <f t="shared" si="20"/>
        <v>193518</v>
      </c>
      <c r="H2216" s="391" t="s">
        <v>9568</v>
      </c>
    </row>
    <row r="2217" spans="1:13" x14ac:dyDescent="0.3">
      <c r="A2217" s="45">
        <v>44361</v>
      </c>
      <c r="B2217" s="399"/>
      <c r="C2217" s="5" t="s">
        <v>5709</v>
      </c>
      <c r="D2217" s="5" t="s">
        <v>7558</v>
      </c>
      <c r="E2217" s="43">
        <v>20000</v>
      </c>
      <c r="F2217" s="43"/>
      <c r="G2217" s="364">
        <f t="shared" si="20"/>
        <v>173518</v>
      </c>
      <c r="H2217" s="391" t="s">
        <v>9568</v>
      </c>
    </row>
    <row r="2218" spans="1:13" x14ac:dyDescent="0.3">
      <c r="A2218" s="45">
        <v>44361</v>
      </c>
      <c r="B2218" s="399"/>
      <c r="C2218" s="5" t="s">
        <v>541</v>
      </c>
      <c r="D2218" s="5" t="s">
        <v>6378</v>
      </c>
      <c r="E2218" s="43">
        <v>5000</v>
      </c>
      <c r="F2218" s="43"/>
      <c r="G2218" s="364">
        <f t="shared" si="20"/>
        <v>168518</v>
      </c>
      <c r="H2218" s="391" t="s">
        <v>9568</v>
      </c>
    </row>
    <row r="2219" spans="1:13" ht="37.5" x14ac:dyDescent="0.3">
      <c r="A2219" s="45">
        <v>44361</v>
      </c>
      <c r="B2219" s="399"/>
      <c r="C2219" s="5" t="s">
        <v>4550</v>
      </c>
      <c r="D2219" s="92" t="s">
        <v>7560</v>
      </c>
      <c r="E2219" s="43">
        <v>25000</v>
      </c>
      <c r="F2219" s="43"/>
      <c r="G2219" s="364">
        <f t="shared" si="20"/>
        <v>143518</v>
      </c>
      <c r="H2219" s="391" t="s">
        <v>9568</v>
      </c>
    </row>
    <row r="2220" spans="1:13" x14ac:dyDescent="0.3">
      <c r="A2220" s="45">
        <v>44361</v>
      </c>
      <c r="B2220" s="399"/>
      <c r="C2220" s="5" t="s">
        <v>4550</v>
      </c>
      <c r="D2220" s="5" t="s">
        <v>7559</v>
      </c>
      <c r="E2220" s="43">
        <v>15000</v>
      </c>
      <c r="F2220" s="43"/>
      <c r="G2220" s="364">
        <f t="shared" si="20"/>
        <v>128518</v>
      </c>
      <c r="H2220" s="391" t="s">
        <v>9568</v>
      </c>
    </row>
    <row r="2221" spans="1:13" x14ac:dyDescent="0.3">
      <c r="A2221" s="45">
        <v>44362</v>
      </c>
      <c r="B2221" s="399"/>
      <c r="C2221" s="5" t="s">
        <v>5930</v>
      </c>
      <c r="D2221" s="5" t="s">
        <v>40</v>
      </c>
      <c r="E2221" s="43">
        <v>24300</v>
      </c>
      <c r="F2221" s="43"/>
      <c r="G2221" s="364">
        <f t="shared" si="20"/>
        <v>104218</v>
      </c>
      <c r="H2221" s="391" t="s">
        <v>9568</v>
      </c>
    </row>
    <row r="2222" spans="1:13" x14ac:dyDescent="0.3">
      <c r="A2222" s="45">
        <v>44362</v>
      </c>
      <c r="B2222" s="399"/>
      <c r="C2222" s="5" t="s">
        <v>25</v>
      </c>
      <c r="D2222" s="5" t="s">
        <v>7561</v>
      </c>
      <c r="E2222" s="43">
        <v>100</v>
      </c>
      <c r="F2222" s="43"/>
      <c r="G2222" s="364">
        <f t="shared" si="20"/>
        <v>104118</v>
      </c>
      <c r="H2222" s="391" t="s">
        <v>9568</v>
      </c>
    </row>
    <row r="2223" spans="1:13" x14ac:dyDescent="0.3">
      <c r="A2223" s="45">
        <v>44362</v>
      </c>
      <c r="B2223" s="399"/>
      <c r="C2223" s="5" t="s">
        <v>0</v>
      </c>
      <c r="D2223" s="5" t="s">
        <v>294</v>
      </c>
      <c r="E2223" s="43">
        <v>35000</v>
      </c>
      <c r="F2223" s="43"/>
      <c r="G2223" s="364">
        <f t="shared" si="20"/>
        <v>69118</v>
      </c>
      <c r="H2223" s="391" t="s">
        <v>9568</v>
      </c>
    </row>
    <row r="2224" spans="1:13" x14ac:dyDescent="0.3">
      <c r="A2224" s="45">
        <v>44362</v>
      </c>
      <c r="B2224" s="399"/>
      <c r="C2224" s="5" t="s">
        <v>6877</v>
      </c>
      <c r="D2224" s="5" t="s">
        <v>7562</v>
      </c>
      <c r="E2224" s="43">
        <v>17930</v>
      </c>
      <c r="F2224" s="43"/>
      <c r="G2224" s="364">
        <f t="shared" si="20"/>
        <v>51188</v>
      </c>
      <c r="H2224" s="391" t="s">
        <v>9568</v>
      </c>
    </row>
    <row r="2225" spans="1:13" x14ac:dyDescent="0.3">
      <c r="A2225" s="45">
        <v>44362</v>
      </c>
      <c r="B2225" s="399"/>
      <c r="C2225" s="5" t="s">
        <v>6341</v>
      </c>
      <c r="D2225" s="5" t="s">
        <v>7563</v>
      </c>
      <c r="E2225" s="43">
        <v>11500</v>
      </c>
      <c r="F2225" s="43"/>
      <c r="G2225" s="364">
        <f t="shared" si="20"/>
        <v>39688</v>
      </c>
      <c r="H2225" s="391" t="s">
        <v>9568</v>
      </c>
    </row>
    <row r="2226" spans="1:13" x14ac:dyDescent="0.3">
      <c r="A2226" s="45">
        <v>44362</v>
      </c>
      <c r="B2226" s="399"/>
      <c r="C2226" s="5" t="s">
        <v>6908</v>
      </c>
      <c r="D2226" s="5" t="s">
        <v>6507</v>
      </c>
      <c r="E2226" s="43">
        <v>12000</v>
      </c>
      <c r="F2226" s="43"/>
      <c r="G2226" s="364">
        <f t="shared" si="20"/>
        <v>27688</v>
      </c>
      <c r="H2226" s="391" t="s">
        <v>9568</v>
      </c>
    </row>
    <row r="2227" spans="1:13" x14ac:dyDescent="0.3">
      <c r="A2227" s="45">
        <v>44362</v>
      </c>
      <c r="B2227" s="399"/>
      <c r="C2227" s="5" t="s">
        <v>6959</v>
      </c>
      <c r="D2227" s="5" t="s">
        <v>78</v>
      </c>
      <c r="E2227" s="43">
        <v>200</v>
      </c>
      <c r="F2227" s="43"/>
      <c r="G2227" s="364">
        <f t="shared" si="20"/>
        <v>27488</v>
      </c>
      <c r="H2227" s="391" t="s">
        <v>9568</v>
      </c>
    </row>
    <row r="2228" spans="1:13" x14ac:dyDescent="0.3">
      <c r="A2228" s="45">
        <v>44362</v>
      </c>
      <c r="B2228" s="399"/>
      <c r="C2228" s="5" t="s">
        <v>1616</v>
      </c>
      <c r="D2228" s="5" t="s">
        <v>640</v>
      </c>
      <c r="E2228" s="43">
        <v>2000</v>
      </c>
      <c r="F2228" s="43"/>
      <c r="G2228" s="364">
        <f>G2227+F2228-E2228</f>
        <v>25488</v>
      </c>
      <c r="H2228" s="391" t="s">
        <v>9568</v>
      </c>
    </row>
    <row r="2229" spans="1:13" x14ac:dyDescent="0.3">
      <c r="A2229" s="45">
        <v>44363</v>
      </c>
      <c r="B2229" s="399"/>
      <c r="C2229" s="5" t="s">
        <v>861</v>
      </c>
      <c r="D2229" s="5" t="s">
        <v>7564</v>
      </c>
      <c r="E2229" s="43">
        <v>1500</v>
      </c>
      <c r="F2229" s="43"/>
      <c r="G2229" s="364">
        <f t="shared" ref="G2229:G2237" si="21">G2228+F2229-E2229</f>
        <v>23988</v>
      </c>
      <c r="H2229" s="391" t="s">
        <v>9568</v>
      </c>
    </row>
    <row r="2230" spans="1:13" x14ac:dyDescent="0.3">
      <c r="A2230" s="45">
        <v>44363</v>
      </c>
      <c r="B2230" s="580"/>
      <c r="C2230" s="554" t="s">
        <v>4362</v>
      </c>
      <c r="D2230" s="554"/>
      <c r="E2230" s="554"/>
      <c r="F2230" s="43">
        <v>10000</v>
      </c>
      <c r="G2230" s="364">
        <f t="shared" si="21"/>
        <v>33988</v>
      </c>
      <c r="H2230" s="391" t="s">
        <v>9568</v>
      </c>
      <c r="M2230" s="93"/>
    </row>
    <row r="2231" spans="1:13" x14ac:dyDescent="0.3">
      <c r="A2231" s="45">
        <v>44363</v>
      </c>
      <c r="B2231" s="399"/>
      <c r="C2231" s="5" t="s">
        <v>0</v>
      </c>
      <c r="D2231" s="5" t="s">
        <v>7567</v>
      </c>
      <c r="E2231" s="43">
        <v>25000</v>
      </c>
      <c r="F2231" s="43"/>
      <c r="G2231" s="364">
        <f t="shared" si="21"/>
        <v>8988</v>
      </c>
      <c r="H2231" s="391" t="s">
        <v>9568</v>
      </c>
    </row>
    <row r="2232" spans="1:13" x14ac:dyDescent="0.3">
      <c r="A2232" s="45">
        <v>44363</v>
      </c>
      <c r="B2232" s="399"/>
      <c r="C2232" s="5" t="s">
        <v>84</v>
      </c>
      <c r="D2232" s="5" t="s">
        <v>7568</v>
      </c>
      <c r="E2232" s="43">
        <v>3000</v>
      </c>
      <c r="F2232" s="43"/>
      <c r="G2232" s="364">
        <f t="shared" si="21"/>
        <v>5988</v>
      </c>
      <c r="H2232" s="391" t="s">
        <v>9568</v>
      </c>
    </row>
    <row r="2233" spans="1:13" x14ac:dyDescent="0.3">
      <c r="A2233" s="45">
        <v>44363</v>
      </c>
      <c r="B2233" s="580"/>
      <c r="C2233" s="554" t="s">
        <v>7348</v>
      </c>
      <c r="D2233" s="554"/>
      <c r="E2233" s="554"/>
      <c r="F2233" s="43">
        <v>50000</v>
      </c>
      <c r="G2233" s="364">
        <f t="shared" si="21"/>
        <v>55988</v>
      </c>
      <c r="H2233" s="391" t="s">
        <v>9568</v>
      </c>
      <c r="M2233" s="93"/>
    </row>
    <row r="2234" spans="1:13" ht="37.5" x14ac:dyDescent="0.3">
      <c r="A2234" s="45">
        <v>44363</v>
      </c>
      <c r="B2234" s="399"/>
      <c r="C2234" s="5" t="s">
        <v>7546</v>
      </c>
      <c r="D2234" s="92" t="s">
        <v>7569</v>
      </c>
      <c r="E2234" s="43">
        <v>55500</v>
      </c>
      <c r="F2234" s="43"/>
      <c r="G2234" s="364">
        <f t="shared" si="21"/>
        <v>488</v>
      </c>
      <c r="H2234" s="391" t="s">
        <v>9568</v>
      </c>
    </row>
    <row r="2235" spans="1:13" x14ac:dyDescent="0.3">
      <c r="A2235" s="45">
        <v>44364</v>
      </c>
      <c r="B2235" s="580"/>
      <c r="C2235" s="554" t="s">
        <v>861</v>
      </c>
      <c r="D2235" s="554"/>
      <c r="E2235" s="554"/>
      <c r="F2235" s="43">
        <v>250000</v>
      </c>
      <c r="G2235" s="364">
        <f t="shared" si="21"/>
        <v>250488</v>
      </c>
      <c r="H2235" s="391" t="s">
        <v>9568</v>
      </c>
      <c r="M2235" s="93"/>
    </row>
    <row r="2236" spans="1:13" x14ac:dyDescent="0.3">
      <c r="A2236" s="45">
        <v>44364</v>
      </c>
      <c r="B2236" s="399"/>
      <c r="C2236" s="5" t="s">
        <v>7349</v>
      </c>
      <c r="D2236" s="5" t="s">
        <v>7571</v>
      </c>
      <c r="E2236" s="43">
        <v>50000</v>
      </c>
      <c r="F2236" s="43"/>
      <c r="G2236" s="364">
        <f t="shared" si="21"/>
        <v>200488</v>
      </c>
      <c r="H2236" s="391" t="s">
        <v>9568</v>
      </c>
    </row>
    <row r="2237" spans="1:13" x14ac:dyDescent="0.3">
      <c r="A2237" s="45">
        <v>44364</v>
      </c>
      <c r="B2237" s="402"/>
      <c r="C2237" s="39" t="s">
        <v>7570</v>
      </c>
      <c r="D2237" s="39" t="s">
        <v>7578</v>
      </c>
      <c r="E2237" s="40">
        <v>165600</v>
      </c>
      <c r="F2237" s="43"/>
      <c r="G2237" s="364">
        <f t="shared" si="21"/>
        <v>34888</v>
      </c>
      <c r="H2237" s="391" t="s">
        <v>9568</v>
      </c>
    </row>
    <row r="2238" spans="1:13" x14ac:dyDescent="0.3">
      <c r="A2238" s="45">
        <v>44364</v>
      </c>
      <c r="B2238" s="399"/>
      <c r="C2238" s="5" t="s">
        <v>1837</v>
      </c>
      <c r="D2238" s="5" t="s">
        <v>3183</v>
      </c>
      <c r="E2238" s="43">
        <v>10000</v>
      </c>
      <c r="F2238" s="43"/>
      <c r="G2238" s="364">
        <f t="shared" ref="G2238:G2283" si="22">G2237+F2238-E2238</f>
        <v>24888</v>
      </c>
      <c r="H2238" s="391" t="s">
        <v>9568</v>
      </c>
    </row>
    <row r="2239" spans="1:13" x14ac:dyDescent="0.3">
      <c r="A2239" s="45">
        <v>44364</v>
      </c>
      <c r="B2239" s="399"/>
      <c r="C2239" s="5" t="s">
        <v>0</v>
      </c>
      <c r="D2239" s="5" t="s">
        <v>31</v>
      </c>
      <c r="E2239" s="43">
        <v>5800</v>
      </c>
      <c r="F2239" s="43"/>
      <c r="G2239" s="364">
        <f t="shared" si="22"/>
        <v>19088</v>
      </c>
      <c r="H2239" s="391" t="s">
        <v>9568</v>
      </c>
    </row>
    <row r="2240" spans="1:13" x14ac:dyDescent="0.3">
      <c r="A2240" s="45">
        <v>44364</v>
      </c>
      <c r="B2240" s="399"/>
      <c r="C2240" s="5" t="s">
        <v>84</v>
      </c>
      <c r="D2240" s="5" t="s">
        <v>7573</v>
      </c>
      <c r="E2240" s="43">
        <v>2000</v>
      </c>
      <c r="F2240" s="43"/>
      <c r="G2240" s="364">
        <f t="shared" si="22"/>
        <v>17088</v>
      </c>
      <c r="H2240" s="391" t="s">
        <v>9568</v>
      </c>
    </row>
    <row r="2241" spans="1:13" x14ac:dyDescent="0.3">
      <c r="A2241" s="45">
        <v>44364</v>
      </c>
      <c r="B2241" s="399"/>
      <c r="C2241" s="5" t="s">
        <v>84</v>
      </c>
      <c r="D2241" s="5" t="s">
        <v>7574</v>
      </c>
      <c r="E2241" s="43">
        <v>1000</v>
      </c>
      <c r="F2241" s="43"/>
      <c r="G2241" s="364">
        <f t="shared" si="22"/>
        <v>16088</v>
      </c>
      <c r="H2241" s="391" t="s">
        <v>9568</v>
      </c>
    </row>
    <row r="2242" spans="1:13" x14ac:dyDescent="0.3">
      <c r="A2242" s="45">
        <v>44364</v>
      </c>
      <c r="B2242" s="399"/>
      <c r="C2242" s="5" t="s">
        <v>54</v>
      </c>
      <c r="D2242" s="5" t="s">
        <v>7575</v>
      </c>
      <c r="E2242" s="43">
        <v>1600</v>
      </c>
      <c r="F2242" s="43"/>
      <c r="G2242" s="364">
        <f t="shared" si="22"/>
        <v>14488</v>
      </c>
      <c r="H2242" s="391" t="s">
        <v>9568</v>
      </c>
    </row>
    <row r="2243" spans="1:13" x14ac:dyDescent="0.3">
      <c r="A2243" s="45">
        <v>44364</v>
      </c>
      <c r="B2243" s="399"/>
      <c r="C2243" s="5" t="s">
        <v>6430</v>
      </c>
      <c r="D2243" s="5" t="s">
        <v>7576</v>
      </c>
      <c r="E2243" s="43">
        <v>700</v>
      </c>
      <c r="F2243" s="43"/>
      <c r="G2243" s="364">
        <f t="shared" si="22"/>
        <v>13788</v>
      </c>
      <c r="H2243" s="391" t="s">
        <v>9568</v>
      </c>
    </row>
    <row r="2244" spans="1:13" x14ac:dyDescent="0.3">
      <c r="A2244" s="45">
        <v>44364</v>
      </c>
      <c r="B2244" s="580"/>
      <c r="C2244" s="554" t="s">
        <v>7577</v>
      </c>
      <c r="D2244" s="554"/>
      <c r="E2244" s="554"/>
      <c r="F2244" s="43">
        <v>700</v>
      </c>
      <c r="G2244" s="364">
        <f t="shared" si="22"/>
        <v>14488</v>
      </c>
      <c r="H2244" s="391" t="s">
        <v>9568</v>
      </c>
      <c r="M2244" s="93"/>
    </row>
    <row r="2245" spans="1:13" x14ac:dyDescent="0.3">
      <c r="A2245" s="45">
        <v>44364</v>
      </c>
      <c r="B2245" s="399"/>
      <c r="C2245" s="5" t="s">
        <v>6341</v>
      </c>
      <c r="D2245" s="5" t="s">
        <v>6555</v>
      </c>
      <c r="E2245" s="43">
        <v>2500</v>
      </c>
      <c r="F2245" s="43"/>
      <c r="G2245" s="364">
        <f t="shared" si="22"/>
        <v>11988</v>
      </c>
      <c r="H2245" s="391" t="s">
        <v>9568</v>
      </c>
      <c r="I2245" s="558"/>
      <c r="J2245" s="558"/>
    </row>
    <row r="2246" spans="1:13" x14ac:dyDescent="0.3">
      <c r="A2246" s="45">
        <v>44365</v>
      </c>
      <c r="B2246" s="399"/>
      <c r="C2246" s="5" t="s">
        <v>7579</v>
      </c>
      <c r="D2246" s="5" t="s">
        <v>7580</v>
      </c>
      <c r="E2246" s="43">
        <v>10500</v>
      </c>
      <c r="F2246" s="43"/>
      <c r="G2246" s="364">
        <f t="shared" si="22"/>
        <v>1488</v>
      </c>
      <c r="H2246" s="391" t="s">
        <v>9568</v>
      </c>
    </row>
    <row r="2247" spans="1:13" x14ac:dyDescent="0.3">
      <c r="A2247" s="45">
        <v>44365</v>
      </c>
      <c r="B2247" s="399"/>
      <c r="C2247" s="5" t="s">
        <v>14</v>
      </c>
      <c r="D2247" s="5" t="s">
        <v>640</v>
      </c>
      <c r="E2247" s="43">
        <v>1000</v>
      </c>
      <c r="F2247" s="43"/>
      <c r="G2247" s="364">
        <f t="shared" si="22"/>
        <v>488</v>
      </c>
      <c r="H2247" s="391" t="s">
        <v>9568</v>
      </c>
    </row>
    <row r="2248" spans="1:13" x14ac:dyDescent="0.3">
      <c r="A2248" s="45">
        <v>44365</v>
      </c>
      <c r="B2248" s="580"/>
      <c r="C2248" s="554" t="s">
        <v>7440</v>
      </c>
      <c r="D2248" s="554"/>
      <c r="E2248" s="554"/>
      <c r="F2248" s="43">
        <v>50000</v>
      </c>
      <c r="G2248" s="364">
        <f t="shared" si="22"/>
        <v>50488</v>
      </c>
      <c r="H2248" s="391" t="s">
        <v>9568</v>
      </c>
    </row>
    <row r="2249" spans="1:13" x14ac:dyDescent="0.3">
      <c r="A2249" s="45">
        <v>44365</v>
      </c>
      <c r="B2249" s="399"/>
      <c r="C2249" s="5" t="s">
        <v>18</v>
      </c>
      <c r="D2249" s="5" t="s">
        <v>294</v>
      </c>
      <c r="E2249" s="43">
        <v>7000</v>
      </c>
      <c r="F2249" s="43"/>
      <c r="G2249" s="364">
        <f t="shared" si="22"/>
        <v>43488</v>
      </c>
      <c r="H2249" s="391" t="s">
        <v>9568</v>
      </c>
    </row>
    <row r="2250" spans="1:13" x14ac:dyDescent="0.3">
      <c r="A2250" s="45">
        <v>44366</v>
      </c>
      <c r="B2250" s="399"/>
      <c r="C2250" s="5" t="s">
        <v>4550</v>
      </c>
      <c r="D2250" s="5" t="s">
        <v>5663</v>
      </c>
      <c r="E2250" s="43">
        <v>20000</v>
      </c>
      <c r="F2250" s="43"/>
      <c r="G2250" s="364">
        <f t="shared" si="22"/>
        <v>23488</v>
      </c>
      <c r="H2250" s="391" t="s">
        <v>9568</v>
      </c>
    </row>
    <row r="2251" spans="1:13" x14ac:dyDescent="0.3">
      <c r="A2251" s="45">
        <v>44366</v>
      </c>
      <c r="B2251" s="399"/>
      <c r="C2251" s="5" t="s">
        <v>7581</v>
      </c>
      <c r="D2251" s="5" t="s">
        <v>7582</v>
      </c>
      <c r="E2251" s="43">
        <v>12000</v>
      </c>
      <c r="F2251" s="43"/>
      <c r="G2251" s="364">
        <f t="shared" si="22"/>
        <v>11488</v>
      </c>
      <c r="H2251" s="391" t="s">
        <v>9568</v>
      </c>
    </row>
    <row r="2252" spans="1:13" x14ac:dyDescent="0.3">
      <c r="A2252" s="45">
        <v>44366</v>
      </c>
      <c r="B2252" s="399"/>
      <c r="C2252" s="5" t="s">
        <v>1837</v>
      </c>
      <c r="D2252" s="5" t="s">
        <v>3910</v>
      </c>
      <c r="E2252" s="43">
        <v>7500</v>
      </c>
      <c r="F2252" s="43"/>
      <c r="G2252" s="364">
        <f t="shared" si="22"/>
        <v>3988</v>
      </c>
      <c r="H2252" s="391" t="s">
        <v>9568</v>
      </c>
    </row>
    <row r="2253" spans="1:13" x14ac:dyDescent="0.3">
      <c r="A2253" s="45">
        <v>44366</v>
      </c>
      <c r="B2253" s="399"/>
      <c r="C2253" s="5" t="s">
        <v>11</v>
      </c>
      <c r="D2253" s="5" t="s">
        <v>7583</v>
      </c>
      <c r="E2253" s="43">
        <v>500</v>
      </c>
      <c r="F2253" s="43"/>
      <c r="G2253" s="364">
        <f t="shared" si="22"/>
        <v>3488</v>
      </c>
      <c r="H2253" s="391" t="s">
        <v>9568</v>
      </c>
    </row>
    <row r="2254" spans="1:13" x14ac:dyDescent="0.3">
      <c r="A2254" s="45">
        <v>44368</v>
      </c>
      <c r="B2254" s="580"/>
      <c r="C2254" s="554" t="s">
        <v>7048</v>
      </c>
      <c r="D2254" s="554"/>
      <c r="E2254" s="554"/>
      <c r="F2254" s="43">
        <v>150000</v>
      </c>
      <c r="G2254" s="364">
        <f t="shared" si="22"/>
        <v>153488</v>
      </c>
      <c r="H2254" s="391" t="s">
        <v>9568</v>
      </c>
      <c r="M2254" s="93"/>
    </row>
    <row r="2255" spans="1:13" x14ac:dyDescent="0.3">
      <c r="A2255" s="45">
        <v>44366</v>
      </c>
      <c r="B2255" s="399"/>
      <c r="C2255" s="5" t="s">
        <v>84</v>
      </c>
      <c r="D2255" s="5" t="s">
        <v>7584</v>
      </c>
      <c r="E2255" s="43">
        <v>7000</v>
      </c>
      <c r="F2255" s="43"/>
      <c r="G2255" s="364">
        <f t="shared" si="22"/>
        <v>146488</v>
      </c>
      <c r="H2255" s="391" t="s">
        <v>9568</v>
      </c>
    </row>
    <row r="2256" spans="1:13" x14ac:dyDescent="0.3">
      <c r="A2256" s="45">
        <v>44368</v>
      </c>
      <c r="B2256" s="399"/>
      <c r="C2256" s="5" t="s">
        <v>1074</v>
      </c>
      <c r="D2256" s="92" t="s">
        <v>7585</v>
      </c>
      <c r="E2256" s="43">
        <v>8390</v>
      </c>
      <c r="F2256" s="43"/>
      <c r="G2256" s="364">
        <f t="shared" si="22"/>
        <v>138098</v>
      </c>
      <c r="H2256" s="391" t="s">
        <v>9568</v>
      </c>
    </row>
    <row r="2257" spans="1:13" x14ac:dyDescent="0.3">
      <c r="A2257" s="45">
        <v>44368</v>
      </c>
      <c r="B2257" s="399"/>
      <c r="C2257" s="5" t="s">
        <v>6430</v>
      </c>
      <c r="D2257" s="5" t="s">
        <v>4350</v>
      </c>
      <c r="E2257" s="43">
        <v>6000</v>
      </c>
      <c r="F2257" s="43"/>
      <c r="G2257" s="364">
        <f t="shared" si="22"/>
        <v>132098</v>
      </c>
      <c r="H2257" s="391" t="s">
        <v>9568</v>
      </c>
    </row>
    <row r="2258" spans="1:13" x14ac:dyDescent="0.3">
      <c r="A2258" s="45">
        <v>44368</v>
      </c>
      <c r="B2258" s="399"/>
      <c r="C2258" s="5" t="s">
        <v>7544</v>
      </c>
      <c r="D2258" s="5" t="s">
        <v>7545</v>
      </c>
      <c r="E2258" s="43">
        <v>25000</v>
      </c>
      <c r="F2258" s="43"/>
      <c r="G2258" s="364">
        <f t="shared" si="22"/>
        <v>107098</v>
      </c>
      <c r="H2258" s="391" t="s">
        <v>9568</v>
      </c>
    </row>
    <row r="2259" spans="1:13" x14ac:dyDescent="0.3">
      <c r="A2259" s="45">
        <v>44368</v>
      </c>
      <c r="B2259" s="399"/>
      <c r="C2259" s="5" t="s">
        <v>6877</v>
      </c>
      <c r="D2259" s="5" t="s">
        <v>7588</v>
      </c>
      <c r="E2259" s="43">
        <v>32000</v>
      </c>
      <c r="F2259" s="43"/>
      <c r="G2259" s="364">
        <f t="shared" si="22"/>
        <v>75098</v>
      </c>
      <c r="H2259" s="391" t="s">
        <v>9568</v>
      </c>
    </row>
    <row r="2260" spans="1:13" x14ac:dyDescent="0.3">
      <c r="A2260" s="45">
        <v>44368</v>
      </c>
      <c r="B2260" s="399"/>
      <c r="C2260" s="5" t="s">
        <v>5156</v>
      </c>
      <c r="D2260" s="5" t="s">
        <v>7589</v>
      </c>
      <c r="E2260" s="43">
        <v>7000</v>
      </c>
      <c r="F2260" s="43"/>
      <c r="G2260" s="364">
        <f t="shared" si="22"/>
        <v>68098</v>
      </c>
      <c r="H2260" s="391" t="s">
        <v>9568</v>
      </c>
    </row>
    <row r="2261" spans="1:13" x14ac:dyDescent="0.3">
      <c r="A2261" s="45">
        <v>44368</v>
      </c>
      <c r="B2261" s="399"/>
      <c r="C2261" s="5" t="s">
        <v>5709</v>
      </c>
      <c r="D2261" s="5" t="s">
        <v>7590</v>
      </c>
      <c r="E2261" s="43">
        <v>7500</v>
      </c>
      <c r="F2261" s="43"/>
      <c r="G2261" s="364">
        <f t="shared" si="22"/>
        <v>60598</v>
      </c>
      <c r="H2261" s="391" t="s">
        <v>9568</v>
      </c>
    </row>
    <row r="2262" spans="1:13" x14ac:dyDescent="0.3">
      <c r="A2262" s="45">
        <v>44368</v>
      </c>
      <c r="B2262" s="399"/>
      <c r="C2262" s="5" t="s">
        <v>25</v>
      </c>
      <c r="D2262" s="5" t="s">
        <v>7561</v>
      </c>
      <c r="E2262" s="43">
        <v>200</v>
      </c>
      <c r="F2262" s="43"/>
      <c r="G2262" s="364">
        <f t="shared" si="22"/>
        <v>60398</v>
      </c>
      <c r="H2262" s="391" t="s">
        <v>9568</v>
      </c>
    </row>
    <row r="2263" spans="1:13" x14ac:dyDescent="0.3">
      <c r="A2263" s="45">
        <v>44368</v>
      </c>
      <c r="B2263" s="399"/>
      <c r="C2263" s="5" t="s">
        <v>84</v>
      </c>
      <c r="D2263" s="5" t="s">
        <v>7591</v>
      </c>
      <c r="E2263" s="43">
        <v>15000</v>
      </c>
      <c r="F2263" s="43"/>
      <c r="G2263" s="364">
        <f t="shared" si="22"/>
        <v>45398</v>
      </c>
      <c r="H2263" s="391" t="s">
        <v>9568</v>
      </c>
    </row>
    <row r="2264" spans="1:13" x14ac:dyDescent="0.3">
      <c r="A2264" s="45">
        <v>44369</v>
      </c>
      <c r="B2264" s="399"/>
      <c r="C2264" s="5" t="s">
        <v>84</v>
      </c>
      <c r="D2264" s="5" t="s">
        <v>7592</v>
      </c>
      <c r="E2264" s="43">
        <v>2000</v>
      </c>
      <c r="F2264" s="43"/>
      <c r="G2264" s="364">
        <f t="shared" si="22"/>
        <v>43398</v>
      </c>
      <c r="H2264" s="391" t="s">
        <v>9568</v>
      </c>
    </row>
    <row r="2265" spans="1:13" x14ac:dyDescent="0.3">
      <c r="A2265" s="45">
        <v>44369</v>
      </c>
      <c r="B2265" s="399"/>
      <c r="C2265" s="5" t="s">
        <v>7606</v>
      </c>
      <c r="D2265" s="5" t="s">
        <v>7593</v>
      </c>
      <c r="E2265" s="43">
        <v>30000</v>
      </c>
      <c r="F2265" s="43"/>
      <c r="G2265" s="364">
        <f t="shared" si="22"/>
        <v>13398</v>
      </c>
      <c r="H2265" s="391" t="s">
        <v>9568</v>
      </c>
    </row>
    <row r="2266" spans="1:13" x14ac:dyDescent="0.3">
      <c r="A2266" s="45">
        <v>44369</v>
      </c>
      <c r="B2266" s="580"/>
      <c r="C2266" s="554" t="s">
        <v>4106</v>
      </c>
      <c r="D2266" s="554"/>
      <c r="E2266" s="554"/>
      <c r="F2266" s="43">
        <v>100000</v>
      </c>
      <c r="G2266" s="364">
        <f t="shared" si="22"/>
        <v>113398</v>
      </c>
      <c r="H2266" s="391" t="s">
        <v>9568</v>
      </c>
      <c r="M2266" s="93"/>
    </row>
    <row r="2267" spans="1:13" x14ac:dyDescent="0.3">
      <c r="A2267" s="45">
        <v>44369</v>
      </c>
      <c r="B2267" s="399"/>
      <c r="C2267" s="5" t="s">
        <v>2948</v>
      </c>
      <c r="D2267" s="5" t="s">
        <v>7594</v>
      </c>
      <c r="E2267" s="43">
        <v>25000</v>
      </c>
      <c r="F2267" s="43"/>
      <c r="G2267" s="364">
        <f t="shared" si="22"/>
        <v>88398</v>
      </c>
      <c r="H2267" s="391" t="s">
        <v>9568</v>
      </c>
    </row>
    <row r="2268" spans="1:13" x14ac:dyDescent="0.3">
      <c r="A2268" s="45">
        <v>44369</v>
      </c>
      <c r="B2268" s="399"/>
      <c r="C2268" s="5" t="s">
        <v>7595</v>
      </c>
      <c r="D2268" s="5" t="s">
        <v>7596</v>
      </c>
      <c r="E2268" s="43">
        <v>26670</v>
      </c>
      <c r="F2268" s="43"/>
      <c r="G2268" s="364">
        <f t="shared" si="22"/>
        <v>61728</v>
      </c>
      <c r="H2268" s="391" t="s">
        <v>9568</v>
      </c>
    </row>
    <row r="2269" spans="1:13" x14ac:dyDescent="0.3">
      <c r="A2269" s="45">
        <v>44369</v>
      </c>
      <c r="B2269" s="399"/>
      <c r="C2269" s="5" t="s">
        <v>1787</v>
      </c>
      <c r="D2269" s="5" t="s">
        <v>7597</v>
      </c>
      <c r="E2269" s="43">
        <v>1200</v>
      </c>
      <c r="F2269" s="43"/>
      <c r="G2269" s="364">
        <f t="shared" si="22"/>
        <v>60528</v>
      </c>
      <c r="H2269" s="391" t="s">
        <v>9568</v>
      </c>
    </row>
    <row r="2270" spans="1:13" x14ac:dyDescent="0.3">
      <c r="A2270" s="45">
        <v>44369</v>
      </c>
      <c r="B2270" s="399"/>
      <c r="C2270" s="5" t="s">
        <v>25</v>
      </c>
      <c r="D2270" s="5" t="s">
        <v>7598</v>
      </c>
      <c r="E2270" s="43">
        <v>5000</v>
      </c>
      <c r="F2270" s="43"/>
      <c r="G2270" s="364">
        <f t="shared" si="22"/>
        <v>55528</v>
      </c>
      <c r="H2270" s="391" t="s">
        <v>9568</v>
      </c>
    </row>
    <row r="2271" spans="1:13" x14ac:dyDescent="0.3">
      <c r="A2271" s="45">
        <v>44369</v>
      </c>
      <c r="B2271" s="399"/>
      <c r="C2271" s="5" t="s">
        <v>25</v>
      </c>
      <c r="D2271" s="5" t="s">
        <v>5641</v>
      </c>
      <c r="E2271" s="43">
        <v>600</v>
      </c>
      <c r="F2271" s="43"/>
      <c r="G2271" s="364">
        <f t="shared" si="22"/>
        <v>54928</v>
      </c>
      <c r="H2271" s="391" t="s">
        <v>9568</v>
      </c>
    </row>
    <row r="2272" spans="1:13" x14ac:dyDescent="0.3">
      <c r="A2272" s="45">
        <v>44369</v>
      </c>
      <c r="B2272" s="399"/>
      <c r="C2272" s="5" t="s">
        <v>25</v>
      </c>
      <c r="D2272" s="5" t="s">
        <v>2685</v>
      </c>
      <c r="E2272" s="43">
        <v>100</v>
      </c>
      <c r="F2272" s="43"/>
      <c r="G2272" s="364">
        <f t="shared" si="22"/>
        <v>54828</v>
      </c>
      <c r="H2272" s="391" t="s">
        <v>9568</v>
      </c>
    </row>
    <row r="2273" spans="1:13" x14ac:dyDescent="0.3">
      <c r="A2273" s="45">
        <v>44370</v>
      </c>
      <c r="B2273" s="399"/>
      <c r="C2273" s="5" t="s">
        <v>25</v>
      </c>
      <c r="D2273" s="5" t="s">
        <v>7599</v>
      </c>
      <c r="E2273" s="43">
        <v>150</v>
      </c>
      <c r="F2273" s="43"/>
      <c r="G2273" s="364">
        <f t="shared" si="22"/>
        <v>54678</v>
      </c>
      <c r="H2273" s="391" t="s">
        <v>9568</v>
      </c>
    </row>
    <row r="2274" spans="1:13" x14ac:dyDescent="0.3">
      <c r="A2274" s="45">
        <v>44370</v>
      </c>
      <c r="B2274" s="399"/>
      <c r="C2274" s="5" t="s">
        <v>18</v>
      </c>
      <c r="D2274" s="5" t="s">
        <v>294</v>
      </c>
      <c r="E2274" s="43">
        <v>5000</v>
      </c>
      <c r="F2274" s="43"/>
      <c r="G2274" s="364">
        <f t="shared" si="22"/>
        <v>49678</v>
      </c>
      <c r="H2274" s="391" t="s">
        <v>9568</v>
      </c>
    </row>
    <row r="2275" spans="1:13" x14ac:dyDescent="0.3">
      <c r="A2275" s="45">
        <v>44370</v>
      </c>
      <c r="B2275" s="399"/>
      <c r="C2275" s="5" t="s">
        <v>68</v>
      </c>
      <c r="D2275" s="5" t="s">
        <v>5663</v>
      </c>
      <c r="E2275" s="43">
        <v>35000</v>
      </c>
      <c r="F2275" s="43"/>
      <c r="G2275" s="364">
        <f t="shared" si="22"/>
        <v>14678</v>
      </c>
      <c r="H2275" s="391" t="s">
        <v>9568</v>
      </c>
    </row>
    <row r="2276" spans="1:13" x14ac:dyDescent="0.3">
      <c r="A2276" s="45">
        <v>44370</v>
      </c>
      <c r="B2276" s="580"/>
      <c r="C2276" s="554" t="s">
        <v>4106</v>
      </c>
      <c r="D2276" s="554"/>
      <c r="E2276" s="554"/>
      <c r="F2276" s="43">
        <v>150000</v>
      </c>
      <c r="G2276" s="364">
        <f>G2275+F2276-E2276</f>
        <v>164678</v>
      </c>
      <c r="H2276" s="391" t="s">
        <v>9568</v>
      </c>
      <c r="M2276" s="93"/>
    </row>
    <row r="2277" spans="1:13" x14ac:dyDescent="0.3">
      <c r="A2277" s="45">
        <v>44370</v>
      </c>
      <c r="B2277" s="399"/>
      <c r="C2277" s="5" t="s">
        <v>7308</v>
      </c>
      <c r="D2277" s="5" t="s">
        <v>7601</v>
      </c>
      <c r="E2277" s="43">
        <v>38000</v>
      </c>
      <c r="F2277" s="43"/>
      <c r="G2277" s="364">
        <f t="shared" si="22"/>
        <v>126678</v>
      </c>
      <c r="H2277" s="391" t="s">
        <v>9568</v>
      </c>
    </row>
    <row r="2278" spans="1:13" x14ac:dyDescent="0.3">
      <c r="A2278" s="45">
        <v>44370</v>
      </c>
      <c r="B2278" s="399"/>
      <c r="C2278" s="5" t="s">
        <v>6430</v>
      </c>
      <c r="D2278" s="5" t="s">
        <v>7602</v>
      </c>
      <c r="E2278" s="43">
        <v>15000</v>
      </c>
      <c r="F2278" s="43"/>
      <c r="G2278" s="364">
        <f t="shared" si="22"/>
        <v>111678</v>
      </c>
      <c r="H2278" s="391" t="s">
        <v>9568</v>
      </c>
      <c r="L2278" s="52"/>
    </row>
    <row r="2279" spans="1:13" x14ac:dyDescent="0.3">
      <c r="A2279" s="45">
        <v>44370</v>
      </c>
      <c r="B2279" s="399"/>
      <c r="C2279" s="5" t="s">
        <v>25</v>
      </c>
      <c r="D2279" s="5" t="s">
        <v>7603</v>
      </c>
      <c r="E2279" s="43">
        <v>6000</v>
      </c>
      <c r="F2279" s="43"/>
      <c r="G2279" s="364">
        <f t="shared" si="22"/>
        <v>105678</v>
      </c>
      <c r="H2279" s="391" t="s">
        <v>9568</v>
      </c>
    </row>
    <row r="2280" spans="1:13" x14ac:dyDescent="0.3">
      <c r="A2280" s="45">
        <v>44370</v>
      </c>
      <c r="B2280" s="399"/>
      <c r="C2280" s="5" t="s">
        <v>25</v>
      </c>
      <c r="D2280" s="5" t="s">
        <v>7604</v>
      </c>
      <c r="E2280" s="43">
        <v>9000</v>
      </c>
      <c r="F2280" s="43"/>
      <c r="G2280" s="364">
        <f t="shared" si="22"/>
        <v>96678</v>
      </c>
      <c r="H2280" s="391" t="s">
        <v>9568</v>
      </c>
    </row>
    <row r="2281" spans="1:13" x14ac:dyDescent="0.3">
      <c r="A2281" s="45">
        <v>44370</v>
      </c>
      <c r="B2281" s="399"/>
      <c r="C2281" s="5" t="s">
        <v>5618</v>
      </c>
      <c r="D2281" s="5" t="s">
        <v>7605</v>
      </c>
      <c r="E2281" s="43">
        <v>10000</v>
      </c>
      <c r="F2281" s="43"/>
      <c r="G2281" s="364">
        <f t="shared" si="22"/>
        <v>86678</v>
      </c>
      <c r="H2281" s="391" t="s">
        <v>9568</v>
      </c>
      <c r="L2281" s="93"/>
      <c r="M2281" s="248"/>
    </row>
    <row r="2282" spans="1:13" x14ac:dyDescent="0.3">
      <c r="A2282" s="45">
        <v>44370</v>
      </c>
      <c r="B2282" s="399"/>
      <c r="C2282" s="5" t="s">
        <v>7606</v>
      </c>
      <c r="D2282" s="5" t="s">
        <v>7607</v>
      </c>
      <c r="E2282" s="43">
        <v>1000</v>
      </c>
      <c r="F2282" s="43"/>
      <c r="G2282" s="364">
        <f t="shared" si="22"/>
        <v>85678</v>
      </c>
      <c r="H2282" s="391" t="s">
        <v>9568</v>
      </c>
      <c r="L2282" s="93"/>
      <c r="M2282" s="93"/>
    </row>
    <row r="2283" spans="1:13" x14ac:dyDescent="0.3">
      <c r="A2283" s="45">
        <v>44370</v>
      </c>
      <c r="B2283" s="399"/>
      <c r="C2283" s="5" t="s">
        <v>0</v>
      </c>
      <c r="D2283" s="5" t="s">
        <v>7608</v>
      </c>
      <c r="E2283" s="43">
        <v>40000</v>
      </c>
      <c r="F2283" s="43"/>
      <c r="G2283" s="364">
        <f t="shared" si="22"/>
        <v>45678</v>
      </c>
      <c r="H2283" s="391" t="s">
        <v>9568</v>
      </c>
      <c r="L2283" s="93"/>
      <c r="M2283" s="93"/>
    </row>
    <row r="2284" spans="1:13" x14ac:dyDescent="0.3">
      <c r="A2284" s="45">
        <v>44370</v>
      </c>
      <c r="B2284" s="399"/>
      <c r="C2284" s="5" t="s">
        <v>84</v>
      </c>
      <c r="D2284" s="5" t="s">
        <v>7609</v>
      </c>
      <c r="E2284" s="43">
        <v>5000</v>
      </c>
      <c r="F2284" s="43"/>
      <c r="G2284" s="364">
        <f>G2283+F2284-E2284</f>
        <v>40678</v>
      </c>
      <c r="H2284" s="391" t="s">
        <v>9568</v>
      </c>
    </row>
    <row r="2285" spans="1:13" x14ac:dyDescent="0.3">
      <c r="A2285" s="45">
        <v>44370</v>
      </c>
      <c r="B2285" s="399"/>
      <c r="C2285" s="5" t="s">
        <v>18</v>
      </c>
      <c r="D2285" s="5" t="s">
        <v>985</v>
      </c>
      <c r="E2285" s="43">
        <v>5000</v>
      </c>
      <c r="F2285" s="43"/>
      <c r="G2285" s="364">
        <f t="shared" ref="G2285:G2350" si="23">G2284+F2285-E2285</f>
        <v>35678</v>
      </c>
      <c r="H2285" s="391" t="s">
        <v>9568</v>
      </c>
    </row>
    <row r="2286" spans="1:13" x14ac:dyDescent="0.3">
      <c r="A2286" s="45">
        <v>44370</v>
      </c>
      <c r="B2286" s="399"/>
      <c r="C2286" s="5" t="s">
        <v>4055</v>
      </c>
      <c r="D2286" s="5" t="s">
        <v>985</v>
      </c>
      <c r="E2286" s="43">
        <v>5000</v>
      </c>
      <c r="F2286" s="43"/>
      <c r="G2286" s="364">
        <f t="shared" si="23"/>
        <v>30678</v>
      </c>
      <c r="H2286" s="391" t="s">
        <v>9568</v>
      </c>
    </row>
    <row r="2287" spans="1:13" x14ac:dyDescent="0.3">
      <c r="A2287" s="45">
        <v>44371</v>
      </c>
      <c r="B2287" s="399"/>
      <c r="C2287" s="5" t="s">
        <v>4550</v>
      </c>
      <c r="D2287" s="5" t="s">
        <v>294</v>
      </c>
      <c r="E2287" s="43">
        <v>10000</v>
      </c>
      <c r="F2287" s="43"/>
      <c r="G2287" s="364">
        <f t="shared" si="23"/>
        <v>20678</v>
      </c>
      <c r="H2287" s="391" t="s">
        <v>9568</v>
      </c>
    </row>
    <row r="2288" spans="1:13" ht="37.5" x14ac:dyDescent="0.3">
      <c r="A2288" s="45">
        <v>44371</v>
      </c>
      <c r="B2288" s="399"/>
      <c r="C2288" s="5" t="s">
        <v>6341</v>
      </c>
      <c r="D2288" s="92" t="s">
        <v>7610</v>
      </c>
      <c r="E2288" s="43">
        <v>7000</v>
      </c>
      <c r="F2288" s="43"/>
      <c r="G2288" s="364">
        <f t="shared" si="23"/>
        <v>13678</v>
      </c>
      <c r="H2288" s="391" t="s">
        <v>9568</v>
      </c>
    </row>
    <row r="2289" spans="1:13" x14ac:dyDescent="0.3">
      <c r="A2289" s="45">
        <v>44371</v>
      </c>
      <c r="B2289" s="580"/>
      <c r="C2289" s="554" t="s">
        <v>7048</v>
      </c>
      <c r="D2289" s="554"/>
      <c r="E2289" s="554"/>
      <c r="F2289" s="43">
        <v>150000</v>
      </c>
      <c r="G2289" s="364">
        <f t="shared" si="23"/>
        <v>163678</v>
      </c>
      <c r="H2289" s="391" t="s">
        <v>9568</v>
      </c>
      <c r="M2289" s="93"/>
    </row>
    <row r="2290" spans="1:13" x14ac:dyDescent="0.3">
      <c r="A2290" s="45">
        <v>44371</v>
      </c>
      <c r="B2290" s="399"/>
      <c r="C2290" s="5" t="s">
        <v>6341</v>
      </c>
      <c r="D2290" s="5" t="s">
        <v>6900</v>
      </c>
      <c r="E2290" s="43">
        <v>35000</v>
      </c>
      <c r="F2290" s="43"/>
      <c r="G2290" s="364">
        <f t="shared" si="23"/>
        <v>128678</v>
      </c>
      <c r="H2290" s="391" t="s">
        <v>9568</v>
      </c>
    </row>
    <row r="2291" spans="1:13" x14ac:dyDescent="0.3">
      <c r="A2291" s="45">
        <v>44371</v>
      </c>
      <c r="B2291" s="399"/>
      <c r="C2291" s="5" t="s">
        <v>1074</v>
      </c>
      <c r="D2291" s="5" t="s">
        <v>7614</v>
      </c>
      <c r="E2291" s="43">
        <f>380+23219</f>
        <v>23599</v>
      </c>
      <c r="F2291" s="43"/>
      <c r="G2291" s="364">
        <f t="shared" si="23"/>
        <v>105079</v>
      </c>
      <c r="H2291" s="391" t="s">
        <v>9568</v>
      </c>
    </row>
    <row r="2292" spans="1:13" x14ac:dyDescent="0.3">
      <c r="A2292" s="45">
        <v>44371</v>
      </c>
      <c r="B2292" s="399"/>
      <c r="C2292" s="5" t="s">
        <v>1074</v>
      </c>
      <c r="D2292" s="5" t="s">
        <v>7615</v>
      </c>
      <c r="E2292" s="43">
        <f>50+17878+33484</f>
        <v>51412</v>
      </c>
      <c r="F2292" s="43"/>
      <c r="G2292" s="364">
        <f t="shared" si="23"/>
        <v>53667</v>
      </c>
      <c r="H2292" s="391" t="s">
        <v>9568</v>
      </c>
    </row>
    <row r="2293" spans="1:13" x14ac:dyDescent="0.3">
      <c r="A2293" s="45">
        <v>44371</v>
      </c>
      <c r="B2293" s="399"/>
      <c r="C2293" s="5" t="s">
        <v>0</v>
      </c>
      <c r="D2293" s="5" t="s">
        <v>294</v>
      </c>
      <c r="E2293" s="43">
        <v>15000</v>
      </c>
      <c r="F2293" s="43"/>
      <c r="G2293" s="364">
        <f t="shared" si="23"/>
        <v>38667</v>
      </c>
      <c r="H2293" s="391" t="s">
        <v>9568</v>
      </c>
    </row>
    <row r="2294" spans="1:13" x14ac:dyDescent="0.3">
      <c r="A2294" s="45">
        <v>44371</v>
      </c>
      <c r="B2294" s="399"/>
      <c r="C2294" s="5" t="s">
        <v>7099</v>
      </c>
      <c r="D2294" s="5" t="s">
        <v>294</v>
      </c>
      <c r="E2294" s="43">
        <v>3300</v>
      </c>
      <c r="F2294" s="43"/>
      <c r="G2294" s="364">
        <f t="shared" si="23"/>
        <v>35367</v>
      </c>
      <c r="H2294" s="391" t="s">
        <v>9568</v>
      </c>
    </row>
    <row r="2295" spans="1:13" x14ac:dyDescent="0.3">
      <c r="A2295" s="45">
        <v>44371</v>
      </c>
      <c r="B2295" s="399"/>
      <c r="C2295" s="5" t="s">
        <v>7606</v>
      </c>
      <c r="D2295" s="5" t="s">
        <v>294</v>
      </c>
      <c r="E2295" s="43">
        <v>5000</v>
      </c>
      <c r="F2295" s="43"/>
      <c r="G2295" s="364">
        <f t="shared" si="23"/>
        <v>30367</v>
      </c>
      <c r="H2295" s="391" t="s">
        <v>9568</v>
      </c>
    </row>
    <row r="2296" spans="1:13" x14ac:dyDescent="0.3">
      <c r="A2296" s="45">
        <v>44371</v>
      </c>
      <c r="B2296" s="399"/>
      <c r="C2296" s="5" t="s">
        <v>7099</v>
      </c>
      <c r="D2296" s="5" t="s">
        <v>7616</v>
      </c>
      <c r="E2296" s="43">
        <v>580</v>
      </c>
      <c r="F2296" s="43"/>
      <c r="G2296" s="364">
        <f t="shared" si="23"/>
        <v>29787</v>
      </c>
      <c r="H2296" s="391" t="s">
        <v>9568</v>
      </c>
    </row>
    <row r="2297" spans="1:13" x14ac:dyDescent="0.3">
      <c r="A2297" s="45">
        <v>44371</v>
      </c>
      <c r="B2297" s="580"/>
      <c r="C2297" s="554" t="s">
        <v>7617</v>
      </c>
      <c r="D2297" s="554"/>
      <c r="E2297" s="554"/>
      <c r="F2297" s="43">
        <v>750</v>
      </c>
      <c r="G2297" s="364">
        <f t="shared" si="23"/>
        <v>30537</v>
      </c>
      <c r="H2297" s="391" t="s">
        <v>9568</v>
      </c>
      <c r="M2297" s="93"/>
    </row>
    <row r="2298" spans="1:13" x14ac:dyDescent="0.3">
      <c r="A2298" s="45">
        <v>44371</v>
      </c>
      <c r="B2298" s="399"/>
      <c r="C2298" s="5" t="s">
        <v>25</v>
      </c>
      <c r="D2298" s="5" t="s">
        <v>7618</v>
      </c>
      <c r="E2298" s="43">
        <v>350</v>
      </c>
      <c r="F2298" s="43"/>
      <c r="G2298" s="364">
        <f t="shared" si="23"/>
        <v>30187</v>
      </c>
      <c r="H2298" s="391" t="s">
        <v>9568</v>
      </c>
    </row>
    <row r="2299" spans="1:13" x14ac:dyDescent="0.3">
      <c r="A2299" s="45">
        <v>44371</v>
      </c>
      <c r="B2299" s="399"/>
      <c r="C2299" s="5" t="s">
        <v>84</v>
      </c>
      <c r="D2299" s="41" t="s">
        <v>45</v>
      </c>
      <c r="E2299" s="42">
        <v>1000</v>
      </c>
      <c r="F2299" s="43"/>
      <c r="G2299" s="364">
        <f t="shared" si="23"/>
        <v>29187</v>
      </c>
      <c r="H2299" s="391" t="s">
        <v>9568</v>
      </c>
    </row>
    <row r="2300" spans="1:13" x14ac:dyDescent="0.3">
      <c r="A2300" s="45">
        <v>44372</v>
      </c>
      <c r="B2300" s="399"/>
      <c r="C2300" s="5" t="s">
        <v>14</v>
      </c>
      <c r="D2300" s="5" t="s">
        <v>294</v>
      </c>
      <c r="E2300" s="43">
        <v>5000</v>
      </c>
      <c r="F2300" s="43"/>
      <c r="G2300" s="364">
        <f t="shared" si="23"/>
        <v>24187</v>
      </c>
      <c r="H2300" s="391" t="s">
        <v>9568</v>
      </c>
    </row>
    <row r="2301" spans="1:13" x14ac:dyDescent="0.3">
      <c r="A2301" s="45">
        <v>44372</v>
      </c>
      <c r="B2301" s="580"/>
      <c r="C2301" s="554" t="s">
        <v>7048</v>
      </c>
      <c r="D2301" s="554"/>
      <c r="E2301" s="554"/>
      <c r="F2301" s="43">
        <v>100000</v>
      </c>
      <c r="G2301" s="364">
        <f t="shared" si="23"/>
        <v>124187</v>
      </c>
      <c r="H2301" s="391" t="s">
        <v>9568</v>
      </c>
      <c r="M2301" s="93"/>
    </row>
    <row r="2302" spans="1:13" x14ac:dyDescent="0.3">
      <c r="A2302" s="45">
        <v>44372</v>
      </c>
      <c r="B2302" s="399"/>
      <c r="C2302" s="5" t="s">
        <v>6221</v>
      </c>
      <c r="D2302" s="5" t="s">
        <v>5508</v>
      </c>
      <c r="E2302" s="43">
        <v>55600</v>
      </c>
      <c r="F2302" s="43"/>
      <c r="G2302" s="364">
        <f t="shared" si="23"/>
        <v>68587</v>
      </c>
      <c r="H2302" s="391" t="s">
        <v>9568</v>
      </c>
    </row>
    <row r="2303" spans="1:13" x14ac:dyDescent="0.3">
      <c r="A2303" s="45">
        <v>44372</v>
      </c>
      <c r="B2303" s="399"/>
      <c r="C2303" s="5" t="s">
        <v>5156</v>
      </c>
      <c r="D2303" s="5" t="s">
        <v>7619</v>
      </c>
      <c r="E2303" s="43">
        <v>7880</v>
      </c>
      <c r="F2303" s="43"/>
      <c r="G2303" s="364">
        <f t="shared" si="23"/>
        <v>60707</v>
      </c>
      <c r="H2303" s="391" t="s">
        <v>9568</v>
      </c>
    </row>
    <row r="2304" spans="1:13" x14ac:dyDescent="0.3">
      <c r="A2304" s="45">
        <v>44372</v>
      </c>
      <c r="B2304" s="399"/>
      <c r="C2304" s="5" t="s">
        <v>7606</v>
      </c>
      <c r="D2304" s="5" t="s">
        <v>294</v>
      </c>
      <c r="E2304" s="43">
        <v>5000</v>
      </c>
      <c r="F2304" s="43"/>
      <c r="G2304" s="364">
        <f t="shared" si="23"/>
        <v>55707</v>
      </c>
      <c r="H2304" s="391" t="s">
        <v>9568</v>
      </c>
    </row>
    <row r="2305" spans="1:13" x14ac:dyDescent="0.3">
      <c r="A2305" s="45">
        <v>44373</v>
      </c>
      <c r="B2305" s="399"/>
      <c r="C2305" s="5" t="s">
        <v>57</v>
      </c>
      <c r="D2305" s="5" t="s">
        <v>7623</v>
      </c>
      <c r="E2305" s="43">
        <v>20000</v>
      </c>
      <c r="F2305" s="43"/>
      <c r="G2305" s="364">
        <f t="shared" si="23"/>
        <v>35707</v>
      </c>
      <c r="H2305" s="391" t="s">
        <v>9568</v>
      </c>
    </row>
    <row r="2306" spans="1:13" x14ac:dyDescent="0.3">
      <c r="A2306" s="45">
        <v>44373</v>
      </c>
      <c r="B2306" s="399"/>
      <c r="C2306" s="5" t="s">
        <v>4550</v>
      </c>
      <c r="D2306" s="5" t="s">
        <v>294</v>
      </c>
      <c r="E2306" s="43">
        <v>20000</v>
      </c>
      <c r="F2306" s="43"/>
      <c r="G2306" s="364">
        <f t="shared" si="23"/>
        <v>15707</v>
      </c>
      <c r="H2306" s="391" t="s">
        <v>9568</v>
      </c>
    </row>
    <row r="2307" spans="1:13" x14ac:dyDescent="0.3">
      <c r="A2307" s="45">
        <v>44373</v>
      </c>
      <c r="B2307" s="399"/>
      <c r="C2307" s="5" t="s">
        <v>1616</v>
      </c>
      <c r="D2307" s="5" t="s">
        <v>7002</v>
      </c>
      <c r="E2307" s="43">
        <v>600</v>
      </c>
      <c r="F2307" s="43"/>
      <c r="G2307" s="364">
        <f t="shared" si="23"/>
        <v>15107</v>
      </c>
      <c r="H2307" s="391" t="s">
        <v>9568</v>
      </c>
    </row>
    <row r="2308" spans="1:13" x14ac:dyDescent="0.3">
      <c r="A2308" s="45">
        <v>44373</v>
      </c>
      <c r="B2308" s="580"/>
      <c r="C2308" s="554" t="s">
        <v>7440</v>
      </c>
      <c r="D2308" s="554"/>
      <c r="E2308" s="554"/>
      <c r="F2308" s="43">
        <v>260000</v>
      </c>
      <c r="G2308" s="364">
        <f t="shared" si="23"/>
        <v>275107</v>
      </c>
      <c r="H2308" s="391" t="s">
        <v>9568</v>
      </c>
      <c r="M2308" s="93"/>
    </row>
    <row r="2309" spans="1:13" x14ac:dyDescent="0.3">
      <c r="A2309" s="45">
        <v>44373</v>
      </c>
      <c r="B2309" s="404"/>
      <c r="C2309" s="41" t="s">
        <v>7624</v>
      </c>
      <c r="D2309" s="41" t="s">
        <v>7625</v>
      </c>
      <c r="E2309" s="42">
        <v>232000</v>
      </c>
      <c r="F2309" s="43"/>
      <c r="G2309" s="364">
        <f t="shared" si="23"/>
        <v>43107</v>
      </c>
      <c r="H2309" s="391" t="s">
        <v>9568</v>
      </c>
    </row>
    <row r="2310" spans="1:13" x14ac:dyDescent="0.3">
      <c r="A2310" s="45">
        <v>44373</v>
      </c>
      <c r="B2310" s="399"/>
      <c r="C2310" s="5" t="s">
        <v>84</v>
      </c>
      <c r="D2310" s="5" t="s">
        <v>7626</v>
      </c>
      <c r="E2310" s="43">
        <v>2000</v>
      </c>
      <c r="F2310" s="43"/>
      <c r="G2310" s="364">
        <f t="shared" si="23"/>
        <v>41107</v>
      </c>
      <c r="H2310" s="391" t="s">
        <v>9568</v>
      </c>
    </row>
    <row r="2311" spans="1:13" x14ac:dyDescent="0.3">
      <c r="A2311" s="45">
        <v>44373</v>
      </c>
      <c r="B2311" s="399"/>
      <c r="C2311" s="5" t="s">
        <v>25</v>
      </c>
      <c r="D2311" s="5" t="s">
        <v>64</v>
      </c>
      <c r="E2311" s="43">
        <v>1000</v>
      </c>
      <c r="F2311" s="43"/>
      <c r="G2311" s="364">
        <f t="shared" si="23"/>
        <v>40107</v>
      </c>
      <c r="H2311" s="391" t="s">
        <v>9568</v>
      </c>
    </row>
    <row r="2312" spans="1:13" x14ac:dyDescent="0.3">
      <c r="A2312" s="45">
        <v>44373</v>
      </c>
      <c r="B2312" s="399"/>
      <c r="C2312" s="5" t="s">
        <v>84</v>
      </c>
      <c r="D2312" s="5" t="s">
        <v>7643</v>
      </c>
      <c r="E2312" s="43">
        <v>15000</v>
      </c>
      <c r="F2312" s="43"/>
      <c r="G2312" s="364">
        <f t="shared" si="23"/>
        <v>25107</v>
      </c>
      <c r="H2312" s="391" t="s">
        <v>9568</v>
      </c>
    </row>
    <row r="2313" spans="1:13" x14ac:dyDescent="0.3">
      <c r="A2313" s="45">
        <v>44373</v>
      </c>
      <c r="B2313" s="399"/>
      <c r="C2313" s="5" t="s">
        <v>7546</v>
      </c>
      <c r="D2313" s="5" t="s">
        <v>3557</v>
      </c>
      <c r="E2313" s="43">
        <v>10000</v>
      </c>
      <c r="F2313" s="43"/>
      <c r="G2313" s="364">
        <f t="shared" si="23"/>
        <v>15107</v>
      </c>
      <c r="H2313" s="391" t="s">
        <v>9568</v>
      </c>
    </row>
    <row r="2314" spans="1:13" x14ac:dyDescent="0.3">
      <c r="A2314" s="45">
        <v>44373</v>
      </c>
      <c r="B2314" s="399"/>
      <c r="C2314" s="5" t="s">
        <v>7606</v>
      </c>
      <c r="D2314" s="5" t="s">
        <v>7644</v>
      </c>
      <c r="E2314" s="43">
        <v>5000</v>
      </c>
      <c r="F2314" s="43"/>
      <c r="G2314" s="364">
        <f t="shared" si="23"/>
        <v>10107</v>
      </c>
      <c r="H2314" s="391" t="s">
        <v>9568</v>
      </c>
    </row>
    <row r="2315" spans="1:13" x14ac:dyDescent="0.3">
      <c r="A2315" s="45">
        <v>44375</v>
      </c>
      <c r="B2315" s="399"/>
      <c r="C2315" s="5" t="s">
        <v>5793</v>
      </c>
      <c r="D2315" s="5" t="s">
        <v>7645</v>
      </c>
      <c r="E2315" s="43">
        <v>300</v>
      </c>
      <c r="F2315" s="43"/>
      <c r="G2315" s="364">
        <f t="shared" si="23"/>
        <v>9807</v>
      </c>
      <c r="H2315" s="391" t="s">
        <v>9568</v>
      </c>
    </row>
    <row r="2316" spans="1:13" x14ac:dyDescent="0.3">
      <c r="A2316" s="45">
        <v>44375</v>
      </c>
      <c r="B2316" s="580"/>
      <c r="C2316" s="554" t="s">
        <v>7440</v>
      </c>
      <c r="D2316" s="554"/>
      <c r="E2316" s="554"/>
      <c r="F2316" s="43">
        <v>100000</v>
      </c>
      <c r="G2316" s="364">
        <f t="shared" si="23"/>
        <v>109807</v>
      </c>
      <c r="H2316" s="391" t="s">
        <v>9568</v>
      </c>
      <c r="M2316" s="93"/>
    </row>
    <row r="2317" spans="1:13" x14ac:dyDescent="0.3">
      <c r="A2317" s="45">
        <v>44375</v>
      </c>
      <c r="B2317" s="399"/>
      <c r="C2317" s="5" t="s">
        <v>0</v>
      </c>
      <c r="D2317" s="5" t="s">
        <v>294</v>
      </c>
      <c r="E2317" s="43">
        <v>9000</v>
      </c>
      <c r="F2317" s="43"/>
      <c r="G2317" s="364">
        <f t="shared" si="23"/>
        <v>100807</v>
      </c>
      <c r="H2317" s="391" t="s">
        <v>9568</v>
      </c>
    </row>
    <row r="2318" spans="1:13" x14ac:dyDescent="0.3">
      <c r="A2318" s="45">
        <v>44375</v>
      </c>
      <c r="B2318" s="399"/>
      <c r="C2318" s="5" t="s">
        <v>7648</v>
      </c>
      <c r="D2318" s="5" t="s">
        <v>7649</v>
      </c>
      <c r="E2318" s="43">
        <v>20000</v>
      </c>
      <c r="F2318" s="43"/>
      <c r="G2318" s="364">
        <f t="shared" si="23"/>
        <v>80807</v>
      </c>
      <c r="H2318" s="391" t="s">
        <v>9568</v>
      </c>
    </row>
    <row r="2319" spans="1:13" x14ac:dyDescent="0.3">
      <c r="A2319" s="45">
        <v>44375</v>
      </c>
      <c r="B2319" s="580"/>
      <c r="C2319" s="554" t="s">
        <v>7650</v>
      </c>
      <c r="D2319" s="554"/>
      <c r="E2319" s="554"/>
      <c r="F2319" s="43">
        <v>45000</v>
      </c>
      <c r="G2319" s="364">
        <f t="shared" si="23"/>
        <v>125807</v>
      </c>
      <c r="H2319" s="391" t="s">
        <v>9568</v>
      </c>
      <c r="M2319" s="93"/>
    </row>
    <row r="2320" spans="1:13" x14ac:dyDescent="0.3">
      <c r="A2320" s="45">
        <v>44375</v>
      </c>
      <c r="B2320" s="399"/>
      <c r="C2320" s="5" t="s">
        <v>7254</v>
      </c>
      <c r="D2320" s="5" t="s">
        <v>7651</v>
      </c>
      <c r="E2320" s="43">
        <v>30000</v>
      </c>
      <c r="F2320" s="43"/>
      <c r="G2320" s="364">
        <f t="shared" si="23"/>
        <v>95807</v>
      </c>
      <c r="H2320" s="391" t="s">
        <v>9568</v>
      </c>
    </row>
    <row r="2321" spans="1:13" x14ac:dyDescent="0.3">
      <c r="A2321" s="45">
        <v>44375</v>
      </c>
      <c r="B2321" s="399"/>
      <c r="C2321" s="5" t="s">
        <v>6877</v>
      </c>
      <c r="D2321" s="5" t="s">
        <v>7652</v>
      </c>
      <c r="E2321" s="43">
        <v>7000</v>
      </c>
      <c r="F2321" s="43"/>
      <c r="G2321" s="364">
        <f t="shared" si="23"/>
        <v>88807</v>
      </c>
      <c r="H2321" s="391" t="s">
        <v>9568</v>
      </c>
    </row>
    <row r="2322" spans="1:13" x14ac:dyDescent="0.3">
      <c r="A2322" s="45">
        <v>44375</v>
      </c>
      <c r="B2322" s="399"/>
      <c r="C2322" s="5" t="s">
        <v>6959</v>
      </c>
      <c r="D2322" s="5" t="s">
        <v>7653</v>
      </c>
      <c r="E2322" s="43">
        <v>120</v>
      </c>
      <c r="F2322" s="43"/>
      <c r="G2322" s="364">
        <f t="shared" si="23"/>
        <v>88687</v>
      </c>
      <c r="H2322" s="391" t="s">
        <v>9568</v>
      </c>
    </row>
    <row r="2323" spans="1:13" x14ac:dyDescent="0.3">
      <c r="A2323" s="45">
        <v>44375</v>
      </c>
      <c r="B2323" s="399"/>
      <c r="C2323" s="5" t="s">
        <v>6959</v>
      </c>
      <c r="D2323" s="5" t="s">
        <v>7654</v>
      </c>
      <c r="E2323" s="43">
        <v>80</v>
      </c>
      <c r="F2323" s="43"/>
      <c r="G2323" s="364">
        <f t="shared" si="23"/>
        <v>88607</v>
      </c>
      <c r="H2323" s="391" t="s">
        <v>9568</v>
      </c>
    </row>
    <row r="2324" spans="1:13" x14ac:dyDescent="0.3">
      <c r="A2324" s="45">
        <v>44375</v>
      </c>
      <c r="B2324" s="399"/>
      <c r="C2324" s="5" t="s">
        <v>110</v>
      </c>
      <c r="D2324" s="5" t="s">
        <v>3172</v>
      </c>
      <c r="E2324" s="43">
        <f>22720+500</f>
        <v>23220</v>
      </c>
      <c r="F2324" s="43"/>
      <c r="G2324" s="364">
        <f t="shared" si="23"/>
        <v>65387</v>
      </c>
      <c r="H2324" s="391" t="s">
        <v>9568</v>
      </c>
    </row>
    <row r="2325" spans="1:13" x14ac:dyDescent="0.3">
      <c r="A2325" s="45">
        <v>44375</v>
      </c>
      <c r="B2325" s="399"/>
      <c r="C2325" s="5" t="s">
        <v>3559</v>
      </c>
      <c r="D2325" s="5" t="s">
        <v>7655</v>
      </c>
      <c r="E2325" s="43">
        <v>650</v>
      </c>
      <c r="F2325" s="43"/>
      <c r="G2325" s="364">
        <f t="shared" si="23"/>
        <v>64737</v>
      </c>
      <c r="H2325" s="391" t="s">
        <v>9568</v>
      </c>
    </row>
    <row r="2326" spans="1:13" x14ac:dyDescent="0.3">
      <c r="A2326" s="45">
        <v>44375</v>
      </c>
      <c r="B2326" s="399"/>
      <c r="C2326" s="5" t="s">
        <v>84</v>
      </c>
      <c r="D2326" s="5" t="s">
        <v>7656</v>
      </c>
      <c r="E2326" s="43">
        <v>3000</v>
      </c>
      <c r="F2326" s="43"/>
      <c r="G2326" s="364">
        <f t="shared" si="23"/>
        <v>61737</v>
      </c>
      <c r="H2326" s="391" t="s">
        <v>9568</v>
      </c>
    </row>
    <row r="2327" spans="1:13" x14ac:dyDescent="0.3">
      <c r="A2327" s="45">
        <v>44376</v>
      </c>
      <c r="B2327" s="399"/>
      <c r="C2327" s="5" t="s">
        <v>541</v>
      </c>
      <c r="D2327" s="5" t="s">
        <v>294</v>
      </c>
      <c r="E2327" s="43">
        <v>10000</v>
      </c>
      <c r="F2327" s="43"/>
      <c r="G2327" s="364">
        <f t="shared" si="23"/>
        <v>51737</v>
      </c>
      <c r="H2327" s="391" t="s">
        <v>9568</v>
      </c>
    </row>
    <row r="2328" spans="1:13" x14ac:dyDescent="0.3">
      <c r="A2328" s="45">
        <v>44377</v>
      </c>
      <c r="B2328" s="399"/>
      <c r="C2328" s="5" t="s">
        <v>4550</v>
      </c>
      <c r="D2328" s="5" t="s">
        <v>294</v>
      </c>
      <c r="E2328" s="43">
        <v>30000</v>
      </c>
      <c r="F2328" s="43"/>
      <c r="G2328" s="364">
        <f t="shared" si="23"/>
        <v>21737</v>
      </c>
      <c r="H2328" s="391" t="s">
        <v>9568</v>
      </c>
    </row>
    <row r="2329" spans="1:13" x14ac:dyDescent="0.3">
      <c r="A2329" s="45">
        <v>44377</v>
      </c>
      <c r="B2329" s="399"/>
      <c r="C2329" s="5" t="s">
        <v>25</v>
      </c>
      <c r="D2329" s="5" t="s">
        <v>4276</v>
      </c>
      <c r="E2329" s="43">
        <v>7239</v>
      </c>
      <c r="F2329" s="43"/>
      <c r="G2329" s="364">
        <f t="shared" si="23"/>
        <v>14498</v>
      </c>
      <c r="H2329" s="391" t="s">
        <v>9568</v>
      </c>
    </row>
    <row r="2330" spans="1:13" x14ac:dyDescent="0.3">
      <c r="A2330" s="45">
        <v>44377</v>
      </c>
      <c r="B2330" s="580"/>
      <c r="C2330" s="554" t="s">
        <v>861</v>
      </c>
      <c r="D2330" s="554"/>
      <c r="E2330" s="554"/>
      <c r="F2330" s="43">
        <v>279000</v>
      </c>
      <c r="G2330" s="364">
        <f t="shared" si="23"/>
        <v>293498</v>
      </c>
      <c r="H2330" s="391" t="s">
        <v>9568</v>
      </c>
      <c r="M2330" s="93"/>
    </row>
    <row r="2331" spans="1:13" x14ac:dyDescent="0.3">
      <c r="A2331" s="45">
        <v>44377</v>
      </c>
      <c r="B2331" s="399"/>
      <c r="C2331" s="5" t="s">
        <v>6430</v>
      </c>
      <c r="D2331" s="5" t="s">
        <v>7657</v>
      </c>
      <c r="E2331" s="43">
        <v>3000</v>
      </c>
      <c r="F2331" s="43"/>
      <c r="G2331" s="364">
        <f t="shared" si="23"/>
        <v>290498</v>
      </c>
      <c r="H2331" s="391" t="s">
        <v>9568</v>
      </c>
    </row>
    <row r="2332" spans="1:13" x14ac:dyDescent="0.3">
      <c r="A2332" s="45">
        <v>44377</v>
      </c>
      <c r="B2332" s="399"/>
      <c r="C2332" s="5" t="s">
        <v>6430</v>
      </c>
      <c r="D2332" s="5" t="s">
        <v>7658</v>
      </c>
      <c r="E2332" s="43">
        <v>600</v>
      </c>
      <c r="F2332" s="43"/>
      <c r="G2332" s="364">
        <f t="shared" si="23"/>
        <v>289898</v>
      </c>
      <c r="H2332" s="391" t="s">
        <v>9568</v>
      </c>
    </row>
    <row r="2333" spans="1:13" x14ac:dyDescent="0.3">
      <c r="A2333" s="45">
        <v>44377</v>
      </c>
      <c r="B2333" s="399"/>
      <c r="C2333" s="5" t="s">
        <v>4055</v>
      </c>
      <c r="D2333" s="5" t="s">
        <v>7659</v>
      </c>
      <c r="E2333" s="43">
        <v>10500</v>
      </c>
      <c r="F2333" s="43"/>
      <c r="G2333" s="364">
        <f t="shared" si="23"/>
        <v>279398</v>
      </c>
      <c r="H2333" s="391" t="s">
        <v>9568</v>
      </c>
    </row>
    <row r="2334" spans="1:13" x14ac:dyDescent="0.3">
      <c r="A2334" s="45">
        <v>44377</v>
      </c>
      <c r="B2334" s="399"/>
      <c r="C2334" s="5" t="s">
        <v>4055</v>
      </c>
      <c r="D2334" s="5" t="s">
        <v>7660</v>
      </c>
      <c r="E2334" s="43">
        <v>5000</v>
      </c>
      <c r="F2334" s="43"/>
      <c r="G2334" s="364">
        <f t="shared" si="23"/>
        <v>274398</v>
      </c>
      <c r="H2334" s="391" t="s">
        <v>9568</v>
      </c>
    </row>
    <row r="2335" spans="1:13" x14ac:dyDescent="0.3">
      <c r="A2335" s="45">
        <v>44378</v>
      </c>
      <c r="B2335" s="399"/>
      <c r="C2335" s="5" t="s">
        <v>5618</v>
      </c>
      <c r="D2335" s="5" t="s">
        <v>7661</v>
      </c>
      <c r="E2335" s="43">
        <v>20000</v>
      </c>
      <c r="F2335" s="43"/>
      <c r="G2335" s="364">
        <f t="shared" si="23"/>
        <v>254398</v>
      </c>
      <c r="H2335" s="391" t="s">
        <v>9568</v>
      </c>
    </row>
    <row r="2336" spans="1:13" x14ac:dyDescent="0.3">
      <c r="A2336" s="45">
        <v>44378</v>
      </c>
      <c r="B2336" s="399"/>
      <c r="C2336" s="5" t="s">
        <v>5793</v>
      </c>
      <c r="D2336" s="5" t="s">
        <v>7662</v>
      </c>
      <c r="E2336" s="43">
        <v>1500</v>
      </c>
      <c r="F2336" s="43"/>
      <c r="G2336" s="364">
        <f t="shared" si="23"/>
        <v>252898</v>
      </c>
      <c r="H2336" s="391" t="s">
        <v>9568</v>
      </c>
    </row>
    <row r="2337" spans="1:8" x14ac:dyDescent="0.3">
      <c r="A2337" s="45">
        <v>44378</v>
      </c>
      <c r="B2337" s="399"/>
      <c r="C2337" s="5" t="s">
        <v>7606</v>
      </c>
      <c r="D2337" s="5" t="s">
        <v>294</v>
      </c>
      <c r="E2337" s="43">
        <v>1000</v>
      </c>
      <c r="F2337" s="43"/>
      <c r="G2337" s="364">
        <f t="shared" si="23"/>
        <v>251898</v>
      </c>
      <c r="H2337" s="391" t="s">
        <v>9568</v>
      </c>
    </row>
    <row r="2338" spans="1:8" x14ac:dyDescent="0.3">
      <c r="A2338" s="45">
        <v>44378</v>
      </c>
      <c r="B2338" s="399"/>
      <c r="C2338" s="5" t="s">
        <v>6430</v>
      </c>
      <c r="D2338" s="5" t="s">
        <v>3183</v>
      </c>
      <c r="E2338" s="43">
        <v>10000</v>
      </c>
      <c r="F2338" s="43"/>
      <c r="G2338" s="364">
        <f t="shared" si="23"/>
        <v>241898</v>
      </c>
      <c r="H2338" s="391" t="s">
        <v>9568</v>
      </c>
    </row>
    <row r="2339" spans="1:8" x14ac:dyDescent="0.3">
      <c r="A2339" s="45">
        <v>44378</v>
      </c>
      <c r="B2339" s="399"/>
      <c r="C2339" s="5" t="s">
        <v>0</v>
      </c>
      <c r="D2339" s="5" t="s">
        <v>583</v>
      </c>
      <c r="E2339" s="43">
        <v>5000</v>
      </c>
      <c r="F2339" s="43"/>
      <c r="G2339" s="364">
        <f t="shared" si="23"/>
        <v>236898</v>
      </c>
      <c r="H2339" s="391" t="s">
        <v>9568</v>
      </c>
    </row>
    <row r="2340" spans="1:8" x14ac:dyDescent="0.3">
      <c r="A2340" s="45">
        <v>44378</v>
      </c>
      <c r="B2340" s="399"/>
      <c r="C2340" s="5" t="s">
        <v>7663</v>
      </c>
      <c r="D2340" s="5" t="s">
        <v>7664</v>
      </c>
      <c r="E2340" s="43">
        <v>36950</v>
      </c>
      <c r="F2340" s="43"/>
      <c r="G2340" s="364">
        <f t="shared" si="23"/>
        <v>199948</v>
      </c>
      <c r="H2340" s="391" t="s">
        <v>9568</v>
      </c>
    </row>
    <row r="2341" spans="1:8" x14ac:dyDescent="0.3">
      <c r="A2341" s="45">
        <v>44378</v>
      </c>
      <c r="B2341" s="399"/>
      <c r="C2341" s="5" t="s">
        <v>25</v>
      </c>
      <c r="D2341" s="5" t="s">
        <v>7665</v>
      </c>
      <c r="E2341" s="43">
        <v>2750</v>
      </c>
      <c r="F2341" s="43"/>
      <c r="G2341" s="364">
        <f t="shared" si="23"/>
        <v>197198</v>
      </c>
      <c r="H2341" s="391" t="s">
        <v>9568</v>
      </c>
    </row>
    <row r="2342" spans="1:8" x14ac:dyDescent="0.3">
      <c r="A2342" s="45">
        <v>44378</v>
      </c>
      <c r="B2342" s="399"/>
      <c r="C2342" s="5" t="s">
        <v>84</v>
      </c>
      <c r="D2342" s="5" t="s">
        <v>7666</v>
      </c>
      <c r="E2342" s="43">
        <v>1000</v>
      </c>
      <c r="F2342" s="43"/>
      <c r="G2342" s="364">
        <f t="shared" si="23"/>
        <v>196198</v>
      </c>
      <c r="H2342" s="391" t="s">
        <v>9568</v>
      </c>
    </row>
    <row r="2343" spans="1:8" x14ac:dyDescent="0.3">
      <c r="A2343" s="45">
        <v>44378</v>
      </c>
      <c r="B2343" s="399"/>
      <c r="C2343" s="5" t="s">
        <v>84</v>
      </c>
      <c r="D2343" s="5" t="s">
        <v>7667</v>
      </c>
      <c r="E2343" s="43">
        <v>1000</v>
      </c>
      <c r="F2343" s="43"/>
      <c r="G2343" s="364">
        <f t="shared" si="23"/>
        <v>195198</v>
      </c>
      <c r="H2343" s="391" t="s">
        <v>9568</v>
      </c>
    </row>
    <row r="2344" spans="1:8" x14ac:dyDescent="0.3">
      <c r="A2344" s="45">
        <v>44379</v>
      </c>
      <c r="B2344" s="399"/>
      <c r="C2344" s="5" t="s">
        <v>68</v>
      </c>
      <c r="D2344" s="5" t="s">
        <v>7668</v>
      </c>
      <c r="E2344" s="43">
        <v>4000</v>
      </c>
      <c r="F2344" s="43"/>
      <c r="G2344" s="364">
        <f t="shared" si="23"/>
        <v>191198</v>
      </c>
      <c r="H2344" s="391" t="s">
        <v>9568</v>
      </c>
    </row>
    <row r="2345" spans="1:8" x14ac:dyDescent="0.3">
      <c r="A2345" s="45">
        <v>44379</v>
      </c>
      <c r="B2345" s="399"/>
      <c r="C2345" s="5" t="s">
        <v>25</v>
      </c>
      <c r="D2345" s="5" t="s">
        <v>7687</v>
      </c>
      <c r="E2345" s="43">
        <v>600</v>
      </c>
      <c r="F2345" s="43"/>
      <c r="G2345" s="364">
        <f t="shared" si="23"/>
        <v>190598</v>
      </c>
      <c r="H2345" s="391" t="s">
        <v>9568</v>
      </c>
    </row>
    <row r="2346" spans="1:8" x14ac:dyDescent="0.3">
      <c r="A2346" s="45">
        <v>44379</v>
      </c>
      <c r="B2346" s="399"/>
      <c r="C2346" s="5" t="s">
        <v>18</v>
      </c>
      <c r="D2346" s="92" t="s">
        <v>7682</v>
      </c>
      <c r="E2346" s="43">
        <v>6400</v>
      </c>
      <c r="F2346" s="43"/>
      <c r="G2346" s="364">
        <f t="shared" si="23"/>
        <v>184198</v>
      </c>
      <c r="H2346" s="391" t="s">
        <v>9568</v>
      </c>
    </row>
    <row r="2347" spans="1:8" x14ac:dyDescent="0.3">
      <c r="A2347" s="45">
        <v>44379</v>
      </c>
      <c r="B2347" s="399"/>
      <c r="C2347" s="5" t="s">
        <v>6430</v>
      </c>
      <c r="D2347" s="5" t="s">
        <v>7681</v>
      </c>
      <c r="E2347" s="43">
        <v>3000</v>
      </c>
      <c r="F2347" s="43"/>
      <c r="G2347" s="364">
        <f t="shared" si="23"/>
        <v>181198</v>
      </c>
      <c r="H2347" s="391" t="s">
        <v>9568</v>
      </c>
    </row>
    <row r="2348" spans="1:8" x14ac:dyDescent="0.3">
      <c r="A2348" s="45">
        <v>44379</v>
      </c>
      <c r="B2348" s="399"/>
      <c r="C2348" s="5" t="s">
        <v>1616</v>
      </c>
      <c r="D2348" s="5" t="s">
        <v>640</v>
      </c>
      <c r="E2348" s="43">
        <v>1500</v>
      </c>
      <c r="F2348" s="43"/>
      <c r="G2348" s="364">
        <f t="shared" si="23"/>
        <v>179698</v>
      </c>
      <c r="H2348" s="391" t="s">
        <v>9568</v>
      </c>
    </row>
    <row r="2349" spans="1:8" x14ac:dyDescent="0.3">
      <c r="A2349" s="45">
        <v>44379</v>
      </c>
      <c r="B2349" s="399"/>
      <c r="C2349" s="5" t="s">
        <v>14</v>
      </c>
      <c r="D2349" s="5" t="s">
        <v>7683</v>
      </c>
      <c r="E2349" s="43">
        <v>20000</v>
      </c>
      <c r="F2349" s="43"/>
      <c r="G2349" s="364">
        <f t="shared" si="23"/>
        <v>159698</v>
      </c>
      <c r="H2349" s="391" t="s">
        <v>9568</v>
      </c>
    </row>
    <row r="2350" spans="1:8" x14ac:dyDescent="0.3">
      <c r="A2350" s="45">
        <v>44379</v>
      </c>
      <c r="B2350" s="399"/>
      <c r="C2350" s="5" t="s">
        <v>57</v>
      </c>
      <c r="D2350" s="5" t="s">
        <v>7684</v>
      </c>
      <c r="E2350" s="43">
        <v>15000</v>
      </c>
      <c r="F2350" s="43"/>
      <c r="G2350" s="364">
        <f t="shared" si="23"/>
        <v>144698</v>
      </c>
      <c r="H2350" s="391" t="s">
        <v>9568</v>
      </c>
    </row>
    <row r="2351" spans="1:8" x14ac:dyDescent="0.3">
      <c r="A2351" s="45">
        <v>44379</v>
      </c>
      <c r="B2351" s="399"/>
      <c r="C2351" s="5" t="s">
        <v>14</v>
      </c>
      <c r="D2351" s="5" t="s">
        <v>294</v>
      </c>
      <c r="E2351" s="43">
        <v>5000</v>
      </c>
      <c r="F2351" s="43"/>
      <c r="G2351" s="364">
        <f t="shared" ref="G2351:G2360" si="24">G2350+F2351-E2351</f>
        <v>139698</v>
      </c>
      <c r="H2351" s="391" t="s">
        <v>9568</v>
      </c>
    </row>
    <row r="2352" spans="1:8" x14ac:dyDescent="0.3">
      <c r="A2352" s="45">
        <v>44379</v>
      </c>
      <c r="B2352" s="399"/>
      <c r="C2352" s="5" t="s">
        <v>1512</v>
      </c>
      <c r="D2352" s="5" t="s">
        <v>7685</v>
      </c>
      <c r="E2352" s="43">
        <v>23600</v>
      </c>
      <c r="F2352" s="43"/>
      <c r="G2352" s="364">
        <f t="shared" si="24"/>
        <v>116098</v>
      </c>
      <c r="H2352" s="391" t="s">
        <v>9568</v>
      </c>
    </row>
    <row r="2353" spans="1:13" x14ac:dyDescent="0.3">
      <c r="A2353" s="45">
        <v>44379</v>
      </c>
      <c r="B2353" s="399"/>
      <c r="C2353" s="5" t="s">
        <v>5793</v>
      </c>
      <c r="D2353" s="5" t="s">
        <v>7686</v>
      </c>
      <c r="E2353" s="43">
        <v>10000</v>
      </c>
      <c r="F2353" s="43"/>
      <c r="G2353" s="364">
        <f t="shared" si="24"/>
        <v>106098</v>
      </c>
      <c r="H2353" s="391" t="s">
        <v>9568</v>
      </c>
    </row>
    <row r="2354" spans="1:13" x14ac:dyDescent="0.3">
      <c r="A2354" s="45">
        <v>44379</v>
      </c>
      <c r="B2354" s="399"/>
      <c r="C2354" s="5" t="s">
        <v>5156</v>
      </c>
      <c r="D2354" s="5" t="s">
        <v>7688</v>
      </c>
      <c r="E2354" s="43">
        <v>1350</v>
      </c>
      <c r="F2354" s="43"/>
      <c r="G2354" s="364">
        <f t="shared" si="24"/>
        <v>104748</v>
      </c>
      <c r="H2354" s="391" t="s">
        <v>9568</v>
      </c>
    </row>
    <row r="2355" spans="1:13" x14ac:dyDescent="0.3">
      <c r="A2355" s="45">
        <v>44380</v>
      </c>
      <c r="B2355" s="399"/>
      <c r="C2355" s="5" t="s">
        <v>25</v>
      </c>
      <c r="D2355" s="5" t="s">
        <v>4276</v>
      </c>
      <c r="E2355" s="43">
        <v>6020</v>
      </c>
      <c r="F2355" s="43"/>
      <c r="G2355" s="364">
        <f t="shared" si="24"/>
        <v>98728</v>
      </c>
      <c r="H2355" s="391" t="s">
        <v>9568</v>
      </c>
    </row>
    <row r="2356" spans="1:13" x14ac:dyDescent="0.3">
      <c r="A2356" s="45">
        <v>44380</v>
      </c>
      <c r="B2356" s="399"/>
      <c r="C2356" s="5" t="s">
        <v>68</v>
      </c>
      <c r="D2356" s="5" t="s">
        <v>4703</v>
      </c>
      <c r="E2356" s="43">
        <v>8000</v>
      </c>
      <c r="F2356" s="43"/>
      <c r="G2356" s="364">
        <f t="shared" si="24"/>
        <v>90728</v>
      </c>
      <c r="H2356" s="391" t="s">
        <v>9568</v>
      </c>
    </row>
    <row r="2357" spans="1:13" x14ac:dyDescent="0.3">
      <c r="A2357" s="45">
        <v>44380</v>
      </c>
      <c r="B2357" s="399"/>
      <c r="C2357" s="5" t="s">
        <v>5793</v>
      </c>
      <c r="D2357" s="5" t="s">
        <v>7686</v>
      </c>
      <c r="E2357" s="43">
        <v>13000</v>
      </c>
      <c r="F2357" s="43"/>
      <c r="G2357" s="364">
        <f t="shared" si="24"/>
        <v>77728</v>
      </c>
      <c r="H2357" s="391" t="s">
        <v>9568</v>
      </c>
    </row>
    <row r="2358" spans="1:13" x14ac:dyDescent="0.3">
      <c r="A2358" s="45">
        <v>44380</v>
      </c>
      <c r="B2358" s="399"/>
      <c r="C2358" s="5" t="s">
        <v>4550</v>
      </c>
      <c r="D2358" s="5" t="s">
        <v>7250</v>
      </c>
      <c r="E2358" s="43">
        <v>5000</v>
      </c>
      <c r="F2358" s="43"/>
      <c r="G2358" s="364">
        <f t="shared" si="24"/>
        <v>72728</v>
      </c>
      <c r="H2358" s="391" t="s">
        <v>9568</v>
      </c>
    </row>
    <row r="2359" spans="1:13" x14ac:dyDescent="0.3">
      <c r="A2359" s="45">
        <v>44380</v>
      </c>
      <c r="B2359" s="399"/>
      <c r="C2359" s="5" t="s">
        <v>84</v>
      </c>
      <c r="D2359" s="5" t="s">
        <v>7689</v>
      </c>
      <c r="E2359" s="43">
        <v>1000</v>
      </c>
      <c r="F2359" s="43"/>
      <c r="G2359" s="364">
        <f t="shared" si="24"/>
        <v>71728</v>
      </c>
      <c r="H2359" s="391" t="s">
        <v>9568</v>
      </c>
    </row>
    <row r="2360" spans="1:13" x14ac:dyDescent="0.3">
      <c r="A2360" s="45">
        <v>44380</v>
      </c>
      <c r="B2360" s="399"/>
      <c r="C2360" s="5" t="s">
        <v>7690</v>
      </c>
      <c r="D2360" s="5" t="s">
        <v>294</v>
      </c>
      <c r="E2360" s="43">
        <v>5000</v>
      </c>
      <c r="F2360" s="43"/>
      <c r="G2360" s="364">
        <f t="shared" si="24"/>
        <v>66728</v>
      </c>
      <c r="H2360" s="391" t="s">
        <v>9568</v>
      </c>
    </row>
    <row r="2361" spans="1:13" x14ac:dyDescent="0.3">
      <c r="A2361" s="45">
        <v>44380</v>
      </c>
      <c r="B2361" s="399"/>
      <c r="C2361" s="5" t="s">
        <v>5793</v>
      </c>
      <c r="D2361" s="5" t="s">
        <v>7691</v>
      </c>
      <c r="E2361" s="43">
        <v>1000</v>
      </c>
      <c r="F2361" s="43"/>
      <c r="G2361" s="364">
        <f>G2360+F2361-E2361</f>
        <v>65728</v>
      </c>
      <c r="H2361" s="391" t="s">
        <v>9568</v>
      </c>
    </row>
    <row r="2362" spans="1:13" x14ac:dyDescent="0.3">
      <c r="A2362" s="45">
        <v>44380</v>
      </c>
      <c r="B2362" s="399"/>
      <c r="C2362" s="5" t="s">
        <v>7692</v>
      </c>
      <c r="D2362" s="5" t="s">
        <v>7693</v>
      </c>
      <c r="E2362" s="43">
        <v>20000</v>
      </c>
      <c r="F2362" s="43"/>
      <c r="G2362" s="364">
        <f t="shared" ref="G2362:G2399" si="25">G2361+F2362-E2362</f>
        <v>45728</v>
      </c>
      <c r="H2362" s="391" t="s">
        <v>9568</v>
      </c>
    </row>
    <row r="2363" spans="1:13" x14ac:dyDescent="0.3">
      <c r="A2363" s="45">
        <v>44380</v>
      </c>
      <c r="B2363" s="399"/>
      <c r="C2363" s="5" t="s">
        <v>6430</v>
      </c>
      <c r="D2363" s="5" t="s">
        <v>7694</v>
      </c>
      <c r="E2363" s="43">
        <v>650</v>
      </c>
      <c r="F2363" s="43"/>
      <c r="G2363" s="364">
        <f t="shared" si="25"/>
        <v>45078</v>
      </c>
      <c r="H2363" s="391" t="s">
        <v>9568</v>
      </c>
    </row>
    <row r="2364" spans="1:13" x14ac:dyDescent="0.3">
      <c r="A2364" s="45">
        <v>44382</v>
      </c>
      <c r="B2364" s="399"/>
      <c r="C2364" s="5" t="s">
        <v>14</v>
      </c>
      <c r="D2364" s="5" t="s">
        <v>7697</v>
      </c>
      <c r="E2364" s="43">
        <v>16341</v>
      </c>
      <c r="F2364" s="43"/>
      <c r="G2364" s="364">
        <f t="shared" si="25"/>
        <v>28737</v>
      </c>
      <c r="H2364" s="391" t="s">
        <v>9568</v>
      </c>
    </row>
    <row r="2365" spans="1:13" x14ac:dyDescent="0.3">
      <c r="A2365" s="45">
        <v>44382</v>
      </c>
      <c r="B2365" s="399"/>
      <c r="C2365" s="5" t="s">
        <v>25</v>
      </c>
      <c r="D2365" s="5" t="s">
        <v>7698</v>
      </c>
      <c r="E2365" s="43">
        <v>1000</v>
      </c>
      <c r="F2365" s="43"/>
      <c r="G2365" s="364">
        <f t="shared" si="25"/>
        <v>27737</v>
      </c>
      <c r="H2365" s="391" t="s">
        <v>9568</v>
      </c>
    </row>
    <row r="2366" spans="1:13" x14ac:dyDescent="0.3">
      <c r="A2366" s="45">
        <v>44382</v>
      </c>
      <c r="B2366" s="399"/>
      <c r="C2366" s="5" t="s">
        <v>14</v>
      </c>
      <c r="D2366" s="5" t="s">
        <v>7699</v>
      </c>
      <c r="E2366" s="43">
        <v>25000</v>
      </c>
      <c r="F2366" s="43"/>
      <c r="G2366" s="364">
        <f t="shared" si="25"/>
        <v>2737</v>
      </c>
      <c r="H2366" s="391" t="s">
        <v>9568</v>
      </c>
    </row>
    <row r="2367" spans="1:13" x14ac:dyDescent="0.3">
      <c r="A2367" s="45">
        <v>44382</v>
      </c>
      <c r="B2367" s="580"/>
      <c r="C2367" s="554" t="s">
        <v>7440</v>
      </c>
      <c r="D2367" s="554"/>
      <c r="E2367" s="554"/>
      <c r="F2367" s="43">
        <v>400000</v>
      </c>
      <c r="G2367" s="364">
        <f t="shared" si="25"/>
        <v>402737</v>
      </c>
      <c r="H2367" s="391" t="s">
        <v>9568</v>
      </c>
      <c r="M2367" s="93"/>
    </row>
    <row r="2368" spans="1:13" x14ac:dyDescent="0.3">
      <c r="A2368" s="45">
        <v>44382</v>
      </c>
      <c r="B2368" s="402"/>
      <c r="C2368" s="39" t="s">
        <v>1512</v>
      </c>
      <c r="D2368" s="39" t="s">
        <v>6387</v>
      </c>
      <c r="E2368" s="43">
        <v>96125</v>
      </c>
      <c r="F2368" s="43"/>
      <c r="G2368" s="364">
        <f t="shared" si="25"/>
        <v>306612</v>
      </c>
      <c r="H2368" s="391" t="s">
        <v>9568</v>
      </c>
      <c r="M2368" s="93"/>
    </row>
    <row r="2369" spans="1:13" x14ac:dyDescent="0.3">
      <c r="A2369" s="45">
        <v>44382</v>
      </c>
      <c r="B2369" s="402"/>
      <c r="C2369" s="39" t="s">
        <v>1512</v>
      </c>
      <c r="D2369" s="39" t="s">
        <v>7700</v>
      </c>
      <c r="E2369" s="43">
        <v>79450</v>
      </c>
      <c r="F2369" s="43"/>
      <c r="G2369" s="364">
        <f t="shared" si="25"/>
        <v>227162</v>
      </c>
      <c r="H2369" s="391" t="s">
        <v>9568</v>
      </c>
    </row>
    <row r="2370" spans="1:13" x14ac:dyDescent="0.3">
      <c r="A2370" s="45">
        <v>44382</v>
      </c>
      <c r="B2370" s="402"/>
      <c r="C2370" s="39" t="s">
        <v>1512</v>
      </c>
      <c r="D2370" s="5" t="s">
        <v>7716</v>
      </c>
      <c r="E2370" s="43">
        <v>88100</v>
      </c>
      <c r="F2370" s="43"/>
      <c r="G2370" s="364">
        <f t="shared" si="25"/>
        <v>139062</v>
      </c>
      <c r="H2370" s="391" t="s">
        <v>9568</v>
      </c>
    </row>
    <row r="2371" spans="1:13" x14ac:dyDescent="0.3">
      <c r="A2371" s="45">
        <v>44382</v>
      </c>
      <c r="B2371" s="402"/>
      <c r="C2371" s="39" t="s">
        <v>1512</v>
      </c>
      <c r="D2371" s="5" t="s">
        <v>0</v>
      </c>
      <c r="E2371" s="43">
        <v>34100</v>
      </c>
      <c r="F2371" s="43"/>
      <c r="G2371" s="364">
        <f t="shared" si="25"/>
        <v>104962</v>
      </c>
      <c r="H2371" s="391" t="s">
        <v>9568</v>
      </c>
    </row>
    <row r="2372" spans="1:13" x14ac:dyDescent="0.3">
      <c r="A2372" s="45">
        <v>44382</v>
      </c>
      <c r="B2372" s="402"/>
      <c r="C2372" s="39" t="s">
        <v>1512</v>
      </c>
      <c r="D2372" s="5" t="s">
        <v>7719</v>
      </c>
      <c r="E2372" s="43">
        <f>47000+40000</f>
        <v>87000</v>
      </c>
      <c r="F2372" s="43"/>
      <c r="G2372" s="364">
        <f t="shared" si="25"/>
        <v>17962</v>
      </c>
      <c r="H2372" s="391" t="s">
        <v>9568</v>
      </c>
    </row>
    <row r="2373" spans="1:13" x14ac:dyDescent="0.3">
      <c r="A2373" s="45">
        <v>44382</v>
      </c>
      <c r="B2373" s="399"/>
      <c r="C2373" s="5" t="s">
        <v>7128</v>
      </c>
      <c r="D2373" s="5" t="s">
        <v>6932</v>
      </c>
      <c r="E2373" s="43">
        <v>2000</v>
      </c>
      <c r="F2373" s="43"/>
      <c r="G2373" s="364">
        <f t="shared" si="25"/>
        <v>15962</v>
      </c>
      <c r="H2373" s="391" t="s">
        <v>9568</v>
      </c>
    </row>
    <row r="2374" spans="1:13" x14ac:dyDescent="0.3">
      <c r="A2374" s="45">
        <v>44382</v>
      </c>
      <c r="B2374" s="399"/>
      <c r="C2374" s="5" t="s">
        <v>7128</v>
      </c>
      <c r="D2374" s="5" t="s">
        <v>7702</v>
      </c>
      <c r="E2374" s="43">
        <v>2000</v>
      </c>
      <c r="F2374" s="43"/>
      <c r="G2374" s="364">
        <f t="shared" si="25"/>
        <v>13962</v>
      </c>
      <c r="H2374" s="391" t="s">
        <v>9568</v>
      </c>
    </row>
    <row r="2375" spans="1:13" x14ac:dyDescent="0.3">
      <c r="A2375" s="45">
        <v>44382</v>
      </c>
      <c r="B2375" s="399"/>
      <c r="C2375" s="5" t="s">
        <v>25</v>
      </c>
      <c r="D2375" s="5" t="s">
        <v>50</v>
      </c>
      <c r="E2375" s="43">
        <v>1200</v>
      </c>
      <c r="F2375" s="43"/>
      <c r="G2375" s="364">
        <f t="shared" si="25"/>
        <v>12762</v>
      </c>
      <c r="H2375" s="391" t="s">
        <v>9568</v>
      </c>
    </row>
    <row r="2376" spans="1:13" x14ac:dyDescent="0.3">
      <c r="A2376" s="45">
        <v>44382</v>
      </c>
      <c r="B2376" s="399"/>
      <c r="C2376" s="5" t="s">
        <v>25</v>
      </c>
      <c r="D2376" s="5" t="s">
        <v>7704</v>
      </c>
      <c r="E2376" s="43">
        <v>200</v>
      </c>
      <c r="F2376" s="43"/>
      <c r="G2376" s="364">
        <f t="shared" si="25"/>
        <v>12562</v>
      </c>
      <c r="H2376" s="391" t="s">
        <v>9568</v>
      </c>
    </row>
    <row r="2377" spans="1:13" x14ac:dyDescent="0.3">
      <c r="A2377" s="45">
        <v>44382</v>
      </c>
      <c r="B2377" s="399"/>
      <c r="C2377" s="5" t="s">
        <v>7606</v>
      </c>
      <c r="D2377" s="5" t="s">
        <v>7703</v>
      </c>
      <c r="E2377" s="43">
        <v>5000</v>
      </c>
      <c r="F2377" s="43"/>
      <c r="G2377" s="364">
        <f t="shared" si="25"/>
        <v>7562</v>
      </c>
      <c r="H2377" s="391" t="s">
        <v>9568</v>
      </c>
    </row>
    <row r="2378" spans="1:13" x14ac:dyDescent="0.3">
      <c r="A2378" s="45">
        <v>44382</v>
      </c>
      <c r="B2378" s="399"/>
      <c r="C2378" s="5" t="s">
        <v>25</v>
      </c>
      <c r="D2378" s="5" t="s">
        <v>7705</v>
      </c>
      <c r="E2378" s="43">
        <v>1000</v>
      </c>
      <c r="F2378" s="43"/>
      <c r="G2378" s="364">
        <f t="shared" si="25"/>
        <v>6562</v>
      </c>
      <c r="H2378" s="391" t="s">
        <v>9568</v>
      </c>
    </row>
    <row r="2379" spans="1:13" x14ac:dyDescent="0.3">
      <c r="A2379" s="45">
        <v>44383</v>
      </c>
      <c r="B2379" s="399"/>
      <c r="C2379" s="5" t="s">
        <v>7474</v>
      </c>
      <c r="D2379" s="5" t="s">
        <v>7706</v>
      </c>
      <c r="E2379" s="43">
        <v>1000</v>
      </c>
      <c r="F2379" s="43"/>
      <c r="G2379" s="364">
        <f t="shared" si="25"/>
        <v>5562</v>
      </c>
      <c r="H2379" s="391" t="s">
        <v>9568</v>
      </c>
    </row>
    <row r="2380" spans="1:13" x14ac:dyDescent="0.3">
      <c r="A2380" s="45">
        <v>44383</v>
      </c>
      <c r="B2380" s="580"/>
      <c r="C2380" s="554" t="s">
        <v>7440</v>
      </c>
      <c r="D2380" s="554"/>
      <c r="E2380" s="554"/>
      <c r="F2380" s="43">
        <v>50000</v>
      </c>
      <c r="G2380" s="364">
        <f t="shared" si="25"/>
        <v>55562</v>
      </c>
      <c r="H2380" s="391" t="s">
        <v>9568</v>
      </c>
      <c r="M2380" s="93"/>
    </row>
    <row r="2381" spans="1:13" x14ac:dyDescent="0.3">
      <c r="A2381" s="45">
        <v>44383</v>
      </c>
      <c r="B2381" s="399"/>
      <c r="C2381" s="5" t="s">
        <v>0</v>
      </c>
      <c r="D2381" s="5" t="s">
        <v>294</v>
      </c>
      <c r="E2381" s="43">
        <v>6000</v>
      </c>
      <c r="F2381" s="43"/>
      <c r="G2381" s="364">
        <f t="shared" si="25"/>
        <v>49562</v>
      </c>
      <c r="H2381" s="391" t="s">
        <v>9568</v>
      </c>
    </row>
    <row r="2382" spans="1:13" x14ac:dyDescent="0.3">
      <c r="A2382" s="45">
        <v>44383</v>
      </c>
      <c r="B2382" s="399"/>
      <c r="C2382" s="5" t="s">
        <v>7707</v>
      </c>
      <c r="D2382" s="5" t="s">
        <v>7708</v>
      </c>
      <c r="E2382" s="43">
        <v>15000</v>
      </c>
      <c r="F2382" s="43"/>
      <c r="G2382" s="364">
        <f t="shared" si="25"/>
        <v>34562</v>
      </c>
      <c r="H2382" s="391" t="s">
        <v>9568</v>
      </c>
    </row>
    <row r="2383" spans="1:13" x14ac:dyDescent="0.3">
      <c r="A2383" s="45">
        <v>44383</v>
      </c>
      <c r="B2383" s="399"/>
      <c r="C2383" s="5" t="s">
        <v>14</v>
      </c>
      <c r="D2383" s="5" t="s">
        <v>294</v>
      </c>
      <c r="E2383" s="43">
        <v>10000</v>
      </c>
      <c r="F2383" s="43"/>
      <c r="G2383" s="364">
        <f t="shared" si="25"/>
        <v>24562</v>
      </c>
      <c r="H2383" s="391" t="s">
        <v>9568</v>
      </c>
    </row>
    <row r="2384" spans="1:13" ht="37.5" customHeight="1" x14ac:dyDescent="0.3">
      <c r="A2384" s="45">
        <v>44384</v>
      </c>
      <c r="B2384" s="322"/>
      <c r="C2384" s="44" t="s">
        <v>68</v>
      </c>
      <c r="D2384" s="124" t="s">
        <v>7709</v>
      </c>
      <c r="E2384" s="28">
        <v>3000</v>
      </c>
      <c r="F2384" s="43"/>
      <c r="G2384" s="364">
        <f t="shared" si="25"/>
        <v>21562</v>
      </c>
      <c r="H2384" s="391" t="s">
        <v>9568</v>
      </c>
    </row>
    <row r="2385" spans="1:13" x14ac:dyDescent="0.3">
      <c r="A2385" s="45">
        <v>44384</v>
      </c>
      <c r="B2385" s="399"/>
      <c r="C2385" s="5" t="s">
        <v>25</v>
      </c>
      <c r="D2385" s="5" t="s">
        <v>7710</v>
      </c>
      <c r="E2385" s="43">
        <v>526</v>
      </c>
      <c r="F2385" s="43"/>
      <c r="G2385" s="364">
        <f t="shared" si="25"/>
        <v>21036</v>
      </c>
      <c r="H2385" s="391" t="s">
        <v>9568</v>
      </c>
    </row>
    <row r="2386" spans="1:13" x14ac:dyDescent="0.3">
      <c r="A2386" s="45">
        <v>44384</v>
      </c>
      <c r="B2386" s="399"/>
      <c r="C2386" s="5" t="s">
        <v>7711</v>
      </c>
      <c r="D2386" s="5" t="s">
        <v>7712</v>
      </c>
      <c r="E2386" s="43">
        <v>2000</v>
      </c>
      <c r="F2386" s="43"/>
      <c r="G2386" s="364">
        <f t="shared" si="25"/>
        <v>19036</v>
      </c>
      <c r="H2386" s="391" t="s">
        <v>9568</v>
      </c>
    </row>
    <row r="2387" spans="1:13" x14ac:dyDescent="0.3">
      <c r="A2387" s="45">
        <v>44384</v>
      </c>
      <c r="B2387" s="399"/>
      <c r="C2387" s="5" t="s">
        <v>25</v>
      </c>
      <c r="D2387" s="5" t="s">
        <v>7599</v>
      </c>
      <c r="E2387" s="43">
        <v>100</v>
      </c>
      <c r="F2387" s="43"/>
      <c r="G2387" s="364">
        <f t="shared" si="25"/>
        <v>18936</v>
      </c>
      <c r="H2387" s="391" t="s">
        <v>9568</v>
      </c>
    </row>
    <row r="2388" spans="1:13" x14ac:dyDescent="0.3">
      <c r="A2388" s="45">
        <v>44384</v>
      </c>
      <c r="B2388" s="399"/>
      <c r="C2388" s="5" t="s">
        <v>7713</v>
      </c>
      <c r="D2388" s="5" t="s">
        <v>7714</v>
      </c>
      <c r="E2388" s="43">
        <v>120</v>
      </c>
      <c r="F2388" s="43"/>
      <c r="G2388" s="364">
        <f t="shared" si="25"/>
        <v>18816</v>
      </c>
      <c r="H2388" s="391" t="s">
        <v>9568</v>
      </c>
    </row>
    <row r="2389" spans="1:13" x14ac:dyDescent="0.3">
      <c r="A2389" s="45">
        <v>44384</v>
      </c>
      <c r="B2389" s="399"/>
      <c r="C2389" s="5" t="s">
        <v>6430</v>
      </c>
      <c r="D2389" s="5" t="s">
        <v>2013</v>
      </c>
      <c r="E2389" s="43">
        <v>600</v>
      </c>
      <c r="F2389" s="43"/>
      <c r="G2389" s="364">
        <f t="shared" si="25"/>
        <v>18216</v>
      </c>
      <c r="H2389" s="391" t="s">
        <v>9568</v>
      </c>
    </row>
    <row r="2390" spans="1:13" x14ac:dyDescent="0.3">
      <c r="A2390" s="45">
        <v>44384</v>
      </c>
      <c r="B2390" s="580"/>
      <c r="C2390" s="554" t="s">
        <v>7440</v>
      </c>
      <c r="D2390" s="554"/>
      <c r="E2390" s="554"/>
      <c r="F2390" s="43">
        <v>425000</v>
      </c>
      <c r="G2390" s="364">
        <f t="shared" si="25"/>
        <v>443216</v>
      </c>
      <c r="H2390" s="391" t="s">
        <v>9568</v>
      </c>
      <c r="M2390" s="93"/>
    </row>
    <row r="2391" spans="1:13" x14ac:dyDescent="0.3">
      <c r="A2391" s="45">
        <v>44384</v>
      </c>
      <c r="B2391" s="402"/>
      <c r="C2391" s="39" t="s">
        <v>54</v>
      </c>
      <c r="D2391" s="5" t="s">
        <v>7419</v>
      </c>
      <c r="E2391" s="43">
        <v>19000</v>
      </c>
      <c r="F2391" s="43"/>
      <c r="G2391" s="364">
        <f t="shared" si="25"/>
        <v>424216</v>
      </c>
      <c r="H2391" s="391" t="s">
        <v>9568</v>
      </c>
    </row>
    <row r="2392" spans="1:13" x14ac:dyDescent="0.3">
      <c r="A2392" s="45">
        <v>44384</v>
      </c>
      <c r="B2392" s="402"/>
      <c r="C2392" s="39" t="s">
        <v>54</v>
      </c>
      <c r="D2392" s="5" t="s">
        <v>7715</v>
      </c>
      <c r="E2392" s="43">
        <v>50829</v>
      </c>
      <c r="F2392" s="43"/>
      <c r="G2392" s="364">
        <f t="shared" si="25"/>
        <v>373387</v>
      </c>
      <c r="H2392" s="391" t="s">
        <v>9568</v>
      </c>
    </row>
    <row r="2393" spans="1:13" x14ac:dyDescent="0.3">
      <c r="A2393" s="45">
        <v>44384</v>
      </c>
      <c r="B2393" s="402"/>
      <c r="C2393" s="39" t="s">
        <v>54</v>
      </c>
      <c r="D2393" s="5" t="s">
        <v>7116</v>
      </c>
      <c r="E2393" s="43">
        <v>206602</v>
      </c>
      <c r="F2393" s="43"/>
      <c r="G2393" s="364">
        <f t="shared" si="25"/>
        <v>166785</v>
      </c>
      <c r="H2393" s="391" t="s">
        <v>9568</v>
      </c>
    </row>
    <row r="2394" spans="1:13" x14ac:dyDescent="0.3">
      <c r="A2394" s="45">
        <v>44384</v>
      </c>
      <c r="B2394" s="402"/>
      <c r="C2394" s="39" t="s">
        <v>54</v>
      </c>
      <c r="D2394" s="5" t="s">
        <v>7718</v>
      </c>
      <c r="E2394" s="43">
        <v>54590</v>
      </c>
      <c r="F2394" s="43"/>
      <c r="G2394" s="364">
        <f t="shared" si="25"/>
        <v>112195</v>
      </c>
      <c r="H2394" s="391" t="s">
        <v>9568</v>
      </c>
    </row>
    <row r="2395" spans="1:13" x14ac:dyDescent="0.3">
      <c r="A2395" s="45">
        <v>44384</v>
      </c>
      <c r="B2395" s="402"/>
      <c r="C2395" s="39" t="s">
        <v>54</v>
      </c>
      <c r="D2395" s="5" t="s">
        <v>7717</v>
      </c>
      <c r="E2395" s="43">
        <v>79888</v>
      </c>
      <c r="F2395" s="43"/>
      <c r="G2395" s="364">
        <f t="shared" si="25"/>
        <v>32307</v>
      </c>
      <c r="H2395" s="391" t="s">
        <v>9568</v>
      </c>
    </row>
    <row r="2396" spans="1:13" x14ac:dyDescent="0.3">
      <c r="A2396" s="45">
        <v>44384</v>
      </c>
      <c r="B2396" s="401"/>
      <c r="C2396" s="73" t="s">
        <v>5156</v>
      </c>
      <c r="D2396" s="5" t="s">
        <v>3563</v>
      </c>
      <c r="E2396" s="43">
        <v>1800</v>
      </c>
      <c r="F2396" s="43"/>
      <c r="G2396" s="364">
        <f t="shared" si="25"/>
        <v>30507</v>
      </c>
      <c r="H2396" s="391" t="s">
        <v>9568</v>
      </c>
    </row>
    <row r="2397" spans="1:13" x14ac:dyDescent="0.3">
      <c r="A2397" s="45">
        <v>44384</v>
      </c>
      <c r="B2397" s="401"/>
      <c r="C2397" s="73" t="s">
        <v>4281</v>
      </c>
      <c r="D2397" s="5" t="s">
        <v>7720</v>
      </c>
      <c r="E2397" s="43">
        <v>1800</v>
      </c>
      <c r="F2397" s="43"/>
      <c r="G2397" s="364">
        <f t="shared" si="25"/>
        <v>28707</v>
      </c>
      <c r="H2397" s="391" t="s">
        <v>9568</v>
      </c>
    </row>
    <row r="2398" spans="1:13" x14ac:dyDescent="0.3">
      <c r="A2398" s="45">
        <v>44384</v>
      </c>
      <c r="B2398" s="399"/>
      <c r="C2398" s="5" t="s">
        <v>25</v>
      </c>
      <c r="D2398" s="5" t="s">
        <v>640</v>
      </c>
      <c r="E2398" s="43">
        <v>1000</v>
      </c>
      <c r="F2398" s="43"/>
      <c r="G2398" s="364">
        <f t="shared" si="25"/>
        <v>27707</v>
      </c>
      <c r="H2398" s="391" t="s">
        <v>9568</v>
      </c>
      <c r="I2398" s="169"/>
    </row>
    <row r="2399" spans="1:13" x14ac:dyDescent="0.3">
      <c r="A2399" s="45">
        <v>44384</v>
      </c>
      <c r="B2399" s="399"/>
      <c r="C2399" s="5" t="s">
        <v>0</v>
      </c>
      <c r="D2399" s="5" t="s">
        <v>7721</v>
      </c>
      <c r="E2399" s="43">
        <v>4000</v>
      </c>
      <c r="F2399" s="43"/>
      <c r="G2399" s="364">
        <f t="shared" si="25"/>
        <v>23707</v>
      </c>
      <c r="H2399" s="391" t="s">
        <v>9568</v>
      </c>
    </row>
    <row r="2400" spans="1:13" x14ac:dyDescent="0.3">
      <c r="A2400" s="45">
        <v>44385</v>
      </c>
      <c r="B2400" s="580"/>
      <c r="C2400" s="554" t="s">
        <v>7440</v>
      </c>
      <c r="D2400" s="554"/>
      <c r="E2400" s="554"/>
      <c r="F2400" s="43">
        <v>10100</v>
      </c>
      <c r="G2400" s="364">
        <f t="shared" ref="G2400:G2417" si="26">G2399+F2400-E2400</f>
        <v>33807</v>
      </c>
      <c r="H2400" s="391" t="s">
        <v>9568</v>
      </c>
      <c r="M2400" s="93"/>
    </row>
    <row r="2401" spans="1:13" x14ac:dyDescent="0.3">
      <c r="A2401" s="45">
        <v>44385</v>
      </c>
      <c r="B2401" s="580"/>
      <c r="C2401" s="554" t="s">
        <v>7440</v>
      </c>
      <c r="D2401" s="554"/>
      <c r="E2401" s="554"/>
      <c r="F2401" s="43">
        <v>400000</v>
      </c>
      <c r="G2401" s="364">
        <f t="shared" si="26"/>
        <v>433807</v>
      </c>
      <c r="H2401" s="391" t="s">
        <v>9568</v>
      </c>
      <c r="M2401" s="93"/>
    </row>
    <row r="2402" spans="1:13" x14ac:dyDescent="0.3">
      <c r="A2402" s="45">
        <v>44385</v>
      </c>
      <c r="B2402" s="399"/>
      <c r="C2402" s="5" t="s">
        <v>7606</v>
      </c>
      <c r="D2402" s="5" t="s">
        <v>7730</v>
      </c>
      <c r="E2402" s="43">
        <v>2000</v>
      </c>
      <c r="F2402" s="43"/>
      <c r="G2402" s="364">
        <f t="shared" si="26"/>
        <v>431807</v>
      </c>
      <c r="H2402" s="391" t="s">
        <v>9568</v>
      </c>
    </row>
    <row r="2403" spans="1:13" x14ac:dyDescent="0.3">
      <c r="A2403" s="45">
        <v>44385</v>
      </c>
      <c r="B2403" s="399"/>
      <c r="C2403" s="5" t="s">
        <v>4055</v>
      </c>
      <c r="D2403" s="5" t="s">
        <v>7724</v>
      </c>
      <c r="E2403" s="43">
        <v>30000</v>
      </c>
      <c r="F2403" s="43"/>
      <c r="G2403" s="364">
        <f t="shared" si="26"/>
        <v>401807</v>
      </c>
      <c r="H2403" s="391" t="s">
        <v>9568</v>
      </c>
    </row>
    <row r="2404" spans="1:13" x14ac:dyDescent="0.3">
      <c r="A2404" s="45">
        <v>44385</v>
      </c>
      <c r="B2404" s="399"/>
      <c r="C2404" s="5" t="s">
        <v>57</v>
      </c>
      <c r="D2404" s="5" t="s">
        <v>7725</v>
      </c>
      <c r="E2404" s="43">
        <v>1000</v>
      </c>
      <c r="F2404" s="43"/>
      <c r="G2404" s="364">
        <f t="shared" si="26"/>
        <v>400807</v>
      </c>
      <c r="H2404" s="391" t="s">
        <v>9568</v>
      </c>
    </row>
    <row r="2405" spans="1:13" x14ac:dyDescent="0.3">
      <c r="A2405" s="45">
        <v>44385</v>
      </c>
      <c r="B2405" s="399"/>
      <c r="C2405" s="5" t="s">
        <v>3546</v>
      </c>
      <c r="D2405" s="5" t="s">
        <v>7740</v>
      </c>
      <c r="E2405" s="43">
        <v>4000</v>
      </c>
      <c r="F2405" s="43"/>
      <c r="G2405" s="364">
        <f t="shared" si="26"/>
        <v>396807</v>
      </c>
      <c r="H2405" s="391" t="s">
        <v>9568</v>
      </c>
    </row>
    <row r="2406" spans="1:13" x14ac:dyDescent="0.3">
      <c r="A2406" s="45">
        <v>44385</v>
      </c>
      <c r="B2406" s="322"/>
      <c r="C2406" s="44" t="s">
        <v>54</v>
      </c>
      <c r="D2406" s="124" t="s">
        <v>7414</v>
      </c>
      <c r="E2406" s="28">
        <v>5000</v>
      </c>
      <c r="F2406" s="43"/>
      <c r="G2406" s="364">
        <f t="shared" si="26"/>
        <v>391807</v>
      </c>
      <c r="H2406" s="391" t="s">
        <v>9568</v>
      </c>
    </row>
    <row r="2407" spans="1:13" x14ac:dyDescent="0.3">
      <c r="A2407" s="45">
        <v>44386</v>
      </c>
      <c r="B2407" s="399"/>
      <c r="C2407" s="5" t="s">
        <v>14</v>
      </c>
      <c r="D2407" s="5" t="s">
        <v>294</v>
      </c>
      <c r="E2407" s="43">
        <v>5000</v>
      </c>
      <c r="F2407" s="43"/>
      <c r="G2407" s="364">
        <f t="shared" si="26"/>
        <v>386807</v>
      </c>
      <c r="H2407" s="391" t="s">
        <v>9568</v>
      </c>
    </row>
    <row r="2408" spans="1:13" x14ac:dyDescent="0.3">
      <c r="A2408" s="45">
        <v>44386</v>
      </c>
      <c r="B2408" s="399"/>
      <c r="C2408" s="5" t="s">
        <v>6341</v>
      </c>
      <c r="D2408" s="5" t="s">
        <v>7726</v>
      </c>
      <c r="E2408" s="43">
        <v>25000</v>
      </c>
      <c r="F2408" s="43"/>
      <c r="G2408" s="364">
        <f t="shared" si="26"/>
        <v>361807</v>
      </c>
      <c r="H2408" s="391" t="s">
        <v>9568</v>
      </c>
    </row>
    <row r="2409" spans="1:13" x14ac:dyDescent="0.3">
      <c r="A2409" s="45">
        <v>44386</v>
      </c>
      <c r="B2409" s="402"/>
      <c r="C2409" s="39" t="s">
        <v>54</v>
      </c>
      <c r="D2409" s="5" t="s">
        <v>7727</v>
      </c>
      <c r="E2409" s="43">
        <v>76517</v>
      </c>
      <c r="F2409" s="43"/>
      <c r="G2409" s="364">
        <f t="shared" si="26"/>
        <v>285290</v>
      </c>
      <c r="H2409" s="391" t="s">
        <v>9568</v>
      </c>
    </row>
    <row r="2410" spans="1:13" x14ac:dyDescent="0.3">
      <c r="A2410" s="45">
        <v>44386</v>
      </c>
      <c r="B2410" s="402"/>
      <c r="C2410" s="39" t="s">
        <v>54</v>
      </c>
      <c r="D2410" s="5" t="s">
        <v>7728</v>
      </c>
      <c r="E2410" s="43">
        <v>35000</v>
      </c>
      <c r="F2410" s="43"/>
      <c r="G2410" s="364">
        <f t="shared" si="26"/>
        <v>250290</v>
      </c>
      <c r="H2410" s="391" t="s">
        <v>9568</v>
      </c>
    </row>
    <row r="2411" spans="1:13" x14ac:dyDescent="0.3">
      <c r="A2411" s="45">
        <v>44386</v>
      </c>
      <c r="B2411" s="402"/>
      <c r="C2411" s="39" t="s">
        <v>54</v>
      </c>
      <c r="D2411" s="5" t="s">
        <v>7729</v>
      </c>
      <c r="E2411" s="43">
        <v>61617</v>
      </c>
      <c r="F2411" s="43"/>
      <c r="G2411" s="364">
        <f t="shared" si="26"/>
        <v>188673</v>
      </c>
      <c r="H2411" s="391" t="s">
        <v>9568</v>
      </c>
    </row>
    <row r="2412" spans="1:13" x14ac:dyDescent="0.3">
      <c r="A2412" s="45">
        <v>44386</v>
      </c>
      <c r="B2412" s="402"/>
      <c r="C2412" s="39" t="s">
        <v>54</v>
      </c>
      <c r="D2412" s="5" t="s">
        <v>6952</v>
      </c>
      <c r="E2412" s="43">
        <v>31275</v>
      </c>
      <c r="F2412" s="43"/>
      <c r="G2412" s="364">
        <f t="shared" si="26"/>
        <v>157398</v>
      </c>
      <c r="H2412" s="391" t="s">
        <v>9568</v>
      </c>
    </row>
    <row r="2413" spans="1:13" x14ac:dyDescent="0.3">
      <c r="A2413" s="45">
        <v>44386</v>
      </c>
      <c r="B2413" s="402"/>
      <c r="C2413" s="39" t="s">
        <v>54</v>
      </c>
      <c r="D2413" s="5" t="s">
        <v>6546</v>
      </c>
      <c r="E2413" s="43">
        <v>116067</v>
      </c>
      <c r="F2413" s="43"/>
      <c r="G2413" s="364">
        <f t="shared" si="26"/>
        <v>41331</v>
      </c>
      <c r="H2413" s="391" t="s">
        <v>9568</v>
      </c>
    </row>
    <row r="2414" spans="1:13" x14ac:dyDescent="0.3">
      <c r="A2414" s="45">
        <v>44387</v>
      </c>
      <c r="B2414" s="399"/>
      <c r="C2414" s="5" t="s">
        <v>68</v>
      </c>
      <c r="D2414" s="5" t="s">
        <v>294</v>
      </c>
      <c r="E2414" s="43">
        <v>1000</v>
      </c>
      <c r="F2414" s="43"/>
      <c r="G2414" s="364">
        <f t="shared" si="26"/>
        <v>40331</v>
      </c>
      <c r="H2414" s="391" t="s">
        <v>9568</v>
      </c>
    </row>
    <row r="2415" spans="1:13" x14ac:dyDescent="0.3">
      <c r="A2415" s="45">
        <v>44387</v>
      </c>
      <c r="B2415" s="399"/>
      <c r="C2415" s="5" t="s">
        <v>5156</v>
      </c>
      <c r="D2415" s="5" t="s">
        <v>7731</v>
      </c>
      <c r="E2415" s="43">
        <v>570</v>
      </c>
      <c r="F2415" s="43"/>
      <c r="G2415" s="364">
        <f t="shared" si="26"/>
        <v>39761</v>
      </c>
      <c r="H2415" s="391" t="s">
        <v>9568</v>
      </c>
    </row>
    <row r="2416" spans="1:13" x14ac:dyDescent="0.3">
      <c r="A2416" s="45">
        <v>44387</v>
      </c>
      <c r="B2416" s="399"/>
      <c r="C2416" s="5" t="s">
        <v>4550</v>
      </c>
      <c r="D2416" s="5" t="s">
        <v>7250</v>
      </c>
      <c r="E2416" s="43">
        <v>30000</v>
      </c>
      <c r="F2416" s="43"/>
      <c r="G2416" s="364">
        <f t="shared" si="26"/>
        <v>9761</v>
      </c>
      <c r="H2416" s="391" t="s">
        <v>9568</v>
      </c>
    </row>
    <row r="2417" spans="1:13" x14ac:dyDescent="0.3">
      <c r="A2417" s="45">
        <v>44387</v>
      </c>
      <c r="B2417" s="399"/>
      <c r="C2417" s="5" t="s">
        <v>6430</v>
      </c>
      <c r="D2417" s="5" t="s">
        <v>294</v>
      </c>
      <c r="E2417" s="43">
        <v>5000</v>
      </c>
      <c r="F2417" s="43"/>
      <c r="G2417" s="364">
        <f t="shared" si="26"/>
        <v>4761</v>
      </c>
      <c r="H2417" s="391" t="s">
        <v>9568</v>
      </c>
    </row>
    <row r="2418" spans="1:13" x14ac:dyDescent="0.3">
      <c r="A2418" s="45">
        <v>44387</v>
      </c>
      <c r="B2418" s="399"/>
      <c r="C2418" s="5" t="s">
        <v>7606</v>
      </c>
      <c r="D2418" s="5" t="s">
        <v>7732</v>
      </c>
      <c r="E2418" s="43">
        <v>3000</v>
      </c>
      <c r="F2418" s="43"/>
      <c r="G2418" s="364">
        <f t="shared" ref="G2418:G2465" si="27">G2417+F2418-E2418</f>
        <v>1761</v>
      </c>
      <c r="H2418" s="391" t="s">
        <v>9568</v>
      </c>
    </row>
    <row r="2419" spans="1:13" x14ac:dyDescent="0.3">
      <c r="A2419" s="45">
        <v>44387</v>
      </c>
      <c r="B2419" s="580"/>
      <c r="C2419" s="554" t="s">
        <v>7734</v>
      </c>
      <c r="D2419" s="554"/>
      <c r="E2419" s="554"/>
      <c r="F2419" s="43">
        <v>51900</v>
      </c>
      <c r="G2419" s="364">
        <f t="shared" si="27"/>
        <v>53661</v>
      </c>
      <c r="H2419" s="391" t="s">
        <v>9568</v>
      </c>
      <c r="M2419" s="93"/>
    </row>
    <row r="2420" spans="1:13" x14ac:dyDescent="0.3">
      <c r="A2420" s="45">
        <v>44387</v>
      </c>
      <c r="B2420" s="399"/>
      <c r="C2420" s="5" t="s">
        <v>0</v>
      </c>
      <c r="D2420" s="5" t="s">
        <v>294</v>
      </c>
      <c r="E2420" s="43">
        <v>2000</v>
      </c>
      <c r="F2420" s="43"/>
      <c r="G2420" s="364">
        <f t="shared" si="27"/>
        <v>51661</v>
      </c>
      <c r="H2420" s="391" t="s">
        <v>9568</v>
      </c>
    </row>
    <row r="2421" spans="1:13" x14ac:dyDescent="0.3">
      <c r="A2421" s="45">
        <v>44387</v>
      </c>
      <c r="B2421" s="399"/>
      <c r="C2421" s="5" t="s">
        <v>7690</v>
      </c>
      <c r="D2421" s="5" t="s">
        <v>40</v>
      </c>
      <c r="E2421" s="43">
        <v>5000</v>
      </c>
      <c r="F2421" s="43"/>
      <c r="G2421" s="364">
        <f t="shared" si="27"/>
        <v>46661</v>
      </c>
      <c r="H2421" s="391" t="s">
        <v>9568</v>
      </c>
    </row>
    <row r="2422" spans="1:13" x14ac:dyDescent="0.3">
      <c r="A2422" s="45">
        <v>44387</v>
      </c>
      <c r="B2422" s="399"/>
      <c r="C2422" s="5" t="s">
        <v>7733</v>
      </c>
      <c r="D2422" s="5" t="s">
        <v>294</v>
      </c>
      <c r="E2422" s="43">
        <v>45000</v>
      </c>
      <c r="F2422" s="43"/>
      <c r="G2422" s="364">
        <f t="shared" si="27"/>
        <v>1661</v>
      </c>
      <c r="H2422" s="391" t="s">
        <v>9568</v>
      </c>
    </row>
    <row r="2423" spans="1:13" x14ac:dyDescent="0.3">
      <c r="A2423" s="45">
        <v>44390</v>
      </c>
      <c r="B2423" s="580"/>
      <c r="C2423" s="554" t="s">
        <v>4106</v>
      </c>
      <c r="D2423" s="554"/>
      <c r="E2423" s="554"/>
      <c r="F2423" s="43">
        <v>200000</v>
      </c>
      <c r="G2423" s="364">
        <f t="shared" si="27"/>
        <v>201661</v>
      </c>
      <c r="H2423" s="391" t="s">
        <v>9568</v>
      </c>
      <c r="M2423" s="93"/>
    </row>
    <row r="2424" spans="1:13" x14ac:dyDescent="0.3">
      <c r="A2424" s="45">
        <v>44390</v>
      </c>
      <c r="B2424" s="399"/>
      <c r="C2424" s="5" t="s">
        <v>25</v>
      </c>
      <c r="D2424" s="5" t="s">
        <v>7736</v>
      </c>
      <c r="E2424" s="43">
        <v>6000</v>
      </c>
      <c r="F2424" s="43"/>
      <c r="G2424" s="364">
        <f t="shared" si="27"/>
        <v>195661</v>
      </c>
      <c r="H2424" s="391" t="s">
        <v>9568</v>
      </c>
    </row>
    <row r="2425" spans="1:13" x14ac:dyDescent="0.3">
      <c r="A2425" s="45">
        <v>44390</v>
      </c>
      <c r="B2425" s="399"/>
      <c r="C2425" s="5" t="s">
        <v>68</v>
      </c>
      <c r="D2425" s="5" t="s">
        <v>3557</v>
      </c>
      <c r="E2425" s="43">
        <v>10000</v>
      </c>
      <c r="F2425" s="43"/>
      <c r="G2425" s="364">
        <f t="shared" si="27"/>
        <v>185661</v>
      </c>
      <c r="H2425" s="391" t="s">
        <v>9568</v>
      </c>
    </row>
    <row r="2426" spans="1:13" x14ac:dyDescent="0.3">
      <c r="A2426" s="45">
        <v>44390</v>
      </c>
      <c r="B2426" s="399"/>
      <c r="C2426" s="5" t="s">
        <v>3563</v>
      </c>
      <c r="D2426" s="5" t="s">
        <v>7737</v>
      </c>
      <c r="E2426" s="43">
        <v>1140</v>
      </c>
      <c r="F2426" s="43"/>
      <c r="G2426" s="364">
        <f t="shared" si="27"/>
        <v>184521</v>
      </c>
      <c r="H2426" s="391" t="s">
        <v>9568</v>
      </c>
    </row>
    <row r="2427" spans="1:13" x14ac:dyDescent="0.3">
      <c r="A2427" s="45">
        <v>44390</v>
      </c>
      <c r="B2427" s="399"/>
      <c r="C2427" s="5" t="s">
        <v>25</v>
      </c>
      <c r="D2427" s="5" t="s">
        <v>7738</v>
      </c>
      <c r="E2427" s="43">
        <v>200</v>
      </c>
      <c r="F2427" s="43"/>
      <c r="G2427" s="364">
        <f t="shared" si="27"/>
        <v>184321</v>
      </c>
      <c r="H2427" s="391" t="s">
        <v>9568</v>
      </c>
    </row>
    <row r="2428" spans="1:13" x14ac:dyDescent="0.3">
      <c r="A2428" s="45">
        <v>44390</v>
      </c>
      <c r="B2428" s="399"/>
      <c r="C2428" s="5" t="s">
        <v>4308</v>
      </c>
      <c r="D2428" s="5" t="s">
        <v>7739</v>
      </c>
      <c r="E2428" s="43">
        <v>20000</v>
      </c>
      <c r="F2428" s="43"/>
      <c r="G2428" s="364">
        <f t="shared" si="27"/>
        <v>164321</v>
      </c>
      <c r="H2428" s="391" t="s">
        <v>9568</v>
      </c>
    </row>
    <row r="2429" spans="1:13" x14ac:dyDescent="0.3">
      <c r="A2429" s="45">
        <v>44390</v>
      </c>
      <c r="B2429" s="399"/>
      <c r="C2429" s="5" t="s">
        <v>57</v>
      </c>
      <c r="D2429" s="5" t="s">
        <v>7741</v>
      </c>
      <c r="E2429" s="43">
        <v>15000</v>
      </c>
      <c r="F2429" s="43"/>
      <c r="G2429" s="364">
        <f t="shared" si="27"/>
        <v>149321</v>
      </c>
      <c r="H2429" s="391" t="s">
        <v>9568</v>
      </c>
    </row>
    <row r="2430" spans="1:13" x14ac:dyDescent="0.3">
      <c r="A2430" s="45">
        <v>44390</v>
      </c>
      <c r="B2430" s="399"/>
      <c r="C2430" s="5" t="s">
        <v>25</v>
      </c>
      <c r="D2430" s="5" t="s">
        <v>4276</v>
      </c>
      <c r="E2430" s="43">
        <v>7990</v>
      </c>
      <c r="F2430" s="43"/>
      <c r="G2430" s="364">
        <f t="shared" si="27"/>
        <v>141331</v>
      </c>
      <c r="H2430" s="391" t="s">
        <v>9568</v>
      </c>
    </row>
    <row r="2431" spans="1:13" x14ac:dyDescent="0.3">
      <c r="A2431" s="45">
        <v>44390</v>
      </c>
      <c r="B2431" s="399"/>
      <c r="C2431" s="5" t="s">
        <v>5156</v>
      </c>
      <c r="D2431" s="5" t="s">
        <v>3563</v>
      </c>
      <c r="E2431" s="43">
        <f>150+150+300</f>
        <v>600</v>
      </c>
      <c r="F2431" s="43"/>
      <c r="G2431" s="364">
        <f t="shared" si="27"/>
        <v>140731</v>
      </c>
      <c r="H2431" s="391" t="s">
        <v>9568</v>
      </c>
    </row>
    <row r="2432" spans="1:13" x14ac:dyDescent="0.3">
      <c r="A2432" s="45">
        <v>44390</v>
      </c>
      <c r="B2432" s="399"/>
      <c r="C2432" s="5" t="s">
        <v>51</v>
      </c>
      <c r="D2432" s="5" t="s">
        <v>3563</v>
      </c>
      <c r="E2432" s="43">
        <f>240+600+460</f>
        <v>1300</v>
      </c>
      <c r="F2432" s="43"/>
      <c r="G2432" s="364">
        <f t="shared" si="27"/>
        <v>139431</v>
      </c>
      <c r="H2432" s="391" t="s">
        <v>9568</v>
      </c>
    </row>
    <row r="2433" spans="1:13" x14ac:dyDescent="0.3">
      <c r="A2433" s="45">
        <v>44390</v>
      </c>
      <c r="B2433" s="399"/>
      <c r="C2433" s="5" t="s">
        <v>14</v>
      </c>
      <c r="D2433" s="5" t="s">
        <v>294</v>
      </c>
      <c r="E2433" s="43">
        <v>5000</v>
      </c>
      <c r="F2433" s="43"/>
      <c r="G2433" s="364">
        <f t="shared" si="27"/>
        <v>134431</v>
      </c>
      <c r="H2433" s="391" t="s">
        <v>9568</v>
      </c>
    </row>
    <row r="2434" spans="1:13" x14ac:dyDescent="0.3">
      <c r="A2434" s="45">
        <v>44390</v>
      </c>
      <c r="B2434" s="399"/>
      <c r="C2434" s="5" t="s">
        <v>5930</v>
      </c>
      <c r="D2434" s="5" t="s">
        <v>40</v>
      </c>
      <c r="E2434" s="43">
        <v>112150</v>
      </c>
      <c r="F2434" s="43"/>
      <c r="G2434" s="364">
        <f t="shared" si="27"/>
        <v>22281</v>
      </c>
      <c r="H2434" s="391" t="s">
        <v>9568</v>
      </c>
    </row>
    <row r="2435" spans="1:13" x14ac:dyDescent="0.3">
      <c r="A2435" s="45">
        <v>44390</v>
      </c>
      <c r="B2435" s="580"/>
      <c r="C2435" s="554" t="s">
        <v>7440</v>
      </c>
      <c r="D2435" s="554"/>
      <c r="E2435" s="554"/>
      <c r="F2435" s="43">
        <v>400000</v>
      </c>
      <c r="G2435" s="364">
        <f t="shared" si="27"/>
        <v>422281</v>
      </c>
      <c r="H2435" s="391" t="s">
        <v>9568</v>
      </c>
      <c r="M2435" s="93"/>
    </row>
    <row r="2436" spans="1:13" x14ac:dyDescent="0.3">
      <c r="A2436" s="45">
        <v>44390</v>
      </c>
      <c r="B2436" s="399"/>
      <c r="C2436" s="5" t="s">
        <v>25</v>
      </c>
      <c r="D2436" s="5" t="s">
        <v>6049</v>
      </c>
      <c r="E2436" s="43">
        <v>50</v>
      </c>
      <c r="F2436" s="43"/>
      <c r="G2436" s="364">
        <f t="shared" si="27"/>
        <v>422231</v>
      </c>
      <c r="H2436" s="391" t="s">
        <v>9568</v>
      </c>
    </row>
    <row r="2437" spans="1:13" x14ac:dyDescent="0.3">
      <c r="A2437" s="45">
        <v>44391</v>
      </c>
      <c r="B2437" s="399"/>
      <c r="C2437" s="5" t="s">
        <v>7606</v>
      </c>
      <c r="D2437" s="5" t="s">
        <v>294</v>
      </c>
      <c r="E2437" s="43">
        <v>1000</v>
      </c>
      <c r="F2437" s="43"/>
      <c r="G2437" s="364">
        <f t="shared" si="27"/>
        <v>421231</v>
      </c>
      <c r="H2437" s="391" t="s">
        <v>9568</v>
      </c>
    </row>
    <row r="2438" spans="1:13" x14ac:dyDescent="0.3">
      <c r="A2438" s="45">
        <v>44391</v>
      </c>
      <c r="B2438" s="399"/>
      <c r="C2438" s="5" t="s">
        <v>6959</v>
      </c>
      <c r="D2438" s="5" t="s">
        <v>7742</v>
      </c>
      <c r="E2438" s="43">
        <v>400</v>
      </c>
      <c r="F2438" s="43"/>
      <c r="G2438" s="364">
        <f t="shared" si="27"/>
        <v>420831</v>
      </c>
      <c r="H2438" s="391" t="s">
        <v>9568</v>
      </c>
    </row>
    <row r="2439" spans="1:13" x14ac:dyDescent="0.3">
      <c r="A2439" s="45">
        <v>44391</v>
      </c>
      <c r="B2439" s="399"/>
      <c r="C2439" s="5" t="s">
        <v>57</v>
      </c>
      <c r="D2439" s="5" t="s">
        <v>7743</v>
      </c>
      <c r="E2439" s="43">
        <v>10000</v>
      </c>
      <c r="F2439" s="43"/>
      <c r="G2439" s="364">
        <f t="shared" si="27"/>
        <v>410831</v>
      </c>
      <c r="H2439" s="391" t="s">
        <v>9568</v>
      </c>
    </row>
    <row r="2440" spans="1:13" x14ac:dyDescent="0.3">
      <c r="A2440" s="45">
        <v>44392</v>
      </c>
      <c r="B2440" s="399"/>
      <c r="C2440" s="5" t="s">
        <v>14</v>
      </c>
      <c r="D2440" s="5" t="s">
        <v>294</v>
      </c>
      <c r="E2440" s="43">
        <v>25000</v>
      </c>
      <c r="F2440" s="43"/>
      <c r="G2440" s="364">
        <f t="shared" si="27"/>
        <v>385831</v>
      </c>
      <c r="H2440" s="391" t="s">
        <v>9568</v>
      </c>
    </row>
    <row r="2441" spans="1:13" x14ac:dyDescent="0.3">
      <c r="A2441" s="45">
        <v>44392</v>
      </c>
      <c r="B2441" s="399"/>
      <c r="C2441" s="5" t="s">
        <v>541</v>
      </c>
      <c r="D2441" s="5" t="s">
        <v>7788</v>
      </c>
      <c r="E2441" s="43">
        <v>1200</v>
      </c>
      <c r="F2441" s="43"/>
      <c r="G2441" s="364">
        <f t="shared" si="27"/>
        <v>384631</v>
      </c>
      <c r="H2441" s="391" t="s">
        <v>9568</v>
      </c>
    </row>
    <row r="2442" spans="1:13" x14ac:dyDescent="0.3">
      <c r="A2442" s="45">
        <v>44392</v>
      </c>
      <c r="B2442" s="399"/>
      <c r="C2442" s="5" t="s">
        <v>0</v>
      </c>
      <c r="D2442" s="5" t="s">
        <v>294</v>
      </c>
      <c r="E2442" s="43">
        <v>55000</v>
      </c>
      <c r="F2442" s="43"/>
      <c r="G2442" s="364">
        <f t="shared" si="27"/>
        <v>329631</v>
      </c>
      <c r="H2442" s="391" t="s">
        <v>9568</v>
      </c>
    </row>
    <row r="2443" spans="1:13" x14ac:dyDescent="0.3">
      <c r="A2443" s="45">
        <v>44392</v>
      </c>
      <c r="B2443" s="399"/>
      <c r="C2443" s="5" t="s">
        <v>7744</v>
      </c>
      <c r="D2443" s="5" t="s">
        <v>294</v>
      </c>
      <c r="E2443" s="43">
        <v>75000</v>
      </c>
      <c r="F2443" s="43"/>
      <c r="G2443" s="364">
        <f t="shared" si="27"/>
        <v>254631</v>
      </c>
      <c r="H2443" s="391" t="s">
        <v>9568</v>
      </c>
    </row>
    <row r="2444" spans="1:13" x14ac:dyDescent="0.3">
      <c r="A2444" s="45">
        <v>44392</v>
      </c>
      <c r="B2444" s="399"/>
      <c r="C2444" s="5" t="s">
        <v>7745</v>
      </c>
      <c r="D2444" s="5" t="s">
        <v>7721</v>
      </c>
      <c r="E2444" s="43">
        <v>3500</v>
      </c>
      <c r="F2444" s="43"/>
      <c r="G2444" s="364">
        <f t="shared" si="27"/>
        <v>251131</v>
      </c>
      <c r="H2444" s="391" t="s">
        <v>9568</v>
      </c>
    </row>
    <row r="2445" spans="1:13" x14ac:dyDescent="0.3">
      <c r="A2445" s="45">
        <v>44392</v>
      </c>
      <c r="B2445" s="399"/>
      <c r="C2445" s="5" t="s">
        <v>7711</v>
      </c>
      <c r="D2445" s="5" t="s">
        <v>6486</v>
      </c>
      <c r="E2445" s="43">
        <v>1000</v>
      </c>
      <c r="F2445" s="43"/>
      <c r="G2445" s="364">
        <f t="shared" si="27"/>
        <v>250131</v>
      </c>
      <c r="H2445" s="391" t="s">
        <v>9568</v>
      </c>
    </row>
    <row r="2446" spans="1:13" x14ac:dyDescent="0.3">
      <c r="A2446" s="45">
        <v>44392</v>
      </c>
      <c r="B2446" s="399"/>
      <c r="C2446" s="5" t="s">
        <v>68</v>
      </c>
      <c r="D2446" s="5" t="s">
        <v>294</v>
      </c>
      <c r="E2446" s="43">
        <v>15000</v>
      </c>
      <c r="F2446" s="43"/>
      <c r="G2446" s="364">
        <f t="shared" si="27"/>
        <v>235131</v>
      </c>
      <c r="H2446" s="391" t="s">
        <v>9568</v>
      </c>
    </row>
    <row r="2447" spans="1:13" x14ac:dyDescent="0.3">
      <c r="A2447" s="45">
        <v>44392</v>
      </c>
      <c r="B2447" s="399"/>
      <c r="C2447" s="5" t="s">
        <v>7745</v>
      </c>
      <c r="D2447" s="5" t="s">
        <v>7746</v>
      </c>
      <c r="E2447" s="43">
        <v>2000</v>
      </c>
      <c r="F2447" s="43"/>
      <c r="G2447" s="364">
        <f t="shared" si="27"/>
        <v>233131</v>
      </c>
      <c r="H2447" s="391" t="s">
        <v>9568</v>
      </c>
    </row>
    <row r="2448" spans="1:13" x14ac:dyDescent="0.3">
      <c r="A2448" s="45">
        <v>44392</v>
      </c>
      <c r="B2448" s="399"/>
      <c r="C2448" s="5" t="s">
        <v>1074</v>
      </c>
      <c r="D2448" s="5" t="s">
        <v>7747</v>
      </c>
      <c r="E2448" s="43">
        <v>9290</v>
      </c>
      <c r="F2448" s="43"/>
      <c r="G2448" s="364">
        <f t="shared" si="27"/>
        <v>223841</v>
      </c>
      <c r="H2448" s="391" t="s">
        <v>9568</v>
      </c>
    </row>
    <row r="2449" spans="1:8" x14ac:dyDescent="0.3">
      <c r="A2449" s="45">
        <v>44392</v>
      </c>
      <c r="B2449" s="399"/>
      <c r="C2449" s="5" t="s">
        <v>3724</v>
      </c>
      <c r="D2449" s="5" t="s">
        <v>40</v>
      </c>
      <c r="E2449" s="43">
        <v>4090</v>
      </c>
      <c r="F2449" s="43"/>
      <c r="G2449" s="364">
        <f t="shared" si="27"/>
        <v>219751</v>
      </c>
      <c r="H2449" s="391" t="s">
        <v>9568</v>
      </c>
    </row>
    <row r="2450" spans="1:8" x14ac:dyDescent="0.3">
      <c r="A2450" s="45">
        <v>44392</v>
      </c>
      <c r="B2450" s="399"/>
      <c r="C2450" s="5" t="s">
        <v>6430</v>
      </c>
      <c r="D2450" s="5" t="s">
        <v>7758</v>
      </c>
      <c r="E2450" s="43">
        <v>5000</v>
      </c>
      <c r="F2450" s="43"/>
      <c r="G2450" s="364">
        <f t="shared" si="27"/>
        <v>214751</v>
      </c>
      <c r="H2450" s="391" t="s">
        <v>9568</v>
      </c>
    </row>
    <row r="2451" spans="1:8" x14ac:dyDescent="0.3">
      <c r="A2451" s="45">
        <v>44392</v>
      </c>
      <c r="B2451" s="399"/>
      <c r="C2451" s="5" t="s">
        <v>2948</v>
      </c>
      <c r="D2451" s="5" t="s">
        <v>7759</v>
      </c>
      <c r="E2451" s="43">
        <v>1300</v>
      </c>
      <c r="F2451" s="43"/>
      <c r="G2451" s="364">
        <f t="shared" si="27"/>
        <v>213451</v>
      </c>
      <c r="H2451" s="391" t="s">
        <v>9568</v>
      </c>
    </row>
    <row r="2452" spans="1:8" x14ac:dyDescent="0.3">
      <c r="A2452" s="45">
        <v>44392</v>
      </c>
      <c r="B2452" s="399"/>
      <c r="C2452" s="5" t="s">
        <v>84</v>
      </c>
      <c r="D2452" s="5" t="s">
        <v>7760</v>
      </c>
      <c r="E2452" s="43">
        <v>5000</v>
      </c>
      <c r="F2452" s="43"/>
      <c r="G2452" s="364">
        <f t="shared" si="27"/>
        <v>208451</v>
      </c>
      <c r="H2452" s="391" t="s">
        <v>9568</v>
      </c>
    </row>
    <row r="2453" spans="1:8" x14ac:dyDescent="0.3">
      <c r="A2453" s="45">
        <v>44392</v>
      </c>
      <c r="B2453" s="399"/>
      <c r="C2453" s="5" t="s">
        <v>110</v>
      </c>
      <c r="D2453" s="5" t="s">
        <v>640</v>
      </c>
      <c r="E2453" s="43">
        <v>3000</v>
      </c>
      <c r="F2453" s="43"/>
      <c r="G2453" s="364">
        <f t="shared" si="27"/>
        <v>205451</v>
      </c>
      <c r="H2453" s="391" t="s">
        <v>9568</v>
      </c>
    </row>
    <row r="2454" spans="1:8" ht="15.75" customHeight="1" x14ac:dyDescent="0.3">
      <c r="A2454" s="45">
        <v>44392</v>
      </c>
      <c r="B2454" s="399"/>
      <c r="C2454" s="5" t="s">
        <v>7761</v>
      </c>
      <c r="D2454" s="5" t="s">
        <v>7762</v>
      </c>
      <c r="E2454" s="43">
        <v>30000</v>
      </c>
      <c r="F2454" s="43"/>
      <c r="G2454" s="364">
        <f t="shared" si="27"/>
        <v>175451</v>
      </c>
      <c r="H2454" s="391" t="s">
        <v>9568</v>
      </c>
    </row>
    <row r="2455" spans="1:8" x14ac:dyDescent="0.3">
      <c r="A2455" s="45">
        <v>44392</v>
      </c>
      <c r="B2455" s="399"/>
      <c r="C2455" s="5" t="s">
        <v>84</v>
      </c>
      <c r="D2455" s="5" t="s">
        <v>7763</v>
      </c>
      <c r="E2455" s="43">
        <v>3000</v>
      </c>
      <c r="F2455" s="43"/>
      <c r="G2455" s="364">
        <f t="shared" si="27"/>
        <v>172451</v>
      </c>
      <c r="H2455" s="391" t="s">
        <v>9568</v>
      </c>
    </row>
    <row r="2456" spans="1:8" ht="37.5" x14ac:dyDescent="0.3">
      <c r="A2456" s="45">
        <v>44393</v>
      </c>
      <c r="B2456" s="399"/>
      <c r="C2456" s="5" t="s">
        <v>4281</v>
      </c>
      <c r="D2456" s="92" t="s">
        <v>7764</v>
      </c>
      <c r="E2456" s="43">
        <v>9000</v>
      </c>
      <c r="F2456" s="43"/>
      <c r="G2456" s="364">
        <f t="shared" si="27"/>
        <v>163451</v>
      </c>
      <c r="H2456" s="391" t="s">
        <v>9568</v>
      </c>
    </row>
    <row r="2457" spans="1:8" x14ac:dyDescent="0.3">
      <c r="A2457" s="45">
        <v>44393</v>
      </c>
      <c r="B2457" s="399"/>
      <c r="C2457" s="5" t="s">
        <v>7776</v>
      </c>
      <c r="D2457" s="5" t="s">
        <v>7778</v>
      </c>
      <c r="E2457" s="43">
        <v>600</v>
      </c>
      <c r="F2457" s="43"/>
      <c r="G2457" s="364">
        <f t="shared" si="27"/>
        <v>162851</v>
      </c>
      <c r="H2457" s="391" t="s">
        <v>9568</v>
      </c>
    </row>
    <row r="2458" spans="1:8" x14ac:dyDescent="0.3">
      <c r="A2458" s="45">
        <v>44393</v>
      </c>
      <c r="B2458" s="399"/>
      <c r="C2458" s="5" t="s">
        <v>84</v>
      </c>
      <c r="D2458" s="5" t="s">
        <v>7777</v>
      </c>
      <c r="E2458" s="43">
        <v>7000</v>
      </c>
      <c r="F2458" s="43"/>
      <c r="G2458" s="364">
        <f t="shared" si="27"/>
        <v>155851</v>
      </c>
      <c r="H2458" s="391" t="s">
        <v>9568</v>
      </c>
    </row>
    <row r="2459" spans="1:8" x14ac:dyDescent="0.3">
      <c r="A2459" s="45">
        <v>44394</v>
      </c>
      <c r="B2459" s="399"/>
      <c r="C2459" s="5" t="s">
        <v>7779</v>
      </c>
      <c r="D2459" s="5" t="s">
        <v>7780</v>
      </c>
      <c r="E2459" s="43">
        <v>30000</v>
      </c>
      <c r="F2459" s="43"/>
      <c r="G2459" s="364">
        <f t="shared" si="27"/>
        <v>125851</v>
      </c>
      <c r="H2459" s="391" t="s">
        <v>9568</v>
      </c>
    </row>
    <row r="2460" spans="1:8" x14ac:dyDescent="0.3">
      <c r="A2460" s="45">
        <v>44394</v>
      </c>
      <c r="B2460" s="399"/>
      <c r="C2460" s="5" t="s">
        <v>7606</v>
      </c>
      <c r="D2460" s="5" t="s">
        <v>7781</v>
      </c>
      <c r="E2460" s="43">
        <v>3000</v>
      </c>
      <c r="F2460" s="43"/>
      <c r="G2460" s="364">
        <f t="shared" si="27"/>
        <v>122851</v>
      </c>
      <c r="H2460" s="391" t="s">
        <v>9568</v>
      </c>
    </row>
    <row r="2461" spans="1:8" x14ac:dyDescent="0.3">
      <c r="A2461" s="45">
        <v>44394</v>
      </c>
      <c r="B2461" s="399"/>
      <c r="C2461" s="5" t="s">
        <v>6341</v>
      </c>
      <c r="D2461" s="5" t="s">
        <v>7783</v>
      </c>
      <c r="E2461" s="43">
        <v>14200</v>
      </c>
      <c r="F2461" s="43"/>
      <c r="G2461" s="364">
        <f t="shared" si="27"/>
        <v>108651</v>
      </c>
      <c r="H2461" s="391" t="s">
        <v>9568</v>
      </c>
    </row>
    <row r="2462" spans="1:8" x14ac:dyDescent="0.3">
      <c r="A2462" s="45">
        <v>44394</v>
      </c>
      <c r="B2462" s="399"/>
      <c r="C2462" s="5" t="s">
        <v>7690</v>
      </c>
      <c r="D2462" s="5" t="s">
        <v>7782</v>
      </c>
      <c r="E2462" s="43">
        <v>20000</v>
      </c>
      <c r="F2462" s="43"/>
      <c r="G2462" s="364">
        <f t="shared" si="27"/>
        <v>88651</v>
      </c>
      <c r="H2462" s="391" t="s">
        <v>9568</v>
      </c>
    </row>
    <row r="2463" spans="1:8" x14ac:dyDescent="0.3">
      <c r="A2463" s="45">
        <v>44394</v>
      </c>
      <c r="B2463" s="426"/>
      <c r="C2463" s="250" t="s">
        <v>54</v>
      </c>
      <c r="D2463" s="250" t="s">
        <v>7785</v>
      </c>
      <c r="E2463" s="256">
        <v>54271</v>
      </c>
      <c r="F2463" s="43"/>
      <c r="G2463" s="364">
        <f t="shared" si="27"/>
        <v>34380</v>
      </c>
      <c r="H2463" s="391" t="s">
        <v>9568</v>
      </c>
    </row>
    <row r="2464" spans="1:8" x14ac:dyDescent="0.3">
      <c r="A2464" s="45">
        <v>44396</v>
      </c>
      <c r="B2464" s="399"/>
      <c r="C2464" s="5" t="s">
        <v>5979</v>
      </c>
      <c r="D2464" s="5" t="s">
        <v>6067</v>
      </c>
      <c r="E2464" s="43">
        <v>10000</v>
      </c>
      <c r="F2464" s="43"/>
      <c r="G2464" s="364">
        <f t="shared" si="27"/>
        <v>24380</v>
      </c>
      <c r="H2464" s="391" t="s">
        <v>9568</v>
      </c>
    </row>
    <row r="2465" spans="1:13" x14ac:dyDescent="0.3">
      <c r="A2465" s="45">
        <v>44396</v>
      </c>
      <c r="B2465" s="399"/>
      <c r="C2465" s="5" t="s">
        <v>5618</v>
      </c>
      <c r="D2465" s="5" t="s">
        <v>7787</v>
      </c>
      <c r="E2465" s="43">
        <v>10000</v>
      </c>
      <c r="F2465" s="43"/>
      <c r="G2465" s="364">
        <f t="shared" si="27"/>
        <v>14380</v>
      </c>
      <c r="H2465" s="391" t="s">
        <v>9568</v>
      </c>
    </row>
    <row r="2466" spans="1:13" x14ac:dyDescent="0.3">
      <c r="A2466" s="45">
        <v>44396</v>
      </c>
      <c r="B2466" s="580"/>
      <c r="C2466" s="554" t="s">
        <v>7793</v>
      </c>
      <c r="D2466" s="554"/>
      <c r="E2466" s="554"/>
      <c r="F2466" s="43">
        <v>450000</v>
      </c>
      <c r="G2466" s="364">
        <f>G2465+F2466-E2466</f>
        <v>464380</v>
      </c>
      <c r="H2466" s="391" t="s">
        <v>9568</v>
      </c>
      <c r="M2466" s="93"/>
    </row>
    <row r="2467" spans="1:13" x14ac:dyDescent="0.3">
      <c r="A2467" s="45">
        <v>44396</v>
      </c>
      <c r="B2467" s="399"/>
      <c r="C2467" s="5" t="s">
        <v>7692</v>
      </c>
      <c r="D2467" s="5" t="s">
        <v>7789</v>
      </c>
      <c r="E2467" s="43">
        <v>30000</v>
      </c>
      <c r="F2467" s="43"/>
      <c r="G2467" s="364">
        <f>G2466+F2467-E2467</f>
        <v>434380</v>
      </c>
      <c r="H2467" s="391" t="s">
        <v>9568</v>
      </c>
    </row>
    <row r="2468" spans="1:13" x14ac:dyDescent="0.3">
      <c r="A2468" s="45">
        <v>44396</v>
      </c>
      <c r="B2468" s="399"/>
      <c r="C2468" s="5" t="s">
        <v>7790</v>
      </c>
      <c r="D2468" s="5" t="s">
        <v>7791</v>
      </c>
      <c r="E2468" s="43">
        <v>3500</v>
      </c>
      <c r="F2468" s="43"/>
      <c r="G2468" s="364">
        <f t="shared" ref="G2468:G2488" si="28">G2467+F2468-E2468</f>
        <v>430880</v>
      </c>
      <c r="H2468" s="391" t="s">
        <v>9568</v>
      </c>
    </row>
    <row r="2469" spans="1:13" x14ac:dyDescent="0.3">
      <c r="A2469" s="45">
        <v>44396</v>
      </c>
      <c r="B2469" s="399"/>
      <c r="C2469" s="5" t="s">
        <v>84</v>
      </c>
      <c r="D2469" s="5" t="s">
        <v>7794</v>
      </c>
      <c r="E2469" s="43">
        <v>5000</v>
      </c>
      <c r="F2469" s="43"/>
      <c r="G2469" s="364">
        <f t="shared" si="28"/>
        <v>425880</v>
      </c>
      <c r="H2469" s="391" t="s">
        <v>9568</v>
      </c>
    </row>
    <row r="2470" spans="1:13" x14ac:dyDescent="0.3">
      <c r="A2470" s="45">
        <v>44396</v>
      </c>
      <c r="B2470" s="399"/>
      <c r="C2470" s="5" t="s">
        <v>84</v>
      </c>
      <c r="D2470" s="5" t="s">
        <v>7795</v>
      </c>
      <c r="E2470" s="43">
        <v>5000</v>
      </c>
      <c r="F2470" s="43"/>
      <c r="G2470" s="364">
        <f t="shared" si="28"/>
        <v>420880</v>
      </c>
      <c r="H2470" s="391" t="s">
        <v>9568</v>
      </c>
    </row>
    <row r="2471" spans="1:13" x14ac:dyDescent="0.3">
      <c r="A2471" s="45">
        <v>44396</v>
      </c>
      <c r="B2471" s="399"/>
      <c r="C2471" s="5" t="s">
        <v>84</v>
      </c>
      <c r="D2471" s="5" t="s">
        <v>7796</v>
      </c>
      <c r="E2471" s="43">
        <v>5000</v>
      </c>
      <c r="F2471" s="43"/>
      <c r="G2471" s="364">
        <f t="shared" si="28"/>
        <v>415880</v>
      </c>
      <c r="H2471" s="391" t="s">
        <v>9568</v>
      </c>
    </row>
    <row r="2472" spans="1:13" x14ac:dyDescent="0.3">
      <c r="A2472" s="45">
        <v>44396</v>
      </c>
      <c r="B2472" s="399"/>
      <c r="C2472" s="5" t="s">
        <v>4055</v>
      </c>
      <c r="D2472" s="5" t="s">
        <v>7797</v>
      </c>
      <c r="E2472" s="43">
        <v>45000</v>
      </c>
      <c r="F2472" s="43"/>
      <c r="G2472" s="364">
        <f t="shared" si="28"/>
        <v>370880</v>
      </c>
      <c r="H2472" s="391" t="s">
        <v>9568</v>
      </c>
    </row>
    <row r="2473" spans="1:13" x14ac:dyDescent="0.3">
      <c r="A2473" s="45">
        <v>44396</v>
      </c>
      <c r="B2473" s="399"/>
      <c r="C2473" s="5" t="s">
        <v>7733</v>
      </c>
      <c r="D2473" s="5" t="s">
        <v>7798</v>
      </c>
      <c r="E2473" s="43">
        <v>50000</v>
      </c>
      <c r="F2473" s="43"/>
      <c r="G2473" s="364">
        <f t="shared" si="28"/>
        <v>320880</v>
      </c>
      <c r="H2473" s="391" t="s">
        <v>9568</v>
      </c>
    </row>
    <row r="2474" spans="1:13" x14ac:dyDescent="0.3">
      <c r="A2474" s="45">
        <v>44396</v>
      </c>
      <c r="B2474" s="399"/>
      <c r="C2474" s="5" t="s">
        <v>7799</v>
      </c>
      <c r="D2474" s="5" t="s">
        <v>7800</v>
      </c>
      <c r="E2474" s="43">
        <v>19000</v>
      </c>
      <c r="F2474" s="43"/>
      <c r="G2474" s="364">
        <f t="shared" si="28"/>
        <v>301880</v>
      </c>
      <c r="H2474" s="391" t="s">
        <v>9568</v>
      </c>
    </row>
    <row r="2475" spans="1:13" x14ac:dyDescent="0.3">
      <c r="A2475" s="45">
        <v>44396</v>
      </c>
      <c r="B2475" s="399"/>
      <c r="C2475" s="5" t="s">
        <v>7761</v>
      </c>
      <c r="D2475" s="5" t="s">
        <v>7801</v>
      </c>
      <c r="E2475" s="43">
        <v>30000</v>
      </c>
      <c r="F2475" s="43"/>
      <c r="G2475" s="364">
        <f t="shared" si="28"/>
        <v>271880</v>
      </c>
      <c r="H2475" s="391" t="s">
        <v>9568</v>
      </c>
    </row>
    <row r="2476" spans="1:13" x14ac:dyDescent="0.3">
      <c r="A2476" s="45">
        <v>44396</v>
      </c>
      <c r="B2476" s="399"/>
      <c r="C2476" s="5" t="s">
        <v>7606</v>
      </c>
      <c r="D2476" s="5" t="s">
        <v>7802</v>
      </c>
      <c r="E2476" s="43">
        <v>3000</v>
      </c>
      <c r="F2476" s="43"/>
      <c r="G2476" s="364">
        <f t="shared" si="28"/>
        <v>268880</v>
      </c>
      <c r="H2476" s="391" t="s">
        <v>9568</v>
      </c>
    </row>
    <row r="2477" spans="1:13" x14ac:dyDescent="0.3">
      <c r="A2477" s="45">
        <v>44401</v>
      </c>
      <c r="B2477" s="399"/>
      <c r="C2477" s="5" t="s">
        <v>5709</v>
      </c>
      <c r="D2477" s="5" t="s">
        <v>7806</v>
      </c>
      <c r="E2477" s="43">
        <v>1400</v>
      </c>
      <c r="F2477" s="43"/>
      <c r="G2477" s="364">
        <f t="shared" si="28"/>
        <v>267480</v>
      </c>
      <c r="H2477" s="391" t="s">
        <v>9568</v>
      </c>
    </row>
    <row r="2478" spans="1:13" x14ac:dyDescent="0.3">
      <c r="A2478" s="45">
        <v>44401</v>
      </c>
      <c r="B2478" s="399"/>
      <c r="C2478" s="5" t="s">
        <v>5709</v>
      </c>
      <c r="D2478" s="5" t="s">
        <v>7805</v>
      </c>
      <c r="E2478" s="43">
        <v>20000</v>
      </c>
      <c r="F2478" s="43"/>
      <c r="G2478" s="364">
        <f t="shared" si="28"/>
        <v>247480</v>
      </c>
      <c r="H2478" s="391" t="s">
        <v>9568</v>
      </c>
    </row>
    <row r="2479" spans="1:13" x14ac:dyDescent="0.3">
      <c r="A2479" s="45">
        <v>44401</v>
      </c>
      <c r="B2479" s="399"/>
      <c r="C2479" s="5" t="s">
        <v>14</v>
      </c>
      <c r="D2479" s="5" t="s">
        <v>294</v>
      </c>
      <c r="E2479" s="43">
        <v>100000</v>
      </c>
      <c r="F2479" s="43"/>
      <c r="G2479" s="364">
        <f t="shared" si="28"/>
        <v>147480</v>
      </c>
      <c r="H2479" s="391" t="s">
        <v>9568</v>
      </c>
    </row>
    <row r="2480" spans="1:13" x14ac:dyDescent="0.3">
      <c r="A2480" s="45">
        <v>44401</v>
      </c>
      <c r="B2480" s="399"/>
      <c r="C2480" s="5" t="s">
        <v>6341</v>
      </c>
      <c r="D2480" s="5" t="s">
        <v>7809</v>
      </c>
      <c r="E2480" s="43">
        <v>39000</v>
      </c>
      <c r="F2480" s="43"/>
      <c r="G2480" s="364">
        <f t="shared" si="28"/>
        <v>108480</v>
      </c>
      <c r="H2480" s="391" t="s">
        <v>9568</v>
      </c>
    </row>
    <row r="2481" spans="1:13" x14ac:dyDescent="0.3">
      <c r="A2481" s="45">
        <v>44401</v>
      </c>
      <c r="B2481" s="399"/>
      <c r="C2481" s="5" t="s">
        <v>0</v>
      </c>
      <c r="D2481" s="5" t="s">
        <v>294</v>
      </c>
      <c r="E2481" s="43">
        <v>5000</v>
      </c>
      <c r="F2481" s="43"/>
      <c r="G2481" s="364">
        <f t="shared" si="28"/>
        <v>103480</v>
      </c>
      <c r="H2481" s="391" t="s">
        <v>9568</v>
      </c>
    </row>
    <row r="2482" spans="1:13" x14ac:dyDescent="0.3">
      <c r="A2482" s="45">
        <v>44403</v>
      </c>
      <c r="B2482" s="399"/>
      <c r="C2482" s="5" t="s">
        <v>14</v>
      </c>
      <c r="D2482" s="5" t="s">
        <v>7811</v>
      </c>
      <c r="E2482" s="43">
        <v>31354</v>
      </c>
      <c r="F2482" s="43"/>
      <c r="G2482" s="364">
        <f t="shared" si="28"/>
        <v>72126</v>
      </c>
      <c r="H2482" s="391" t="s">
        <v>9568</v>
      </c>
    </row>
    <row r="2483" spans="1:13" x14ac:dyDescent="0.3">
      <c r="A2483" s="45">
        <v>44403</v>
      </c>
      <c r="B2483" s="399"/>
      <c r="C2483" s="5" t="s">
        <v>5938</v>
      </c>
      <c r="D2483" s="5" t="s">
        <v>294</v>
      </c>
      <c r="E2483" s="43">
        <v>20000</v>
      </c>
      <c r="F2483" s="43"/>
      <c r="G2483" s="364">
        <f t="shared" si="28"/>
        <v>52126</v>
      </c>
      <c r="H2483" s="391" t="s">
        <v>9568</v>
      </c>
    </row>
    <row r="2484" spans="1:13" x14ac:dyDescent="0.3">
      <c r="A2484" s="45">
        <v>44403</v>
      </c>
      <c r="B2484" s="399"/>
      <c r="C2484" s="5" t="s">
        <v>1074</v>
      </c>
      <c r="D2484" s="5" t="s">
        <v>4601</v>
      </c>
      <c r="E2484" s="43">
        <f>270+250</f>
        <v>520</v>
      </c>
      <c r="F2484" s="43"/>
      <c r="G2484" s="364">
        <f t="shared" si="28"/>
        <v>51606</v>
      </c>
      <c r="H2484" s="391" t="s">
        <v>9568</v>
      </c>
    </row>
    <row r="2485" spans="1:13" x14ac:dyDescent="0.3">
      <c r="A2485" s="45">
        <v>44403</v>
      </c>
      <c r="B2485" s="399"/>
      <c r="C2485" s="5" t="s">
        <v>5741</v>
      </c>
      <c r="D2485" s="5" t="s">
        <v>294</v>
      </c>
      <c r="E2485" s="43">
        <v>17300</v>
      </c>
      <c r="F2485" s="43"/>
      <c r="G2485" s="364">
        <f t="shared" si="28"/>
        <v>34306</v>
      </c>
      <c r="H2485" s="391" t="s">
        <v>9568</v>
      </c>
    </row>
    <row r="2486" spans="1:13" x14ac:dyDescent="0.3">
      <c r="A2486" s="45">
        <v>44403</v>
      </c>
      <c r="B2486" s="399"/>
      <c r="C2486" s="5" t="s">
        <v>0</v>
      </c>
      <c r="D2486" s="5" t="s">
        <v>6565</v>
      </c>
      <c r="E2486" s="43">
        <v>10000</v>
      </c>
      <c r="F2486" s="43"/>
      <c r="G2486" s="364">
        <f t="shared" si="28"/>
        <v>24306</v>
      </c>
      <c r="H2486" s="391" t="s">
        <v>9568</v>
      </c>
    </row>
    <row r="2487" spans="1:13" x14ac:dyDescent="0.3">
      <c r="A2487" s="45">
        <v>44403</v>
      </c>
      <c r="B2487" s="399"/>
      <c r="C2487" s="5" t="s">
        <v>25</v>
      </c>
      <c r="D2487" s="5" t="s">
        <v>7736</v>
      </c>
      <c r="E2487" s="43">
        <v>6000</v>
      </c>
      <c r="F2487" s="43"/>
      <c r="G2487" s="364">
        <f t="shared" si="28"/>
        <v>18306</v>
      </c>
      <c r="H2487" s="391" t="s">
        <v>9568</v>
      </c>
    </row>
    <row r="2488" spans="1:13" x14ac:dyDescent="0.3">
      <c r="A2488" s="45">
        <v>44403</v>
      </c>
      <c r="B2488" s="580"/>
      <c r="C2488" s="554" t="s">
        <v>4106</v>
      </c>
      <c r="D2488" s="554"/>
      <c r="E2488" s="554"/>
      <c r="F2488" s="43">
        <v>200000</v>
      </c>
      <c r="G2488" s="364">
        <f t="shared" si="28"/>
        <v>218306</v>
      </c>
      <c r="H2488" s="391" t="s">
        <v>9568</v>
      </c>
      <c r="M2488" s="93"/>
    </row>
    <row r="2489" spans="1:13" x14ac:dyDescent="0.3">
      <c r="A2489" s="45">
        <v>44403</v>
      </c>
      <c r="B2489" s="399"/>
      <c r="C2489" s="5" t="s">
        <v>1074</v>
      </c>
      <c r="D2489" s="5" t="s">
        <v>7819</v>
      </c>
      <c r="E2489" s="43">
        <f>59315+15339</f>
        <v>74654</v>
      </c>
      <c r="F2489" s="43"/>
      <c r="G2489" s="364">
        <f t="shared" ref="G2489:G2554" si="29">G2488+F2489-E2489</f>
        <v>143652</v>
      </c>
      <c r="H2489" s="391" t="s">
        <v>9568</v>
      </c>
    </row>
    <row r="2490" spans="1:13" x14ac:dyDescent="0.3">
      <c r="A2490" s="45">
        <v>44403</v>
      </c>
      <c r="B2490" s="399"/>
      <c r="C2490" s="5" t="s">
        <v>7606</v>
      </c>
      <c r="D2490" s="5" t="s">
        <v>7813</v>
      </c>
      <c r="E2490" s="43">
        <v>6000</v>
      </c>
      <c r="F2490" s="43"/>
      <c r="G2490" s="364">
        <f t="shared" si="29"/>
        <v>137652</v>
      </c>
      <c r="H2490" s="391" t="s">
        <v>9568</v>
      </c>
    </row>
    <row r="2491" spans="1:13" x14ac:dyDescent="0.3">
      <c r="A2491" s="45">
        <v>44404</v>
      </c>
      <c r="B2491" s="399"/>
      <c r="C2491" s="5" t="s">
        <v>25</v>
      </c>
      <c r="D2491" s="5" t="s">
        <v>7815</v>
      </c>
      <c r="E2491" s="43">
        <v>2700</v>
      </c>
      <c r="F2491" s="43"/>
      <c r="G2491" s="364">
        <f t="shared" si="29"/>
        <v>134952</v>
      </c>
      <c r="H2491" s="391" t="s">
        <v>9568</v>
      </c>
    </row>
    <row r="2492" spans="1:13" x14ac:dyDescent="0.3">
      <c r="A2492" s="45">
        <v>44404</v>
      </c>
      <c r="B2492" s="399"/>
      <c r="C2492" s="5" t="s">
        <v>25</v>
      </c>
      <c r="D2492" s="5" t="s">
        <v>2231</v>
      </c>
      <c r="E2492" s="43">
        <v>770</v>
      </c>
      <c r="F2492" s="43"/>
      <c r="G2492" s="364">
        <f t="shared" si="29"/>
        <v>134182</v>
      </c>
      <c r="H2492" s="391" t="s">
        <v>9568</v>
      </c>
    </row>
    <row r="2493" spans="1:13" x14ac:dyDescent="0.3">
      <c r="A2493" s="45">
        <v>44404</v>
      </c>
      <c r="B2493" s="399"/>
      <c r="C2493" s="5" t="s">
        <v>25</v>
      </c>
      <c r="D2493" s="5" t="s">
        <v>7814</v>
      </c>
      <c r="E2493" s="43">
        <v>4200</v>
      </c>
      <c r="F2493" s="43"/>
      <c r="G2493" s="364">
        <f t="shared" si="29"/>
        <v>129982</v>
      </c>
      <c r="H2493" s="391" t="s">
        <v>9568</v>
      </c>
    </row>
    <row r="2494" spans="1:13" x14ac:dyDescent="0.3">
      <c r="A2494" s="45">
        <v>44404</v>
      </c>
      <c r="B2494" s="399"/>
      <c r="C2494" s="5" t="s">
        <v>30</v>
      </c>
      <c r="D2494" s="5" t="s">
        <v>7816</v>
      </c>
      <c r="E2494" s="43">
        <v>150</v>
      </c>
      <c r="F2494" s="43"/>
      <c r="G2494" s="364">
        <f t="shared" si="29"/>
        <v>129832</v>
      </c>
      <c r="H2494" s="391" t="s">
        <v>9568</v>
      </c>
    </row>
    <row r="2495" spans="1:13" x14ac:dyDescent="0.3">
      <c r="A2495" s="45">
        <v>44404</v>
      </c>
      <c r="B2495" s="399"/>
      <c r="C2495" s="5" t="s">
        <v>7817</v>
      </c>
      <c r="D2495" s="5" t="s">
        <v>7818</v>
      </c>
      <c r="E2495" s="43">
        <v>1000</v>
      </c>
      <c r="F2495" s="43"/>
      <c r="G2495" s="364">
        <f t="shared" si="29"/>
        <v>128832</v>
      </c>
      <c r="H2495" s="391" t="s">
        <v>9568</v>
      </c>
    </row>
    <row r="2496" spans="1:13" x14ac:dyDescent="0.3">
      <c r="A2496" s="45">
        <v>44404</v>
      </c>
      <c r="B2496" s="399"/>
      <c r="C2496" s="5" t="s">
        <v>84</v>
      </c>
      <c r="D2496" s="5" t="s">
        <v>7820</v>
      </c>
      <c r="E2496" s="43">
        <v>5000</v>
      </c>
      <c r="F2496" s="43"/>
      <c r="G2496" s="364">
        <f t="shared" si="29"/>
        <v>123832</v>
      </c>
      <c r="H2496" s="391" t="s">
        <v>9568</v>
      </c>
    </row>
    <row r="2497" spans="1:13" x14ac:dyDescent="0.3">
      <c r="A2497" s="45">
        <v>44404</v>
      </c>
      <c r="B2497" s="399"/>
      <c r="C2497" s="5" t="s">
        <v>0</v>
      </c>
      <c r="D2497" s="5" t="s">
        <v>7828</v>
      </c>
      <c r="E2497" s="43">
        <v>35000</v>
      </c>
      <c r="F2497" s="43"/>
      <c r="G2497" s="364">
        <f t="shared" si="29"/>
        <v>88832</v>
      </c>
      <c r="H2497" s="391" t="s">
        <v>9568</v>
      </c>
    </row>
    <row r="2498" spans="1:13" x14ac:dyDescent="0.3">
      <c r="A2498" s="45">
        <v>44404</v>
      </c>
      <c r="B2498" s="399"/>
      <c r="C2498" s="5" t="s">
        <v>7606</v>
      </c>
      <c r="D2498" s="5" t="s">
        <v>7829</v>
      </c>
      <c r="E2498" s="43">
        <v>2000</v>
      </c>
      <c r="F2498" s="43"/>
      <c r="G2498" s="364">
        <f t="shared" si="29"/>
        <v>86832</v>
      </c>
      <c r="H2498" s="391" t="s">
        <v>9568</v>
      </c>
    </row>
    <row r="2499" spans="1:13" x14ac:dyDescent="0.3">
      <c r="A2499" s="45">
        <v>44404</v>
      </c>
      <c r="B2499" s="399"/>
      <c r="C2499" s="5" t="s">
        <v>14</v>
      </c>
      <c r="D2499" s="5" t="s">
        <v>640</v>
      </c>
      <c r="E2499" s="43">
        <v>1000</v>
      </c>
      <c r="F2499" s="43"/>
      <c r="G2499" s="364">
        <f t="shared" si="29"/>
        <v>85832</v>
      </c>
      <c r="H2499" s="391" t="s">
        <v>9568</v>
      </c>
    </row>
    <row r="2500" spans="1:13" x14ac:dyDescent="0.3">
      <c r="A2500" s="45">
        <v>44404</v>
      </c>
      <c r="B2500" s="399"/>
      <c r="C2500" s="5" t="s">
        <v>7830</v>
      </c>
      <c r="D2500" s="5" t="s">
        <v>7831</v>
      </c>
      <c r="E2500" s="43">
        <v>63000</v>
      </c>
      <c r="F2500" s="43"/>
      <c r="G2500" s="364">
        <f t="shared" si="29"/>
        <v>22832</v>
      </c>
      <c r="H2500" s="391" t="s">
        <v>9568</v>
      </c>
    </row>
    <row r="2501" spans="1:13" x14ac:dyDescent="0.3">
      <c r="A2501" s="45">
        <v>44405</v>
      </c>
      <c r="B2501" s="399"/>
      <c r="C2501" s="5" t="s">
        <v>7606</v>
      </c>
      <c r="D2501" s="5" t="s">
        <v>7835</v>
      </c>
      <c r="E2501" s="43">
        <v>500</v>
      </c>
      <c r="F2501" s="43"/>
      <c r="G2501" s="364">
        <f t="shared" si="29"/>
        <v>22332</v>
      </c>
      <c r="H2501" s="391" t="s">
        <v>9568</v>
      </c>
    </row>
    <row r="2502" spans="1:13" x14ac:dyDescent="0.3">
      <c r="A2502" s="45">
        <v>44405</v>
      </c>
      <c r="B2502" s="580"/>
      <c r="C2502" s="554" t="s">
        <v>4106</v>
      </c>
      <c r="D2502" s="554"/>
      <c r="E2502" s="554"/>
      <c r="F2502" s="43">
        <v>200000</v>
      </c>
      <c r="G2502" s="364">
        <f t="shared" si="29"/>
        <v>222332</v>
      </c>
      <c r="H2502" s="391" t="s">
        <v>9568</v>
      </c>
      <c r="M2502" s="93"/>
    </row>
    <row r="2503" spans="1:13" x14ac:dyDescent="0.3">
      <c r="A2503" s="45">
        <v>44405</v>
      </c>
      <c r="B2503" s="399"/>
      <c r="C2503" s="5" t="s">
        <v>5156</v>
      </c>
      <c r="D2503" s="5" t="s">
        <v>6877</v>
      </c>
      <c r="E2503" s="43">
        <v>250</v>
      </c>
      <c r="F2503" s="43"/>
      <c r="G2503" s="364">
        <f t="shared" si="29"/>
        <v>222082</v>
      </c>
      <c r="H2503" s="391" t="s">
        <v>9568</v>
      </c>
    </row>
    <row r="2504" spans="1:13" x14ac:dyDescent="0.3">
      <c r="A2504" s="45">
        <v>44405</v>
      </c>
      <c r="B2504" s="399"/>
      <c r="C2504" s="5" t="s">
        <v>7836</v>
      </c>
      <c r="D2504" s="5" t="s">
        <v>40</v>
      </c>
      <c r="E2504" s="43">
        <v>57668</v>
      </c>
      <c r="F2504" s="43"/>
      <c r="G2504" s="364">
        <f t="shared" si="29"/>
        <v>164414</v>
      </c>
      <c r="H2504" s="391" t="s">
        <v>9568</v>
      </c>
    </row>
    <row r="2505" spans="1:13" x14ac:dyDescent="0.3">
      <c r="A2505" s="45">
        <v>44405</v>
      </c>
      <c r="B2505" s="399"/>
      <c r="C2505" s="5" t="s">
        <v>1512</v>
      </c>
      <c r="D2505" s="5" t="s">
        <v>7837</v>
      </c>
      <c r="E2505" s="43">
        <v>4000</v>
      </c>
      <c r="F2505" s="43"/>
      <c r="G2505" s="364">
        <f t="shared" si="29"/>
        <v>160414</v>
      </c>
      <c r="H2505" s="391" t="s">
        <v>9568</v>
      </c>
    </row>
    <row r="2506" spans="1:13" x14ac:dyDescent="0.3">
      <c r="A2506" s="45">
        <v>44405</v>
      </c>
      <c r="B2506" s="399"/>
      <c r="C2506" s="5" t="s">
        <v>7606</v>
      </c>
      <c r="D2506" s="5" t="s">
        <v>7838</v>
      </c>
      <c r="E2506" s="43">
        <v>2000</v>
      </c>
      <c r="F2506" s="43"/>
      <c r="G2506" s="364">
        <f t="shared" si="29"/>
        <v>158414</v>
      </c>
      <c r="H2506" s="391" t="s">
        <v>9568</v>
      </c>
    </row>
    <row r="2507" spans="1:13" x14ac:dyDescent="0.3">
      <c r="A2507" s="45">
        <v>44405</v>
      </c>
      <c r="B2507" s="399"/>
      <c r="C2507" s="5" t="s">
        <v>7606</v>
      </c>
      <c r="D2507" s="5" t="s">
        <v>7839</v>
      </c>
      <c r="E2507" s="43">
        <v>5000</v>
      </c>
      <c r="F2507" s="43"/>
      <c r="G2507" s="364">
        <f t="shared" si="29"/>
        <v>153414</v>
      </c>
      <c r="H2507" s="391" t="s">
        <v>9568</v>
      </c>
    </row>
    <row r="2508" spans="1:13" x14ac:dyDescent="0.3">
      <c r="A2508" s="45">
        <v>44405</v>
      </c>
      <c r="B2508" s="399"/>
      <c r="C2508" s="5" t="s">
        <v>6221</v>
      </c>
      <c r="D2508" s="5" t="s">
        <v>7840</v>
      </c>
      <c r="E2508" s="43">
        <v>9000</v>
      </c>
      <c r="F2508" s="43"/>
      <c r="G2508" s="364">
        <f t="shared" si="29"/>
        <v>144414</v>
      </c>
      <c r="H2508" s="391" t="s">
        <v>9568</v>
      </c>
    </row>
    <row r="2509" spans="1:13" x14ac:dyDescent="0.3">
      <c r="A2509" s="45">
        <v>44405</v>
      </c>
      <c r="B2509" s="399"/>
      <c r="C2509" s="5" t="s">
        <v>0</v>
      </c>
      <c r="D2509" s="5" t="s">
        <v>294</v>
      </c>
      <c r="E2509" s="43">
        <v>1000</v>
      </c>
      <c r="F2509" s="43"/>
      <c r="G2509" s="364">
        <f t="shared" si="29"/>
        <v>143414</v>
      </c>
      <c r="H2509" s="391" t="s">
        <v>9568</v>
      </c>
    </row>
    <row r="2510" spans="1:13" x14ac:dyDescent="0.3">
      <c r="A2510" s="45">
        <v>44405</v>
      </c>
      <c r="B2510" s="399"/>
      <c r="C2510" s="5" t="s">
        <v>25</v>
      </c>
      <c r="D2510" s="5" t="s">
        <v>6049</v>
      </c>
      <c r="E2510" s="43">
        <v>100</v>
      </c>
      <c r="F2510" s="43"/>
      <c r="G2510" s="364">
        <f t="shared" si="29"/>
        <v>143314</v>
      </c>
      <c r="H2510" s="391" t="s">
        <v>9568</v>
      </c>
    </row>
    <row r="2511" spans="1:13" x14ac:dyDescent="0.3">
      <c r="A2511" s="45">
        <v>44405</v>
      </c>
      <c r="B2511" s="399"/>
      <c r="C2511" s="5" t="s">
        <v>541</v>
      </c>
      <c r="D2511" s="5" t="s">
        <v>7841</v>
      </c>
      <c r="E2511" s="43">
        <v>10000</v>
      </c>
      <c r="F2511" s="43"/>
      <c r="G2511" s="364">
        <f t="shared" si="29"/>
        <v>133314</v>
      </c>
      <c r="H2511" s="391" t="s">
        <v>9568</v>
      </c>
    </row>
    <row r="2512" spans="1:13" x14ac:dyDescent="0.3">
      <c r="A2512" s="45">
        <v>44406</v>
      </c>
      <c r="B2512" s="399"/>
      <c r="C2512" s="5" t="s">
        <v>6430</v>
      </c>
      <c r="D2512" s="5" t="s">
        <v>4512</v>
      </c>
      <c r="E2512" s="43">
        <v>1200</v>
      </c>
      <c r="F2512" s="43"/>
      <c r="G2512" s="364">
        <f t="shared" si="29"/>
        <v>132114</v>
      </c>
      <c r="H2512" s="391" t="s">
        <v>9568</v>
      </c>
    </row>
    <row r="2513" spans="1:13" x14ac:dyDescent="0.3">
      <c r="A2513" s="45">
        <v>44406</v>
      </c>
      <c r="B2513" s="399"/>
      <c r="C2513" s="5" t="s">
        <v>18</v>
      </c>
      <c r="D2513" s="5" t="s">
        <v>4512</v>
      </c>
      <c r="E2513" s="43">
        <v>2500</v>
      </c>
      <c r="F2513" s="43"/>
      <c r="G2513" s="364">
        <f t="shared" si="29"/>
        <v>129614</v>
      </c>
      <c r="H2513" s="391" t="s">
        <v>9568</v>
      </c>
    </row>
    <row r="2514" spans="1:13" x14ac:dyDescent="0.3">
      <c r="A2514" s="45">
        <v>44406</v>
      </c>
      <c r="B2514" s="399"/>
      <c r="C2514" s="5" t="s">
        <v>57</v>
      </c>
      <c r="D2514" s="5" t="s">
        <v>7844</v>
      </c>
      <c r="E2514" s="43">
        <v>5000</v>
      </c>
      <c r="F2514" s="43"/>
      <c r="G2514" s="364">
        <f t="shared" si="29"/>
        <v>124614</v>
      </c>
      <c r="H2514" s="391" t="s">
        <v>9568</v>
      </c>
    </row>
    <row r="2515" spans="1:13" x14ac:dyDescent="0.3">
      <c r="A2515" s="45">
        <v>44406</v>
      </c>
      <c r="B2515" s="399"/>
      <c r="C2515" s="5" t="s">
        <v>7546</v>
      </c>
      <c r="D2515" s="5" t="s">
        <v>7845</v>
      </c>
      <c r="E2515" s="43">
        <v>2000</v>
      </c>
      <c r="F2515" s="43"/>
      <c r="G2515" s="364">
        <f t="shared" si="29"/>
        <v>122614</v>
      </c>
      <c r="H2515" s="391" t="s">
        <v>9568</v>
      </c>
    </row>
    <row r="2516" spans="1:13" x14ac:dyDescent="0.3">
      <c r="A2516" s="45">
        <v>44406</v>
      </c>
      <c r="B2516" s="399"/>
      <c r="C2516" s="5" t="s">
        <v>25</v>
      </c>
      <c r="D2516" s="5" t="s">
        <v>4731</v>
      </c>
      <c r="E2516" s="43">
        <v>3000</v>
      </c>
      <c r="F2516" s="43"/>
      <c r="G2516" s="364">
        <f t="shared" si="29"/>
        <v>119614</v>
      </c>
      <c r="H2516" s="391" t="s">
        <v>9568</v>
      </c>
      <c r="L2516" s="93"/>
    </row>
    <row r="2517" spans="1:13" x14ac:dyDescent="0.3">
      <c r="A2517" s="45">
        <v>44406</v>
      </c>
      <c r="B2517" s="399"/>
      <c r="C2517" s="5" t="s">
        <v>7606</v>
      </c>
      <c r="D2517" s="5" t="s">
        <v>7846</v>
      </c>
      <c r="E2517" s="43">
        <v>5000</v>
      </c>
      <c r="F2517" s="43"/>
      <c r="G2517" s="364">
        <f t="shared" si="29"/>
        <v>114614</v>
      </c>
      <c r="H2517" s="391" t="s">
        <v>9568</v>
      </c>
    </row>
    <row r="2518" spans="1:13" x14ac:dyDescent="0.3">
      <c r="A2518" s="45">
        <v>44407</v>
      </c>
      <c r="B2518" s="399"/>
      <c r="C2518" s="5" t="s">
        <v>25</v>
      </c>
      <c r="D2518" s="5" t="s">
        <v>4276</v>
      </c>
      <c r="E2518" s="43">
        <v>2455</v>
      </c>
      <c r="F2518" s="43"/>
      <c r="G2518" s="364">
        <f t="shared" si="29"/>
        <v>112159</v>
      </c>
      <c r="H2518" s="391" t="s">
        <v>9568</v>
      </c>
    </row>
    <row r="2519" spans="1:13" x14ac:dyDescent="0.3">
      <c r="A2519" s="45">
        <v>44407</v>
      </c>
      <c r="B2519" s="399"/>
      <c r="C2519" s="5" t="s">
        <v>25</v>
      </c>
      <c r="D2519" s="5" t="s">
        <v>7815</v>
      </c>
      <c r="E2519" s="43">
        <v>600</v>
      </c>
      <c r="F2519" s="43"/>
      <c r="G2519" s="364">
        <f t="shared" si="29"/>
        <v>111559</v>
      </c>
      <c r="H2519" s="391" t="s">
        <v>9568</v>
      </c>
    </row>
    <row r="2520" spans="1:13" x14ac:dyDescent="0.3">
      <c r="A2520" s="45">
        <v>44407</v>
      </c>
      <c r="B2520" s="399"/>
      <c r="C2520" s="5" t="s">
        <v>6341</v>
      </c>
      <c r="D2520" s="5" t="s">
        <v>294</v>
      </c>
      <c r="E2520" s="43">
        <v>19000</v>
      </c>
      <c r="F2520" s="43"/>
      <c r="G2520" s="364">
        <f t="shared" si="29"/>
        <v>92559</v>
      </c>
      <c r="H2520" s="391" t="s">
        <v>9568</v>
      </c>
    </row>
    <row r="2521" spans="1:13" x14ac:dyDescent="0.3">
      <c r="A2521" s="45">
        <v>44407</v>
      </c>
      <c r="B2521" s="580"/>
      <c r="C2521" s="554" t="s">
        <v>7440</v>
      </c>
      <c r="D2521" s="554"/>
      <c r="E2521" s="554"/>
      <c r="F2521" s="43">
        <v>100000</v>
      </c>
      <c r="G2521" s="364">
        <f>G2520+F2521-E2521</f>
        <v>192559</v>
      </c>
      <c r="H2521" s="391" t="s">
        <v>9568</v>
      </c>
      <c r="M2521" s="93"/>
    </row>
    <row r="2522" spans="1:13" x14ac:dyDescent="0.3">
      <c r="A2522" s="45">
        <v>44407</v>
      </c>
      <c r="B2522" s="399"/>
      <c r="C2522" s="5" t="s">
        <v>68</v>
      </c>
      <c r="D2522" s="5" t="s">
        <v>3557</v>
      </c>
      <c r="E2522" s="43">
        <v>5000</v>
      </c>
      <c r="F2522" s="43"/>
      <c r="G2522" s="364">
        <f t="shared" si="29"/>
        <v>187559</v>
      </c>
      <c r="H2522" s="391" t="s">
        <v>9568</v>
      </c>
    </row>
    <row r="2523" spans="1:13" x14ac:dyDescent="0.3">
      <c r="A2523" s="45">
        <v>44407</v>
      </c>
      <c r="B2523" s="399"/>
      <c r="C2523" s="5" t="s">
        <v>7606</v>
      </c>
      <c r="D2523" s="5" t="s">
        <v>7848</v>
      </c>
      <c r="E2523" s="43">
        <v>1000</v>
      </c>
      <c r="F2523" s="43"/>
      <c r="G2523" s="364">
        <f t="shared" si="29"/>
        <v>186559</v>
      </c>
      <c r="H2523" s="391" t="s">
        <v>9568</v>
      </c>
    </row>
    <row r="2524" spans="1:13" x14ac:dyDescent="0.3">
      <c r="A2524" s="45">
        <v>44407</v>
      </c>
      <c r="B2524" s="399"/>
      <c r="C2524" s="5" t="s">
        <v>25</v>
      </c>
      <c r="D2524" s="5" t="s">
        <v>7849</v>
      </c>
      <c r="E2524" s="43">
        <v>300</v>
      </c>
      <c r="F2524" s="43"/>
      <c r="G2524" s="364">
        <f t="shared" si="29"/>
        <v>186259</v>
      </c>
      <c r="H2524" s="391" t="s">
        <v>9568</v>
      </c>
    </row>
    <row r="2525" spans="1:13" x14ac:dyDescent="0.3">
      <c r="A2525" s="45">
        <v>44407</v>
      </c>
      <c r="B2525" s="399"/>
      <c r="C2525" s="5" t="s">
        <v>91</v>
      </c>
      <c r="D2525" s="5" t="s">
        <v>2444</v>
      </c>
      <c r="E2525" s="43">
        <v>650</v>
      </c>
      <c r="F2525" s="43"/>
      <c r="G2525" s="364">
        <f t="shared" si="29"/>
        <v>185609</v>
      </c>
      <c r="H2525" s="391" t="s">
        <v>9568</v>
      </c>
    </row>
    <row r="2526" spans="1:13" x14ac:dyDescent="0.3">
      <c r="A2526" s="45">
        <v>44408</v>
      </c>
      <c r="B2526" s="399"/>
      <c r="C2526" s="5" t="s">
        <v>7606</v>
      </c>
      <c r="D2526" s="5" t="s">
        <v>7850</v>
      </c>
      <c r="E2526" s="43">
        <v>1000</v>
      </c>
      <c r="F2526" s="43"/>
      <c r="G2526" s="364">
        <f t="shared" si="29"/>
        <v>184609</v>
      </c>
      <c r="H2526" s="391" t="s">
        <v>9568</v>
      </c>
    </row>
    <row r="2527" spans="1:13" x14ac:dyDescent="0.3">
      <c r="A2527" s="45">
        <v>44408</v>
      </c>
      <c r="B2527" s="399"/>
      <c r="C2527" s="5" t="s">
        <v>0</v>
      </c>
      <c r="D2527" s="5" t="s">
        <v>7853</v>
      </c>
      <c r="E2527" s="43">
        <v>16332</v>
      </c>
      <c r="F2527" s="43"/>
      <c r="G2527" s="364">
        <f t="shared" si="29"/>
        <v>168277</v>
      </c>
      <c r="H2527" s="391" t="s">
        <v>9568</v>
      </c>
    </row>
    <row r="2528" spans="1:13" x14ac:dyDescent="0.3">
      <c r="A2528" s="45">
        <v>44408</v>
      </c>
      <c r="B2528" s="399"/>
      <c r="C2528" s="5" t="s">
        <v>0</v>
      </c>
      <c r="D2528" s="5" t="s">
        <v>294</v>
      </c>
      <c r="E2528" s="43">
        <v>15000</v>
      </c>
      <c r="F2528" s="43"/>
      <c r="G2528" s="364">
        <f t="shared" si="29"/>
        <v>153277</v>
      </c>
      <c r="H2528" s="391" t="s">
        <v>9568</v>
      </c>
    </row>
    <row r="2529" spans="1:13" x14ac:dyDescent="0.3">
      <c r="A2529" s="45">
        <v>44410</v>
      </c>
      <c r="B2529" s="399"/>
      <c r="C2529" s="5" t="s">
        <v>14</v>
      </c>
      <c r="D2529" s="5" t="s">
        <v>7854</v>
      </c>
      <c r="E2529" s="43">
        <v>13969</v>
      </c>
      <c r="F2529" s="43"/>
      <c r="G2529" s="364">
        <f t="shared" si="29"/>
        <v>139308</v>
      </c>
      <c r="H2529" s="391" t="s">
        <v>9568</v>
      </c>
    </row>
    <row r="2530" spans="1:13" x14ac:dyDescent="0.3">
      <c r="A2530" s="45">
        <v>44410</v>
      </c>
      <c r="B2530" s="399"/>
      <c r="C2530" s="5" t="s">
        <v>1074</v>
      </c>
      <c r="D2530" s="5" t="s">
        <v>7855</v>
      </c>
      <c r="E2530" s="43">
        <v>2722</v>
      </c>
      <c r="F2530" s="43"/>
      <c r="G2530" s="364">
        <f t="shared" si="29"/>
        <v>136586</v>
      </c>
      <c r="H2530" s="391" t="s">
        <v>9568</v>
      </c>
    </row>
    <row r="2531" spans="1:13" x14ac:dyDescent="0.3">
      <c r="A2531" s="45">
        <v>44410</v>
      </c>
      <c r="B2531" s="399"/>
      <c r="C2531" s="5" t="s">
        <v>7606</v>
      </c>
      <c r="D2531" s="5" t="s">
        <v>7856</v>
      </c>
      <c r="E2531" s="43">
        <v>2000</v>
      </c>
      <c r="F2531" s="43"/>
      <c r="G2531" s="364">
        <f t="shared" si="29"/>
        <v>134586</v>
      </c>
      <c r="H2531" s="391" t="s">
        <v>9568</v>
      </c>
    </row>
    <row r="2532" spans="1:13" x14ac:dyDescent="0.3">
      <c r="A2532" s="45">
        <v>44410</v>
      </c>
      <c r="B2532" s="399"/>
      <c r="C2532" s="5" t="s">
        <v>7606</v>
      </c>
      <c r="D2532" s="5" t="s">
        <v>7857</v>
      </c>
      <c r="E2532" s="43">
        <v>1000</v>
      </c>
      <c r="F2532" s="43"/>
      <c r="G2532" s="364">
        <f t="shared" si="29"/>
        <v>133586</v>
      </c>
      <c r="H2532" s="391" t="s">
        <v>9568</v>
      </c>
    </row>
    <row r="2533" spans="1:13" ht="37.5" x14ac:dyDescent="0.3">
      <c r="A2533" s="45">
        <v>44410</v>
      </c>
      <c r="B2533" s="399"/>
      <c r="C2533" s="5" t="s">
        <v>7546</v>
      </c>
      <c r="D2533" s="92" t="s">
        <v>7858</v>
      </c>
      <c r="E2533" s="43">
        <v>20000</v>
      </c>
      <c r="F2533" s="43"/>
      <c r="G2533" s="364">
        <f t="shared" si="29"/>
        <v>113586</v>
      </c>
      <c r="H2533" s="391" t="s">
        <v>9568</v>
      </c>
    </row>
    <row r="2534" spans="1:13" x14ac:dyDescent="0.3">
      <c r="A2534" s="45">
        <v>44410</v>
      </c>
      <c r="B2534" s="399"/>
      <c r="C2534" s="5" t="s">
        <v>57</v>
      </c>
      <c r="D2534" s="5" t="s">
        <v>7859</v>
      </c>
      <c r="E2534" s="43">
        <v>20000</v>
      </c>
      <c r="F2534" s="43"/>
      <c r="G2534" s="364">
        <f t="shared" si="29"/>
        <v>93586</v>
      </c>
      <c r="H2534" s="391" t="s">
        <v>9568</v>
      </c>
    </row>
    <row r="2535" spans="1:13" x14ac:dyDescent="0.3">
      <c r="A2535" s="45">
        <v>44411</v>
      </c>
      <c r="B2535" s="399"/>
      <c r="C2535" s="5" t="s">
        <v>14</v>
      </c>
      <c r="D2535" s="5" t="s">
        <v>294</v>
      </c>
      <c r="E2535" s="43">
        <v>5000</v>
      </c>
      <c r="F2535" s="43"/>
      <c r="G2535" s="364">
        <f t="shared" si="29"/>
        <v>88586</v>
      </c>
      <c r="H2535" s="391" t="s">
        <v>9568</v>
      </c>
    </row>
    <row r="2536" spans="1:13" x14ac:dyDescent="0.3">
      <c r="A2536" s="45">
        <v>44411</v>
      </c>
      <c r="B2536" s="399"/>
      <c r="C2536" s="5" t="s">
        <v>5709</v>
      </c>
      <c r="D2536" s="5" t="s">
        <v>7861</v>
      </c>
      <c r="E2536" s="43">
        <v>10000</v>
      </c>
      <c r="F2536" s="43"/>
      <c r="G2536" s="364">
        <f t="shared" si="29"/>
        <v>78586</v>
      </c>
      <c r="H2536" s="391" t="s">
        <v>9568</v>
      </c>
    </row>
    <row r="2537" spans="1:13" x14ac:dyDescent="0.3">
      <c r="A2537" s="45">
        <v>44411</v>
      </c>
      <c r="B2537" s="399"/>
      <c r="C2537" s="5" t="s">
        <v>7606</v>
      </c>
      <c r="D2537" s="5" t="s">
        <v>7864</v>
      </c>
      <c r="E2537" s="43">
        <v>1000</v>
      </c>
      <c r="F2537" s="43"/>
      <c r="G2537" s="364">
        <f t="shared" si="29"/>
        <v>77586</v>
      </c>
      <c r="H2537" s="391" t="s">
        <v>9568</v>
      </c>
    </row>
    <row r="2538" spans="1:13" x14ac:dyDescent="0.3">
      <c r="A2538" s="45">
        <v>44411</v>
      </c>
      <c r="B2538" s="399"/>
      <c r="C2538" s="5" t="s">
        <v>7865</v>
      </c>
      <c r="D2538" s="5" t="s">
        <v>7866</v>
      </c>
      <c r="E2538" s="43">
        <v>40000</v>
      </c>
      <c r="F2538" s="43"/>
      <c r="G2538" s="364">
        <f t="shared" si="29"/>
        <v>37586</v>
      </c>
      <c r="H2538" s="391" t="s">
        <v>9568</v>
      </c>
    </row>
    <row r="2539" spans="1:13" x14ac:dyDescent="0.3">
      <c r="A2539" s="45">
        <v>44411</v>
      </c>
      <c r="B2539" s="399"/>
      <c r="C2539" s="5" t="s">
        <v>7606</v>
      </c>
      <c r="D2539" s="5" t="s">
        <v>7867</v>
      </c>
      <c r="E2539" s="43">
        <v>2000</v>
      </c>
      <c r="F2539" s="43"/>
      <c r="G2539" s="364">
        <f t="shared" si="29"/>
        <v>35586</v>
      </c>
      <c r="H2539" s="391" t="s">
        <v>9568</v>
      </c>
    </row>
    <row r="2540" spans="1:13" x14ac:dyDescent="0.3">
      <c r="A2540" s="45">
        <v>44411</v>
      </c>
      <c r="B2540" s="399"/>
      <c r="C2540" s="5" t="s">
        <v>6221</v>
      </c>
      <c r="D2540" s="5" t="s">
        <v>7868</v>
      </c>
      <c r="E2540" s="43">
        <v>25800</v>
      </c>
      <c r="F2540" s="43"/>
      <c r="G2540" s="364">
        <f t="shared" si="29"/>
        <v>9786</v>
      </c>
      <c r="H2540" s="391" t="s">
        <v>9568</v>
      </c>
    </row>
    <row r="2541" spans="1:13" x14ac:dyDescent="0.3">
      <c r="A2541" s="45">
        <v>44412</v>
      </c>
      <c r="B2541" s="399"/>
      <c r="C2541" s="5" t="s">
        <v>25</v>
      </c>
      <c r="D2541" s="5" t="s">
        <v>4276</v>
      </c>
      <c r="E2541" s="43">
        <f>60+90+270+60+650+50+270+260+220+80+120+190+90+270+260+300</f>
        <v>3240</v>
      </c>
      <c r="F2541" s="43"/>
      <c r="G2541" s="364">
        <f t="shared" si="29"/>
        <v>6546</v>
      </c>
      <c r="H2541" s="391" t="s">
        <v>9568</v>
      </c>
    </row>
    <row r="2542" spans="1:13" x14ac:dyDescent="0.3">
      <c r="A2542" s="45">
        <v>44412</v>
      </c>
      <c r="B2542" s="399"/>
      <c r="C2542" s="5" t="s">
        <v>25</v>
      </c>
      <c r="D2542" s="5" t="s">
        <v>7815</v>
      </c>
      <c r="E2542" s="43">
        <v>1000</v>
      </c>
      <c r="F2542" s="43"/>
      <c r="G2542" s="364">
        <f t="shared" si="29"/>
        <v>5546</v>
      </c>
      <c r="H2542" s="391" t="s">
        <v>9568</v>
      </c>
    </row>
    <row r="2543" spans="1:13" x14ac:dyDescent="0.3">
      <c r="A2543" s="45">
        <v>44412</v>
      </c>
      <c r="B2543" s="399"/>
      <c r="C2543" s="5" t="s">
        <v>25</v>
      </c>
      <c r="D2543" s="5" t="s">
        <v>2231</v>
      </c>
      <c r="E2543" s="43">
        <v>450</v>
      </c>
      <c r="F2543" s="43"/>
      <c r="G2543" s="364">
        <f t="shared" si="29"/>
        <v>5096</v>
      </c>
      <c r="H2543" s="391" t="s">
        <v>9568</v>
      </c>
    </row>
    <row r="2544" spans="1:13" x14ac:dyDescent="0.3">
      <c r="A2544" s="45">
        <v>44412</v>
      </c>
      <c r="B2544" s="580"/>
      <c r="C2544" s="554" t="s">
        <v>7440</v>
      </c>
      <c r="D2544" s="554"/>
      <c r="E2544" s="554"/>
      <c r="F2544" s="43">
        <v>100000</v>
      </c>
      <c r="G2544" s="364">
        <f t="shared" si="29"/>
        <v>105096</v>
      </c>
      <c r="H2544" s="391" t="s">
        <v>9568</v>
      </c>
      <c r="M2544" s="93"/>
    </row>
    <row r="2545" spans="1:13" x14ac:dyDescent="0.3">
      <c r="A2545" s="45">
        <v>44412</v>
      </c>
      <c r="B2545" s="399"/>
      <c r="C2545" s="5" t="s">
        <v>14</v>
      </c>
      <c r="D2545" s="5" t="s">
        <v>7860</v>
      </c>
      <c r="E2545" s="43">
        <v>20000</v>
      </c>
      <c r="F2545" s="43"/>
      <c r="G2545" s="364">
        <f t="shared" si="29"/>
        <v>85096</v>
      </c>
      <c r="H2545" s="391" t="s">
        <v>9568</v>
      </c>
    </row>
    <row r="2546" spans="1:13" x14ac:dyDescent="0.3">
      <c r="A2546" s="45">
        <v>44413</v>
      </c>
      <c r="B2546" s="399"/>
      <c r="C2546" s="5" t="s">
        <v>25</v>
      </c>
      <c r="D2546" s="5" t="s">
        <v>5108</v>
      </c>
      <c r="E2546" s="43">
        <v>1000</v>
      </c>
      <c r="F2546" s="43"/>
      <c r="G2546" s="364">
        <f t="shared" si="29"/>
        <v>84096</v>
      </c>
      <c r="H2546" s="391" t="s">
        <v>9568</v>
      </c>
    </row>
    <row r="2547" spans="1:13" x14ac:dyDescent="0.3">
      <c r="A2547" s="45">
        <v>44413</v>
      </c>
      <c r="B2547" s="580"/>
      <c r="C2547" s="554" t="s">
        <v>7440</v>
      </c>
      <c r="D2547" s="554"/>
      <c r="E2547" s="554"/>
      <c r="F2547" s="43">
        <v>100000</v>
      </c>
      <c r="G2547" s="364">
        <f>G2546+F2547-E2547</f>
        <v>184096</v>
      </c>
      <c r="H2547" s="391" t="s">
        <v>9568</v>
      </c>
      <c r="M2547" s="93"/>
    </row>
    <row r="2548" spans="1:13" x14ac:dyDescent="0.3">
      <c r="A2548" s="45">
        <v>44413</v>
      </c>
      <c r="B2548" s="399"/>
      <c r="C2548" s="5" t="s">
        <v>5709</v>
      </c>
      <c r="D2548" s="5" t="s">
        <v>4479</v>
      </c>
      <c r="E2548" s="43">
        <v>20000</v>
      </c>
      <c r="F2548" s="43"/>
      <c r="G2548" s="364">
        <f t="shared" si="29"/>
        <v>164096</v>
      </c>
      <c r="H2548" s="391" t="s">
        <v>9568</v>
      </c>
    </row>
    <row r="2549" spans="1:13" x14ac:dyDescent="0.3">
      <c r="A2549" s="45">
        <v>44413</v>
      </c>
      <c r="B2549" s="399"/>
      <c r="C2549" s="5" t="s">
        <v>0</v>
      </c>
      <c r="D2549" s="5" t="s">
        <v>4479</v>
      </c>
      <c r="E2549" s="43">
        <v>20000</v>
      </c>
      <c r="F2549" s="43"/>
      <c r="G2549" s="364">
        <f t="shared" si="29"/>
        <v>144096</v>
      </c>
      <c r="H2549" s="391" t="s">
        <v>9568</v>
      </c>
    </row>
    <row r="2550" spans="1:13" x14ac:dyDescent="0.3">
      <c r="A2550" s="45">
        <v>44413</v>
      </c>
      <c r="B2550" s="399"/>
      <c r="C2550" s="5" t="s">
        <v>6341</v>
      </c>
      <c r="D2550" s="5" t="s">
        <v>7873</v>
      </c>
      <c r="E2550" s="43">
        <v>10000</v>
      </c>
      <c r="F2550" s="43"/>
      <c r="G2550" s="364">
        <f t="shared" si="29"/>
        <v>134096</v>
      </c>
      <c r="H2550" s="391" t="s">
        <v>9568</v>
      </c>
    </row>
    <row r="2551" spans="1:13" x14ac:dyDescent="0.3">
      <c r="A2551" s="45">
        <v>44413</v>
      </c>
      <c r="B2551" s="580"/>
      <c r="C2551" s="554" t="s">
        <v>4106</v>
      </c>
      <c r="D2551" s="554"/>
      <c r="E2551" s="554"/>
      <c r="F2551" s="43">
        <v>500000</v>
      </c>
      <c r="G2551" s="364">
        <f t="shared" si="29"/>
        <v>634096</v>
      </c>
      <c r="H2551" s="391" t="s">
        <v>9568</v>
      </c>
      <c r="M2551" s="93"/>
    </row>
    <row r="2552" spans="1:13" x14ac:dyDescent="0.3">
      <c r="A2552" s="45">
        <v>44413</v>
      </c>
      <c r="B2552" s="399"/>
      <c r="C2552" s="5" t="s">
        <v>0</v>
      </c>
      <c r="D2552" s="5" t="s">
        <v>294</v>
      </c>
      <c r="E2552" s="43">
        <v>55000</v>
      </c>
      <c r="F2552" s="43"/>
      <c r="G2552" s="364">
        <f t="shared" si="29"/>
        <v>579096</v>
      </c>
      <c r="H2552" s="391" t="s">
        <v>9568</v>
      </c>
    </row>
    <row r="2553" spans="1:13" x14ac:dyDescent="0.3">
      <c r="A2553" s="45">
        <v>44413</v>
      </c>
      <c r="B2553" s="399"/>
      <c r="C2553" s="5" t="s">
        <v>1616</v>
      </c>
      <c r="D2553" s="5" t="s">
        <v>5546</v>
      </c>
      <c r="E2553" s="43">
        <v>600</v>
      </c>
      <c r="F2553" s="43"/>
      <c r="G2553" s="364">
        <f t="shared" si="29"/>
        <v>578496</v>
      </c>
      <c r="H2553" s="391" t="s">
        <v>9568</v>
      </c>
    </row>
    <row r="2554" spans="1:13" x14ac:dyDescent="0.3">
      <c r="A2554" s="45">
        <v>44413</v>
      </c>
      <c r="B2554" s="426"/>
      <c r="C2554" s="250" t="s">
        <v>54</v>
      </c>
      <c r="D2554" s="250" t="s">
        <v>118</v>
      </c>
      <c r="E2554" s="256">
        <v>89000</v>
      </c>
      <c r="F2554" s="43"/>
      <c r="G2554" s="364">
        <f t="shared" si="29"/>
        <v>489496</v>
      </c>
      <c r="H2554" s="391" t="s">
        <v>9568</v>
      </c>
    </row>
    <row r="2555" spans="1:13" x14ac:dyDescent="0.3">
      <c r="A2555" s="45">
        <v>44413</v>
      </c>
      <c r="B2555" s="426"/>
      <c r="C2555" s="250" t="s">
        <v>54</v>
      </c>
      <c r="D2555" s="39" t="s">
        <v>5933</v>
      </c>
      <c r="E2555" s="40">
        <v>99318.548387096773</v>
      </c>
      <c r="F2555" s="43"/>
      <c r="G2555" s="364">
        <f t="shared" ref="G2555:G2569" si="30">G2554+F2555-E2555</f>
        <v>390177.45161290321</v>
      </c>
      <c r="H2555" s="391" t="s">
        <v>9568</v>
      </c>
    </row>
    <row r="2556" spans="1:13" x14ac:dyDescent="0.3">
      <c r="A2556" s="45">
        <v>44413</v>
      </c>
      <c r="B2556" s="426"/>
      <c r="C2556" s="250" t="s">
        <v>54</v>
      </c>
      <c r="D2556" s="39" t="s">
        <v>7882</v>
      </c>
      <c r="E2556" s="40">
        <v>94467.741935483878</v>
      </c>
      <c r="F2556" s="43"/>
      <c r="G2556" s="364">
        <f t="shared" si="30"/>
        <v>295709.70967741933</v>
      </c>
      <c r="H2556" s="391" t="s">
        <v>9568</v>
      </c>
    </row>
    <row r="2557" spans="1:13" x14ac:dyDescent="0.3">
      <c r="A2557" s="45">
        <v>44413</v>
      </c>
      <c r="B2557" s="426"/>
      <c r="C2557" s="250" t="s">
        <v>54</v>
      </c>
      <c r="D2557" s="39" t="s">
        <v>7884</v>
      </c>
      <c r="E2557" s="40">
        <v>242154.83870967739</v>
      </c>
      <c r="F2557" s="43"/>
      <c r="G2557" s="364">
        <f t="shared" si="30"/>
        <v>53554.870967741939</v>
      </c>
      <c r="H2557" s="391" t="s">
        <v>9568</v>
      </c>
    </row>
    <row r="2558" spans="1:13" x14ac:dyDescent="0.3">
      <c r="A2558" s="45">
        <v>44413</v>
      </c>
      <c r="B2558" s="399"/>
      <c r="C2558" s="5" t="s">
        <v>7606</v>
      </c>
      <c r="D2558" s="5" t="s">
        <v>7874</v>
      </c>
      <c r="E2558" s="43">
        <v>8000</v>
      </c>
      <c r="F2558" s="43"/>
      <c r="G2558" s="364">
        <f t="shared" si="30"/>
        <v>45554.870967741939</v>
      </c>
      <c r="H2558" s="391" t="s">
        <v>9568</v>
      </c>
    </row>
    <row r="2559" spans="1:13" x14ac:dyDescent="0.3">
      <c r="A2559" s="45">
        <v>44413</v>
      </c>
      <c r="B2559" s="399"/>
      <c r="C2559" s="5" t="s">
        <v>7128</v>
      </c>
      <c r="D2559" s="5" t="s">
        <v>7875</v>
      </c>
      <c r="E2559" s="43">
        <v>2000</v>
      </c>
      <c r="F2559" s="43"/>
      <c r="G2559" s="364">
        <f t="shared" si="30"/>
        <v>43554.870967741939</v>
      </c>
      <c r="H2559" s="391" t="s">
        <v>9568</v>
      </c>
    </row>
    <row r="2560" spans="1:13" x14ac:dyDescent="0.3">
      <c r="A2560" s="45">
        <v>44413</v>
      </c>
      <c r="B2560" s="580"/>
      <c r="C2560" s="554" t="s">
        <v>7877</v>
      </c>
      <c r="D2560" s="554"/>
      <c r="E2560" s="554"/>
      <c r="F2560" s="43">
        <v>20000</v>
      </c>
      <c r="G2560" s="364">
        <f t="shared" si="30"/>
        <v>63554.870967741939</v>
      </c>
      <c r="H2560" s="391" t="s">
        <v>9568</v>
      </c>
      <c r="M2560" s="93"/>
    </row>
    <row r="2561" spans="1:13" x14ac:dyDescent="0.3">
      <c r="A2561" s="45">
        <v>44413</v>
      </c>
      <c r="B2561" s="399"/>
      <c r="C2561" s="5" t="s">
        <v>7546</v>
      </c>
      <c r="D2561" s="5" t="s">
        <v>7876</v>
      </c>
      <c r="E2561" s="43">
        <v>30000</v>
      </c>
      <c r="F2561" s="43"/>
      <c r="G2561" s="364">
        <f t="shared" si="30"/>
        <v>33554.870967741939</v>
      </c>
      <c r="H2561" s="391" t="s">
        <v>9568</v>
      </c>
    </row>
    <row r="2562" spans="1:13" x14ac:dyDescent="0.3">
      <c r="A2562" s="45">
        <v>44414</v>
      </c>
      <c r="B2562" s="399"/>
      <c r="C2562" s="5" t="s">
        <v>25</v>
      </c>
      <c r="D2562" s="5" t="s">
        <v>7878</v>
      </c>
      <c r="E2562" s="43">
        <v>15000</v>
      </c>
      <c r="F2562" s="43"/>
      <c r="G2562" s="364">
        <f t="shared" si="30"/>
        <v>18554.870967741939</v>
      </c>
      <c r="H2562" s="391" t="s">
        <v>9568</v>
      </c>
    </row>
    <row r="2563" spans="1:13" x14ac:dyDescent="0.3">
      <c r="A2563" s="45">
        <v>44414</v>
      </c>
      <c r="B2563" s="399"/>
      <c r="C2563" s="5" t="s">
        <v>14</v>
      </c>
      <c r="D2563" s="5" t="s">
        <v>294</v>
      </c>
      <c r="E2563" s="43">
        <v>3000</v>
      </c>
      <c r="F2563" s="43"/>
      <c r="G2563" s="364">
        <f t="shared" si="30"/>
        <v>15554.870967741939</v>
      </c>
      <c r="H2563" s="391" t="s">
        <v>9568</v>
      </c>
    </row>
    <row r="2564" spans="1:13" x14ac:dyDescent="0.3">
      <c r="A2564" s="45">
        <v>44417</v>
      </c>
      <c r="B2564" s="399"/>
      <c r="C2564" s="5" t="s">
        <v>25</v>
      </c>
      <c r="D2564" s="5" t="s">
        <v>7881</v>
      </c>
      <c r="E2564" s="43">
        <v>240</v>
      </c>
      <c r="F2564" s="43"/>
      <c r="G2564" s="364">
        <f t="shared" si="30"/>
        <v>15314.870967741939</v>
      </c>
      <c r="H2564" s="391" t="s">
        <v>9568</v>
      </c>
    </row>
    <row r="2565" spans="1:13" x14ac:dyDescent="0.3">
      <c r="A2565" s="45">
        <v>44417</v>
      </c>
      <c r="B2565" s="580"/>
      <c r="C2565" s="554" t="s">
        <v>4406</v>
      </c>
      <c r="D2565" s="554"/>
      <c r="E2565" s="554"/>
      <c r="F2565" s="43">
        <v>500000</v>
      </c>
      <c r="G2565" s="364">
        <f t="shared" si="30"/>
        <v>515314.87096774194</v>
      </c>
      <c r="H2565" s="391" t="s">
        <v>9568</v>
      </c>
      <c r="M2565" s="93"/>
    </row>
    <row r="2566" spans="1:13" x14ac:dyDescent="0.3">
      <c r="A2566" s="45">
        <v>44417</v>
      </c>
      <c r="B2566" s="426"/>
      <c r="C2566" s="250" t="s">
        <v>54</v>
      </c>
      <c r="D2566" s="39" t="s">
        <v>4935</v>
      </c>
      <c r="E2566" s="40">
        <v>210012</v>
      </c>
      <c r="F2566" s="43"/>
      <c r="G2566" s="364">
        <f t="shared" si="30"/>
        <v>305302.87096774194</v>
      </c>
      <c r="H2566" s="391" t="s">
        <v>9568</v>
      </c>
    </row>
    <row r="2567" spans="1:13" x14ac:dyDescent="0.3">
      <c r="A2567" s="45">
        <v>44417</v>
      </c>
      <c r="B2567" s="426"/>
      <c r="C2567" s="250" t="s">
        <v>54</v>
      </c>
      <c r="D2567" s="39" t="s">
        <v>7883</v>
      </c>
      <c r="E2567" s="40">
        <v>44814.516129032258</v>
      </c>
      <c r="F2567" s="43"/>
      <c r="G2567" s="364">
        <f t="shared" si="30"/>
        <v>260488.3548387097</v>
      </c>
      <c r="H2567" s="391" t="s">
        <v>9568</v>
      </c>
    </row>
    <row r="2568" spans="1:13" x14ac:dyDescent="0.3">
      <c r="A2568" s="45">
        <v>44417</v>
      </c>
      <c r="B2568" s="426"/>
      <c r="C2568" s="250" t="s">
        <v>54</v>
      </c>
      <c r="D2568" s="39" t="s">
        <v>7885</v>
      </c>
      <c r="E2568" s="40">
        <v>68336.693548387091</v>
      </c>
      <c r="F2568" s="43"/>
      <c r="G2568" s="364">
        <f t="shared" si="30"/>
        <v>192151.66129032261</v>
      </c>
      <c r="H2568" s="391" t="s">
        <v>9568</v>
      </c>
    </row>
    <row r="2569" spans="1:13" x14ac:dyDescent="0.3">
      <c r="A2569" s="45">
        <v>44417</v>
      </c>
      <c r="B2569" s="399"/>
      <c r="C2569" s="5" t="s">
        <v>7886</v>
      </c>
      <c r="D2569" s="5" t="s">
        <v>7721</v>
      </c>
      <c r="E2569" s="43">
        <v>7000</v>
      </c>
      <c r="F2569" s="43"/>
      <c r="G2569" s="364">
        <f t="shared" si="30"/>
        <v>185151.66129032261</v>
      </c>
      <c r="H2569" s="391" t="s">
        <v>9568</v>
      </c>
    </row>
    <row r="2570" spans="1:13" x14ac:dyDescent="0.3">
      <c r="A2570" s="45">
        <v>44417</v>
      </c>
      <c r="B2570" s="399"/>
      <c r="C2570" s="5" t="s">
        <v>7713</v>
      </c>
      <c r="D2570" s="5" t="s">
        <v>6219</v>
      </c>
      <c r="E2570" s="43">
        <v>1300</v>
      </c>
      <c r="F2570" s="43"/>
      <c r="G2570" s="364">
        <f t="shared" ref="G2570:G2633" si="31">G2569+F2570-E2570</f>
        <v>183851.66129032261</v>
      </c>
      <c r="H2570" s="391" t="s">
        <v>9568</v>
      </c>
    </row>
    <row r="2571" spans="1:13" x14ac:dyDescent="0.3">
      <c r="A2571" s="45">
        <v>44417</v>
      </c>
      <c r="B2571" s="399"/>
      <c r="C2571" s="5" t="s">
        <v>7606</v>
      </c>
      <c r="D2571" s="5" t="s">
        <v>7887</v>
      </c>
      <c r="E2571" s="43">
        <v>20000</v>
      </c>
      <c r="F2571" s="43"/>
      <c r="G2571" s="364">
        <f t="shared" si="31"/>
        <v>163851.66129032261</v>
      </c>
      <c r="H2571" s="391" t="s">
        <v>9568</v>
      </c>
    </row>
    <row r="2572" spans="1:13" x14ac:dyDescent="0.3">
      <c r="A2572" s="45">
        <v>44417</v>
      </c>
      <c r="B2572" s="399"/>
      <c r="C2572" s="5" t="s">
        <v>7888</v>
      </c>
      <c r="D2572" s="61" t="s">
        <v>7889</v>
      </c>
      <c r="E2572" s="43">
        <v>2880</v>
      </c>
      <c r="F2572" s="43"/>
      <c r="G2572" s="364">
        <f t="shared" si="31"/>
        <v>160971.66129032261</v>
      </c>
      <c r="H2572" s="391" t="s">
        <v>9568</v>
      </c>
    </row>
    <row r="2573" spans="1:13" x14ac:dyDescent="0.3">
      <c r="A2573" s="45">
        <v>44418</v>
      </c>
      <c r="B2573" s="399"/>
      <c r="C2573" s="5" t="s">
        <v>57</v>
      </c>
      <c r="D2573" s="5" t="s">
        <v>294</v>
      </c>
      <c r="E2573" s="43">
        <v>10000</v>
      </c>
      <c r="F2573" s="43"/>
      <c r="G2573" s="364">
        <f t="shared" si="31"/>
        <v>150971.66129032261</v>
      </c>
      <c r="H2573" s="391" t="s">
        <v>9568</v>
      </c>
    </row>
    <row r="2574" spans="1:13" x14ac:dyDescent="0.3">
      <c r="A2574" s="45">
        <v>44418</v>
      </c>
      <c r="B2574" s="399"/>
      <c r="C2574" s="5" t="s">
        <v>14</v>
      </c>
      <c r="D2574" s="5" t="s">
        <v>294</v>
      </c>
      <c r="E2574" s="43">
        <v>20000</v>
      </c>
      <c r="F2574" s="43"/>
      <c r="G2574" s="364">
        <f t="shared" si="31"/>
        <v>130971.66129032261</v>
      </c>
      <c r="H2574" s="391" t="s">
        <v>9568</v>
      </c>
    </row>
    <row r="2575" spans="1:13" x14ac:dyDescent="0.3">
      <c r="A2575" s="45">
        <v>44418</v>
      </c>
      <c r="B2575" s="399"/>
      <c r="C2575" s="5" t="s">
        <v>84</v>
      </c>
      <c r="D2575" s="5" t="s">
        <v>7890</v>
      </c>
      <c r="E2575" s="43">
        <v>20000</v>
      </c>
      <c r="F2575" s="43"/>
      <c r="G2575" s="364">
        <f t="shared" si="31"/>
        <v>110971.66129032261</v>
      </c>
      <c r="H2575" s="391" t="s">
        <v>9568</v>
      </c>
    </row>
    <row r="2576" spans="1:13" x14ac:dyDescent="0.3">
      <c r="A2576" s="45">
        <v>44418</v>
      </c>
      <c r="B2576" s="580"/>
      <c r="C2576" s="554" t="s">
        <v>7734</v>
      </c>
      <c r="D2576" s="554"/>
      <c r="E2576" s="554"/>
      <c r="F2576" s="43">
        <v>46210</v>
      </c>
      <c r="G2576" s="364">
        <f t="shared" si="31"/>
        <v>157181.66129032261</v>
      </c>
      <c r="H2576" s="391" t="s">
        <v>9568</v>
      </c>
      <c r="M2576" s="93"/>
    </row>
    <row r="2577" spans="1:13" x14ac:dyDescent="0.3">
      <c r="A2577" s="45">
        <v>44418</v>
      </c>
      <c r="B2577" s="580"/>
      <c r="C2577" s="554" t="s">
        <v>7891</v>
      </c>
      <c r="D2577" s="554"/>
      <c r="E2577" s="554"/>
      <c r="F2577" s="43">
        <v>200000</v>
      </c>
      <c r="G2577" s="364">
        <f t="shared" si="31"/>
        <v>357181.66129032261</v>
      </c>
      <c r="H2577" s="391" t="s">
        <v>9568</v>
      </c>
      <c r="M2577" s="93"/>
    </row>
    <row r="2578" spans="1:13" x14ac:dyDescent="0.3">
      <c r="A2578" s="45">
        <v>44418</v>
      </c>
      <c r="B2578" s="399"/>
      <c r="C2578" s="5" t="s">
        <v>5930</v>
      </c>
      <c r="D2578" s="5" t="s">
        <v>40</v>
      </c>
      <c r="E2578" s="43">
        <v>164501</v>
      </c>
      <c r="F2578" s="43"/>
      <c r="G2578" s="364">
        <f t="shared" si="31"/>
        <v>192680.66129032261</v>
      </c>
      <c r="H2578" s="391" t="s">
        <v>9568</v>
      </c>
    </row>
    <row r="2579" spans="1:13" x14ac:dyDescent="0.3">
      <c r="A2579" s="45">
        <v>44418</v>
      </c>
      <c r="B2579" s="399"/>
      <c r="C2579" s="5" t="s">
        <v>6341</v>
      </c>
      <c r="D2579" s="92" t="s">
        <v>7900</v>
      </c>
      <c r="E2579" s="43">
        <v>19800</v>
      </c>
      <c r="F2579" s="43"/>
      <c r="G2579" s="364">
        <f t="shared" si="31"/>
        <v>172880.66129032261</v>
      </c>
      <c r="H2579" s="391" t="s">
        <v>9568</v>
      </c>
    </row>
    <row r="2580" spans="1:13" x14ac:dyDescent="0.3">
      <c r="A2580" s="45">
        <v>44418</v>
      </c>
      <c r="B2580" s="426"/>
      <c r="C2580" s="250" t="s">
        <v>54</v>
      </c>
      <c r="D2580" s="39" t="s">
        <v>7727</v>
      </c>
      <c r="E2580" s="40">
        <v>108758</v>
      </c>
      <c r="F2580" s="43"/>
      <c r="G2580" s="364">
        <f t="shared" si="31"/>
        <v>64122.661290322605</v>
      </c>
      <c r="H2580" s="391" t="s">
        <v>9568</v>
      </c>
    </row>
    <row r="2581" spans="1:13" x14ac:dyDescent="0.3">
      <c r="A2581" s="45">
        <v>44418</v>
      </c>
      <c r="B2581" s="426"/>
      <c r="C2581" s="250" t="s">
        <v>54</v>
      </c>
      <c r="D2581" s="39" t="s">
        <v>7892</v>
      </c>
      <c r="E2581" s="40">
        <v>51129</v>
      </c>
      <c r="F2581" s="43"/>
      <c r="G2581" s="364">
        <f t="shared" si="31"/>
        <v>12993.661290322605</v>
      </c>
      <c r="H2581" s="391" t="s">
        <v>9568</v>
      </c>
    </row>
    <row r="2582" spans="1:13" x14ac:dyDescent="0.3">
      <c r="A2582" s="45">
        <v>44418</v>
      </c>
      <c r="B2582" s="426"/>
      <c r="C2582" s="250" t="s">
        <v>54</v>
      </c>
      <c r="D2582" s="39" t="s">
        <v>7893</v>
      </c>
      <c r="E2582" s="40">
        <v>10100</v>
      </c>
      <c r="F2582" s="43"/>
      <c r="G2582" s="364">
        <f t="shared" si="31"/>
        <v>2893.6612903226051</v>
      </c>
      <c r="H2582" s="391" t="s">
        <v>9568</v>
      </c>
    </row>
    <row r="2583" spans="1:13" x14ac:dyDescent="0.3">
      <c r="A2583" s="45">
        <v>44418</v>
      </c>
      <c r="B2583" s="399"/>
      <c r="C2583" s="5" t="s">
        <v>0</v>
      </c>
      <c r="D2583" s="5" t="s">
        <v>7899</v>
      </c>
      <c r="E2583" s="43">
        <v>1300</v>
      </c>
      <c r="F2583" s="43"/>
      <c r="G2583" s="364">
        <f t="shared" si="31"/>
        <v>1593.6612903226051</v>
      </c>
      <c r="H2583" s="391" t="s">
        <v>9568</v>
      </c>
    </row>
    <row r="2584" spans="1:13" x14ac:dyDescent="0.3">
      <c r="A2584" s="45">
        <v>44419</v>
      </c>
      <c r="B2584" s="580"/>
      <c r="C2584" s="554" t="s">
        <v>7734</v>
      </c>
      <c r="D2584" s="554"/>
      <c r="E2584" s="554"/>
      <c r="F2584" s="43">
        <v>54271</v>
      </c>
      <c r="G2584" s="364">
        <f t="shared" si="31"/>
        <v>55864.661290322605</v>
      </c>
      <c r="H2584" s="391" t="s">
        <v>9568</v>
      </c>
      <c r="M2584" s="93"/>
    </row>
    <row r="2585" spans="1:13" x14ac:dyDescent="0.3">
      <c r="A2585" s="45">
        <v>44418</v>
      </c>
      <c r="B2585" s="399"/>
      <c r="C2585" s="5" t="s">
        <v>25</v>
      </c>
      <c r="D2585" s="5" t="s">
        <v>4276</v>
      </c>
      <c r="E2585" s="43">
        <f>110+440+130+560+150+290+130+100+50+290+220+100+260+30+80</f>
        <v>2940</v>
      </c>
      <c r="F2585" s="43"/>
      <c r="G2585" s="364">
        <f t="shared" si="31"/>
        <v>52924.661290322605</v>
      </c>
      <c r="H2585" s="391" t="s">
        <v>9568</v>
      </c>
    </row>
    <row r="2586" spans="1:13" x14ac:dyDescent="0.3">
      <c r="A2586" s="45">
        <v>44418</v>
      </c>
      <c r="B2586" s="399"/>
      <c r="C2586" s="5" t="s">
        <v>25</v>
      </c>
      <c r="D2586" s="5" t="s">
        <v>2231</v>
      </c>
      <c r="E2586" s="43">
        <v>192</v>
      </c>
      <c r="F2586" s="43"/>
      <c r="G2586" s="364">
        <f t="shared" si="31"/>
        <v>52732.661290322605</v>
      </c>
      <c r="H2586" s="391" t="s">
        <v>9568</v>
      </c>
    </row>
    <row r="2587" spans="1:13" x14ac:dyDescent="0.3">
      <c r="A2587" s="45">
        <v>44418</v>
      </c>
      <c r="B2587" s="399"/>
      <c r="C2587" s="5" t="s">
        <v>25</v>
      </c>
      <c r="D2587" s="5" t="s">
        <v>7898</v>
      </c>
      <c r="E2587" s="43">
        <f>1200</f>
        <v>1200</v>
      </c>
      <c r="F2587" s="43"/>
      <c r="G2587" s="364">
        <f t="shared" si="31"/>
        <v>51532.661290322605</v>
      </c>
      <c r="H2587" s="391" t="s">
        <v>9568</v>
      </c>
    </row>
    <row r="2588" spans="1:13" x14ac:dyDescent="0.3">
      <c r="A2588" s="45">
        <v>44419</v>
      </c>
      <c r="B2588" s="399"/>
      <c r="C2588" s="5" t="s">
        <v>7158</v>
      </c>
      <c r="D2588" s="5" t="s">
        <v>7901</v>
      </c>
      <c r="E2588" s="43">
        <v>5000</v>
      </c>
      <c r="F2588" s="43"/>
      <c r="G2588" s="364">
        <f t="shared" si="31"/>
        <v>46532.661290322605</v>
      </c>
      <c r="H2588" s="391" t="s">
        <v>9568</v>
      </c>
    </row>
    <row r="2589" spans="1:13" x14ac:dyDescent="0.3">
      <c r="A2589" s="45">
        <v>44419</v>
      </c>
      <c r="B2589" s="399"/>
      <c r="C2589" s="5" t="s">
        <v>14</v>
      </c>
      <c r="D2589" s="5" t="s">
        <v>294</v>
      </c>
      <c r="E2589" s="43">
        <v>20000</v>
      </c>
      <c r="F2589" s="43"/>
      <c r="G2589" s="364">
        <f t="shared" si="31"/>
        <v>26532.661290322605</v>
      </c>
      <c r="H2589" s="391" t="s">
        <v>9568</v>
      </c>
    </row>
    <row r="2590" spans="1:13" x14ac:dyDescent="0.3">
      <c r="A2590" s="45">
        <v>44419</v>
      </c>
      <c r="B2590" s="399"/>
      <c r="C2590" s="5" t="s">
        <v>4550</v>
      </c>
      <c r="D2590" s="5" t="s">
        <v>7905</v>
      </c>
      <c r="E2590" s="43">
        <v>10000</v>
      </c>
      <c r="F2590" s="43"/>
      <c r="G2590" s="364">
        <f t="shared" si="31"/>
        <v>16532.661290322605</v>
      </c>
      <c r="H2590" s="391" t="s">
        <v>9568</v>
      </c>
    </row>
    <row r="2591" spans="1:13" x14ac:dyDescent="0.3">
      <c r="A2591" s="45">
        <v>44420</v>
      </c>
      <c r="B2591" s="580"/>
      <c r="C2591" s="554" t="s">
        <v>7891</v>
      </c>
      <c r="D2591" s="554"/>
      <c r="E2591" s="554"/>
      <c r="F2591" s="43">
        <v>200000</v>
      </c>
      <c r="G2591" s="364">
        <f t="shared" si="31"/>
        <v>216532.66129032261</v>
      </c>
      <c r="H2591" s="391" t="s">
        <v>9568</v>
      </c>
      <c r="M2591" s="93"/>
    </row>
    <row r="2592" spans="1:13" x14ac:dyDescent="0.3">
      <c r="A2592" s="45">
        <v>44420</v>
      </c>
      <c r="B2592" s="399"/>
      <c r="C2592" s="5" t="s">
        <v>0</v>
      </c>
      <c r="D2592" s="5" t="s">
        <v>294</v>
      </c>
      <c r="E2592" s="43">
        <f>100000-25500</f>
        <v>74500</v>
      </c>
      <c r="F2592" s="43"/>
      <c r="G2592" s="364">
        <f t="shared" si="31"/>
        <v>142032.66129032261</v>
      </c>
      <c r="H2592" s="391" t="s">
        <v>9568</v>
      </c>
    </row>
    <row r="2593" spans="1:13" x14ac:dyDescent="0.3">
      <c r="A2593" s="45">
        <v>44420</v>
      </c>
      <c r="B2593" s="399"/>
      <c r="C2593" s="5" t="s">
        <v>6600</v>
      </c>
      <c r="D2593" s="5" t="s">
        <v>7911</v>
      </c>
      <c r="E2593" s="43">
        <v>27000</v>
      </c>
      <c r="F2593" s="43"/>
      <c r="G2593" s="364">
        <f t="shared" si="31"/>
        <v>115032.66129032261</v>
      </c>
      <c r="H2593" s="391" t="s">
        <v>9568</v>
      </c>
    </row>
    <row r="2594" spans="1:13" x14ac:dyDescent="0.3">
      <c r="A2594" s="45">
        <v>44420</v>
      </c>
      <c r="B2594" s="399"/>
      <c r="C2594" s="5" t="s">
        <v>4156</v>
      </c>
      <c r="D2594" s="5" t="s">
        <v>7912</v>
      </c>
      <c r="E2594" s="43">
        <v>50000</v>
      </c>
      <c r="F2594" s="43"/>
      <c r="G2594" s="364">
        <f t="shared" si="31"/>
        <v>65032.661290322605</v>
      </c>
      <c r="H2594" s="391" t="s">
        <v>9568</v>
      </c>
    </row>
    <row r="2595" spans="1:13" x14ac:dyDescent="0.3">
      <c r="A2595" s="45">
        <v>44421</v>
      </c>
      <c r="B2595" s="399"/>
      <c r="C2595" s="5" t="s">
        <v>68</v>
      </c>
      <c r="D2595" s="5" t="s">
        <v>7913</v>
      </c>
      <c r="E2595" s="43">
        <v>8000</v>
      </c>
      <c r="F2595" s="43"/>
      <c r="G2595" s="364">
        <f t="shared" si="31"/>
        <v>57032.661290322605</v>
      </c>
      <c r="H2595" s="391" t="s">
        <v>9568</v>
      </c>
      <c r="I2595" s="258"/>
    </row>
    <row r="2596" spans="1:13" x14ac:dyDescent="0.3">
      <c r="A2596" s="45">
        <v>44421</v>
      </c>
      <c r="B2596" s="399"/>
      <c r="C2596" s="5" t="s">
        <v>7692</v>
      </c>
      <c r="D2596" s="5" t="s">
        <v>7914</v>
      </c>
      <c r="E2596" s="43">
        <v>15000</v>
      </c>
      <c r="F2596" s="43"/>
      <c r="G2596" s="364">
        <f t="shared" si="31"/>
        <v>42032.661290322605</v>
      </c>
      <c r="H2596" s="391" t="s">
        <v>9568</v>
      </c>
      <c r="I2596" s="257"/>
    </row>
    <row r="2597" spans="1:13" x14ac:dyDescent="0.3">
      <c r="A2597" s="45">
        <v>44424</v>
      </c>
      <c r="B2597" s="399"/>
      <c r="C2597" s="5" t="s">
        <v>25</v>
      </c>
      <c r="D2597" s="5" t="s">
        <v>2637</v>
      </c>
      <c r="E2597" s="43">
        <v>1000</v>
      </c>
      <c r="F2597" s="43"/>
      <c r="G2597" s="364">
        <f t="shared" si="31"/>
        <v>41032.661290322605</v>
      </c>
      <c r="H2597" s="391" t="s">
        <v>9568</v>
      </c>
    </row>
    <row r="2598" spans="1:13" x14ac:dyDescent="0.3">
      <c r="A2598" s="45">
        <v>44424</v>
      </c>
      <c r="B2598" s="399"/>
      <c r="C2598" s="5" t="s">
        <v>0</v>
      </c>
      <c r="D2598" s="5" t="s">
        <v>3183</v>
      </c>
      <c r="E2598" s="43">
        <v>8000</v>
      </c>
      <c r="F2598" s="43"/>
      <c r="G2598" s="364">
        <f t="shared" si="31"/>
        <v>33032.661290322605</v>
      </c>
      <c r="H2598" s="391" t="s">
        <v>9568</v>
      </c>
    </row>
    <row r="2599" spans="1:13" x14ac:dyDescent="0.3">
      <c r="A2599" s="45">
        <v>44425</v>
      </c>
      <c r="B2599" s="399"/>
      <c r="C2599" s="5" t="s">
        <v>14</v>
      </c>
      <c r="D2599" s="5" t="s">
        <v>294</v>
      </c>
      <c r="E2599" s="43">
        <v>15000</v>
      </c>
      <c r="F2599" s="43"/>
      <c r="G2599" s="364">
        <f t="shared" si="31"/>
        <v>18032.661290322605</v>
      </c>
      <c r="H2599" s="391" t="s">
        <v>9568</v>
      </c>
    </row>
    <row r="2600" spans="1:13" x14ac:dyDescent="0.3">
      <c r="A2600" s="45">
        <v>44425</v>
      </c>
      <c r="B2600" s="399"/>
      <c r="C2600" s="5" t="s">
        <v>25</v>
      </c>
      <c r="D2600" s="5" t="s">
        <v>4276</v>
      </c>
      <c r="E2600" s="43">
        <f>600+105+200+150+100+300+100+120+450+50+100+360+75+290+80+360+80+80+140+290+280</f>
        <v>4310</v>
      </c>
      <c r="F2600" s="43"/>
      <c r="G2600" s="364">
        <f t="shared" si="31"/>
        <v>13722.661290322605</v>
      </c>
      <c r="H2600" s="391" t="s">
        <v>9568</v>
      </c>
    </row>
    <row r="2601" spans="1:13" x14ac:dyDescent="0.3">
      <c r="A2601" s="45">
        <v>44425</v>
      </c>
      <c r="B2601" s="399"/>
      <c r="C2601" s="5" t="s">
        <v>25</v>
      </c>
      <c r="D2601" s="5" t="s">
        <v>7915</v>
      </c>
      <c r="E2601" s="43">
        <v>1400</v>
      </c>
      <c r="F2601" s="43"/>
      <c r="G2601" s="364">
        <f t="shared" si="31"/>
        <v>12322.661290322605</v>
      </c>
      <c r="H2601" s="391" t="s">
        <v>9568</v>
      </c>
    </row>
    <row r="2602" spans="1:13" x14ac:dyDescent="0.3">
      <c r="A2602" s="45">
        <v>44425</v>
      </c>
      <c r="B2602" s="399"/>
      <c r="C2602" s="5" t="s">
        <v>84</v>
      </c>
      <c r="D2602" s="5" t="s">
        <v>7916</v>
      </c>
      <c r="E2602" s="43">
        <v>3000</v>
      </c>
      <c r="F2602" s="43"/>
      <c r="G2602" s="364">
        <f t="shared" si="31"/>
        <v>9322.6612903226051</v>
      </c>
      <c r="H2602" s="391" t="s">
        <v>9568</v>
      </c>
    </row>
    <row r="2603" spans="1:13" x14ac:dyDescent="0.3">
      <c r="A2603" s="45">
        <v>44425</v>
      </c>
      <c r="B2603" s="399"/>
      <c r="C2603" s="5" t="s">
        <v>84</v>
      </c>
      <c r="D2603" s="5" t="s">
        <v>7917</v>
      </c>
      <c r="E2603" s="43">
        <v>1000</v>
      </c>
      <c r="F2603" s="43"/>
      <c r="G2603" s="364">
        <f t="shared" si="31"/>
        <v>8322.6612903226051</v>
      </c>
      <c r="H2603" s="391" t="s">
        <v>9568</v>
      </c>
    </row>
    <row r="2604" spans="1:13" x14ac:dyDescent="0.3">
      <c r="A2604" s="45">
        <v>44425</v>
      </c>
      <c r="B2604" s="399"/>
      <c r="C2604" s="5" t="s">
        <v>7158</v>
      </c>
      <c r="D2604" s="5" t="s">
        <v>5508</v>
      </c>
      <c r="E2604" s="43">
        <v>360</v>
      </c>
      <c r="F2604" s="43"/>
      <c r="G2604" s="364">
        <f t="shared" si="31"/>
        <v>7962.6612903226051</v>
      </c>
      <c r="H2604" s="391" t="s">
        <v>9568</v>
      </c>
    </row>
    <row r="2605" spans="1:13" x14ac:dyDescent="0.3">
      <c r="A2605" s="45">
        <v>44425</v>
      </c>
      <c r="B2605" s="399"/>
      <c r="C2605" s="5" t="s">
        <v>7158</v>
      </c>
      <c r="D2605" s="5" t="s">
        <v>4437</v>
      </c>
      <c r="E2605" s="43">
        <v>700</v>
      </c>
      <c r="F2605" s="43"/>
      <c r="G2605" s="364">
        <f t="shared" si="31"/>
        <v>7262.6612903226051</v>
      </c>
      <c r="H2605" s="391" t="s">
        <v>9568</v>
      </c>
    </row>
    <row r="2606" spans="1:13" x14ac:dyDescent="0.3">
      <c r="A2606" s="45">
        <v>44425</v>
      </c>
      <c r="B2606" s="580"/>
      <c r="C2606" s="554" t="s">
        <v>7891</v>
      </c>
      <c r="D2606" s="554"/>
      <c r="E2606" s="554"/>
      <c r="F2606" s="43">
        <v>100000</v>
      </c>
      <c r="G2606" s="364">
        <f>G2605+F2606-E2606</f>
        <v>107262.66129032261</v>
      </c>
      <c r="H2606" s="391" t="s">
        <v>9568</v>
      </c>
      <c r="M2606" s="93"/>
    </row>
    <row r="2607" spans="1:13" x14ac:dyDescent="0.3">
      <c r="A2607" s="45">
        <v>44425</v>
      </c>
      <c r="B2607" s="580"/>
      <c r="C2607" s="554" t="s">
        <v>7891</v>
      </c>
      <c r="D2607" s="554"/>
      <c r="E2607" s="554"/>
      <c r="F2607" s="43">
        <v>100000</v>
      </c>
      <c r="G2607" s="364">
        <f>G2606+F2607-E2607</f>
        <v>207262.66129032261</v>
      </c>
      <c r="H2607" s="391" t="s">
        <v>9568</v>
      </c>
      <c r="M2607" s="93"/>
    </row>
    <row r="2608" spans="1:13" x14ac:dyDescent="0.3">
      <c r="A2608" s="45">
        <v>44425</v>
      </c>
      <c r="B2608" s="399"/>
      <c r="C2608" s="5" t="s">
        <v>5938</v>
      </c>
      <c r="D2608" s="5" t="s">
        <v>294</v>
      </c>
      <c r="E2608" s="43">
        <v>20000</v>
      </c>
      <c r="F2608" s="43"/>
      <c r="G2608" s="364">
        <f>G2607+F2608-E2608</f>
        <v>187262.66129032261</v>
      </c>
      <c r="H2608" s="391" t="s">
        <v>9568</v>
      </c>
    </row>
    <row r="2609" spans="1:13" x14ac:dyDescent="0.3">
      <c r="A2609" s="45">
        <v>44425</v>
      </c>
      <c r="B2609" s="399"/>
      <c r="C2609" s="5" t="s">
        <v>3724</v>
      </c>
      <c r="D2609" s="5" t="s">
        <v>40</v>
      </c>
      <c r="E2609" s="43">
        <v>4508</v>
      </c>
      <c r="F2609" s="43"/>
      <c r="G2609" s="364">
        <f t="shared" si="31"/>
        <v>182754.66129032261</v>
      </c>
      <c r="H2609" s="391" t="s">
        <v>9568</v>
      </c>
    </row>
    <row r="2610" spans="1:13" x14ac:dyDescent="0.3">
      <c r="A2610" s="45">
        <v>44425</v>
      </c>
      <c r="B2610" s="399"/>
      <c r="C2610" s="5" t="s">
        <v>1074</v>
      </c>
      <c r="D2610" s="5" t="s">
        <v>7747</v>
      </c>
      <c r="E2610" s="43">
        <v>9930</v>
      </c>
      <c r="F2610" s="43"/>
      <c r="G2610" s="364">
        <f t="shared" si="31"/>
        <v>172824.66129032261</v>
      </c>
      <c r="H2610" s="391" t="s">
        <v>9568</v>
      </c>
    </row>
    <row r="2611" spans="1:13" x14ac:dyDescent="0.3">
      <c r="A2611" s="45">
        <v>44425</v>
      </c>
      <c r="B2611" s="399"/>
      <c r="C2611" s="5" t="s">
        <v>5793</v>
      </c>
      <c r="D2611" s="5" t="s">
        <v>7919</v>
      </c>
      <c r="E2611" s="43">
        <v>1300</v>
      </c>
      <c r="F2611" s="43"/>
      <c r="G2611" s="364">
        <f t="shared" si="31"/>
        <v>171524.66129032261</v>
      </c>
      <c r="H2611" s="391" t="s">
        <v>9568</v>
      </c>
    </row>
    <row r="2612" spans="1:13" x14ac:dyDescent="0.3">
      <c r="A2612" s="45">
        <v>44425</v>
      </c>
      <c r="B2612" s="399"/>
      <c r="C2612" s="5" t="s">
        <v>14</v>
      </c>
      <c r="D2612" s="5" t="s">
        <v>7933</v>
      </c>
      <c r="E2612" s="43">
        <v>150000</v>
      </c>
      <c r="F2612" s="43"/>
      <c r="G2612" s="364">
        <f t="shared" si="31"/>
        <v>21524.661290322605</v>
      </c>
      <c r="H2612" s="391" t="s">
        <v>9568</v>
      </c>
    </row>
    <row r="2613" spans="1:13" x14ac:dyDescent="0.3">
      <c r="A2613" s="45">
        <v>44428</v>
      </c>
      <c r="B2613" s="399"/>
      <c r="C2613" s="5" t="s">
        <v>57</v>
      </c>
      <c r="D2613" s="5" t="s">
        <v>7921</v>
      </c>
      <c r="E2613" s="43">
        <v>4600</v>
      </c>
      <c r="F2613" s="43"/>
      <c r="G2613" s="364">
        <f t="shared" si="31"/>
        <v>16924.661290322605</v>
      </c>
      <c r="H2613" s="391" t="s">
        <v>9568</v>
      </c>
    </row>
    <row r="2614" spans="1:13" x14ac:dyDescent="0.3">
      <c r="A2614" s="45">
        <v>44428</v>
      </c>
      <c r="B2614" s="580"/>
      <c r="C2614" s="554" t="s">
        <v>7891</v>
      </c>
      <c r="D2614" s="554"/>
      <c r="E2614" s="554"/>
      <c r="F2614" s="43">
        <v>100000</v>
      </c>
      <c r="G2614" s="364">
        <f t="shared" si="31"/>
        <v>116924.66129032261</v>
      </c>
      <c r="H2614" s="391" t="s">
        <v>9568</v>
      </c>
      <c r="M2614" s="93"/>
    </row>
    <row r="2615" spans="1:13" x14ac:dyDescent="0.3">
      <c r="A2615" s="45">
        <v>44428</v>
      </c>
      <c r="B2615" s="580"/>
      <c r="C2615" s="554" t="s">
        <v>7891</v>
      </c>
      <c r="D2615" s="554"/>
      <c r="E2615" s="554"/>
      <c r="F2615" s="43">
        <v>100000</v>
      </c>
      <c r="G2615" s="364">
        <f t="shared" si="31"/>
        <v>216924.66129032261</v>
      </c>
      <c r="H2615" s="391" t="s">
        <v>9568</v>
      </c>
      <c r="M2615" s="93"/>
    </row>
    <row r="2616" spans="1:13" x14ac:dyDescent="0.3">
      <c r="A2616" s="45">
        <v>44428</v>
      </c>
      <c r="B2616" s="399"/>
      <c r="C2616" s="5" t="s">
        <v>0</v>
      </c>
      <c r="D2616" s="5" t="s">
        <v>438</v>
      </c>
      <c r="E2616" s="43">
        <v>5000</v>
      </c>
      <c r="F2616" s="43"/>
      <c r="G2616" s="364">
        <f t="shared" si="31"/>
        <v>211924.66129032261</v>
      </c>
      <c r="H2616" s="391" t="s">
        <v>9568</v>
      </c>
    </row>
    <row r="2617" spans="1:13" x14ac:dyDescent="0.3">
      <c r="A2617" s="45">
        <v>44429</v>
      </c>
      <c r="B2617" s="399"/>
      <c r="C2617" s="5" t="s">
        <v>5793</v>
      </c>
      <c r="D2617" s="5" t="s">
        <v>7922</v>
      </c>
      <c r="E2617" s="43">
        <v>500</v>
      </c>
      <c r="F2617" s="43"/>
      <c r="G2617" s="364">
        <f t="shared" si="31"/>
        <v>211424.66129032261</v>
      </c>
      <c r="H2617" s="391" t="s">
        <v>9568</v>
      </c>
    </row>
    <row r="2618" spans="1:13" x14ac:dyDescent="0.3">
      <c r="A2618" s="45">
        <v>44429</v>
      </c>
      <c r="B2618" s="399"/>
      <c r="C2618" s="5" t="s">
        <v>4550</v>
      </c>
      <c r="D2618" s="5" t="s">
        <v>7923</v>
      </c>
      <c r="E2618" s="43">
        <v>10000</v>
      </c>
      <c r="F2618" s="43"/>
      <c r="G2618" s="364">
        <f t="shared" si="31"/>
        <v>201424.66129032261</v>
      </c>
      <c r="H2618" s="391" t="s">
        <v>9568</v>
      </c>
    </row>
    <row r="2619" spans="1:13" x14ac:dyDescent="0.3">
      <c r="A2619" s="45">
        <v>44429</v>
      </c>
      <c r="B2619" s="399"/>
      <c r="C2619" s="5" t="s">
        <v>7158</v>
      </c>
      <c r="D2619" s="5" t="s">
        <v>294</v>
      </c>
      <c r="E2619" s="43">
        <v>300</v>
      </c>
      <c r="F2619" s="43"/>
      <c r="G2619" s="364">
        <f t="shared" si="31"/>
        <v>201124.66129032261</v>
      </c>
      <c r="H2619" s="391" t="s">
        <v>9568</v>
      </c>
    </row>
    <row r="2620" spans="1:13" x14ac:dyDescent="0.3">
      <c r="A2620" s="45">
        <v>44431</v>
      </c>
      <c r="B2620" s="399"/>
      <c r="C2620" s="5" t="s">
        <v>0</v>
      </c>
      <c r="D2620" s="5" t="s">
        <v>294</v>
      </c>
      <c r="E2620" s="43">
        <v>20000</v>
      </c>
      <c r="F2620" s="43"/>
      <c r="G2620" s="364">
        <f t="shared" si="31"/>
        <v>181124.66129032261</v>
      </c>
      <c r="H2620" s="391" t="s">
        <v>9568</v>
      </c>
    </row>
    <row r="2621" spans="1:13" x14ac:dyDescent="0.3">
      <c r="A2621" s="45">
        <v>44431</v>
      </c>
      <c r="B2621" s="399"/>
      <c r="C2621" s="5" t="s">
        <v>1074</v>
      </c>
      <c r="D2621" s="5" t="s">
        <v>7929</v>
      </c>
      <c r="E2621" s="43">
        <f>55820-9407</f>
        <v>46413</v>
      </c>
      <c r="F2621" s="43"/>
      <c r="G2621" s="364">
        <f t="shared" si="31"/>
        <v>134711.66129032261</v>
      </c>
      <c r="H2621" s="391" t="s">
        <v>9568</v>
      </c>
    </row>
    <row r="2622" spans="1:13" x14ac:dyDescent="0.3">
      <c r="A2622" s="45">
        <v>44431</v>
      </c>
      <c r="B2622" s="399"/>
      <c r="C2622" s="5" t="s">
        <v>25</v>
      </c>
      <c r="D2622" s="5" t="s">
        <v>2078</v>
      </c>
      <c r="E2622" s="43">
        <v>600</v>
      </c>
      <c r="F2622" s="43"/>
      <c r="G2622" s="364">
        <f t="shared" si="31"/>
        <v>134111.66129032261</v>
      </c>
      <c r="H2622" s="391" t="s">
        <v>9568</v>
      </c>
    </row>
    <row r="2623" spans="1:13" ht="37.5" x14ac:dyDescent="0.3">
      <c r="A2623" s="45">
        <v>44431</v>
      </c>
      <c r="B2623" s="399"/>
      <c r="C2623" s="5" t="s">
        <v>14</v>
      </c>
      <c r="D2623" s="92" t="s">
        <v>7932</v>
      </c>
      <c r="E2623" s="43">
        <v>100000</v>
      </c>
      <c r="F2623" s="43"/>
      <c r="G2623" s="364">
        <f t="shared" si="31"/>
        <v>34111.661290322605</v>
      </c>
      <c r="H2623" s="391" t="s">
        <v>9568</v>
      </c>
    </row>
    <row r="2624" spans="1:13" x14ac:dyDescent="0.3">
      <c r="A2624" s="45">
        <v>44431</v>
      </c>
      <c r="B2624" s="399"/>
      <c r="C2624" s="5" t="s">
        <v>14</v>
      </c>
      <c r="D2624" s="5" t="s">
        <v>7927</v>
      </c>
      <c r="E2624" s="43">
        <v>9407</v>
      </c>
      <c r="F2624" s="43"/>
      <c r="G2624" s="364">
        <f t="shared" si="31"/>
        <v>24704.661290322605</v>
      </c>
      <c r="H2624" s="391" t="s">
        <v>9568</v>
      </c>
    </row>
    <row r="2625" spans="1:13" x14ac:dyDescent="0.3">
      <c r="A2625" s="45">
        <v>44431</v>
      </c>
      <c r="B2625" s="399"/>
      <c r="C2625" s="5" t="s">
        <v>7158</v>
      </c>
      <c r="D2625" s="5" t="s">
        <v>7928</v>
      </c>
      <c r="E2625" s="43">
        <v>21500</v>
      </c>
      <c r="F2625" s="43"/>
      <c r="G2625" s="364">
        <f t="shared" si="31"/>
        <v>3204.6612903226051</v>
      </c>
      <c r="H2625" s="391" t="s">
        <v>9568</v>
      </c>
    </row>
    <row r="2626" spans="1:13" x14ac:dyDescent="0.3">
      <c r="A2626" s="45">
        <v>44431</v>
      </c>
      <c r="B2626" s="580"/>
      <c r="C2626" s="554" t="s">
        <v>7891</v>
      </c>
      <c r="D2626" s="554"/>
      <c r="E2626" s="554"/>
      <c r="F2626" s="43">
        <v>100000</v>
      </c>
      <c r="G2626" s="364">
        <f t="shared" si="31"/>
        <v>103204.66129032261</v>
      </c>
      <c r="H2626" s="391" t="s">
        <v>9568</v>
      </c>
      <c r="M2626" s="93"/>
    </row>
    <row r="2627" spans="1:13" x14ac:dyDescent="0.3">
      <c r="A2627" s="45">
        <v>44432</v>
      </c>
      <c r="B2627" s="399"/>
      <c r="C2627" s="5" t="s">
        <v>0</v>
      </c>
      <c r="D2627" s="5" t="s">
        <v>294</v>
      </c>
      <c r="E2627" s="43">
        <v>4000</v>
      </c>
      <c r="F2627" s="43"/>
      <c r="G2627" s="364">
        <f t="shared" si="31"/>
        <v>99204.661290322605</v>
      </c>
      <c r="H2627" s="391" t="s">
        <v>9568</v>
      </c>
    </row>
    <row r="2628" spans="1:13" x14ac:dyDescent="0.3">
      <c r="A2628" s="45">
        <v>44432</v>
      </c>
      <c r="B2628" s="399"/>
      <c r="C2628" s="5" t="s">
        <v>25</v>
      </c>
      <c r="D2628" s="5" t="s">
        <v>7934</v>
      </c>
      <c r="E2628" s="43">
        <v>1400</v>
      </c>
      <c r="F2628" s="43"/>
      <c r="G2628" s="364">
        <f t="shared" si="31"/>
        <v>97804.661290322605</v>
      </c>
      <c r="H2628" s="391" t="s">
        <v>9568</v>
      </c>
    </row>
    <row r="2629" spans="1:13" x14ac:dyDescent="0.3">
      <c r="A2629" s="45">
        <v>44432</v>
      </c>
      <c r="B2629" s="399"/>
      <c r="C2629" s="5" t="s">
        <v>25</v>
      </c>
      <c r="D2629" s="5" t="s">
        <v>4276</v>
      </c>
      <c r="E2629" s="43">
        <f>200+280+80+80+60+1100+100+180+10+40</f>
        <v>2130</v>
      </c>
      <c r="F2629" s="43"/>
      <c r="G2629" s="364">
        <f t="shared" si="31"/>
        <v>95674.661290322605</v>
      </c>
      <c r="H2629" s="391" t="s">
        <v>9568</v>
      </c>
    </row>
    <row r="2630" spans="1:13" x14ac:dyDescent="0.3">
      <c r="A2630" s="45">
        <v>44432</v>
      </c>
      <c r="B2630" s="399"/>
      <c r="C2630" s="5" t="s">
        <v>25</v>
      </c>
      <c r="D2630" s="5" t="s">
        <v>7935</v>
      </c>
      <c r="E2630" s="43">
        <v>150</v>
      </c>
      <c r="F2630" s="43"/>
      <c r="G2630" s="364">
        <f t="shared" si="31"/>
        <v>95524.661290322605</v>
      </c>
      <c r="H2630" s="391" t="s">
        <v>9568</v>
      </c>
    </row>
    <row r="2631" spans="1:13" x14ac:dyDescent="0.3">
      <c r="A2631" s="45">
        <v>44432</v>
      </c>
      <c r="B2631" s="399"/>
      <c r="C2631" s="5" t="s">
        <v>84</v>
      </c>
      <c r="D2631" s="5" t="s">
        <v>7936</v>
      </c>
      <c r="E2631" s="43">
        <v>4000</v>
      </c>
      <c r="F2631" s="43"/>
      <c r="G2631" s="364">
        <f t="shared" si="31"/>
        <v>91524.661290322605</v>
      </c>
      <c r="H2631" s="391" t="s">
        <v>9568</v>
      </c>
    </row>
    <row r="2632" spans="1:13" x14ac:dyDescent="0.3">
      <c r="A2632" s="45">
        <v>44432</v>
      </c>
      <c r="B2632" s="399"/>
      <c r="C2632" s="5" t="s">
        <v>84</v>
      </c>
      <c r="D2632" s="5" t="s">
        <v>7937</v>
      </c>
      <c r="E2632" s="43">
        <v>3000</v>
      </c>
      <c r="F2632" s="43"/>
      <c r="G2632" s="364">
        <f t="shared" si="31"/>
        <v>88524.661290322605</v>
      </c>
      <c r="H2632" s="391" t="s">
        <v>9568</v>
      </c>
    </row>
    <row r="2633" spans="1:13" x14ac:dyDescent="0.3">
      <c r="A2633" s="45">
        <v>44433</v>
      </c>
      <c r="B2633" s="399"/>
      <c r="C2633" s="5" t="s">
        <v>6430</v>
      </c>
      <c r="D2633" s="5" t="s">
        <v>7938</v>
      </c>
      <c r="E2633" s="43">
        <v>1860</v>
      </c>
      <c r="F2633" s="43"/>
      <c r="G2633" s="364">
        <f t="shared" si="31"/>
        <v>86664.661290322605</v>
      </c>
      <c r="H2633" s="391" t="s">
        <v>9568</v>
      </c>
    </row>
    <row r="2634" spans="1:13" x14ac:dyDescent="0.3">
      <c r="A2634" s="45">
        <v>44433</v>
      </c>
      <c r="B2634" s="399"/>
      <c r="C2634" s="5" t="s">
        <v>84</v>
      </c>
      <c r="D2634" s="5" t="s">
        <v>7939</v>
      </c>
      <c r="E2634" s="43">
        <v>1000</v>
      </c>
      <c r="F2634" s="43"/>
      <c r="G2634" s="364">
        <f t="shared" ref="G2634:G2665" si="32">G2633+F2634-E2634</f>
        <v>85664.661290322605</v>
      </c>
      <c r="H2634" s="391" t="s">
        <v>9568</v>
      </c>
    </row>
    <row r="2635" spans="1:13" x14ac:dyDescent="0.3">
      <c r="A2635" s="45">
        <v>44433</v>
      </c>
      <c r="B2635" s="399"/>
      <c r="C2635" s="5" t="s">
        <v>7692</v>
      </c>
      <c r="D2635" s="5" t="s">
        <v>7940</v>
      </c>
      <c r="E2635" s="43">
        <v>10000</v>
      </c>
      <c r="F2635" s="43"/>
      <c r="G2635" s="364">
        <f t="shared" si="32"/>
        <v>75664.661290322605</v>
      </c>
      <c r="H2635" s="391" t="s">
        <v>9568</v>
      </c>
    </row>
    <row r="2636" spans="1:13" x14ac:dyDescent="0.3">
      <c r="A2636" s="45">
        <v>44433</v>
      </c>
      <c r="B2636" s="399"/>
      <c r="C2636" s="5" t="s">
        <v>3554</v>
      </c>
      <c r="D2636" s="5" t="s">
        <v>7941</v>
      </c>
      <c r="E2636" s="43">
        <v>8000</v>
      </c>
      <c r="F2636" s="43"/>
      <c r="G2636" s="364">
        <f t="shared" si="32"/>
        <v>67664.661290322605</v>
      </c>
      <c r="H2636" s="391" t="s">
        <v>9568</v>
      </c>
    </row>
    <row r="2637" spans="1:13" x14ac:dyDescent="0.3">
      <c r="A2637" s="45">
        <v>44434</v>
      </c>
      <c r="B2637" s="399"/>
      <c r="C2637" s="5" t="s">
        <v>57</v>
      </c>
      <c r="D2637" s="5" t="s">
        <v>4792</v>
      </c>
      <c r="E2637" s="43">
        <v>2000</v>
      </c>
      <c r="F2637" s="43"/>
      <c r="G2637" s="364">
        <f t="shared" si="32"/>
        <v>65664.661290322605</v>
      </c>
      <c r="H2637" s="391" t="s">
        <v>9568</v>
      </c>
    </row>
    <row r="2638" spans="1:13" x14ac:dyDescent="0.3">
      <c r="A2638" s="45">
        <v>44434</v>
      </c>
      <c r="B2638" s="399"/>
      <c r="C2638" s="5" t="s">
        <v>84</v>
      </c>
      <c r="D2638" s="5" t="s">
        <v>7942</v>
      </c>
      <c r="E2638" s="43">
        <v>3000</v>
      </c>
      <c r="F2638" s="43"/>
      <c r="G2638" s="364">
        <f t="shared" si="32"/>
        <v>62664.661290322605</v>
      </c>
      <c r="H2638" s="391" t="s">
        <v>9568</v>
      </c>
    </row>
    <row r="2639" spans="1:13" x14ac:dyDescent="0.3">
      <c r="A2639" s="45">
        <v>44434</v>
      </c>
      <c r="B2639" s="399"/>
      <c r="C2639" s="5" t="s">
        <v>25</v>
      </c>
      <c r="D2639" s="5" t="s">
        <v>7943</v>
      </c>
      <c r="E2639" s="43">
        <v>5000</v>
      </c>
      <c r="F2639" s="43"/>
      <c r="G2639" s="364">
        <f t="shared" si="32"/>
        <v>57664.661290322605</v>
      </c>
      <c r="H2639" s="391" t="s">
        <v>9568</v>
      </c>
    </row>
    <row r="2640" spans="1:13" x14ac:dyDescent="0.3">
      <c r="A2640" s="45">
        <v>44434</v>
      </c>
      <c r="B2640" s="399"/>
      <c r="C2640" s="5" t="s">
        <v>0</v>
      </c>
      <c r="D2640" s="5" t="s">
        <v>294</v>
      </c>
      <c r="E2640" s="43">
        <v>4000</v>
      </c>
      <c r="F2640" s="43"/>
      <c r="G2640" s="364">
        <f t="shared" si="32"/>
        <v>53664.661290322605</v>
      </c>
      <c r="H2640" s="391" t="s">
        <v>9568</v>
      </c>
    </row>
    <row r="2641" spans="1:13" x14ac:dyDescent="0.3">
      <c r="A2641" s="45">
        <v>44435</v>
      </c>
      <c r="B2641" s="399"/>
      <c r="C2641" s="5" t="s">
        <v>4550</v>
      </c>
      <c r="D2641" s="5" t="s">
        <v>7946</v>
      </c>
      <c r="E2641" s="43">
        <v>15000</v>
      </c>
      <c r="F2641" s="43"/>
      <c r="G2641" s="364">
        <f t="shared" si="32"/>
        <v>38664.661290322605</v>
      </c>
      <c r="H2641" s="391" t="s">
        <v>9568</v>
      </c>
    </row>
    <row r="2642" spans="1:13" x14ac:dyDescent="0.3">
      <c r="A2642" s="45">
        <v>44435</v>
      </c>
      <c r="B2642" s="399"/>
      <c r="C2642" s="5" t="s">
        <v>5162</v>
      </c>
      <c r="D2642" s="5" t="s">
        <v>7947</v>
      </c>
      <c r="E2642" s="43">
        <v>600</v>
      </c>
      <c r="F2642" s="43"/>
      <c r="G2642" s="364">
        <f t="shared" si="32"/>
        <v>38064.661290322605</v>
      </c>
      <c r="H2642" s="391" t="s">
        <v>9568</v>
      </c>
    </row>
    <row r="2643" spans="1:13" x14ac:dyDescent="0.3">
      <c r="A2643" s="45">
        <v>44435</v>
      </c>
      <c r="B2643" s="399"/>
      <c r="C2643" s="5" t="s">
        <v>84</v>
      </c>
      <c r="D2643" s="5" t="s">
        <v>7948</v>
      </c>
      <c r="E2643" s="43">
        <v>500</v>
      </c>
      <c r="F2643" s="43"/>
      <c r="G2643" s="364">
        <f t="shared" si="32"/>
        <v>37564.661290322605</v>
      </c>
      <c r="H2643" s="391" t="s">
        <v>9568</v>
      </c>
    </row>
    <row r="2644" spans="1:13" x14ac:dyDescent="0.3">
      <c r="A2644" s="45">
        <v>44435</v>
      </c>
      <c r="B2644" s="399"/>
      <c r="C2644" s="5" t="s">
        <v>84</v>
      </c>
      <c r="D2644" s="5" t="s">
        <v>7949</v>
      </c>
      <c r="E2644" s="43">
        <v>5000</v>
      </c>
      <c r="F2644" s="43"/>
      <c r="G2644" s="364">
        <f t="shared" si="32"/>
        <v>32564.661290322605</v>
      </c>
      <c r="H2644" s="391" t="s">
        <v>9568</v>
      </c>
    </row>
    <row r="2645" spans="1:13" x14ac:dyDescent="0.3">
      <c r="A2645" s="45">
        <v>44435</v>
      </c>
      <c r="B2645" s="399"/>
      <c r="C2645" s="5" t="s">
        <v>25</v>
      </c>
      <c r="D2645" s="5" t="s">
        <v>7950</v>
      </c>
      <c r="E2645" s="43">
        <v>7500</v>
      </c>
      <c r="F2645" s="43"/>
      <c r="G2645" s="364">
        <f t="shared" si="32"/>
        <v>25064.661290322605</v>
      </c>
      <c r="H2645" s="391" t="s">
        <v>9568</v>
      </c>
    </row>
    <row r="2646" spans="1:13" x14ac:dyDescent="0.3">
      <c r="A2646" s="45">
        <v>44436</v>
      </c>
      <c r="B2646" s="399"/>
      <c r="C2646" s="5" t="s">
        <v>14</v>
      </c>
      <c r="D2646" s="5" t="s">
        <v>438</v>
      </c>
      <c r="E2646" s="43">
        <v>10000</v>
      </c>
      <c r="F2646" s="43"/>
      <c r="G2646" s="364">
        <f t="shared" si="32"/>
        <v>15064.661290322605</v>
      </c>
      <c r="H2646" s="391" t="s">
        <v>9568</v>
      </c>
    </row>
    <row r="2647" spans="1:13" x14ac:dyDescent="0.3">
      <c r="A2647" s="45">
        <v>44436</v>
      </c>
      <c r="B2647" s="399"/>
      <c r="C2647" s="5" t="s">
        <v>18</v>
      </c>
      <c r="D2647" s="5" t="s">
        <v>438</v>
      </c>
      <c r="E2647" s="43">
        <v>3000</v>
      </c>
      <c r="F2647" s="43"/>
      <c r="G2647" s="364">
        <f t="shared" si="32"/>
        <v>12064.661290322605</v>
      </c>
      <c r="H2647" s="391" t="s">
        <v>9568</v>
      </c>
    </row>
    <row r="2648" spans="1:13" x14ac:dyDescent="0.3">
      <c r="A2648" s="45">
        <v>44436</v>
      </c>
      <c r="B2648" s="399"/>
      <c r="C2648" s="5" t="s">
        <v>25</v>
      </c>
      <c r="D2648" s="5" t="s">
        <v>7934</v>
      </c>
      <c r="E2648" s="43">
        <v>800</v>
      </c>
      <c r="F2648" s="43"/>
      <c r="G2648" s="364">
        <f t="shared" si="32"/>
        <v>11264.661290322605</v>
      </c>
      <c r="H2648" s="391" t="s">
        <v>9568</v>
      </c>
    </row>
    <row r="2649" spans="1:13" x14ac:dyDescent="0.3">
      <c r="A2649" s="45">
        <v>44436</v>
      </c>
      <c r="B2649" s="399"/>
      <c r="C2649" s="5" t="s">
        <v>25</v>
      </c>
      <c r="D2649" s="5" t="s">
        <v>4276</v>
      </c>
      <c r="E2649" s="43">
        <v>6700</v>
      </c>
      <c r="F2649" s="43"/>
      <c r="G2649" s="364">
        <f t="shared" si="32"/>
        <v>4564.6612903226051</v>
      </c>
      <c r="H2649" s="391" t="s">
        <v>9568</v>
      </c>
    </row>
    <row r="2650" spans="1:13" x14ac:dyDescent="0.3">
      <c r="A2650" s="45">
        <v>44436</v>
      </c>
      <c r="B2650" s="580"/>
      <c r="C2650" s="554" t="s">
        <v>7951</v>
      </c>
      <c r="D2650" s="554"/>
      <c r="E2650" s="554"/>
      <c r="F2650" s="43">
        <v>31313</v>
      </c>
      <c r="G2650" s="364">
        <f t="shared" si="32"/>
        <v>35877.661290322605</v>
      </c>
      <c r="H2650" s="391" t="s">
        <v>9568</v>
      </c>
      <c r="M2650" s="93"/>
    </row>
    <row r="2651" spans="1:13" x14ac:dyDescent="0.3">
      <c r="A2651" s="45">
        <v>44436</v>
      </c>
      <c r="B2651" s="399"/>
      <c r="C2651" s="5" t="s">
        <v>0</v>
      </c>
      <c r="D2651" s="5" t="s">
        <v>294</v>
      </c>
      <c r="E2651" s="43">
        <v>32000</v>
      </c>
      <c r="F2651" s="43"/>
      <c r="G2651" s="364">
        <f t="shared" si="32"/>
        <v>3877.6612903226051</v>
      </c>
      <c r="H2651" s="391" t="s">
        <v>9568</v>
      </c>
    </row>
    <row r="2652" spans="1:13" x14ac:dyDescent="0.3">
      <c r="A2652" s="45">
        <v>44436</v>
      </c>
      <c r="B2652" s="580"/>
      <c r="C2652" s="554" t="s">
        <v>7953</v>
      </c>
      <c r="D2652" s="554"/>
      <c r="E2652" s="554"/>
      <c r="F2652" s="43">
        <v>2500</v>
      </c>
      <c r="G2652" s="364">
        <f t="shared" si="32"/>
        <v>6377.6612903226051</v>
      </c>
      <c r="H2652" s="391" t="s">
        <v>9568</v>
      </c>
      <c r="M2652" s="93"/>
    </row>
    <row r="2653" spans="1:13" x14ac:dyDescent="0.3">
      <c r="A2653" s="45">
        <v>44454</v>
      </c>
      <c r="B2653" s="399"/>
      <c r="C2653" s="5" t="s">
        <v>25</v>
      </c>
      <c r="D2653" s="5" t="s">
        <v>7934</v>
      </c>
      <c r="E2653" s="43">
        <f>16*200</f>
        <v>3200</v>
      </c>
      <c r="F2653" s="43"/>
      <c r="G2653" s="364">
        <f t="shared" si="32"/>
        <v>3177.6612903226051</v>
      </c>
      <c r="H2653" s="391" t="s">
        <v>9568</v>
      </c>
    </row>
    <row r="2654" spans="1:13" x14ac:dyDescent="0.3">
      <c r="A2654" s="45">
        <v>44454</v>
      </c>
      <c r="B2654" s="580"/>
      <c r="C2654" s="554" t="s">
        <v>4106</v>
      </c>
      <c r="D2654" s="554"/>
      <c r="E2654" s="554"/>
      <c r="F2654" s="43">
        <v>100000</v>
      </c>
      <c r="G2654" s="364">
        <f t="shared" si="32"/>
        <v>103177.66129032261</v>
      </c>
      <c r="H2654" s="391" t="s">
        <v>9568</v>
      </c>
      <c r="M2654" s="93"/>
    </row>
    <row r="2655" spans="1:13" x14ac:dyDescent="0.3">
      <c r="A2655" s="45">
        <v>44454</v>
      </c>
      <c r="B2655" s="399"/>
      <c r="C2655" s="5" t="s">
        <v>25</v>
      </c>
      <c r="D2655" s="5" t="s">
        <v>4276</v>
      </c>
      <c r="E2655" s="43">
        <v>4950</v>
      </c>
      <c r="F2655" s="43"/>
      <c r="G2655" s="364">
        <f t="shared" si="32"/>
        <v>98227.661290322605</v>
      </c>
      <c r="H2655" s="391" t="s">
        <v>9568</v>
      </c>
    </row>
    <row r="2656" spans="1:13" x14ac:dyDescent="0.3">
      <c r="A2656" s="45">
        <v>44454</v>
      </c>
      <c r="B2656" s="399"/>
      <c r="C2656" s="5" t="s">
        <v>1616</v>
      </c>
      <c r="D2656" s="5" t="s">
        <v>7954</v>
      </c>
      <c r="E2656" s="43">
        <v>600</v>
      </c>
      <c r="F2656" s="43"/>
      <c r="G2656" s="364">
        <f t="shared" si="32"/>
        <v>97627.661290322605</v>
      </c>
      <c r="H2656" s="391" t="s">
        <v>9568</v>
      </c>
    </row>
    <row r="2657" spans="1:13" x14ac:dyDescent="0.3">
      <c r="A2657" s="45">
        <v>44454</v>
      </c>
      <c r="B2657" s="399"/>
      <c r="C2657" s="5" t="s">
        <v>5930</v>
      </c>
      <c r="D2657" s="5" t="s">
        <v>3332</v>
      </c>
      <c r="E2657" s="43">
        <v>37912</v>
      </c>
      <c r="F2657" s="43"/>
      <c r="G2657" s="364">
        <f t="shared" si="32"/>
        <v>59715.661290322605</v>
      </c>
      <c r="H2657" s="391" t="s">
        <v>9568</v>
      </c>
    </row>
    <row r="2658" spans="1:13" x14ac:dyDescent="0.3">
      <c r="A2658" s="45">
        <v>44454</v>
      </c>
      <c r="B2658" s="399"/>
      <c r="C2658" s="5" t="s">
        <v>25</v>
      </c>
      <c r="D2658" s="5" t="s">
        <v>4400</v>
      </c>
      <c r="E2658" s="43">
        <v>2500</v>
      </c>
      <c r="F2658" s="43"/>
      <c r="G2658" s="364">
        <f t="shared" si="32"/>
        <v>57215.661290322605</v>
      </c>
      <c r="H2658" s="391" t="s">
        <v>9568</v>
      </c>
    </row>
    <row r="2659" spans="1:13" x14ac:dyDescent="0.3">
      <c r="A2659" s="45">
        <v>44454</v>
      </c>
      <c r="B2659" s="404"/>
      <c r="C2659" s="41" t="s">
        <v>6341</v>
      </c>
      <c r="D2659" s="41" t="s">
        <v>7955</v>
      </c>
      <c r="E2659" s="42">
        <v>27000</v>
      </c>
      <c r="F2659" s="43"/>
      <c r="G2659" s="364">
        <f t="shared" si="32"/>
        <v>30215.661290322605</v>
      </c>
      <c r="H2659" s="391" t="s">
        <v>9568</v>
      </c>
    </row>
    <row r="2660" spans="1:13" x14ac:dyDescent="0.3">
      <c r="A2660" s="45">
        <v>44454</v>
      </c>
      <c r="B2660" s="404"/>
      <c r="C2660" s="41" t="s">
        <v>6341</v>
      </c>
      <c r="D2660" s="41" t="s">
        <v>7956</v>
      </c>
      <c r="E2660" s="42">
        <v>20000</v>
      </c>
      <c r="F2660" s="43"/>
      <c r="G2660" s="364">
        <f t="shared" si="32"/>
        <v>10215.661290322605</v>
      </c>
      <c r="H2660" s="391" t="s">
        <v>9568</v>
      </c>
    </row>
    <row r="2661" spans="1:13" x14ac:dyDescent="0.3">
      <c r="A2661" s="45">
        <v>44454</v>
      </c>
      <c r="B2661" s="401"/>
      <c r="C2661" s="73" t="s">
        <v>5709</v>
      </c>
      <c r="D2661" s="73" t="s">
        <v>7957</v>
      </c>
      <c r="E2661" s="183">
        <v>3900</v>
      </c>
      <c r="F2661" s="43"/>
      <c r="G2661" s="364">
        <f t="shared" si="32"/>
        <v>6315.6612903226051</v>
      </c>
      <c r="H2661" s="391" t="s">
        <v>9568</v>
      </c>
    </row>
    <row r="2662" spans="1:13" x14ac:dyDescent="0.3">
      <c r="A2662" s="45">
        <v>44454</v>
      </c>
      <c r="B2662" s="580"/>
      <c r="C2662" s="554" t="s">
        <v>5431</v>
      </c>
      <c r="D2662" s="554"/>
      <c r="E2662" s="554"/>
      <c r="F2662" s="43">
        <v>1000000</v>
      </c>
      <c r="G2662" s="364">
        <f t="shared" si="32"/>
        <v>1006315.6612903227</v>
      </c>
      <c r="H2662" s="391" t="s">
        <v>9568</v>
      </c>
      <c r="M2662" s="93"/>
    </row>
    <row r="2663" spans="1:13" x14ac:dyDescent="0.3">
      <c r="A2663" s="45">
        <v>44454</v>
      </c>
      <c r="B2663" s="399"/>
      <c r="C2663" s="5" t="s">
        <v>6341</v>
      </c>
      <c r="D2663" s="5" t="s">
        <v>7958</v>
      </c>
      <c r="E2663" s="43">
        <v>10000</v>
      </c>
      <c r="F2663" s="43"/>
      <c r="G2663" s="364">
        <f t="shared" si="32"/>
        <v>996315.66129032266</v>
      </c>
      <c r="H2663" s="391" t="s">
        <v>9568</v>
      </c>
    </row>
    <row r="2664" spans="1:13" x14ac:dyDescent="0.3">
      <c r="A2664" s="45">
        <v>44454</v>
      </c>
      <c r="B2664" s="399"/>
      <c r="C2664" s="5" t="s">
        <v>0</v>
      </c>
      <c r="D2664" s="5" t="s">
        <v>294</v>
      </c>
      <c r="E2664" s="43">
        <v>33000</v>
      </c>
      <c r="F2664" s="43"/>
      <c r="G2664" s="364">
        <f t="shared" si="32"/>
        <v>963315.66129032266</v>
      </c>
      <c r="H2664" s="391" t="s">
        <v>9568</v>
      </c>
    </row>
    <row r="2665" spans="1:13" x14ac:dyDescent="0.3">
      <c r="A2665" s="45">
        <v>44454</v>
      </c>
      <c r="B2665" s="399"/>
      <c r="C2665" s="5" t="s">
        <v>541</v>
      </c>
      <c r="D2665" s="5" t="s">
        <v>7959</v>
      </c>
      <c r="E2665" s="43">
        <v>30000</v>
      </c>
      <c r="F2665" s="43"/>
      <c r="G2665" s="364">
        <f t="shared" si="32"/>
        <v>933315.66129032266</v>
      </c>
      <c r="H2665" s="391" t="s">
        <v>9568</v>
      </c>
    </row>
    <row r="2666" spans="1:13" x14ac:dyDescent="0.3">
      <c r="A2666" s="45">
        <v>44454</v>
      </c>
      <c r="B2666" s="399"/>
      <c r="C2666" s="5" t="s">
        <v>25</v>
      </c>
      <c r="D2666" s="5" t="s">
        <v>7960</v>
      </c>
      <c r="E2666" s="43">
        <v>2250</v>
      </c>
      <c r="F2666" s="43"/>
      <c r="G2666" s="364">
        <f t="shared" ref="G2666:G2674" si="33">G2665+F2666-E2666</f>
        <v>931065.66129032266</v>
      </c>
      <c r="H2666" s="391" t="s">
        <v>9568</v>
      </c>
    </row>
    <row r="2667" spans="1:13" x14ac:dyDescent="0.3">
      <c r="A2667" s="45">
        <v>44454</v>
      </c>
      <c r="B2667" s="399"/>
      <c r="C2667" s="5" t="s">
        <v>7128</v>
      </c>
      <c r="D2667" s="5" t="s">
        <v>7961</v>
      </c>
      <c r="E2667" s="43">
        <v>2000</v>
      </c>
      <c r="F2667" s="43"/>
      <c r="G2667" s="364">
        <f t="shared" si="33"/>
        <v>929065.66129032266</v>
      </c>
      <c r="H2667" s="391" t="s">
        <v>9568</v>
      </c>
    </row>
    <row r="2668" spans="1:13" x14ac:dyDescent="0.3">
      <c r="A2668" s="45">
        <v>44454</v>
      </c>
      <c r="B2668" s="399"/>
      <c r="C2668" s="5" t="s">
        <v>7962</v>
      </c>
      <c r="D2668" s="5" t="s">
        <v>30</v>
      </c>
      <c r="E2668" s="43">
        <v>100</v>
      </c>
      <c r="F2668" s="43"/>
      <c r="G2668" s="364">
        <f t="shared" si="33"/>
        <v>928965.66129032266</v>
      </c>
      <c r="H2668" s="391" t="s">
        <v>9568</v>
      </c>
    </row>
    <row r="2669" spans="1:13" x14ac:dyDescent="0.3">
      <c r="A2669" s="45">
        <v>44454</v>
      </c>
      <c r="B2669" s="399"/>
      <c r="C2669" s="5" t="s">
        <v>0</v>
      </c>
      <c r="D2669" s="5" t="s">
        <v>7963</v>
      </c>
      <c r="E2669" s="43">
        <v>6000</v>
      </c>
      <c r="F2669" s="43"/>
      <c r="G2669" s="364">
        <f t="shared" si="33"/>
        <v>922965.66129032266</v>
      </c>
      <c r="H2669" s="391" t="s">
        <v>9568</v>
      </c>
    </row>
    <row r="2670" spans="1:13" x14ac:dyDescent="0.3">
      <c r="A2670" s="45">
        <v>44454</v>
      </c>
      <c r="B2670" s="399"/>
      <c r="C2670" s="5" t="s">
        <v>7964</v>
      </c>
      <c r="D2670" s="5" t="s">
        <v>7965</v>
      </c>
      <c r="E2670" s="43">
        <v>797020</v>
      </c>
      <c r="F2670" s="43"/>
      <c r="G2670" s="364">
        <f t="shared" si="33"/>
        <v>125945.66129032266</v>
      </c>
      <c r="H2670" s="391" t="s">
        <v>9568</v>
      </c>
    </row>
    <row r="2671" spans="1:13" x14ac:dyDescent="0.3">
      <c r="A2671" s="45">
        <v>44454</v>
      </c>
      <c r="B2671" s="399"/>
      <c r="C2671" s="5" t="s">
        <v>3559</v>
      </c>
      <c r="D2671" s="5" t="s">
        <v>7966</v>
      </c>
      <c r="E2671" s="43">
        <v>650</v>
      </c>
      <c r="F2671" s="43"/>
      <c r="G2671" s="364">
        <f t="shared" si="33"/>
        <v>125295.66129032266</v>
      </c>
      <c r="H2671" s="391" t="s">
        <v>9568</v>
      </c>
    </row>
    <row r="2672" spans="1:13" x14ac:dyDescent="0.3">
      <c r="A2672" s="45">
        <v>44454</v>
      </c>
      <c r="B2672" s="399"/>
      <c r="C2672" s="5" t="s">
        <v>5793</v>
      </c>
      <c r="D2672" s="5" t="s">
        <v>7967</v>
      </c>
      <c r="E2672" s="43">
        <v>500</v>
      </c>
      <c r="F2672" s="43"/>
      <c r="G2672" s="364">
        <f t="shared" si="33"/>
        <v>124795.66129032266</v>
      </c>
      <c r="H2672" s="391" t="s">
        <v>9568</v>
      </c>
    </row>
    <row r="2673" spans="1:13" x14ac:dyDescent="0.3">
      <c r="A2673" s="45">
        <v>44454</v>
      </c>
      <c r="B2673" s="399"/>
      <c r="C2673" s="5" t="s">
        <v>5793</v>
      </c>
      <c r="D2673" s="5" t="s">
        <v>7968</v>
      </c>
      <c r="E2673" s="43">
        <v>300</v>
      </c>
      <c r="F2673" s="43"/>
      <c r="G2673" s="364">
        <f t="shared" si="33"/>
        <v>124495.66129032266</v>
      </c>
      <c r="H2673" s="391" t="s">
        <v>9568</v>
      </c>
    </row>
    <row r="2674" spans="1:13" x14ac:dyDescent="0.3">
      <c r="A2674" s="45">
        <v>44454</v>
      </c>
      <c r="B2674" s="399"/>
      <c r="C2674" s="5" t="s">
        <v>6959</v>
      </c>
      <c r="D2674" s="5" t="s">
        <v>30</v>
      </c>
      <c r="E2674" s="43">
        <v>100</v>
      </c>
      <c r="F2674" s="43"/>
      <c r="G2674" s="364">
        <f t="shared" si="33"/>
        <v>124395.66129032266</v>
      </c>
      <c r="H2674" s="391" t="s">
        <v>9568</v>
      </c>
    </row>
    <row r="2675" spans="1:13" x14ac:dyDescent="0.3">
      <c r="A2675" s="45">
        <v>44454</v>
      </c>
      <c r="B2675" s="399"/>
      <c r="C2675" s="5" t="s">
        <v>25</v>
      </c>
      <c r="D2675" s="5" t="s">
        <v>5108</v>
      </c>
      <c r="E2675" s="43">
        <v>1000</v>
      </c>
      <c r="F2675" s="43"/>
      <c r="G2675" s="364">
        <f t="shared" ref="G2675:G2698" si="34">G2674+F2675-E2675</f>
        <v>123395.66129032266</v>
      </c>
      <c r="H2675" s="391" t="s">
        <v>9568</v>
      </c>
    </row>
    <row r="2676" spans="1:13" x14ac:dyDescent="0.3">
      <c r="A2676" s="45">
        <v>44455</v>
      </c>
      <c r="B2676" s="399"/>
      <c r="C2676" s="5" t="s">
        <v>84</v>
      </c>
      <c r="D2676" s="5" t="s">
        <v>7969</v>
      </c>
      <c r="E2676" s="43">
        <v>10000</v>
      </c>
      <c r="F2676" s="43"/>
      <c r="G2676" s="364">
        <f t="shared" si="34"/>
        <v>113395.66129032266</v>
      </c>
      <c r="H2676" s="391" t="s">
        <v>9568</v>
      </c>
    </row>
    <row r="2677" spans="1:13" x14ac:dyDescent="0.3">
      <c r="A2677" s="45">
        <v>44455</v>
      </c>
      <c r="B2677" s="399"/>
      <c r="C2677" s="5" t="s">
        <v>5618</v>
      </c>
      <c r="D2677" s="5" t="s">
        <v>7252</v>
      </c>
      <c r="E2677" s="43">
        <v>12000</v>
      </c>
      <c r="F2677" s="43"/>
      <c r="G2677" s="364">
        <f t="shared" si="34"/>
        <v>101395.66129032266</v>
      </c>
      <c r="H2677" s="391" t="s">
        <v>9568</v>
      </c>
    </row>
    <row r="2678" spans="1:13" x14ac:dyDescent="0.3">
      <c r="A2678" s="45">
        <v>44455</v>
      </c>
      <c r="B2678" s="399"/>
      <c r="C2678" s="5" t="s">
        <v>14</v>
      </c>
      <c r="D2678" s="5" t="s">
        <v>294</v>
      </c>
      <c r="E2678" s="43">
        <v>10000</v>
      </c>
      <c r="F2678" s="43"/>
      <c r="G2678" s="364">
        <f t="shared" si="34"/>
        <v>91395.661290322663</v>
      </c>
      <c r="H2678" s="391" t="s">
        <v>9568</v>
      </c>
    </row>
    <row r="2679" spans="1:13" x14ac:dyDescent="0.3">
      <c r="A2679" s="45">
        <v>44455</v>
      </c>
      <c r="B2679" s="399"/>
      <c r="C2679" s="5" t="s">
        <v>1616</v>
      </c>
      <c r="D2679" s="5" t="s">
        <v>7970</v>
      </c>
      <c r="E2679" s="43">
        <v>3500</v>
      </c>
      <c r="F2679" s="43"/>
      <c r="G2679" s="364">
        <f t="shared" si="34"/>
        <v>87895.661290322663</v>
      </c>
      <c r="H2679" s="391" t="s">
        <v>9568</v>
      </c>
    </row>
    <row r="2680" spans="1:13" x14ac:dyDescent="0.3">
      <c r="A2680" s="45">
        <v>44455</v>
      </c>
      <c r="B2680" s="399"/>
      <c r="C2680" s="5" t="s">
        <v>5793</v>
      </c>
      <c r="D2680" s="5" t="s">
        <v>7971</v>
      </c>
      <c r="E2680" s="43">
        <v>700</v>
      </c>
      <c r="F2680" s="43"/>
      <c r="G2680" s="364">
        <f t="shared" si="34"/>
        <v>87195.661290322663</v>
      </c>
      <c r="H2680" s="391" t="s">
        <v>9568</v>
      </c>
    </row>
    <row r="2681" spans="1:13" x14ac:dyDescent="0.3">
      <c r="A2681" s="45">
        <v>44455</v>
      </c>
      <c r="B2681" s="399"/>
      <c r="C2681" s="5" t="s">
        <v>1410</v>
      </c>
      <c r="D2681" s="5" t="s">
        <v>5508</v>
      </c>
      <c r="E2681" s="43">
        <v>20000</v>
      </c>
      <c r="F2681" s="43"/>
      <c r="G2681" s="364">
        <f t="shared" si="34"/>
        <v>67195.661290322663</v>
      </c>
      <c r="H2681" s="391" t="s">
        <v>9568</v>
      </c>
    </row>
    <row r="2682" spans="1:13" x14ac:dyDescent="0.3">
      <c r="A2682" s="45">
        <v>44455</v>
      </c>
      <c r="B2682" s="399"/>
      <c r="C2682" s="5" t="s">
        <v>84</v>
      </c>
      <c r="D2682" s="5" t="s">
        <v>7972</v>
      </c>
      <c r="E2682" s="43">
        <v>10000</v>
      </c>
      <c r="F2682" s="43"/>
      <c r="G2682" s="364">
        <f t="shared" si="34"/>
        <v>57195.661290322663</v>
      </c>
      <c r="H2682" s="391" t="s">
        <v>9568</v>
      </c>
    </row>
    <row r="2683" spans="1:13" x14ac:dyDescent="0.3">
      <c r="A2683" s="45">
        <v>44455</v>
      </c>
      <c r="B2683" s="580"/>
      <c r="C2683" s="554" t="s">
        <v>7977</v>
      </c>
      <c r="D2683" s="554"/>
      <c r="E2683" s="554"/>
      <c r="F2683" s="43">
        <v>85000</v>
      </c>
      <c r="G2683" s="364">
        <f t="shared" si="34"/>
        <v>142195.66129032266</v>
      </c>
      <c r="H2683" s="391" t="s">
        <v>9568</v>
      </c>
      <c r="M2683" s="93"/>
    </row>
    <row r="2684" spans="1:13" x14ac:dyDescent="0.3">
      <c r="A2684" s="45">
        <v>44456</v>
      </c>
      <c r="B2684" s="399"/>
      <c r="C2684" s="5" t="s">
        <v>7978</v>
      </c>
      <c r="D2684" s="5" t="s">
        <v>7979</v>
      </c>
      <c r="E2684" s="43">
        <v>45000</v>
      </c>
      <c r="F2684" s="43"/>
      <c r="G2684" s="364">
        <f t="shared" si="34"/>
        <v>97195.661290322663</v>
      </c>
      <c r="H2684" s="391" t="s">
        <v>9568</v>
      </c>
    </row>
    <row r="2685" spans="1:13" x14ac:dyDescent="0.3">
      <c r="A2685" s="45">
        <v>44456</v>
      </c>
      <c r="B2685" s="399"/>
      <c r="C2685" s="5" t="s">
        <v>7779</v>
      </c>
      <c r="D2685" s="5" t="s">
        <v>7980</v>
      </c>
      <c r="E2685" s="43">
        <v>40000</v>
      </c>
      <c r="F2685" s="43"/>
      <c r="G2685" s="364">
        <f t="shared" si="34"/>
        <v>57195.661290322663</v>
      </c>
      <c r="H2685" s="391" t="s">
        <v>9568</v>
      </c>
    </row>
    <row r="2686" spans="1:13" x14ac:dyDescent="0.3">
      <c r="A2686" s="45">
        <v>44456</v>
      </c>
      <c r="B2686" s="399"/>
      <c r="C2686" s="5" t="s">
        <v>7546</v>
      </c>
      <c r="D2686" s="5" t="s">
        <v>294</v>
      </c>
      <c r="E2686" s="43">
        <v>40000</v>
      </c>
      <c r="F2686" s="43"/>
      <c r="G2686" s="364">
        <f t="shared" si="34"/>
        <v>17195.661290322663</v>
      </c>
      <c r="H2686" s="391" t="s">
        <v>9568</v>
      </c>
    </row>
    <row r="2687" spans="1:13" x14ac:dyDescent="0.3">
      <c r="A2687" s="45">
        <v>44456</v>
      </c>
      <c r="B2687" s="399"/>
      <c r="C2687" s="5" t="s">
        <v>7779</v>
      </c>
      <c r="D2687" s="5" t="s">
        <v>7981</v>
      </c>
      <c r="E2687" s="43">
        <v>1300</v>
      </c>
      <c r="F2687" s="43"/>
      <c r="G2687" s="364">
        <f t="shared" si="34"/>
        <v>15895.661290322663</v>
      </c>
      <c r="H2687" s="391" t="s">
        <v>9568</v>
      </c>
    </row>
    <row r="2688" spans="1:13" x14ac:dyDescent="0.3">
      <c r="A2688" s="45">
        <v>44456</v>
      </c>
      <c r="B2688" s="399"/>
      <c r="C2688" s="5" t="s">
        <v>0</v>
      </c>
      <c r="D2688" s="5" t="s">
        <v>7982</v>
      </c>
      <c r="E2688" s="43">
        <v>1250</v>
      </c>
      <c r="F2688" s="43"/>
      <c r="G2688" s="364">
        <f t="shared" si="34"/>
        <v>14645.661290322663</v>
      </c>
      <c r="H2688" s="391" t="s">
        <v>9568</v>
      </c>
    </row>
    <row r="2689" spans="1:13" x14ac:dyDescent="0.3">
      <c r="A2689" s="45">
        <v>44456</v>
      </c>
      <c r="B2689" s="399"/>
      <c r="C2689" s="5" t="s">
        <v>54</v>
      </c>
      <c r="D2689" s="5" t="s">
        <v>7998</v>
      </c>
      <c r="E2689" s="43">
        <v>2000</v>
      </c>
      <c r="F2689" s="43"/>
      <c r="G2689" s="364">
        <f t="shared" si="34"/>
        <v>12645.661290322663</v>
      </c>
      <c r="H2689" s="391" t="s">
        <v>9568</v>
      </c>
    </row>
    <row r="2690" spans="1:13" x14ac:dyDescent="0.3">
      <c r="A2690" s="45">
        <v>44457</v>
      </c>
      <c r="B2690" s="399"/>
      <c r="C2690" s="5" t="s">
        <v>25</v>
      </c>
      <c r="D2690" s="5" t="s">
        <v>7934</v>
      </c>
      <c r="E2690" s="43">
        <v>1200</v>
      </c>
      <c r="F2690" s="43"/>
      <c r="G2690" s="364">
        <f t="shared" si="34"/>
        <v>11445.661290322663</v>
      </c>
      <c r="H2690" s="391" t="s">
        <v>9568</v>
      </c>
    </row>
    <row r="2691" spans="1:13" x14ac:dyDescent="0.3">
      <c r="A2691" s="45">
        <v>44457</v>
      </c>
      <c r="B2691" s="399"/>
      <c r="C2691" s="5" t="s">
        <v>25</v>
      </c>
      <c r="D2691" s="5" t="s">
        <v>4276</v>
      </c>
      <c r="E2691" s="43">
        <v>4409</v>
      </c>
      <c r="F2691" s="43"/>
      <c r="G2691" s="364">
        <f t="shared" si="34"/>
        <v>7036.6612903226633</v>
      </c>
      <c r="H2691" s="391" t="s">
        <v>9568</v>
      </c>
    </row>
    <row r="2692" spans="1:13" x14ac:dyDescent="0.3">
      <c r="A2692" s="45">
        <v>44459</v>
      </c>
      <c r="B2692" s="399"/>
      <c r="C2692" s="5" t="s">
        <v>5793</v>
      </c>
      <c r="D2692" s="5" t="s">
        <v>8008</v>
      </c>
      <c r="E2692" s="43">
        <v>1500</v>
      </c>
      <c r="F2692" s="43"/>
      <c r="G2692" s="364">
        <f t="shared" si="34"/>
        <v>5536.6612903226633</v>
      </c>
      <c r="H2692" s="391" t="s">
        <v>9568</v>
      </c>
    </row>
    <row r="2693" spans="1:13" x14ac:dyDescent="0.3">
      <c r="A2693" s="45">
        <v>44459</v>
      </c>
      <c r="B2693" s="399"/>
      <c r="C2693" s="5" t="s">
        <v>14</v>
      </c>
      <c r="D2693" s="5" t="s">
        <v>294</v>
      </c>
      <c r="E2693" s="43">
        <v>1000</v>
      </c>
      <c r="F2693" s="43"/>
      <c r="G2693" s="364">
        <f t="shared" si="34"/>
        <v>4536.6612903226633</v>
      </c>
      <c r="H2693" s="391" t="s">
        <v>9568</v>
      </c>
    </row>
    <row r="2694" spans="1:13" x14ac:dyDescent="0.3">
      <c r="A2694" s="45">
        <v>44459</v>
      </c>
      <c r="B2694" s="580"/>
      <c r="C2694" s="554" t="s">
        <v>861</v>
      </c>
      <c r="D2694" s="554"/>
      <c r="E2694" s="554"/>
      <c r="F2694" s="43">
        <v>100000</v>
      </c>
      <c r="G2694" s="364">
        <f t="shared" si="34"/>
        <v>104536.66129032266</v>
      </c>
      <c r="H2694" s="391" t="s">
        <v>9568</v>
      </c>
      <c r="M2694" s="93"/>
    </row>
    <row r="2695" spans="1:13" x14ac:dyDescent="0.3">
      <c r="A2695" s="45">
        <v>44459</v>
      </c>
      <c r="B2695" s="399"/>
      <c r="C2695" s="5" t="s">
        <v>1074</v>
      </c>
      <c r="D2695" s="5" t="s">
        <v>7339</v>
      </c>
      <c r="E2695" s="43">
        <f>1150+1400+5580+1290</f>
        <v>9420</v>
      </c>
      <c r="F2695" s="43"/>
      <c r="G2695" s="364">
        <f t="shared" si="34"/>
        <v>95116.661290322663</v>
      </c>
      <c r="H2695" s="391" t="s">
        <v>9568</v>
      </c>
    </row>
    <row r="2696" spans="1:13" x14ac:dyDescent="0.3">
      <c r="A2696" s="45">
        <v>44459</v>
      </c>
      <c r="B2696" s="399"/>
      <c r="C2696" s="5" t="s">
        <v>8009</v>
      </c>
      <c r="D2696" s="5" t="s">
        <v>8010</v>
      </c>
      <c r="E2696" s="43">
        <v>1000</v>
      </c>
      <c r="F2696" s="43"/>
      <c r="G2696" s="364">
        <f t="shared" si="34"/>
        <v>94116.661290322663</v>
      </c>
      <c r="H2696" s="391" t="s">
        <v>9568</v>
      </c>
    </row>
    <row r="2697" spans="1:13" x14ac:dyDescent="0.3">
      <c r="A2697" s="45">
        <v>44459</v>
      </c>
      <c r="B2697" s="399"/>
      <c r="C2697" s="5" t="s">
        <v>4281</v>
      </c>
      <c r="D2697" s="5" t="s">
        <v>8011</v>
      </c>
      <c r="E2697" s="43">
        <v>200</v>
      </c>
      <c r="F2697" s="43"/>
      <c r="G2697" s="364">
        <f t="shared" si="34"/>
        <v>93916.661290322663</v>
      </c>
      <c r="H2697" s="391" t="s">
        <v>9568</v>
      </c>
    </row>
    <row r="2698" spans="1:13" x14ac:dyDescent="0.3">
      <c r="A2698" s="45">
        <v>44459</v>
      </c>
      <c r="B2698" s="399"/>
      <c r="C2698" s="5" t="s">
        <v>0</v>
      </c>
      <c r="D2698" s="5" t="s">
        <v>294</v>
      </c>
      <c r="E2698" s="43">
        <v>5000</v>
      </c>
      <c r="F2698" s="43"/>
      <c r="G2698" s="364">
        <f t="shared" si="34"/>
        <v>88916.661290322663</v>
      </c>
      <c r="H2698" s="391" t="s">
        <v>9568</v>
      </c>
    </row>
    <row r="2699" spans="1:13" x14ac:dyDescent="0.3">
      <c r="A2699" s="45">
        <v>44459</v>
      </c>
      <c r="B2699" s="399"/>
      <c r="C2699" s="5" t="s">
        <v>6908</v>
      </c>
      <c r="D2699" s="5" t="s">
        <v>8012</v>
      </c>
      <c r="E2699" s="43">
        <v>1000</v>
      </c>
      <c r="F2699" s="43"/>
      <c r="G2699" s="364">
        <f t="shared" ref="G2699:G2729" si="35">G2698+F2699-E2699</f>
        <v>87916.661290322663</v>
      </c>
      <c r="H2699" s="391" t="s">
        <v>9568</v>
      </c>
    </row>
    <row r="2700" spans="1:13" x14ac:dyDescent="0.3">
      <c r="A2700" s="45">
        <v>44459</v>
      </c>
      <c r="B2700" s="399"/>
      <c r="C2700" s="5" t="s">
        <v>1512</v>
      </c>
      <c r="D2700" s="5" t="s">
        <v>8013</v>
      </c>
      <c r="E2700" s="43">
        <v>4600</v>
      </c>
      <c r="F2700" s="43"/>
      <c r="G2700" s="364">
        <f t="shared" si="35"/>
        <v>83316.661290322663</v>
      </c>
      <c r="H2700" s="391" t="s">
        <v>9568</v>
      </c>
    </row>
    <row r="2701" spans="1:13" x14ac:dyDescent="0.3">
      <c r="A2701" s="45">
        <v>44460</v>
      </c>
      <c r="B2701" s="399"/>
      <c r="C2701" s="5" t="s">
        <v>14</v>
      </c>
      <c r="D2701" s="5" t="s">
        <v>294</v>
      </c>
      <c r="E2701" s="43">
        <v>2000</v>
      </c>
      <c r="F2701" s="43"/>
      <c r="G2701" s="364">
        <f t="shared" si="35"/>
        <v>81316.661290322663</v>
      </c>
      <c r="H2701" s="391" t="s">
        <v>9568</v>
      </c>
    </row>
    <row r="2702" spans="1:13" x14ac:dyDescent="0.3">
      <c r="A2702" s="45">
        <v>44460</v>
      </c>
      <c r="B2702" s="399"/>
      <c r="C2702" s="5" t="s">
        <v>5709</v>
      </c>
      <c r="D2702" s="5" t="s">
        <v>8015</v>
      </c>
      <c r="E2702" s="43">
        <v>4660</v>
      </c>
      <c r="F2702" s="43"/>
      <c r="G2702" s="364">
        <f t="shared" si="35"/>
        <v>76656.661290322663</v>
      </c>
      <c r="H2702" s="391" t="s">
        <v>9568</v>
      </c>
    </row>
    <row r="2703" spans="1:13" x14ac:dyDescent="0.3">
      <c r="A2703" s="45">
        <v>44460</v>
      </c>
      <c r="B2703" s="399"/>
      <c r="C2703" s="5" t="s">
        <v>5709</v>
      </c>
      <c r="D2703" s="5" t="s">
        <v>8016</v>
      </c>
      <c r="E2703" s="43">
        <v>3500</v>
      </c>
      <c r="F2703" s="43"/>
      <c r="G2703" s="364">
        <f t="shared" si="35"/>
        <v>73156.661290322663</v>
      </c>
      <c r="H2703" s="391" t="s">
        <v>9568</v>
      </c>
    </row>
    <row r="2704" spans="1:13" x14ac:dyDescent="0.3">
      <c r="A2704" s="45">
        <v>44461</v>
      </c>
      <c r="B2704" s="399"/>
      <c r="C2704" s="5" t="s">
        <v>6908</v>
      </c>
      <c r="D2704" s="5" t="s">
        <v>8017</v>
      </c>
      <c r="E2704" s="43">
        <v>500</v>
      </c>
      <c r="F2704" s="43"/>
      <c r="G2704" s="364">
        <f t="shared" si="35"/>
        <v>72656.661290322663</v>
      </c>
      <c r="H2704" s="391" t="s">
        <v>9568</v>
      </c>
    </row>
    <row r="2705" spans="1:8" x14ac:dyDescent="0.3">
      <c r="A2705" s="45">
        <v>44461</v>
      </c>
      <c r="B2705" s="399"/>
      <c r="C2705" s="5" t="s">
        <v>14</v>
      </c>
      <c r="D2705" s="5" t="s">
        <v>8018</v>
      </c>
      <c r="E2705" s="43">
        <v>8986</v>
      </c>
      <c r="F2705" s="43"/>
      <c r="G2705" s="364">
        <f t="shared" si="35"/>
        <v>63670.661290322663</v>
      </c>
      <c r="H2705" s="391" t="s">
        <v>9568</v>
      </c>
    </row>
    <row r="2706" spans="1:8" x14ac:dyDescent="0.3">
      <c r="A2706" s="45">
        <v>44461</v>
      </c>
      <c r="B2706" s="399"/>
      <c r="C2706" s="5" t="s">
        <v>3559</v>
      </c>
      <c r="D2706" s="5" t="s">
        <v>8019</v>
      </c>
      <c r="E2706" s="43">
        <v>32367</v>
      </c>
      <c r="F2706" s="43"/>
      <c r="G2706" s="364">
        <f t="shared" si="35"/>
        <v>31303.661290322663</v>
      </c>
      <c r="H2706" s="391" t="s">
        <v>9568</v>
      </c>
    </row>
    <row r="2707" spans="1:8" x14ac:dyDescent="0.3">
      <c r="A2707" s="45">
        <v>44461</v>
      </c>
      <c r="B2707" s="399"/>
      <c r="C2707" s="5" t="s">
        <v>25</v>
      </c>
      <c r="D2707" s="5" t="s">
        <v>8019</v>
      </c>
      <c r="E2707" s="43">
        <v>9247</v>
      </c>
      <c r="F2707" s="43"/>
      <c r="G2707" s="364">
        <f t="shared" si="35"/>
        <v>22056.661290322663</v>
      </c>
      <c r="H2707" s="391" t="s">
        <v>9568</v>
      </c>
    </row>
    <row r="2708" spans="1:8" x14ac:dyDescent="0.3">
      <c r="A2708" s="45">
        <v>44461</v>
      </c>
      <c r="B2708" s="399"/>
      <c r="C2708" s="5" t="s">
        <v>14</v>
      </c>
      <c r="D2708" s="5" t="s">
        <v>294</v>
      </c>
      <c r="E2708" s="43">
        <v>15000</v>
      </c>
      <c r="F2708" s="43"/>
      <c r="G2708" s="364">
        <f t="shared" si="35"/>
        <v>7056.6612903226633</v>
      </c>
      <c r="H2708" s="391" t="s">
        <v>9568</v>
      </c>
    </row>
    <row r="2709" spans="1:8" x14ac:dyDescent="0.3">
      <c r="A2709" s="45">
        <v>44461</v>
      </c>
      <c r="B2709" s="580"/>
      <c r="C2709" s="554" t="s">
        <v>4329</v>
      </c>
      <c r="D2709" s="554"/>
      <c r="E2709" s="554"/>
      <c r="F2709" s="43">
        <v>200000</v>
      </c>
      <c r="G2709" s="364">
        <f t="shared" si="35"/>
        <v>207056.66129032266</v>
      </c>
      <c r="H2709" s="391" t="s">
        <v>9568</v>
      </c>
    </row>
    <row r="2710" spans="1:8" x14ac:dyDescent="0.3">
      <c r="A2710" s="45">
        <v>44461</v>
      </c>
      <c r="B2710" s="399"/>
      <c r="C2710" s="5" t="s">
        <v>0</v>
      </c>
      <c r="D2710" s="5" t="s">
        <v>294</v>
      </c>
      <c r="E2710" s="43">
        <v>30000</v>
      </c>
      <c r="F2710" s="43"/>
      <c r="G2710" s="364">
        <f t="shared" si="35"/>
        <v>177056.66129032266</v>
      </c>
      <c r="H2710" s="391" t="s">
        <v>9568</v>
      </c>
    </row>
    <row r="2711" spans="1:8" x14ac:dyDescent="0.3">
      <c r="A2711" s="45">
        <v>44461</v>
      </c>
      <c r="B2711" s="399"/>
      <c r="C2711" s="5" t="s">
        <v>5162</v>
      </c>
      <c r="D2711" s="5" t="s">
        <v>8024</v>
      </c>
      <c r="E2711" s="43">
        <v>850</v>
      </c>
      <c r="F2711" s="43"/>
      <c r="G2711" s="364">
        <f t="shared" si="35"/>
        <v>176206.66129032266</v>
      </c>
      <c r="H2711" s="391" t="s">
        <v>9568</v>
      </c>
    </row>
    <row r="2712" spans="1:8" x14ac:dyDescent="0.3">
      <c r="A2712" s="45">
        <v>44461</v>
      </c>
      <c r="B2712" s="399"/>
      <c r="C2712" s="5" t="s">
        <v>5162</v>
      </c>
      <c r="D2712" s="5" t="s">
        <v>8025</v>
      </c>
      <c r="E2712" s="43">
        <v>600</v>
      </c>
      <c r="F2712" s="43"/>
      <c r="G2712" s="364">
        <f t="shared" si="35"/>
        <v>175606.66129032266</v>
      </c>
      <c r="H2712" s="391" t="s">
        <v>9568</v>
      </c>
    </row>
    <row r="2713" spans="1:8" x14ac:dyDescent="0.3">
      <c r="A2713" s="45">
        <v>44462</v>
      </c>
      <c r="B2713" s="404"/>
      <c r="C2713" s="41" t="s">
        <v>8026</v>
      </c>
      <c r="D2713" s="41" t="s">
        <v>8027</v>
      </c>
      <c r="E2713" s="42">
        <v>87300</v>
      </c>
      <c r="F2713" s="43"/>
      <c r="G2713" s="364">
        <f t="shared" si="35"/>
        <v>88306.661290322663</v>
      </c>
      <c r="H2713" s="391" t="s">
        <v>9568</v>
      </c>
    </row>
    <row r="2714" spans="1:8" x14ac:dyDescent="0.3">
      <c r="A2714" s="45">
        <v>44462</v>
      </c>
      <c r="B2714" s="399"/>
      <c r="C2714" s="5" t="s">
        <v>4550</v>
      </c>
      <c r="D2714" s="5" t="s">
        <v>294</v>
      </c>
      <c r="E2714" s="43">
        <v>12250</v>
      </c>
      <c r="F2714" s="43"/>
      <c r="G2714" s="364">
        <f t="shared" si="35"/>
        <v>76056.661290322663</v>
      </c>
      <c r="H2714" s="391" t="s">
        <v>9568</v>
      </c>
    </row>
    <row r="2715" spans="1:8" x14ac:dyDescent="0.3">
      <c r="A2715" s="45">
        <v>44462</v>
      </c>
      <c r="B2715" s="409"/>
      <c r="C2715" s="61" t="s">
        <v>4550</v>
      </c>
      <c r="D2715" s="61" t="s">
        <v>294</v>
      </c>
      <c r="E2715" s="62">
        <v>5000</v>
      </c>
      <c r="F2715" s="43"/>
      <c r="G2715" s="364">
        <f t="shared" si="35"/>
        <v>71056.661290322663</v>
      </c>
      <c r="H2715" s="391" t="s">
        <v>9568</v>
      </c>
    </row>
    <row r="2716" spans="1:8" x14ac:dyDescent="0.3">
      <c r="A2716" s="45">
        <v>44462</v>
      </c>
      <c r="B2716" s="399"/>
      <c r="C2716" s="5" t="s">
        <v>0</v>
      </c>
      <c r="D2716" s="5" t="s">
        <v>294</v>
      </c>
      <c r="E2716" s="43">
        <v>2000</v>
      </c>
      <c r="F2716" s="43"/>
      <c r="G2716" s="364">
        <f t="shared" si="35"/>
        <v>69056.661290322663</v>
      </c>
      <c r="H2716" s="391" t="s">
        <v>9568</v>
      </c>
    </row>
    <row r="2717" spans="1:8" x14ac:dyDescent="0.3">
      <c r="A2717" s="45">
        <v>44462</v>
      </c>
      <c r="B2717" s="399"/>
      <c r="C2717" s="5" t="s">
        <v>4504</v>
      </c>
      <c r="D2717" s="5" t="s">
        <v>8029</v>
      </c>
      <c r="E2717" s="43">
        <v>15000</v>
      </c>
      <c r="F2717" s="43"/>
      <c r="G2717" s="364">
        <f t="shared" si="35"/>
        <v>54056.661290322663</v>
      </c>
      <c r="H2717" s="391" t="s">
        <v>9568</v>
      </c>
    </row>
    <row r="2718" spans="1:8" x14ac:dyDescent="0.3">
      <c r="A2718" s="45">
        <v>44463</v>
      </c>
      <c r="B2718" s="399"/>
      <c r="C2718" s="5" t="s">
        <v>14</v>
      </c>
      <c r="D2718" s="5" t="s">
        <v>294</v>
      </c>
      <c r="E2718" s="43">
        <v>10000</v>
      </c>
      <c r="F2718" s="43"/>
      <c r="G2718" s="364">
        <f t="shared" si="35"/>
        <v>44056.661290322663</v>
      </c>
      <c r="H2718" s="391" t="s">
        <v>9568</v>
      </c>
    </row>
    <row r="2719" spans="1:8" x14ac:dyDescent="0.3">
      <c r="A2719" s="45">
        <v>44463</v>
      </c>
      <c r="B2719" s="399"/>
      <c r="C2719" s="5" t="s">
        <v>5938</v>
      </c>
      <c r="D2719" s="5" t="s">
        <v>8030</v>
      </c>
      <c r="E2719" s="43">
        <v>20000</v>
      </c>
      <c r="F2719" s="43"/>
      <c r="G2719" s="364">
        <f t="shared" si="35"/>
        <v>24056.661290322663</v>
      </c>
      <c r="H2719" s="391" t="s">
        <v>9568</v>
      </c>
    </row>
    <row r="2720" spans="1:8" x14ac:dyDescent="0.3">
      <c r="A2720" s="45">
        <v>44463</v>
      </c>
      <c r="B2720" s="399"/>
      <c r="C2720" s="5" t="s">
        <v>6430</v>
      </c>
      <c r="D2720" s="5" t="s">
        <v>4512</v>
      </c>
      <c r="E2720" s="43">
        <v>4550</v>
      </c>
      <c r="F2720" s="43"/>
      <c r="G2720" s="364">
        <f t="shared" si="35"/>
        <v>19506.661290322663</v>
      </c>
      <c r="H2720" s="391" t="s">
        <v>9568</v>
      </c>
    </row>
    <row r="2721" spans="1:13" x14ac:dyDescent="0.3">
      <c r="A2721" s="45">
        <v>44463</v>
      </c>
      <c r="B2721" s="399"/>
      <c r="C2721" s="5" t="s">
        <v>25</v>
      </c>
      <c r="D2721" s="5" t="s">
        <v>7934</v>
      </c>
      <c r="E2721" s="43">
        <v>1600</v>
      </c>
      <c r="F2721" s="43"/>
      <c r="G2721" s="364">
        <f t="shared" si="35"/>
        <v>17906.661290322663</v>
      </c>
      <c r="H2721" s="391" t="s">
        <v>9568</v>
      </c>
    </row>
    <row r="2722" spans="1:13" x14ac:dyDescent="0.3">
      <c r="A2722" s="45">
        <v>44463</v>
      </c>
      <c r="B2722" s="399"/>
      <c r="C2722" s="5" t="s">
        <v>25</v>
      </c>
      <c r="D2722" s="5" t="s">
        <v>4276</v>
      </c>
      <c r="E2722" s="43">
        <v>1850</v>
      </c>
      <c r="F2722" s="43"/>
      <c r="G2722" s="364">
        <f t="shared" si="35"/>
        <v>16056.661290322663</v>
      </c>
      <c r="H2722" s="391" t="s">
        <v>9568</v>
      </c>
    </row>
    <row r="2723" spans="1:13" x14ac:dyDescent="0.3">
      <c r="A2723" s="45">
        <v>44464</v>
      </c>
      <c r="B2723" s="399"/>
      <c r="C2723" s="5" t="s">
        <v>84</v>
      </c>
      <c r="D2723" s="5" t="s">
        <v>8031</v>
      </c>
      <c r="E2723" s="43">
        <v>2000</v>
      </c>
      <c r="F2723" s="43"/>
      <c r="G2723" s="364">
        <f t="shared" si="35"/>
        <v>14056.661290322663</v>
      </c>
      <c r="H2723" s="391" t="s">
        <v>9568</v>
      </c>
    </row>
    <row r="2724" spans="1:13" x14ac:dyDescent="0.3">
      <c r="A2724" s="45">
        <v>44464</v>
      </c>
      <c r="B2724" s="399"/>
      <c r="C2724" s="5" t="s">
        <v>84</v>
      </c>
      <c r="D2724" s="5" t="s">
        <v>8032</v>
      </c>
      <c r="E2724" s="43">
        <v>6000</v>
      </c>
      <c r="F2724" s="43"/>
      <c r="G2724" s="364">
        <f t="shared" si="35"/>
        <v>8056.6612903226633</v>
      </c>
      <c r="H2724" s="391" t="s">
        <v>9568</v>
      </c>
    </row>
    <row r="2725" spans="1:13" x14ac:dyDescent="0.3">
      <c r="A2725" s="45">
        <v>44464</v>
      </c>
      <c r="B2725" s="580"/>
      <c r="C2725" s="554" t="s">
        <v>8034</v>
      </c>
      <c r="D2725" s="554"/>
      <c r="E2725" s="554"/>
      <c r="F2725" s="43">
        <v>26000</v>
      </c>
      <c r="G2725" s="364">
        <f t="shared" si="35"/>
        <v>34056.661290322663</v>
      </c>
      <c r="H2725" s="391" t="s">
        <v>9568</v>
      </c>
      <c r="M2725" s="93"/>
    </row>
    <row r="2726" spans="1:13" x14ac:dyDescent="0.3">
      <c r="A2726" s="45">
        <v>44464</v>
      </c>
      <c r="B2726" s="399"/>
      <c r="C2726" s="5" t="s">
        <v>0</v>
      </c>
      <c r="D2726" s="5" t="s">
        <v>8033</v>
      </c>
      <c r="E2726" s="43">
        <v>14000</v>
      </c>
      <c r="F2726" s="43"/>
      <c r="G2726" s="364">
        <f t="shared" si="35"/>
        <v>20056.661290322663</v>
      </c>
      <c r="H2726" s="391" t="s">
        <v>9568</v>
      </c>
    </row>
    <row r="2727" spans="1:13" x14ac:dyDescent="0.3">
      <c r="A2727" s="45">
        <v>44464</v>
      </c>
      <c r="B2727" s="580"/>
      <c r="C2727" s="554" t="s">
        <v>8035</v>
      </c>
      <c r="D2727" s="554"/>
      <c r="E2727" s="554"/>
      <c r="F2727" s="43">
        <v>134000</v>
      </c>
      <c r="G2727" s="364">
        <f>G2726+F2727-E2727</f>
        <v>154056.66129032266</v>
      </c>
      <c r="H2727" s="391" t="s">
        <v>9568</v>
      </c>
      <c r="M2727" s="93"/>
    </row>
    <row r="2728" spans="1:13" x14ac:dyDescent="0.3">
      <c r="A2728" s="45">
        <v>44464</v>
      </c>
      <c r="B2728" s="399"/>
      <c r="C2728" s="5" t="s">
        <v>3563</v>
      </c>
      <c r="D2728" s="5" t="s">
        <v>8039</v>
      </c>
      <c r="E2728" s="43">
        <v>2500</v>
      </c>
      <c r="F2728" s="43"/>
      <c r="G2728" s="364">
        <f t="shared" si="35"/>
        <v>151556.66129032266</v>
      </c>
      <c r="H2728" s="391" t="s">
        <v>9568</v>
      </c>
    </row>
    <row r="2729" spans="1:13" x14ac:dyDescent="0.3">
      <c r="A2729" s="45">
        <v>44464</v>
      </c>
      <c r="B2729" s="399"/>
      <c r="C2729" s="5" t="s">
        <v>8040</v>
      </c>
      <c r="D2729" s="5" t="s">
        <v>5508</v>
      </c>
      <c r="E2729" s="43">
        <v>340</v>
      </c>
      <c r="F2729" s="43"/>
      <c r="G2729" s="364">
        <f t="shared" si="35"/>
        <v>151216.66129032266</v>
      </c>
      <c r="H2729" s="391" t="s">
        <v>9568</v>
      </c>
    </row>
    <row r="2730" spans="1:13" x14ac:dyDescent="0.3">
      <c r="A2730" s="45">
        <v>44464</v>
      </c>
      <c r="B2730" s="399"/>
      <c r="C2730" s="5" t="s">
        <v>84</v>
      </c>
      <c r="D2730" s="5" t="s">
        <v>8041</v>
      </c>
      <c r="E2730" s="43">
        <v>15000</v>
      </c>
      <c r="F2730" s="43"/>
      <c r="G2730" s="364">
        <f>G2729+F2730-E2730</f>
        <v>136216.66129032266</v>
      </c>
      <c r="H2730" s="391" t="s">
        <v>9568</v>
      </c>
    </row>
    <row r="2731" spans="1:13" x14ac:dyDescent="0.3">
      <c r="A2731" s="45">
        <v>44466</v>
      </c>
      <c r="B2731" s="399"/>
      <c r="C2731" s="5" t="s">
        <v>84</v>
      </c>
      <c r="D2731" s="61" t="s">
        <v>8042</v>
      </c>
      <c r="E2731" s="43">
        <v>1000</v>
      </c>
      <c r="F2731" s="43"/>
      <c r="G2731" s="364">
        <f t="shared" ref="G2731:G2794" si="36">G2730+F2731-E2731</f>
        <v>135216.66129032266</v>
      </c>
      <c r="H2731" s="391" t="s">
        <v>9568</v>
      </c>
    </row>
    <row r="2732" spans="1:13" x14ac:dyDescent="0.3">
      <c r="A2732" s="45">
        <v>44466</v>
      </c>
      <c r="B2732" s="399"/>
      <c r="C2732" s="5" t="s">
        <v>0</v>
      </c>
      <c r="D2732" s="5" t="s">
        <v>8043</v>
      </c>
      <c r="E2732" s="43">
        <v>4000</v>
      </c>
      <c r="F2732" s="43"/>
      <c r="G2732" s="364">
        <f t="shared" si="36"/>
        <v>131216.66129032266</v>
      </c>
      <c r="H2732" s="391" t="s">
        <v>9568</v>
      </c>
    </row>
    <row r="2733" spans="1:13" x14ac:dyDescent="0.3">
      <c r="A2733" s="45">
        <v>44466</v>
      </c>
      <c r="B2733" s="399"/>
      <c r="C2733" s="5" t="s">
        <v>7692</v>
      </c>
      <c r="D2733" s="5" t="s">
        <v>8044</v>
      </c>
      <c r="E2733" s="43">
        <v>10000</v>
      </c>
      <c r="F2733" s="43"/>
      <c r="G2733" s="364">
        <f t="shared" si="36"/>
        <v>121216.66129032266</v>
      </c>
      <c r="H2733" s="391" t="s">
        <v>9568</v>
      </c>
    </row>
    <row r="2734" spans="1:13" x14ac:dyDescent="0.3">
      <c r="A2734" s="45">
        <v>44466</v>
      </c>
      <c r="B2734" s="580"/>
      <c r="C2734" s="554" t="s">
        <v>4415</v>
      </c>
      <c r="D2734" s="554"/>
      <c r="E2734" s="554"/>
      <c r="F2734" s="43">
        <v>300000</v>
      </c>
      <c r="G2734" s="364">
        <f t="shared" si="36"/>
        <v>421216.66129032266</v>
      </c>
      <c r="H2734" s="391" t="s">
        <v>9568</v>
      </c>
      <c r="M2734" s="93"/>
    </row>
    <row r="2735" spans="1:13" x14ac:dyDescent="0.3">
      <c r="A2735" s="45">
        <v>44467</v>
      </c>
      <c r="B2735" s="399"/>
      <c r="C2735" s="5" t="s">
        <v>8045</v>
      </c>
      <c r="D2735" s="5" t="s">
        <v>8046</v>
      </c>
      <c r="E2735" s="43">
        <v>380754</v>
      </c>
      <c r="F2735" s="43"/>
      <c r="G2735" s="364">
        <f t="shared" si="36"/>
        <v>40462.661290322663</v>
      </c>
      <c r="H2735" s="391" t="s">
        <v>9568</v>
      </c>
    </row>
    <row r="2736" spans="1:13" x14ac:dyDescent="0.3">
      <c r="A2736" s="45">
        <v>44467</v>
      </c>
      <c r="B2736" s="428"/>
      <c r="C2736" s="273" t="s">
        <v>4504</v>
      </c>
      <c r="D2736" s="273" t="s">
        <v>8047</v>
      </c>
      <c r="E2736" s="274"/>
      <c r="F2736" s="274">
        <v>15000</v>
      </c>
      <c r="G2736" s="364">
        <f t="shared" si="36"/>
        <v>55462.661290322663</v>
      </c>
      <c r="H2736" s="391" t="s">
        <v>9568</v>
      </c>
    </row>
    <row r="2737" spans="1:13" x14ac:dyDescent="0.3">
      <c r="A2737" s="45">
        <v>44467</v>
      </c>
      <c r="B2737" s="399"/>
      <c r="C2737" s="5" t="s">
        <v>3559</v>
      </c>
      <c r="D2737" s="5" t="s">
        <v>7966</v>
      </c>
      <c r="E2737" s="43">
        <v>630</v>
      </c>
      <c r="F2737" s="43"/>
      <c r="G2737" s="364">
        <f t="shared" si="36"/>
        <v>54832.661290322663</v>
      </c>
      <c r="H2737" s="391" t="s">
        <v>9568</v>
      </c>
    </row>
    <row r="2738" spans="1:13" x14ac:dyDescent="0.3">
      <c r="A2738" s="45">
        <v>44467</v>
      </c>
      <c r="B2738" s="399"/>
      <c r="C2738" s="5" t="s">
        <v>5162</v>
      </c>
      <c r="D2738" s="5" t="s">
        <v>8048</v>
      </c>
      <c r="E2738" s="43">
        <v>1000</v>
      </c>
      <c r="F2738" s="43"/>
      <c r="G2738" s="364">
        <f t="shared" si="36"/>
        <v>53832.661290322663</v>
      </c>
      <c r="H2738" s="391" t="s">
        <v>9568</v>
      </c>
    </row>
    <row r="2739" spans="1:13" x14ac:dyDescent="0.3">
      <c r="A2739" s="45">
        <v>44467</v>
      </c>
      <c r="B2739" s="580"/>
      <c r="C2739" s="554" t="s">
        <v>8049</v>
      </c>
      <c r="D2739" s="554"/>
      <c r="E2739" s="554"/>
      <c r="F2739" s="43">
        <v>20000</v>
      </c>
      <c r="G2739" s="364">
        <f t="shared" si="36"/>
        <v>73832.661290322663</v>
      </c>
      <c r="H2739" s="391" t="s">
        <v>9568</v>
      </c>
      <c r="M2739" s="93"/>
    </row>
    <row r="2740" spans="1:13" x14ac:dyDescent="0.3">
      <c r="A2740" s="45">
        <v>44467</v>
      </c>
      <c r="B2740" s="399"/>
      <c r="C2740" s="5" t="s">
        <v>3985</v>
      </c>
      <c r="D2740" s="5" t="s">
        <v>8050</v>
      </c>
      <c r="E2740" s="43">
        <v>50000</v>
      </c>
      <c r="F2740" s="43"/>
      <c r="G2740" s="364">
        <f t="shared" si="36"/>
        <v>23832.661290322663</v>
      </c>
      <c r="H2740" s="391" t="s">
        <v>9568</v>
      </c>
    </row>
    <row r="2741" spans="1:13" x14ac:dyDescent="0.3">
      <c r="A2741" s="45">
        <v>44467</v>
      </c>
      <c r="B2741" s="399"/>
      <c r="C2741" s="5" t="s">
        <v>84</v>
      </c>
      <c r="D2741" s="5" t="s">
        <v>8051</v>
      </c>
      <c r="E2741" s="43">
        <v>2000</v>
      </c>
      <c r="F2741" s="43"/>
      <c r="G2741" s="364">
        <f t="shared" si="36"/>
        <v>21832.661290322663</v>
      </c>
      <c r="H2741" s="391" t="s">
        <v>9568</v>
      </c>
    </row>
    <row r="2742" spans="1:13" x14ac:dyDescent="0.3">
      <c r="A2742" s="45">
        <v>44468</v>
      </c>
      <c r="B2742" s="399"/>
      <c r="C2742" s="5" t="s">
        <v>25</v>
      </c>
      <c r="D2742" s="5" t="s">
        <v>7934</v>
      </c>
      <c r="E2742" s="43">
        <v>1000</v>
      </c>
      <c r="F2742" s="43"/>
      <c r="G2742" s="364">
        <f t="shared" si="36"/>
        <v>20832.661290322663</v>
      </c>
      <c r="H2742" s="391" t="s">
        <v>9568</v>
      </c>
    </row>
    <row r="2743" spans="1:13" x14ac:dyDescent="0.3">
      <c r="A2743" s="45">
        <v>44468</v>
      </c>
      <c r="B2743" s="399"/>
      <c r="C2743" s="5" t="s">
        <v>25</v>
      </c>
      <c r="D2743" s="5" t="s">
        <v>4276</v>
      </c>
      <c r="E2743" s="43">
        <f>528+180+110+200+750+160+30+280+50+280+50+600+150+80</f>
        <v>3448</v>
      </c>
      <c r="F2743" s="43"/>
      <c r="G2743" s="364">
        <f t="shared" si="36"/>
        <v>17384.661290322663</v>
      </c>
      <c r="H2743" s="391" t="s">
        <v>9568</v>
      </c>
    </row>
    <row r="2744" spans="1:13" x14ac:dyDescent="0.3">
      <c r="A2744" s="45">
        <v>44468</v>
      </c>
      <c r="B2744" s="399"/>
      <c r="C2744" s="5" t="s">
        <v>14</v>
      </c>
      <c r="D2744" s="5" t="s">
        <v>294</v>
      </c>
      <c r="E2744" s="43">
        <v>9000</v>
      </c>
      <c r="F2744" s="43"/>
      <c r="G2744" s="364">
        <f t="shared" si="36"/>
        <v>8384.6612903226633</v>
      </c>
      <c r="H2744" s="391" t="s">
        <v>9568</v>
      </c>
    </row>
    <row r="2745" spans="1:13" x14ac:dyDescent="0.3">
      <c r="A2745" s="45">
        <v>44468</v>
      </c>
      <c r="B2745" s="399"/>
      <c r="C2745" s="5" t="s">
        <v>25</v>
      </c>
      <c r="D2745" s="5" t="s">
        <v>6049</v>
      </c>
      <c r="E2745" s="43">
        <v>50</v>
      </c>
      <c r="F2745" s="43"/>
      <c r="G2745" s="364">
        <f t="shared" si="36"/>
        <v>8334.6612903226633</v>
      </c>
      <c r="H2745" s="391" t="s">
        <v>9568</v>
      </c>
    </row>
    <row r="2746" spans="1:13" x14ac:dyDescent="0.3">
      <c r="A2746" s="45">
        <v>44468</v>
      </c>
      <c r="B2746" s="399"/>
      <c r="C2746" s="5" t="s">
        <v>110</v>
      </c>
      <c r="D2746" s="5" t="s">
        <v>7954</v>
      </c>
      <c r="E2746" s="43">
        <v>3000</v>
      </c>
      <c r="F2746" s="43"/>
      <c r="G2746" s="364">
        <f t="shared" si="36"/>
        <v>5334.6612903226633</v>
      </c>
      <c r="H2746" s="391" t="s">
        <v>9568</v>
      </c>
    </row>
    <row r="2747" spans="1:13" x14ac:dyDescent="0.3">
      <c r="A2747" s="45">
        <v>44468</v>
      </c>
      <c r="B2747" s="580"/>
      <c r="C2747" s="554" t="s">
        <v>861</v>
      </c>
      <c r="D2747" s="554"/>
      <c r="E2747" s="554"/>
      <c r="F2747" s="43">
        <v>100000</v>
      </c>
      <c r="G2747" s="364">
        <f t="shared" si="36"/>
        <v>105334.66129032266</v>
      </c>
      <c r="H2747" s="391" t="s">
        <v>9568</v>
      </c>
      <c r="M2747" s="93"/>
    </row>
    <row r="2748" spans="1:13" x14ac:dyDescent="0.3">
      <c r="A2748" s="45">
        <v>44468</v>
      </c>
      <c r="B2748" s="428"/>
      <c r="C2748" s="273" t="s">
        <v>325</v>
      </c>
      <c r="D2748" s="273" t="s">
        <v>8053</v>
      </c>
      <c r="E2748" s="274">
        <v>20000</v>
      </c>
      <c r="F2748" s="274"/>
      <c r="G2748" s="364">
        <f t="shared" si="36"/>
        <v>85334.661290322663</v>
      </c>
      <c r="H2748" s="391" t="s">
        <v>9568</v>
      </c>
    </row>
    <row r="2749" spans="1:13" x14ac:dyDescent="0.3">
      <c r="A2749" s="45">
        <v>44468</v>
      </c>
      <c r="B2749" s="399"/>
      <c r="C2749" s="5" t="s">
        <v>1837</v>
      </c>
      <c r="D2749" s="5" t="s">
        <v>8054</v>
      </c>
      <c r="E2749" s="43">
        <v>1500</v>
      </c>
      <c r="F2749" s="43"/>
      <c r="G2749" s="364">
        <f t="shared" si="36"/>
        <v>83834.661290322663</v>
      </c>
      <c r="H2749" s="391" t="s">
        <v>9568</v>
      </c>
    </row>
    <row r="2750" spans="1:13" x14ac:dyDescent="0.3">
      <c r="A2750" s="45">
        <v>44468</v>
      </c>
      <c r="B2750" s="399"/>
      <c r="C2750" s="5" t="s">
        <v>5156</v>
      </c>
      <c r="D2750" s="5" t="s">
        <v>8055</v>
      </c>
      <c r="E2750" s="43">
        <v>650</v>
      </c>
      <c r="F2750" s="43"/>
      <c r="G2750" s="364">
        <f t="shared" si="36"/>
        <v>83184.661290322663</v>
      </c>
      <c r="H2750" s="391" t="s">
        <v>9568</v>
      </c>
    </row>
    <row r="2751" spans="1:13" x14ac:dyDescent="0.3">
      <c r="A2751" s="45">
        <v>44469</v>
      </c>
      <c r="B2751" s="399"/>
      <c r="C2751" s="5" t="s">
        <v>84</v>
      </c>
      <c r="D2751" s="5" t="s">
        <v>8056</v>
      </c>
      <c r="E2751" s="43">
        <v>2000</v>
      </c>
      <c r="F2751" s="43"/>
      <c r="G2751" s="364">
        <f t="shared" si="36"/>
        <v>81184.661290322663</v>
      </c>
      <c r="H2751" s="391" t="s">
        <v>9568</v>
      </c>
    </row>
    <row r="2752" spans="1:13" x14ac:dyDescent="0.3">
      <c r="A2752" s="45">
        <v>44469</v>
      </c>
      <c r="B2752" s="399"/>
      <c r="C2752" s="5" t="s">
        <v>8057</v>
      </c>
      <c r="D2752" s="5" t="s">
        <v>6516</v>
      </c>
      <c r="E2752" s="43">
        <v>20000</v>
      </c>
      <c r="F2752" s="43"/>
      <c r="G2752" s="364">
        <f t="shared" si="36"/>
        <v>61184.661290322663</v>
      </c>
      <c r="H2752" s="391" t="s">
        <v>9568</v>
      </c>
    </row>
    <row r="2753" spans="1:13" x14ac:dyDescent="0.3">
      <c r="A2753" s="45">
        <v>44469</v>
      </c>
      <c r="B2753" s="399"/>
      <c r="C2753" s="5" t="s">
        <v>7745</v>
      </c>
      <c r="D2753" s="5" t="s">
        <v>8058</v>
      </c>
      <c r="E2753" s="43">
        <v>10000</v>
      </c>
      <c r="F2753" s="43"/>
      <c r="G2753" s="364">
        <f t="shared" si="36"/>
        <v>51184.661290322663</v>
      </c>
      <c r="H2753" s="391" t="s">
        <v>9568</v>
      </c>
    </row>
    <row r="2754" spans="1:13" x14ac:dyDescent="0.3">
      <c r="A2754" s="45">
        <v>44469</v>
      </c>
      <c r="B2754" s="399"/>
      <c r="C2754" s="5" t="s">
        <v>4550</v>
      </c>
      <c r="D2754" s="5" t="s">
        <v>294</v>
      </c>
      <c r="E2754" s="43">
        <v>10000</v>
      </c>
      <c r="F2754" s="43"/>
      <c r="G2754" s="364">
        <f t="shared" si="36"/>
        <v>41184.661290322663</v>
      </c>
      <c r="H2754" s="391" t="s">
        <v>9568</v>
      </c>
    </row>
    <row r="2755" spans="1:13" x14ac:dyDescent="0.3">
      <c r="A2755" s="45">
        <v>44469</v>
      </c>
      <c r="B2755" s="399"/>
      <c r="C2755" s="5" t="s">
        <v>3559</v>
      </c>
      <c r="D2755" s="5" t="s">
        <v>8059</v>
      </c>
      <c r="E2755" s="43">
        <v>8500</v>
      </c>
      <c r="F2755" s="43"/>
      <c r="G2755" s="364">
        <f t="shared" si="36"/>
        <v>32684.661290322663</v>
      </c>
      <c r="H2755" s="391" t="s">
        <v>9568</v>
      </c>
    </row>
    <row r="2756" spans="1:13" x14ac:dyDescent="0.3">
      <c r="A2756" s="45">
        <v>44469</v>
      </c>
      <c r="B2756" s="399"/>
      <c r="C2756" s="5" t="s">
        <v>6908</v>
      </c>
      <c r="D2756" s="5" t="s">
        <v>8060</v>
      </c>
      <c r="E2756" s="43">
        <v>1400</v>
      </c>
      <c r="F2756" s="43"/>
      <c r="G2756" s="364">
        <f t="shared" si="36"/>
        <v>31284.661290322663</v>
      </c>
      <c r="H2756" s="391" t="s">
        <v>9568</v>
      </c>
    </row>
    <row r="2757" spans="1:13" x14ac:dyDescent="0.3">
      <c r="A2757" s="45">
        <v>44469</v>
      </c>
      <c r="B2757" s="399"/>
      <c r="C2757" s="5" t="s">
        <v>84</v>
      </c>
      <c r="D2757" s="5" t="s">
        <v>8061</v>
      </c>
      <c r="E2757" s="43">
        <v>22000</v>
      </c>
      <c r="F2757" s="43"/>
      <c r="G2757" s="364">
        <f t="shared" si="36"/>
        <v>9284.6612903226633</v>
      </c>
      <c r="H2757" s="391" t="s">
        <v>9568</v>
      </c>
    </row>
    <row r="2758" spans="1:13" x14ac:dyDescent="0.3">
      <c r="A2758" s="45">
        <v>44469</v>
      </c>
      <c r="B2758" s="399"/>
      <c r="C2758" s="5" t="s">
        <v>4281</v>
      </c>
      <c r="D2758" s="5" t="s">
        <v>8062</v>
      </c>
      <c r="E2758" s="43">
        <v>400</v>
      </c>
      <c r="F2758" s="43"/>
      <c r="G2758" s="364">
        <f t="shared" si="36"/>
        <v>8884.6612903226633</v>
      </c>
      <c r="H2758" s="391" t="s">
        <v>9568</v>
      </c>
    </row>
    <row r="2759" spans="1:13" x14ac:dyDescent="0.3">
      <c r="A2759" s="45">
        <v>44471</v>
      </c>
      <c r="B2759" s="580"/>
      <c r="C2759" s="554" t="s">
        <v>4415</v>
      </c>
      <c r="D2759" s="554"/>
      <c r="E2759" s="554"/>
      <c r="F2759" s="43">
        <v>100000</v>
      </c>
      <c r="G2759" s="364">
        <f t="shared" si="36"/>
        <v>108884.66129032266</v>
      </c>
      <c r="H2759" s="391" t="s">
        <v>9568</v>
      </c>
      <c r="M2759" s="93"/>
    </row>
    <row r="2760" spans="1:13" x14ac:dyDescent="0.3">
      <c r="A2760" s="45">
        <v>44471</v>
      </c>
      <c r="B2760" s="399"/>
      <c r="C2760" s="5" t="s">
        <v>68</v>
      </c>
      <c r="D2760" s="5" t="s">
        <v>8063</v>
      </c>
      <c r="E2760" s="43">
        <v>1000</v>
      </c>
      <c r="F2760" s="43"/>
      <c r="G2760" s="364">
        <f t="shared" si="36"/>
        <v>107884.66129032266</v>
      </c>
      <c r="H2760" s="391" t="s">
        <v>9568</v>
      </c>
    </row>
    <row r="2761" spans="1:13" x14ac:dyDescent="0.3">
      <c r="A2761" s="45">
        <v>44471</v>
      </c>
      <c r="B2761" s="399"/>
      <c r="C2761" s="5" t="s">
        <v>0</v>
      </c>
      <c r="D2761" s="5" t="s">
        <v>294</v>
      </c>
      <c r="E2761" s="43">
        <v>60000</v>
      </c>
      <c r="F2761" s="43"/>
      <c r="G2761" s="364">
        <f t="shared" si="36"/>
        <v>47884.661290322663</v>
      </c>
      <c r="H2761" s="391" t="s">
        <v>9568</v>
      </c>
    </row>
    <row r="2762" spans="1:13" x14ac:dyDescent="0.3">
      <c r="A2762" s="45">
        <v>44471</v>
      </c>
      <c r="B2762" s="399"/>
      <c r="C2762" s="5" t="s">
        <v>4550</v>
      </c>
      <c r="D2762" s="5" t="s">
        <v>8064</v>
      </c>
      <c r="E2762" s="43">
        <v>5000</v>
      </c>
      <c r="F2762" s="43"/>
      <c r="G2762" s="364">
        <f t="shared" si="36"/>
        <v>42884.661290322663</v>
      </c>
      <c r="H2762" s="391" t="s">
        <v>9568</v>
      </c>
    </row>
    <row r="2763" spans="1:13" x14ac:dyDescent="0.3">
      <c r="A2763" s="45">
        <v>44471</v>
      </c>
      <c r="B2763" s="399"/>
      <c r="C2763" s="5" t="s">
        <v>84</v>
      </c>
      <c r="D2763" s="61" t="s">
        <v>8065</v>
      </c>
      <c r="E2763" s="43">
        <v>1000</v>
      </c>
      <c r="F2763" s="43"/>
      <c r="G2763" s="364">
        <f t="shared" si="36"/>
        <v>41884.661290322663</v>
      </c>
      <c r="H2763" s="391" t="s">
        <v>9568</v>
      </c>
    </row>
    <row r="2764" spans="1:13" x14ac:dyDescent="0.3">
      <c r="A2764" s="45">
        <v>44471</v>
      </c>
      <c r="B2764" s="399"/>
      <c r="C2764" s="5" t="s">
        <v>25</v>
      </c>
      <c r="D2764" s="5" t="s">
        <v>7934</v>
      </c>
      <c r="E2764" s="43">
        <v>400</v>
      </c>
      <c r="F2764" s="43"/>
      <c r="G2764" s="364">
        <f t="shared" si="36"/>
        <v>41484.661290322663</v>
      </c>
      <c r="H2764" s="391" t="s">
        <v>9568</v>
      </c>
    </row>
    <row r="2765" spans="1:13" x14ac:dyDescent="0.3">
      <c r="A2765" s="45">
        <v>44471</v>
      </c>
      <c r="B2765" s="399"/>
      <c r="C2765" s="5" t="s">
        <v>25</v>
      </c>
      <c r="D2765" s="5" t="s">
        <v>4276</v>
      </c>
      <c r="E2765" s="43">
        <f>280+140+70+50+30+100+100+110+1000+255</f>
        <v>2135</v>
      </c>
      <c r="F2765" s="43"/>
      <c r="G2765" s="364">
        <f t="shared" si="36"/>
        <v>39349.661290322663</v>
      </c>
      <c r="H2765" s="391" t="s">
        <v>9568</v>
      </c>
    </row>
    <row r="2766" spans="1:13" x14ac:dyDescent="0.3">
      <c r="A2766" s="45">
        <v>44471</v>
      </c>
      <c r="B2766" s="399"/>
      <c r="C2766" s="5" t="s">
        <v>3563</v>
      </c>
      <c r="D2766" s="5" t="s">
        <v>8067</v>
      </c>
      <c r="E2766" s="43">
        <v>1300</v>
      </c>
      <c r="F2766" s="43"/>
      <c r="G2766" s="364">
        <f t="shared" si="36"/>
        <v>38049.661290322663</v>
      </c>
      <c r="H2766" s="391" t="s">
        <v>9568</v>
      </c>
    </row>
    <row r="2767" spans="1:13" x14ac:dyDescent="0.3">
      <c r="A2767" s="45">
        <v>44471</v>
      </c>
      <c r="B2767" s="399"/>
      <c r="C2767" s="5" t="s">
        <v>14</v>
      </c>
      <c r="D2767" s="5" t="s">
        <v>8070</v>
      </c>
      <c r="E2767" s="43">
        <v>20000</v>
      </c>
      <c r="F2767" s="43"/>
      <c r="G2767" s="364">
        <f t="shared" si="36"/>
        <v>18049.661290322663</v>
      </c>
      <c r="H2767" s="391" t="s">
        <v>9568</v>
      </c>
    </row>
    <row r="2768" spans="1:13" x14ac:dyDescent="0.3">
      <c r="A2768" s="45">
        <v>44471</v>
      </c>
      <c r="B2768" s="399"/>
      <c r="C2768" s="5" t="s">
        <v>18</v>
      </c>
      <c r="D2768" s="5" t="s">
        <v>8068</v>
      </c>
      <c r="E2768" s="43">
        <v>3000</v>
      </c>
      <c r="F2768" s="43"/>
      <c r="G2768" s="364">
        <f t="shared" si="36"/>
        <v>15049.661290322663</v>
      </c>
      <c r="H2768" s="391" t="s">
        <v>9568</v>
      </c>
    </row>
    <row r="2769" spans="1:13" x14ac:dyDescent="0.3">
      <c r="A2769" s="45">
        <v>44471</v>
      </c>
      <c r="B2769" s="399"/>
      <c r="C2769" s="5" t="s">
        <v>84</v>
      </c>
      <c r="D2769" s="5" t="s">
        <v>8051</v>
      </c>
      <c r="E2769" s="43">
        <v>2000</v>
      </c>
      <c r="F2769" s="43"/>
      <c r="G2769" s="364">
        <f t="shared" si="36"/>
        <v>13049.661290322663</v>
      </c>
      <c r="H2769" s="391" t="s">
        <v>9568</v>
      </c>
    </row>
    <row r="2770" spans="1:13" x14ac:dyDescent="0.3">
      <c r="A2770" s="45">
        <v>44471</v>
      </c>
      <c r="B2770" s="399"/>
      <c r="C2770" s="5" t="s">
        <v>84</v>
      </c>
      <c r="D2770" s="5" t="s">
        <v>8069</v>
      </c>
      <c r="E2770" s="43">
        <v>2000</v>
      </c>
      <c r="F2770" s="43"/>
      <c r="G2770" s="364">
        <f t="shared" si="36"/>
        <v>11049.661290322663</v>
      </c>
      <c r="H2770" s="391" t="s">
        <v>9568</v>
      </c>
    </row>
    <row r="2771" spans="1:13" x14ac:dyDescent="0.3">
      <c r="A2771" s="45">
        <v>44473</v>
      </c>
      <c r="B2771" s="580"/>
      <c r="C2771" s="554" t="s">
        <v>4106</v>
      </c>
      <c r="D2771" s="554"/>
      <c r="E2771" s="554"/>
      <c r="F2771" s="43">
        <v>100000</v>
      </c>
      <c r="G2771" s="364">
        <f t="shared" si="36"/>
        <v>111049.66129032266</v>
      </c>
      <c r="H2771" s="391" t="s">
        <v>9568</v>
      </c>
      <c r="M2771" s="93"/>
    </row>
    <row r="2772" spans="1:13" x14ac:dyDescent="0.3">
      <c r="A2772" s="45">
        <v>44473</v>
      </c>
      <c r="B2772" s="580"/>
      <c r="C2772" s="554" t="s">
        <v>4106</v>
      </c>
      <c r="D2772" s="554"/>
      <c r="E2772" s="554"/>
      <c r="F2772" s="43">
        <v>100000</v>
      </c>
      <c r="G2772" s="364">
        <f t="shared" si="36"/>
        <v>211049.66129032266</v>
      </c>
      <c r="H2772" s="391" t="s">
        <v>9568</v>
      </c>
      <c r="M2772" s="93"/>
    </row>
    <row r="2773" spans="1:13" x14ac:dyDescent="0.3">
      <c r="A2773" s="45">
        <v>44473</v>
      </c>
      <c r="B2773" s="580"/>
      <c r="C2773" s="554" t="s">
        <v>4106</v>
      </c>
      <c r="D2773" s="554"/>
      <c r="E2773" s="554"/>
      <c r="F2773" s="43">
        <v>100000</v>
      </c>
      <c r="G2773" s="364">
        <f t="shared" si="36"/>
        <v>311049.66129032266</v>
      </c>
      <c r="H2773" s="391" t="s">
        <v>9568</v>
      </c>
      <c r="M2773" s="93"/>
    </row>
    <row r="2774" spans="1:13" x14ac:dyDescent="0.3">
      <c r="A2774" s="45">
        <v>44473</v>
      </c>
      <c r="B2774" s="399"/>
      <c r="C2774" s="5" t="s">
        <v>14</v>
      </c>
      <c r="D2774" s="5" t="s">
        <v>294</v>
      </c>
      <c r="E2774" s="43">
        <v>5000</v>
      </c>
      <c r="F2774" s="43"/>
      <c r="G2774" s="364">
        <f t="shared" si="36"/>
        <v>306049.66129032266</v>
      </c>
      <c r="H2774" s="391" t="s">
        <v>9568</v>
      </c>
    </row>
    <row r="2775" spans="1:13" x14ac:dyDescent="0.3">
      <c r="A2775" s="45">
        <v>44473</v>
      </c>
      <c r="B2775" s="399"/>
      <c r="C2775" s="5" t="s">
        <v>14</v>
      </c>
      <c r="D2775" s="5" t="s">
        <v>8071</v>
      </c>
      <c r="E2775" s="43"/>
      <c r="F2775" s="43"/>
      <c r="G2775" s="364">
        <f t="shared" si="36"/>
        <v>306049.66129032266</v>
      </c>
      <c r="H2775" s="391" t="s">
        <v>9568</v>
      </c>
    </row>
    <row r="2776" spans="1:13" x14ac:dyDescent="0.3">
      <c r="A2776" s="45">
        <v>44473</v>
      </c>
      <c r="B2776" s="580"/>
      <c r="C2776" s="554" t="s">
        <v>8072</v>
      </c>
      <c r="D2776" s="554"/>
      <c r="E2776" s="554"/>
      <c r="F2776" s="43">
        <v>14500</v>
      </c>
      <c r="G2776" s="364">
        <f t="shared" si="36"/>
        <v>320549.66129032266</v>
      </c>
      <c r="H2776" s="391" t="s">
        <v>9568</v>
      </c>
      <c r="M2776" s="93"/>
    </row>
    <row r="2777" spans="1:13" x14ac:dyDescent="0.3">
      <c r="A2777" s="45">
        <v>44473</v>
      </c>
      <c r="B2777" s="399"/>
      <c r="C2777" s="5" t="s">
        <v>2175</v>
      </c>
      <c r="D2777" s="5" t="s">
        <v>8073</v>
      </c>
      <c r="E2777" s="43">
        <v>13500</v>
      </c>
      <c r="F2777" s="43"/>
      <c r="G2777" s="364">
        <f t="shared" si="36"/>
        <v>307049.66129032266</v>
      </c>
      <c r="H2777" s="391" t="s">
        <v>9568</v>
      </c>
    </row>
    <row r="2778" spans="1:13" x14ac:dyDescent="0.3">
      <c r="A2778" s="45">
        <v>44473</v>
      </c>
      <c r="B2778" s="399"/>
      <c r="C2778" s="5" t="s">
        <v>3724</v>
      </c>
      <c r="D2778" s="5" t="s">
        <v>40</v>
      </c>
      <c r="E2778" s="65">
        <v>4089</v>
      </c>
      <c r="F2778" s="43"/>
      <c r="G2778" s="364">
        <f t="shared" si="36"/>
        <v>302960.66129032266</v>
      </c>
      <c r="H2778" s="391" t="s">
        <v>9568</v>
      </c>
    </row>
    <row r="2779" spans="1:13" x14ac:dyDescent="0.3">
      <c r="A2779" s="45">
        <v>44473</v>
      </c>
      <c r="B2779" s="399"/>
      <c r="C2779" s="5" t="s">
        <v>7779</v>
      </c>
      <c r="D2779" s="5" t="s">
        <v>8074</v>
      </c>
      <c r="E2779" s="43">
        <v>13500</v>
      </c>
      <c r="F2779" s="43"/>
      <c r="G2779" s="364">
        <f t="shared" si="36"/>
        <v>289460.66129032266</v>
      </c>
      <c r="H2779" s="391" t="s">
        <v>9568</v>
      </c>
    </row>
    <row r="2780" spans="1:13" ht="37.5" customHeight="1" x14ac:dyDescent="0.3">
      <c r="A2780" s="45">
        <v>44473</v>
      </c>
      <c r="B2780" s="399"/>
      <c r="C2780" s="5" t="s">
        <v>3554</v>
      </c>
      <c r="D2780" s="92" t="s">
        <v>8075</v>
      </c>
      <c r="E2780" s="43">
        <v>40000</v>
      </c>
      <c r="F2780" s="43"/>
      <c r="G2780" s="364">
        <f t="shared" si="36"/>
        <v>249460.66129032266</v>
      </c>
      <c r="H2780" s="391" t="s">
        <v>9568</v>
      </c>
    </row>
    <row r="2781" spans="1:13" x14ac:dyDescent="0.3">
      <c r="A2781" s="45">
        <v>44473</v>
      </c>
      <c r="B2781" s="399"/>
      <c r="C2781" s="5" t="s">
        <v>3554</v>
      </c>
      <c r="D2781" s="5" t="s">
        <v>8076</v>
      </c>
      <c r="E2781" s="43">
        <v>10000</v>
      </c>
      <c r="F2781" s="43"/>
      <c r="G2781" s="364">
        <f t="shared" si="36"/>
        <v>239460.66129032266</v>
      </c>
      <c r="H2781" s="391" t="s">
        <v>9568</v>
      </c>
    </row>
    <row r="2782" spans="1:13" x14ac:dyDescent="0.3">
      <c r="A2782" s="45">
        <v>44473</v>
      </c>
      <c r="B2782" s="399"/>
      <c r="C2782" s="5" t="s">
        <v>14</v>
      </c>
      <c r="D2782" s="5" t="s">
        <v>8077</v>
      </c>
      <c r="E2782" s="43">
        <v>20000</v>
      </c>
      <c r="F2782" s="43"/>
      <c r="G2782" s="364">
        <f t="shared" si="36"/>
        <v>219460.66129032266</v>
      </c>
      <c r="H2782" s="391" t="s">
        <v>9568</v>
      </c>
    </row>
    <row r="2783" spans="1:13" x14ac:dyDescent="0.3">
      <c r="A2783" s="45">
        <v>44473</v>
      </c>
      <c r="B2783" s="399"/>
      <c r="C2783" s="5" t="s">
        <v>14</v>
      </c>
      <c r="D2783" s="5" t="s">
        <v>640</v>
      </c>
      <c r="E2783" s="43">
        <v>1000</v>
      </c>
      <c r="F2783" s="43"/>
      <c r="G2783" s="364">
        <f t="shared" si="36"/>
        <v>218460.66129032266</v>
      </c>
      <c r="H2783" s="391" t="s">
        <v>9568</v>
      </c>
    </row>
    <row r="2784" spans="1:13" x14ac:dyDescent="0.3">
      <c r="A2784" s="45">
        <v>44473</v>
      </c>
      <c r="B2784" s="399"/>
      <c r="C2784" s="5" t="s">
        <v>541</v>
      </c>
      <c r="D2784" s="5" t="s">
        <v>294</v>
      </c>
      <c r="E2784" s="43">
        <v>1000</v>
      </c>
      <c r="F2784" s="43"/>
      <c r="G2784" s="364">
        <f t="shared" si="36"/>
        <v>217460.66129032266</v>
      </c>
      <c r="H2784" s="391" t="s">
        <v>9568</v>
      </c>
    </row>
    <row r="2785" spans="1:13" x14ac:dyDescent="0.3">
      <c r="A2785" s="45">
        <v>44473</v>
      </c>
      <c r="B2785" s="399"/>
      <c r="C2785" s="5" t="s">
        <v>7522</v>
      </c>
      <c r="D2785" s="5" t="s">
        <v>8078</v>
      </c>
      <c r="E2785" s="43">
        <v>39000</v>
      </c>
      <c r="F2785" s="43"/>
      <c r="G2785" s="364">
        <f t="shared" si="36"/>
        <v>178460.66129032266</v>
      </c>
      <c r="H2785" s="391" t="s">
        <v>9568</v>
      </c>
    </row>
    <row r="2786" spans="1:13" x14ac:dyDescent="0.3">
      <c r="A2786" s="45">
        <v>44473</v>
      </c>
      <c r="B2786" s="399"/>
      <c r="C2786" s="5" t="s">
        <v>68</v>
      </c>
      <c r="D2786" s="5" t="s">
        <v>8080</v>
      </c>
      <c r="E2786" s="43">
        <v>50000</v>
      </c>
      <c r="F2786" s="43"/>
      <c r="G2786" s="364">
        <f t="shared" si="36"/>
        <v>128460.66129032266</v>
      </c>
      <c r="H2786" s="391" t="s">
        <v>9568</v>
      </c>
    </row>
    <row r="2787" spans="1:13" x14ac:dyDescent="0.3">
      <c r="A2787" s="45">
        <v>44473</v>
      </c>
      <c r="B2787" s="399"/>
      <c r="C2787" s="5" t="s">
        <v>25</v>
      </c>
      <c r="D2787" s="5" t="s">
        <v>4276</v>
      </c>
      <c r="E2787" s="43">
        <f>500+280+540+50+400+480+80</f>
        <v>2330</v>
      </c>
      <c r="F2787" s="43"/>
      <c r="G2787" s="364">
        <f t="shared" si="36"/>
        <v>126130.66129032266</v>
      </c>
      <c r="H2787" s="391" t="s">
        <v>9568</v>
      </c>
    </row>
    <row r="2788" spans="1:13" x14ac:dyDescent="0.3">
      <c r="A2788" s="45">
        <v>44473</v>
      </c>
      <c r="B2788" s="409"/>
      <c r="C2788" s="61" t="s">
        <v>54</v>
      </c>
      <c r="D2788" s="61" t="s">
        <v>8081</v>
      </c>
      <c r="E2788" s="62">
        <v>8000</v>
      </c>
      <c r="F2788" s="43"/>
      <c r="G2788" s="364">
        <f t="shared" si="36"/>
        <v>118130.66129032266</v>
      </c>
      <c r="H2788" s="391" t="s">
        <v>9568</v>
      </c>
    </row>
    <row r="2789" spans="1:13" x14ac:dyDescent="0.3">
      <c r="A2789" s="45">
        <v>44473</v>
      </c>
      <c r="B2789" s="409"/>
      <c r="C2789" s="61" t="s">
        <v>54</v>
      </c>
      <c r="D2789" s="61" t="s">
        <v>6387</v>
      </c>
      <c r="E2789" s="62">
        <v>97833</v>
      </c>
      <c r="F2789" s="43"/>
      <c r="G2789" s="364">
        <f t="shared" si="36"/>
        <v>20297.661290322663</v>
      </c>
      <c r="H2789" s="391" t="s">
        <v>9568</v>
      </c>
    </row>
    <row r="2790" spans="1:13" x14ac:dyDescent="0.3">
      <c r="A2790" s="45">
        <v>44473</v>
      </c>
      <c r="B2790" s="399"/>
      <c r="C2790" s="5" t="s">
        <v>5793</v>
      </c>
      <c r="D2790" s="5" t="s">
        <v>8082</v>
      </c>
      <c r="E2790" s="43">
        <v>1000</v>
      </c>
      <c r="F2790" s="43"/>
      <c r="G2790" s="364">
        <f t="shared" si="36"/>
        <v>19297.661290322663</v>
      </c>
      <c r="H2790" s="391" t="s">
        <v>9568</v>
      </c>
    </row>
    <row r="2791" spans="1:13" x14ac:dyDescent="0.3">
      <c r="A2791" s="45">
        <v>44474</v>
      </c>
      <c r="B2791" s="399"/>
      <c r="C2791" s="5" t="s">
        <v>14</v>
      </c>
      <c r="D2791" s="5" t="s">
        <v>294</v>
      </c>
      <c r="E2791" s="43">
        <v>10000</v>
      </c>
      <c r="F2791" s="43"/>
      <c r="G2791" s="364">
        <f t="shared" si="36"/>
        <v>9297.6612903226633</v>
      </c>
      <c r="H2791" s="391" t="s">
        <v>9568</v>
      </c>
    </row>
    <row r="2792" spans="1:13" x14ac:dyDescent="0.3">
      <c r="A2792" s="45">
        <v>44474</v>
      </c>
      <c r="B2792" s="399"/>
      <c r="C2792" s="5" t="s">
        <v>25</v>
      </c>
      <c r="D2792" s="5" t="s">
        <v>8086</v>
      </c>
      <c r="E2792" s="43">
        <v>900</v>
      </c>
      <c r="F2792" s="43"/>
      <c r="G2792" s="364">
        <f t="shared" si="36"/>
        <v>8397.6612903226633</v>
      </c>
      <c r="H2792" s="391" t="s">
        <v>9568</v>
      </c>
    </row>
    <row r="2793" spans="1:13" x14ac:dyDescent="0.3">
      <c r="A2793" s="45">
        <v>44474</v>
      </c>
      <c r="B2793" s="399"/>
      <c r="C2793" s="5" t="s">
        <v>8087</v>
      </c>
      <c r="D2793" s="5" t="s">
        <v>8088</v>
      </c>
      <c r="E2793" s="43">
        <v>2000</v>
      </c>
      <c r="F2793" s="43"/>
      <c r="G2793" s="364">
        <f t="shared" si="36"/>
        <v>6397.6612903226633</v>
      </c>
      <c r="H2793" s="391" t="s">
        <v>9568</v>
      </c>
    </row>
    <row r="2794" spans="1:13" x14ac:dyDescent="0.3">
      <c r="A2794" s="45">
        <v>44474</v>
      </c>
      <c r="B2794" s="399"/>
      <c r="C2794" s="5" t="s">
        <v>25</v>
      </c>
      <c r="D2794" s="5" t="s">
        <v>6049</v>
      </c>
      <c r="E2794" s="43">
        <v>50</v>
      </c>
      <c r="F2794" s="43"/>
      <c r="G2794" s="364">
        <f t="shared" si="36"/>
        <v>6347.6612903226633</v>
      </c>
      <c r="H2794" s="391" t="s">
        <v>9568</v>
      </c>
    </row>
    <row r="2795" spans="1:13" x14ac:dyDescent="0.3">
      <c r="A2795" s="45">
        <v>44474</v>
      </c>
      <c r="B2795" s="580"/>
      <c r="C2795" s="554" t="s">
        <v>4106</v>
      </c>
      <c r="D2795" s="554"/>
      <c r="E2795" s="554"/>
      <c r="F2795" s="43">
        <v>150000</v>
      </c>
      <c r="G2795" s="364">
        <f t="shared" ref="G2795:G2813" si="37">G2794+F2795-E2795</f>
        <v>156347.66129032266</v>
      </c>
      <c r="H2795" s="391" t="s">
        <v>9568</v>
      </c>
      <c r="M2795" s="93"/>
    </row>
    <row r="2796" spans="1:13" x14ac:dyDescent="0.3">
      <c r="A2796" s="45">
        <v>44474</v>
      </c>
      <c r="B2796" s="580"/>
      <c r="C2796" s="554" t="s">
        <v>4415</v>
      </c>
      <c r="D2796" s="554"/>
      <c r="E2796" s="554"/>
      <c r="F2796" s="43">
        <v>350000</v>
      </c>
      <c r="G2796" s="364">
        <f t="shared" si="37"/>
        <v>506347.66129032266</v>
      </c>
      <c r="H2796" s="391" t="s">
        <v>9568</v>
      </c>
      <c r="M2796" s="93"/>
    </row>
    <row r="2797" spans="1:13" x14ac:dyDescent="0.3">
      <c r="A2797" s="45">
        <v>44474</v>
      </c>
      <c r="B2797" s="580"/>
      <c r="C2797" s="554" t="s">
        <v>4415</v>
      </c>
      <c r="D2797" s="554"/>
      <c r="E2797" s="554"/>
      <c r="F2797" s="43">
        <v>300000</v>
      </c>
      <c r="G2797" s="364">
        <f t="shared" si="37"/>
        <v>806347.66129032266</v>
      </c>
      <c r="H2797" s="391" t="s">
        <v>9568</v>
      </c>
      <c r="M2797" s="93"/>
    </row>
    <row r="2798" spans="1:13" x14ac:dyDescent="0.3">
      <c r="A2798" s="45">
        <v>44474</v>
      </c>
      <c r="B2798" s="580"/>
      <c r="C2798" s="554" t="s">
        <v>4415</v>
      </c>
      <c r="D2798" s="554"/>
      <c r="E2798" s="554"/>
      <c r="F2798" s="43">
        <v>100000</v>
      </c>
      <c r="G2798" s="364">
        <f t="shared" si="37"/>
        <v>906347.66129032266</v>
      </c>
      <c r="H2798" s="391" t="s">
        <v>9568</v>
      </c>
      <c r="M2798" s="93"/>
    </row>
    <row r="2799" spans="1:13" ht="21.75" customHeight="1" x14ac:dyDescent="0.3">
      <c r="A2799" s="45">
        <v>44474</v>
      </c>
      <c r="B2799" s="399"/>
      <c r="C2799" s="5" t="s">
        <v>1074</v>
      </c>
      <c r="D2799" s="5" t="s">
        <v>8085</v>
      </c>
      <c r="E2799" s="43">
        <f>11110+1320+1190+1550</f>
        <v>15170</v>
      </c>
      <c r="F2799" s="43"/>
      <c r="G2799" s="364">
        <f t="shared" si="37"/>
        <v>891177.66129032266</v>
      </c>
      <c r="H2799" s="391" t="s">
        <v>9568</v>
      </c>
    </row>
    <row r="2800" spans="1:13" ht="21.75" customHeight="1" x14ac:dyDescent="0.3">
      <c r="A2800" s="45">
        <v>44474</v>
      </c>
      <c r="B2800" s="399"/>
      <c r="C2800" s="5" t="s">
        <v>1074</v>
      </c>
      <c r="D2800" s="5" t="s">
        <v>5905</v>
      </c>
      <c r="E2800" s="43">
        <f>2284+465</f>
        <v>2749</v>
      </c>
      <c r="F2800" s="43"/>
      <c r="G2800" s="364">
        <f t="shared" si="37"/>
        <v>888428.66129032266</v>
      </c>
      <c r="H2800" s="391" t="s">
        <v>9568</v>
      </c>
    </row>
    <row r="2801" spans="1:8" ht="21.75" customHeight="1" x14ac:dyDescent="0.3">
      <c r="A2801" s="45">
        <v>44474</v>
      </c>
      <c r="B2801" s="399"/>
      <c r="C2801" s="5" t="s">
        <v>1074</v>
      </c>
      <c r="D2801" s="5" t="s">
        <v>6112</v>
      </c>
      <c r="E2801" s="43">
        <f>3424+280+6708</f>
        <v>10412</v>
      </c>
      <c r="F2801" s="43"/>
      <c r="G2801" s="364">
        <f t="shared" si="37"/>
        <v>878016.66129032266</v>
      </c>
      <c r="H2801" s="391" t="s">
        <v>9568</v>
      </c>
    </row>
    <row r="2802" spans="1:8" x14ac:dyDescent="0.3">
      <c r="A2802" s="45">
        <v>44474</v>
      </c>
      <c r="B2802" s="409"/>
      <c r="C2802" s="61" t="s">
        <v>54</v>
      </c>
      <c r="D2802" s="61" t="s">
        <v>8089</v>
      </c>
      <c r="E2802" s="62">
        <v>74000</v>
      </c>
      <c r="F2802" s="43"/>
      <c r="G2802" s="364">
        <f t="shared" si="37"/>
        <v>804016.66129032266</v>
      </c>
      <c r="H2802" s="391" t="s">
        <v>9568</v>
      </c>
    </row>
    <row r="2803" spans="1:8" x14ac:dyDescent="0.3">
      <c r="A2803" s="45">
        <v>44474</v>
      </c>
      <c r="B2803" s="409"/>
      <c r="C2803" s="61" t="s">
        <v>54</v>
      </c>
      <c r="D2803" s="61" t="s">
        <v>8090</v>
      </c>
      <c r="E2803" s="62">
        <v>207925</v>
      </c>
      <c r="F2803" s="43"/>
      <c r="G2803" s="364">
        <f t="shared" si="37"/>
        <v>596091.66129032266</v>
      </c>
      <c r="H2803" s="391" t="s">
        <v>9568</v>
      </c>
    </row>
    <row r="2804" spans="1:8" x14ac:dyDescent="0.3">
      <c r="A2804" s="45">
        <v>44474</v>
      </c>
      <c r="B2804" s="409"/>
      <c r="C2804" s="61" t="s">
        <v>54</v>
      </c>
      <c r="D2804" s="61" t="s">
        <v>8091</v>
      </c>
      <c r="E2804" s="62">
        <v>257031</v>
      </c>
      <c r="F2804" s="43"/>
      <c r="G2804" s="364">
        <f t="shared" si="37"/>
        <v>339060.66129032266</v>
      </c>
      <c r="H2804" s="391" t="s">
        <v>9568</v>
      </c>
    </row>
    <row r="2805" spans="1:8" x14ac:dyDescent="0.3">
      <c r="A2805" s="45">
        <v>44474</v>
      </c>
      <c r="B2805" s="409"/>
      <c r="C2805" s="61" t="s">
        <v>54</v>
      </c>
      <c r="D2805" s="61" t="s">
        <v>6556</v>
      </c>
      <c r="E2805" s="62">
        <v>109900</v>
      </c>
      <c r="F2805" s="43"/>
      <c r="G2805" s="364">
        <f t="shared" si="37"/>
        <v>229160.66129032266</v>
      </c>
      <c r="H2805" s="391" t="s">
        <v>9568</v>
      </c>
    </row>
    <row r="2806" spans="1:8" x14ac:dyDescent="0.3">
      <c r="A2806" s="45">
        <v>44474</v>
      </c>
      <c r="B2806" s="409"/>
      <c r="C2806" s="61" t="s">
        <v>54</v>
      </c>
      <c r="D2806" s="61" t="s">
        <v>8092</v>
      </c>
      <c r="E2806" s="62">
        <v>45229</v>
      </c>
      <c r="F2806" s="43"/>
      <c r="G2806" s="364">
        <f t="shared" si="37"/>
        <v>183931.66129032266</v>
      </c>
      <c r="H2806" s="391" t="s">
        <v>9568</v>
      </c>
    </row>
    <row r="2807" spans="1:8" x14ac:dyDescent="0.3">
      <c r="A2807" s="45">
        <v>44474</v>
      </c>
      <c r="B2807" s="409"/>
      <c r="C2807" s="61" t="s">
        <v>54</v>
      </c>
      <c r="D2807" s="61" t="s">
        <v>7892</v>
      </c>
      <c r="E2807" s="62">
        <v>57000</v>
      </c>
      <c r="F2807" s="43"/>
      <c r="G2807" s="364">
        <f t="shared" si="37"/>
        <v>126931.66129032266</v>
      </c>
      <c r="H2807" s="391" t="s">
        <v>9568</v>
      </c>
    </row>
    <row r="2808" spans="1:8" x14ac:dyDescent="0.3">
      <c r="A2808" s="45">
        <v>44474</v>
      </c>
      <c r="B2808" s="409"/>
      <c r="C2808" s="61" t="s">
        <v>54</v>
      </c>
      <c r="D2808" s="61" t="s">
        <v>8095</v>
      </c>
      <c r="E2808" s="62">
        <v>90359</v>
      </c>
      <c r="F2808" s="43"/>
      <c r="G2808" s="364">
        <f t="shared" si="37"/>
        <v>36572.661290322663</v>
      </c>
      <c r="H2808" s="391" t="s">
        <v>9568</v>
      </c>
    </row>
    <row r="2809" spans="1:8" x14ac:dyDescent="0.3">
      <c r="A2809" s="45">
        <v>44474</v>
      </c>
      <c r="B2809" s="399"/>
      <c r="C2809" s="5" t="s">
        <v>14</v>
      </c>
      <c r="D2809" s="5" t="s">
        <v>294</v>
      </c>
      <c r="E2809" s="43">
        <v>5000</v>
      </c>
      <c r="F2809" s="43"/>
      <c r="G2809" s="364">
        <f t="shared" si="37"/>
        <v>31572.661290322663</v>
      </c>
      <c r="H2809" s="391" t="s">
        <v>9568</v>
      </c>
    </row>
    <row r="2810" spans="1:8" x14ac:dyDescent="0.3">
      <c r="A2810" s="45">
        <v>44474</v>
      </c>
      <c r="B2810" s="580"/>
      <c r="C2810" s="554" t="s">
        <v>8093</v>
      </c>
      <c r="D2810" s="554"/>
      <c r="E2810" s="554"/>
      <c r="F2810" s="43">
        <v>62000</v>
      </c>
      <c r="G2810" s="364">
        <f t="shared" si="37"/>
        <v>93572.661290322663</v>
      </c>
      <c r="H2810" s="391" t="s">
        <v>9568</v>
      </c>
    </row>
    <row r="2811" spans="1:8" x14ac:dyDescent="0.3">
      <c r="A2811" s="45">
        <v>44474</v>
      </c>
      <c r="B2811" s="580"/>
      <c r="C2811" s="554" t="s">
        <v>8094</v>
      </c>
      <c r="D2811" s="554"/>
      <c r="E2811" s="554"/>
      <c r="F2811" s="43">
        <v>15500</v>
      </c>
      <c r="G2811" s="364">
        <f t="shared" si="37"/>
        <v>109072.66129032266</v>
      </c>
      <c r="H2811" s="391" t="s">
        <v>9568</v>
      </c>
    </row>
    <row r="2812" spans="1:8" x14ac:dyDescent="0.3">
      <c r="A2812" s="45">
        <v>44475</v>
      </c>
      <c r="B2812" s="399"/>
      <c r="C2812" s="5" t="s">
        <v>68</v>
      </c>
      <c r="D2812" s="5" t="s">
        <v>8080</v>
      </c>
      <c r="E2812" s="43">
        <v>16000</v>
      </c>
      <c r="F2812" s="43"/>
      <c r="G2812" s="364">
        <f t="shared" si="37"/>
        <v>93072.661290322663</v>
      </c>
      <c r="H2812" s="391" t="s">
        <v>9568</v>
      </c>
    </row>
    <row r="2813" spans="1:8" x14ac:dyDescent="0.3">
      <c r="A2813" s="45">
        <v>44475</v>
      </c>
      <c r="B2813" s="399"/>
      <c r="C2813" s="5" t="s">
        <v>68</v>
      </c>
      <c r="D2813" s="5" t="s">
        <v>8098</v>
      </c>
      <c r="E2813" s="43">
        <v>3000</v>
      </c>
      <c r="F2813" s="43"/>
      <c r="G2813" s="364">
        <f t="shared" si="37"/>
        <v>90072.661290322663</v>
      </c>
      <c r="H2813" s="391" t="s">
        <v>9568</v>
      </c>
    </row>
    <row r="2814" spans="1:8" x14ac:dyDescent="0.3">
      <c r="A2814" s="45">
        <v>44475</v>
      </c>
      <c r="B2814" s="409"/>
      <c r="C2814" s="61" t="s">
        <v>54</v>
      </c>
      <c r="D2814" s="61" t="s">
        <v>1378</v>
      </c>
      <c r="E2814" s="62">
        <v>5000</v>
      </c>
      <c r="F2814" s="43"/>
      <c r="G2814" s="364">
        <f t="shared" ref="G2814:G2875" si="38">G2813+F2814-E2814</f>
        <v>85072.661290322663</v>
      </c>
      <c r="H2814" s="391" t="s">
        <v>9568</v>
      </c>
    </row>
    <row r="2815" spans="1:8" x14ac:dyDescent="0.3">
      <c r="A2815" s="45">
        <v>44475</v>
      </c>
      <c r="B2815" s="399"/>
      <c r="C2815" s="5" t="s">
        <v>0</v>
      </c>
      <c r="D2815" s="5" t="s">
        <v>3183</v>
      </c>
      <c r="E2815" s="43">
        <v>55000</v>
      </c>
      <c r="F2815" s="43"/>
      <c r="G2815" s="364">
        <f t="shared" si="38"/>
        <v>30072.661290322663</v>
      </c>
      <c r="H2815" s="391" t="s">
        <v>9568</v>
      </c>
    </row>
    <row r="2816" spans="1:8" x14ac:dyDescent="0.3">
      <c r="A2816" s="45">
        <v>44475</v>
      </c>
      <c r="B2816" s="399"/>
      <c r="C2816" s="5" t="s">
        <v>25</v>
      </c>
      <c r="D2816" s="5" t="s">
        <v>8099</v>
      </c>
      <c r="E2816" s="43">
        <v>5000</v>
      </c>
      <c r="F2816" s="43"/>
      <c r="G2816" s="364">
        <f t="shared" si="38"/>
        <v>25072.661290322663</v>
      </c>
      <c r="H2816" s="391" t="s">
        <v>9568</v>
      </c>
    </row>
    <row r="2817" spans="1:13" x14ac:dyDescent="0.3">
      <c r="A2817" s="45">
        <v>44476</v>
      </c>
      <c r="B2817" s="399"/>
      <c r="C2817" s="5" t="s">
        <v>5741</v>
      </c>
      <c r="D2817" s="5" t="s">
        <v>294</v>
      </c>
      <c r="E2817" s="43">
        <v>16160</v>
      </c>
      <c r="F2817" s="43"/>
      <c r="G2817" s="364">
        <f t="shared" si="38"/>
        <v>8912.6612903226633</v>
      </c>
      <c r="H2817" s="391" t="s">
        <v>9568</v>
      </c>
    </row>
    <row r="2818" spans="1:13" x14ac:dyDescent="0.3">
      <c r="A2818" s="45">
        <v>44476</v>
      </c>
      <c r="B2818" s="399"/>
      <c r="C2818" s="5" t="s">
        <v>5793</v>
      </c>
      <c r="D2818" s="5" t="s">
        <v>8100</v>
      </c>
      <c r="E2818" s="43">
        <v>1000</v>
      </c>
      <c r="F2818" s="43"/>
      <c r="G2818" s="364">
        <f t="shared" si="38"/>
        <v>7912.6612903226633</v>
      </c>
      <c r="H2818" s="391" t="s">
        <v>9568</v>
      </c>
    </row>
    <row r="2819" spans="1:13" x14ac:dyDescent="0.3">
      <c r="A2819" s="45">
        <v>44476</v>
      </c>
      <c r="B2819" s="404"/>
      <c r="C2819" s="41" t="s">
        <v>18</v>
      </c>
      <c r="D2819" s="41" t="s">
        <v>8101</v>
      </c>
      <c r="E2819" s="42">
        <v>5000</v>
      </c>
      <c r="F2819" s="43"/>
      <c r="G2819" s="364">
        <f t="shared" si="38"/>
        <v>2912.6612903226633</v>
      </c>
      <c r="H2819" s="391" t="s">
        <v>9568</v>
      </c>
    </row>
    <row r="2820" spans="1:13" x14ac:dyDescent="0.3">
      <c r="A2820" s="45">
        <v>44476</v>
      </c>
      <c r="B2820" s="399"/>
      <c r="C2820" s="5" t="s">
        <v>25</v>
      </c>
      <c r="D2820" s="5" t="s">
        <v>8102</v>
      </c>
      <c r="E2820" s="43">
        <v>1000</v>
      </c>
      <c r="F2820" s="43"/>
      <c r="G2820" s="364">
        <f t="shared" si="38"/>
        <v>1912.6612903226633</v>
      </c>
      <c r="H2820" s="391" t="s">
        <v>9568</v>
      </c>
    </row>
    <row r="2821" spans="1:13" x14ac:dyDescent="0.3">
      <c r="A2821" s="45">
        <v>44476</v>
      </c>
      <c r="B2821" s="399"/>
      <c r="C2821" s="5" t="s">
        <v>3563</v>
      </c>
      <c r="D2821" s="5" t="s">
        <v>8109</v>
      </c>
      <c r="E2821" s="43">
        <v>270</v>
      </c>
      <c r="F2821" s="43"/>
      <c r="G2821" s="364">
        <f t="shared" si="38"/>
        <v>1642.6612903226633</v>
      </c>
      <c r="H2821" s="391" t="s">
        <v>9568</v>
      </c>
    </row>
    <row r="2822" spans="1:13" x14ac:dyDescent="0.3">
      <c r="A2822" s="45">
        <v>44477</v>
      </c>
      <c r="B2822" s="399"/>
      <c r="C2822" s="5" t="s">
        <v>25</v>
      </c>
      <c r="D2822" s="5" t="s">
        <v>6049</v>
      </c>
      <c r="E2822" s="43">
        <v>100</v>
      </c>
      <c r="F2822" s="43"/>
      <c r="G2822" s="364">
        <f t="shared" si="38"/>
        <v>1542.6612903226633</v>
      </c>
      <c r="H2822" s="391" t="s">
        <v>9568</v>
      </c>
    </row>
    <row r="2823" spans="1:13" x14ac:dyDescent="0.3">
      <c r="A2823" s="45">
        <v>44477</v>
      </c>
      <c r="B2823" s="399"/>
      <c r="C2823" s="5" t="s">
        <v>25</v>
      </c>
      <c r="D2823" s="5" t="s">
        <v>8110</v>
      </c>
      <c r="E2823" s="43">
        <v>130</v>
      </c>
      <c r="F2823" s="43"/>
      <c r="G2823" s="364">
        <f t="shared" si="38"/>
        <v>1412.6612903226633</v>
      </c>
      <c r="H2823" s="391" t="s">
        <v>9568</v>
      </c>
    </row>
    <row r="2824" spans="1:13" x14ac:dyDescent="0.3">
      <c r="A2824" s="45">
        <v>44478</v>
      </c>
      <c r="B2824" s="580"/>
      <c r="C2824" s="554" t="s">
        <v>4415</v>
      </c>
      <c r="D2824" s="554"/>
      <c r="E2824" s="554"/>
      <c r="F2824" s="43">
        <v>100000</v>
      </c>
      <c r="G2824" s="364">
        <f t="shared" si="38"/>
        <v>101412.66129032266</v>
      </c>
      <c r="H2824" s="391" t="s">
        <v>9568</v>
      </c>
      <c r="M2824" s="93"/>
    </row>
    <row r="2825" spans="1:13" x14ac:dyDescent="0.3">
      <c r="A2825" s="45">
        <v>44478</v>
      </c>
      <c r="B2825" s="399"/>
      <c r="C2825" s="5" t="s">
        <v>1616</v>
      </c>
      <c r="D2825" s="5" t="s">
        <v>640</v>
      </c>
      <c r="E2825" s="43">
        <v>1500</v>
      </c>
      <c r="F2825" s="43"/>
      <c r="G2825" s="364">
        <f t="shared" si="38"/>
        <v>99912.661290322663</v>
      </c>
      <c r="H2825" s="391" t="s">
        <v>9568</v>
      </c>
    </row>
    <row r="2826" spans="1:13" x14ac:dyDescent="0.3">
      <c r="A2826" s="45">
        <v>44478</v>
      </c>
      <c r="B2826" s="399"/>
      <c r="C2826" s="5" t="s">
        <v>0</v>
      </c>
      <c r="D2826" s="5" t="s">
        <v>8115</v>
      </c>
      <c r="E2826" s="43">
        <v>3160</v>
      </c>
      <c r="F2826" s="43"/>
      <c r="G2826" s="364">
        <f t="shared" si="38"/>
        <v>96752.661290322663</v>
      </c>
      <c r="H2826" s="391" t="s">
        <v>9568</v>
      </c>
    </row>
    <row r="2827" spans="1:13" x14ac:dyDescent="0.3">
      <c r="A2827" s="45">
        <v>44478</v>
      </c>
      <c r="B2827" s="399"/>
      <c r="C2827" s="5" t="s">
        <v>25</v>
      </c>
      <c r="D2827" s="5" t="s">
        <v>4731</v>
      </c>
      <c r="E2827" s="43">
        <v>3000</v>
      </c>
      <c r="F2827" s="43"/>
      <c r="G2827" s="364">
        <f t="shared" si="38"/>
        <v>93752.661290322663</v>
      </c>
      <c r="H2827" s="391" t="s">
        <v>9568</v>
      </c>
    </row>
    <row r="2828" spans="1:13" x14ac:dyDescent="0.3">
      <c r="A2828" s="45">
        <v>44478</v>
      </c>
      <c r="B2828" s="399"/>
      <c r="C2828" s="5" t="s">
        <v>4550</v>
      </c>
      <c r="D2828" s="5" t="s">
        <v>7250</v>
      </c>
      <c r="E2828" s="43">
        <v>10000</v>
      </c>
      <c r="F2828" s="43"/>
      <c r="G2828" s="364">
        <f t="shared" si="38"/>
        <v>83752.661290322663</v>
      </c>
      <c r="H2828" s="391" t="s">
        <v>9568</v>
      </c>
    </row>
    <row r="2829" spans="1:13" x14ac:dyDescent="0.3">
      <c r="A2829" s="45">
        <v>44478</v>
      </c>
      <c r="B2829" s="399"/>
      <c r="C2829" s="5" t="s">
        <v>5793</v>
      </c>
      <c r="D2829" s="5" t="s">
        <v>8111</v>
      </c>
      <c r="E2829" s="43">
        <v>2000</v>
      </c>
      <c r="F2829" s="43"/>
      <c r="G2829" s="364">
        <f t="shared" si="38"/>
        <v>81752.661290322663</v>
      </c>
      <c r="H2829" s="391" t="s">
        <v>9568</v>
      </c>
    </row>
    <row r="2830" spans="1:13" x14ac:dyDescent="0.3">
      <c r="A2830" s="45">
        <v>44478</v>
      </c>
      <c r="B2830" s="409"/>
      <c r="C2830" s="61" t="s">
        <v>54</v>
      </c>
      <c r="D2830" s="61" t="s">
        <v>6238</v>
      </c>
      <c r="E2830" s="62">
        <v>38240</v>
      </c>
      <c r="F2830" s="43"/>
      <c r="G2830" s="364">
        <f t="shared" si="38"/>
        <v>43512.661290322663</v>
      </c>
      <c r="H2830" s="391" t="s">
        <v>9568</v>
      </c>
    </row>
    <row r="2831" spans="1:13" x14ac:dyDescent="0.3">
      <c r="A2831" s="45">
        <v>44478</v>
      </c>
      <c r="B2831" s="580"/>
      <c r="C2831" s="554" t="s">
        <v>8112</v>
      </c>
      <c r="D2831" s="554"/>
      <c r="E2831" s="554"/>
      <c r="F2831" s="43">
        <v>4000</v>
      </c>
      <c r="G2831" s="364">
        <f t="shared" si="38"/>
        <v>47512.661290322663</v>
      </c>
      <c r="H2831" s="391" t="s">
        <v>9568</v>
      </c>
      <c r="M2831" s="93"/>
    </row>
    <row r="2832" spans="1:13" x14ac:dyDescent="0.3">
      <c r="A2832" s="45">
        <v>44478</v>
      </c>
      <c r="B2832" s="399"/>
      <c r="C2832" s="5" t="s">
        <v>5930</v>
      </c>
      <c r="D2832" s="5" t="s">
        <v>40</v>
      </c>
      <c r="E2832" s="43">
        <v>37880</v>
      </c>
      <c r="F2832" s="43"/>
      <c r="G2832" s="364">
        <f t="shared" si="38"/>
        <v>9632.6612903226633</v>
      </c>
      <c r="H2832" s="391" t="s">
        <v>9568</v>
      </c>
    </row>
    <row r="2833" spans="1:13" x14ac:dyDescent="0.3">
      <c r="A2833" s="45">
        <v>44478</v>
      </c>
      <c r="B2833" s="399"/>
      <c r="C2833" s="5" t="s">
        <v>54</v>
      </c>
      <c r="D2833" s="5" t="s">
        <v>8113</v>
      </c>
      <c r="E2833" s="43">
        <v>2000</v>
      </c>
      <c r="F2833" s="43"/>
      <c r="G2833" s="364">
        <f t="shared" si="38"/>
        <v>7632.6612903226633</v>
      </c>
      <c r="H2833" s="391" t="s">
        <v>9568</v>
      </c>
    </row>
    <row r="2834" spans="1:13" x14ac:dyDescent="0.3">
      <c r="A2834" s="45">
        <v>44478</v>
      </c>
      <c r="B2834" s="399"/>
      <c r="C2834" s="5" t="s">
        <v>25</v>
      </c>
      <c r="D2834" s="5" t="s">
        <v>8114</v>
      </c>
      <c r="E2834" s="43">
        <v>150</v>
      </c>
      <c r="F2834" s="43"/>
      <c r="G2834" s="364">
        <f t="shared" si="38"/>
        <v>7482.6612903226633</v>
      </c>
      <c r="H2834" s="391" t="s">
        <v>9568</v>
      </c>
    </row>
    <row r="2835" spans="1:13" x14ac:dyDescent="0.3">
      <c r="A2835" s="45">
        <v>44480</v>
      </c>
      <c r="B2835" s="399"/>
      <c r="C2835" s="5" t="s">
        <v>14</v>
      </c>
      <c r="D2835" s="5" t="s">
        <v>294</v>
      </c>
      <c r="E2835" s="43">
        <v>2000</v>
      </c>
      <c r="F2835" s="43"/>
      <c r="G2835" s="364">
        <f t="shared" si="38"/>
        <v>5482.6612903226633</v>
      </c>
      <c r="H2835" s="391" t="s">
        <v>9568</v>
      </c>
    </row>
    <row r="2836" spans="1:13" x14ac:dyDescent="0.3">
      <c r="A2836" s="45">
        <v>44480</v>
      </c>
      <c r="B2836" s="399"/>
      <c r="C2836" s="5" t="s">
        <v>25</v>
      </c>
      <c r="D2836" s="5" t="s">
        <v>8116</v>
      </c>
      <c r="E2836" s="43">
        <v>140</v>
      </c>
      <c r="F2836" s="43"/>
      <c r="G2836" s="364">
        <f t="shared" si="38"/>
        <v>5342.6612903226633</v>
      </c>
      <c r="H2836" s="391" t="s">
        <v>9568</v>
      </c>
    </row>
    <row r="2837" spans="1:13" x14ac:dyDescent="0.3">
      <c r="A2837" s="45">
        <v>44480</v>
      </c>
      <c r="B2837" s="580"/>
      <c r="C2837" s="554" t="s">
        <v>4106</v>
      </c>
      <c r="D2837" s="554"/>
      <c r="E2837" s="554"/>
      <c r="F2837" s="43">
        <v>100000</v>
      </c>
      <c r="G2837" s="364">
        <f t="shared" si="38"/>
        <v>105342.66129032266</v>
      </c>
      <c r="H2837" s="391" t="s">
        <v>9568</v>
      </c>
      <c r="M2837" s="93"/>
    </row>
    <row r="2838" spans="1:13" x14ac:dyDescent="0.3">
      <c r="A2838" s="45">
        <v>44480</v>
      </c>
      <c r="B2838" s="399"/>
      <c r="C2838" s="5" t="s">
        <v>5709</v>
      </c>
      <c r="D2838" s="5" t="s">
        <v>8117</v>
      </c>
      <c r="E2838" s="43">
        <v>27000</v>
      </c>
      <c r="F2838" s="43"/>
      <c r="G2838" s="364">
        <f t="shared" si="38"/>
        <v>78342.661290322663</v>
      </c>
      <c r="H2838" s="391" t="s">
        <v>9568</v>
      </c>
    </row>
    <row r="2839" spans="1:13" x14ac:dyDescent="0.3">
      <c r="A2839" s="45">
        <v>44480</v>
      </c>
      <c r="B2839" s="409"/>
      <c r="C2839" s="61" t="s">
        <v>54</v>
      </c>
      <c r="D2839" s="61" t="s">
        <v>6239</v>
      </c>
      <c r="E2839" s="62">
        <v>37000</v>
      </c>
      <c r="F2839" s="43"/>
      <c r="G2839" s="364">
        <f t="shared" si="38"/>
        <v>41342.661290322663</v>
      </c>
      <c r="H2839" s="391" t="s">
        <v>9568</v>
      </c>
    </row>
    <row r="2840" spans="1:13" x14ac:dyDescent="0.3">
      <c r="A2840" s="45">
        <v>44480</v>
      </c>
      <c r="B2840" s="409"/>
      <c r="C2840" s="61" t="s">
        <v>54</v>
      </c>
      <c r="D2840" s="61" t="s">
        <v>8118</v>
      </c>
      <c r="E2840" s="62">
        <v>20000</v>
      </c>
      <c r="F2840" s="43"/>
      <c r="G2840" s="364">
        <f t="shared" si="38"/>
        <v>21342.661290322663</v>
      </c>
      <c r="H2840" s="391" t="s">
        <v>9568</v>
      </c>
    </row>
    <row r="2841" spans="1:13" x14ac:dyDescent="0.3">
      <c r="A2841" s="45">
        <v>44480</v>
      </c>
      <c r="B2841" s="399"/>
      <c r="C2841" s="5" t="s">
        <v>6341</v>
      </c>
      <c r="D2841" s="5" t="s">
        <v>8119</v>
      </c>
      <c r="E2841" s="43">
        <v>18000</v>
      </c>
      <c r="F2841" s="43"/>
      <c r="G2841" s="364">
        <f t="shared" si="38"/>
        <v>3342.6612903226633</v>
      </c>
      <c r="H2841" s="391" t="s">
        <v>9568</v>
      </c>
    </row>
    <row r="2842" spans="1:13" x14ac:dyDescent="0.3">
      <c r="A2842" s="45">
        <v>44480</v>
      </c>
      <c r="B2842" s="399"/>
      <c r="C2842" s="5" t="s">
        <v>25</v>
      </c>
      <c r="D2842" s="5" t="s">
        <v>6049</v>
      </c>
      <c r="E2842" s="43">
        <v>250</v>
      </c>
      <c r="F2842" s="43"/>
      <c r="G2842" s="364">
        <f t="shared" si="38"/>
        <v>3092.6612903226633</v>
      </c>
      <c r="H2842" s="391" t="s">
        <v>9568</v>
      </c>
    </row>
    <row r="2843" spans="1:13" x14ac:dyDescent="0.3">
      <c r="A2843" s="45">
        <v>44480</v>
      </c>
      <c r="B2843" s="399"/>
      <c r="C2843" s="5" t="s">
        <v>68</v>
      </c>
      <c r="D2843" s="5" t="s">
        <v>3557</v>
      </c>
      <c r="E2843" s="43">
        <v>1000</v>
      </c>
      <c r="F2843" s="43"/>
      <c r="G2843" s="364">
        <f t="shared" si="38"/>
        <v>2092.6612903226633</v>
      </c>
      <c r="H2843" s="391" t="s">
        <v>9568</v>
      </c>
    </row>
    <row r="2844" spans="1:13" x14ac:dyDescent="0.3">
      <c r="A2844" s="45">
        <v>44480</v>
      </c>
      <c r="B2844" s="399"/>
      <c r="C2844" s="5" t="s">
        <v>110</v>
      </c>
      <c r="D2844" s="5" t="s">
        <v>7049</v>
      </c>
      <c r="E2844" s="43">
        <v>1000</v>
      </c>
      <c r="F2844" s="43"/>
      <c r="G2844" s="364">
        <f t="shared" si="38"/>
        <v>1092.6612903226633</v>
      </c>
      <c r="H2844" s="391" t="s">
        <v>9568</v>
      </c>
    </row>
    <row r="2845" spans="1:13" x14ac:dyDescent="0.3">
      <c r="A2845" s="45">
        <v>44481</v>
      </c>
      <c r="B2845" s="580"/>
      <c r="C2845" s="554" t="s">
        <v>4106</v>
      </c>
      <c r="D2845" s="554"/>
      <c r="E2845" s="554"/>
      <c r="F2845" s="43">
        <v>200000</v>
      </c>
      <c r="G2845" s="364">
        <f t="shared" si="38"/>
        <v>201092.66129032266</v>
      </c>
      <c r="H2845" s="391" t="s">
        <v>9568</v>
      </c>
      <c r="M2845" s="93"/>
    </row>
    <row r="2846" spans="1:13" x14ac:dyDescent="0.3">
      <c r="A2846" s="45">
        <v>44481</v>
      </c>
      <c r="B2846" s="399"/>
      <c r="C2846" s="5" t="s">
        <v>5793</v>
      </c>
      <c r="D2846" s="5" t="s">
        <v>8121</v>
      </c>
      <c r="E2846" s="43">
        <v>800</v>
      </c>
      <c r="F2846" s="43"/>
      <c r="G2846" s="364">
        <f t="shared" si="38"/>
        <v>200292.66129032266</v>
      </c>
      <c r="H2846" s="391" t="s">
        <v>9568</v>
      </c>
    </row>
    <row r="2847" spans="1:13" x14ac:dyDescent="0.3">
      <c r="A2847" s="45">
        <v>44481</v>
      </c>
      <c r="B2847" s="399"/>
      <c r="C2847" s="5" t="s">
        <v>57</v>
      </c>
      <c r="D2847" s="5" t="s">
        <v>3557</v>
      </c>
      <c r="E2847" s="43">
        <v>150000</v>
      </c>
      <c r="F2847" s="43"/>
      <c r="G2847" s="364">
        <f t="shared" si="38"/>
        <v>50292.661290322663</v>
      </c>
      <c r="H2847" s="391" t="s">
        <v>9568</v>
      </c>
    </row>
    <row r="2848" spans="1:13" x14ac:dyDescent="0.3">
      <c r="A2848" s="45">
        <v>44481</v>
      </c>
      <c r="B2848" s="399"/>
      <c r="C2848" s="5" t="s">
        <v>6430</v>
      </c>
      <c r="D2848" s="5" t="s">
        <v>8122</v>
      </c>
      <c r="E2848" s="43">
        <v>1300</v>
      </c>
      <c r="F2848" s="43"/>
      <c r="G2848" s="364">
        <f t="shared" si="38"/>
        <v>48992.661290322663</v>
      </c>
      <c r="H2848" s="391" t="s">
        <v>9568</v>
      </c>
    </row>
    <row r="2849" spans="1:13" x14ac:dyDescent="0.3">
      <c r="A2849" s="45">
        <v>44481</v>
      </c>
      <c r="B2849" s="399"/>
      <c r="C2849" s="5" t="s">
        <v>6430</v>
      </c>
      <c r="D2849" s="5" t="s">
        <v>3557</v>
      </c>
      <c r="E2849" s="43">
        <v>3000</v>
      </c>
      <c r="F2849" s="43"/>
      <c r="G2849" s="364">
        <f t="shared" si="38"/>
        <v>45992.661290322663</v>
      </c>
      <c r="H2849" s="391" t="s">
        <v>9568</v>
      </c>
    </row>
    <row r="2850" spans="1:13" x14ac:dyDescent="0.3">
      <c r="A2850" s="45">
        <v>44482</v>
      </c>
      <c r="B2850" s="399"/>
      <c r="C2850" s="5" t="s">
        <v>8040</v>
      </c>
      <c r="D2850" s="5" t="s">
        <v>8123</v>
      </c>
      <c r="E2850" s="43">
        <v>430</v>
      </c>
      <c r="F2850" s="43"/>
      <c r="G2850" s="364">
        <f t="shared" si="38"/>
        <v>45562.661290322663</v>
      </c>
      <c r="H2850" s="391" t="s">
        <v>9568</v>
      </c>
    </row>
    <row r="2851" spans="1:13" x14ac:dyDescent="0.3">
      <c r="A2851" s="45">
        <v>44482</v>
      </c>
      <c r="B2851" s="399"/>
      <c r="C2851" s="5" t="s">
        <v>8040</v>
      </c>
      <c r="D2851" s="5" t="s">
        <v>8124</v>
      </c>
      <c r="E2851" s="43">
        <v>500</v>
      </c>
      <c r="F2851" s="43"/>
      <c r="G2851" s="364">
        <f t="shared" si="38"/>
        <v>45062.661290322663</v>
      </c>
      <c r="H2851" s="391" t="s">
        <v>9568</v>
      </c>
    </row>
    <row r="2852" spans="1:13" x14ac:dyDescent="0.3">
      <c r="A2852" s="45">
        <v>44482</v>
      </c>
      <c r="B2852" s="399"/>
      <c r="C2852" s="5" t="s">
        <v>57</v>
      </c>
      <c r="D2852" s="5" t="s">
        <v>3172</v>
      </c>
      <c r="E2852" s="43">
        <v>1160</v>
      </c>
      <c r="F2852" s="43"/>
      <c r="G2852" s="364">
        <f t="shared" si="38"/>
        <v>43902.661290322663</v>
      </c>
      <c r="H2852" s="391" t="s">
        <v>9568</v>
      </c>
    </row>
    <row r="2853" spans="1:13" x14ac:dyDescent="0.3">
      <c r="A2853" s="45">
        <v>44482</v>
      </c>
      <c r="B2853" s="399"/>
      <c r="C2853" s="5" t="s">
        <v>57</v>
      </c>
      <c r="D2853" s="5" t="s">
        <v>294</v>
      </c>
      <c r="E2853" s="43">
        <v>20000</v>
      </c>
      <c r="F2853" s="43"/>
      <c r="G2853" s="364">
        <f t="shared" si="38"/>
        <v>23902.661290322663</v>
      </c>
      <c r="H2853" s="391" t="s">
        <v>9568</v>
      </c>
    </row>
    <row r="2854" spans="1:13" x14ac:dyDescent="0.3">
      <c r="A2854" s="45">
        <v>44482</v>
      </c>
      <c r="B2854" s="399"/>
      <c r="C2854" s="5" t="s">
        <v>8128</v>
      </c>
      <c r="D2854" s="5" t="s">
        <v>8129</v>
      </c>
      <c r="E2854" s="43">
        <v>15000</v>
      </c>
      <c r="F2854" s="43"/>
      <c r="G2854" s="364">
        <f t="shared" si="38"/>
        <v>8902.6612903226633</v>
      </c>
      <c r="H2854" s="391" t="s">
        <v>9568</v>
      </c>
    </row>
    <row r="2855" spans="1:13" x14ac:dyDescent="0.3">
      <c r="A2855" s="45">
        <v>44482</v>
      </c>
      <c r="B2855" s="399"/>
      <c r="C2855" s="5" t="s">
        <v>14</v>
      </c>
      <c r="D2855" s="5" t="s">
        <v>294</v>
      </c>
      <c r="E2855" s="43">
        <v>2000</v>
      </c>
      <c r="F2855" s="43"/>
      <c r="G2855" s="364">
        <f t="shared" si="38"/>
        <v>6902.6612903226633</v>
      </c>
      <c r="H2855" s="391" t="s">
        <v>9568</v>
      </c>
    </row>
    <row r="2856" spans="1:13" x14ac:dyDescent="0.3">
      <c r="A2856" s="45">
        <v>44482</v>
      </c>
      <c r="B2856" s="399"/>
      <c r="C2856" s="5" t="s">
        <v>5156</v>
      </c>
      <c r="D2856" s="5" t="s">
        <v>8130</v>
      </c>
      <c r="E2856" s="43">
        <v>470</v>
      </c>
      <c r="F2856" s="43"/>
      <c r="G2856" s="364">
        <f t="shared" si="38"/>
        <v>6432.6612903226633</v>
      </c>
      <c r="H2856" s="391" t="s">
        <v>9568</v>
      </c>
    </row>
    <row r="2857" spans="1:13" x14ac:dyDescent="0.3">
      <c r="A2857" s="45">
        <v>44482</v>
      </c>
      <c r="B2857" s="399"/>
      <c r="C2857" s="5" t="s">
        <v>5156</v>
      </c>
      <c r="D2857" s="5" t="s">
        <v>8131</v>
      </c>
      <c r="E2857" s="43">
        <v>750</v>
      </c>
      <c r="F2857" s="43"/>
      <c r="G2857" s="364">
        <f t="shared" si="38"/>
        <v>5682.6612903226633</v>
      </c>
      <c r="H2857" s="391" t="s">
        <v>9568</v>
      </c>
    </row>
    <row r="2858" spans="1:13" x14ac:dyDescent="0.3">
      <c r="A2858" s="45">
        <v>44483</v>
      </c>
      <c r="B2858" s="399"/>
      <c r="C2858" s="5" t="s">
        <v>84</v>
      </c>
      <c r="D2858" s="61" t="s">
        <v>8132</v>
      </c>
      <c r="E2858" s="43">
        <v>1000</v>
      </c>
      <c r="F2858" s="43"/>
      <c r="G2858" s="364">
        <f t="shared" si="38"/>
        <v>4682.6612903226633</v>
      </c>
      <c r="H2858" s="391" t="s">
        <v>9568</v>
      </c>
    </row>
    <row r="2859" spans="1:13" x14ac:dyDescent="0.3">
      <c r="A2859" s="45">
        <v>44483</v>
      </c>
      <c r="B2859" s="399"/>
      <c r="C2859" s="5" t="s">
        <v>57</v>
      </c>
      <c r="D2859" s="5" t="s">
        <v>8133</v>
      </c>
      <c r="E2859" s="43">
        <v>1000</v>
      </c>
      <c r="F2859" s="43"/>
      <c r="G2859" s="364">
        <f t="shared" si="38"/>
        <v>3682.6612903226633</v>
      </c>
      <c r="H2859" s="391" t="s">
        <v>9568</v>
      </c>
    </row>
    <row r="2860" spans="1:13" x14ac:dyDescent="0.3">
      <c r="A2860" s="45">
        <v>44483</v>
      </c>
      <c r="B2860" s="580"/>
      <c r="C2860" s="554" t="s">
        <v>8134</v>
      </c>
      <c r="D2860" s="554"/>
      <c r="E2860" s="554"/>
      <c r="F2860" s="43">
        <v>9340</v>
      </c>
      <c r="G2860" s="364">
        <f t="shared" ref="G2860" si="39">G2859+F2860-E2860</f>
        <v>13022.661290322663</v>
      </c>
      <c r="H2860" s="391" t="s">
        <v>9568</v>
      </c>
      <c r="M2860" s="93"/>
    </row>
    <row r="2861" spans="1:13" x14ac:dyDescent="0.3">
      <c r="A2861" s="45">
        <v>44483</v>
      </c>
      <c r="B2861" s="399"/>
      <c r="C2861" s="5" t="s">
        <v>25</v>
      </c>
      <c r="D2861" s="5" t="s">
        <v>8135</v>
      </c>
      <c r="E2861" s="43">
        <v>900</v>
      </c>
      <c r="F2861" s="43"/>
      <c r="G2861" s="364">
        <f t="shared" si="38"/>
        <v>12122.661290322663</v>
      </c>
      <c r="H2861" s="391" t="s">
        <v>9568</v>
      </c>
    </row>
    <row r="2862" spans="1:13" x14ac:dyDescent="0.3">
      <c r="A2862" s="45">
        <v>44483</v>
      </c>
      <c r="B2862" s="399"/>
      <c r="C2862" s="5" t="s">
        <v>5162</v>
      </c>
      <c r="D2862" s="5" t="s">
        <v>7002</v>
      </c>
      <c r="E2862" s="43">
        <v>600</v>
      </c>
      <c r="F2862" s="43"/>
      <c r="G2862" s="364">
        <f t="shared" si="38"/>
        <v>11522.661290322663</v>
      </c>
      <c r="H2862" s="391" t="s">
        <v>9568</v>
      </c>
    </row>
    <row r="2863" spans="1:13" x14ac:dyDescent="0.3">
      <c r="A2863" s="45">
        <v>44483</v>
      </c>
      <c r="B2863" s="399"/>
      <c r="C2863" s="5" t="s">
        <v>5162</v>
      </c>
      <c r="D2863" s="5" t="s">
        <v>8136</v>
      </c>
      <c r="E2863" s="43">
        <v>500</v>
      </c>
      <c r="F2863" s="43"/>
      <c r="G2863" s="364">
        <f t="shared" si="38"/>
        <v>11022.661290322663</v>
      </c>
      <c r="H2863" s="391" t="s">
        <v>9568</v>
      </c>
    </row>
    <row r="2864" spans="1:13" x14ac:dyDescent="0.3">
      <c r="A2864" s="45">
        <v>44483</v>
      </c>
      <c r="B2864" s="399"/>
      <c r="C2864" s="5" t="s">
        <v>108</v>
      </c>
      <c r="D2864" s="5" t="s">
        <v>8137</v>
      </c>
      <c r="E2864" s="43">
        <v>450</v>
      </c>
      <c r="F2864" s="43"/>
      <c r="G2864" s="364">
        <f t="shared" si="38"/>
        <v>10572.661290322663</v>
      </c>
      <c r="H2864" s="391" t="s">
        <v>9568</v>
      </c>
    </row>
    <row r="2865" spans="1:13" x14ac:dyDescent="0.3">
      <c r="A2865" s="45">
        <v>44484</v>
      </c>
      <c r="B2865" s="399"/>
      <c r="C2865" s="5" t="s">
        <v>5793</v>
      </c>
      <c r="D2865" s="5" t="s">
        <v>8138</v>
      </c>
      <c r="E2865" s="43">
        <v>1200</v>
      </c>
      <c r="F2865" s="43"/>
      <c r="G2865" s="364">
        <f t="shared" si="38"/>
        <v>9372.6612903226633</v>
      </c>
      <c r="H2865" s="391" t="s">
        <v>9568</v>
      </c>
    </row>
    <row r="2866" spans="1:13" x14ac:dyDescent="0.3">
      <c r="A2866" s="45">
        <v>44484</v>
      </c>
      <c r="B2866" s="399"/>
      <c r="C2866" s="5" t="s">
        <v>25</v>
      </c>
      <c r="D2866" s="5" t="s">
        <v>8139</v>
      </c>
      <c r="E2866" s="43">
        <f>2150-500</f>
        <v>1650</v>
      </c>
      <c r="F2866" s="43"/>
      <c r="G2866" s="364">
        <f t="shared" si="38"/>
        <v>7722.6612903226633</v>
      </c>
      <c r="H2866" s="391" t="s">
        <v>9568</v>
      </c>
    </row>
    <row r="2867" spans="1:13" x14ac:dyDescent="0.3">
      <c r="A2867" s="45">
        <v>44485</v>
      </c>
      <c r="B2867" s="399"/>
      <c r="C2867" s="5" t="s">
        <v>1616</v>
      </c>
      <c r="D2867" s="5" t="s">
        <v>7002</v>
      </c>
      <c r="E2867" s="43">
        <v>600</v>
      </c>
      <c r="F2867" s="43"/>
      <c r="G2867" s="364">
        <f t="shared" si="38"/>
        <v>7122.6612903226633</v>
      </c>
      <c r="H2867" s="391" t="s">
        <v>9568</v>
      </c>
    </row>
    <row r="2868" spans="1:13" x14ac:dyDescent="0.3">
      <c r="A2868" s="45">
        <v>44485</v>
      </c>
      <c r="B2868" s="399"/>
      <c r="C2868" s="5" t="s">
        <v>25</v>
      </c>
      <c r="D2868" s="5" t="s">
        <v>6049</v>
      </c>
      <c r="E2868" s="43">
        <v>300</v>
      </c>
      <c r="F2868" s="43"/>
      <c r="G2868" s="364">
        <f t="shared" si="38"/>
        <v>6822.6612903226633</v>
      </c>
      <c r="H2868" s="391" t="s">
        <v>9568</v>
      </c>
    </row>
    <row r="2869" spans="1:13" x14ac:dyDescent="0.3">
      <c r="A2869" s="45">
        <v>44485</v>
      </c>
      <c r="B2869" s="399"/>
      <c r="C2869" s="5" t="s">
        <v>25</v>
      </c>
      <c r="D2869" s="5" t="s">
        <v>5799</v>
      </c>
      <c r="E2869" s="43">
        <v>200</v>
      </c>
      <c r="F2869" s="43"/>
      <c r="G2869" s="364">
        <f t="shared" si="38"/>
        <v>6622.6612903226633</v>
      </c>
      <c r="H2869" s="391" t="s">
        <v>9568</v>
      </c>
    </row>
    <row r="2870" spans="1:13" x14ac:dyDescent="0.3">
      <c r="A2870" s="45">
        <v>44485</v>
      </c>
      <c r="B2870" s="399"/>
      <c r="C2870" s="5" t="s">
        <v>14</v>
      </c>
      <c r="D2870" s="5" t="s">
        <v>294</v>
      </c>
      <c r="E2870" s="43">
        <v>5000</v>
      </c>
      <c r="F2870" s="43"/>
      <c r="G2870" s="364">
        <f t="shared" si="38"/>
        <v>1622.6612903226633</v>
      </c>
      <c r="H2870" s="391" t="s">
        <v>9568</v>
      </c>
    </row>
    <row r="2871" spans="1:13" x14ac:dyDescent="0.3">
      <c r="A2871" s="45">
        <v>44485</v>
      </c>
      <c r="B2871" s="580"/>
      <c r="C2871" s="554" t="s">
        <v>8034</v>
      </c>
      <c r="D2871" s="554"/>
      <c r="E2871" s="554"/>
      <c r="F2871" s="43">
        <v>30000</v>
      </c>
      <c r="G2871" s="364">
        <f t="shared" si="38"/>
        <v>31622.661290322663</v>
      </c>
      <c r="H2871" s="391" t="s">
        <v>9568</v>
      </c>
      <c r="M2871" s="93"/>
    </row>
    <row r="2872" spans="1:13" x14ac:dyDescent="0.3">
      <c r="A2872" s="45">
        <v>44485</v>
      </c>
      <c r="B2872" s="399"/>
      <c r="C2872" s="5" t="s">
        <v>84</v>
      </c>
      <c r="D2872" s="61" t="s">
        <v>8142</v>
      </c>
      <c r="E2872" s="43">
        <v>2000</v>
      </c>
      <c r="F2872" s="43"/>
      <c r="G2872" s="364">
        <f t="shared" si="38"/>
        <v>29622.661290322663</v>
      </c>
      <c r="H2872" s="391" t="s">
        <v>9568</v>
      </c>
    </row>
    <row r="2873" spans="1:13" x14ac:dyDescent="0.3">
      <c r="A2873" s="45">
        <v>44485</v>
      </c>
      <c r="B2873" s="399"/>
      <c r="C2873" s="5" t="s">
        <v>84</v>
      </c>
      <c r="D2873" s="5" t="s">
        <v>8143</v>
      </c>
      <c r="E2873" s="43">
        <v>5000</v>
      </c>
      <c r="F2873" s="43"/>
      <c r="G2873" s="364">
        <f t="shared" si="38"/>
        <v>24622.661290322663</v>
      </c>
      <c r="H2873" s="391" t="s">
        <v>9568</v>
      </c>
    </row>
    <row r="2874" spans="1:13" x14ac:dyDescent="0.3">
      <c r="A2874" s="45">
        <v>44485</v>
      </c>
      <c r="B2874" s="399"/>
      <c r="C2874" s="5" t="s">
        <v>57</v>
      </c>
      <c r="D2874" s="5" t="s">
        <v>3557</v>
      </c>
      <c r="E2874" s="43">
        <v>19460</v>
      </c>
      <c r="F2874" s="43"/>
      <c r="G2874" s="364">
        <f t="shared" si="38"/>
        <v>5162.6612903226633</v>
      </c>
      <c r="H2874" s="391" t="s">
        <v>9568</v>
      </c>
    </row>
    <row r="2875" spans="1:13" x14ac:dyDescent="0.3">
      <c r="A2875" s="45">
        <v>44487</v>
      </c>
      <c r="B2875" s="399"/>
      <c r="C2875" s="5" t="s">
        <v>107</v>
      </c>
      <c r="D2875" s="5" t="s">
        <v>8144</v>
      </c>
      <c r="E2875" s="43">
        <v>890</v>
      </c>
      <c r="F2875" s="43"/>
      <c r="G2875" s="364">
        <f t="shared" si="38"/>
        <v>4272.6612903226633</v>
      </c>
      <c r="H2875" s="391" t="s">
        <v>9568</v>
      </c>
    </row>
    <row r="2876" spans="1:13" x14ac:dyDescent="0.3">
      <c r="A2876" s="45">
        <v>44487</v>
      </c>
      <c r="B2876" s="399"/>
      <c r="C2876" s="5" t="s">
        <v>25</v>
      </c>
      <c r="D2876" s="5" t="s">
        <v>6049</v>
      </c>
      <c r="E2876" s="43">
        <v>100</v>
      </c>
      <c r="F2876" s="43"/>
      <c r="G2876" s="364">
        <f t="shared" ref="G2876:G2944" si="40">G2875+F2876-E2876</f>
        <v>4172.6612903226633</v>
      </c>
      <c r="H2876" s="391" t="s">
        <v>9568</v>
      </c>
    </row>
    <row r="2877" spans="1:13" x14ac:dyDescent="0.3">
      <c r="A2877" s="45">
        <v>44487</v>
      </c>
      <c r="B2877" s="399"/>
      <c r="C2877" s="5" t="s">
        <v>25</v>
      </c>
      <c r="D2877" s="5" t="s">
        <v>8163</v>
      </c>
      <c r="E2877" s="43">
        <v>2000</v>
      </c>
      <c r="F2877" s="43"/>
      <c r="G2877" s="364">
        <f t="shared" si="40"/>
        <v>2172.6612903226633</v>
      </c>
      <c r="H2877" s="391" t="s">
        <v>9568</v>
      </c>
    </row>
    <row r="2878" spans="1:13" x14ac:dyDescent="0.3">
      <c r="A2878" s="45">
        <v>44489</v>
      </c>
      <c r="B2878" s="399"/>
      <c r="C2878" s="5" t="s">
        <v>8040</v>
      </c>
      <c r="D2878" s="5" t="s">
        <v>8124</v>
      </c>
      <c r="E2878" s="43">
        <v>1000</v>
      </c>
      <c r="F2878" s="43"/>
      <c r="G2878" s="364">
        <f t="shared" si="40"/>
        <v>1172.6612903226633</v>
      </c>
      <c r="H2878" s="391" t="s">
        <v>9568</v>
      </c>
    </row>
    <row r="2879" spans="1:13" x14ac:dyDescent="0.3">
      <c r="A2879" s="45">
        <v>44489</v>
      </c>
      <c r="B2879" s="580"/>
      <c r="C2879" s="554" t="s">
        <v>3444</v>
      </c>
      <c r="D2879" s="554"/>
      <c r="E2879" s="554"/>
      <c r="F2879" s="43">
        <v>100000</v>
      </c>
      <c r="G2879" s="364">
        <f t="shared" si="40"/>
        <v>101172.66129032266</v>
      </c>
      <c r="H2879" s="391" t="s">
        <v>9568</v>
      </c>
      <c r="M2879" s="93"/>
    </row>
    <row r="2880" spans="1:13" x14ac:dyDescent="0.3">
      <c r="A2880" s="45">
        <v>44489</v>
      </c>
      <c r="B2880" s="399"/>
      <c r="C2880" s="5" t="s">
        <v>8146</v>
      </c>
      <c r="D2880" s="5" t="s">
        <v>8147</v>
      </c>
      <c r="E2880" s="43">
        <v>15000</v>
      </c>
      <c r="F2880" s="43"/>
      <c r="G2880" s="364">
        <f t="shared" si="40"/>
        <v>86172.661290322663</v>
      </c>
      <c r="H2880" s="391" t="s">
        <v>9568</v>
      </c>
    </row>
    <row r="2881" spans="1:13" x14ac:dyDescent="0.3">
      <c r="A2881" s="45">
        <v>44489</v>
      </c>
      <c r="B2881" s="399"/>
      <c r="C2881" s="5" t="s">
        <v>14</v>
      </c>
      <c r="D2881" s="5" t="s">
        <v>294</v>
      </c>
      <c r="E2881" s="43">
        <v>35000</v>
      </c>
      <c r="F2881" s="43"/>
      <c r="G2881" s="364">
        <f t="shared" si="40"/>
        <v>51172.661290322663</v>
      </c>
      <c r="H2881" s="391" t="s">
        <v>9568</v>
      </c>
    </row>
    <row r="2882" spans="1:13" x14ac:dyDescent="0.3">
      <c r="A2882" s="45">
        <v>44489</v>
      </c>
      <c r="B2882" s="399"/>
      <c r="C2882" s="5" t="s">
        <v>25</v>
      </c>
      <c r="D2882" s="5" t="s">
        <v>8149</v>
      </c>
      <c r="E2882" s="43">
        <v>1000</v>
      </c>
      <c r="F2882" s="43"/>
      <c r="G2882" s="364">
        <f t="shared" si="40"/>
        <v>50172.661290322663</v>
      </c>
      <c r="H2882" s="391" t="s">
        <v>9568</v>
      </c>
    </row>
    <row r="2883" spans="1:13" x14ac:dyDescent="0.3">
      <c r="A2883" s="45">
        <v>44489</v>
      </c>
      <c r="B2883" s="399"/>
      <c r="C2883" s="5" t="s">
        <v>3563</v>
      </c>
      <c r="D2883" s="5" t="s">
        <v>7737</v>
      </c>
      <c r="E2883" s="43">
        <v>1000</v>
      </c>
      <c r="F2883" s="43"/>
      <c r="G2883" s="364">
        <f t="shared" si="40"/>
        <v>49172.661290322663</v>
      </c>
      <c r="H2883" s="391" t="s">
        <v>9568</v>
      </c>
    </row>
    <row r="2884" spans="1:13" x14ac:dyDescent="0.3">
      <c r="A2884" s="45">
        <v>44490</v>
      </c>
      <c r="B2884" s="399"/>
      <c r="C2884" s="5" t="s">
        <v>4550</v>
      </c>
      <c r="D2884" s="5" t="s">
        <v>294</v>
      </c>
      <c r="E2884" s="43">
        <v>15000</v>
      </c>
      <c r="F2884" s="43"/>
      <c r="G2884" s="364">
        <f t="shared" si="40"/>
        <v>34172.661290322663</v>
      </c>
      <c r="H2884" s="391" t="s">
        <v>9568</v>
      </c>
    </row>
    <row r="2885" spans="1:13" x14ac:dyDescent="0.3">
      <c r="A2885" s="45">
        <v>44490</v>
      </c>
      <c r="B2885" s="399"/>
      <c r="C2885" s="5" t="s">
        <v>25</v>
      </c>
      <c r="D2885" s="5" t="s">
        <v>8152</v>
      </c>
      <c r="E2885" s="43">
        <v>1040</v>
      </c>
      <c r="F2885" s="43"/>
      <c r="G2885" s="364">
        <f t="shared" si="40"/>
        <v>33132.661290322663</v>
      </c>
      <c r="H2885" s="391" t="s">
        <v>9568</v>
      </c>
    </row>
    <row r="2886" spans="1:13" x14ac:dyDescent="0.3">
      <c r="A2886" s="45">
        <v>44490</v>
      </c>
      <c r="B2886" s="399"/>
      <c r="C2886" s="5" t="s">
        <v>68</v>
      </c>
      <c r="D2886" s="5" t="s">
        <v>3557</v>
      </c>
      <c r="E2886" s="43">
        <v>10000</v>
      </c>
      <c r="F2886" s="43"/>
      <c r="G2886" s="364">
        <f t="shared" si="40"/>
        <v>23132.661290322663</v>
      </c>
      <c r="H2886" s="391" t="s">
        <v>9568</v>
      </c>
    </row>
    <row r="2887" spans="1:13" x14ac:dyDescent="0.3">
      <c r="A2887" s="45">
        <v>44491</v>
      </c>
      <c r="B2887" s="399"/>
      <c r="C2887" s="5" t="s">
        <v>14</v>
      </c>
      <c r="D2887" s="5" t="s">
        <v>294</v>
      </c>
      <c r="E2887" s="43">
        <v>20000</v>
      </c>
      <c r="F2887" s="43"/>
      <c r="G2887" s="364">
        <f t="shared" si="40"/>
        <v>3132.6612903226633</v>
      </c>
      <c r="H2887" s="391" t="s">
        <v>9568</v>
      </c>
    </row>
    <row r="2888" spans="1:13" x14ac:dyDescent="0.3">
      <c r="A2888" s="45">
        <v>44491</v>
      </c>
      <c r="B2888" s="580"/>
      <c r="C2888" s="554" t="s">
        <v>4106</v>
      </c>
      <c r="D2888" s="554"/>
      <c r="E2888" s="554"/>
      <c r="F2888" s="43">
        <v>100000</v>
      </c>
      <c r="G2888" s="364">
        <f t="shared" ref="G2888:G2889" si="41">G2887+F2888-E2888</f>
        <v>103132.66129032266</v>
      </c>
      <c r="H2888" s="391" t="s">
        <v>9568</v>
      </c>
      <c r="M2888" s="93"/>
    </row>
    <row r="2889" spans="1:13" x14ac:dyDescent="0.3">
      <c r="A2889" s="45">
        <v>44491</v>
      </c>
      <c r="B2889" s="399"/>
      <c r="C2889" s="5" t="s">
        <v>8164</v>
      </c>
      <c r="D2889" s="5" t="s">
        <v>8165</v>
      </c>
      <c r="E2889" s="43">
        <v>40000</v>
      </c>
      <c r="F2889" s="43"/>
      <c r="G2889" s="364">
        <f t="shared" si="41"/>
        <v>63132.661290322663</v>
      </c>
      <c r="H2889" s="391" t="s">
        <v>9568</v>
      </c>
    </row>
    <row r="2890" spans="1:13" x14ac:dyDescent="0.3">
      <c r="A2890" s="45">
        <v>44491</v>
      </c>
      <c r="B2890" s="399"/>
      <c r="C2890" s="5" t="s">
        <v>1012</v>
      </c>
      <c r="D2890" s="5" t="s">
        <v>8169</v>
      </c>
      <c r="E2890" s="43">
        <v>40000</v>
      </c>
      <c r="F2890" s="43"/>
      <c r="G2890" s="364">
        <f t="shared" si="40"/>
        <v>23132.661290322663</v>
      </c>
      <c r="H2890" s="391" t="s">
        <v>9568</v>
      </c>
    </row>
    <row r="2891" spans="1:13" x14ac:dyDescent="0.3">
      <c r="A2891" s="45">
        <v>44491</v>
      </c>
      <c r="B2891" s="399"/>
      <c r="C2891" s="5" t="s">
        <v>84</v>
      </c>
      <c r="D2891" s="61" t="s">
        <v>8142</v>
      </c>
      <c r="E2891" s="43">
        <v>2000</v>
      </c>
      <c r="F2891" s="43"/>
      <c r="G2891" s="364">
        <f t="shared" si="40"/>
        <v>21132.661290322663</v>
      </c>
      <c r="H2891" s="391" t="s">
        <v>9568</v>
      </c>
    </row>
    <row r="2892" spans="1:13" x14ac:dyDescent="0.3">
      <c r="A2892" s="45">
        <v>44491</v>
      </c>
      <c r="B2892" s="399"/>
      <c r="C2892" s="5" t="s">
        <v>84</v>
      </c>
      <c r="D2892" s="5" t="s">
        <v>8166</v>
      </c>
      <c r="E2892" s="43">
        <v>5000</v>
      </c>
      <c r="F2892" s="43"/>
      <c r="G2892" s="364">
        <f t="shared" si="40"/>
        <v>16132.661290322663</v>
      </c>
      <c r="H2892" s="391" t="s">
        <v>9568</v>
      </c>
    </row>
    <row r="2893" spans="1:13" x14ac:dyDescent="0.3">
      <c r="A2893" s="45">
        <v>44491</v>
      </c>
      <c r="B2893" s="399"/>
      <c r="C2893" s="5" t="s">
        <v>25</v>
      </c>
      <c r="D2893" s="5" t="s">
        <v>8167</v>
      </c>
      <c r="E2893" s="43">
        <v>5000</v>
      </c>
      <c r="F2893" s="43"/>
      <c r="G2893" s="364">
        <f t="shared" si="40"/>
        <v>11132.661290322663</v>
      </c>
      <c r="H2893" s="391" t="s">
        <v>9568</v>
      </c>
    </row>
    <row r="2894" spans="1:13" x14ac:dyDescent="0.3">
      <c r="A2894" s="45">
        <v>44492</v>
      </c>
      <c r="B2894" s="399"/>
      <c r="C2894" s="5" t="s">
        <v>6430</v>
      </c>
      <c r="D2894" s="5" t="s">
        <v>8168</v>
      </c>
      <c r="E2894" s="43">
        <v>1830</v>
      </c>
      <c r="F2894" s="43"/>
      <c r="G2894" s="364">
        <f t="shared" si="40"/>
        <v>9302.6612903226633</v>
      </c>
      <c r="H2894" s="391" t="s">
        <v>9568</v>
      </c>
    </row>
    <row r="2895" spans="1:13" x14ac:dyDescent="0.3">
      <c r="A2895" s="45">
        <v>44492</v>
      </c>
      <c r="B2895" s="399"/>
      <c r="C2895" s="5" t="s">
        <v>84</v>
      </c>
      <c r="D2895" s="5" t="s">
        <v>8143</v>
      </c>
      <c r="E2895" s="43">
        <v>5000</v>
      </c>
      <c r="F2895" s="43"/>
      <c r="G2895" s="364">
        <f t="shared" ref="G2895:G2897" si="42">G2894+F2895-E2895</f>
        <v>4302.6612903226633</v>
      </c>
      <c r="H2895" s="391" t="s">
        <v>9568</v>
      </c>
    </row>
    <row r="2896" spans="1:13" x14ac:dyDescent="0.3">
      <c r="A2896" s="45">
        <v>44494</v>
      </c>
      <c r="B2896" s="580"/>
      <c r="C2896" s="554" t="s">
        <v>4364</v>
      </c>
      <c r="D2896" s="554"/>
      <c r="E2896" s="554"/>
      <c r="F2896" s="43">
        <v>100000</v>
      </c>
      <c r="G2896" s="364">
        <f t="shared" si="42"/>
        <v>104302.66129032266</v>
      </c>
      <c r="H2896" s="391" t="s">
        <v>9568</v>
      </c>
      <c r="M2896" s="93"/>
    </row>
    <row r="2897" spans="1:13" x14ac:dyDescent="0.3">
      <c r="A2897" s="45">
        <v>44494</v>
      </c>
      <c r="B2897" s="399"/>
      <c r="C2897" s="5" t="s">
        <v>57</v>
      </c>
      <c r="D2897" s="5" t="s">
        <v>4350</v>
      </c>
      <c r="E2897" s="43">
        <v>6000</v>
      </c>
      <c r="F2897" s="43"/>
      <c r="G2897" s="364">
        <f t="shared" si="42"/>
        <v>98302.661290322663</v>
      </c>
      <c r="H2897" s="391" t="s">
        <v>9568</v>
      </c>
    </row>
    <row r="2898" spans="1:13" x14ac:dyDescent="0.3">
      <c r="A2898" s="45">
        <v>44494</v>
      </c>
      <c r="B2898" s="399"/>
      <c r="C2898" s="5" t="s">
        <v>2995</v>
      </c>
      <c r="D2898" s="5" t="s">
        <v>8171</v>
      </c>
      <c r="E2898" s="43">
        <v>27200</v>
      </c>
      <c r="F2898" s="43"/>
      <c r="G2898" s="364">
        <f t="shared" si="40"/>
        <v>71102.661290322663</v>
      </c>
      <c r="H2898" s="391" t="s">
        <v>9568</v>
      </c>
    </row>
    <row r="2899" spans="1:13" x14ac:dyDescent="0.3">
      <c r="A2899" s="45">
        <v>44494</v>
      </c>
      <c r="B2899" s="399"/>
      <c r="C2899" s="5" t="s">
        <v>3554</v>
      </c>
      <c r="D2899" s="5" t="s">
        <v>8172</v>
      </c>
      <c r="E2899" s="43">
        <v>12000</v>
      </c>
      <c r="F2899" s="43"/>
      <c r="G2899" s="364">
        <f t="shared" si="40"/>
        <v>59102.661290322663</v>
      </c>
      <c r="H2899" s="391" t="s">
        <v>9568</v>
      </c>
    </row>
    <row r="2900" spans="1:13" x14ac:dyDescent="0.3">
      <c r="A2900" s="45">
        <v>44494</v>
      </c>
      <c r="B2900" s="399"/>
      <c r="C2900" s="5" t="s">
        <v>3554</v>
      </c>
      <c r="D2900" s="5" t="s">
        <v>8173</v>
      </c>
      <c r="E2900" s="43">
        <v>8000</v>
      </c>
      <c r="F2900" s="43"/>
      <c r="G2900" s="364">
        <f t="shared" si="40"/>
        <v>51102.661290322663</v>
      </c>
      <c r="H2900" s="391" t="s">
        <v>9568</v>
      </c>
    </row>
    <row r="2901" spans="1:13" x14ac:dyDescent="0.3">
      <c r="A2901" s="45">
        <v>44494</v>
      </c>
      <c r="B2901" s="399"/>
      <c r="C2901" s="5" t="s">
        <v>14</v>
      </c>
      <c r="D2901" s="5" t="s">
        <v>8181</v>
      </c>
      <c r="E2901" s="43">
        <v>10744</v>
      </c>
      <c r="F2901" s="43"/>
      <c r="G2901" s="364">
        <f t="shared" si="40"/>
        <v>40358.661290322663</v>
      </c>
      <c r="H2901" s="391" t="s">
        <v>9568</v>
      </c>
    </row>
    <row r="2902" spans="1:13" x14ac:dyDescent="0.3">
      <c r="A2902" s="45">
        <v>44494</v>
      </c>
      <c r="B2902" s="399"/>
      <c r="C2902" s="5" t="s">
        <v>4156</v>
      </c>
      <c r="D2902" s="41" t="s">
        <v>8182</v>
      </c>
      <c r="E2902" s="42">
        <v>13500</v>
      </c>
      <c r="F2902" s="43"/>
      <c r="G2902" s="364">
        <f t="shared" si="40"/>
        <v>26858.661290322663</v>
      </c>
      <c r="H2902" s="391" t="s">
        <v>9568</v>
      </c>
    </row>
    <row r="2903" spans="1:13" x14ac:dyDescent="0.3">
      <c r="A2903" s="45">
        <v>44494</v>
      </c>
      <c r="B2903" s="399"/>
      <c r="C2903" s="5" t="s">
        <v>25</v>
      </c>
      <c r="D2903" s="5" t="s">
        <v>8152</v>
      </c>
      <c r="E2903" s="43">
        <v>2000</v>
      </c>
      <c r="F2903" s="43"/>
      <c r="G2903" s="364">
        <f t="shared" si="40"/>
        <v>24858.661290322663</v>
      </c>
      <c r="H2903" s="391" t="s">
        <v>9568</v>
      </c>
    </row>
    <row r="2904" spans="1:13" x14ac:dyDescent="0.3">
      <c r="A2904" s="45">
        <v>44494</v>
      </c>
      <c r="B2904" s="580"/>
      <c r="C2904" s="554" t="s">
        <v>4364</v>
      </c>
      <c r="D2904" s="554"/>
      <c r="E2904" s="554"/>
      <c r="F2904" s="43">
        <v>40000</v>
      </c>
      <c r="G2904" s="364">
        <f t="shared" si="40"/>
        <v>64858.661290322663</v>
      </c>
      <c r="H2904" s="391" t="s">
        <v>9568</v>
      </c>
      <c r="M2904" s="93"/>
    </row>
    <row r="2905" spans="1:13" x14ac:dyDescent="0.3">
      <c r="A2905" s="45">
        <v>44494</v>
      </c>
      <c r="B2905" s="399"/>
      <c r="C2905" s="5" t="s">
        <v>8184</v>
      </c>
      <c r="D2905" s="5" t="s">
        <v>8185</v>
      </c>
      <c r="E2905" s="43">
        <v>34100</v>
      </c>
      <c r="F2905" s="43"/>
      <c r="G2905" s="364">
        <f t="shared" si="40"/>
        <v>30758.661290322663</v>
      </c>
      <c r="H2905" s="391" t="s">
        <v>9568</v>
      </c>
    </row>
    <row r="2906" spans="1:13" x14ac:dyDescent="0.3">
      <c r="A2906" s="45">
        <v>44495</v>
      </c>
      <c r="B2906" s="399"/>
      <c r="C2906" s="5" t="s">
        <v>57</v>
      </c>
      <c r="D2906" s="5" t="s">
        <v>294</v>
      </c>
      <c r="E2906" s="43">
        <v>1000</v>
      </c>
      <c r="F2906" s="43"/>
      <c r="G2906" s="364">
        <f t="shared" si="40"/>
        <v>29758.661290322663</v>
      </c>
      <c r="H2906" s="391" t="s">
        <v>9568</v>
      </c>
    </row>
    <row r="2907" spans="1:13" x14ac:dyDescent="0.3">
      <c r="A2907" s="45">
        <v>44495</v>
      </c>
      <c r="B2907" s="399"/>
      <c r="C2907" s="5" t="s">
        <v>14</v>
      </c>
      <c r="D2907" s="5" t="s">
        <v>640</v>
      </c>
      <c r="E2907" s="43">
        <v>1000</v>
      </c>
      <c r="F2907" s="43"/>
      <c r="G2907" s="364">
        <f t="shared" si="40"/>
        <v>28758.661290322663</v>
      </c>
      <c r="H2907" s="391" t="s">
        <v>9568</v>
      </c>
    </row>
    <row r="2908" spans="1:13" x14ac:dyDescent="0.3">
      <c r="A2908" s="45">
        <v>44495</v>
      </c>
      <c r="B2908" s="399"/>
      <c r="C2908" s="5" t="s">
        <v>84</v>
      </c>
      <c r="D2908" s="5" t="s">
        <v>8186</v>
      </c>
      <c r="E2908" s="43">
        <v>6000</v>
      </c>
      <c r="F2908" s="43"/>
      <c r="G2908" s="364">
        <f t="shared" si="40"/>
        <v>22758.661290322663</v>
      </c>
      <c r="H2908" s="391" t="s">
        <v>9568</v>
      </c>
    </row>
    <row r="2909" spans="1:13" x14ac:dyDescent="0.3">
      <c r="A2909" s="45">
        <v>44495</v>
      </c>
      <c r="B2909" s="399"/>
      <c r="C2909" s="5" t="s">
        <v>84</v>
      </c>
      <c r="D2909" s="5" t="s">
        <v>8187</v>
      </c>
      <c r="E2909" s="43">
        <v>4000</v>
      </c>
      <c r="F2909" s="43"/>
      <c r="G2909" s="364">
        <f t="shared" si="40"/>
        <v>18758.661290322663</v>
      </c>
      <c r="H2909" s="391" t="s">
        <v>9568</v>
      </c>
    </row>
    <row r="2910" spans="1:13" x14ac:dyDescent="0.3">
      <c r="A2910" s="45">
        <v>44495</v>
      </c>
      <c r="B2910" s="399"/>
      <c r="C2910" s="5" t="s">
        <v>84</v>
      </c>
      <c r="D2910" s="5" t="s">
        <v>8188</v>
      </c>
      <c r="E2910" s="43">
        <v>3000</v>
      </c>
      <c r="F2910" s="43"/>
      <c r="G2910" s="364">
        <f t="shared" si="40"/>
        <v>15758.661290322663</v>
      </c>
      <c r="H2910" s="391" t="s">
        <v>9568</v>
      </c>
    </row>
    <row r="2911" spans="1:13" x14ac:dyDescent="0.3">
      <c r="A2911" s="45">
        <v>44495</v>
      </c>
      <c r="B2911" s="580"/>
      <c r="C2911" s="554" t="s">
        <v>4106</v>
      </c>
      <c r="D2911" s="554"/>
      <c r="E2911" s="554"/>
      <c r="F2911" s="43">
        <v>100000</v>
      </c>
      <c r="G2911" s="364">
        <f t="shared" si="40"/>
        <v>115758.66129032266</v>
      </c>
      <c r="H2911" s="391" t="s">
        <v>9568</v>
      </c>
      <c r="M2911" s="93"/>
    </row>
    <row r="2912" spans="1:13" x14ac:dyDescent="0.3">
      <c r="A2912" s="45">
        <v>44495</v>
      </c>
      <c r="B2912" s="399"/>
      <c r="C2912" s="5" t="s">
        <v>1074</v>
      </c>
      <c r="D2912" s="5" t="s">
        <v>8189</v>
      </c>
      <c r="E2912" s="43">
        <v>52200</v>
      </c>
      <c r="F2912" s="43"/>
      <c r="G2912" s="364">
        <f t="shared" si="40"/>
        <v>63558.661290322663</v>
      </c>
      <c r="H2912" s="391" t="s">
        <v>9568</v>
      </c>
    </row>
    <row r="2913" spans="1:13" ht="37.5" x14ac:dyDescent="0.3">
      <c r="A2913" s="45">
        <v>44495</v>
      </c>
      <c r="B2913" s="399"/>
      <c r="C2913" s="5" t="s">
        <v>4550</v>
      </c>
      <c r="D2913" s="92" t="s">
        <v>8190</v>
      </c>
      <c r="E2913" s="43">
        <v>10000</v>
      </c>
      <c r="F2913" s="43"/>
      <c r="G2913" s="364">
        <f t="shared" si="40"/>
        <v>53558.661290322663</v>
      </c>
      <c r="H2913" s="391" t="s">
        <v>9568</v>
      </c>
    </row>
    <row r="2914" spans="1:13" x14ac:dyDescent="0.3">
      <c r="A2914" s="45">
        <v>44495</v>
      </c>
      <c r="B2914" s="399"/>
      <c r="C2914" s="5" t="s">
        <v>693</v>
      </c>
      <c r="D2914" s="5" t="s">
        <v>8191</v>
      </c>
      <c r="E2914" s="43">
        <v>1000</v>
      </c>
      <c r="F2914" s="43"/>
      <c r="G2914" s="364">
        <f t="shared" si="40"/>
        <v>52558.661290322663</v>
      </c>
      <c r="H2914" s="391" t="s">
        <v>9568</v>
      </c>
      <c r="J2914" s="278"/>
      <c r="K2914" s="43"/>
    </row>
    <row r="2915" spans="1:13" x14ac:dyDescent="0.3">
      <c r="A2915" s="45">
        <v>44495</v>
      </c>
      <c r="B2915" s="399"/>
      <c r="C2915" s="5" t="s">
        <v>1837</v>
      </c>
      <c r="D2915" s="5" t="s">
        <v>3715</v>
      </c>
      <c r="E2915" s="43">
        <v>1000</v>
      </c>
      <c r="F2915" s="43"/>
      <c r="G2915" s="364">
        <f t="shared" si="40"/>
        <v>51558.661290322663</v>
      </c>
      <c r="H2915" s="391" t="s">
        <v>9568</v>
      </c>
      <c r="J2915" s="278"/>
      <c r="K2915" s="43"/>
    </row>
    <row r="2916" spans="1:13" x14ac:dyDescent="0.3">
      <c r="A2916" s="45">
        <v>44495</v>
      </c>
      <c r="B2916" s="399"/>
      <c r="C2916" s="5" t="s">
        <v>84</v>
      </c>
      <c r="D2916" s="5" t="s">
        <v>8192</v>
      </c>
      <c r="E2916" s="43">
        <v>3000</v>
      </c>
      <c r="F2916" s="43"/>
      <c r="G2916" s="364">
        <f t="shared" si="40"/>
        <v>48558.661290322663</v>
      </c>
      <c r="H2916" s="391" t="s">
        <v>9568</v>
      </c>
      <c r="J2916" s="278"/>
      <c r="K2916" s="43"/>
    </row>
    <row r="2917" spans="1:13" x14ac:dyDescent="0.3">
      <c r="A2917" s="45">
        <v>44496</v>
      </c>
      <c r="B2917" s="399"/>
      <c r="C2917" s="5" t="s">
        <v>57</v>
      </c>
      <c r="D2917" s="5" t="s">
        <v>4703</v>
      </c>
      <c r="E2917" s="43">
        <v>2000</v>
      </c>
      <c r="F2917" s="43"/>
      <c r="G2917" s="364">
        <f t="shared" si="40"/>
        <v>46558.661290322663</v>
      </c>
      <c r="H2917" s="391" t="s">
        <v>9568</v>
      </c>
      <c r="J2917" s="278"/>
      <c r="K2917" s="43"/>
    </row>
    <row r="2918" spans="1:13" x14ac:dyDescent="0.3">
      <c r="A2918" s="45">
        <v>44496</v>
      </c>
      <c r="B2918" s="399"/>
      <c r="C2918" s="5" t="s">
        <v>1012</v>
      </c>
      <c r="D2918" s="92" t="s">
        <v>8194</v>
      </c>
      <c r="E2918" s="43">
        <v>30000</v>
      </c>
      <c r="F2918" s="43"/>
      <c r="G2918" s="364">
        <f t="shared" si="40"/>
        <v>16558.661290322663</v>
      </c>
      <c r="H2918" s="391" t="s">
        <v>9568</v>
      </c>
      <c r="J2918" s="278"/>
      <c r="K2918" s="43"/>
    </row>
    <row r="2919" spans="1:13" x14ac:dyDescent="0.3">
      <c r="A2919" s="45">
        <v>44496</v>
      </c>
      <c r="B2919" s="399"/>
      <c r="C2919" s="5" t="s">
        <v>84</v>
      </c>
      <c r="D2919" s="5" t="s">
        <v>8195</v>
      </c>
      <c r="E2919" s="43">
        <v>10000</v>
      </c>
      <c r="F2919" s="43"/>
      <c r="G2919" s="364">
        <f t="shared" si="40"/>
        <v>6558.6612903226633</v>
      </c>
      <c r="H2919" s="391" t="s">
        <v>9568</v>
      </c>
      <c r="J2919" s="278"/>
      <c r="K2919" s="43"/>
    </row>
    <row r="2920" spans="1:13" x14ac:dyDescent="0.3">
      <c r="A2920" s="45">
        <v>44497</v>
      </c>
      <c r="B2920" s="399"/>
      <c r="C2920" s="5" t="s">
        <v>57</v>
      </c>
      <c r="D2920" s="5" t="s">
        <v>294</v>
      </c>
      <c r="E2920" s="43">
        <v>3000</v>
      </c>
      <c r="F2920" s="43"/>
      <c r="G2920" s="364">
        <f t="shared" si="40"/>
        <v>3558.6612903226633</v>
      </c>
      <c r="H2920" s="391" t="s">
        <v>9568</v>
      </c>
      <c r="J2920" s="278"/>
      <c r="K2920" s="43"/>
    </row>
    <row r="2921" spans="1:13" x14ac:dyDescent="0.3">
      <c r="A2921" s="45">
        <v>44497</v>
      </c>
      <c r="B2921" s="580"/>
      <c r="C2921" s="554" t="s">
        <v>4106</v>
      </c>
      <c r="D2921" s="554"/>
      <c r="E2921" s="554"/>
      <c r="F2921" s="43">
        <v>200000</v>
      </c>
      <c r="G2921" s="364">
        <f t="shared" si="40"/>
        <v>203558.66129032266</v>
      </c>
      <c r="H2921" s="391" t="s">
        <v>9568</v>
      </c>
      <c r="M2921" s="93"/>
    </row>
    <row r="2922" spans="1:13" x14ac:dyDescent="0.3">
      <c r="A2922" s="45">
        <v>44497</v>
      </c>
      <c r="B2922" s="399"/>
      <c r="C2922" s="5" t="s">
        <v>14</v>
      </c>
      <c r="D2922" s="5" t="s">
        <v>294</v>
      </c>
      <c r="E2922" s="43">
        <v>15000</v>
      </c>
      <c r="F2922" s="43"/>
      <c r="G2922" s="364">
        <f t="shared" si="40"/>
        <v>188558.66129032266</v>
      </c>
      <c r="H2922" s="391" t="s">
        <v>9568</v>
      </c>
      <c r="J2922" s="278"/>
      <c r="K2922" s="43"/>
    </row>
    <row r="2923" spans="1:13" x14ac:dyDescent="0.3">
      <c r="A2923" s="45">
        <v>44497</v>
      </c>
      <c r="B2923" s="399"/>
      <c r="C2923" s="5" t="s">
        <v>25</v>
      </c>
      <c r="D2923" s="5" t="s">
        <v>8152</v>
      </c>
      <c r="E2923" s="43">
        <v>2600</v>
      </c>
      <c r="F2923" s="43"/>
      <c r="G2923" s="364">
        <f t="shared" si="40"/>
        <v>185958.66129032266</v>
      </c>
      <c r="H2923" s="391" t="s">
        <v>9568</v>
      </c>
      <c r="J2923" s="278"/>
      <c r="K2923" s="43"/>
    </row>
    <row r="2924" spans="1:13" x14ac:dyDescent="0.3">
      <c r="A2924" s="45">
        <v>44498</v>
      </c>
      <c r="B2924" s="399"/>
      <c r="C2924" s="5" t="s">
        <v>4550</v>
      </c>
      <c r="D2924" s="5" t="s">
        <v>294</v>
      </c>
      <c r="E2924" s="43">
        <v>10000</v>
      </c>
      <c r="F2924" s="43"/>
      <c r="G2924" s="364">
        <f t="shared" si="40"/>
        <v>175958.66129032266</v>
      </c>
      <c r="H2924" s="391" t="s">
        <v>9568</v>
      </c>
    </row>
    <row r="2925" spans="1:13" x14ac:dyDescent="0.3">
      <c r="A2925" s="45">
        <v>44498</v>
      </c>
      <c r="B2925" s="399"/>
      <c r="C2925" s="5" t="s">
        <v>84</v>
      </c>
      <c r="D2925" s="61" t="s">
        <v>8205</v>
      </c>
      <c r="E2925" s="43">
        <v>2000</v>
      </c>
      <c r="F2925" s="43"/>
      <c r="G2925" s="364">
        <f t="shared" si="40"/>
        <v>173958.66129032266</v>
      </c>
      <c r="H2925" s="391" t="s">
        <v>9568</v>
      </c>
      <c r="J2925" s="278"/>
      <c r="K2925" s="43"/>
    </row>
    <row r="2926" spans="1:13" x14ac:dyDescent="0.3">
      <c r="A2926" s="45">
        <v>44498</v>
      </c>
      <c r="B2926" s="399"/>
      <c r="C2926" s="5" t="s">
        <v>57</v>
      </c>
      <c r="D2926" s="5" t="s">
        <v>294</v>
      </c>
      <c r="E2926" s="43">
        <v>4000</v>
      </c>
      <c r="F2926" s="43"/>
      <c r="G2926" s="364">
        <f t="shared" si="40"/>
        <v>169958.66129032266</v>
      </c>
      <c r="H2926" s="391" t="s">
        <v>9568</v>
      </c>
    </row>
    <row r="2927" spans="1:13" x14ac:dyDescent="0.3">
      <c r="A2927" s="45">
        <v>44498</v>
      </c>
      <c r="B2927" s="399"/>
      <c r="C2927" s="5" t="s">
        <v>14</v>
      </c>
      <c r="D2927" s="5" t="s">
        <v>294</v>
      </c>
      <c r="E2927" s="43">
        <v>1000</v>
      </c>
      <c r="F2927" s="43"/>
      <c r="G2927" s="364">
        <f t="shared" si="40"/>
        <v>168958.66129032266</v>
      </c>
      <c r="H2927" s="391" t="s">
        <v>9568</v>
      </c>
    </row>
    <row r="2928" spans="1:13" x14ac:dyDescent="0.3">
      <c r="A2928" s="45">
        <v>44498</v>
      </c>
      <c r="B2928" s="399"/>
      <c r="C2928" s="5" t="s">
        <v>84</v>
      </c>
      <c r="D2928" s="5" t="s">
        <v>8206</v>
      </c>
      <c r="E2928" s="43">
        <v>15000</v>
      </c>
      <c r="F2928" s="43"/>
      <c r="G2928" s="364">
        <f t="shared" si="40"/>
        <v>153958.66129032266</v>
      </c>
      <c r="H2928" s="391" t="s">
        <v>9568</v>
      </c>
      <c r="J2928" s="278"/>
      <c r="K2928" s="43"/>
    </row>
    <row r="2929" spans="1:11" x14ac:dyDescent="0.3">
      <c r="A2929" s="45">
        <v>44498</v>
      </c>
      <c r="B2929" s="399"/>
      <c r="C2929" s="5" t="s">
        <v>25</v>
      </c>
      <c r="D2929" s="5" t="s">
        <v>6428</v>
      </c>
      <c r="E2929" s="43">
        <v>900</v>
      </c>
      <c r="F2929" s="43"/>
      <c r="G2929" s="364">
        <f t="shared" si="40"/>
        <v>153058.66129032266</v>
      </c>
      <c r="H2929" s="391" t="s">
        <v>9568</v>
      </c>
    </row>
    <row r="2930" spans="1:11" x14ac:dyDescent="0.3">
      <c r="A2930" s="45">
        <v>44498</v>
      </c>
      <c r="B2930" s="399"/>
      <c r="C2930" s="5" t="s">
        <v>14</v>
      </c>
      <c r="D2930" s="5" t="s">
        <v>294</v>
      </c>
      <c r="E2930" s="43">
        <v>50000</v>
      </c>
      <c r="F2930" s="43"/>
      <c r="G2930" s="364">
        <f t="shared" si="40"/>
        <v>103058.66129032266</v>
      </c>
      <c r="H2930" s="391" t="s">
        <v>9568</v>
      </c>
    </row>
    <row r="2931" spans="1:11" x14ac:dyDescent="0.3">
      <c r="A2931" s="45">
        <v>44499</v>
      </c>
      <c r="B2931" s="399"/>
      <c r="C2931" s="5" t="s">
        <v>8207</v>
      </c>
      <c r="D2931" s="5" t="s">
        <v>8208</v>
      </c>
      <c r="E2931" s="43">
        <v>2500</v>
      </c>
      <c r="F2931" s="43"/>
      <c r="G2931" s="364">
        <f t="shared" si="40"/>
        <v>100558.66129032266</v>
      </c>
      <c r="H2931" s="391" t="s">
        <v>9568</v>
      </c>
    </row>
    <row r="2932" spans="1:11" x14ac:dyDescent="0.3">
      <c r="A2932" s="45">
        <v>44499</v>
      </c>
      <c r="B2932" s="399"/>
      <c r="C2932" s="5" t="s">
        <v>8210</v>
      </c>
      <c r="D2932" s="5" t="s">
        <v>8211</v>
      </c>
      <c r="E2932" s="43">
        <v>14000</v>
      </c>
      <c r="F2932" s="43"/>
      <c r="G2932" s="364">
        <f t="shared" si="40"/>
        <v>86558.661290322663</v>
      </c>
      <c r="H2932" s="391" t="s">
        <v>9568</v>
      </c>
    </row>
    <row r="2933" spans="1:11" x14ac:dyDescent="0.3">
      <c r="A2933" s="45">
        <v>44499</v>
      </c>
      <c r="B2933" s="399"/>
      <c r="C2933" s="5" t="s">
        <v>25</v>
      </c>
      <c r="D2933" s="5" t="s">
        <v>8212</v>
      </c>
      <c r="E2933" s="43">
        <v>700</v>
      </c>
      <c r="F2933" s="43"/>
      <c r="G2933" s="364">
        <f t="shared" si="40"/>
        <v>85858.661290322663</v>
      </c>
      <c r="H2933" s="391" t="s">
        <v>9568</v>
      </c>
    </row>
    <row r="2934" spans="1:11" x14ac:dyDescent="0.3">
      <c r="A2934" s="45">
        <v>44499</v>
      </c>
      <c r="B2934" s="399"/>
      <c r="C2934" s="5" t="s">
        <v>5709</v>
      </c>
      <c r="D2934" s="5" t="s">
        <v>5673</v>
      </c>
      <c r="E2934" s="43">
        <v>3000</v>
      </c>
      <c r="F2934" s="43"/>
      <c r="G2934" s="364">
        <f t="shared" si="40"/>
        <v>82858.661290322663</v>
      </c>
      <c r="H2934" s="391" t="s">
        <v>9568</v>
      </c>
    </row>
    <row r="2935" spans="1:11" x14ac:dyDescent="0.3">
      <c r="A2935" s="45">
        <v>44501</v>
      </c>
      <c r="B2935" s="399"/>
      <c r="C2935" s="5" t="s">
        <v>57</v>
      </c>
      <c r="D2935" s="5" t="s">
        <v>294</v>
      </c>
      <c r="E2935" s="43">
        <v>15000</v>
      </c>
      <c r="F2935" s="43"/>
      <c r="G2935" s="364">
        <f t="shared" si="40"/>
        <v>67858.661290322663</v>
      </c>
      <c r="H2935" s="391" t="s">
        <v>9568</v>
      </c>
    </row>
    <row r="2936" spans="1:11" x14ac:dyDescent="0.3">
      <c r="A2936" s="45">
        <v>44501</v>
      </c>
      <c r="B2936" s="399"/>
      <c r="C2936" s="5" t="s">
        <v>14</v>
      </c>
      <c r="D2936" s="5" t="s">
        <v>8213</v>
      </c>
      <c r="E2936" s="43">
        <v>11290</v>
      </c>
      <c r="F2936" s="43"/>
      <c r="G2936" s="364">
        <f t="shared" si="40"/>
        <v>56568.661290322663</v>
      </c>
      <c r="H2936" s="391" t="s">
        <v>9568</v>
      </c>
    </row>
    <row r="2937" spans="1:11" x14ac:dyDescent="0.3">
      <c r="A2937" s="45">
        <v>44501</v>
      </c>
      <c r="B2937" s="399"/>
      <c r="C2937" s="5" t="s">
        <v>25</v>
      </c>
      <c r="D2937" s="5" t="s">
        <v>8214</v>
      </c>
      <c r="E2937" s="43">
        <v>3459</v>
      </c>
      <c r="F2937" s="43"/>
      <c r="G2937" s="364">
        <f t="shared" si="40"/>
        <v>53109.661290322663</v>
      </c>
      <c r="H2937" s="391" t="s">
        <v>9568</v>
      </c>
    </row>
    <row r="2938" spans="1:11" x14ac:dyDescent="0.3">
      <c r="A2938" s="45">
        <v>44501</v>
      </c>
      <c r="B2938" s="399"/>
      <c r="C2938" s="5" t="s">
        <v>25</v>
      </c>
      <c r="D2938" s="5" t="s">
        <v>8215</v>
      </c>
      <c r="E2938" s="43">
        <v>1500</v>
      </c>
      <c r="F2938" s="43"/>
      <c r="G2938" s="364">
        <f t="shared" si="40"/>
        <v>51609.661290322663</v>
      </c>
      <c r="H2938" s="391" t="s">
        <v>9568</v>
      </c>
    </row>
    <row r="2939" spans="1:11" x14ac:dyDescent="0.3">
      <c r="A2939" s="45">
        <v>44501</v>
      </c>
      <c r="B2939" s="399"/>
      <c r="C2939" s="5" t="s">
        <v>25</v>
      </c>
      <c r="D2939" s="5" t="s">
        <v>8216</v>
      </c>
      <c r="E2939" s="43">
        <v>600</v>
      </c>
      <c r="F2939" s="43"/>
      <c r="G2939" s="364">
        <f t="shared" si="40"/>
        <v>51009.661290322663</v>
      </c>
      <c r="H2939" s="391" t="s">
        <v>9568</v>
      </c>
    </row>
    <row r="2940" spans="1:11" x14ac:dyDescent="0.3">
      <c r="A2940" s="45">
        <v>44502</v>
      </c>
      <c r="B2940" s="399"/>
      <c r="C2940" s="5" t="s">
        <v>25</v>
      </c>
      <c r="D2940" s="5" t="s">
        <v>4400</v>
      </c>
      <c r="E2940" s="43">
        <v>2500</v>
      </c>
      <c r="F2940" s="43"/>
      <c r="G2940" s="364">
        <f t="shared" si="40"/>
        <v>48509.661290322663</v>
      </c>
      <c r="H2940" s="391" t="s">
        <v>9568</v>
      </c>
    </row>
    <row r="2941" spans="1:11" x14ac:dyDescent="0.3">
      <c r="A2941" s="45">
        <v>44502</v>
      </c>
      <c r="B2941" s="399"/>
      <c r="C2941" s="5" t="s">
        <v>25</v>
      </c>
      <c r="D2941" s="5" t="s">
        <v>8139</v>
      </c>
      <c r="E2941" s="43">
        <v>2200</v>
      </c>
      <c r="F2941" s="43"/>
      <c r="G2941" s="364">
        <f t="shared" si="40"/>
        <v>46309.661290322663</v>
      </c>
      <c r="H2941" s="391" t="s">
        <v>9568</v>
      </c>
    </row>
    <row r="2942" spans="1:11" x14ac:dyDescent="0.3">
      <c r="A2942" s="45">
        <v>44502</v>
      </c>
      <c r="B2942" s="399"/>
      <c r="C2942" s="5" t="s">
        <v>84</v>
      </c>
      <c r="D2942" s="5" t="s">
        <v>8188</v>
      </c>
      <c r="E2942" s="43">
        <v>2000</v>
      </c>
      <c r="F2942" s="43"/>
      <c r="G2942" s="364">
        <f t="shared" si="40"/>
        <v>44309.661290322663</v>
      </c>
      <c r="H2942" s="391" t="s">
        <v>9568</v>
      </c>
      <c r="J2942" s="278"/>
      <c r="K2942" s="43"/>
    </row>
    <row r="2943" spans="1:11" x14ac:dyDescent="0.3">
      <c r="A2943" s="45">
        <v>44502</v>
      </c>
      <c r="B2943" s="399"/>
      <c r="C2943" s="5" t="s">
        <v>84</v>
      </c>
      <c r="D2943" s="5" t="s">
        <v>8218</v>
      </c>
      <c r="E2943" s="43">
        <v>15000</v>
      </c>
      <c r="F2943" s="43"/>
      <c r="G2943" s="364">
        <f t="shared" si="40"/>
        <v>29309.661290322663</v>
      </c>
      <c r="H2943" s="391" t="s">
        <v>9568</v>
      </c>
      <c r="J2943" s="278"/>
      <c r="K2943" s="43"/>
    </row>
    <row r="2944" spans="1:11" x14ac:dyDescent="0.3">
      <c r="A2944" s="45">
        <v>44502</v>
      </c>
      <c r="B2944" s="399"/>
      <c r="C2944" s="5" t="s">
        <v>3563</v>
      </c>
      <c r="D2944" s="5" t="s">
        <v>7737</v>
      </c>
      <c r="E2944" s="43">
        <v>160</v>
      </c>
      <c r="F2944" s="43"/>
      <c r="G2944" s="364">
        <f t="shared" si="40"/>
        <v>29149.661290322663</v>
      </c>
      <c r="H2944" s="391" t="s">
        <v>9568</v>
      </c>
    </row>
    <row r="2945" spans="1:13" x14ac:dyDescent="0.3">
      <c r="A2945" s="45">
        <v>44502</v>
      </c>
      <c r="B2945" s="399"/>
      <c r="C2945" s="5" t="s">
        <v>25</v>
      </c>
      <c r="D2945" s="5" t="s">
        <v>8219</v>
      </c>
      <c r="E2945" s="43">
        <v>300</v>
      </c>
      <c r="F2945" s="43"/>
      <c r="G2945" s="364">
        <f t="shared" ref="G2945:G3008" si="43">G2944+F2945-E2945</f>
        <v>28849.661290322663</v>
      </c>
      <c r="H2945" s="391" t="s">
        <v>9568</v>
      </c>
    </row>
    <row r="2946" spans="1:13" x14ac:dyDescent="0.3">
      <c r="A2946" s="45">
        <v>44503</v>
      </c>
      <c r="B2946" s="399"/>
      <c r="C2946" s="5" t="s">
        <v>14</v>
      </c>
      <c r="D2946" s="5" t="s">
        <v>7860</v>
      </c>
      <c r="E2946" s="43">
        <v>20000</v>
      </c>
      <c r="F2946" s="43"/>
      <c r="G2946" s="364">
        <f t="shared" si="43"/>
        <v>8849.6612903226633</v>
      </c>
      <c r="H2946" s="391" t="s">
        <v>9568</v>
      </c>
    </row>
    <row r="2947" spans="1:13" x14ac:dyDescent="0.3">
      <c r="A2947" s="45">
        <v>44503</v>
      </c>
      <c r="B2947" s="580"/>
      <c r="C2947" s="554" t="s">
        <v>7440</v>
      </c>
      <c r="D2947" s="554"/>
      <c r="E2947" s="554"/>
      <c r="F2947" s="43">
        <v>50000</v>
      </c>
      <c r="G2947" s="364">
        <f t="shared" si="43"/>
        <v>58849.661290322663</v>
      </c>
      <c r="H2947" s="391" t="s">
        <v>9568</v>
      </c>
      <c r="M2947" s="93"/>
    </row>
    <row r="2948" spans="1:13" x14ac:dyDescent="0.3">
      <c r="A2948" s="45">
        <v>44503</v>
      </c>
      <c r="B2948" s="399"/>
      <c r="C2948" s="5" t="s">
        <v>14</v>
      </c>
      <c r="D2948" s="5" t="s">
        <v>294</v>
      </c>
      <c r="E2948" s="52">
        <v>5000</v>
      </c>
      <c r="F2948" s="43"/>
      <c r="G2948" s="364">
        <f t="shared" si="43"/>
        <v>53849.661290322663</v>
      </c>
      <c r="H2948" s="391" t="s">
        <v>9568</v>
      </c>
    </row>
    <row r="2949" spans="1:13" x14ac:dyDescent="0.3">
      <c r="A2949" s="45">
        <v>44503</v>
      </c>
      <c r="B2949" s="399"/>
      <c r="C2949" s="5" t="s">
        <v>1012</v>
      </c>
      <c r="D2949" s="5" t="s">
        <v>294</v>
      </c>
      <c r="E2949" s="43">
        <v>15000</v>
      </c>
      <c r="F2949" s="43"/>
      <c r="G2949" s="364">
        <f t="shared" si="43"/>
        <v>38849.661290322663</v>
      </c>
      <c r="H2949" s="391" t="s">
        <v>9568</v>
      </c>
    </row>
    <row r="2950" spans="1:13" x14ac:dyDescent="0.3">
      <c r="A2950" s="45">
        <v>44503</v>
      </c>
      <c r="B2950" s="399"/>
      <c r="C2950" s="5" t="s">
        <v>8207</v>
      </c>
      <c r="D2950" s="5" t="s">
        <v>8208</v>
      </c>
      <c r="E2950" s="43">
        <v>1500</v>
      </c>
      <c r="F2950" s="43"/>
      <c r="G2950" s="364">
        <f t="shared" si="43"/>
        <v>37349.661290322663</v>
      </c>
      <c r="H2950" s="391" t="s">
        <v>9568</v>
      </c>
    </row>
    <row r="2951" spans="1:13" x14ac:dyDescent="0.3">
      <c r="A2951" s="45">
        <v>44503</v>
      </c>
      <c r="B2951" s="399"/>
      <c r="C2951" s="5" t="s">
        <v>84</v>
      </c>
      <c r="D2951" s="61" t="s">
        <v>8142</v>
      </c>
      <c r="E2951" s="43">
        <v>2000</v>
      </c>
      <c r="F2951" s="43"/>
      <c r="G2951" s="364">
        <f t="shared" si="43"/>
        <v>35349.661290322663</v>
      </c>
      <c r="H2951" s="391" t="s">
        <v>9568</v>
      </c>
    </row>
    <row r="2952" spans="1:13" x14ac:dyDescent="0.3">
      <c r="A2952" s="45">
        <v>44504</v>
      </c>
      <c r="B2952" s="399"/>
      <c r="C2952" s="5" t="s">
        <v>6430</v>
      </c>
      <c r="D2952" s="5" t="s">
        <v>294</v>
      </c>
      <c r="E2952" s="43">
        <v>3000</v>
      </c>
      <c r="F2952" s="43"/>
      <c r="G2952" s="364">
        <f t="shared" si="43"/>
        <v>32349.661290322663</v>
      </c>
      <c r="H2952" s="391" t="s">
        <v>9568</v>
      </c>
    </row>
    <row r="2953" spans="1:13" x14ac:dyDescent="0.3">
      <c r="A2953" s="45">
        <v>44504</v>
      </c>
      <c r="B2953" s="399"/>
      <c r="C2953" s="5" t="s">
        <v>68</v>
      </c>
      <c r="D2953" s="5" t="s">
        <v>294</v>
      </c>
      <c r="E2953" s="43">
        <v>20000</v>
      </c>
      <c r="F2953" s="43"/>
      <c r="G2953" s="364">
        <f t="shared" si="43"/>
        <v>12349.661290322663</v>
      </c>
      <c r="H2953" s="391" t="s">
        <v>9568</v>
      </c>
    </row>
    <row r="2954" spans="1:13" x14ac:dyDescent="0.3">
      <c r="A2954" s="45">
        <v>44505</v>
      </c>
      <c r="B2954" s="399"/>
      <c r="C2954" s="5" t="s">
        <v>25</v>
      </c>
      <c r="D2954" s="5" t="s">
        <v>8221</v>
      </c>
      <c r="E2954" s="43">
        <v>1000</v>
      </c>
      <c r="F2954" s="43"/>
      <c r="G2954" s="364">
        <f t="shared" si="43"/>
        <v>11349.661290322663</v>
      </c>
      <c r="H2954" s="391" t="s">
        <v>9568</v>
      </c>
    </row>
    <row r="2955" spans="1:13" x14ac:dyDescent="0.3">
      <c r="A2955" s="45">
        <v>44505</v>
      </c>
      <c r="B2955" s="580"/>
      <c r="C2955" s="554" t="s">
        <v>4106</v>
      </c>
      <c r="D2955" s="554"/>
      <c r="E2955" s="554"/>
      <c r="F2955" s="43">
        <v>200000</v>
      </c>
      <c r="G2955" s="364">
        <f t="shared" si="43"/>
        <v>211349.66129032266</v>
      </c>
      <c r="H2955" s="391" t="s">
        <v>9568</v>
      </c>
      <c r="M2955" s="93"/>
    </row>
    <row r="2956" spans="1:13" x14ac:dyDescent="0.3">
      <c r="A2956" s="45">
        <v>44505</v>
      </c>
      <c r="B2956" s="399"/>
      <c r="C2956" s="5" t="s">
        <v>57</v>
      </c>
      <c r="D2956" s="5" t="s">
        <v>294</v>
      </c>
      <c r="E2956" s="43">
        <v>25000</v>
      </c>
      <c r="F2956" s="43"/>
      <c r="G2956" s="364">
        <f t="shared" si="43"/>
        <v>186349.66129032266</v>
      </c>
      <c r="H2956" s="391" t="s">
        <v>9568</v>
      </c>
    </row>
    <row r="2957" spans="1:13" x14ac:dyDescent="0.3">
      <c r="A2957" s="45">
        <v>44505</v>
      </c>
      <c r="B2957" s="580"/>
      <c r="C2957" s="554" t="s">
        <v>3444</v>
      </c>
      <c r="D2957" s="554"/>
      <c r="E2957" s="554"/>
      <c r="F2957" s="43">
        <v>350000</v>
      </c>
      <c r="G2957" s="364">
        <f t="shared" si="43"/>
        <v>536349.66129032266</v>
      </c>
      <c r="H2957" s="391" t="s">
        <v>9568</v>
      </c>
      <c r="M2957" s="93"/>
    </row>
    <row r="2958" spans="1:13" x14ac:dyDescent="0.3">
      <c r="A2958" s="45">
        <v>44505</v>
      </c>
      <c r="B2958" s="399"/>
      <c r="C2958" s="5" t="s">
        <v>14</v>
      </c>
      <c r="D2958" s="5" t="s">
        <v>294</v>
      </c>
      <c r="E2958" s="43">
        <v>5000</v>
      </c>
      <c r="F2958" s="43"/>
      <c r="G2958" s="364">
        <f t="shared" si="43"/>
        <v>531349.66129032266</v>
      </c>
      <c r="H2958" s="391" t="s">
        <v>9568</v>
      </c>
    </row>
    <row r="2959" spans="1:13" x14ac:dyDescent="0.3">
      <c r="A2959" s="45">
        <v>44505</v>
      </c>
      <c r="B2959" s="399"/>
      <c r="C2959" s="5" t="s">
        <v>5914</v>
      </c>
      <c r="D2959" s="5" t="s">
        <v>7961</v>
      </c>
      <c r="E2959" s="43">
        <v>2000</v>
      </c>
      <c r="F2959" s="43"/>
      <c r="G2959" s="364">
        <f t="shared" si="43"/>
        <v>529349.66129032266</v>
      </c>
      <c r="H2959" s="391" t="s">
        <v>9568</v>
      </c>
    </row>
    <row r="2960" spans="1:13" x14ac:dyDescent="0.3">
      <c r="A2960" s="45">
        <v>44505</v>
      </c>
      <c r="B2960" s="409"/>
      <c r="C2960" s="61" t="s">
        <v>54</v>
      </c>
      <c r="D2960" s="61" t="s">
        <v>8091</v>
      </c>
      <c r="E2960" s="62">
        <v>127214</v>
      </c>
      <c r="F2960" s="43"/>
      <c r="G2960" s="364">
        <f t="shared" si="43"/>
        <v>402135.66129032266</v>
      </c>
      <c r="H2960" s="391" t="s">
        <v>9568</v>
      </c>
    </row>
    <row r="2961" spans="1:13" x14ac:dyDescent="0.3">
      <c r="A2961" s="45">
        <v>44505</v>
      </c>
      <c r="B2961" s="409"/>
      <c r="C2961" s="61" t="s">
        <v>54</v>
      </c>
      <c r="D2961" s="61" t="s">
        <v>6556</v>
      </c>
      <c r="E2961" s="62">
        <v>82500</v>
      </c>
      <c r="F2961" s="43"/>
      <c r="G2961" s="364">
        <f t="shared" si="43"/>
        <v>319635.66129032266</v>
      </c>
      <c r="H2961" s="391" t="s">
        <v>9568</v>
      </c>
    </row>
    <row r="2962" spans="1:13" x14ac:dyDescent="0.3">
      <c r="A2962" s="45">
        <v>44505</v>
      </c>
      <c r="B2962" s="409"/>
      <c r="C2962" s="61" t="s">
        <v>54</v>
      </c>
      <c r="D2962" s="61" t="s">
        <v>6387</v>
      </c>
      <c r="E2962" s="62">
        <v>102782</v>
      </c>
      <c r="F2962" s="43"/>
      <c r="G2962" s="364">
        <f t="shared" si="43"/>
        <v>216853.66129032266</v>
      </c>
      <c r="H2962" s="391" t="s">
        <v>9568</v>
      </c>
    </row>
    <row r="2963" spans="1:13" x14ac:dyDescent="0.3">
      <c r="A2963" s="45">
        <v>44505</v>
      </c>
      <c r="B2963" s="409"/>
      <c r="C2963" s="61" t="s">
        <v>54</v>
      </c>
      <c r="D2963" s="61" t="s">
        <v>6842</v>
      </c>
      <c r="E2963" s="62">
        <v>90500</v>
      </c>
      <c r="F2963" s="43"/>
      <c r="G2963" s="364">
        <f t="shared" si="43"/>
        <v>126353.66129032266</v>
      </c>
      <c r="H2963" s="391" t="s">
        <v>9568</v>
      </c>
    </row>
    <row r="2964" spans="1:13" x14ac:dyDescent="0.3">
      <c r="A2964" s="45">
        <v>44505</v>
      </c>
      <c r="B2964" s="409"/>
      <c r="C2964" s="61" t="s">
        <v>54</v>
      </c>
      <c r="D2964" s="61" t="s">
        <v>8223</v>
      </c>
      <c r="E2964" s="62">
        <v>48911</v>
      </c>
      <c r="F2964" s="43"/>
      <c r="G2964" s="364">
        <f t="shared" si="43"/>
        <v>77442.661290322663</v>
      </c>
      <c r="H2964" s="391" t="s">
        <v>9568</v>
      </c>
    </row>
    <row r="2965" spans="1:13" x14ac:dyDescent="0.3">
      <c r="A2965" s="45">
        <v>44505</v>
      </c>
      <c r="B2965" s="399"/>
      <c r="C2965" s="5" t="s">
        <v>5930</v>
      </c>
      <c r="D2965" s="5" t="s">
        <v>40</v>
      </c>
      <c r="E2965" s="43">
        <v>58760</v>
      </c>
      <c r="F2965" s="43"/>
      <c r="G2965" s="364">
        <f t="shared" si="43"/>
        <v>18682.661290322663</v>
      </c>
      <c r="H2965" s="391" t="s">
        <v>9568</v>
      </c>
    </row>
    <row r="2966" spans="1:13" x14ac:dyDescent="0.3">
      <c r="A2966" s="45">
        <v>44505</v>
      </c>
      <c r="B2966" s="399"/>
      <c r="C2966" s="5" t="s">
        <v>107</v>
      </c>
      <c r="D2966" s="5" t="s">
        <v>8224</v>
      </c>
      <c r="E2966" s="43">
        <v>7000</v>
      </c>
      <c r="F2966" s="43"/>
      <c r="G2966" s="364">
        <f t="shared" si="43"/>
        <v>11682.661290322663</v>
      </c>
      <c r="H2966" s="391" t="s">
        <v>9568</v>
      </c>
    </row>
    <row r="2967" spans="1:13" x14ac:dyDescent="0.3">
      <c r="A2967" s="45">
        <v>44506</v>
      </c>
      <c r="B2967" s="399"/>
      <c r="C2967" s="5" t="s">
        <v>84</v>
      </c>
      <c r="D2967" s="5" t="s">
        <v>8225</v>
      </c>
      <c r="E2967" s="43">
        <v>1000</v>
      </c>
      <c r="F2967" s="43"/>
      <c r="G2967" s="364">
        <f t="shared" si="43"/>
        <v>10682.661290322663</v>
      </c>
      <c r="H2967" s="391" t="s">
        <v>9568</v>
      </c>
    </row>
    <row r="2968" spans="1:13" x14ac:dyDescent="0.3">
      <c r="A2968" s="45">
        <v>44506</v>
      </c>
      <c r="B2968" s="399"/>
      <c r="C2968" s="5" t="s">
        <v>25</v>
      </c>
      <c r="D2968" s="5" t="s">
        <v>8152</v>
      </c>
      <c r="E2968" s="43">
        <v>2080</v>
      </c>
      <c r="F2968" s="43"/>
      <c r="G2968" s="364">
        <f t="shared" si="43"/>
        <v>8602.6612903226633</v>
      </c>
      <c r="H2968" s="391" t="s">
        <v>9568</v>
      </c>
    </row>
    <row r="2969" spans="1:13" ht="37.5" customHeight="1" x14ac:dyDescent="0.3">
      <c r="A2969" s="45">
        <v>44508</v>
      </c>
      <c r="B2969" s="399"/>
      <c r="C2969" s="5" t="s">
        <v>4504</v>
      </c>
      <c r="D2969" s="92" t="s">
        <v>8233</v>
      </c>
      <c r="E2969" s="43">
        <v>5000</v>
      </c>
      <c r="F2969" s="43"/>
      <c r="G2969" s="364">
        <f t="shared" si="43"/>
        <v>3602.6612903226633</v>
      </c>
      <c r="H2969" s="391" t="s">
        <v>9568</v>
      </c>
    </row>
    <row r="2970" spans="1:13" x14ac:dyDescent="0.3">
      <c r="A2970" s="45">
        <v>44508</v>
      </c>
      <c r="B2970" s="399"/>
      <c r="C2970" s="5" t="s">
        <v>4504</v>
      </c>
      <c r="D2970" s="92" t="s">
        <v>8234</v>
      </c>
      <c r="E2970" s="43">
        <v>3000</v>
      </c>
      <c r="F2970" s="43"/>
      <c r="G2970" s="364">
        <f t="shared" si="43"/>
        <v>602.66129032266326</v>
      </c>
      <c r="H2970" s="391" t="s">
        <v>9568</v>
      </c>
    </row>
    <row r="2971" spans="1:13" x14ac:dyDescent="0.3">
      <c r="A2971" s="45">
        <v>44508</v>
      </c>
      <c r="B2971" s="399"/>
      <c r="C2971" s="5" t="s">
        <v>25</v>
      </c>
      <c r="D2971" s="5" t="s">
        <v>6049</v>
      </c>
      <c r="E2971" s="43">
        <v>100</v>
      </c>
      <c r="F2971" s="43"/>
      <c r="G2971" s="364">
        <f t="shared" si="43"/>
        <v>502.66129032266326</v>
      </c>
      <c r="H2971" s="391" t="s">
        <v>9568</v>
      </c>
    </row>
    <row r="2972" spans="1:13" x14ac:dyDescent="0.3">
      <c r="A2972" s="45">
        <v>44508</v>
      </c>
      <c r="B2972" s="580"/>
      <c r="C2972" s="554" t="s">
        <v>4106</v>
      </c>
      <c r="D2972" s="554"/>
      <c r="E2972" s="554"/>
      <c r="F2972" s="43">
        <v>250000</v>
      </c>
      <c r="G2972" s="364">
        <f t="shared" si="43"/>
        <v>250502.66129032266</v>
      </c>
      <c r="H2972" s="391" t="s">
        <v>9568</v>
      </c>
      <c r="M2972" s="93"/>
    </row>
    <row r="2973" spans="1:13" x14ac:dyDescent="0.3">
      <c r="A2973" s="45">
        <v>44508</v>
      </c>
      <c r="B2973" s="580"/>
      <c r="C2973" s="554" t="s">
        <v>4106</v>
      </c>
      <c r="D2973" s="554"/>
      <c r="E2973" s="554"/>
      <c r="F2973" s="43">
        <v>250000</v>
      </c>
      <c r="G2973" s="364">
        <f t="shared" si="43"/>
        <v>500502.66129032266</v>
      </c>
      <c r="H2973" s="391" t="s">
        <v>9568</v>
      </c>
      <c r="M2973" s="93"/>
    </row>
    <row r="2974" spans="1:13" x14ac:dyDescent="0.3">
      <c r="A2974" s="45">
        <v>44508</v>
      </c>
      <c r="B2974" s="409"/>
      <c r="C2974" s="61" t="s">
        <v>54</v>
      </c>
      <c r="D2974" s="61" t="s">
        <v>8245</v>
      </c>
      <c r="E2974" s="62">
        <v>111016</v>
      </c>
      <c r="F2974" s="43"/>
      <c r="G2974" s="364">
        <f t="shared" si="43"/>
        <v>389486.66129032266</v>
      </c>
      <c r="H2974" s="391" t="s">
        <v>9568</v>
      </c>
    </row>
    <row r="2975" spans="1:13" x14ac:dyDescent="0.3">
      <c r="A2975" s="45">
        <v>44508</v>
      </c>
      <c r="B2975" s="409"/>
      <c r="C2975" s="61" t="s">
        <v>54</v>
      </c>
      <c r="D2975" s="61" t="s">
        <v>8236</v>
      </c>
      <c r="E2975" s="62">
        <v>37544</v>
      </c>
      <c r="F2975" s="43"/>
      <c r="G2975" s="364">
        <f t="shared" si="43"/>
        <v>351942.66129032266</v>
      </c>
      <c r="H2975" s="391" t="s">
        <v>9568</v>
      </c>
    </row>
    <row r="2976" spans="1:13" x14ac:dyDescent="0.3">
      <c r="A2976" s="45">
        <v>44508</v>
      </c>
      <c r="B2976" s="409"/>
      <c r="C2976" s="61" t="s">
        <v>54</v>
      </c>
      <c r="D2976" s="61" t="s">
        <v>8240</v>
      </c>
      <c r="E2976" s="62">
        <v>77502</v>
      </c>
      <c r="F2976" s="43"/>
      <c r="G2976" s="364">
        <f t="shared" si="43"/>
        <v>274440.66129032266</v>
      </c>
      <c r="H2976" s="391" t="s">
        <v>9568</v>
      </c>
    </row>
    <row r="2977" spans="1:13" x14ac:dyDescent="0.3">
      <c r="A2977" s="45">
        <v>44508</v>
      </c>
      <c r="B2977" s="409"/>
      <c r="C2977" s="61" t="s">
        <v>54</v>
      </c>
      <c r="D2977" s="61" t="s">
        <v>8237</v>
      </c>
      <c r="E2977" s="62">
        <v>81065</v>
      </c>
      <c r="F2977" s="43"/>
      <c r="G2977" s="364">
        <f t="shared" si="43"/>
        <v>193375.66129032266</v>
      </c>
      <c r="H2977" s="391" t="s">
        <v>9568</v>
      </c>
    </row>
    <row r="2978" spans="1:13" x14ac:dyDescent="0.3">
      <c r="A2978" s="45">
        <v>44508</v>
      </c>
      <c r="B2978" s="409"/>
      <c r="C2978" s="61" t="s">
        <v>54</v>
      </c>
      <c r="D2978" s="61" t="s">
        <v>8238</v>
      </c>
      <c r="E2978" s="62">
        <v>58355</v>
      </c>
      <c r="F2978" s="43"/>
      <c r="G2978" s="364">
        <f t="shared" si="43"/>
        <v>135020.66129032266</v>
      </c>
      <c r="H2978" s="391" t="s">
        <v>9568</v>
      </c>
    </row>
    <row r="2979" spans="1:13" x14ac:dyDescent="0.3">
      <c r="A2979" s="45">
        <v>44508</v>
      </c>
      <c r="B2979" s="409"/>
      <c r="C2979" s="61" t="s">
        <v>54</v>
      </c>
      <c r="D2979" s="61" t="s">
        <v>8239</v>
      </c>
      <c r="E2979" s="62">
        <v>104403</v>
      </c>
      <c r="F2979" s="43"/>
      <c r="G2979" s="364">
        <f t="shared" si="43"/>
        <v>30617.661290322663</v>
      </c>
      <c r="H2979" s="391" t="s">
        <v>9568</v>
      </c>
    </row>
    <row r="2980" spans="1:13" x14ac:dyDescent="0.3">
      <c r="A2980" s="45">
        <v>44508</v>
      </c>
      <c r="B2980" s="399"/>
      <c r="C2980" s="5" t="s">
        <v>5162</v>
      </c>
      <c r="D2980" s="5" t="s">
        <v>8242</v>
      </c>
      <c r="E2980" s="43">
        <v>600</v>
      </c>
      <c r="F2980" s="43"/>
      <c r="G2980" s="364">
        <f t="shared" si="43"/>
        <v>30017.661290322663</v>
      </c>
      <c r="H2980" s="391" t="s">
        <v>9568</v>
      </c>
    </row>
    <row r="2981" spans="1:13" x14ac:dyDescent="0.3">
      <c r="A2981" s="45">
        <v>44509</v>
      </c>
      <c r="B2981" s="399"/>
      <c r="C2981" s="5" t="s">
        <v>6430</v>
      </c>
      <c r="D2981" s="5" t="s">
        <v>294</v>
      </c>
      <c r="E2981" s="43">
        <v>10000</v>
      </c>
      <c r="F2981" s="43"/>
      <c r="G2981" s="364">
        <f t="shared" si="43"/>
        <v>20017.661290322663</v>
      </c>
      <c r="H2981" s="391" t="s">
        <v>9568</v>
      </c>
    </row>
    <row r="2982" spans="1:13" x14ac:dyDescent="0.3">
      <c r="A2982" s="45">
        <v>44509</v>
      </c>
      <c r="B2982" s="399"/>
      <c r="C2982" s="5" t="s">
        <v>25</v>
      </c>
      <c r="D2982" s="5" t="s">
        <v>8241</v>
      </c>
      <c r="E2982" s="43">
        <v>2170</v>
      </c>
      <c r="F2982" s="43"/>
      <c r="G2982" s="364">
        <f t="shared" si="43"/>
        <v>17847.661290322663</v>
      </c>
      <c r="H2982" s="391" t="s">
        <v>9568</v>
      </c>
    </row>
    <row r="2983" spans="1:13" x14ac:dyDescent="0.3">
      <c r="A2983" s="45">
        <v>44509</v>
      </c>
      <c r="B2983" s="399"/>
      <c r="C2983" s="5" t="s">
        <v>14</v>
      </c>
      <c r="D2983" s="5" t="s">
        <v>294</v>
      </c>
      <c r="E2983" s="43">
        <v>15000</v>
      </c>
      <c r="F2983" s="43"/>
      <c r="G2983" s="364">
        <f t="shared" si="43"/>
        <v>2847.6612903226633</v>
      </c>
      <c r="H2983" s="391" t="s">
        <v>9568</v>
      </c>
    </row>
    <row r="2984" spans="1:13" x14ac:dyDescent="0.3">
      <c r="A2984" s="45">
        <v>44509</v>
      </c>
      <c r="B2984" s="401"/>
      <c r="C2984" s="73" t="s">
        <v>25</v>
      </c>
      <c r="D2984" s="73" t="s">
        <v>6049</v>
      </c>
      <c r="E2984" s="183">
        <v>350</v>
      </c>
      <c r="F2984" s="43"/>
      <c r="G2984" s="364">
        <f t="shared" si="43"/>
        <v>2497.6612903226633</v>
      </c>
      <c r="H2984" s="391" t="s">
        <v>9568</v>
      </c>
    </row>
    <row r="2985" spans="1:13" x14ac:dyDescent="0.3">
      <c r="A2985" s="45">
        <v>44510</v>
      </c>
      <c r="B2985" s="580"/>
      <c r="C2985" s="554" t="s">
        <v>7440</v>
      </c>
      <c r="D2985" s="554"/>
      <c r="E2985" s="554"/>
      <c r="F2985" s="43">
        <v>10000</v>
      </c>
      <c r="G2985" s="364">
        <f t="shared" si="43"/>
        <v>12497.661290322663</v>
      </c>
      <c r="H2985" s="391" t="s">
        <v>9568</v>
      </c>
      <c r="M2985" s="93"/>
    </row>
    <row r="2986" spans="1:13" x14ac:dyDescent="0.3">
      <c r="A2986" s="45">
        <v>44510</v>
      </c>
      <c r="B2986" s="399"/>
      <c r="C2986" s="5" t="s">
        <v>57</v>
      </c>
      <c r="D2986" s="5" t="s">
        <v>294</v>
      </c>
      <c r="E2986" s="43">
        <v>10000</v>
      </c>
      <c r="F2986" s="43"/>
      <c r="G2986" s="364">
        <f t="shared" si="43"/>
        <v>2497.6612903226633</v>
      </c>
      <c r="H2986" s="391" t="s">
        <v>9568</v>
      </c>
    </row>
    <row r="2987" spans="1:13" x14ac:dyDescent="0.3">
      <c r="A2987" s="45">
        <v>44511</v>
      </c>
      <c r="B2987" s="580"/>
      <c r="C2987" s="554" t="s">
        <v>7440</v>
      </c>
      <c r="D2987" s="554"/>
      <c r="E2987" s="554"/>
      <c r="F2987" s="43">
        <v>100000</v>
      </c>
      <c r="G2987" s="364">
        <f t="shared" si="43"/>
        <v>102497.66129032266</v>
      </c>
      <c r="H2987" s="391" t="s">
        <v>9568</v>
      </c>
      <c r="M2987" s="93"/>
    </row>
    <row r="2988" spans="1:13" x14ac:dyDescent="0.3">
      <c r="A2988" s="45">
        <v>44510</v>
      </c>
      <c r="B2988" s="399"/>
      <c r="C2988" s="5" t="s">
        <v>1616</v>
      </c>
      <c r="D2988" s="5" t="s">
        <v>8246</v>
      </c>
      <c r="E2988" s="43">
        <v>4500</v>
      </c>
      <c r="F2988" s="43"/>
      <c r="G2988" s="364">
        <f t="shared" si="43"/>
        <v>97997.661290322663</v>
      </c>
      <c r="H2988" s="391" t="s">
        <v>9568</v>
      </c>
    </row>
    <row r="2989" spans="1:13" x14ac:dyDescent="0.3">
      <c r="A2989" s="45">
        <v>44511</v>
      </c>
      <c r="B2989" s="399"/>
      <c r="C2989" s="5" t="s">
        <v>25</v>
      </c>
      <c r="D2989" s="5" t="s">
        <v>8249</v>
      </c>
      <c r="E2989" s="43">
        <v>1680</v>
      </c>
      <c r="F2989" s="43"/>
      <c r="G2989" s="364">
        <f t="shared" si="43"/>
        <v>96317.661290322663</v>
      </c>
      <c r="H2989" s="391" t="s">
        <v>9568</v>
      </c>
    </row>
    <row r="2990" spans="1:13" x14ac:dyDescent="0.3">
      <c r="A2990" s="45">
        <v>44511</v>
      </c>
      <c r="B2990" s="399"/>
      <c r="C2990" s="5" t="s">
        <v>36</v>
      </c>
      <c r="D2990" s="5" t="s">
        <v>8250</v>
      </c>
      <c r="E2990" s="43">
        <v>3000</v>
      </c>
      <c r="F2990" s="43"/>
      <c r="G2990" s="364">
        <f t="shared" si="43"/>
        <v>93317.661290322663</v>
      </c>
      <c r="H2990" s="391" t="s">
        <v>9568</v>
      </c>
    </row>
    <row r="2991" spans="1:13" x14ac:dyDescent="0.3">
      <c r="A2991" s="45">
        <v>44511</v>
      </c>
      <c r="B2991" s="401"/>
      <c r="C2991" s="73" t="s">
        <v>25</v>
      </c>
      <c r="D2991" s="73" t="s">
        <v>6049</v>
      </c>
      <c r="E2991" s="183">
        <v>150</v>
      </c>
      <c r="F2991" s="183"/>
      <c r="G2991" s="364">
        <f t="shared" si="43"/>
        <v>93167.661290322663</v>
      </c>
      <c r="H2991" s="391" t="s">
        <v>9568</v>
      </c>
    </row>
    <row r="2992" spans="1:13" x14ac:dyDescent="0.3">
      <c r="A2992" s="45">
        <v>44511</v>
      </c>
      <c r="B2992" s="401"/>
      <c r="C2992" s="73" t="s">
        <v>25</v>
      </c>
      <c r="D2992" s="5" t="s">
        <v>294</v>
      </c>
      <c r="E2992" s="43">
        <v>7000</v>
      </c>
      <c r="F2992" s="43"/>
      <c r="G2992" s="364">
        <f t="shared" si="43"/>
        <v>86167.661290322663</v>
      </c>
      <c r="H2992" s="391" t="s">
        <v>9568</v>
      </c>
    </row>
    <row r="2993" spans="1:13" x14ac:dyDescent="0.3">
      <c r="A2993" s="45">
        <v>44511</v>
      </c>
      <c r="B2993" s="399"/>
      <c r="C2993" s="5" t="s">
        <v>5709</v>
      </c>
      <c r="D2993" s="5" t="s">
        <v>294</v>
      </c>
      <c r="E2993" s="43">
        <v>4000</v>
      </c>
      <c r="F2993" s="43"/>
      <c r="G2993" s="364">
        <f t="shared" si="43"/>
        <v>82167.661290322663</v>
      </c>
      <c r="H2993" s="391" t="s">
        <v>9568</v>
      </c>
    </row>
    <row r="2994" spans="1:13" x14ac:dyDescent="0.3">
      <c r="A2994" s="45">
        <v>44511</v>
      </c>
      <c r="B2994" s="399"/>
      <c r="C2994" s="5" t="s">
        <v>8252</v>
      </c>
      <c r="D2994" s="5" t="s">
        <v>8253</v>
      </c>
      <c r="E2994" s="43">
        <v>12000</v>
      </c>
      <c r="F2994" s="43"/>
      <c r="G2994" s="364">
        <f t="shared" si="43"/>
        <v>70167.661290322663</v>
      </c>
      <c r="H2994" s="391" t="s">
        <v>9568</v>
      </c>
    </row>
    <row r="2995" spans="1:13" x14ac:dyDescent="0.3">
      <c r="A2995" s="45">
        <v>44511</v>
      </c>
      <c r="B2995" s="399"/>
      <c r="C2995" s="5" t="s">
        <v>14</v>
      </c>
      <c r="D2995" s="5" t="s">
        <v>294</v>
      </c>
      <c r="E2995" s="43">
        <v>1000</v>
      </c>
      <c r="F2995" s="43"/>
      <c r="G2995" s="364">
        <f t="shared" si="43"/>
        <v>69167.661290322663</v>
      </c>
      <c r="H2995" s="391" t="s">
        <v>9568</v>
      </c>
    </row>
    <row r="2996" spans="1:13" x14ac:dyDescent="0.3">
      <c r="A2996" s="45">
        <v>44512</v>
      </c>
      <c r="B2996" s="399"/>
      <c r="C2996" s="5" t="s">
        <v>14</v>
      </c>
      <c r="D2996" s="5" t="s">
        <v>8254</v>
      </c>
      <c r="E2996" s="43">
        <v>65000</v>
      </c>
      <c r="F2996" s="43"/>
      <c r="G2996" s="364">
        <f t="shared" si="43"/>
        <v>4167.6612903226633</v>
      </c>
      <c r="H2996" s="391" t="s">
        <v>9568</v>
      </c>
    </row>
    <row r="2997" spans="1:13" x14ac:dyDescent="0.3">
      <c r="A2997" s="45">
        <v>44512</v>
      </c>
      <c r="B2997" s="580"/>
      <c r="C2997" s="554" t="s">
        <v>7440</v>
      </c>
      <c r="D2997" s="554"/>
      <c r="E2997" s="554"/>
      <c r="F2997" s="43">
        <v>200000</v>
      </c>
      <c r="G2997" s="364">
        <f t="shared" si="43"/>
        <v>204167.66129032266</v>
      </c>
      <c r="H2997" s="391" t="s">
        <v>9568</v>
      </c>
      <c r="M2997" s="93"/>
    </row>
    <row r="2998" spans="1:13" x14ac:dyDescent="0.3">
      <c r="A2998" s="45">
        <v>44512</v>
      </c>
      <c r="B2998" s="409"/>
      <c r="C2998" s="61" t="s">
        <v>54</v>
      </c>
      <c r="D2998" s="61" t="s">
        <v>8255</v>
      </c>
      <c r="E2998" s="62">
        <v>28500</v>
      </c>
      <c r="F2998" s="43"/>
      <c r="G2998" s="364">
        <f t="shared" si="43"/>
        <v>175667.66129032266</v>
      </c>
      <c r="H2998" s="391" t="s">
        <v>9568</v>
      </c>
    </row>
    <row r="2999" spans="1:13" x14ac:dyDescent="0.3">
      <c r="A2999" s="45">
        <v>44512</v>
      </c>
      <c r="B2999" s="399"/>
      <c r="C2999" s="5" t="s">
        <v>4550</v>
      </c>
      <c r="D2999" s="5" t="s">
        <v>8256</v>
      </c>
      <c r="E2999" s="43">
        <v>25000</v>
      </c>
      <c r="F2999" s="43"/>
      <c r="G2999" s="364">
        <f t="shared" si="43"/>
        <v>150667.66129032266</v>
      </c>
      <c r="H2999" s="391" t="s">
        <v>9568</v>
      </c>
    </row>
    <row r="3000" spans="1:13" x14ac:dyDescent="0.3">
      <c r="A3000" s="45">
        <v>44512</v>
      </c>
      <c r="B3000" s="399"/>
      <c r="C3000" s="5" t="s">
        <v>1012</v>
      </c>
      <c r="D3000" s="5" t="s">
        <v>8257</v>
      </c>
      <c r="E3000" s="43">
        <v>22000</v>
      </c>
      <c r="F3000" s="43"/>
      <c r="G3000" s="364">
        <f t="shared" si="43"/>
        <v>128667.66129032266</v>
      </c>
      <c r="H3000" s="391" t="s">
        <v>9568</v>
      </c>
    </row>
    <row r="3001" spans="1:13" x14ac:dyDescent="0.3">
      <c r="A3001" s="45">
        <v>44512</v>
      </c>
      <c r="B3001" s="399"/>
      <c r="C3001" s="5" t="s">
        <v>84</v>
      </c>
      <c r="D3001" s="5" t="s">
        <v>8259</v>
      </c>
      <c r="E3001" s="43">
        <v>10000</v>
      </c>
      <c r="F3001" s="43"/>
      <c r="G3001" s="364">
        <f t="shared" si="43"/>
        <v>118667.66129032266</v>
      </c>
      <c r="H3001" s="391" t="s">
        <v>9568</v>
      </c>
    </row>
    <row r="3002" spans="1:13" x14ac:dyDescent="0.3">
      <c r="A3002" s="45">
        <v>44513</v>
      </c>
      <c r="B3002" s="399"/>
      <c r="C3002" s="5" t="s">
        <v>14</v>
      </c>
      <c r="D3002" s="5" t="s">
        <v>640</v>
      </c>
      <c r="E3002" s="43">
        <v>1000</v>
      </c>
      <c r="F3002" s="43"/>
      <c r="G3002" s="364">
        <f t="shared" si="43"/>
        <v>117667.66129032266</v>
      </c>
      <c r="H3002" s="391" t="s">
        <v>9568</v>
      </c>
    </row>
    <row r="3003" spans="1:13" x14ac:dyDescent="0.3">
      <c r="A3003" s="45">
        <v>44513</v>
      </c>
      <c r="B3003" s="580"/>
      <c r="C3003" s="554" t="s">
        <v>8272</v>
      </c>
      <c r="D3003" s="554"/>
      <c r="E3003" s="554"/>
      <c r="F3003" s="43">
        <v>4000</v>
      </c>
      <c r="G3003" s="364">
        <f t="shared" si="43"/>
        <v>121667.66129032266</v>
      </c>
      <c r="H3003" s="391" t="s">
        <v>9568</v>
      </c>
      <c r="M3003" s="93"/>
    </row>
    <row r="3004" spans="1:13" x14ac:dyDescent="0.3">
      <c r="A3004" s="45">
        <v>44513</v>
      </c>
      <c r="B3004" s="580"/>
      <c r="C3004" s="554" t="s">
        <v>8260</v>
      </c>
      <c r="D3004" s="554"/>
      <c r="E3004" s="554"/>
      <c r="F3004" s="43">
        <v>500</v>
      </c>
      <c r="G3004" s="364">
        <f t="shared" si="43"/>
        <v>122167.66129032266</v>
      </c>
      <c r="H3004" s="391" t="s">
        <v>9568</v>
      </c>
      <c r="M3004" s="93"/>
    </row>
    <row r="3005" spans="1:13" x14ac:dyDescent="0.3">
      <c r="A3005" s="45">
        <v>44513</v>
      </c>
      <c r="B3005" s="399"/>
      <c r="C3005" s="5" t="s">
        <v>14</v>
      </c>
      <c r="D3005" s="5" t="s">
        <v>294</v>
      </c>
      <c r="E3005" s="43">
        <v>25000</v>
      </c>
      <c r="F3005" s="43"/>
      <c r="G3005" s="364">
        <f t="shared" si="43"/>
        <v>97167.661290322663</v>
      </c>
      <c r="H3005" s="391" t="s">
        <v>9568</v>
      </c>
    </row>
    <row r="3006" spans="1:13" x14ac:dyDescent="0.3">
      <c r="A3006" s="45">
        <v>44513</v>
      </c>
      <c r="B3006" s="399"/>
      <c r="C3006" s="5" t="s">
        <v>25</v>
      </c>
      <c r="D3006" s="5" t="s">
        <v>64</v>
      </c>
      <c r="E3006" s="43">
        <v>1000</v>
      </c>
      <c r="F3006" s="43"/>
      <c r="G3006" s="364">
        <f t="shared" si="43"/>
        <v>96167.661290322663</v>
      </c>
      <c r="H3006" s="391" t="s">
        <v>9568</v>
      </c>
    </row>
    <row r="3007" spans="1:13" x14ac:dyDescent="0.3">
      <c r="A3007" s="45">
        <v>44513</v>
      </c>
      <c r="B3007" s="399"/>
      <c r="C3007" s="5" t="s">
        <v>2995</v>
      </c>
      <c r="D3007" s="5" t="s">
        <v>8267</v>
      </c>
      <c r="E3007" s="43">
        <v>26000</v>
      </c>
      <c r="F3007" s="43"/>
      <c r="G3007" s="364">
        <f t="shared" si="43"/>
        <v>70167.661290322663</v>
      </c>
      <c r="H3007" s="391" t="s">
        <v>9568</v>
      </c>
    </row>
    <row r="3008" spans="1:13" x14ac:dyDescent="0.3">
      <c r="A3008" s="45">
        <v>44513</v>
      </c>
      <c r="B3008" s="399"/>
      <c r="C3008" s="5" t="s">
        <v>6341</v>
      </c>
      <c r="D3008" s="5" t="s">
        <v>8271</v>
      </c>
      <c r="E3008" s="43">
        <v>20000</v>
      </c>
      <c r="G3008" s="364">
        <f t="shared" si="43"/>
        <v>50167.661290322663</v>
      </c>
      <c r="H3008" s="391" t="s">
        <v>9568</v>
      </c>
    </row>
    <row r="3009" spans="1:13" x14ac:dyDescent="0.3">
      <c r="A3009" s="45">
        <v>44513</v>
      </c>
      <c r="B3009" s="399"/>
      <c r="C3009" s="5" t="s">
        <v>6341</v>
      </c>
      <c r="D3009" s="5" t="s">
        <v>8270</v>
      </c>
      <c r="E3009" s="43">
        <v>10000</v>
      </c>
      <c r="F3009" s="43"/>
      <c r="G3009" s="364">
        <f t="shared" ref="G3009:G3072" si="44">G3008+F3009-E3009</f>
        <v>40167.661290322663</v>
      </c>
      <c r="H3009" s="391" t="s">
        <v>9568</v>
      </c>
    </row>
    <row r="3010" spans="1:13" x14ac:dyDescent="0.3">
      <c r="A3010" s="45">
        <v>44514</v>
      </c>
      <c r="B3010" s="399"/>
      <c r="C3010" s="5" t="s">
        <v>1074</v>
      </c>
      <c r="D3010" s="5" t="s">
        <v>8274</v>
      </c>
      <c r="E3010" s="43">
        <f>5240+1290</f>
        <v>6530</v>
      </c>
      <c r="F3010" s="43"/>
      <c r="G3010" s="364">
        <f t="shared" si="44"/>
        <v>33637.661290322663</v>
      </c>
      <c r="H3010" s="391" t="s">
        <v>9568</v>
      </c>
    </row>
    <row r="3011" spans="1:13" x14ac:dyDescent="0.3">
      <c r="A3011" s="45">
        <v>44514</v>
      </c>
      <c r="B3011" s="399"/>
      <c r="C3011" s="5" t="s">
        <v>1074</v>
      </c>
      <c r="D3011" s="5" t="s">
        <v>8273</v>
      </c>
      <c r="E3011" s="43">
        <f>1340+2090</f>
        <v>3430</v>
      </c>
      <c r="F3011" s="43"/>
      <c r="G3011" s="364">
        <f t="shared" si="44"/>
        <v>30207.661290322663</v>
      </c>
      <c r="H3011" s="391" t="s">
        <v>9568</v>
      </c>
    </row>
    <row r="3012" spans="1:13" x14ac:dyDescent="0.3">
      <c r="A3012" s="45">
        <v>44514</v>
      </c>
      <c r="B3012" s="399"/>
      <c r="C3012" s="5" t="s">
        <v>57</v>
      </c>
      <c r="D3012" s="5" t="s">
        <v>294</v>
      </c>
      <c r="E3012" s="43">
        <v>10000</v>
      </c>
      <c r="F3012" s="43"/>
      <c r="G3012" s="364">
        <f t="shared" si="44"/>
        <v>20207.661290322663</v>
      </c>
      <c r="H3012" s="391" t="s">
        <v>9568</v>
      </c>
    </row>
    <row r="3013" spans="1:13" x14ac:dyDescent="0.3">
      <c r="A3013" s="45">
        <v>44514</v>
      </c>
      <c r="B3013" s="399"/>
      <c r="C3013" s="5" t="s">
        <v>6430</v>
      </c>
      <c r="D3013" s="5" t="s">
        <v>294</v>
      </c>
      <c r="E3013" s="43">
        <v>2000</v>
      </c>
      <c r="F3013" s="43"/>
      <c r="G3013" s="364">
        <f t="shared" si="44"/>
        <v>18207.661290322663</v>
      </c>
      <c r="H3013" s="391" t="s">
        <v>9568</v>
      </c>
    </row>
    <row r="3014" spans="1:13" x14ac:dyDescent="0.3">
      <c r="A3014" s="45">
        <v>44514</v>
      </c>
      <c r="B3014" s="399"/>
      <c r="C3014" s="5" t="s">
        <v>4247</v>
      </c>
      <c r="D3014" s="5" t="s">
        <v>8276</v>
      </c>
      <c r="E3014" s="43">
        <v>10000</v>
      </c>
      <c r="F3014" s="43"/>
      <c r="G3014" s="364">
        <f t="shared" si="44"/>
        <v>8207.6612903226633</v>
      </c>
      <c r="H3014" s="391" t="s">
        <v>9568</v>
      </c>
    </row>
    <row r="3015" spans="1:13" x14ac:dyDescent="0.3">
      <c r="A3015" s="45">
        <v>44514</v>
      </c>
      <c r="B3015" s="399"/>
      <c r="C3015" s="5" t="s">
        <v>3724</v>
      </c>
      <c r="D3015" s="5" t="s">
        <v>40</v>
      </c>
      <c r="E3015" s="43">
        <v>4200</v>
      </c>
      <c r="F3015" s="43"/>
      <c r="G3015" s="364">
        <f t="shared" si="44"/>
        <v>4007.6612903226633</v>
      </c>
      <c r="H3015" s="391" t="s">
        <v>9568</v>
      </c>
    </row>
    <row r="3016" spans="1:13" x14ac:dyDescent="0.3">
      <c r="A3016" s="45">
        <v>44514</v>
      </c>
      <c r="B3016" s="401"/>
      <c r="C3016" s="73" t="s">
        <v>25</v>
      </c>
      <c r="D3016" s="73" t="s">
        <v>6049</v>
      </c>
      <c r="E3016" s="183">
        <v>100</v>
      </c>
      <c r="F3016" s="183"/>
      <c r="G3016" s="364">
        <f t="shared" si="44"/>
        <v>3907.6612903226633</v>
      </c>
      <c r="H3016" s="391" t="s">
        <v>9568</v>
      </c>
    </row>
    <row r="3017" spans="1:13" x14ac:dyDescent="0.3">
      <c r="A3017" s="45">
        <v>44516</v>
      </c>
      <c r="B3017" s="580"/>
      <c r="C3017" s="554" t="s">
        <v>7440</v>
      </c>
      <c r="D3017" s="554"/>
      <c r="E3017" s="554"/>
      <c r="F3017" s="43">
        <v>20000</v>
      </c>
      <c r="G3017" s="364">
        <f t="shared" si="44"/>
        <v>23907.661290322663</v>
      </c>
      <c r="H3017" s="391" t="s">
        <v>9568</v>
      </c>
      <c r="M3017" s="93"/>
    </row>
    <row r="3018" spans="1:13" x14ac:dyDescent="0.3">
      <c r="A3018" s="45">
        <v>44516</v>
      </c>
      <c r="B3018" s="399"/>
      <c r="C3018" s="5" t="s">
        <v>8282</v>
      </c>
      <c r="D3018" s="5" t="s">
        <v>8283</v>
      </c>
      <c r="E3018" s="43">
        <f>4500+3000</f>
        <v>7500</v>
      </c>
      <c r="F3018" s="43"/>
      <c r="G3018" s="364">
        <f t="shared" si="44"/>
        <v>16407.661290322663</v>
      </c>
      <c r="H3018" s="391" t="s">
        <v>9568</v>
      </c>
    </row>
    <row r="3019" spans="1:13" x14ac:dyDescent="0.3">
      <c r="A3019" s="45">
        <v>44516</v>
      </c>
      <c r="B3019" s="399"/>
      <c r="C3019" s="5" t="s">
        <v>25</v>
      </c>
      <c r="D3019" s="5" t="s">
        <v>8291</v>
      </c>
      <c r="E3019" s="43">
        <v>2900</v>
      </c>
      <c r="F3019" s="43"/>
      <c r="G3019" s="364">
        <f t="shared" si="44"/>
        <v>13507.661290322663</v>
      </c>
      <c r="H3019" s="391" t="s">
        <v>9568</v>
      </c>
    </row>
    <row r="3020" spans="1:13" x14ac:dyDescent="0.3">
      <c r="A3020" s="45">
        <v>44516</v>
      </c>
      <c r="B3020" s="399"/>
      <c r="C3020" s="5" t="s">
        <v>57</v>
      </c>
      <c r="D3020" s="5" t="s">
        <v>294</v>
      </c>
      <c r="E3020" s="43">
        <v>5000</v>
      </c>
      <c r="F3020" s="43"/>
      <c r="G3020" s="364">
        <f t="shared" si="44"/>
        <v>8507.6612903226633</v>
      </c>
      <c r="H3020" s="391" t="s">
        <v>9568</v>
      </c>
    </row>
    <row r="3021" spans="1:13" x14ac:dyDescent="0.3">
      <c r="A3021" s="45">
        <v>44517</v>
      </c>
      <c r="B3021" s="399"/>
      <c r="C3021" s="5" t="s">
        <v>57</v>
      </c>
      <c r="D3021" s="5" t="s">
        <v>8287</v>
      </c>
      <c r="E3021" s="43">
        <v>5000</v>
      </c>
      <c r="F3021" s="43"/>
      <c r="G3021" s="364">
        <f t="shared" si="44"/>
        <v>3507.6612903226633</v>
      </c>
      <c r="H3021" s="391" t="s">
        <v>9568</v>
      </c>
    </row>
    <row r="3022" spans="1:13" x14ac:dyDescent="0.3">
      <c r="A3022" s="45">
        <v>44517</v>
      </c>
      <c r="B3022" s="580"/>
      <c r="C3022" s="554" t="s">
        <v>8290</v>
      </c>
      <c r="D3022" s="554"/>
      <c r="E3022" s="554"/>
      <c r="F3022" s="43">
        <v>20000</v>
      </c>
      <c r="G3022" s="364">
        <f t="shared" si="44"/>
        <v>23507.661290322663</v>
      </c>
      <c r="H3022" s="391" t="s">
        <v>9568</v>
      </c>
      <c r="M3022" s="93"/>
    </row>
    <row r="3023" spans="1:13" x14ac:dyDescent="0.3">
      <c r="A3023" s="45">
        <v>44517</v>
      </c>
      <c r="B3023" s="399"/>
      <c r="C3023" s="5" t="s">
        <v>57</v>
      </c>
      <c r="D3023" s="5" t="s">
        <v>8292</v>
      </c>
      <c r="E3023" s="43">
        <v>5000</v>
      </c>
      <c r="F3023" s="43"/>
      <c r="G3023" s="364">
        <f t="shared" si="44"/>
        <v>18507.661290322663</v>
      </c>
      <c r="H3023" s="391" t="s">
        <v>9568</v>
      </c>
    </row>
    <row r="3024" spans="1:13" x14ac:dyDescent="0.3">
      <c r="A3024" s="45">
        <v>44517</v>
      </c>
      <c r="B3024" s="399"/>
      <c r="C3024" s="5" t="s">
        <v>57</v>
      </c>
      <c r="D3024" s="5" t="s">
        <v>8288</v>
      </c>
      <c r="E3024" s="43">
        <v>5000</v>
      </c>
      <c r="F3024" s="43"/>
      <c r="G3024" s="364">
        <f t="shared" si="44"/>
        <v>13507.661290322663</v>
      </c>
      <c r="H3024" s="391" t="s">
        <v>9568</v>
      </c>
    </row>
    <row r="3025" spans="1:13" x14ac:dyDescent="0.3">
      <c r="A3025" s="45">
        <v>44517</v>
      </c>
      <c r="B3025" s="399"/>
      <c r="C3025" s="5" t="s">
        <v>57</v>
      </c>
      <c r="D3025" s="5" t="s">
        <v>8293</v>
      </c>
      <c r="E3025" s="43">
        <v>2000</v>
      </c>
      <c r="F3025" s="43"/>
      <c r="G3025" s="364">
        <f t="shared" si="44"/>
        <v>11507.661290322663</v>
      </c>
      <c r="H3025" s="391" t="s">
        <v>9568</v>
      </c>
    </row>
    <row r="3026" spans="1:13" x14ac:dyDescent="0.3">
      <c r="A3026" s="45">
        <v>44518</v>
      </c>
      <c r="B3026" s="399"/>
      <c r="C3026" s="5" t="s">
        <v>1616</v>
      </c>
      <c r="D3026" s="5" t="s">
        <v>3904</v>
      </c>
      <c r="E3026" s="43">
        <v>600</v>
      </c>
      <c r="F3026" s="43"/>
      <c r="G3026" s="364">
        <f t="shared" si="44"/>
        <v>10907.661290322663</v>
      </c>
      <c r="H3026" s="391" t="s">
        <v>9568</v>
      </c>
    </row>
    <row r="3027" spans="1:13" x14ac:dyDescent="0.3">
      <c r="A3027" s="45">
        <v>44518</v>
      </c>
      <c r="B3027" s="580"/>
      <c r="C3027" s="554" t="s">
        <v>7440</v>
      </c>
      <c r="D3027" s="554"/>
      <c r="E3027" s="554"/>
      <c r="F3027" s="43">
        <v>100000</v>
      </c>
      <c r="G3027" s="364">
        <f t="shared" ref="G3027" si="45">G3026+F3027-E3027</f>
        <v>110907.66129032266</v>
      </c>
      <c r="H3027" s="391" t="s">
        <v>9568</v>
      </c>
      <c r="M3027" s="93"/>
    </row>
    <row r="3028" spans="1:13" x14ac:dyDescent="0.3">
      <c r="A3028" s="45">
        <v>44518</v>
      </c>
      <c r="B3028" s="399"/>
      <c r="C3028" s="5" t="s">
        <v>7571</v>
      </c>
      <c r="D3028" s="5" t="s">
        <v>8550</v>
      </c>
      <c r="E3028" s="43">
        <v>20000</v>
      </c>
      <c r="F3028" s="43"/>
      <c r="G3028" s="364">
        <f t="shared" si="44"/>
        <v>90907.661290322663</v>
      </c>
      <c r="H3028" s="391" t="s">
        <v>9568</v>
      </c>
    </row>
    <row r="3029" spans="1:13" x14ac:dyDescent="0.3">
      <c r="A3029" s="45">
        <v>44518</v>
      </c>
      <c r="B3029" s="399"/>
      <c r="C3029" s="5" t="s">
        <v>68</v>
      </c>
      <c r="D3029" s="5" t="s">
        <v>8551</v>
      </c>
      <c r="E3029" s="43">
        <v>5000</v>
      </c>
      <c r="F3029" s="43"/>
      <c r="G3029" s="364">
        <f t="shared" si="44"/>
        <v>85907.661290322663</v>
      </c>
      <c r="H3029" s="391" t="s">
        <v>9568</v>
      </c>
    </row>
    <row r="3030" spans="1:13" x14ac:dyDescent="0.3">
      <c r="A3030" s="45">
        <v>44519</v>
      </c>
      <c r="B3030" s="399"/>
      <c r="C3030" s="5" t="s">
        <v>4504</v>
      </c>
      <c r="D3030" s="5" t="s">
        <v>8552</v>
      </c>
      <c r="E3030" s="43">
        <v>15000</v>
      </c>
      <c r="F3030" s="43"/>
      <c r="G3030" s="364">
        <f t="shared" si="44"/>
        <v>70907.661290322663</v>
      </c>
      <c r="H3030" s="391" t="s">
        <v>9568</v>
      </c>
    </row>
    <row r="3031" spans="1:13" x14ac:dyDescent="0.3">
      <c r="A3031" s="45">
        <v>44519</v>
      </c>
      <c r="B3031" s="399"/>
      <c r="C3031" s="5" t="s">
        <v>8553</v>
      </c>
      <c r="D3031" s="5" t="s">
        <v>2013</v>
      </c>
      <c r="E3031" s="43">
        <v>250</v>
      </c>
      <c r="F3031" s="43"/>
      <c r="G3031" s="364">
        <f t="shared" si="44"/>
        <v>70657.661290322663</v>
      </c>
      <c r="H3031" s="391" t="s">
        <v>9568</v>
      </c>
    </row>
    <row r="3032" spans="1:13" x14ac:dyDescent="0.3">
      <c r="A3032" s="45">
        <v>44519</v>
      </c>
      <c r="B3032" s="399"/>
      <c r="C3032" s="5" t="s">
        <v>14</v>
      </c>
      <c r="D3032" s="5" t="s">
        <v>294</v>
      </c>
      <c r="E3032" s="43">
        <v>25000</v>
      </c>
      <c r="F3032" s="43"/>
      <c r="G3032" s="364">
        <f t="shared" si="44"/>
        <v>45657.661290322663</v>
      </c>
      <c r="H3032" s="391" t="s">
        <v>9568</v>
      </c>
    </row>
    <row r="3033" spans="1:13" x14ac:dyDescent="0.3">
      <c r="A3033" s="45">
        <v>44520</v>
      </c>
      <c r="B3033" s="399"/>
      <c r="C3033" s="5" t="s">
        <v>14</v>
      </c>
      <c r="D3033" s="5" t="s">
        <v>294</v>
      </c>
      <c r="E3033" s="43">
        <v>20000</v>
      </c>
      <c r="F3033" s="43"/>
      <c r="G3033" s="364">
        <f t="shared" si="44"/>
        <v>25657.661290322663</v>
      </c>
      <c r="H3033" s="391" t="s">
        <v>9568</v>
      </c>
    </row>
    <row r="3034" spans="1:13" x14ac:dyDescent="0.3">
      <c r="A3034" s="45">
        <v>44520</v>
      </c>
      <c r="B3034" s="399"/>
      <c r="C3034" s="5" t="s">
        <v>25</v>
      </c>
      <c r="D3034" s="5" t="s">
        <v>8291</v>
      </c>
      <c r="E3034" s="43">
        <v>1600</v>
      </c>
      <c r="F3034" s="43"/>
      <c r="G3034" s="364">
        <f t="shared" si="44"/>
        <v>24057.661290322663</v>
      </c>
      <c r="H3034" s="391" t="s">
        <v>9568</v>
      </c>
    </row>
    <row r="3035" spans="1:13" x14ac:dyDescent="0.3">
      <c r="A3035" s="45">
        <v>44522</v>
      </c>
      <c r="B3035" s="409"/>
      <c r="C3035" s="61" t="s">
        <v>8560</v>
      </c>
      <c r="D3035" s="61" t="s">
        <v>8561</v>
      </c>
      <c r="E3035" s="62">
        <v>23000</v>
      </c>
      <c r="F3035" s="43"/>
      <c r="G3035" s="364">
        <f t="shared" si="44"/>
        <v>1057.6612903226633</v>
      </c>
      <c r="H3035" s="391" t="s">
        <v>9568</v>
      </c>
    </row>
    <row r="3036" spans="1:13" x14ac:dyDescent="0.3">
      <c r="A3036" s="45">
        <v>44522</v>
      </c>
      <c r="B3036" s="399"/>
      <c r="C3036" s="5" t="s">
        <v>6154</v>
      </c>
      <c r="D3036" s="5" t="s">
        <v>8562</v>
      </c>
      <c r="E3036" s="43">
        <v>200</v>
      </c>
      <c r="F3036" s="43"/>
      <c r="G3036" s="364">
        <f t="shared" si="44"/>
        <v>857.66129032266326</v>
      </c>
      <c r="H3036" s="391" t="s">
        <v>9568</v>
      </c>
    </row>
    <row r="3037" spans="1:13" x14ac:dyDescent="0.3">
      <c r="A3037" s="45">
        <v>44522</v>
      </c>
      <c r="B3037" s="580"/>
      <c r="C3037" s="554" t="s">
        <v>7440</v>
      </c>
      <c r="D3037" s="554"/>
      <c r="E3037" s="554"/>
      <c r="F3037" s="43">
        <v>100000</v>
      </c>
      <c r="G3037" s="364">
        <f t="shared" si="44"/>
        <v>100857.66129032266</v>
      </c>
      <c r="H3037" s="391" t="s">
        <v>9568</v>
      </c>
      <c r="M3037" s="93"/>
    </row>
    <row r="3038" spans="1:13" x14ac:dyDescent="0.3">
      <c r="A3038" s="45">
        <v>44522</v>
      </c>
      <c r="B3038" s="399"/>
      <c r="C3038" s="5" t="s">
        <v>3554</v>
      </c>
      <c r="D3038" s="5" t="s">
        <v>8050</v>
      </c>
      <c r="E3038" s="43">
        <v>5000</v>
      </c>
      <c r="F3038" s="43"/>
      <c r="G3038" s="364">
        <f t="shared" si="44"/>
        <v>95857.661290322663</v>
      </c>
      <c r="H3038" s="391" t="s">
        <v>9568</v>
      </c>
    </row>
    <row r="3039" spans="1:13" x14ac:dyDescent="0.3">
      <c r="A3039" s="45">
        <v>44522</v>
      </c>
      <c r="B3039" s="404"/>
      <c r="C3039" s="41" t="s">
        <v>3554</v>
      </c>
      <c r="D3039" s="41" t="s">
        <v>8563</v>
      </c>
      <c r="E3039" s="42">
        <v>15000</v>
      </c>
      <c r="F3039" s="43"/>
      <c r="G3039" s="364">
        <f t="shared" si="44"/>
        <v>80857.661290322663</v>
      </c>
      <c r="H3039" s="391" t="s">
        <v>9568</v>
      </c>
    </row>
    <row r="3040" spans="1:13" x14ac:dyDescent="0.3">
      <c r="A3040" s="45">
        <v>44522</v>
      </c>
      <c r="B3040" s="399"/>
      <c r="C3040" s="5" t="s">
        <v>5156</v>
      </c>
      <c r="D3040" s="5" t="s">
        <v>8564</v>
      </c>
      <c r="E3040" s="43">
        <v>1360</v>
      </c>
      <c r="F3040" s="43"/>
      <c r="G3040" s="364">
        <f t="shared" si="44"/>
        <v>79497.661290322663</v>
      </c>
      <c r="H3040" s="391" t="s">
        <v>9568</v>
      </c>
    </row>
    <row r="3041" spans="1:13" x14ac:dyDescent="0.3">
      <c r="A3041" s="45">
        <v>44522</v>
      </c>
      <c r="B3041" s="399"/>
      <c r="C3041" s="5" t="s">
        <v>1012</v>
      </c>
      <c r="D3041" s="5" t="s">
        <v>8565</v>
      </c>
      <c r="E3041" s="43">
        <v>10000</v>
      </c>
      <c r="F3041" s="43"/>
      <c r="G3041" s="364">
        <f t="shared" si="44"/>
        <v>69497.661290322663</v>
      </c>
      <c r="H3041" s="391" t="s">
        <v>9568</v>
      </c>
    </row>
    <row r="3042" spans="1:13" x14ac:dyDescent="0.3">
      <c r="A3042" s="45">
        <v>44522</v>
      </c>
      <c r="B3042" s="399"/>
      <c r="C3042" s="5" t="s">
        <v>14</v>
      </c>
      <c r="D3042" s="5" t="s">
        <v>294</v>
      </c>
      <c r="E3042" s="43">
        <v>5000</v>
      </c>
      <c r="F3042" s="43"/>
      <c r="G3042" s="364">
        <f t="shared" si="44"/>
        <v>64497.661290322663</v>
      </c>
      <c r="H3042" s="391" t="s">
        <v>9568</v>
      </c>
    </row>
    <row r="3043" spans="1:13" x14ac:dyDescent="0.3">
      <c r="A3043" s="45">
        <v>44522</v>
      </c>
      <c r="B3043" s="399"/>
      <c r="C3043" s="5" t="s">
        <v>36</v>
      </c>
      <c r="D3043" s="5" t="s">
        <v>8566</v>
      </c>
      <c r="E3043" s="43">
        <v>3000</v>
      </c>
      <c r="F3043" s="43"/>
      <c r="G3043" s="364">
        <f t="shared" si="44"/>
        <v>61497.661290322663</v>
      </c>
      <c r="H3043" s="391" t="s">
        <v>9568</v>
      </c>
    </row>
    <row r="3044" spans="1:13" x14ac:dyDescent="0.3">
      <c r="A3044" s="45">
        <v>44523</v>
      </c>
      <c r="B3044" s="399"/>
      <c r="C3044" s="5" t="s">
        <v>57</v>
      </c>
      <c r="D3044" s="5" t="s">
        <v>3715</v>
      </c>
      <c r="E3044" s="43">
        <v>5000</v>
      </c>
      <c r="F3044" s="43"/>
      <c r="G3044" s="364">
        <f t="shared" si="44"/>
        <v>56497.661290322663</v>
      </c>
      <c r="H3044" s="391" t="s">
        <v>9568</v>
      </c>
    </row>
    <row r="3045" spans="1:13" x14ac:dyDescent="0.3">
      <c r="A3045" s="45">
        <v>44523</v>
      </c>
      <c r="B3045" s="399"/>
      <c r="C3045" s="5" t="s">
        <v>1074</v>
      </c>
      <c r="D3045" s="5" t="s">
        <v>8567</v>
      </c>
      <c r="E3045" s="43">
        <v>9271</v>
      </c>
      <c r="F3045" s="43"/>
      <c r="G3045" s="364">
        <f t="shared" si="44"/>
        <v>47226.661290322663</v>
      </c>
      <c r="H3045" s="391" t="s">
        <v>9568</v>
      </c>
    </row>
    <row r="3046" spans="1:13" x14ac:dyDescent="0.3">
      <c r="A3046" s="45">
        <v>44523</v>
      </c>
      <c r="B3046" s="399"/>
      <c r="C3046" s="5" t="s">
        <v>1074</v>
      </c>
      <c r="D3046" s="5" t="s">
        <v>8568</v>
      </c>
      <c r="E3046" s="43">
        <f>14722+5677</f>
        <v>20399</v>
      </c>
      <c r="F3046" s="43"/>
      <c r="G3046" s="364">
        <f t="shared" si="44"/>
        <v>26827.661290322663</v>
      </c>
      <c r="H3046" s="391" t="s">
        <v>9568</v>
      </c>
    </row>
    <row r="3047" spans="1:13" x14ac:dyDescent="0.3">
      <c r="A3047" s="45">
        <v>44524</v>
      </c>
      <c r="B3047" s="399"/>
      <c r="C3047" s="5" t="s">
        <v>25</v>
      </c>
      <c r="D3047" s="5" t="s">
        <v>8291</v>
      </c>
      <c r="E3047" s="43">
        <v>3450</v>
      </c>
      <c r="F3047" s="43"/>
      <c r="G3047" s="364">
        <f t="shared" si="44"/>
        <v>23377.661290322663</v>
      </c>
      <c r="H3047" s="391" t="s">
        <v>9568</v>
      </c>
    </row>
    <row r="3048" spans="1:13" x14ac:dyDescent="0.3">
      <c r="A3048" s="45">
        <v>44524</v>
      </c>
      <c r="B3048" s="399"/>
      <c r="C3048" s="5" t="s">
        <v>57</v>
      </c>
      <c r="D3048" s="5" t="s">
        <v>294</v>
      </c>
      <c r="E3048" s="43">
        <v>20000</v>
      </c>
      <c r="F3048" s="43"/>
      <c r="G3048" s="364">
        <f t="shared" si="44"/>
        <v>3377.6612903226633</v>
      </c>
      <c r="H3048" s="391" t="s">
        <v>9568</v>
      </c>
    </row>
    <row r="3049" spans="1:13" x14ac:dyDescent="0.3">
      <c r="A3049" s="45">
        <v>44524</v>
      </c>
      <c r="B3049" s="580"/>
      <c r="C3049" s="554" t="s">
        <v>7440</v>
      </c>
      <c r="D3049" s="554"/>
      <c r="E3049" s="554"/>
      <c r="F3049" s="43">
        <v>30000</v>
      </c>
      <c r="G3049" s="364">
        <f t="shared" si="44"/>
        <v>33377.661290322663</v>
      </c>
      <c r="H3049" s="391" t="s">
        <v>9568</v>
      </c>
      <c r="M3049" s="93"/>
    </row>
    <row r="3050" spans="1:13" x14ac:dyDescent="0.3">
      <c r="A3050" s="45">
        <v>44524</v>
      </c>
      <c r="B3050" s="399"/>
      <c r="C3050" s="5" t="s">
        <v>1616</v>
      </c>
      <c r="D3050" s="5" t="s">
        <v>8572</v>
      </c>
      <c r="E3050" s="43">
        <v>26000</v>
      </c>
      <c r="F3050" s="43"/>
      <c r="G3050" s="364">
        <f t="shared" si="44"/>
        <v>7377.6612903226633</v>
      </c>
      <c r="H3050" s="391" t="s">
        <v>9568</v>
      </c>
    </row>
    <row r="3051" spans="1:13" x14ac:dyDescent="0.3">
      <c r="A3051" s="45">
        <v>44526</v>
      </c>
      <c r="B3051" s="580"/>
      <c r="C3051" s="554" t="s">
        <v>8290</v>
      </c>
      <c r="D3051" s="554"/>
      <c r="E3051" s="554"/>
      <c r="F3051" s="43">
        <v>5000</v>
      </c>
      <c r="G3051" s="364">
        <f t="shared" si="44"/>
        <v>12377.661290322663</v>
      </c>
      <c r="H3051" s="391" t="s">
        <v>9568</v>
      </c>
      <c r="M3051" s="93"/>
    </row>
    <row r="3052" spans="1:13" x14ac:dyDescent="0.3">
      <c r="A3052" s="45">
        <v>44526</v>
      </c>
      <c r="B3052" s="399"/>
      <c r="C3052" s="5" t="s">
        <v>1012</v>
      </c>
      <c r="D3052" s="5" t="s">
        <v>294</v>
      </c>
      <c r="E3052" s="43">
        <v>5000</v>
      </c>
      <c r="F3052" s="43"/>
      <c r="G3052" s="364">
        <f t="shared" si="44"/>
        <v>7377.6612903226633</v>
      </c>
      <c r="H3052" s="391" t="s">
        <v>9568</v>
      </c>
    </row>
    <row r="3053" spans="1:13" x14ac:dyDescent="0.3">
      <c r="A3053" s="45">
        <v>44526</v>
      </c>
      <c r="B3053" s="399"/>
      <c r="C3053" s="5" t="s">
        <v>6430</v>
      </c>
      <c r="D3053" s="5" t="s">
        <v>294</v>
      </c>
      <c r="E3053" s="43">
        <v>3000</v>
      </c>
      <c r="F3053" s="43"/>
      <c r="G3053" s="364">
        <f t="shared" si="44"/>
        <v>4377.6612903226633</v>
      </c>
      <c r="H3053" s="391" t="s">
        <v>9568</v>
      </c>
    </row>
    <row r="3054" spans="1:13" x14ac:dyDescent="0.3">
      <c r="A3054" s="45">
        <v>44527</v>
      </c>
      <c r="B3054" s="580"/>
      <c r="C3054" s="554" t="s">
        <v>4106</v>
      </c>
      <c r="D3054" s="554"/>
      <c r="E3054" s="554"/>
      <c r="F3054" s="43">
        <v>200000</v>
      </c>
      <c r="G3054" s="364">
        <f t="shared" si="44"/>
        <v>204377.66129032266</v>
      </c>
      <c r="H3054" s="391" t="s">
        <v>9568</v>
      </c>
      <c r="M3054" s="93"/>
    </row>
    <row r="3055" spans="1:13" x14ac:dyDescent="0.3">
      <c r="A3055" s="45">
        <v>44527</v>
      </c>
      <c r="B3055" s="399"/>
      <c r="C3055" s="5" t="s">
        <v>8573</v>
      </c>
      <c r="D3055" s="5" t="s">
        <v>294</v>
      </c>
      <c r="E3055" s="43">
        <v>17000</v>
      </c>
      <c r="F3055" s="43"/>
      <c r="G3055" s="364">
        <f t="shared" si="44"/>
        <v>187377.66129032266</v>
      </c>
      <c r="H3055" s="391" t="s">
        <v>9568</v>
      </c>
    </row>
    <row r="3056" spans="1:13" x14ac:dyDescent="0.3">
      <c r="A3056" s="45">
        <v>44527</v>
      </c>
      <c r="B3056" s="399"/>
      <c r="C3056" s="5" t="s">
        <v>84</v>
      </c>
      <c r="D3056" s="5" t="s">
        <v>8577</v>
      </c>
      <c r="E3056" s="43">
        <v>1000</v>
      </c>
      <c r="F3056" s="43"/>
      <c r="G3056" s="364">
        <f t="shared" si="44"/>
        <v>186377.66129032266</v>
      </c>
      <c r="H3056" s="391" t="s">
        <v>9568</v>
      </c>
    </row>
    <row r="3057" spans="1:8" x14ac:dyDescent="0.3">
      <c r="A3057" s="45">
        <v>44527</v>
      </c>
      <c r="B3057" s="399"/>
      <c r="C3057" s="5" t="s">
        <v>25</v>
      </c>
      <c r="D3057" s="5" t="s">
        <v>8574</v>
      </c>
      <c r="E3057" s="43">
        <v>500</v>
      </c>
      <c r="F3057" s="43"/>
      <c r="G3057" s="364">
        <f t="shared" si="44"/>
        <v>185877.66129032266</v>
      </c>
      <c r="H3057" s="391" t="s">
        <v>9568</v>
      </c>
    </row>
    <row r="3058" spans="1:8" x14ac:dyDescent="0.3">
      <c r="A3058" s="45">
        <v>44527</v>
      </c>
      <c r="B3058" s="399"/>
      <c r="C3058" s="5" t="s">
        <v>6430</v>
      </c>
      <c r="D3058" s="5" t="s">
        <v>438</v>
      </c>
      <c r="E3058" s="43">
        <v>400</v>
      </c>
      <c r="F3058" s="43"/>
      <c r="G3058" s="364">
        <f t="shared" si="44"/>
        <v>185477.66129032266</v>
      </c>
      <c r="H3058" s="391" t="s">
        <v>9568</v>
      </c>
    </row>
    <row r="3059" spans="1:8" x14ac:dyDescent="0.3">
      <c r="A3059" s="45">
        <v>44527</v>
      </c>
      <c r="B3059" s="399"/>
      <c r="C3059" s="5" t="s">
        <v>84</v>
      </c>
      <c r="D3059" s="5" t="s">
        <v>8575</v>
      </c>
      <c r="E3059" s="43">
        <v>2500</v>
      </c>
      <c r="F3059" s="43"/>
      <c r="G3059" s="364">
        <f t="shared" si="44"/>
        <v>182977.66129032266</v>
      </c>
      <c r="H3059" s="391" t="s">
        <v>9568</v>
      </c>
    </row>
    <row r="3060" spans="1:8" x14ac:dyDescent="0.3">
      <c r="A3060" s="45">
        <v>44527</v>
      </c>
      <c r="B3060" s="399"/>
      <c r="C3060" s="5" t="s">
        <v>84</v>
      </c>
      <c r="D3060" s="5" t="s">
        <v>8187</v>
      </c>
      <c r="E3060" s="43">
        <v>2500</v>
      </c>
      <c r="F3060" s="43"/>
      <c r="G3060" s="364">
        <f t="shared" si="44"/>
        <v>180477.66129032266</v>
      </c>
      <c r="H3060" s="391" t="s">
        <v>9568</v>
      </c>
    </row>
    <row r="3061" spans="1:8" x14ac:dyDescent="0.3">
      <c r="A3061" s="45">
        <v>44527</v>
      </c>
      <c r="B3061" s="399"/>
      <c r="C3061" s="5" t="s">
        <v>1787</v>
      </c>
      <c r="D3061" s="5" t="s">
        <v>8576</v>
      </c>
      <c r="E3061" s="43">
        <v>1800</v>
      </c>
      <c r="F3061" s="43"/>
      <c r="G3061" s="364">
        <f t="shared" si="44"/>
        <v>178677.66129032266</v>
      </c>
      <c r="H3061" s="391" t="s">
        <v>9568</v>
      </c>
    </row>
    <row r="3062" spans="1:8" x14ac:dyDescent="0.3">
      <c r="A3062" s="45">
        <v>44527</v>
      </c>
      <c r="B3062" s="399"/>
      <c r="C3062" s="5" t="s">
        <v>57</v>
      </c>
      <c r="D3062" s="5" t="s">
        <v>294</v>
      </c>
      <c r="E3062" s="43">
        <v>40000</v>
      </c>
      <c r="F3062" s="43"/>
      <c r="G3062" s="364">
        <f t="shared" si="44"/>
        <v>138677.66129032266</v>
      </c>
      <c r="H3062" s="391" t="s">
        <v>9568</v>
      </c>
    </row>
    <row r="3063" spans="1:8" x14ac:dyDescent="0.3">
      <c r="A3063" s="45">
        <v>44527</v>
      </c>
      <c r="B3063" s="399"/>
      <c r="C3063" s="5" t="s">
        <v>84</v>
      </c>
      <c r="D3063" s="5" t="s">
        <v>8578</v>
      </c>
      <c r="E3063" s="43">
        <v>3000</v>
      </c>
      <c r="F3063" s="43"/>
      <c r="G3063" s="364">
        <f t="shared" si="44"/>
        <v>135677.66129032266</v>
      </c>
      <c r="H3063" s="391" t="s">
        <v>9568</v>
      </c>
    </row>
    <row r="3064" spans="1:8" x14ac:dyDescent="0.3">
      <c r="A3064" s="45">
        <v>44527</v>
      </c>
      <c r="B3064" s="399"/>
      <c r="C3064" s="5" t="s">
        <v>541</v>
      </c>
      <c r="D3064" s="5" t="s">
        <v>294</v>
      </c>
      <c r="E3064" s="43">
        <v>10000</v>
      </c>
      <c r="F3064" s="43"/>
      <c r="G3064" s="364">
        <f t="shared" si="44"/>
        <v>125677.66129032266</v>
      </c>
      <c r="H3064" s="391" t="s">
        <v>9568</v>
      </c>
    </row>
    <row r="3065" spans="1:8" x14ac:dyDescent="0.3">
      <c r="A3065" s="45">
        <v>44527</v>
      </c>
      <c r="B3065" s="399"/>
      <c r="C3065" s="5" t="s">
        <v>36</v>
      </c>
      <c r="D3065" s="5" t="s">
        <v>8566</v>
      </c>
      <c r="E3065" s="43">
        <v>8000</v>
      </c>
      <c r="F3065" s="43"/>
      <c r="G3065" s="364">
        <f t="shared" si="44"/>
        <v>117677.66129032266</v>
      </c>
      <c r="H3065" s="391" t="s">
        <v>9568</v>
      </c>
    </row>
    <row r="3066" spans="1:8" x14ac:dyDescent="0.3">
      <c r="A3066" s="45">
        <v>44527</v>
      </c>
      <c r="B3066" s="399"/>
      <c r="C3066" s="5" t="s">
        <v>84</v>
      </c>
      <c r="D3066" s="5" t="s">
        <v>8579</v>
      </c>
      <c r="E3066" s="43">
        <v>1000</v>
      </c>
      <c r="F3066" s="43"/>
      <c r="G3066" s="364">
        <f t="shared" si="44"/>
        <v>116677.66129032266</v>
      </c>
      <c r="H3066" s="391" t="s">
        <v>9568</v>
      </c>
    </row>
    <row r="3067" spans="1:8" x14ac:dyDescent="0.3">
      <c r="A3067" s="45">
        <v>44527</v>
      </c>
      <c r="B3067" s="399"/>
      <c r="C3067" s="5" t="s">
        <v>84</v>
      </c>
      <c r="D3067" s="5" t="s">
        <v>8580</v>
      </c>
      <c r="E3067" s="43">
        <v>3000</v>
      </c>
      <c r="F3067" s="43"/>
      <c r="G3067" s="364">
        <f t="shared" si="44"/>
        <v>113677.66129032266</v>
      </c>
      <c r="H3067" s="391" t="s">
        <v>9568</v>
      </c>
    </row>
    <row r="3068" spans="1:8" x14ac:dyDescent="0.3">
      <c r="A3068" s="45">
        <v>44529</v>
      </c>
      <c r="B3068" s="399"/>
      <c r="C3068" s="5" t="s">
        <v>57</v>
      </c>
      <c r="D3068" s="5" t="s">
        <v>294</v>
      </c>
      <c r="E3068" s="43">
        <v>2000</v>
      </c>
      <c r="F3068" s="43"/>
      <c r="G3068" s="364">
        <f t="shared" si="44"/>
        <v>111677.66129032266</v>
      </c>
      <c r="H3068" s="391" t="s">
        <v>9568</v>
      </c>
    </row>
    <row r="3069" spans="1:8" x14ac:dyDescent="0.3">
      <c r="A3069" s="45">
        <v>44529</v>
      </c>
      <c r="B3069" s="399"/>
      <c r="C3069" s="5" t="s">
        <v>25</v>
      </c>
      <c r="D3069" s="5" t="s">
        <v>8582</v>
      </c>
      <c r="E3069" s="43">
        <v>600</v>
      </c>
      <c r="F3069" s="43"/>
      <c r="G3069" s="364">
        <f t="shared" si="44"/>
        <v>111077.66129032266</v>
      </c>
      <c r="H3069" s="391" t="s">
        <v>9568</v>
      </c>
    </row>
    <row r="3070" spans="1:8" x14ac:dyDescent="0.3">
      <c r="A3070" s="45">
        <v>44529</v>
      </c>
      <c r="B3070" s="399"/>
      <c r="C3070" s="5" t="s">
        <v>84</v>
      </c>
      <c r="D3070" s="5" t="s">
        <v>8583</v>
      </c>
      <c r="E3070" s="43">
        <v>4000</v>
      </c>
      <c r="F3070" s="43"/>
      <c r="G3070" s="364">
        <f t="shared" si="44"/>
        <v>107077.66129032266</v>
      </c>
      <c r="H3070" s="391" t="s">
        <v>9568</v>
      </c>
    </row>
    <row r="3071" spans="1:8" x14ac:dyDescent="0.3">
      <c r="A3071" s="45">
        <v>44529</v>
      </c>
      <c r="B3071" s="399"/>
      <c r="C3071" s="5" t="s">
        <v>3554</v>
      </c>
      <c r="D3071" s="5" t="s">
        <v>8584</v>
      </c>
      <c r="E3071" s="43">
        <v>10000</v>
      </c>
      <c r="F3071" s="43"/>
      <c r="G3071" s="364">
        <f t="shared" si="44"/>
        <v>97077.661290322663</v>
      </c>
      <c r="H3071" s="391" t="s">
        <v>9568</v>
      </c>
    </row>
    <row r="3072" spans="1:8" x14ac:dyDescent="0.3">
      <c r="A3072" s="45">
        <v>44529</v>
      </c>
      <c r="B3072" s="399"/>
      <c r="C3072" s="5" t="s">
        <v>57</v>
      </c>
      <c r="D3072" s="5" t="s">
        <v>294</v>
      </c>
      <c r="E3072" s="43">
        <v>5000</v>
      </c>
      <c r="F3072" s="43"/>
      <c r="G3072" s="364">
        <f t="shared" si="44"/>
        <v>92077.661290322663</v>
      </c>
      <c r="H3072" s="391" t="s">
        <v>9568</v>
      </c>
    </row>
    <row r="3073" spans="1:13" x14ac:dyDescent="0.3">
      <c r="A3073" s="45">
        <v>44530</v>
      </c>
      <c r="B3073" s="399"/>
      <c r="C3073" s="5" t="s">
        <v>14</v>
      </c>
      <c r="D3073" s="5" t="s">
        <v>294</v>
      </c>
      <c r="E3073" s="43">
        <v>500</v>
      </c>
      <c r="F3073" s="43"/>
      <c r="G3073" s="364">
        <f t="shared" ref="G3073:G3079" si="46">G3072+F3073-E3073</f>
        <v>91577.661290322663</v>
      </c>
      <c r="H3073" s="391" t="s">
        <v>9568</v>
      </c>
    </row>
    <row r="3074" spans="1:13" x14ac:dyDescent="0.3">
      <c r="A3074" s="45">
        <v>44530</v>
      </c>
      <c r="B3074" s="399"/>
      <c r="C3074" s="5" t="s">
        <v>14</v>
      </c>
      <c r="D3074" s="5" t="s">
        <v>8588</v>
      </c>
      <c r="E3074" s="43">
        <v>7198</v>
      </c>
      <c r="F3074" s="43"/>
      <c r="G3074" s="364">
        <f t="shared" si="46"/>
        <v>84379.661290322663</v>
      </c>
      <c r="H3074" s="391" t="s">
        <v>9568</v>
      </c>
    </row>
    <row r="3075" spans="1:13" x14ac:dyDescent="0.3">
      <c r="A3075" s="45">
        <v>44530</v>
      </c>
      <c r="B3075" s="399"/>
      <c r="C3075" s="5" t="s">
        <v>1074</v>
      </c>
      <c r="D3075" s="5" t="s">
        <v>8590</v>
      </c>
      <c r="E3075" s="43">
        <f>370+260</f>
        <v>630</v>
      </c>
      <c r="F3075" s="43"/>
      <c r="G3075" s="364">
        <f t="shared" si="46"/>
        <v>83749.661290322663</v>
      </c>
      <c r="H3075" s="391" t="s">
        <v>9568</v>
      </c>
    </row>
    <row r="3076" spans="1:13" x14ac:dyDescent="0.3">
      <c r="A3076" s="45">
        <v>44530</v>
      </c>
      <c r="B3076" s="399"/>
      <c r="C3076" s="5" t="s">
        <v>1074</v>
      </c>
      <c r="D3076" s="5" t="s">
        <v>8589</v>
      </c>
      <c r="E3076" s="43">
        <f>2284+465</f>
        <v>2749</v>
      </c>
      <c r="F3076" s="43"/>
      <c r="G3076" s="364">
        <f t="shared" si="46"/>
        <v>81000.661290322663</v>
      </c>
      <c r="H3076" s="391" t="s">
        <v>9568</v>
      </c>
    </row>
    <row r="3077" spans="1:13" x14ac:dyDescent="0.3">
      <c r="A3077" s="45">
        <v>44530</v>
      </c>
      <c r="B3077" s="399"/>
      <c r="C3077" s="5" t="s">
        <v>8040</v>
      </c>
      <c r="D3077" s="5" t="s">
        <v>8587</v>
      </c>
      <c r="E3077" s="43">
        <v>1000</v>
      </c>
      <c r="F3077" s="43"/>
      <c r="G3077" s="364">
        <f t="shared" si="46"/>
        <v>80000.661290322663</v>
      </c>
      <c r="H3077" s="391" t="s">
        <v>9568</v>
      </c>
    </row>
    <row r="3078" spans="1:13" x14ac:dyDescent="0.3">
      <c r="A3078" s="45">
        <v>44530</v>
      </c>
      <c r="B3078" s="404"/>
      <c r="C3078" s="41" t="s">
        <v>8573</v>
      </c>
      <c r="D3078" s="41" t="s">
        <v>294</v>
      </c>
      <c r="E3078" s="43">
        <v>30000</v>
      </c>
      <c r="F3078" s="43"/>
      <c r="G3078" s="364">
        <f t="shared" si="46"/>
        <v>50000.661290322663</v>
      </c>
      <c r="H3078" s="391" t="s">
        <v>9568</v>
      </c>
    </row>
    <row r="3079" spans="1:13" x14ac:dyDescent="0.3">
      <c r="A3079" s="45">
        <v>44530</v>
      </c>
      <c r="B3079" s="580"/>
      <c r="C3079" s="554" t="s">
        <v>7440</v>
      </c>
      <c r="D3079" s="554"/>
      <c r="E3079" s="554"/>
      <c r="F3079" s="43">
        <v>100000</v>
      </c>
      <c r="G3079" s="364">
        <f t="shared" si="46"/>
        <v>150000.66129032266</v>
      </c>
      <c r="H3079" s="391" t="s">
        <v>9568</v>
      </c>
      <c r="M3079" s="93"/>
    </row>
    <row r="3080" spans="1:13" x14ac:dyDescent="0.3">
      <c r="A3080" s="45">
        <v>44530</v>
      </c>
      <c r="B3080" s="404"/>
      <c r="C3080" s="41" t="s">
        <v>3554</v>
      </c>
      <c r="D3080" s="41" t="s">
        <v>8593</v>
      </c>
      <c r="E3080" s="43">
        <v>30000</v>
      </c>
      <c r="F3080" s="43"/>
      <c r="G3080" s="364">
        <f t="shared" ref="G3080:G3148" si="47">G3079+F3080-E3080</f>
        <v>120000.66129032266</v>
      </c>
      <c r="H3080" s="391" t="s">
        <v>9568</v>
      </c>
    </row>
    <row r="3081" spans="1:13" x14ac:dyDescent="0.3">
      <c r="A3081" s="45">
        <v>44530</v>
      </c>
      <c r="B3081" s="399"/>
      <c r="C3081" s="5" t="s">
        <v>57</v>
      </c>
      <c r="D3081" s="5" t="s">
        <v>294</v>
      </c>
      <c r="E3081" s="43">
        <v>17000</v>
      </c>
      <c r="F3081" s="43"/>
      <c r="G3081" s="364">
        <f t="shared" si="47"/>
        <v>103000.66129032266</v>
      </c>
      <c r="H3081" s="391" t="s">
        <v>9568</v>
      </c>
    </row>
    <row r="3082" spans="1:13" x14ac:dyDescent="0.3">
      <c r="A3082" s="45">
        <v>44530</v>
      </c>
      <c r="B3082" s="399"/>
      <c r="C3082" s="5" t="s">
        <v>25</v>
      </c>
      <c r="D3082" s="5" t="s">
        <v>8591</v>
      </c>
      <c r="E3082" s="43">
        <v>200</v>
      </c>
      <c r="F3082" s="43"/>
      <c r="G3082" s="364">
        <f t="shared" si="47"/>
        <v>102800.66129032266</v>
      </c>
      <c r="H3082" s="391" t="s">
        <v>9568</v>
      </c>
    </row>
    <row r="3083" spans="1:13" x14ac:dyDescent="0.3">
      <c r="A3083" s="45">
        <v>44530</v>
      </c>
      <c r="B3083" s="399"/>
      <c r="C3083" s="5" t="s">
        <v>14</v>
      </c>
      <c r="D3083" s="5" t="s">
        <v>8592</v>
      </c>
      <c r="E3083" s="43">
        <v>4000</v>
      </c>
      <c r="F3083" s="43"/>
      <c r="G3083" s="364">
        <f t="shared" si="47"/>
        <v>98800.661290322663</v>
      </c>
      <c r="H3083" s="391" t="s">
        <v>9568</v>
      </c>
    </row>
    <row r="3084" spans="1:13" x14ac:dyDescent="0.3">
      <c r="A3084" s="45">
        <v>44530</v>
      </c>
      <c r="B3084" s="399"/>
      <c r="C3084" s="5" t="s">
        <v>8594</v>
      </c>
      <c r="D3084" s="5" t="s">
        <v>8053</v>
      </c>
      <c r="E3084" s="43">
        <v>5000</v>
      </c>
      <c r="F3084" s="43"/>
      <c r="G3084" s="364">
        <f t="shared" si="47"/>
        <v>93800.661290322663</v>
      </c>
      <c r="H3084" s="391" t="s">
        <v>9568</v>
      </c>
    </row>
    <row r="3085" spans="1:13" x14ac:dyDescent="0.3">
      <c r="A3085" s="45">
        <v>44530</v>
      </c>
      <c r="B3085" s="399"/>
      <c r="C3085" s="5" t="s">
        <v>25</v>
      </c>
      <c r="D3085" s="5" t="s">
        <v>4731</v>
      </c>
      <c r="E3085" s="43">
        <v>2500</v>
      </c>
      <c r="F3085" s="43"/>
      <c r="G3085" s="364">
        <f t="shared" si="47"/>
        <v>91300.661290322663</v>
      </c>
      <c r="H3085" s="391" t="s">
        <v>9568</v>
      </c>
    </row>
    <row r="3086" spans="1:13" x14ac:dyDescent="0.3">
      <c r="A3086" s="45">
        <v>44530</v>
      </c>
      <c r="B3086" s="399"/>
      <c r="C3086" s="5" t="s">
        <v>5709</v>
      </c>
      <c r="D3086" s="5" t="s">
        <v>5673</v>
      </c>
      <c r="E3086" s="43">
        <v>900</v>
      </c>
      <c r="F3086" s="43"/>
      <c r="G3086" s="364">
        <f t="shared" si="47"/>
        <v>90400.661290322663</v>
      </c>
      <c r="H3086" s="391" t="s">
        <v>9568</v>
      </c>
    </row>
    <row r="3087" spans="1:13" x14ac:dyDescent="0.3">
      <c r="A3087" s="45">
        <v>44530</v>
      </c>
      <c r="B3087" s="399"/>
      <c r="C3087" s="5" t="s">
        <v>5709</v>
      </c>
      <c r="D3087" s="5" t="s">
        <v>3557</v>
      </c>
      <c r="E3087" s="43">
        <v>60000</v>
      </c>
      <c r="F3087" s="43"/>
      <c r="G3087" s="364">
        <f t="shared" si="47"/>
        <v>30400.661290322663</v>
      </c>
      <c r="H3087" s="391" t="s">
        <v>9568</v>
      </c>
    </row>
    <row r="3088" spans="1:13" x14ac:dyDescent="0.3">
      <c r="A3088" s="45">
        <v>44531</v>
      </c>
      <c r="B3088" s="580"/>
      <c r="C3088" s="554" t="s">
        <v>4406</v>
      </c>
      <c r="D3088" s="554"/>
      <c r="E3088" s="554"/>
      <c r="F3088" s="43">
        <v>200000</v>
      </c>
      <c r="G3088" s="364">
        <f t="shared" si="47"/>
        <v>230400.66129032266</v>
      </c>
      <c r="H3088" s="391" t="s">
        <v>9568</v>
      </c>
      <c r="M3088" s="93"/>
    </row>
    <row r="3089" spans="1:13" x14ac:dyDescent="0.3">
      <c r="A3089" s="45">
        <v>44531</v>
      </c>
      <c r="B3089" s="399"/>
      <c r="C3089" s="5" t="s">
        <v>57</v>
      </c>
      <c r="D3089" s="5" t="s">
        <v>294</v>
      </c>
      <c r="E3089" s="43">
        <v>33000</v>
      </c>
      <c r="F3089" s="43"/>
      <c r="G3089" s="364">
        <f t="shared" si="47"/>
        <v>197400.66129032266</v>
      </c>
      <c r="H3089" s="391" t="s">
        <v>9568</v>
      </c>
    </row>
    <row r="3090" spans="1:13" x14ac:dyDescent="0.3">
      <c r="A3090" s="45">
        <v>44531</v>
      </c>
      <c r="B3090" s="399"/>
      <c r="C3090" s="5" t="s">
        <v>18</v>
      </c>
      <c r="D3090" s="5" t="s">
        <v>8595</v>
      </c>
      <c r="E3090" s="43">
        <v>2000</v>
      </c>
      <c r="F3090" s="43"/>
      <c r="G3090" s="364">
        <f t="shared" si="47"/>
        <v>195400.66129032266</v>
      </c>
      <c r="H3090" s="391" t="s">
        <v>9568</v>
      </c>
    </row>
    <row r="3091" spans="1:13" x14ac:dyDescent="0.3">
      <c r="A3091" s="45">
        <v>44531</v>
      </c>
      <c r="B3091" s="399"/>
      <c r="C3091" s="5" t="s">
        <v>5156</v>
      </c>
      <c r="D3091" s="5" t="s">
        <v>8596</v>
      </c>
      <c r="E3091" s="43">
        <v>2120</v>
      </c>
      <c r="F3091" s="43"/>
      <c r="G3091" s="364">
        <f t="shared" si="47"/>
        <v>193280.66129032266</v>
      </c>
      <c r="H3091" s="391" t="s">
        <v>9568</v>
      </c>
    </row>
    <row r="3092" spans="1:13" x14ac:dyDescent="0.3">
      <c r="A3092" s="45">
        <v>44531</v>
      </c>
      <c r="B3092" s="399"/>
      <c r="C3092" s="5" t="s">
        <v>693</v>
      </c>
      <c r="D3092" s="5" t="s">
        <v>8597</v>
      </c>
      <c r="E3092" s="43">
        <v>360</v>
      </c>
      <c r="F3092" s="43"/>
      <c r="G3092" s="364">
        <f t="shared" si="47"/>
        <v>192920.66129032266</v>
      </c>
      <c r="H3092" s="391" t="s">
        <v>9568</v>
      </c>
    </row>
    <row r="3093" spans="1:13" x14ac:dyDescent="0.3">
      <c r="A3093" s="45">
        <v>44531</v>
      </c>
      <c r="B3093" s="399"/>
      <c r="C3093" s="5" t="s">
        <v>5162</v>
      </c>
      <c r="D3093" s="5" t="s">
        <v>2013</v>
      </c>
      <c r="E3093" s="43">
        <v>140</v>
      </c>
      <c r="F3093" s="43"/>
      <c r="G3093" s="364">
        <f t="shared" si="47"/>
        <v>192780.66129032266</v>
      </c>
      <c r="H3093" s="391" t="s">
        <v>9568</v>
      </c>
    </row>
    <row r="3094" spans="1:13" x14ac:dyDescent="0.3">
      <c r="A3094" s="45">
        <v>44531</v>
      </c>
      <c r="B3094" s="399"/>
      <c r="C3094" s="5" t="s">
        <v>14</v>
      </c>
      <c r="D3094" s="5" t="s">
        <v>294</v>
      </c>
      <c r="E3094" s="43">
        <v>50000</v>
      </c>
      <c r="F3094" s="43"/>
      <c r="G3094" s="364">
        <f t="shared" si="47"/>
        <v>142780.66129032266</v>
      </c>
      <c r="H3094" s="391" t="s">
        <v>9568</v>
      </c>
    </row>
    <row r="3095" spans="1:13" x14ac:dyDescent="0.3">
      <c r="A3095" s="45">
        <v>44531</v>
      </c>
      <c r="B3095" s="399"/>
      <c r="C3095" s="5" t="s">
        <v>25</v>
      </c>
      <c r="D3095" s="5" t="s">
        <v>8221</v>
      </c>
      <c r="E3095" s="43">
        <v>1000</v>
      </c>
      <c r="F3095" s="43"/>
      <c r="G3095" s="364">
        <f t="shared" si="47"/>
        <v>141780.66129032266</v>
      </c>
      <c r="H3095" s="391" t="s">
        <v>9568</v>
      </c>
    </row>
    <row r="3096" spans="1:13" x14ac:dyDescent="0.3">
      <c r="A3096" s="45">
        <v>44531</v>
      </c>
      <c r="B3096" s="399"/>
      <c r="C3096" s="5" t="s">
        <v>25</v>
      </c>
      <c r="D3096" s="5" t="s">
        <v>8249</v>
      </c>
      <c r="E3096" s="43">
        <v>3850</v>
      </c>
      <c r="F3096" s="43"/>
      <c r="G3096" s="364">
        <f t="shared" si="47"/>
        <v>137930.66129032266</v>
      </c>
      <c r="H3096" s="391" t="s">
        <v>9568</v>
      </c>
    </row>
    <row r="3097" spans="1:13" x14ac:dyDescent="0.3">
      <c r="A3097" s="45">
        <v>44531</v>
      </c>
      <c r="B3097" s="399"/>
      <c r="C3097" s="5" t="s">
        <v>8602</v>
      </c>
      <c r="D3097" s="5" t="s">
        <v>8603</v>
      </c>
      <c r="E3097" s="43">
        <v>5000</v>
      </c>
      <c r="F3097" s="43"/>
      <c r="G3097" s="364">
        <f t="shared" si="47"/>
        <v>132930.66129032266</v>
      </c>
      <c r="H3097" s="391" t="s">
        <v>9568</v>
      </c>
    </row>
    <row r="3098" spans="1:13" x14ac:dyDescent="0.3">
      <c r="A3098" s="45">
        <v>44532</v>
      </c>
      <c r="B3098" s="399"/>
      <c r="C3098" s="5" t="s">
        <v>84</v>
      </c>
      <c r="D3098" s="5" t="s">
        <v>8604</v>
      </c>
      <c r="E3098" s="43">
        <v>20000</v>
      </c>
      <c r="F3098" s="43"/>
      <c r="G3098" s="364">
        <f t="shared" si="47"/>
        <v>112930.66129032266</v>
      </c>
      <c r="H3098" s="391" t="s">
        <v>9568</v>
      </c>
    </row>
    <row r="3099" spans="1:13" x14ac:dyDescent="0.3">
      <c r="A3099" s="45">
        <v>44532</v>
      </c>
      <c r="B3099" s="399"/>
      <c r="C3099" s="5" t="s">
        <v>63</v>
      </c>
      <c r="D3099" s="5" t="s">
        <v>4381</v>
      </c>
      <c r="E3099" s="43">
        <v>650</v>
      </c>
      <c r="F3099" s="43"/>
      <c r="G3099" s="364">
        <f t="shared" si="47"/>
        <v>112280.66129032266</v>
      </c>
      <c r="H3099" s="391" t="s">
        <v>9568</v>
      </c>
    </row>
    <row r="3100" spans="1:13" x14ac:dyDescent="0.3">
      <c r="A3100" s="45">
        <v>44532</v>
      </c>
      <c r="B3100" s="399"/>
      <c r="C3100" s="5" t="s">
        <v>5793</v>
      </c>
      <c r="D3100" s="5" t="s">
        <v>8611</v>
      </c>
      <c r="E3100" s="43">
        <v>2500</v>
      </c>
      <c r="F3100" s="43"/>
      <c r="G3100" s="364">
        <f t="shared" si="47"/>
        <v>109780.66129032266</v>
      </c>
      <c r="H3100" s="391" t="s">
        <v>9568</v>
      </c>
    </row>
    <row r="3101" spans="1:13" x14ac:dyDescent="0.3">
      <c r="A3101" s="45">
        <v>44532</v>
      </c>
      <c r="B3101" s="399"/>
      <c r="C3101" s="5" t="s">
        <v>84</v>
      </c>
      <c r="D3101" s="5" t="s">
        <v>8612</v>
      </c>
      <c r="E3101" s="43">
        <v>3000</v>
      </c>
      <c r="F3101" s="43"/>
      <c r="G3101" s="364">
        <f t="shared" si="47"/>
        <v>106780.66129032266</v>
      </c>
      <c r="H3101" s="391" t="s">
        <v>9568</v>
      </c>
    </row>
    <row r="3102" spans="1:13" x14ac:dyDescent="0.3">
      <c r="A3102" s="45">
        <v>44532</v>
      </c>
      <c r="B3102" s="580"/>
      <c r="C3102" s="554" t="s">
        <v>8290</v>
      </c>
      <c r="D3102" s="554"/>
      <c r="E3102" s="554"/>
      <c r="F3102" s="43">
        <v>10000</v>
      </c>
      <c r="G3102" s="364">
        <f t="shared" si="47"/>
        <v>116780.66129032266</v>
      </c>
      <c r="H3102" s="391" t="s">
        <v>9568</v>
      </c>
      <c r="M3102" s="93"/>
    </row>
    <row r="3103" spans="1:13" x14ac:dyDescent="0.3">
      <c r="A3103" s="45">
        <v>44532</v>
      </c>
      <c r="B3103" s="399"/>
      <c r="C3103" s="5" t="s">
        <v>84</v>
      </c>
      <c r="D3103" s="5" t="s">
        <v>8613</v>
      </c>
      <c r="E3103" s="43">
        <v>10000</v>
      </c>
      <c r="F3103" s="43"/>
      <c r="G3103" s="364">
        <f t="shared" si="47"/>
        <v>106780.66129032266</v>
      </c>
      <c r="H3103" s="391" t="s">
        <v>9568</v>
      </c>
    </row>
    <row r="3104" spans="1:13" x14ac:dyDescent="0.3">
      <c r="A3104" s="45">
        <v>44533</v>
      </c>
      <c r="B3104" s="399"/>
      <c r="C3104" s="5" t="s">
        <v>57</v>
      </c>
      <c r="D3104" s="5" t="s">
        <v>40</v>
      </c>
      <c r="E3104" s="43">
        <v>150</v>
      </c>
      <c r="F3104" s="43"/>
      <c r="G3104" s="364">
        <f t="shared" si="47"/>
        <v>106630.66129032266</v>
      </c>
      <c r="H3104" s="391" t="s">
        <v>9568</v>
      </c>
    </row>
    <row r="3105" spans="1:13" x14ac:dyDescent="0.3">
      <c r="A3105" s="45">
        <v>44533</v>
      </c>
      <c r="B3105" s="408"/>
      <c r="C3105" s="218" t="s">
        <v>54</v>
      </c>
      <c r="D3105" s="218" t="s">
        <v>8614</v>
      </c>
      <c r="E3105" s="211">
        <v>35000</v>
      </c>
      <c r="F3105" s="43"/>
      <c r="G3105" s="364">
        <f t="shared" si="47"/>
        <v>71630.661290322663</v>
      </c>
      <c r="H3105" s="391" t="s">
        <v>9568</v>
      </c>
    </row>
    <row r="3106" spans="1:13" x14ac:dyDescent="0.3">
      <c r="A3106" s="45">
        <v>44533</v>
      </c>
      <c r="B3106" s="408"/>
      <c r="C3106" s="218" t="s">
        <v>54</v>
      </c>
      <c r="D3106" s="218" t="s">
        <v>1378</v>
      </c>
      <c r="E3106" s="211">
        <v>5000</v>
      </c>
      <c r="F3106" s="43"/>
      <c r="G3106" s="364">
        <f t="shared" si="47"/>
        <v>66630.661290322663</v>
      </c>
      <c r="H3106" s="391" t="s">
        <v>9568</v>
      </c>
    </row>
    <row r="3107" spans="1:13" x14ac:dyDescent="0.3">
      <c r="A3107" s="45">
        <v>44533</v>
      </c>
      <c r="B3107" s="408"/>
      <c r="C3107" s="218" t="s">
        <v>54</v>
      </c>
      <c r="D3107" s="218" t="s">
        <v>8615</v>
      </c>
      <c r="E3107" s="211">
        <v>16000</v>
      </c>
      <c r="F3107" s="43"/>
      <c r="G3107" s="364">
        <f t="shared" si="47"/>
        <v>50630.661290322663</v>
      </c>
      <c r="H3107" s="391" t="s">
        <v>9568</v>
      </c>
    </row>
    <row r="3108" spans="1:13" x14ac:dyDescent="0.3">
      <c r="A3108" s="45">
        <v>44533</v>
      </c>
      <c r="B3108" s="408"/>
      <c r="C3108" s="218" t="s">
        <v>54</v>
      </c>
      <c r="D3108" s="218" t="s">
        <v>8616</v>
      </c>
      <c r="E3108" s="211">
        <v>33000</v>
      </c>
      <c r="F3108" s="43"/>
      <c r="G3108" s="364">
        <f t="shared" si="47"/>
        <v>17630.661290322663</v>
      </c>
      <c r="H3108" s="391" t="s">
        <v>9568</v>
      </c>
    </row>
    <row r="3109" spans="1:13" x14ac:dyDescent="0.3">
      <c r="A3109" s="45">
        <v>44534</v>
      </c>
      <c r="B3109" s="399"/>
      <c r="C3109" s="5" t="s">
        <v>5156</v>
      </c>
      <c r="D3109" s="5" t="s">
        <v>3563</v>
      </c>
      <c r="E3109" s="43">
        <v>340</v>
      </c>
      <c r="F3109" s="43"/>
      <c r="G3109" s="364">
        <f t="shared" si="47"/>
        <v>17290.661290322663</v>
      </c>
      <c r="H3109" s="391" t="s">
        <v>9568</v>
      </c>
    </row>
    <row r="3110" spans="1:13" x14ac:dyDescent="0.3">
      <c r="A3110" s="45">
        <v>44534</v>
      </c>
      <c r="B3110" s="399"/>
      <c r="C3110" s="5" t="s">
        <v>25</v>
      </c>
      <c r="D3110" s="5" t="s">
        <v>6049</v>
      </c>
      <c r="E3110" s="43">
        <v>100</v>
      </c>
      <c r="F3110" s="43"/>
      <c r="G3110" s="364">
        <f t="shared" si="47"/>
        <v>17190.661290322663</v>
      </c>
      <c r="H3110" s="391" t="s">
        <v>9568</v>
      </c>
    </row>
    <row r="3111" spans="1:13" x14ac:dyDescent="0.3">
      <c r="A3111" s="45">
        <v>44534</v>
      </c>
      <c r="B3111" s="399"/>
      <c r="C3111" s="5" t="s">
        <v>25</v>
      </c>
      <c r="D3111" s="5" t="s">
        <v>8291</v>
      </c>
      <c r="E3111" s="43">
        <v>1700</v>
      </c>
      <c r="F3111" s="43"/>
      <c r="G3111" s="364">
        <f t="shared" si="47"/>
        <v>15490.661290322663</v>
      </c>
      <c r="H3111" s="391" t="s">
        <v>9568</v>
      </c>
    </row>
    <row r="3112" spans="1:13" x14ac:dyDescent="0.3">
      <c r="A3112" s="45">
        <v>44534</v>
      </c>
      <c r="B3112" s="399"/>
      <c r="C3112" s="5" t="s">
        <v>25</v>
      </c>
      <c r="D3112" s="5" t="s">
        <v>8620</v>
      </c>
      <c r="E3112" s="43">
        <v>1000</v>
      </c>
      <c r="F3112" s="43"/>
      <c r="G3112" s="364">
        <f t="shared" si="47"/>
        <v>14490.661290322663</v>
      </c>
      <c r="H3112" s="391" t="s">
        <v>9568</v>
      </c>
    </row>
    <row r="3113" spans="1:13" x14ac:dyDescent="0.3">
      <c r="A3113" s="45">
        <v>44534</v>
      </c>
      <c r="B3113" s="399"/>
      <c r="C3113" s="5" t="s">
        <v>25</v>
      </c>
      <c r="D3113" s="5" t="s">
        <v>3627</v>
      </c>
      <c r="E3113" s="43">
        <v>1200</v>
      </c>
      <c r="F3113" s="43"/>
      <c r="G3113" s="364">
        <f t="shared" si="47"/>
        <v>13290.661290322663</v>
      </c>
      <c r="H3113" s="391" t="s">
        <v>9568</v>
      </c>
    </row>
    <row r="3114" spans="1:13" x14ac:dyDescent="0.3">
      <c r="A3114" s="45">
        <v>44534</v>
      </c>
      <c r="B3114" s="580"/>
      <c r="C3114" s="554" t="s">
        <v>7440</v>
      </c>
      <c r="D3114" s="554"/>
      <c r="E3114" s="554"/>
      <c r="F3114" s="43">
        <v>360000</v>
      </c>
      <c r="G3114" s="364">
        <f t="shared" si="47"/>
        <v>373290.66129032266</v>
      </c>
      <c r="H3114" s="391" t="s">
        <v>9568</v>
      </c>
      <c r="M3114" s="93"/>
    </row>
    <row r="3115" spans="1:13" x14ac:dyDescent="0.3">
      <c r="A3115" s="45">
        <v>44534</v>
      </c>
      <c r="B3115" s="408"/>
      <c r="C3115" s="218" t="s">
        <v>54</v>
      </c>
      <c r="D3115" s="218" t="s">
        <v>8621</v>
      </c>
      <c r="E3115" s="43">
        <v>40000</v>
      </c>
      <c r="F3115" s="43"/>
      <c r="G3115" s="364">
        <f t="shared" si="47"/>
        <v>333290.66129032266</v>
      </c>
      <c r="H3115" s="391" t="s">
        <v>9568</v>
      </c>
    </row>
    <row r="3116" spans="1:13" x14ac:dyDescent="0.3">
      <c r="A3116" s="45">
        <v>44534</v>
      </c>
      <c r="B3116" s="408"/>
      <c r="C3116" s="218" t="s">
        <v>54</v>
      </c>
      <c r="D3116" s="218" t="s">
        <v>8627</v>
      </c>
      <c r="E3116" s="43">
        <f>26563+21667</f>
        <v>48230</v>
      </c>
      <c r="F3116" s="43"/>
      <c r="G3116" s="364">
        <f t="shared" si="47"/>
        <v>285060.66129032266</v>
      </c>
      <c r="H3116" s="391" t="s">
        <v>9568</v>
      </c>
    </row>
    <row r="3117" spans="1:13" x14ac:dyDescent="0.3">
      <c r="A3117" s="45">
        <v>44536</v>
      </c>
      <c r="B3117" s="399"/>
      <c r="C3117" s="5" t="s">
        <v>8148</v>
      </c>
      <c r="D3117" s="73" t="s">
        <v>8623</v>
      </c>
      <c r="E3117" s="58">
        <v>10060</v>
      </c>
      <c r="F3117" s="58"/>
      <c r="G3117" s="364">
        <f t="shared" si="47"/>
        <v>275000.66129032266</v>
      </c>
      <c r="H3117" s="391" t="s">
        <v>9568</v>
      </c>
      <c r="I3117" s="102"/>
      <c r="J3117" s="102"/>
      <c r="K3117" s="102"/>
    </row>
    <row r="3118" spans="1:13" x14ac:dyDescent="0.3">
      <c r="A3118" s="45">
        <v>44536</v>
      </c>
      <c r="B3118" s="408"/>
      <c r="C3118" s="218" t="s">
        <v>54</v>
      </c>
      <c r="D3118" s="218" t="s">
        <v>8635</v>
      </c>
      <c r="E3118" s="43">
        <v>202231</v>
      </c>
      <c r="F3118" s="43"/>
      <c r="G3118" s="364">
        <f t="shared" si="47"/>
        <v>72769.661290322663</v>
      </c>
      <c r="H3118" s="391" t="s">
        <v>9568</v>
      </c>
    </row>
    <row r="3119" spans="1:13" x14ac:dyDescent="0.3">
      <c r="A3119" s="45">
        <v>44536</v>
      </c>
      <c r="B3119" s="399"/>
      <c r="C3119" s="5" t="s">
        <v>3724</v>
      </c>
      <c r="D3119" s="73" t="s">
        <v>40</v>
      </c>
      <c r="E3119" s="58">
        <v>4089</v>
      </c>
      <c r="F3119" s="58"/>
      <c r="G3119" s="364">
        <f t="shared" si="47"/>
        <v>68680.661290322663</v>
      </c>
      <c r="H3119" s="391" t="s">
        <v>9568</v>
      </c>
      <c r="I3119" s="102"/>
      <c r="J3119" s="102"/>
      <c r="K3119" s="102"/>
    </row>
    <row r="3120" spans="1:13" x14ac:dyDescent="0.3">
      <c r="A3120" s="45">
        <v>44536</v>
      </c>
      <c r="B3120" s="399"/>
      <c r="C3120" s="5" t="s">
        <v>8594</v>
      </c>
      <c r="D3120" s="5" t="s">
        <v>8053</v>
      </c>
      <c r="E3120" s="58">
        <v>10000</v>
      </c>
      <c r="F3120" s="58"/>
      <c r="G3120" s="364">
        <f t="shared" si="47"/>
        <v>58680.661290322663</v>
      </c>
      <c r="H3120" s="391" t="s">
        <v>9568</v>
      </c>
      <c r="I3120" s="102"/>
      <c r="J3120" s="102"/>
      <c r="K3120" s="102"/>
    </row>
    <row r="3121" spans="1:13" x14ac:dyDescent="0.3">
      <c r="A3121" s="45">
        <v>44536</v>
      </c>
      <c r="B3121" s="399"/>
      <c r="C3121" s="5" t="s">
        <v>8624</v>
      </c>
      <c r="D3121" s="5" t="s">
        <v>8625</v>
      </c>
      <c r="E3121" s="58">
        <v>1800</v>
      </c>
      <c r="F3121" s="58"/>
      <c r="G3121" s="364">
        <f t="shared" si="47"/>
        <v>56880.661290322663</v>
      </c>
      <c r="H3121" s="391" t="s">
        <v>9568</v>
      </c>
      <c r="I3121" s="102"/>
      <c r="J3121" s="102"/>
      <c r="K3121" s="102"/>
    </row>
    <row r="3122" spans="1:13" x14ac:dyDescent="0.3">
      <c r="A3122" s="45">
        <v>44536</v>
      </c>
      <c r="B3122" s="580"/>
      <c r="C3122" s="554" t="s">
        <v>8626</v>
      </c>
      <c r="D3122" s="554"/>
      <c r="E3122" s="554"/>
      <c r="F3122" s="43">
        <v>10000</v>
      </c>
      <c r="G3122" s="364">
        <f t="shared" si="47"/>
        <v>66880.661290322663</v>
      </c>
      <c r="H3122" s="391" t="s">
        <v>9568</v>
      </c>
      <c r="M3122" s="93"/>
    </row>
    <row r="3123" spans="1:13" x14ac:dyDescent="0.3">
      <c r="A3123" s="45">
        <v>44537</v>
      </c>
      <c r="B3123" s="399"/>
      <c r="C3123" s="5" t="s">
        <v>57</v>
      </c>
      <c r="D3123" s="5" t="s">
        <v>5398</v>
      </c>
      <c r="E3123" s="43">
        <v>1000</v>
      </c>
      <c r="F3123" s="43"/>
      <c r="G3123" s="364">
        <f t="shared" si="47"/>
        <v>65880.661290322663</v>
      </c>
      <c r="H3123" s="391" t="s">
        <v>9568</v>
      </c>
    </row>
    <row r="3124" spans="1:13" x14ac:dyDescent="0.3">
      <c r="A3124" s="45">
        <v>44537</v>
      </c>
      <c r="B3124" s="399"/>
      <c r="C3124" s="5" t="s">
        <v>25</v>
      </c>
      <c r="D3124" s="5" t="s">
        <v>2637</v>
      </c>
      <c r="E3124" s="43">
        <v>1000</v>
      </c>
      <c r="F3124" s="43"/>
      <c r="G3124" s="364">
        <f t="shared" si="47"/>
        <v>64880.661290322663</v>
      </c>
      <c r="H3124" s="391" t="s">
        <v>9568</v>
      </c>
    </row>
    <row r="3125" spans="1:13" x14ac:dyDescent="0.3">
      <c r="A3125" s="45">
        <v>44537</v>
      </c>
      <c r="B3125" s="399"/>
      <c r="C3125" s="5" t="s">
        <v>4156</v>
      </c>
      <c r="D3125" s="5" t="s">
        <v>8628</v>
      </c>
      <c r="E3125" s="43">
        <v>5000</v>
      </c>
      <c r="F3125" s="43"/>
      <c r="G3125" s="364">
        <f t="shared" si="47"/>
        <v>59880.661290322663</v>
      </c>
      <c r="H3125" s="391" t="s">
        <v>9568</v>
      </c>
    </row>
    <row r="3126" spans="1:13" x14ac:dyDescent="0.3">
      <c r="A3126" s="45">
        <v>44537</v>
      </c>
      <c r="B3126" s="580"/>
      <c r="C3126" s="554" t="s">
        <v>4106</v>
      </c>
      <c r="D3126" s="554"/>
      <c r="E3126" s="554"/>
      <c r="F3126" s="43">
        <v>500000</v>
      </c>
      <c r="G3126" s="364">
        <f t="shared" si="47"/>
        <v>559880.66129032266</v>
      </c>
      <c r="H3126" s="391" t="s">
        <v>9568</v>
      </c>
      <c r="M3126" s="93"/>
    </row>
    <row r="3127" spans="1:13" x14ac:dyDescent="0.3">
      <c r="A3127" s="45">
        <v>44537</v>
      </c>
      <c r="B3127" s="399"/>
      <c r="C3127" s="5" t="s">
        <v>541</v>
      </c>
      <c r="D3127" s="5" t="s">
        <v>294</v>
      </c>
      <c r="E3127" s="43">
        <v>15000</v>
      </c>
      <c r="F3127" s="43"/>
      <c r="G3127" s="364">
        <f t="shared" si="47"/>
        <v>544880.66129032266</v>
      </c>
      <c r="H3127" s="391" t="s">
        <v>9568</v>
      </c>
    </row>
    <row r="3128" spans="1:13" x14ac:dyDescent="0.3">
      <c r="A3128" s="45">
        <v>44537</v>
      </c>
      <c r="B3128" s="399"/>
      <c r="C3128" s="5" t="s">
        <v>8624</v>
      </c>
      <c r="D3128" s="5" t="s">
        <v>8629</v>
      </c>
      <c r="E3128" s="43">
        <v>116000</v>
      </c>
      <c r="F3128" s="43"/>
      <c r="G3128" s="364">
        <f t="shared" si="47"/>
        <v>428880.66129032266</v>
      </c>
      <c r="H3128" s="391" t="s">
        <v>9568</v>
      </c>
    </row>
    <row r="3129" spans="1:13" x14ac:dyDescent="0.3">
      <c r="A3129" s="45">
        <v>44537</v>
      </c>
      <c r="B3129" s="399"/>
      <c r="C3129" s="5" t="s">
        <v>25</v>
      </c>
      <c r="D3129" s="5" t="s">
        <v>8630</v>
      </c>
      <c r="E3129" s="43">
        <v>150</v>
      </c>
      <c r="F3129" s="43"/>
      <c r="G3129" s="364">
        <f t="shared" si="47"/>
        <v>428730.66129032266</v>
      </c>
      <c r="H3129" s="391" t="s">
        <v>9568</v>
      </c>
    </row>
    <row r="3130" spans="1:13" x14ac:dyDescent="0.3">
      <c r="A3130" s="45">
        <v>44537</v>
      </c>
      <c r="B3130" s="399"/>
      <c r="C3130" s="5" t="s">
        <v>8631</v>
      </c>
      <c r="D3130" s="5" t="s">
        <v>8632</v>
      </c>
      <c r="E3130" s="43">
        <v>2000</v>
      </c>
      <c r="F3130" s="43"/>
      <c r="G3130" s="364">
        <f t="shared" si="47"/>
        <v>426730.66129032266</v>
      </c>
      <c r="H3130" s="391" t="s">
        <v>9568</v>
      </c>
    </row>
    <row r="3131" spans="1:13" x14ac:dyDescent="0.3">
      <c r="A3131" s="45">
        <v>44537</v>
      </c>
      <c r="B3131" s="399"/>
      <c r="C3131" s="5" t="s">
        <v>25</v>
      </c>
      <c r="D3131" s="5" t="s">
        <v>8152</v>
      </c>
      <c r="E3131" s="43">
        <v>2000</v>
      </c>
      <c r="F3131" s="43"/>
      <c r="G3131" s="364">
        <f t="shared" si="47"/>
        <v>424730.66129032266</v>
      </c>
      <c r="H3131" s="391" t="s">
        <v>9568</v>
      </c>
    </row>
    <row r="3132" spans="1:13" x14ac:dyDescent="0.3">
      <c r="A3132" s="45">
        <v>44537</v>
      </c>
      <c r="B3132" s="399"/>
      <c r="C3132" s="5" t="s">
        <v>14</v>
      </c>
      <c r="D3132" s="5" t="s">
        <v>8633</v>
      </c>
      <c r="E3132" s="43">
        <v>10000</v>
      </c>
      <c r="F3132" s="43"/>
      <c r="G3132" s="364">
        <f t="shared" si="47"/>
        <v>414730.66129032266</v>
      </c>
      <c r="H3132" s="391" t="s">
        <v>9568</v>
      </c>
    </row>
    <row r="3133" spans="1:13" x14ac:dyDescent="0.3">
      <c r="A3133" s="45">
        <v>44537</v>
      </c>
      <c r="B3133" s="408"/>
      <c r="C3133" s="218" t="s">
        <v>54</v>
      </c>
      <c r="D3133" s="218" t="s">
        <v>8634</v>
      </c>
      <c r="E3133" s="43">
        <v>49500</v>
      </c>
      <c r="F3133" s="43"/>
      <c r="G3133" s="364">
        <f t="shared" si="47"/>
        <v>365230.66129032266</v>
      </c>
      <c r="H3133" s="391" t="s">
        <v>9568</v>
      </c>
    </row>
    <row r="3134" spans="1:13" x14ac:dyDescent="0.3">
      <c r="A3134" s="45">
        <v>44537</v>
      </c>
      <c r="B3134" s="408"/>
      <c r="C3134" s="218" t="s">
        <v>54</v>
      </c>
      <c r="D3134" s="218" t="s">
        <v>8636</v>
      </c>
      <c r="E3134" s="43">
        <v>100304</v>
      </c>
      <c r="F3134" s="43"/>
      <c r="G3134" s="364">
        <f t="shared" si="47"/>
        <v>264926.66129032266</v>
      </c>
      <c r="H3134" s="391" t="s">
        <v>9568</v>
      </c>
    </row>
    <row r="3135" spans="1:13" x14ac:dyDescent="0.3">
      <c r="A3135" s="45">
        <v>44537</v>
      </c>
      <c r="B3135" s="408"/>
      <c r="C3135" s="218" t="s">
        <v>54</v>
      </c>
      <c r="D3135" s="218" t="s">
        <v>8637</v>
      </c>
      <c r="E3135" s="43">
        <v>78283</v>
      </c>
      <c r="F3135" s="43"/>
      <c r="G3135" s="364">
        <f t="shared" si="47"/>
        <v>186643.66129032266</v>
      </c>
      <c r="H3135" s="391" t="s">
        <v>9568</v>
      </c>
    </row>
    <row r="3136" spans="1:13" x14ac:dyDescent="0.3">
      <c r="A3136" s="45">
        <v>44537</v>
      </c>
      <c r="B3136" s="408"/>
      <c r="C3136" s="218" t="s">
        <v>54</v>
      </c>
      <c r="D3136" s="218" t="s">
        <v>8638</v>
      </c>
      <c r="E3136" s="43">
        <v>71000</v>
      </c>
      <c r="F3136" s="43"/>
      <c r="G3136" s="364">
        <f t="shared" si="47"/>
        <v>115643.66129032266</v>
      </c>
      <c r="H3136" s="391" t="s">
        <v>9568</v>
      </c>
    </row>
    <row r="3137" spans="1:13" x14ac:dyDescent="0.3">
      <c r="A3137" s="45">
        <v>44537</v>
      </c>
      <c r="B3137" s="408"/>
      <c r="C3137" s="218" t="s">
        <v>54</v>
      </c>
      <c r="D3137" s="218" t="s">
        <v>8639</v>
      </c>
      <c r="E3137" s="43">
        <v>1500</v>
      </c>
      <c r="F3137" s="43"/>
      <c r="G3137" s="364">
        <f t="shared" si="47"/>
        <v>114143.66129032266</v>
      </c>
      <c r="H3137" s="391" t="s">
        <v>9568</v>
      </c>
    </row>
    <row r="3138" spans="1:13" x14ac:dyDescent="0.3">
      <c r="A3138" s="45">
        <v>44537</v>
      </c>
      <c r="B3138" s="399"/>
      <c r="C3138" s="5" t="s">
        <v>68</v>
      </c>
      <c r="D3138" s="5" t="s">
        <v>8080</v>
      </c>
      <c r="E3138" s="43">
        <v>10000</v>
      </c>
      <c r="F3138" s="43"/>
      <c r="G3138" s="364">
        <f t="shared" si="47"/>
        <v>104143.66129032266</v>
      </c>
      <c r="H3138" s="391" t="s">
        <v>9568</v>
      </c>
    </row>
    <row r="3139" spans="1:13" x14ac:dyDescent="0.3">
      <c r="A3139" s="45">
        <v>44537</v>
      </c>
      <c r="B3139" s="408"/>
      <c r="C3139" s="218" t="s">
        <v>54</v>
      </c>
      <c r="D3139" s="218" t="s">
        <v>6244</v>
      </c>
      <c r="E3139" s="43">
        <v>13570</v>
      </c>
      <c r="F3139" s="43"/>
      <c r="G3139" s="364">
        <f t="shared" si="47"/>
        <v>90573.661290322663</v>
      </c>
      <c r="H3139" s="391" t="s">
        <v>9568</v>
      </c>
    </row>
    <row r="3140" spans="1:13" x14ac:dyDescent="0.3">
      <c r="A3140" s="45">
        <v>44537</v>
      </c>
      <c r="B3140" s="408"/>
      <c r="C3140" s="218" t="s">
        <v>54</v>
      </c>
      <c r="D3140" s="218" t="s">
        <v>6239</v>
      </c>
      <c r="E3140" s="43">
        <v>34067</v>
      </c>
      <c r="F3140" s="43"/>
      <c r="G3140" s="364">
        <f t="shared" si="47"/>
        <v>56506.661290322663</v>
      </c>
      <c r="H3140" s="391" t="s">
        <v>9568</v>
      </c>
    </row>
    <row r="3141" spans="1:13" x14ac:dyDescent="0.3">
      <c r="A3141" s="45">
        <v>44538</v>
      </c>
      <c r="B3141" s="399"/>
      <c r="C3141" s="5" t="s">
        <v>8640</v>
      </c>
      <c r="D3141" s="5" t="s">
        <v>40</v>
      </c>
      <c r="E3141" s="43">
        <v>1000</v>
      </c>
      <c r="F3141" s="43"/>
      <c r="G3141" s="364">
        <f t="shared" si="47"/>
        <v>55506.661290322663</v>
      </c>
      <c r="H3141" s="391" t="s">
        <v>9568</v>
      </c>
    </row>
    <row r="3142" spans="1:13" x14ac:dyDescent="0.3">
      <c r="A3142" s="45">
        <v>44538</v>
      </c>
      <c r="B3142" s="399"/>
      <c r="C3142" s="5" t="s">
        <v>63</v>
      </c>
      <c r="D3142" s="5" t="s">
        <v>8643</v>
      </c>
      <c r="E3142" s="43">
        <v>1500</v>
      </c>
      <c r="F3142" s="43"/>
      <c r="G3142" s="364">
        <f t="shared" si="47"/>
        <v>54006.661290322663</v>
      </c>
      <c r="H3142" s="391" t="s">
        <v>9568</v>
      </c>
    </row>
    <row r="3143" spans="1:13" x14ac:dyDescent="0.3">
      <c r="A3143" s="45">
        <v>44538</v>
      </c>
      <c r="B3143" s="580"/>
      <c r="C3143" s="554" t="s">
        <v>4106</v>
      </c>
      <c r="D3143" s="554"/>
      <c r="E3143" s="554"/>
      <c r="F3143" s="43">
        <v>400000</v>
      </c>
      <c r="G3143" s="364">
        <f t="shared" ref="G3143" si="48">G3142+F3143-E3143</f>
        <v>454006.66129032266</v>
      </c>
      <c r="H3143" s="391" t="s">
        <v>9568</v>
      </c>
      <c r="M3143" s="93"/>
    </row>
    <row r="3144" spans="1:13" x14ac:dyDescent="0.3">
      <c r="A3144" s="45">
        <v>44538</v>
      </c>
      <c r="B3144" s="399"/>
      <c r="C3144" s="5" t="s">
        <v>541</v>
      </c>
      <c r="D3144" s="5" t="s">
        <v>294</v>
      </c>
      <c r="E3144" s="43">
        <v>150000</v>
      </c>
      <c r="F3144" s="43"/>
      <c r="G3144" s="364">
        <f t="shared" si="47"/>
        <v>304006.66129032266</v>
      </c>
      <c r="H3144" s="391" t="s">
        <v>9568</v>
      </c>
    </row>
    <row r="3145" spans="1:13" x14ac:dyDescent="0.3">
      <c r="A3145" s="45">
        <v>44539</v>
      </c>
      <c r="B3145" s="399"/>
      <c r="C3145" s="5" t="s">
        <v>57</v>
      </c>
      <c r="D3145" s="5" t="s">
        <v>294</v>
      </c>
      <c r="E3145" s="43">
        <v>10000</v>
      </c>
      <c r="F3145" s="43"/>
      <c r="G3145" s="364">
        <f t="shared" si="47"/>
        <v>294006.66129032266</v>
      </c>
      <c r="H3145" s="391" t="s">
        <v>9568</v>
      </c>
    </row>
    <row r="3146" spans="1:13" x14ac:dyDescent="0.3">
      <c r="A3146" s="45">
        <v>44539</v>
      </c>
      <c r="B3146" s="408"/>
      <c r="C3146" s="218" t="s">
        <v>54</v>
      </c>
      <c r="D3146" s="218" t="s">
        <v>8645</v>
      </c>
      <c r="E3146" s="43">
        <v>133000</v>
      </c>
      <c r="F3146" s="43"/>
      <c r="G3146" s="364">
        <f t="shared" ref="G3146:G3147" si="49">G3145+F3146-E3146</f>
        <v>161006.66129032266</v>
      </c>
      <c r="H3146" s="391" t="s">
        <v>9568</v>
      </c>
    </row>
    <row r="3147" spans="1:13" x14ac:dyDescent="0.3">
      <c r="A3147" s="45">
        <v>44539</v>
      </c>
      <c r="B3147" s="408"/>
      <c r="C3147" s="218" t="s">
        <v>54</v>
      </c>
      <c r="D3147" s="218" t="s">
        <v>8646</v>
      </c>
      <c r="E3147" s="43">
        <v>109971</v>
      </c>
      <c r="F3147" s="43"/>
      <c r="G3147" s="364">
        <f t="shared" si="49"/>
        <v>51035.661290322663</v>
      </c>
      <c r="H3147" s="391" t="s">
        <v>9568</v>
      </c>
    </row>
    <row r="3148" spans="1:13" x14ac:dyDescent="0.3">
      <c r="A3148" s="45">
        <v>44539</v>
      </c>
      <c r="B3148" s="399"/>
      <c r="C3148" s="5" t="s">
        <v>5709</v>
      </c>
      <c r="D3148" s="5" t="s">
        <v>8647</v>
      </c>
      <c r="E3148" s="43">
        <v>20000</v>
      </c>
      <c r="F3148" s="43"/>
      <c r="G3148" s="364">
        <f t="shared" si="47"/>
        <v>31035.661290322663</v>
      </c>
      <c r="H3148" s="391" t="s">
        <v>9568</v>
      </c>
    </row>
    <row r="3149" spans="1:13" x14ac:dyDescent="0.3">
      <c r="A3149" s="45">
        <v>44539</v>
      </c>
      <c r="B3149" s="399"/>
      <c r="C3149" s="5" t="s">
        <v>25</v>
      </c>
      <c r="D3149" s="5" t="s">
        <v>8152</v>
      </c>
      <c r="E3149" s="43">
        <v>1700</v>
      </c>
      <c r="F3149" s="43"/>
      <c r="G3149" s="364">
        <f t="shared" ref="G3149" si="50">G3148+F3149-E3149</f>
        <v>29335.661290322663</v>
      </c>
      <c r="H3149" s="391" t="s">
        <v>9568</v>
      </c>
    </row>
    <row r="3150" spans="1:13" x14ac:dyDescent="0.3">
      <c r="A3150" s="45">
        <v>44539</v>
      </c>
      <c r="B3150" s="399"/>
      <c r="C3150" s="5" t="s">
        <v>1616</v>
      </c>
      <c r="D3150" s="5" t="s">
        <v>7002</v>
      </c>
      <c r="E3150" s="43">
        <v>600</v>
      </c>
      <c r="F3150" s="43"/>
      <c r="G3150" s="364">
        <f t="shared" ref="G3150:G3214" si="51">G3149+F3150-E3150</f>
        <v>28735.661290322663</v>
      </c>
      <c r="H3150" s="391" t="s">
        <v>9568</v>
      </c>
    </row>
    <row r="3151" spans="1:13" x14ac:dyDescent="0.3">
      <c r="A3151" s="45">
        <v>44539</v>
      </c>
      <c r="B3151" s="399"/>
      <c r="C3151" s="5" t="s">
        <v>8649</v>
      </c>
      <c r="D3151" s="5" t="s">
        <v>8650</v>
      </c>
      <c r="E3151" s="43">
        <v>15000</v>
      </c>
      <c r="F3151" s="43"/>
      <c r="G3151" s="364">
        <f t="shared" si="51"/>
        <v>13735.661290322663</v>
      </c>
      <c r="H3151" s="391" t="s">
        <v>9568</v>
      </c>
    </row>
    <row r="3152" spans="1:13" x14ac:dyDescent="0.3">
      <c r="A3152" s="45">
        <v>44541</v>
      </c>
      <c r="B3152" s="399"/>
      <c r="C3152" s="5" t="s">
        <v>107</v>
      </c>
      <c r="D3152" s="5" t="s">
        <v>294</v>
      </c>
      <c r="E3152" s="43">
        <v>1000</v>
      </c>
      <c r="F3152" s="43"/>
      <c r="G3152" s="364">
        <f t="shared" si="51"/>
        <v>12735.661290322663</v>
      </c>
      <c r="H3152" s="391" t="s">
        <v>9568</v>
      </c>
    </row>
    <row r="3153" spans="1:13" x14ac:dyDescent="0.3">
      <c r="A3153" s="45">
        <v>44543</v>
      </c>
      <c r="B3153" s="580"/>
      <c r="C3153" s="554" t="s">
        <v>7440</v>
      </c>
      <c r="D3153" s="554"/>
      <c r="E3153" s="554"/>
      <c r="F3153" s="43">
        <v>100000</v>
      </c>
      <c r="G3153" s="364">
        <f t="shared" si="51"/>
        <v>112735.66129032266</v>
      </c>
      <c r="H3153" s="391" t="s">
        <v>9568</v>
      </c>
      <c r="M3153" s="93"/>
    </row>
    <row r="3154" spans="1:13" x14ac:dyDescent="0.3">
      <c r="A3154" s="45">
        <v>44543</v>
      </c>
      <c r="B3154" s="399"/>
      <c r="C3154" s="5" t="s">
        <v>3554</v>
      </c>
      <c r="D3154" s="5" t="s">
        <v>8651</v>
      </c>
      <c r="E3154" s="43">
        <v>20000</v>
      </c>
      <c r="F3154" s="43"/>
      <c r="G3154" s="364">
        <f t="shared" si="51"/>
        <v>92735.661290322663</v>
      </c>
      <c r="H3154" s="391" t="s">
        <v>9568</v>
      </c>
    </row>
    <row r="3155" spans="1:13" x14ac:dyDescent="0.3">
      <c r="A3155" s="45">
        <v>44543</v>
      </c>
      <c r="B3155" s="399"/>
      <c r="C3155" s="5" t="s">
        <v>3554</v>
      </c>
      <c r="D3155" s="5" t="s">
        <v>8652</v>
      </c>
      <c r="E3155" s="43">
        <v>20000</v>
      </c>
      <c r="F3155" s="43"/>
      <c r="G3155" s="364">
        <f t="shared" si="51"/>
        <v>72735.661290322663</v>
      </c>
      <c r="H3155" s="391" t="s">
        <v>9568</v>
      </c>
    </row>
    <row r="3156" spans="1:13" x14ac:dyDescent="0.3">
      <c r="A3156" s="45">
        <v>44544</v>
      </c>
      <c r="B3156" s="399"/>
      <c r="C3156" s="5" t="s">
        <v>57</v>
      </c>
      <c r="D3156" s="5" t="s">
        <v>294</v>
      </c>
      <c r="E3156" s="43">
        <v>2000</v>
      </c>
      <c r="F3156" s="43"/>
      <c r="G3156" s="364">
        <f t="shared" si="51"/>
        <v>70735.661290322663</v>
      </c>
      <c r="H3156" s="391" t="s">
        <v>9568</v>
      </c>
    </row>
    <row r="3157" spans="1:13" x14ac:dyDescent="0.3">
      <c r="A3157" s="45">
        <v>44544</v>
      </c>
      <c r="B3157" s="399"/>
      <c r="C3157" s="5" t="s">
        <v>5709</v>
      </c>
      <c r="D3157" s="5" t="s">
        <v>8658</v>
      </c>
      <c r="E3157" s="43">
        <v>6545</v>
      </c>
      <c r="F3157" s="43"/>
      <c r="G3157" s="364">
        <f t="shared" si="51"/>
        <v>64190.661290322663</v>
      </c>
      <c r="H3157" s="391" t="s">
        <v>9568</v>
      </c>
    </row>
    <row r="3158" spans="1:13" x14ac:dyDescent="0.3">
      <c r="A3158" s="45">
        <v>44544</v>
      </c>
      <c r="B3158" s="399"/>
      <c r="C3158" s="5" t="s">
        <v>5709</v>
      </c>
      <c r="D3158" s="5" t="s">
        <v>8659</v>
      </c>
      <c r="E3158" s="43">
        <v>1500</v>
      </c>
      <c r="F3158" s="43"/>
      <c r="G3158" s="364">
        <f t="shared" si="51"/>
        <v>62690.661290322663</v>
      </c>
      <c r="H3158" s="391" t="s">
        <v>9568</v>
      </c>
    </row>
    <row r="3159" spans="1:13" x14ac:dyDescent="0.3">
      <c r="A3159" s="45">
        <v>44546</v>
      </c>
      <c r="B3159" s="399"/>
      <c r="C3159" s="5" t="s">
        <v>57</v>
      </c>
      <c r="D3159" s="5" t="s">
        <v>294</v>
      </c>
      <c r="E3159" s="43">
        <v>4000</v>
      </c>
      <c r="F3159" s="43"/>
      <c r="G3159" s="364">
        <f t="shared" si="51"/>
        <v>58690.661290322663</v>
      </c>
      <c r="H3159" s="391" t="s">
        <v>9568</v>
      </c>
    </row>
    <row r="3160" spans="1:13" x14ac:dyDescent="0.3">
      <c r="A3160" s="45">
        <v>44546</v>
      </c>
      <c r="B3160" s="399"/>
      <c r="C3160" s="5" t="s">
        <v>107</v>
      </c>
      <c r="D3160" s="5" t="s">
        <v>294</v>
      </c>
      <c r="E3160" s="43">
        <v>1000</v>
      </c>
      <c r="F3160" s="43"/>
      <c r="G3160" s="364">
        <f t="shared" si="51"/>
        <v>57690.661290322663</v>
      </c>
      <c r="H3160" s="391" t="s">
        <v>9568</v>
      </c>
    </row>
    <row r="3161" spans="1:13" x14ac:dyDescent="0.3">
      <c r="A3161" s="45">
        <v>44546</v>
      </c>
      <c r="B3161" s="399"/>
      <c r="C3161" s="5" t="s">
        <v>25</v>
      </c>
      <c r="D3161" s="5" t="s">
        <v>8152</v>
      </c>
      <c r="E3161" s="43">
        <v>2300</v>
      </c>
      <c r="F3161" s="43"/>
      <c r="G3161" s="364">
        <f t="shared" si="51"/>
        <v>55390.661290322663</v>
      </c>
      <c r="H3161" s="391" t="s">
        <v>9568</v>
      </c>
    </row>
    <row r="3162" spans="1:13" x14ac:dyDescent="0.3">
      <c r="A3162" s="45">
        <v>44546</v>
      </c>
      <c r="B3162" s="399"/>
      <c r="C3162" s="5" t="s">
        <v>1074</v>
      </c>
      <c r="D3162" s="5" t="s">
        <v>8662</v>
      </c>
      <c r="E3162" s="43">
        <f>4630+1320</f>
        <v>5950</v>
      </c>
      <c r="F3162" s="43"/>
      <c r="G3162" s="364">
        <f t="shared" si="51"/>
        <v>49440.661290322663</v>
      </c>
      <c r="H3162" s="391" t="s">
        <v>9568</v>
      </c>
    </row>
    <row r="3163" spans="1:13" x14ac:dyDescent="0.3">
      <c r="A3163" s="45">
        <v>44546</v>
      </c>
      <c r="B3163" s="399"/>
      <c r="C3163" s="5" t="s">
        <v>1074</v>
      </c>
      <c r="D3163" s="5" t="s">
        <v>8663</v>
      </c>
      <c r="E3163" s="43">
        <f>1460+1130</f>
        <v>2590</v>
      </c>
      <c r="F3163" s="43"/>
      <c r="G3163" s="364">
        <f t="shared" si="51"/>
        <v>46850.661290322663</v>
      </c>
      <c r="H3163" s="391" t="s">
        <v>9568</v>
      </c>
    </row>
    <row r="3164" spans="1:13" x14ac:dyDescent="0.3">
      <c r="A3164" s="45">
        <v>44547</v>
      </c>
      <c r="B3164" s="399"/>
      <c r="C3164" s="5" t="s">
        <v>14</v>
      </c>
      <c r="D3164" s="5" t="s">
        <v>294</v>
      </c>
      <c r="E3164" s="43">
        <v>3000</v>
      </c>
      <c r="F3164" s="43"/>
      <c r="G3164" s="364">
        <f t="shared" si="51"/>
        <v>43850.661290322663</v>
      </c>
      <c r="H3164" s="391" t="s">
        <v>9568</v>
      </c>
    </row>
    <row r="3165" spans="1:13" x14ac:dyDescent="0.3">
      <c r="A3165" s="45">
        <v>44548</v>
      </c>
      <c r="B3165" s="399"/>
      <c r="C3165" s="5" t="s">
        <v>57</v>
      </c>
      <c r="D3165" s="5" t="s">
        <v>294</v>
      </c>
      <c r="E3165" s="43">
        <v>5000</v>
      </c>
      <c r="F3165" s="43"/>
      <c r="G3165" s="364">
        <f t="shared" si="51"/>
        <v>38850.661290322663</v>
      </c>
      <c r="H3165" s="391" t="s">
        <v>9568</v>
      </c>
    </row>
    <row r="3166" spans="1:13" x14ac:dyDescent="0.3">
      <c r="A3166" s="45">
        <v>44548</v>
      </c>
      <c r="B3166" s="399"/>
      <c r="C3166" s="5" t="s">
        <v>84</v>
      </c>
      <c r="D3166" s="5" t="s">
        <v>8664</v>
      </c>
      <c r="E3166" s="43">
        <v>8000</v>
      </c>
      <c r="F3166" s="43"/>
      <c r="G3166" s="364">
        <f t="shared" si="51"/>
        <v>30850.661290322663</v>
      </c>
      <c r="H3166" s="391" t="s">
        <v>9568</v>
      </c>
    </row>
    <row r="3167" spans="1:13" x14ac:dyDescent="0.3">
      <c r="A3167" s="45">
        <v>44548</v>
      </c>
      <c r="B3167" s="399"/>
      <c r="C3167" s="5" t="s">
        <v>84</v>
      </c>
      <c r="D3167" s="5" t="s">
        <v>8665</v>
      </c>
      <c r="E3167" s="43">
        <v>8000</v>
      </c>
      <c r="F3167" s="43"/>
      <c r="G3167" s="364">
        <f t="shared" si="51"/>
        <v>22850.661290322663</v>
      </c>
      <c r="H3167" s="391" t="s">
        <v>9568</v>
      </c>
    </row>
    <row r="3168" spans="1:13" x14ac:dyDescent="0.3">
      <c r="A3168" s="45">
        <v>44550</v>
      </c>
      <c r="B3168" s="399"/>
      <c r="C3168" s="5" t="s">
        <v>68</v>
      </c>
      <c r="D3168" s="5" t="s">
        <v>294</v>
      </c>
      <c r="E3168" s="43">
        <v>1000</v>
      </c>
      <c r="F3168" s="43"/>
      <c r="G3168" s="364">
        <f t="shared" si="51"/>
        <v>21850.661290322663</v>
      </c>
      <c r="H3168" s="391" t="s">
        <v>9568</v>
      </c>
    </row>
    <row r="3169" spans="1:13" x14ac:dyDescent="0.3">
      <c r="A3169" s="45">
        <v>44550</v>
      </c>
      <c r="B3169" s="399"/>
      <c r="C3169" s="5" t="s">
        <v>14</v>
      </c>
      <c r="D3169" s="5" t="s">
        <v>294</v>
      </c>
      <c r="E3169" s="43">
        <v>15000</v>
      </c>
      <c r="F3169" s="43"/>
      <c r="G3169" s="364">
        <f t="shared" si="51"/>
        <v>6850.6612903226633</v>
      </c>
      <c r="H3169" s="391" t="s">
        <v>9568</v>
      </c>
    </row>
    <row r="3170" spans="1:13" x14ac:dyDescent="0.3">
      <c r="A3170" s="45">
        <v>44550</v>
      </c>
      <c r="B3170" s="399"/>
      <c r="C3170" s="5" t="s">
        <v>5709</v>
      </c>
      <c r="D3170" s="5" t="s">
        <v>294</v>
      </c>
      <c r="E3170" s="43">
        <v>500</v>
      </c>
      <c r="F3170" s="43"/>
      <c r="G3170" s="364">
        <f t="shared" si="51"/>
        <v>6350.6612903226633</v>
      </c>
      <c r="H3170" s="391" t="s">
        <v>9568</v>
      </c>
    </row>
    <row r="3171" spans="1:13" x14ac:dyDescent="0.3">
      <c r="A3171" s="45">
        <v>44550</v>
      </c>
      <c r="B3171" s="580"/>
      <c r="C3171" s="554" t="s">
        <v>8290</v>
      </c>
      <c r="D3171" s="554"/>
      <c r="E3171" s="554"/>
      <c r="F3171" s="43">
        <v>40000</v>
      </c>
      <c r="G3171" s="364">
        <f t="shared" si="51"/>
        <v>46350.661290322663</v>
      </c>
      <c r="H3171" s="391" t="s">
        <v>9568</v>
      </c>
      <c r="M3171" s="93"/>
    </row>
    <row r="3172" spans="1:13" x14ac:dyDescent="0.3">
      <c r="A3172" s="45">
        <v>44550</v>
      </c>
      <c r="B3172" s="399"/>
      <c r="C3172" s="5" t="s">
        <v>84</v>
      </c>
      <c r="D3172" s="5" t="s">
        <v>8666</v>
      </c>
      <c r="E3172" s="43">
        <v>30000</v>
      </c>
      <c r="F3172" s="43"/>
      <c r="G3172" s="364">
        <f t="shared" si="51"/>
        <v>16350.661290322663</v>
      </c>
      <c r="H3172" s="391" t="s">
        <v>9568</v>
      </c>
    </row>
    <row r="3173" spans="1:13" x14ac:dyDescent="0.3">
      <c r="A3173" s="45">
        <v>44550</v>
      </c>
      <c r="B3173" s="399"/>
      <c r="C3173" s="5" t="s">
        <v>84</v>
      </c>
      <c r="D3173" s="5" t="s">
        <v>8667</v>
      </c>
      <c r="E3173" s="43">
        <v>10000</v>
      </c>
      <c r="F3173" s="43"/>
      <c r="G3173" s="364">
        <f t="shared" si="51"/>
        <v>6350.6612903226633</v>
      </c>
      <c r="H3173" s="391" t="s">
        <v>9568</v>
      </c>
    </row>
    <row r="3174" spans="1:13" x14ac:dyDescent="0.3">
      <c r="A3174" s="45">
        <v>44550</v>
      </c>
      <c r="B3174" s="399"/>
      <c r="C3174" s="5" t="s">
        <v>5162</v>
      </c>
      <c r="D3174" s="5" t="s">
        <v>6552</v>
      </c>
      <c r="E3174" s="43">
        <v>600</v>
      </c>
      <c r="F3174" s="43"/>
      <c r="G3174" s="364">
        <f t="shared" si="51"/>
        <v>5750.6612903226633</v>
      </c>
      <c r="H3174" s="391" t="s">
        <v>9568</v>
      </c>
    </row>
    <row r="3175" spans="1:13" x14ac:dyDescent="0.3">
      <c r="A3175" s="45">
        <v>44550</v>
      </c>
      <c r="B3175" s="399"/>
      <c r="C3175" s="5" t="s">
        <v>5156</v>
      </c>
      <c r="D3175" s="5" t="s">
        <v>3563</v>
      </c>
      <c r="E3175" s="43">
        <v>1500</v>
      </c>
      <c r="F3175" s="43"/>
      <c r="G3175" s="364">
        <f t="shared" si="51"/>
        <v>4250.6612903226633</v>
      </c>
      <c r="H3175" s="391" t="s">
        <v>9568</v>
      </c>
    </row>
    <row r="3176" spans="1:13" x14ac:dyDescent="0.3">
      <c r="A3176" s="45">
        <v>44551</v>
      </c>
      <c r="B3176" s="399"/>
      <c r="C3176" s="5" t="s">
        <v>25</v>
      </c>
      <c r="D3176" s="5" t="s">
        <v>8152</v>
      </c>
      <c r="E3176" s="43">
        <v>2250</v>
      </c>
      <c r="F3176" s="43"/>
      <c r="G3176" s="364">
        <f t="shared" si="51"/>
        <v>2000.6612903226633</v>
      </c>
      <c r="H3176" s="391" t="s">
        <v>9568</v>
      </c>
    </row>
    <row r="3177" spans="1:13" x14ac:dyDescent="0.3">
      <c r="A3177" s="45">
        <v>44551</v>
      </c>
      <c r="B3177" s="580"/>
      <c r="C3177" s="554" t="s">
        <v>4106</v>
      </c>
      <c r="D3177" s="554"/>
      <c r="E3177" s="554"/>
      <c r="F3177" s="43">
        <v>100000</v>
      </c>
      <c r="G3177" s="364">
        <f t="shared" si="51"/>
        <v>102000.66129032266</v>
      </c>
      <c r="H3177" s="391" t="s">
        <v>9568</v>
      </c>
      <c r="M3177" s="93"/>
    </row>
    <row r="3178" spans="1:13" x14ac:dyDescent="0.3">
      <c r="A3178" s="45">
        <v>44551</v>
      </c>
      <c r="B3178" s="399"/>
      <c r="C3178" s="5" t="s">
        <v>6430</v>
      </c>
      <c r="D3178" s="5" t="s">
        <v>8668</v>
      </c>
      <c r="E3178" s="43">
        <v>1700</v>
      </c>
      <c r="F3178" s="43"/>
      <c r="G3178" s="364">
        <f t="shared" si="51"/>
        <v>100300.66129032266</v>
      </c>
      <c r="H3178" s="391" t="s">
        <v>9568</v>
      </c>
    </row>
    <row r="3179" spans="1:13" x14ac:dyDescent="0.3">
      <c r="A3179" s="45">
        <v>44552</v>
      </c>
      <c r="B3179" s="399"/>
      <c r="C3179" s="5" t="s">
        <v>57</v>
      </c>
      <c r="D3179" s="5" t="s">
        <v>294</v>
      </c>
      <c r="E3179" s="43">
        <v>2000</v>
      </c>
      <c r="F3179" s="43"/>
      <c r="G3179" s="364">
        <f t="shared" si="51"/>
        <v>98300.661290322663</v>
      </c>
      <c r="H3179" s="391" t="s">
        <v>9568</v>
      </c>
    </row>
    <row r="3180" spans="1:13" x14ac:dyDescent="0.3">
      <c r="A3180" s="45">
        <v>44552</v>
      </c>
      <c r="B3180" s="399"/>
      <c r="C3180" s="5" t="s">
        <v>8669</v>
      </c>
      <c r="D3180" s="5" t="s">
        <v>8670</v>
      </c>
      <c r="E3180" s="43">
        <v>30000</v>
      </c>
      <c r="F3180" s="43"/>
      <c r="G3180" s="364">
        <f t="shared" si="51"/>
        <v>68300.661290322663</v>
      </c>
      <c r="H3180" s="391" t="s">
        <v>9568</v>
      </c>
    </row>
    <row r="3181" spans="1:13" x14ac:dyDescent="0.3">
      <c r="A3181" s="45">
        <v>44552</v>
      </c>
      <c r="B3181" s="429"/>
      <c r="C3181" s="139" t="s">
        <v>8594</v>
      </c>
      <c r="D3181" s="139" t="s">
        <v>8550</v>
      </c>
      <c r="E3181" s="140">
        <v>40000</v>
      </c>
      <c r="F3181" s="43"/>
      <c r="G3181" s="364">
        <f t="shared" si="51"/>
        <v>28300.661290322663</v>
      </c>
      <c r="H3181" s="391" t="s">
        <v>9568</v>
      </c>
    </row>
    <row r="3182" spans="1:13" x14ac:dyDescent="0.3">
      <c r="A3182" s="45">
        <v>44552</v>
      </c>
      <c r="B3182" s="399"/>
      <c r="C3182" s="5" t="s">
        <v>84</v>
      </c>
      <c r="D3182" s="5" t="s">
        <v>8672</v>
      </c>
      <c r="E3182" s="43">
        <v>2000</v>
      </c>
      <c r="F3182" s="43"/>
      <c r="G3182" s="364">
        <f t="shared" si="51"/>
        <v>26300.661290322663</v>
      </c>
      <c r="H3182" s="391" t="s">
        <v>9568</v>
      </c>
    </row>
    <row r="3183" spans="1:13" x14ac:dyDescent="0.3">
      <c r="A3183" s="45">
        <v>44552</v>
      </c>
      <c r="B3183" s="399"/>
      <c r="C3183" s="5" t="s">
        <v>3563</v>
      </c>
      <c r="D3183" s="5" t="s">
        <v>8671</v>
      </c>
      <c r="E3183" s="43">
        <v>900</v>
      </c>
      <c r="F3183" s="43"/>
      <c r="G3183" s="364">
        <f t="shared" si="51"/>
        <v>25400.661290322663</v>
      </c>
      <c r="H3183" s="391" t="s">
        <v>9568</v>
      </c>
    </row>
    <row r="3184" spans="1:13" x14ac:dyDescent="0.3">
      <c r="A3184" s="45">
        <v>44552</v>
      </c>
      <c r="B3184" s="399"/>
      <c r="C3184" s="5" t="s">
        <v>18</v>
      </c>
      <c r="D3184" s="5" t="s">
        <v>640</v>
      </c>
      <c r="E3184" s="43">
        <v>800</v>
      </c>
      <c r="F3184" s="43"/>
      <c r="G3184" s="364">
        <f t="shared" si="51"/>
        <v>24600.661290322663</v>
      </c>
      <c r="H3184" s="391" t="s">
        <v>9568</v>
      </c>
    </row>
    <row r="3185" spans="1:13" x14ac:dyDescent="0.3">
      <c r="A3185" s="45">
        <v>44552</v>
      </c>
      <c r="B3185" s="399"/>
      <c r="C3185" s="5" t="s">
        <v>84</v>
      </c>
      <c r="D3185" s="5" t="s">
        <v>8665</v>
      </c>
      <c r="E3185" s="43">
        <v>3000</v>
      </c>
      <c r="F3185" s="43"/>
      <c r="G3185" s="364">
        <f t="shared" ref="G3185" si="52">G3184+F3185-E3185</f>
        <v>21600.661290322663</v>
      </c>
      <c r="H3185" s="391" t="s">
        <v>9568</v>
      </c>
    </row>
    <row r="3186" spans="1:13" x14ac:dyDescent="0.3">
      <c r="A3186" s="45">
        <v>44552</v>
      </c>
      <c r="B3186" s="399"/>
      <c r="C3186" s="5" t="s">
        <v>5162</v>
      </c>
      <c r="D3186" s="5" t="s">
        <v>8673</v>
      </c>
      <c r="E3186" s="43">
        <v>2000</v>
      </c>
      <c r="F3186" s="43"/>
      <c r="G3186" s="364">
        <f t="shared" si="51"/>
        <v>19600.661290322663</v>
      </c>
      <c r="H3186" s="391" t="s">
        <v>9568</v>
      </c>
    </row>
    <row r="3187" spans="1:13" x14ac:dyDescent="0.3">
      <c r="A3187" s="45">
        <v>44553</v>
      </c>
      <c r="B3187" s="399"/>
      <c r="C3187" s="5" t="s">
        <v>4550</v>
      </c>
      <c r="D3187" s="5" t="s">
        <v>294</v>
      </c>
      <c r="E3187" s="43">
        <v>5000</v>
      </c>
      <c r="F3187" s="43"/>
      <c r="G3187" s="364">
        <f t="shared" si="51"/>
        <v>14600.661290322663</v>
      </c>
      <c r="H3187" s="391" t="s">
        <v>9568</v>
      </c>
    </row>
    <row r="3188" spans="1:13" x14ac:dyDescent="0.3">
      <c r="A3188" s="45">
        <v>44553</v>
      </c>
      <c r="B3188" s="429"/>
      <c r="C3188" s="139" t="s">
        <v>8560</v>
      </c>
      <c r="D3188" s="139" t="s">
        <v>8674</v>
      </c>
      <c r="E3188" s="140"/>
      <c r="F3188" s="140">
        <v>23000</v>
      </c>
      <c r="G3188" s="364">
        <f t="shared" si="51"/>
        <v>37600.661290322663</v>
      </c>
      <c r="H3188" s="391" t="s">
        <v>9568</v>
      </c>
    </row>
    <row r="3189" spans="1:13" x14ac:dyDescent="0.3">
      <c r="A3189" s="45">
        <v>44553</v>
      </c>
      <c r="B3189" s="399"/>
      <c r="C3189" s="5" t="s">
        <v>84</v>
      </c>
      <c r="D3189" s="5" t="s">
        <v>8691</v>
      </c>
      <c r="E3189" s="43">
        <v>15000</v>
      </c>
      <c r="F3189" s="43"/>
      <c r="G3189" s="364">
        <f t="shared" si="51"/>
        <v>22600.661290322663</v>
      </c>
      <c r="H3189" s="391" t="s">
        <v>9568</v>
      </c>
    </row>
    <row r="3190" spans="1:13" x14ac:dyDescent="0.3">
      <c r="A3190" s="45">
        <v>44553</v>
      </c>
      <c r="B3190" s="399"/>
      <c r="C3190" s="5" t="s">
        <v>25</v>
      </c>
      <c r="D3190" s="5" t="s">
        <v>8692</v>
      </c>
      <c r="E3190" s="43">
        <v>100</v>
      </c>
      <c r="F3190" s="43"/>
      <c r="G3190" s="364">
        <f t="shared" si="51"/>
        <v>22500.661290322663</v>
      </c>
      <c r="H3190" s="391" t="s">
        <v>9568</v>
      </c>
    </row>
    <row r="3191" spans="1:13" x14ac:dyDescent="0.3">
      <c r="A3191" s="45">
        <v>44553</v>
      </c>
      <c r="B3191" s="399"/>
      <c r="C3191" s="5" t="s">
        <v>25</v>
      </c>
      <c r="D3191" s="5" t="s">
        <v>8152</v>
      </c>
      <c r="E3191" s="43">
        <v>2250</v>
      </c>
      <c r="F3191" s="43"/>
      <c r="G3191" s="364">
        <f t="shared" si="51"/>
        <v>20250.661290322663</v>
      </c>
      <c r="H3191" s="391" t="s">
        <v>9568</v>
      </c>
    </row>
    <row r="3192" spans="1:13" x14ac:dyDescent="0.3">
      <c r="A3192" s="45">
        <v>44553</v>
      </c>
      <c r="B3192" s="399"/>
      <c r="C3192" s="5" t="s">
        <v>6959</v>
      </c>
      <c r="D3192" s="5" t="s">
        <v>2013</v>
      </c>
      <c r="E3192" s="43">
        <v>150</v>
      </c>
      <c r="F3192" s="43"/>
      <c r="G3192" s="364">
        <f t="shared" si="51"/>
        <v>20100.661290322663</v>
      </c>
      <c r="H3192" s="391" t="s">
        <v>9568</v>
      </c>
    </row>
    <row r="3193" spans="1:13" x14ac:dyDescent="0.3">
      <c r="A3193" s="45">
        <v>44553</v>
      </c>
      <c r="B3193" s="399"/>
      <c r="C3193" s="5" t="s">
        <v>25</v>
      </c>
      <c r="D3193" s="5" t="s">
        <v>2637</v>
      </c>
      <c r="E3193" s="43">
        <v>1000</v>
      </c>
      <c r="F3193" s="43"/>
      <c r="G3193" s="364">
        <f t="shared" si="51"/>
        <v>19100.661290322663</v>
      </c>
      <c r="H3193" s="391" t="s">
        <v>9568</v>
      </c>
    </row>
    <row r="3194" spans="1:13" x14ac:dyDescent="0.3">
      <c r="A3194" s="45">
        <v>44554</v>
      </c>
      <c r="B3194" s="399"/>
      <c r="C3194" s="5" t="s">
        <v>25</v>
      </c>
      <c r="D3194" s="5" t="s">
        <v>8693</v>
      </c>
      <c r="E3194" s="43">
        <v>3000</v>
      </c>
      <c r="F3194" s="43"/>
      <c r="G3194" s="364">
        <f t="shared" si="51"/>
        <v>16100.661290322663</v>
      </c>
      <c r="H3194" s="391" t="s">
        <v>9568</v>
      </c>
    </row>
    <row r="3195" spans="1:13" x14ac:dyDescent="0.3">
      <c r="A3195" s="45">
        <v>44554</v>
      </c>
      <c r="B3195" s="580"/>
      <c r="C3195" s="554" t="s">
        <v>4106</v>
      </c>
      <c r="D3195" s="554"/>
      <c r="E3195" s="554"/>
      <c r="F3195" s="43">
        <v>300000</v>
      </c>
      <c r="G3195" s="364">
        <f t="shared" ref="G3195" si="53">G3194+F3195-E3195</f>
        <v>316100.66129032266</v>
      </c>
      <c r="H3195" s="391" t="s">
        <v>9568</v>
      </c>
      <c r="M3195" s="93"/>
    </row>
    <row r="3196" spans="1:13" x14ac:dyDescent="0.3">
      <c r="A3196" s="45">
        <v>44554</v>
      </c>
      <c r="B3196" s="399"/>
      <c r="C3196" s="5" t="s">
        <v>541</v>
      </c>
      <c r="D3196" s="5" t="s">
        <v>543</v>
      </c>
      <c r="E3196" s="43">
        <v>120000</v>
      </c>
      <c r="F3196" s="43"/>
      <c r="G3196" s="364">
        <f t="shared" si="51"/>
        <v>196100.66129032266</v>
      </c>
      <c r="H3196" s="391" t="s">
        <v>9568</v>
      </c>
    </row>
    <row r="3197" spans="1:13" x14ac:dyDescent="0.3">
      <c r="A3197" s="45">
        <v>44557</v>
      </c>
      <c r="B3197" s="399"/>
      <c r="C3197" s="5" t="s">
        <v>6959</v>
      </c>
      <c r="D3197" s="5" t="s">
        <v>8702</v>
      </c>
      <c r="E3197" s="43">
        <v>200</v>
      </c>
      <c r="F3197" s="43"/>
      <c r="G3197" s="364">
        <f t="shared" si="51"/>
        <v>195900.66129032266</v>
      </c>
      <c r="H3197" s="391" t="s">
        <v>9568</v>
      </c>
    </row>
    <row r="3198" spans="1:13" x14ac:dyDescent="0.3">
      <c r="A3198" s="45">
        <v>44557</v>
      </c>
      <c r="B3198" s="399"/>
      <c r="C3198" s="5" t="s">
        <v>57</v>
      </c>
      <c r="D3198" s="5" t="s">
        <v>40</v>
      </c>
      <c r="E3198" s="43">
        <v>500</v>
      </c>
      <c r="F3198" s="43"/>
      <c r="G3198" s="364">
        <f t="shared" si="51"/>
        <v>195400.66129032266</v>
      </c>
      <c r="H3198" s="391" t="s">
        <v>9568</v>
      </c>
    </row>
    <row r="3199" spans="1:13" x14ac:dyDescent="0.3">
      <c r="A3199" s="45">
        <v>44557</v>
      </c>
      <c r="B3199" s="399"/>
      <c r="C3199" s="5" t="s">
        <v>14</v>
      </c>
      <c r="D3199" s="5" t="s">
        <v>8704</v>
      </c>
      <c r="E3199" s="43">
        <v>4765</v>
      </c>
      <c r="F3199" s="43"/>
      <c r="G3199" s="364">
        <f t="shared" si="51"/>
        <v>190635.66129032266</v>
      </c>
      <c r="H3199" s="391" t="s">
        <v>9568</v>
      </c>
    </row>
    <row r="3200" spans="1:13" x14ac:dyDescent="0.3">
      <c r="A3200" s="45">
        <v>44557</v>
      </c>
      <c r="B3200" s="399"/>
      <c r="C3200" s="5" t="s">
        <v>84</v>
      </c>
      <c r="D3200" s="5" t="s">
        <v>8705</v>
      </c>
      <c r="E3200" s="43">
        <v>4000</v>
      </c>
      <c r="F3200" s="43"/>
      <c r="G3200" s="364">
        <f t="shared" ref="G3200" si="54">G3199+F3200-E3200</f>
        <v>186635.66129032266</v>
      </c>
      <c r="H3200" s="391" t="s">
        <v>9568</v>
      </c>
      <c r="I3200" s="52">
        <f>25850+7200+9900</f>
        <v>42950</v>
      </c>
    </row>
    <row r="3201" spans="1:9" x14ac:dyDescent="0.3">
      <c r="A3201" s="45">
        <v>44558</v>
      </c>
      <c r="B3201" s="399"/>
      <c r="C3201" s="5" t="s">
        <v>14</v>
      </c>
      <c r="D3201" s="5" t="s">
        <v>294</v>
      </c>
      <c r="E3201" s="43">
        <v>1000</v>
      </c>
      <c r="F3201" s="43"/>
      <c r="G3201" s="364">
        <f t="shared" si="51"/>
        <v>185635.66129032266</v>
      </c>
      <c r="H3201" s="391" t="s">
        <v>9568</v>
      </c>
    </row>
    <row r="3202" spans="1:9" x14ac:dyDescent="0.3">
      <c r="A3202" s="45">
        <v>44558</v>
      </c>
      <c r="B3202" s="399"/>
      <c r="C3202" s="5" t="s">
        <v>57</v>
      </c>
      <c r="D3202" s="5" t="s">
        <v>294</v>
      </c>
      <c r="E3202" s="43">
        <v>1000</v>
      </c>
      <c r="F3202" s="43"/>
      <c r="G3202" s="364">
        <f t="shared" si="51"/>
        <v>184635.66129032266</v>
      </c>
      <c r="H3202" s="391" t="s">
        <v>9568</v>
      </c>
    </row>
    <row r="3203" spans="1:9" x14ac:dyDescent="0.3">
      <c r="A3203" s="45">
        <v>44558</v>
      </c>
      <c r="B3203" s="399"/>
      <c r="C3203" s="5" t="s">
        <v>68</v>
      </c>
      <c r="D3203" s="5" t="s">
        <v>294</v>
      </c>
      <c r="E3203" s="43">
        <v>53300</v>
      </c>
      <c r="F3203" s="43"/>
      <c r="G3203" s="364">
        <f t="shared" si="51"/>
        <v>131335.66129032266</v>
      </c>
      <c r="H3203" s="391" t="s">
        <v>9568</v>
      </c>
    </row>
    <row r="3204" spans="1:9" x14ac:dyDescent="0.3">
      <c r="A3204" s="45">
        <v>44558</v>
      </c>
      <c r="B3204" s="399"/>
      <c r="C3204" s="5" t="s">
        <v>25</v>
      </c>
      <c r="D3204" s="5" t="s">
        <v>8152</v>
      </c>
      <c r="E3204" s="43">
        <v>3250</v>
      </c>
      <c r="F3204" s="43"/>
      <c r="G3204" s="364">
        <f t="shared" si="51"/>
        <v>128085.66129032266</v>
      </c>
      <c r="H3204" s="391" t="s">
        <v>9568</v>
      </c>
      <c r="I3204" s="52">
        <v>3000</v>
      </c>
    </row>
    <row r="3205" spans="1:9" x14ac:dyDescent="0.3">
      <c r="A3205" s="45">
        <v>44559</v>
      </c>
      <c r="B3205" s="399"/>
      <c r="C3205" s="5" t="s">
        <v>68</v>
      </c>
      <c r="D3205" s="5" t="s">
        <v>8707</v>
      </c>
      <c r="E3205" s="43">
        <v>10000</v>
      </c>
      <c r="F3205" s="43"/>
      <c r="G3205" s="364">
        <f t="shared" si="51"/>
        <v>118085.66129032266</v>
      </c>
      <c r="H3205" s="391" t="s">
        <v>9568</v>
      </c>
    </row>
    <row r="3206" spans="1:9" x14ac:dyDescent="0.3">
      <c r="A3206" s="45">
        <v>44559</v>
      </c>
      <c r="B3206" s="399"/>
      <c r="C3206" s="5" t="s">
        <v>8708</v>
      </c>
      <c r="D3206" s="5" t="s">
        <v>8709</v>
      </c>
      <c r="E3206" s="43">
        <v>1000</v>
      </c>
      <c r="F3206" s="43"/>
      <c r="G3206" s="364">
        <f t="shared" si="51"/>
        <v>117085.66129032266</v>
      </c>
      <c r="H3206" s="391" t="s">
        <v>9568</v>
      </c>
    </row>
    <row r="3207" spans="1:9" x14ac:dyDescent="0.3">
      <c r="A3207" s="45">
        <v>44559</v>
      </c>
      <c r="B3207" s="399"/>
      <c r="C3207" s="5" t="s">
        <v>18</v>
      </c>
      <c r="D3207" s="5" t="s">
        <v>8711</v>
      </c>
      <c r="E3207" s="43">
        <v>3000</v>
      </c>
      <c r="F3207" s="43"/>
      <c r="G3207" s="364">
        <f t="shared" si="51"/>
        <v>114085.66129032266</v>
      </c>
      <c r="H3207" s="391" t="s">
        <v>9568</v>
      </c>
    </row>
    <row r="3208" spans="1:9" x14ac:dyDescent="0.3">
      <c r="A3208" s="45">
        <v>44559</v>
      </c>
      <c r="B3208" s="399"/>
      <c r="C3208" s="5" t="s">
        <v>18</v>
      </c>
      <c r="D3208" s="5" t="s">
        <v>8712</v>
      </c>
      <c r="E3208" s="43">
        <v>5000</v>
      </c>
      <c r="F3208" s="43"/>
      <c r="G3208" s="364">
        <f t="shared" si="51"/>
        <v>109085.66129032266</v>
      </c>
      <c r="H3208" s="391" t="s">
        <v>9568</v>
      </c>
    </row>
    <row r="3209" spans="1:9" x14ac:dyDescent="0.3">
      <c r="A3209" s="45">
        <v>44560</v>
      </c>
      <c r="B3209" s="399"/>
      <c r="C3209" s="5" t="s">
        <v>84</v>
      </c>
      <c r="D3209" s="5" t="s">
        <v>8713</v>
      </c>
      <c r="E3209" s="43">
        <v>5000</v>
      </c>
      <c r="F3209" s="43"/>
      <c r="G3209" s="364">
        <f t="shared" si="51"/>
        <v>104085.66129032266</v>
      </c>
      <c r="H3209" s="391" t="s">
        <v>9568</v>
      </c>
      <c r="I3209" s="52">
        <f>25850+7200+9900</f>
        <v>42950</v>
      </c>
    </row>
    <row r="3210" spans="1:9" x14ac:dyDescent="0.3">
      <c r="A3210" s="45">
        <v>44560</v>
      </c>
      <c r="B3210" s="399"/>
      <c r="C3210" s="5" t="s">
        <v>541</v>
      </c>
      <c r="D3210" s="5" t="s">
        <v>8714</v>
      </c>
      <c r="E3210" s="43">
        <v>5000</v>
      </c>
      <c r="F3210" s="43"/>
      <c r="G3210" s="364">
        <f t="shared" si="51"/>
        <v>99085.661290322663</v>
      </c>
      <c r="H3210" s="391" t="s">
        <v>9568</v>
      </c>
    </row>
    <row r="3211" spans="1:9" x14ac:dyDescent="0.3">
      <c r="A3211" s="45">
        <v>44560</v>
      </c>
      <c r="B3211" s="399"/>
      <c r="C3211" s="5" t="s">
        <v>63</v>
      </c>
      <c r="D3211" s="5" t="s">
        <v>91</v>
      </c>
      <c r="E3211" s="43">
        <v>650</v>
      </c>
      <c r="F3211" s="43"/>
      <c r="G3211" s="364">
        <f t="shared" si="51"/>
        <v>98435.661290322663</v>
      </c>
      <c r="H3211" s="391" t="s">
        <v>9568</v>
      </c>
    </row>
    <row r="3212" spans="1:9" x14ac:dyDescent="0.3">
      <c r="A3212" s="45">
        <v>44560</v>
      </c>
      <c r="B3212" s="399"/>
      <c r="C3212" s="5" t="s">
        <v>8715</v>
      </c>
      <c r="D3212" s="5" t="s">
        <v>8716</v>
      </c>
      <c r="E3212" s="43">
        <v>2000</v>
      </c>
      <c r="F3212" s="43"/>
      <c r="G3212" s="364">
        <f t="shared" si="51"/>
        <v>96435.661290322663</v>
      </c>
      <c r="H3212" s="391" t="s">
        <v>9568</v>
      </c>
    </row>
    <row r="3213" spans="1:9" x14ac:dyDescent="0.3">
      <c r="A3213" s="45">
        <v>44560</v>
      </c>
      <c r="B3213" s="399"/>
      <c r="C3213" s="5" t="s">
        <v>4550</v>
      </c>
      <c r="D3213" s="5" t="s">
        <v>7250</v>
      </c>
      <c r="E3213" s="43">
        <v>10000</v>
      </c>
      <c r="F3213" s="43"/>
      <c r="G3213" s="364">
        <f t="shared" si="51"/>
        <v>86435.661290322663</v>
      </c>
      <c r="H3213" s="391" t="s">
        <v>9568</v>
      </c>
    </row>
    <row r="3214" spans="1:9" x14ac:dyDescent="0.3">
      <c r="A3214" s="45">
        <v>44561</v>
      </c>
      <c r="B3214" s="399"/>
      <c r="C3214" s="5" t="s">
        <v>84</v>
      </c>
      <c r="D3214" s="5" t="s">
        <v>8717</v>
      </c>
      <c r="E3214" s="43">
        <v>3500</v>
      </c>
      <c r="F3214" s="43"/>
      <c r="G3214" s="364">
        <f t="shared" si="51"/>
        <v>82935.661290322663</v>
      </c>
      <c r="H3214" s="391" t="s">
        <v>9568</v>
      </c>
    </row>
    <row r="3215" spans="1:9" x14ac:dyDescent="0.3">
      <c r="A3215" s="45">
        <v>44561</v>
      </c>
      <c r="B3215" s="399"/>
      <c r="C3215" s="5" t="s">
        <v>14</v>
      </c>
      <c r="D3215" s="5" t="s">
        <v>8718</v>
      </c>
      <c r="E3215" s="43">
        <v>1500</v>
      </c>
      <c r="F3215" s="43"/>
      <c r="G3215" s="364">
        <f t="shared" ref="G3215:G3279" si="55">G3214+F3215-E3215</f>
        <v>81435.661290322663</v>
      </c>
      <c r="H3215" s="391" t="s">
        <v>9568</v>
      </c>
    </row>
    <row r="3216" spans="1:9" x14ac:dyDescent="0.3">
      <c r="A3216" s="45">
        <v>44561</v>
      </c>
      <c r="B3216" s="399"/>
      <c r="C3216" s="5" t="s">
        <v>25</v>
      </c>
      <c r="D3216" s="5" t="s">
        <v>8719</v>
      </c>
      <c r="E3216" s="43">
        <f>2284+465</f>
        <v>2749</v>
      </c>
      <c r="F3216" s="43"/>
      <c r="G3216" s="364">
        <f t="shared" si="55"/>
        <v>78686.661290322663</v>
      </c>
      <c r="H3216" s="391" t="s">
        <v>9568</v>
      </c>
    </row>
    <row r="3217" spans="1:9" x14ac:dyDescent="0.3">
      <c r="A3217" s="45">
        <v>44562</v>
      </c>
      <c r="B3217" s="399"/>
      <c r="C3217" s="5" t="s">
        <v>14</v>
      </c>
      <c r="D3217" s="5" t="s">
        <v>8704</v>
      </c>
      <c r="E3217" s="43">
        <f>9534+2788+520</f>
        <v>12842</v>
      </c>
      <c r="F3217" s="43"/>
      <c r="G3217" s="364">
        <f t="shared" si="55"/>
        <v>65844.661290322663</v>
      </c>
      <c r="H3217" s="391" t="s">
        <v>9568</v>
      </c>
    </row>
    <row r="3218" spans="1:9" x14ac:dyDescent="0.3">
      <c r="A3218" s="45">
        <v>44562</v>
      </c>
      <c r="B3218" s="399"/>
      <c r="C3218" s="5" t="s">
        <v>8720</v>
      </c>
      <c r="D3218" s="5" t="s">
        <v>5508</v>
      </c>
      <c r="E3218" s="43">
        <v>15000</v>
      </c>
      <c r="F3218" s="43"/>
      <c r="G3218" s="364">
        <f t="shared" si="55"/>
        <v>50844.661290322663</v>
      </c>
      <c r="H3218" s="391" t="s">
        <v>9568</v>
      </c>
    </row>
    <row r="3219" spans="1:9" x14ac:dyDescent="0.3">
      <c r="A3219" s="45">
        <v>44562</v>
      </c>
      <c r="B3219" s="399"/>
      <c r="C3219" s="5" t="s">
        <v>84</v>
      </c>
      <c r="D3219" s="5" t="s">
        <v>8721</v>
      </c>
      <c r="E3219" s="43">
        <v>15000</v>
      </c>
      <c r="F3219" s="43"/>
      <c r="G3219" s="364">
        <f t="shared" si="55"/>
        <v>35844.661290322663</v>
      </c>
      <c r="H3219" s="391" t="s">
        <v>9568</v>
      </c>
    </row>
    <row r="3220" spans="1:9" x14ac:dyDescent="0.3">
      <c r="A3220" s="45">
        <v>44562</v>
      </c>
      <c r="B3220" s="399"/>
      <c r="C3220" s="5" t="s">
        <v>84</v>
      </c>
      <c r="D3220" s="5" t="s">
        <v>8722</v>
      </c>
      <c r="E3220" s="43">
        <v>1000</v>
      </c>
      <c r="F3220" s="43"/>
      <c r="G3220" s="364">
        <f t="shared" si="55"/>
        <v>34844.661290322663</v>
      </c>
      <c r="H3220" s="391" t="s">
        <v>9568</v>
      </c>
    </row>
    <row r="3221" spans="1:9" x14ac:dyDescent="0.3">
      <c r="A3221" s="45">
        <v>44564</v>
      </c>
      <c r="B3221" s="399"/>
      <c r="C3221" s="5" t="s">
        <v>25</v>
      </c>
      <c r="D3221" s="5" t="s">
        <v>8152</v>
      </c>
      <c r="E3221" s="43">
        <v>3500</v>
      </c>
      <c r="F3221" s="43"/>
      <c r="G3221" s="364">
        <f t="shared" si="55"/>
        <v>31344.661290322663</v>
      </c>
      <c r="H3221" s="391" t="s">
        <v>9568</v>
      </c>
    </row>
    <row r="3222" spans="1:9" x14ac:dyDescent="0.3">
      <c r="A3222" s="45">
        <v>44564</v>
      </c>
      <c r="B3222" s="399"/>
      <c r="C3222" s="5" t="s">
        <v>1616</v>
      </c>
      <c r="D3222" s="5" t="s">
        <v>7002</v>
      </c>
      <c r="E3222" s="43">
        <v>620</v>
      </c>
      <c r="F3222" s="43"/>
      <c r="G3222" s="364">
        <f t="shared" si="55"/>
        <v>30724.661290322663</v>
      </c>
      <c r="H3222" s="391" t="s">
        <v>9568</v>
      </c>
      <c r="I3222" s="52">
        <v>3000</v>
      </c>
    </row>
    <row r="3223" spans="1:9" x14ac:dyDescent="0.3">
      <c r="A3223" s="45">
        <v>44564</v>
      </c>
      <c r="B3223" s="399"/>
      <c r="C3223" s="5" t="s">
        <v>14</v>
      </c>
      <c r="D3223" s="5" t="s">
        <v>8723</v>
      </c>
      <c r="E3223" s="43">
        <v>20000</v>
      </c>
      <c r="F3223" s="43"/>
      <c r="G3223" s="364">
        <f t="shared" si="55"/>
        <v>10724.661290322663</v>
      </c>
      <c r="H3223" s="391" t="s">
        <v>9568</v>
      </c>
    </row>
    <row r="3224" spans="1:9" x14ac:dyDescent="0.3">
      <c r="A3224" s="45">
        <v>44564</v>
      </c>
      <c r="B3224" s="399"/>
      <c r="C3224" s="5" t="s">
        <v>8573</v>
      </c>
      <c r="D3224" s="5" t="s">
        <v>8724</v>
      </c>
      <c r="E3224" s="43">
        <v>3500</v>
      </c>
      <c r="F3224" s="43"/>
      <c r="G3224" s="364">
        <f t="shared" si="55"/>
        <v>7224.6612903226633</v>
      </c>
      <c r="H3224" s="391" t="s">
        <v>9568</v>
      </c>
    </row>
    <row r="3225" spans="1:9" x14ac:dyDescent="0.3">
      <c r="A3225" s="45">
        <v>44565</v>
      </c>
      <c r="B3225" s="580"/>
      <c r="C3225" s="554" t="s">
        <v>4106</v>
      </c>
      <c r="D3225" s="554"/>
      <c r="E3225" s="554"/>
      <c r="F3225" s="43">
        <v>900000</v>
      </c>
      <c r="G3225" s="364">
        <f t="shared" si="55"/>
        <v>907224.66129032266</v>
      </c>
      <c r="H3225" s="391" t="s">
        <v>9568</v>
      </c>
    </row>
    <row r="3226" spans="1:9" x14ac:dyDescent="0.3">
      <c r="A3226" s="45">
        <v>44565</v>
      </c>
      <c r="B3226" s="399"/>
      <c r="C3226" s="5" t="s">
        <v>541</v>
      </c>
      <c r="D3226" s="5" t="s">
        <v>294</v>
      </c>
      <c r="E3226" s="43">
        <v>30000</v>
      </c>
      <c r="F3226" s="43"/>
      <c r="G3226" s="364">
        <f t="shared" si="55"/>
        <v>877224.66129032266</v>
      </c>
      <c r="H3226" s="391" t="s">
        <v>9568</v>
      </c>
    </row>
    <row r="3227" spans="1:9" x14ac:dyDescent="0.3">
      <c r="A3227" s="45">
        <v>44565</v>
      </c>
      <c r="B3227" s="399"/>
      <c r="C3227" s="5" t="s">
        <v>25</v>
      </c>
      <c r="D3227" s="5" t="s">
        <v>8221</v>
      </c>
      <c r="E3227" s="43">
        <v>1000</v>
      </c>
      <c r="F3227" s="43"/>
      <c r="G3227" s="364">
        <f t="shared" si="55"/>
        <v>876224.66129032266</v>
      </c>
      <c r="H3227" s="391" t="s">
        <v>9568</v>
      </c>
    </row>
    <row r="3228" spans="1:9" x14ac:dyDescent="0.3">
      <c r="A3228" s="45">
        <v>44566</v>
      </c>
      <c r="B3228" s="399"/>
      <c r="C3228" s="5" t="s">
        <v>64</v>
      </c>
      <c r="D3228" s="5" t="s">
        <v>40</v>
      </c>
      <c r="E3228" s="43">
        <v>700</v>
      </c>
      <c r="F3228" s="43"/>
      <c r="G3228" s="364">
        <f t="shared" si="55"/>
        <v>875524.66129032266</v>
      </c>
      <c r="H3228" s="391" t="s">
        <v>9568</v>
      </c>
    </row>
    <row r="3229" spans="1:9" x14ac:dyDescent="0.3">
      <c r="A3229" s="45">
        <v>44567</v>
      </c>
      <c r="B3229" s="399"/>
      <c r="C3229" s="5" t="s">
        <v>14</v>
      </c>
      <c r="D3229" s="5" t="s">
        <v>294</v>
      </c>
      <c r="E3229" s="43">
        <v>5000</v>
      </c>
      <c r="F3229" s="43"/>
      <c r="G3229" s="364">
        <f t="shared" si="55"/>
        <v>870524.66129032266</v>
      </c>
      <c r="H3229" s="391" t="s">
        <v>9568</v>
      </c>
    </row>
    <row r="3230" spans="1:9" x14ac:dyDescent="0.3">
      <c r="A3230" s="45">
        <v>44567</v>
      </c>
      <c r="B3230" s="399"/>
      <c r="C3230" s="5" t="s">
        <v>107</v>
      </c>
      <c r="D3230" s="5" t="s">
        <v>8730</v>
      </c>
      <c r="E3230" s="43">
        <v>10000</v>
      </c>
      <c r="F3230" s="43"/>
      <c r="G3230" s="364">
        <f t="shared" si="55"/>
        <v>860524.66129032266</v>
      </c>
      <c r="H3230" s="391" t="s">
        <v>9568</v>
      </c>
    </row>
    <row r="3231" spans="1:9" x14ac:dyDescent="0.3">
      <c r="A3231" s="45">
        <v>44567</v>
      </c>
      <c r="B3231" s="408"/>
      <c r="C3231" s="218" t="s">
        <v>54</v>
      </c>
      <c r="D3231" s="218" t="s">
        <v>8645</v>
      </c>
      <c r="E3231" s="43">
        <v>188935</v>
      </c>
      <c r="F3231" s="43"/>
      <c r="G3231" s="364">
        <f t="shared" si="55"/>
        <v>671589.66129032266</v>
      </c>
      <c r="H3231" s="391" t="s">
        <v>9568</v>
      </c>
    </row>
    <row r="3232" spans="1:9" x14ac:dyDescent="0.3">
      <c r="A3232" s="45">
        <v>44567</v>
      </c>
      <c r="B3232" s="408"/>
      <c r="C3232" s="218" t="s">
        <v>54</v>
      </c>
      <c r="D3232" s="218" t="s">
        <v>8646</v>
      </c>
      <c r="E3232" s="43">
        <v>92740</v>
      </c>
      <c r="F3232" s="43"/>
      <c r="G3232" s="364">
        <f t="shared" si="55"/>
        <v>578849.66129032266</v>
      </c>
      <c r="H3232" s="391" t="s">
        <v>9568</v>
      </c>
    </row>
    <row r="3233" spans="1:13" x14ac:dyDescent="0.3">
      <c r="A3233" s="45">
        <v>44567</v>
      </c>
      <c r="B3233" s="408"/>
      <c r="C3233" s="218" t="s">
        <v>54</v>
      </c>
      <c r="D3233" s="218" t="s">
        <v>8636</v>
      </c>
      <c r="E3233" s="43">
        <v>81165</v>
      </c>
      <c r="F3233" s="43"/>
      <c r="G3233" s="364">
        <f t="shared" si="55"/>
        <v>497684.66129032266</v>
      </c>
      <c r="H3233" s="391" t="s">
        <v>9568</v>
      </c>
    </row>
    <row r="3234" spans="1:13" x14ac:dyDescent="0.3">
      <c r="A3234" s="45">
        <v>44567</v>
      </c>
      <c r="B3234" s="408"/>
      <c r="C3234" s="218" t="s">
        <v>54</v>
      </c>
      <c r="D3234" s="218" t="s">
        <v>8637</v>
      </c>
      <c r="E3234" s="43">
        <v>87081</v>
      </c>
      <c r="F3234" s="43"/>
      <c r="G3234" s="364">
        <f t="shared" si="55"/>
        <v>410603.66129032266</v>
      </c>
      <c r="H3234" s="391" t="s">
        <v>9568</v>
      </c>
    </row>
    <row r="3235" spans="1:13" x14ac:dyDescent="0.3">
      <c r="A3235" s="45">
        <v>44567</v>
      </c>
      <c r="B3235" s="408"/>
      <c r="C3235" s="218" t="s">
        <v>54</v>
      </c>
      <c r="D3235" s="218" t="s">
        <v>6842</v>
      </c>
      <c r="E3235" s="43">
        <v>92000</v>
      </c>
      <c r="F3235" s="43"/>
      <c r="G3235" s="364">
        <f t="shared" si="55"/>
        <v>318603.66129032266</v>
      </c>
      <c r="H3235" s="391" t="s">
        <v>9568</v>
      </c>
    </row>
    <row r="3236" spans="1:13" x14ac:dyDescent="0.3">
      <c r="A3236" s="45">
        <v>44567</v>
      </c>
      <c r="B3236" s="408"/>
      <c r="C3236" s="218" t="s">
        <v>54</v>
      </c>
      <c r="D3236" s="218" t="s">
        <v>8130</v>
      </c>
      <c r="E3236" s="43">
        <v>64640</v>
      </c>
      <c r="F3236" s="43"/>
      <c r="G3236" s="364">
        <f t="shared" si="55"/>
        <v>253963.66129032266</v>
      </c>
      <c r="H3236" s="391" t="s">
        <v>9568</v>
      </c>
    </row>
    <row r="3237" spans="1:13" x14ac:dyDescent="0.3">
      <c r="A3237" s="45">
        <v>44567</v>
      </c>
      <c r="B3237" s="408"/>
      <c r="C3237" s="218" t="s">
        <v>54</v>
      </c>
      <c r="D3237" s="218" t="s">
        <v>8634</v>
      </c>
      <c r="E3237" s="43">
        <v>31101</v>
      </c>
      <c r="F3237" s="43"/>
      <c r="G3237" s="364">
        <f t="shared" si="55"/>
        <v>222862.66129032266</v>
      </c>
      <c r="H3237" s="391" t="s">
        <v>9568</v>
      </c>
    </row>
    <row r="3238" spans="1:13" x14ac:dyDescent="0.3">
      <c r="A3238" s="45">
        <v>44567</v>
      </c>
      <c r="B3238" s="580"/>
      <c r="C3238" s="554" t="s">
        <v>8290</v>
      </c>
      <c r="D3238" s="554"/>
      <c r="E3238" s="554"/>
      <c r="F3238" s="43">
        <v>100000</v>
      </c>
      <c r="G3238" s="364">
        <f t="shared" si="55"/>
        <v>322862.66129032266</v>
      </c>
      <c r="H3238" s="391" t="s">
        <v>9568</v>
      </c>
      <c r="J3238" s="52">
        <v>24000</v>
      </c>
      <c r="M3238" s="93"/>
    </row>
    <row r="3239" spans="1:13" x14ac:dyDescent="0.3">
      <c r="A3239" s="45">
        <v>44567</v>
      </c>
      <c r="B3239" s="408"/>
      <c r="C3239" s="218" t="s">
        <v>54</v>
      </c>
      <c r="D3239" s="218" t="s">
        <v>8738</v>
      </c>
      <c r="E3239" s="43">
        <v>97359</v>
      </c>
      <c r="F3239" s="43"/>
      <c r="G3239" s="364">
        <f t="shared" si="55"/>
        <v>225503.66129032266</v>
      </c>
      <c r="H3239" s="391" t="s">
        <v>9568</v>
      </c>
    </row>
    <row r="3240" spans="1:13" x14ac:dyDescent="0.3">
      <c r="A3240" s="45">
        <v>44567</v>
      </c>
      <c r="B3240" s="399"/>
      <c r="C3240" s="5" t="s">
        <v>5914</v>
      </c>
      <c r="D3240" s="5" t="s">
        <v>8735</v>
      </c>
      <c r="E3240" s="43">
        <v>2000</v>
      </c>
      <c r="F3240" s="43"/>
      <c r="G3240" s="364">
        <f t="shared" si="55"/>
        <v>223503.66129032266</v>
      </c>
      <c r="H3240" s="391" t="s">
        <v>9568</v>
      </c>
    </row>
    <row r="3241" spans="1:13" x14ac:dyDescent="0.3">
      <c r="A3241" s="45">
        <v>44567</v>
      </c>
      <c r="B3241" s="399"/>
      <c r="C3241" s="5" t="s">
        <v>84</v>
      </c>
      <c r="D3241" s="5" t="s">
        <v>8736</v>
      </c>
      <c r="E3241" s="43">
        <v>1000</v>
      </c>
      <c r="F3241" s="43"/>
      <c r="G3241" s="364">
        <f t="shared" si="55"/>
        <v>222503.66129032266</v>
      </c>
      <c r="H3241" s="391" t="s">
        <v>9568</v>
      </c>
    </row>
    <row r="3242" spans="1:13" x14ac:dyDescent="0.3">
      <c r="A3242" s="45">
        <v>44568</v>
      </c>
      <c r="B3242" s="408"/>
      <c r="C3242" s="218" t="s">
        <v>54</v>
      </c>
      <c r="D3242" s="218" t="s">
        <v>8737</v>
      </c>
      <c r="E3242" s="43">
        <v>13065</v>
      </c>
      <c r="F3242" s="43"/>
      <c r="G3242" s="364">
        <f t="shared" si="55"/>
        <v>209438.66129032266</v>
      </c>
      <c r="H3242" s="391" t="s">
        <v>9568</v>
      </c>
    </row>
    <row r="3243" spans="1:13" x14ac:dyDescent="0.3">
      <c r="A3243" s="45">
        <v>44569</v>
      </c>
      <c r="B3243" s="399"/>
      <c r="C3243" s="5" t="s">
        <v>25</v>
      </c>
      <c r="D3243" s="5" t="s">
        <v>8152</v>
      </c>
      <c r="E3243" s="43">
        <v>3480</v>
      </c>
      <c r="F3243" s="43"/>
      <c r="G3243" s="364">
        <f t="shared" si="55"/>
        <v>205958.66129032266</v>
      </c>
      <c r="H3243" s="391" t="s">
        <v>9568</v>
      </c>
    </row>
    <row r="3244" spans="1:13" x14ac:dyDescent="0.3">
      <c r="A3244" s="45">
        <v>44569</v>
      </c>
      <c r="B3244" s="399"/>
      <c r="C3244" s="5" t="s">
        <v>14</v>
      </c>
      <c r="D3244" s="5" t="s">
        <v>294</v>
      </c>
      <c r="E3244" s="43">
        <v>15000</v>
      </c>
      <c r="F3244" s="43"/>
      <c r="G3244" s="364">
        <f t="shared" si="55"/>
        <v>190958.66129032266</v>
      </c>
      <c r="H3244" s="391" t="s">
        <v>9568</v>
      </c>
    </row>
    <row r="3245" spans="1:13" x14ac:dyDescent="0.3">
      <c r="A3245" s="45">
        <v>44569</v>
      </c>
      <c r="B3245" s="399"/>
      <c r="C3245" s="5" t="s">
        <v>68</v>
      </c>
      <c r="D3245" s="5" t="s">
        <v>294</v>
      </c>
      <c r="E3245" s="43">
        <v>8000</v>
      </c>
      <c r="F3245" s="43"/>
      <c r="G3245" s="364">
        <f t="shared" si="55"/>
        <v>182958.66129032266</v>
      </c>
      <c r="H3245" s="391" t="s">
        <v>9568</v>
      </c>
    </row>
    <row r="3246" spans="1:13" x14ac:dyDescent="0.3">
      <c r="A3246" s="45">
        <v>44569</v>
      </c>
      <c r="B3246" s="399"/>
      <c r="C3246" s="5" t="s">
        <v>84</v>
      </c>
      <c r="D3246" s="5" t="s">
        <v>8740</v>
      </c>
      <c r="E3246" s="43">
        <v>1000</v>
      </c>
      <c r="F3246" s="43"/>
      <c r="G3246" s="364">
        <f t="shared" si="55"/>
        <v>181958.66129032266</v>
      </c>
      <c r="H3246" s="391" t="s">
        <v>9568</v>
      </c>
    </row>
    <row r="3247" spans="1:13" x14ac:dyDescent="0.3">
      <c r="A3247" s="45">
        <v>44569</v>
      </c>
      <c r="B3247" s="408"/>
      <c r="C3247" s="218" t="s">
        <v>54</v>
      </c>
      <c r="D3247" s="218" t="s">
        <v>8739</v>
      </c>
      <c r="E3247" s="43">
        <v>22661</v>
      </c>
      <c r="F3247" s="43"/>
      <c r="G3247" s="364">
        <f t="shared" si="55"/>
        <v>159297.66129032266</v>
      </c>
      <c r="H3247" s="391" t="s">
        <v>9568</v>
      </c>
    </row>
    <row r="3248" spans="1:13" x14ac:dyDescent="0.3">
      <c r="A3248" s="45">
        <v>44571</v>
      </c>
      <c r="B3248" s="399"/>
      <c r="C3248" s="5" t="s">
        <v>4550</v>
      </c>
      <c r="D3248" s="5" t="s">
        <v>8731</v>
      </c>
      <c r="E3248" s="43">
        <v>150000</v>
      </c>
      <c r="F3248" s="43"/>
      <c r="G3248" s="364">
        <f t="shared" si="55"/>
        <v>9297.6612903226633</v>
      </c>
      <c r="H3248" s="391" t="s">
        <v>9568</v>
      </c>
    </row>
    <row r="3249" spans="1:13" x14ac:dyDescent="0.3">
      <c r="A3249" s="45">
        <v>44571</v>
      </c>
      <c r="B3249" s="399"/>
      <c r="C3249" s="5" t="s">
        <v>14</v>
      </c>
      <c r="D3249" s="5" t="s">
        <v>294</v>
      </c>
      <c r="E3249" s="43">
        <v>5000</v>
      </c>
      <c r="F3249" s="43"/>
      <c r="G3249" s="364">
        <f t="shared" si="55"/>
        <v>4297.6612903226633</v>
      </c>
      <c r="H3249" s="391" t="s">
        <v>9568</v>
      </c>
    </row>
    <row r="3250" spans="1:13" x14ac:dyDescent="0.3">
      <c r="A3250" s="45">
        <v>44571</v>
      </c>
      <c r="B3250" s="580"/>
      <c r="C3250" s="554" t="s">
        <v>4106</v>
      </c>
      <c r="D3250" s="554"/>
      <c r="E3250" s="554"/>
      <c r="F3250" s="43">
        <v>350000</v>
      </c>
      <c r="G3250" s="364">
        <f t="shared" si="55"/>
        <v>354297.66129032266</v>
      </c>
      <c r="H3250" s="391" t="s">
        <v>9568</v>
      </c>
      <c r="J3250" s="52">
        <v>24000</v>
      </c>
      <c r="M3250" s="93"/>
    </row>
    <row r="3251" spans="1:13" x14ac:dyDescent="0.3">
      <c r="A3251" s="45">
        <v>44571</v>
      </c>
      <c r="B3251" s="408"/>
      <c r="C3251" s="218" t="s">
        <v>54</v>
      </c>
      <c r="D3251" s="218" t="s">
        <v>8742</v>
      </c>
      <c r="E3251" s="43">
        <v>23000</v>
      </c>
      <c r="F3251" s="43"/>
      <c r="G3251" s="364">
        <f t="shared" si="55"/>
        <v>331297.66129032266</v>
      </c>
      <c r="H3251" s="391" t="s">
        <v>9568</v>
      </c>
    </row>
    <row r="3252" spans="1:13" x14ac:dyDescent="0.3">
      <c r="A3252" s="45">
        <v>44571</v>
      </c>
      <c r="B3252" s="408"/>
      <c r="C3252" s="218" t="s">
        <v>54</v>
      </c>
      <c r="D3252" s="218" t="s">
        <v>8743</v>
      </c>
      <c r="E3252" s="43">
        <v>28327</v>
      </c>
      <c r="F3252" s="43"/>
      <c r="G3252" s="364">
        <f t="shared" si="55"/>
        <v>302970.66129032266</v>
      </c>
      <c r="H3252" s="391" t="s">
        <v>9568</v>
      </c>
    </row>
    <row r="3253" spans="1:13" x14ac:dyDescent="0.3">
      <c r="A3253" s="45">
        <v>44571</v>
      </c>
      <c r="B3253" s="399"/>
      <c r="C3253" s="5" t="s">
        <v>8594</v>
      </c>
      <c r="D3253" s="5" t="s">
        <v>8550</v>
      </c>
      <c r="E3253" s="43">
        <v>100000</v>
      </c>
      <c r="F3253" s="43"/>
      <c r="G3253" s="364">
        <f t="shared" si="55"/>
        <v>202970.66129032266</v>
      </c>
      <c r="H3253" s="391" t="s">
        <v>9568</v>
      </c>
    </row>
    <row r="3254" spans="1:13" x14ac:dyDescent="0.3">
      <c r="A3254" s="45">
        <v>44571</v>
      </c>
      <c r="B3254" s="408"/>
      <c r="C3254" s="218" t="s">
        <v>54</v>
      </c>
      <c r="D3254" s="218" t="s">
        <v>8744</v>
      </c>
      <c r="E3254" s="43">
        <v>87319</v>
      </c>
      <c r="F3254" s="43"/>
      <c r="G3254" s="364">
        <f t="shared" si="55"/>
        <v>115651.66129032266</v>
      </c>
      <c r="H3254" s="391" t="s">
        <v>9568</v>
      </c>
    </row>
    <row r="3255" spans="1:13" x14ac:dyDescent="0.3">
      <c r="A3255" s="45">
        <v>44572</v>
      </c>
      <c r="B3255" s="399"/>
      <c r="C3255" s="5" t="s">
        <v>84</v>
      </c>
      <c r="D3255" s="5" t="s">
        <v>8745</v>
      </c>
      <c r="E3255" s="43">
        <v>1000</v>
      </c>
      <c r="F3255" s="43"/>
      <c r="G3255" s="364">
        <f t="shared" si="55"/>
        <v>114651.66129032266</v>
      </c>
      <c r="H3255" s="391" t="s">
        <v>9568</v>
      </c>
    </row>
    <row r="3256" spans="1:13" x14ac:dyDescent="0.3">
      <c r="A3256" s="45">
        <v>44572</v>
      </c>
      <c r="B3256" s="399"/>
      <c r="C3256" s="5" t="s">
        <v>8148</v>
      </c>
      <c r="D3256" s="5" t="s">
        <v>8752</v>
      </c>
      <c r="E3256" s="43">
        <v>35000</v>
      </c>
      <c r="F3256" s="43"/>
      <c r="G3256" s="364">
        <f t="shared" si="55"/>
        <v>79651.661290322663</v>
      </c>
      <c r="H3256" s="391" t="s">
        <v>9568</v>
      </c>
    </row>
    <row r="3257" spans="1:13" x14ac:dyDescent="0.3">
      <c r="A3257" s="45">
        <v>44572</v>
      </c>
      <c r="B3257" s="399"/>
      <c r="C3257" s="5" t="s">
        <v>5156</v>
      </c>
      <c r="D3257" s="5" t="s">
        <v>3563</v>
      </c>
      <c r="E3257" s="43">
        <v>950</v>
      </c>
      <c r="F3257" s="43"/>
      <c r="G3257" s="364">
        <f t="shared" si="55"/>
        <v>78701.661290322663</v>
      </c>
      <c r="H3257" s="391" t="s">
        <v>9568</v>
      </c>
    </row>
    <row r="3258" spans="1:13" x14ac:dyDescent="0.3">
      <c r="A3258" s="45">
        <v>44572</v>
      </c>
      <c r="B3258" s="399"/>
      <c r="C3258" s="5" t="s">
        <v>25</v>
      </c>
      <c r="D3258" s="5" t="s">
        <v>8753</v>
      </c>
      <c r="E3258" s="43">
        <v>570</v>
      </c>
      <c r="F3258" s="43"/>
      <c r="G3258" s="364">
        <f t="shared" si="55"/>
        <v>78131.661290322663</v>
      </c>
      <c r="H3258" s="391" t="s">
        <v>9568</v>
      </c>
    </row>
    <row r="3259" spans="1:13" x14ac:dyDescent="0.3">
      <c r="A3259" s="45">
        <v>44572</v>
      </c>
      <c r="B3259" s="399"/>
      <c r="C3259" s="5" t="s">
        <v>25</v>
      </c>
      <c r="D3259" s="5" t="s">
        <v>8754</v>
      </c>
      <c r="E3259" s="43">
        <v>200</v>
      </c>
      <c r="F3259" s="43"/>
      <c r="G3259" s="364">
        <f t="shared" si="55"/>
        <v>77931.661290322663</v>
      </c>
      <c r="H3259" s="391" t="s">
        <v>9568</v>
      </c>
    </row>
    <row r="3260" spans="1:13" x14ac:dyDescent="0.3">
      <c r="A3260" s="45">
        <v>44572</v>
      </c>
      <c r="B3260" s="399"/>
      <c r="C3260" s="5" t="s">
        <v>1787</v>
      </c>
      <c r="D3260" s="5" t="s">
        <v>8755</v>
      </c>
      <c r="E3260" s="43">
        <v>1200</v>
      </c>
      <c r="F3260" s="43"/>
      <c r="G3260" s="364">
        <f t="shared" si="55"/>
        <v>76731.661290322663</v>
      </c>
      <c r="H3260" s="391" t="s">
        <v>9568</v>
      </c>
    </row>
    <row r="3261" spans="1:13" x14ac:dyDescent="0.3">
      <c r="A3261" s="45">
        <v>44572</v>
      </c>
      <c r="B3261" s="399"/>
      <c r="C3261" s="5" t="s">
        <v>57</v>
      </c>
      <c r="D3261" s="5" t="s">
        <v>294</v>
      </c>
      <c r="E3261" s="43">
        <v>15000</v>
      </c>
      <c r="F3261" s="43"/>
      <c r="G3261" s="364">
        <f t="shared" si="55"/>
        <v>61731.661290322663</v>
      </c>
      <c r="H3261" s="391" t="s">
        <v>9568</v>
      </c>
    </row>
    <row r="3262" spans="1:13" x14ac:dyDescent="0.3">
      <c r="A3262" s="45">
        <v>44572</v>
      </c>
      <c r="B3262" s="399"/>
      <c r="C3262" s="5" t="s">
        <v>7214</v>
      </c>
      <c r="D3262" s="5" t="s">
        <v>8758</v>
      </c>
      <c r="E3262" s="43">
        <v>10000</v>
      </c>
      <c r="F3262" s="43"/>
      <c r="G3262" s="364">
        <f t="shared" si="55"/>
        <v>51731.661290322663</v>
      </c>
      <c r="H3262" s="391" t="s">
        <v>9568</v>
      </c>
    </row>
    <row r="3263" spans="1:13" x14ac:dyDescent="0.3">
      <c r="A3263" s="45">
        <v>44573</v>
      </c>
      <c r="B3263" s="399"/>
      <c r="C3263" s="5" t="s">
        <v>25</v>
      </c>
      <c r="D3263" s="5" t="s">
        <v>8249</v>
      </c>
      <c r="E3263" s="43">
        <v>3250</v>
      </c>
      <c r="F3263" s="43"/>
      <c r="G3263" s="364">
        <f t="shared" si="55"/>
        <v>48481.661290322663</v>
      </c>
      <c r="H3263" s="391" t="s">
        <v>9568</v>
      </c>
    </row>
    <row r="3264" spans="1:13" x14ac:dyDescent="0.3">
      <c r="A3264" s="45">
        <v>44573</v>
      </c>
      <c r="B3264" s="399"/>
      <c r="C3264" s="5" t="s">
        <v>18</v>
      </c>
      <c r="D3264" s="5" t="s">
        <v>8757</v>
      </c>
      <c r="E3264" s="43">
        <v>500</v>
      </c>
      <c r="F3264" s="43"/>
      <c r="G3264" s="364">
        <f t="shared" si="55"/>
        <v>47981.661290322663</v>
      </c>
      <c r="H3264" s="391" t="s">
        <v>9568</v>
      </c>
    </row>
    <row r="3265" spans="1:13" x14ac:dyDescent="0.3">
      <c r="A3265" s="45">
        <v>44573</v>
      </c>
      <c r="B3265" s="399"/>
      <c r="C3265" s="5" t="s">
        <v>8573</v>
      </c>
      <c r="D3265" s="5" t="s">
        <v>8759</v>
      </c>
      <c r="E3265" s="43">
        <v>5000</v>
      </c>
      <c r="F3265" s="43"/>
      <c r="G3265" s="364">
        <f t="shared" si="55"/>
        <v>42981.661290322663</v>
      </c>
      <c r="H3265" s="391" t="s">
        <v>9568</v>
      </c>
      <c r="I3265" s="52">
        <v>3000</v>
      </c>
    </row>
    <row r="3266" spans="1:13" x14ac:dyDescent="0.3">
      <c r="A3266" s="45">
        <v>44573</v>
      </c>
      <c r="B3266" s="430"/>
      <c r="C3266" s="328" t="s">
        <v>54</v>
      </c>
      <c r="D3266" s="328" t="s">
        <v>8774</v>
      </c>
      <c r="E3266" s="329">
        <v>20710</v>
      </c>
      <c r="F3266" s="43"/>
      <c r="G3266" s="364">
        <f t="shared" si="55"/>
        <v>22271.661290322663</v>
      </c>
      <c r="H3266" s="391" t="s">
        <v>9568</v>
      </c>
    </row>
    <row r="3267" spans="1:13" x14ac:dyDescent="0.3">
      <c r="A3267" s="45">
        <v>44573</v>
      </c>
      <c r="B3267" s="399"/>
      <c r="C3267" s="5" t="s">
        <v>1616</v>
      </c>
      <c r="D3267" s="5" t="s">
        <v>640</v>
      </c>
      <c r="E3267" s="43">
        <v>1500</v>
      </c>
      <c r="F3267" s="43"/>
      <c r="G3267" s="364">
        <f t="shared" si="55"/>
        <v>20771.661290322663</v>
      </c>
      <c r="H3267" s="391" t="s">
        <v>9568</v>
      </c>
    </row>
    <row r="3268" spans="1:13" x14ac:dyDescent="0.3">
      <c r="A3268" s="45">
        <v>44573</v>
      </c>
      <c r="B3268" s="399"/>
      <c r="C3268" s="5" t="s">
        <v>1616</v>
      </c>
      <c r="D3268" s="5" t="s">
        <v>7002</v>
      </c>
      <c r="E3268" s="43">
        <v>620</v>
      </c>
      <c r="F3268" s="43"/>
      <c r="G3268" s="364">
        <f t="shared" si="55"/>
        <v>20151.661290322663</v>
      </c>
      <c r="H3268" s="391" t="s">
        <v>9568</v>
      </c>
    </row>
    <row r="3269" spans="1:13" x14ac:dyDescent="0.3">
      <c r="A3269" s="45">
        <v>44573</v>
      </c>
      <c r="B3269" s="399"/>
      <c r="C3269" s="5" t="s">
        <v>8760</v>
      </c>
      <c r="D3269" s="5" t="s">
        <v>8761</v>
      </c>
      <c r="E3269" s="43">
        <v>1150</v>
      </c>
      <c r="F3269" s="43"/>
      <c r="G3269" s="364">
        <f t="shared" si="55"/>
        <v>19001.661290322663</v>
      </c>
      <c r="H3269" s="391" t="s">
        <v>9568</v>
      </c>
    </row>
    <row r="3270" spans="1:13" x14ac:dyDescent="0.3">
      <c r="A3270" s="45">
        <v>44574</v>
      </c>
      <c r="B3270" s="409"/>
      <c r="C3270" s="61" t="s">
        <v>8762</v>
      </c>
      <c r="D3270" s="61" t="s">
        <v>8763</v>
      </c>
      <c r="E3270" s="62">
        <v>9320</v>
      </c>
      <c r="F3270" s="43"/>
      <c r="G3270" s="364">
        <f t="shared" si="55"/>
        <v>9681.6612903226633</v>
      </c>
      <c r="H3270" s="391" t="s">
        <v>9568</v>
      </c>
    </row>
    <row r="3271" spans="1:13" x14ac:dyDescent="0.3">
      <c r="A3271" s="45">
        <v>44574</v>
      </c>
      <c r="B3271" s="580"/>
      <c r="C3271" s="554" t="s">
        <v>4106</v>
      </c>
      <c r="D3271" s="554"/>
      <c r="E3271" s="554"/>
      <c r="F3271" s="43">
        <v>200000</v>
      </c>
      <c r="G3271" s="364">
        <f t="shared" si="55"/>
        <v>209681.66129032266</v>
      </c>
      <c r="H3271" s="391" t="s">
        <v>9568</v>
      </c>
      <c r="J3271" s="52">
        <v>24000</v>
      </c>
      <c r="M3271" s="93"/>
    </row>
    <row r="3272" spans="1:13" x14ac:dyDescent="0.3">
      <c r="A3272" s="45">
        <v>44574</v>
      </c>
      <c r="B3272" s="399"/>
      <c r="C3272" s="5" t="s">
        <v>8764</v>
      </c>
      <c r="D3272" s="5" t="s">
        <v>8765</v>
      </c>
      <c r="E3272" s="43">
        <v>10000</v>
      </c>
      <c r="F3272" s="43"/>
      <c r="G3272" s="364">
        <f t="shared" si="55"/>
        <v>199681.66129032266</v>
      </c>
      <c r="H3272" s="391" t="s">
        <v>9568</v>
      </c>
    </row>
    <row r="3273" spans="1:13" x14ac:dyDescent="0.3">
      <c r="A3273" s="45">
        <v>44574</v>
      </c>
      <c r="B3273" s="408"/>
      <c r="C3273" s="218" t="s">
        <v>54</v>
      </c>
      <c r="D3273" s="218" t="s">
        <v>8766</v>
      </c>
      <c r="E3273" s="43">
        <v>1975</v>
      </c>
      <c r="F3273" s="43"/>
      <c r="G3273" s="364">
        <f t="shared" si="55"/>
        <v>197706.66129032266</v>
      </c>
      <c r="H3273" s="391" t="s">
        <v>9568</v>
      </c>
    </row>
    <row r="3274" spans="1:13" x14ac:dyDescent="0.3">
      <c r="A3274" s="45">
        <v>44574</v>
      </c>
      <c r="B3274" s="399"/>
      <c r="C3274" s="5" t="s">
        <v>8767</v>
      </c>
      <c r="D3274" s="5" t="s">
        <v>8768</v>
      </c>
      <c r="E3274" s="43">
        <v>25000</v>
      </c>
      <c r="F3274" s="43"/>
      <c r="G3274" s="364">
        <f t="shared" si="55"/>
        <v>172706.66129032266</v>
      </c>
      <c r="H3274" s="391" t="s">
        <v>9568</v>
      </c>
    </row>
    <row r="3275" spans="1:13" x14ac:dyDescent="0.3">
      <c r="A3275" s="45">
        <v>44574</v>
      </c>
      <c r="B3275" s="399"/>
      <c r="C3275" s="5" t="s">
        <v>25</v>
      </c>
      <c r="D3275" s="5" t="s">
        <v>64</v>
      </c>
      <c r="E3275" s="43">
        <v>1000</v>
      </c>
      <c r="F3275" s="43"/>
      <c r="G3275" s="364">
        <f t="shared" si="55"/>
        <v>171706.66129032266</v>
      </c>
      <c r="H3275" s="391" t="s">
        <v>9568</v>
      </c>
    </row>
    <row r="3276" spans="1:13" x14ac:dyDescent="0.3">
      <c r="A3276" s="45">
        <v>44575</v>
      </c>
      <c r="B3276" s="399"/>
      <c r="C3276" s="5" t="s">
        <v>5709</v>
      </c>
      <c r="D3276" s="5" t="s">
        <v>8769</v>
      </c>
      <c r="E3276" s="43">
        <v>13000</v>
      </c>
      <c r="F3276" s="43"/>
      <c r="G3276" s="364">
        <f t="shared" si="55"/>
        <v>158706.66129032266</v>
      </c>
      <c r="H3276" s="391" t="s">
        <v>9568</v>
      </c>
    </row>
    <row r="3277" spans="1:13" x14ac:dyDescent="0.3">
      <c r="A3277" s="45">
        <v>44575</v>
      </c>
      <c r="B3277" s="409"/>
      <c r="C3277" s="61" t="s">
        <v>8624</v>
      </c>
      <c r="D3277" s="61" t="s">
        <v>8770</v>
      </c>
      <c r="E3277" s="62">
        <v>12300</v>
      </c>
      <c r="F3277" s="43"/>
      <c r="G3277" s="364">
        <f t="shared" si="55"/>
        <v>146406.66129032266</v>
      </c>
      <c r="H3277" s="391" t="s">
        <v>9568</v>
      </c>
    </row>
    <row r="3278" spans="1:13" x14ac:dyDescent="0.3">
      <c r="A3278" s="45">
        <v>44575</v>
      </c>
      <c r="B3278" s="399"/>
      <c r="C3278" s="5" t="s">
        <v>14</v>
      </c>
      <c r="D3278" s="5" t="s">
        <v>8771</v>
      </c>
      <c r="E3278" s="43">
        <v>20000</v>
      </c>
      <c r="F3278" s="43"/>
      <c r="G3278" s="364">
        <f t="shared" si="55"/>
        <v>126406.66129032266</v>
      </c>
      <c r="H3278" s="391" t="s">
        <v>9568</v>
      </c>
      <c r="I3278" s="52">
        <v>55771</v>
      </c>
    </row>
    <row r="3279" spans="1:13" x14ac:dyDescent="0.3">
      <c r="A3279" s="45">
        <v>44575</v>
      </c>
      <c r="B3279" s="399"/>
      <c r="C3279" s="5" t="s">
        <v>1074</v>
      </c>
      <c r="D3279" s="5" t="s">
        <v>8772</v>
      </c>
      <c r="E3279" s="43">
        <f>4240+1330</f>
        <v>5570</v>
      </c>
      <c r="F3279" s="43"/>
      <c r="G3279" s="364">
        <f t="shared" si="55"/>
        <v>120836.66129032266</v>
      </c>
      <c r="H3279" s="391" t="s">
        <v>9568</v>
      </c>
      <c r="I3279" s="52">
        <f>I3278*17%</f>
        <v>9481.0700000000015</v>
      </c>
    </row>
    <row r="3280" spans="1:13" x14ac:dyDescent="0.3">
      <c r="A3280" s="45">
        <v>44575</v>
      </c>
      <c r="B3280" s="399"/>
      <c r="C3280" s="5" t="s">
        <v>1074</v>
      </c>
      <c r="D3280" s="5" t="s">
        <v>8273</v>
      </c>
      <c r="E3280" s="43">
        <f>980+1440</f>
        <v>2420</v>
      </c>
      <c r="F3280" s="43"/>
      <c r="G3280" s="364">
        <f t="shared" ref="G3280:G3284" si="56">G3279+F3280-E3280</f>
        <v>118416.66129032266</v>
      </c>
      <c r="H3280" s="391" t="s">
        <v>9568</v>
      </c>
      <c r="I3280" s="52">
        <f>SUM(I3278:I3279)</f>
        <v>65252.07</v>
      </c>
    </row>
    <row r="3281" spans="1:13" x14ac:dyDescent="0.3">
      <c r="A3281" s="45">
        <v>44575</v>
      </c>
      <c r="B3281" s="399"/>
      <c r="C3281" s="5" t="s">
        <v>14</v>
      </c>
      <c r="D3281" s="5" t="s">
        <v>640</v>
      </c>
      <c r="E3281" s="43">
        <v>1000</v>
      </c>
      <c r="F3281" s="43"/>
      <c r="G3281" s="364">
        <f t="shared" si="56"/>
        <v>117416.66129032266</v>
      </c>
      <c r="H3281" s="391" t="s">
        <v>9568</v>
      </c>
    </row>
    <row r="3282" spans="1:13" x14ac:dyDescent="0.3">
      <c r="A3282" s="45">
        <v>44575</v>
      </c>
      <c r="B3282" s="399"/>
      <c r="C3282" s="5" t="s">
        <v>54</v>
      </c>
      <c r="D3282" s="5" t="s">
        <v>8773</v>
      </c>
      <c r="E3282" s="43">
        <v>9162</v>
      </c>
      <c r="F3282" s="43"/>
      <c r="G3282" s="364">
        <f t="shared" si="56"/>
        <v>108254.66129032266</v>
      </c>
      <c r="H3282" s="391" t="s">
        <v>9568</v>
      </c>
    </row>
    <row r="3283" spans="1:13" x14ac:dyDescent="0.3">
      <c r="A3283" s="45">
        <v>44575</v>
      </c>
      <c r="B3283" s="399"/>
      <c r="C3283" s="5" t="s">
        <v>25</v>
      </c>
      <c r="D3283" s="5" t="s">
        <v>8152</v>
      </c>
      <c r="E3283" s="43">
        <v>3250</v>
      </c>
      <c r="F3283" s="43"/>
      <c r="G3283" s="364">
        <f t="shared" si="56"/>
        <v>105004.66129032266</v>
      </c>
      <c r="H3283" s="391" t="s">
        <v>9568</v>
      </c>
    </row>
    <row r="3284" spans="1:13" x14ac:dyDescent="0.3">
      <c r="A3284" s="45">
        <v>44578</v>
      </c>
      <c r="B3284" s="399"/>
      <c r="C3284" s="5" t="s">
        <v>68</v>
      </c>
      <c r="D3284" s="5" t="s">
        <v>294</v>
      </c>
      <c r="E3284" s="43">
        <v>3000</v>
      </c>
      <c r="F3284" s="43"/>
      <c r="G3284" s="364">
        <f t="shared" si="56"/>
        <v>102004.66129032266</v>
      </c>
      <c r="H3284" s="391" t="s">
        <v>9568</v>
      </c>
    </row>
    <row r="3285" spans="1:13" x14ac:dyDescent="0.3">
      <c r="A3285" s="45">
        <v>44578</v>
      </c>
      <c r="B3285" s="399"/>
      <c r="C3285" s="5" t="s">
        <v>3554</v>
      </c>
      <c r="D3285" s="5" t="s">
        <v>8775</v>
      </c>
      <c r="E3285" s="43">
        <v>30000</v>
      </c>
      <c r="F3285" s="43"/>
      <c r="G3285" s="364">
        <f t="shared" ref="G3285:G3356" si="57">G3284+F3285-E3285</f>
        <v>72004.661290322663</v>
      </c>
      <c r="H3285" s="391" t="s">
        <v>9568</v>
      </c>
    </row>
    <row r="3286" spans="1:13" x14ac:dyDescent="0.3">
      <c r="A3286" s="45">
        <v>44578</v>
      </c>
      <c r="B3286" s="399"/>
      <c r="C3286" s="5" t="s">
        <v>84</v>
      </c>
      <c r="D3286" s="5" t="s">
        <v>8776</v>
      </c>
      <c r="E3286" s="43">
        <v>3000</v>
      </c>
      <c r="F3286" s="43"/>
      <c r="G3286" s="364">
        <f t="shared" si="57"/>
        <v>69004.661290322663</v>
      </c>
      <c r="H3286" s="391" t="s">
        <v>9568</v>
      </c>
    </row>
    <row r="3287" spans="1:13" x14ac:dyDescent="0.3">
      <c r="A3287" s="45">
        <v>44579</v>
      </c>
      <c r="B3287" s="399"/>
      <c r="C3287" s="5" t="s">
        <v>57</v>
      </c>
      <c r="D3287" s="5" t="s">
        <v>294</v>
      </c>
      <c r="E3287" s="43">
        <v>32000</v>
      </c>
      <c r="F3287" s="43"/>
      <c r="G3287" s="364">
        <f t="shared" si="57"/>
        <v>37004.661290322663</v>
      </c>
      <c r="H3287" s="391" t="s">
        <v>9568</v>
      </c>
    </row>
    <row r="3288" spans="1:13" x14ac:dyDescent="0.3">
      <c r="A3288" s="45">
        <v>44579</v>
      </c>
      <c r="B3288" s="399"/>
      <c r="C3288" s="5" t="s">
        <v>8782</v>
      </c>
      <c r="D3288" s="5" t="s">
        <v>3194</v>
      </c>
      <c r="E3288" s="43">
        <v>25000</v>
      </c>
      <c r="F3288" s="43"/>
      <c r="G3288" s="364">
        <f t="shared" si="57"/>
        <v>12004.661290322663</v>
      </c>
      <c r="H3288" s="391" t="s">
        <v>9568</v>
      </c>
    </row>
    <row r="3289" spans="1:13" x14ac:dyDescent="0.3">
      <c r="A3289" s="45">
        <v>44579</v>
      </c>
      <c r="B3289" s="399"/>
      <c r="C3289" s="5" t="s">
        <v>3724</v>
      </c>
      <c r="D3289" s="5" t="s">
        <v>40</v>
      </c>
      <c r="E3289" s="43">
        <v>4090</v>
      </c>
      <c r="F3289" s="43"/>
      <c r="G3289" s="364">
        <f t="shared" si="57"/>
        <v>7914.6612903226633</v>
      </c>
      <c r="H3289" s="391" t="s">
        <v>9568</v>
      </c>
    </row>
    <row r="3290" spans="1:13" x14ac:dyDescent="0.3">
      <c r="A3290" s="45">
        <v>44579</v>
      </c>
      <c r="B3290" s="399"/>
      <c r="C3290" s="5" t="s">
        <v>25</v>
      </c>
      <c r="D3290" s="5" t="s">
        <v>4731</v>
      </c>
      <c r="E3290" s="43">
        <v>1500</v>
      </c>
      <c r="F3290" s="43"/>
      <c r="G3290" s="364">
        <f t="shared" si="57"/>
        <v>6414.6612903226633</v>
      </c>
      <c r="H3290" s="391" t="s">
        <v>9568</v>
      </c>
    </row>
    <row r="3291" spans="1:13" x14ac:dyDescent="0.3">
      <c r="A3291" s="45">
        <v>44579</v>
      </c>
      <c r="B3291" s="399"/>
      <c r="C3291" s="5" t="s">
        <v>5162</v>
      </c>
      <c r="D3291" s="5" t="s">
        <v>8783</v>
      </c>
      <c r="E3291" s="43">
        <v>1000</v>
      </c>
      <c r="F3291" s="43"/>
      <c r="G3291" s="364">
        <f t="shared" si="57"/>
        <v>5414.6612903226633</v>
      </c>
      <c r="H3291" s="391" t="s">
        <v>9568</v>
      </c>
    </row>
    <row r="3292" spans="1:13" x14ac:dyDescent="0.3">
      <c r="A3292" s="45">
        <v>44581</v>
      </c>
      <c r="B3292" s="399"/>
      <c r="C3292" s="5" t="s">
        <v>6430</v>
      </c>
      <c r="D3292" s="5" t="s">
        <v>294</v>
      </c>
      <c r="E3292" s="43">
        <v>1800</v>
      </c>
      <c r="F3292" s="43"/>
      <c r="G3292" s="364">
        <f t="shared" si="57"/>
        <v>3614.6612903226633</v>
      </c>
      <c r="H3292" s="391" t="s">
        <v>9568</v>
      </c>
    </row>
    <row r="3293" spans="1:13" x14ac:dyDescent="0.3">
      <c r="A3293" s="45">
        <v>44585</v>
      </c>
      <c r="B3293" s="399"/>
      <c r="C3293" s="5" t="s">
        <v>14</v>
      </c>
      <c r="D3293" s="5" t="s">
        <v>294</v>
      </c>
      <c r="E3293" s="43">
        <v>500</v>
      </c>
      <c r="F3293" s="43"/>
      <c r="G3293" s="364">
        <f t="shared" si="57"/>
        <v>3114.6612903226633</v>
      </c>
      <c r="H3293" s="391" t="s">
        <v>9568</v>
      </c>
    </row>
    <row r="3294" spans="1:13" x14ac:dyDescent="0.3">
      <c r="A3294" s="45">
        <v>44585</v>
      </c>
      <c r="B3294" s="399"/>
      <c r="C3294" s="5" t="s">
        <v>25</v>
      </c>
      <c r="D3294" s="5" t="s">
        <v>8784</v>
      </c>
      <c r="E3294" s="43">
        <v>150</v>
      </c>
      <c r="F3294" s="43"/>
      <c r="G3294" s="364">
        <f t="shared" si="57"/>
        <v>2964.6612903226633</v>
      </c>
      <c r="H3294" s="391" t="s">
        <v>9568</v>
      </c>
    </row>
    <row r="3295" spans="1:13" x14ac:dyDescent="0.3">
      <c r="A3295" s="45">
        <v>44585</v>
      </c>
      <c r="B3295" s="399"/>
      <c r="C3295" s="5" t="s">
        <v>18</v>
      </c>
      <c r="D3295" s="5" t="s">
        <v>6038</v>
      </c>
      <c r="E3295" s="43">
        <v>500</v>
      </c>
      <c r="F3295" s="43"/>
      <c r="G3295" s="364">
        <f t="shared" si="57"/>
        <v>2464.6612903226633</v>
      </c>
      <c r="H3295" s="391" t="s">
        <v>9568</v>
      </c>
    </row>
    <row r="3296" spans="1:13" x14ac:dyDescent="0.3">
      <c r="A3296" s="45">
        <v>44585</v>
      </c>
      <c r="B3296" s="580"/>
      <c r="C3296" s="554" t="s">
        <v>4106</v>
      </c>
      <c r="D3296" s="554"/>
      <c r="E3296" s="554"/>
      <c r="F3296" s="43">
        <v>100000</v>
      </c>
      <c r="G3296" s="364">
        <f t="shared" si="57"/>
        <v>102464.66129032266</v>
      </c>
      <c r="H3296" s="391" t="s">
        <v>9568</v>
      </c>
      <c r="M3296" s="93"/>
    </row>
    <row r="3297" spans="1:13" x14ac:dyDescent="0.3">
      <c r="A3297" s="45">
        <v>44586</v>
      </c>
      <c r="B3297" s="399"/>
      <c r="C3297" s="5" t="s">
        <v>14</v>
      </c>
      <c r="D3297" s="5" t="s">
        <v>8704</v>
      </c>
      <c r="E3297" s="43">
        <v>2649</v>
      </c>
      <c r="F3297" s="43"/>
      <c r="G3297" s="364">
        <f t="shared" si="57"/>
        <v>99815.661290322663</v>
      </c>
      <c r="H3297" s="391" t="s">
        <v>9568</v>
      </c>
    </row>
    <row r="3298" spans="1:13" x14ac:dyDescent="0.3">
      <c r="A3298" s="45">
        <v>44586</v>
      </c>
      <c r="B3298" s="399"/>
      <c r="C3298" s="5" t="s">
        <v>1074</v>
      </c>
      <c r="D3298" s="5" t="s">
        <v>8789</v>
      </c>
      <c r="E3298" s="43">
        <f>18390+4477</f>
        <v>22867</v>
      </c>
      <c r="F3298" s="43"/>
      <c r="G3298" s="364">
        <f t="shared" si="57"/>
        <v>76948.661290322663</v>
      </c>
      <c r="H3298" s="391" t="s">
        <v>9568</v>
      </c>
    </row>
    <row r="3299" spans="1:13" x14ac:dyDescent="0.3">
      <c r="A3299" s="45">
        <v>44586</v>
      </c>
      <c r="B3299" s="399"/>
      <c r="C3299" s="5" t="s">
        <v>1074</v>
      </c>
      <c r="D3299" s="5" t="s">
        <v>8790</v>
      </c>
      <c r="E3299" s="43">
        <f>250+5618</f>
        <v>5868</v>
      </c>
      <c r="F3299" s="43"/>
      <c r="G3299" s="364">
        <f t="shared" si="57"/>
        <v>71080.661290322663</v>
      </c>
      <c r="H3299" s="391" t="s">
        <v>9568</v>
      </c>
    </row>
    <row r="3300" spans="1:13" x14ac:dyDescent="0.3">
      <c r="A3300" s="45">
        <v>44586</v>
      </c>
      <c r="B3300" s="399"/>
      <c r="C3300" s="5" t="s">
        <v>14</v>
      </c>
      <c r="D3300" s="5" t="s">
        <v>294</v>
      </c>
      <c r="E3300" s="43">
        <v>12000</v>
      </c>
      <c r="F3300" s="43"/>
      <c r="G3300" s="364">
        <f t="shared" si="57"/>
        <v>59080.661290322663</v>
      </c>
      <c r="H3300" s="391" t="s">
        <v>9568</v>
      </c>
    </row>
    <row r="3301" spans="1:13" x14ac:dyDescent="0.3">
      <c r="A3301" s="45">
        <v>44586</v>
      </c>
      <c r="B3301" s="399"/>
      <c r="C3301" s="5" t="s">
        <v>25</v>
      </c>
      <c r="D3301" s="5" t="s">
        <v>6361</v>
      </c>
      <c r="E3301" s="43">
        <v>4890</v>
      </c>
      <c r="F3301" s="43"/>
      <c r="G3301" s="364">
        <f t="shared" si="57"/>
        <v>54190.661290322663</v>
      </c>
      <c r="H3301" s="391" t="s">
        <v>9568</v>
      </c>
    </row>
    <row r="3302" spans="1:13" x14ac:dyDescent="0.3">
      <c r="A3302" s="45">
        <v>44586</v>
      </c>
      <c r="B3302" s="399"/>
      <c r="C3302" s="5" t="s">
        <v>541</v>
      </c>
      <c r="D3302" s="5" t="s">
        <v>8791</v>
      </c>
      <c r="E3302" s="43">
        <v>9000</v>
      </c>
      <c r="F3302" s="43"/>
      <c r="G3302" s="364">
        <f t="shared" si="57"/>
        <v>45190.661290322663</v>
      </c>
      <c r="H3302" s="391" t="s">
        <v>9568</v>
      </c>
    </row>
    <row r="3303" spans="1:13" x14ac:dyDescent="0.3">
      <c r="A3303" s="45">
        <v>44586</v>
      </c>
      <c r="B3303" s="399"/>
      <c r="C3303" s="5" t="s">
        <v>84</v>
      </c>
      <c r="D3303" s="5" t="s">
        <v>8792</v>
      </c>
      <c r="E3303" s="43">
        <v>2000</v>
      </c>
      <c r="F3303" s="43"/>
      <c r="G3303" s="364">
        <f t="shared" si="57"/>
        <v>43190.661290322663</v>
      </c>
      <c r="H3303" s="391" t="s">
        <v>9568</v>
      </c>
    </row>
    <row r="3304" spans="1:13" x14ac:dyDescent="0.3">
      <c r="A3304" s="45">
        <v>44587</v>
      </c>
      <c r="B3304" s="399"/>
      <c r="C3304" s="5" t="s">
        <v>84</v>
      </c>
      <c r="D3304" s="5" t="s">
        <v>8793</v>
      </c>
      <c r="E3304" s="43">
        <v>6000</v>
      </c>
      <c r="F3304" s="43"/>
      <c r="G3304" s="364">
        <f t="shared" si="57"/>
        <v>37190.661290322663</v>
      </c>
      <c r="H3304" s="391" t="s">
        <v>9568</v>
      </c>
    </row>
    <row r="3305" spans="1:13" x14ac:dyDescent="0.3">
      <c r="A3305" s="45">
        <v>44587</v>
      </c>
      <c r="B3305" s="399"/>
      <c r="C3305" s="5" t="s">
        <v>14</v>
      </c>
      <c r="D3305" s="5" t="s">
        <v>294</v>
      </c>
      <c r="E3305" s="43">
        <v>20000</v>
      </c>
      <c r="F3305" s="43"/>
      <c r="G3305" s="364">
        <f t="shared" si="57"/>
        <v>17190.661290322663</v>
      </c>
      <c r="H3305" s="391" t="s">
        <v>9568</v>
      </c>
    </row>
    <row r="3306" spans="1:13" x14ac:dyDescent="0.3">
      <c r="A3306" s="45">
        <v>44587</v>
      </c>
      <c r="B3306" s="399"/>
      <c r="C3306" s="5" t="s">
        <v>84</v>
      </c>
      <c r="D3306" s="5" t="s">
        <v>8795</v>
      </c>
      <c r="E3306" s="43">
        <v>10000</v>
      </c>
      <c r="F3306" s="43"/>
      <c r="G3306" s="364">
        <f t="shared" ref="G3306" si="58">G3305+F3306-E3306</f>
        <v>7190.6612903226633</v>
      </c>
      <c r="H3306" s="391" t="s">
        <v>9568</v>
      </c>
    </row>
    <row r="3307" spans="1:13" x14ac:dyDescent="0.3">
      <c r="A3307" s="45">
        <v>44588</v>
      </c>
      <c r="B3307" s="399"/>
      <c r="C3307" s="5" t="s">
        <v>25</v>
      </c>
      <c r="D3307" s="5" t="s">
        <v>5641</v>
      </c>
      <c r="E3307" s="43">
        <v>650</v>
      </c>
      <c r="F3307" s="43"/>
      <c r="G3307" s="364">
        <f t="shared" si="57"/>
        <v>6540.6612903226633</v>
      </c>
      <c r="H3307" s="391" t="s">
        <v>9568</v>
      </c>
    </row>
    <row r="3308" spans="1:13" x14ac:dyDescent="0.3">
      <c r="A3308" s="45">
        <v>44588</v>
      </c>
      <c r="B3308" s="399"/>
      <c r="C3308" s="5" t="s">
        <v>1616</v>
      </c>
      <c r="D3308" s="5" t="s">
        <v>8796</v>
      </c>
      <c r="E3308" s="43">
        <v>3000</v>
      </c>
      <c r="F3308" s="43"/>
      <c r="G3308" s="364">
        <f t="shared" si="57"/>
        <v>3540.6612903226633</v>
      </c>
      <c r="H3308" s="391" t="s">
        <v>9568</v>
      </c>
    </row>
    <row r="3309" spans="1:13" x14ac:dyDescent="0.3">
      <c r="A3309" s="45">
        <v>44588</v>
      </c>
      <c r="B3309" s="399"/>
      <c r="C3309" s="5" t="s">
        <v>25</v>
      </c>
      <c r="D3309" s="5" t="s">
        <v>8800</v>
      </c>
      <c r="E3309" s="43">
        <v>1250</v>
      </c>
      <c r="F3309" s="43"/>
      <c r="G3309" s="364">
        <f t="shared" si="57"/>
        <v>2290.6612903226633</v>
      </c>
      <c r="H3309" s="391" t="s">
        <v>9568</v>
      </c>
    </row>
    <row r="3310" spans="1:13" x14ac:dyDescent="0.3">
      <c r="A3310" s="45">
        <v>44588</v>
      </c>
      <c r="B3310" s="399"/>
      <c r="C3310" s="5" t="s">
        <v>25</v>
      </c>
      <c r="D3310" s="5" t="s">
        <v>8152</v>
      </c>
      <c r="E3310" s="43">
        <f>3180-1250</f>
        <v>1930</v>
      </c>
      <c r="F3310" s="43"/>
      <c r="G3310" s="364">
        <f t="shared" si="57"/>
        <v>360.66129032266326</v>
      </c>
      <c r="H3310" s="391" t="s">
        <v>9568</v>
      </c>
    </row>
    <row r="3311" spans="1:13" x14ac:dyDescent="0.3">
      <c r="A3311" s="45">
        <v>44589</v>
      </c>
      <c r="B3311" s="580"/>
      <c r="C3311" s="554" t="s">
        <v>8801</v>
      </c>
      <c r="D3311" s="554"/>
      <c r="E3311" s="554"/>
      <c r="F3311" s="43">
        <v>16867</v>
      </c>
      <c r="G3311" s="364">
        <f t="shared" ref="G3311" si="59">G3310+F3311-E3311</f>
        <v>17227.661290322663</v>
      </c>
      <c r="H3311" s="391" t="s">
        <v>9568</v>
      </c>
      <c r="M3311" s="93"/>
    </row>
    <row r="3312" spans="1:13" x14ac:dyDescent="0.3">
      <c r="A3312" s="45">
        <v>44589</v>
      </c>
      <c r="B3312" s="399"/>
      <c r="C3312" s="5" t="s">
        <v>7214</v>
      </c>
      <c r="D3312" s="5" t="s">
        <v>8802</v>
      </c>
      <c r="E3312" s="43">
        <v>4000</v>
      </c>
      <c r="F3312" s="43"/>
      <c r="G3312" s="364">
        <f t="shared" si="57"/>
        <v>13227.661290322663</v>
      </c>
      <c r="H3312" s="391" t="s">
        <v>9568</v>
      </c>
    </row>
    <row r="3313" spans="1:13" x14ac:dyDescent="0.3">
      <c r="A3313" s="45">
        <v>44589</v>
      </c>
      <c r="B3313" s="399"/>
      <c r="C3313" s="5" t="s">
        <v>8803</v>
      </c>
      <c r="D3313" s="5" t="s">
        <v>91</v>
      </c>
      <c r="E3313" s="43">
        <v>650</v>
      </c>
      <c r="F3313" s="43"/>
      <c r="G3313" s="364">
        <f t="shared" si="57"/>
        <v>12577.661290322663</v>
      </c>
      <c r="H3313" s="391" t="s">
        <v>9568</v>
      </c>
    </row>
    <row r="3314" spans="1:13" x14ac:dyDescent="0.3">
      <c r="A3314" s="45">
        <v>44589</v>
      </c>
      <c r="B3314" s="399"/>
      <c r="C3314" s="5" t="s">
        <v>4946</v>
      </c>
      <c r="D3314" s="5" t="s">
        <v>8804</v>
      </c>
      <c r="E3314" s="43">
        <v>580</v>
      </c>
      <c r="F3314" s="43"/>
      <c r="G3314" s="364">
        <f t="shared" si="57"/>
        <v>11997.661290322663</v>
      </c>
      <c r="H3314" s="391" t="s">
        <v>9568</v>
      </c>
    </row>
    <row r="3315" spans="1:13" x14ac:dyDescent="0.3">
      <c r="A3315" s="45">
        <v>44592</v>
      </c>
      <c r="B3315" s="399"/>
      <c r="C3315" s="5" t="s">
        <v>84</v>
      </c>
      <c r="D3315" s="5" t="s">
        <v>8806</v>
      </c>
      <c r="E3315" s="43">
        <v>1000</v>
      </c>
      <c r="F3315" s="43"/>
      <c r="G3315" s="364">
        <f t="shared" si="57"/>
        <v>10997.661290322663</v>
      </c>
      <c r="H3315" s="391" t="s">
        <v>9568</v>
      </c>
    </row>
    <row r="3316" spans="1:13" x14ac:dyDescent="0.3">
      <c r="A3316" s="45">
        <v>44593</v>
      </c>
      <c r="B3316" s="399"/>
      <c r="C3316" s="5" t="s">
        <v>25</v>
      </c>
      <c r="D3316" s="5" t="s">
        <v>8249</v>
      </c>
      <c r="E3316" s="43">
        <v>3180</v>
      </c>
      <c r="F3316" s="43"/>
      <c r="G3316" s="364">
        <f t="shared" si="57"/>
        <v>7817.6612903226633</v>
      </c>
      <c r="H3316" s="391" t="s">
        <v>9568</v>
      </c>
    </row>
    <row r="3317" spans="1:13" x14ac:dyDescent="0.3">
      <c r="A3317" s="45">
        <v>44593</v>
      </c>
      <c r="B3317" s="399"/>
      <c r="C3317" s="5" t="s">
        <v>18</v>
      </c>
      <c r="D3317" s="5" t="s">
        <v>2013</v>
      </c>
      <c r="E3317" s="43">
        <v>1000</v>
      </c>
      <c r="F3317" s="43"/>
      <c r="G3317" s="364">
        <f t="shared" si="57"/>
        <v>6817.6612903226633</v>
      </c>
      <c r="H3317" s="391" t="s">
        <v>9568</v>
      </c>
    </row>
    <row r="3318" spans="1:13" x14ac:dyDescent="0.3">
      <c r="A3318" s="45">
        <v>44593</v>
      </c>
      <c r="B3318" s="399"/>
      <c r="C3318" s="5" t="s">
        <v>57</v>
      </c>
      <c r="D3318" s="5" t="s">
        <v>8807</v>
      </c>
      <c r="E3318" s="43">
        <v>1500</v>
      </c>
      <c r="F3318" s="43"/>
      <c r="G3318" s="364">
        <f t="shared" si="57"/>
        <v>5317.6612903226633</v>
      </c>
      <c r="H3318" s="391" t="s">
        <v>9568</v>
      </c>
    </row>
    <row r="3319" spans="1:13" x14ac:dyDescent="0.3">
      <c r="A3319" s="45">
        <v>44594</v>
      </c>
      <c r="B3319" s="580"/>
      <c r="C3319" s="554" t="s">
        <v>7440</v>
      </c>
      <c r="D3319" s="554"/>
      <c r="E3319" s="554"/>
      <c r="F3319" s="43">
        <v>500000</v>
      </c>
      <c r="G3319" s="364">
        <f t="shared" si="57"/>
        <v>505317.66129032266</v>
      </c>
      <c r="H3319" s="391" t="s">
        <v>9568</v>
      </c>
      <c r="M3319" s="93"/>
    </row>
    <row r="3320" spans="1:13" x14ac:dyDescent="0.3">
      <c r="A3320" s="45">
        <v>44594</v>
      </c>
      <c r="B3320" s="399"/>
      <c r="C3320" s="5" t="s">
        <v>541</v>
      </c>
      <c r="D3320" s="5" t="s">
        <v>8812</v>
      </c>
      <c r="E3320" s="43">
        <v>5770</v>
      </c>
      <c r="F3320" s="43"/>
      <c r="G3320" s="364">
        <f t="shared" si="57"/>
        <v>499547.66129032266</v>
      </c>
      <c r="H3320" s="391" t="s">
        <v>9568</v>
      </c>
    </row>
    <row r="3321" spans="1:13" x14ac:dyDescent="0.3">
      <c r="A3321" s="45">
        <v>44594</v>
      </c>
      <c r="B3321" s="399"/>
      <c r="C3321" s="5" t="s">
        <v>541</v>
      </c>
      <c r="D3321" s="5" t="s">
        <v>8816</v>
      </c>
      <c r="E3321" s="43">
        <v>20840</v>
      </c>
      <c r="F3321" s="43"/>
      <c r="G3321" s="364">
        <f t="shared" si="57"/>
        <v>478707.66129032266</v>
      </c>
      <c r="H3321" s="391" t="s">
        <v>9568</v>
      </c>
    </row>
    <row r="3322" spans="1:13" x14ac:dyDescent="0.3">
      <c r="A3322" s="45">
        <v>44594</v>
      </c>
      <c r="B3322" s="399"/>
      <c r="C3322" s="5" t="s">
        <v>25</v>
      </c>
      <c r="D3322" s="5" t="s">
        <v>8152</v>
      </c>
      <c r="E3322" s="43">
        <v>2000</v>
      </c>
      <c r="F3322" s="43"/>
      <c r="G3322" s="364">
        <f t="shared" si="57"/>
        <v>476707.66129032266</v>
      </c>
      <c r="H3322" s="391" t="s">
        <v>9568</v>
      </c>
    </row>
    <row r="3323" spans="1:13" x14ac:dyDescent="0.3">
      <c r="A3323" s="45">
        <v>44594</v>
      </c>
      <c r="B3323" s="399"/>
      <c r="C3323" s="5" t="s">
        <v>68</v>
      </c>
      <c r="D3323" s="5" t="s">
        <v>8813</v>
      </c>
      <c r="E3323" s="43">
        <v>2000</v>
      </c>
      <c r="F3323" s="43"/>
      <c r="G3323" s="364">
        <f t="shared" si="57"/>
        <v>474707.66129032266</v>
      </c>
      <c r="H3323" s="391" t="s">
        <v>9568</v>
      </c>
    </row>
    <row r="3324" spans="1:13" x14ac:dyDescent="0.3">
      <c r="A3324" s="45">
        <v>44594</v>
      </c>
      <c r="B3324" s="399"/>
      <c r="C3324" s="5" t="s">
        <v>25</v>
      </c>
      <c r="D3324" s="5" t="s">
        <v>8814</v>
      </c>
      <c r="E3324" s="43">
        <v>4600</v>
      </c>
      <c r="F3324" s="43"/>
      <c r="G3324" s="364">
        <f t="shared" si="57"/>
        <v>470107.66129032266</v>
      </c>
      <c r="H3324" s="391" t="s">
        <v>9568</v>
      </c>
    </row>
    <row r="3325" spans="1:13" x14ac:dyDescent="0.3">
      <c r="A3325" s="45">
        <v>44594</v>
      </c>
      <c r="B3325" s="399"/>
      <c r="C3325" s="5" t="s">
        <v>25</v>
      </c>
      <c r="D3325" s="5" t="s">
        <v>8815</v>
      </c>
      <c r="E3325" s="43">
        <v>1000</v>
      </c>
      <c r="F3325" s="43"/>
      <c r="G3325" s="364">
        <f t="shared" si="57"/>
        <v>469107.66129032266</v>
      </c>
      <c r="H3325" s="391" t="s">
        <v>9568</v>
      </c>
    </row>
    <row r="3326" spans="1:13" x14ac:dyDescent="0.3">
      <c r="A3326" s="45">
        <v>44594</v>
      </c>
      <c r="B3326" s="399"/>
      <c r="C3326" s="5" t="s">
        <v>25</v>
      </c>
      <c r="D3326" s="5" t="s">
        <v>8719</v>
      </c>
      <c r="E3326" s="43">
        <f>2284+465</f>
        <v>2749</v>
      </c>
      <c r="F3326" s="43"/>
      <c r="G3326" s="364">
        <f t="shared" si="57"/>
        <v>466358.66129032266</v>
      </c>
      <c r="H3326" s="391" t="s">
        <v>9568</v>
      </c>
    </row>
    <row r="3327" spans="1:13" x14ac:dyDescent="0.3">
      <c r="A3327" s="45">
        <v>44594</v>
      </c>
      <c r="B3327" s="401"/>
      <c r="C3327" s="73" t="s">
        <v>5162</v>
      </c>
      <c r="D3327" s="73" t="s">
        <v>8817</v>
      </c>
      <c r="E3327" s="183">
        <v>3680</v>
      </c>
      <c r="F3327" s="43"/>
      <c r="G3327" s="364">
        <f t="shared" si="57"/>
        <v>462678.66129032266</v>
      </c>
      <c r="H3327" s="391" t="s">
        <v>9568</v>
      </c>
    </row>
    <row r="3328" spans="1:13" x14ac:dyDescent="0.3">
      <c r="A3328" s="45">
        <v>44594</v>
      </c>
      <c r="B3328" s="401"/>
      <c r="C3328" s="73" t="s">
        <v>5162</v>
      </c>
      <c r="D3328" s="5" t="s">
        <v>2013</v>
      </c>
      <c r="E3328" s="43">
        <v>120</v>
      </c>
      <c r="F3328" s="43"/>
      <c r="G3328" s="364">
        <f t="shared" si="57"/>
        <v>462558.66129032266</v>
      </c>
      <c r="H3328" s="391" t="s">
        <v>9568</v>
      </c>
    </row>
    <row r="3329" spans="1:13" x14ac:dyDescent="0.3">
      <c r="A3329" s="45">
        <v>44595</v>
      </c>
      <c r="B3329" s="399"/>
      <c r="C3329" s="5" t="s">
        <v>84</v>
      </c>
      <c r="D3329" s="5" t="s">
        <v>8818</v>
      </c>
      <c r="E3329" s="43">
        <v>1000</v>
      </c>
      <c r="F3329" s="43"/>
      <c r="G3329" s="364">
        <f t="shared" si="57"/>
        <v>461558.66129032266</v>
      </c>
      <c r="H3329" s="391" t="s">
        <v>9568</v>
      </c>
    </row>
    <row r="3330" spans="1:13" x14ac:dyDescent="0.3">
      <c r="A3330" s="45">
        <v>44595</v>
      </c>
      <c r="B3330" s="580"/>
      <c r="C3330" s="554" t="s">
        <v>7440</v>
      </c>
      <c r="D3330" s="554"/>
      <c r="E3330" s="554"/>
      <c r="F3330" s="43">
        <v>250000</v>
      </c>
      <c r="G3330" s="364">
        <f t="shared" si="57"/>
        <v>711558.66129032266</v>
      </c>
      <c r="H3330" s="391" t="s">
        <v>9568</v>
      </c>
      <c r="M3330" s="93"/>
    </row>
    <row r="3331" spans="1:13" x14ac:dyDescent="0.3">
      <c r="A3331" s="45">
        <v>44595</v>
      </c>
      <c r="B3331" s="408"/>
      <c r="C3331" s="218" t="s">
        <v>54</v>
      </c>
      <c r="D3331" s="218" t="s">
        <v>6842</v>
      </c>
      <c r="E3331" s="43">
        <v>96000</v>
      </c>
      <c r="F3331" s="43"/>
      <c r="G3331" s="364">
        <f t="shared" si="57"/>
        <v>615558.66129032266</v>
      </c>
      <c r="H3331" s="391" t="s">
        <v>9568</v>
      </c>
    </row>
    <row r="3332" spans="1:13" x14ac:dyDescent="0.3">
      <c r="A3332" s="45">
        <v>44595</v>
      </c>
      <c r="B3332" s="408"/>
      <c r="C3332" s="218" t="s">
        <v>54</v>
      </c>
      <c r="D3332" s="218" t="s">
        <v>8645</v>
      </c>
      <c r="E3332" s="43">
        <v>206657</v>
      </c>
      <c r="F3332" s="43"/>
      <c r="G3332" s="364">
        <f t="shared" si="57"/>
        <v>408901.66129032266</v>
      </c>
      <c r="H3332" s="391" t="s">
        <v>9568</v>
      </c>
    </row>
    <row r="3333" spans="1:13" x14ac:dyDescent="0.3">
      <c r="A3333" s="45">
        <v>44595</v>
      </c>
      <c r="B3333" s="408"/>
      <c r="C3333" s="218" t="s">
        <v>54</v>
      </c>
      <c r="D3333" s="218" t="s">
        <v>8636</v>
      </c>
      <c r="E3333" s="43">
        <v>113407</v>
      </c>
      <c r="F3333" s="43"/>
      <c r="G3333" s="364">
        <f t="shared" si="57"/>
        <v>295494.66129032266</v>
      </c>
      <c r="H3333" s="391" t="s">
        <v>9568</v>
      </c>
    </row>
    <row r="3334" spans="1:13" x14ac:dyDescent="0.3">
      <c r="A3334" s="45">
        <v>44595</v>
      </c>
      <c r="B3334" s="408"/>
      <c r="C3334" s="218" t="s">
        <v>54</v>
      </c>
      <c r="D3334" s="218" t="s">
        <v>8637</v>
      </c>
      <c r="E3334" s="43">
        <v>71629</v>
      </c>
      <c r="F3334" s="43"/>
      <c r="G3334" s="364">
        <f t="shared" si="57"/>
        <v>223865.66129032266</v>
      </c>
      <c r="H3334" s="391" t="s">
        <v>9568</v>
      </c>
    </row>
    <row r="3335" spans="1:13" x14ac:dyDescent="0.3">
      <c r="A3335" s="45">
        <v>44595</v>
      </c>
      <c r="B3335" s="408"/>
      <c r="C3335" s="218" t="s">
        <v>54</v>
      </c>
      <c r="D3335" s="218" t="s">
        <v>8819</v>
      </c>
      <c r="E3335" s="43">
        <v>68895</v>
      </c>
      <c r="F3335" s="43"/>
      <c r="G3335" s="364">
        <f t="shared" si="57"/>
        <v>154970.66129032266</v>
      </c>
      <c r="H3335" s="391" t="s">
        <v>9568</v>
      </c>
    </row>
    <row r="3336" spans="1:13" x14ac:dyDescent="0.3">
      <c r="A3336" s="45">
        <v>44595</v>
      </c>
      <c r="B3336" s="408"/>
      <c r="C3336" s="218" t="s">
        <v>54</v>
      </c>
      <c r="D3336" s="218" t="s">
        <v>6531</v>
      </c>
      <c r="E3336" s="43">
        <v>24016</v>
      </c>
      <c r="F3336" s="43"/>
      <c r="G3336" s="364">
        <f t="shared" si="57"/>
        <v>130954.66129032266</v>
      </c>
      <c r="H3336" s="391" t="s">
        <v>9568</v>
      </c>
    </row>
    <row r="3337" spans="1:13" x14ac:dyDescent="0.3">
      <c r="A3337" s="45">
        <v>44596</v>
      </c>
      <c r="B3337" s="408"/>
      <c r="C3337" s="218" t="s">
        <v>54</v>
      </c>
      <c r="D3337" s="218" t="s">
        <v>8820</v>
      </c>
      <c r="E3337" s="43">
        <v>30000</v>
      </c>
      <c r="F3337" s="43"/>
      <c r="G3337" s="364">
        <f t="shared" si="57"/>
        <v>100954.66129032266</v>
      </c>
      <c r="H3337" s="391" t="s">
        <v>9568</v>
      </c>
    </row>
    <row r="3338" spans="1:13" x14ac:dyDescent="0.3">
      <c r="A3338" s="45">
        <v>44596</v>
      </c>
      <c r="B3338" s="408"/>
      <c r="C3338" s="218" t="s">
        <v>54</v>
      </c>
      <c r="D3338" s="218" t="s">
        <v>8823</v>
      </c>
      <c r="E3338" s="43">
        <v>19000</v>
      </c>
      <c r="F3338" s="43"/>
      <c r="G3338" s="364">
        <f t="shared" si="57"/>
        <v>81954.661290322663</v>
      </c>
      <c r="H3338" s="391" t="s">
        <v>9568</v>
      </c>
    </row>
    <row r="3339" spans="1:13" x14ac:dyDescent="0.3">
      <c r="A3339" s="45">
        <v>44596</v>
      </c>
      <c r="B3339" s="408"/>
      <c r="C3339" s="218" t="s">
        <v>54</v>
      </c>
      <c r="D3339" s="218" t="s">
        <v>8824</v>
      </c>
      <c r="E3339" s="43">
        <v>23650</v>
      </c>
      <c r="F3339" s="43"/>
      <c r="G3339" s="364">
        <f t="shared" si="57"/>
        <v>58304.661290322663</v>
      </c>
      <c r="H3339" s="391" t="s">
        <v>9568</v>
      </c>
    </row>
    <row r="3340" spans="1:13" x14ac:dyDescent="0.3">
      <c r="A3340" s="45">
        <v>44596</v>
      </c>
      <c r="B3340" s="431"/>
      <c r="C3340" s="336" t="s">
        <v>84</v>
      </c>
      <c r="D3340" s="336" t="s">
        <v>8821</v>
      </c>
      <c r="E3340" s="337">
        <v>30000</v>
      </c>
      <c r="F3340" s="43"/>
      <c r="G3340" s="364">
        <f t="shared" si="57"/>
        <v>28304.661290322663</v>
      </c>
      <c r="H3340" s="391" t="s">
        <v>9568</v>
      </c>
    </row>
    <row r="3341" spans="1:13" x14ac:dyDescent="0.3">
      <c r="A3341" s="45">
        <v>44596</v>
      </c>
      <c r="B3341" s="399"/>
      <c r="C3341" s="5" t="s">
        <v>5914</v>
      </c>
      <c r="D3341" s="5" t="s">
        <v>5915</v>
      </c>
      <c r="E3341" s="43">
        <v>2000</v>
      </c>
      <c r="F3341" s="43"/>
      <c r="G3341" s="364">
        <f t="shared" si="57"/>
        <v>26304.661290322663</v>
      </c>
      <c r="H3341" s="391" t="s">
        <v>9568</v>
      </c>
    </row>
    <row r="3342" spans="1:13" x14ac:dyDescent="0.3">
      <c r="A3342" s="45">
        <v>44596</v>
      </c>
      <c r="B3342" s="399"/>
      <c r="C3342" s="5" t="s">
        <v>18</v>
      </c>
      <c r="D3342" s="5" t="s">
        <v>2013</v>
      </c>
      <c r="E3342" s="43">
        <v>500</v>
      </c>
      <c r="F3342" s="43"/>
      <c r="G3342" s="364">
        <f t="shared" si="57"/>
        <v>25804.661290322663</v>
      </c>
      <c r="H3342" s="391" t="s">
        <v>9568</v>
      </c>
    </row>
    <row r="3343" spans="1:13" x14ac:dyDescent="0.3">
      <c r="A3343" s="45">
        <v>44596</v>
      </c>
      <c r="B3343" s="399"/>
      <c r="C3343" s="5" t="s">
        <v>57</v>
      </c>
      <c r="D3343" s="5" t="s">
        <v>8822</v>
      </c>
      <c r="E3343" s="43">
        <v>2000</v>
      </c>
      <c r="F3343" s="43"/>
      <c r="G3343" s="364">
        <f t="shared" si="57"/>
        <v>23804.661290322663</v>
      </c>
      <c r="H3343" s="391" t="s">
        <v>9568</v>
      </c>
    </row>
    <row r="3344" spans="1:13" x14ac:dyDescent="0.3">
      <c r="A3344" s="45">
        <v>44596</v>
      </c>
      <c r="B3344" s="399"/>
      <c r="C3344" s="5" t="s">
        <v>57</v>
      </c>
      <c r="D3344" s="5" t="s">
        <v>5973</v>
      </c>
      <c r="E3344" s="43">
        <v>5000</v>
      </c>
      <c r="F3344" s="43"/>
      <c r="G3344" s="364">
        <f t="shared" si="57"/>
        <v>18804.661290322663</v>
      </c>
      <c r="H3344" s="391" t="s">
        <v>9568</v>
      </c>
    </row>
    <row r="3345" spans="1:13" x14ac:dyDescent="0.3">
      <c r="A3345" s="45">
        <v>44596</v>
      </c>
      <c r="B3345" s="399"/>
      <c r="C3345" s="5" t="s">
        <v>25</v>
      </c>
      <c r="D3345" s="5" t="s">
        <v>8836</v>
      </c>
      <c r="E3345" s="43">
        <v>1825</v>
      </c>
      <c r="F3345" s="43"/>
      <c r="G3345" s="364">
        <f t="shared" si="57"/>
        <v>16979.661290322663</v>
      </c>
      <c r="H3345" s="391" t="s">
        <v>9568</v>
      </c>
    </row>
    <row r="3346" spans="1:13" x14ac:dyDescent="0.3">
      <c r="A3346" s="45">
        <v>44596</v>
      </c>
      <c r="B3346" s="407"/>
      <c r="C3346" s="66" t="s">
        <v>14</v>
      </c>
      <c r="D3346" s="66" t="s">
        <v>640</v>
      </c>
      <c r="E3346" s="67">
        <v>1000</v>
      </c>
      <c r="F3346" s="43"/>
      <c r="G3346" s="364">
        <f t="shared" si="57"/>
        <v>15979.661290322663</v>
      </c>
      <c r="H3346" s="391" t="s">
        <v>9568</v>
      </c>
    </row>
    <row r="3347" spans="1:13" x14ac:dyDescent="0.3">
      <c r="A3347" s="333">
        <v>44599</v>
      </c>
      <c r="B3347" s="582"/>
      <c r="C3347" s="559" t="s">
        <v>4106</v>
      </c>
      <c r="D3347" s="560"/>
      <c r="E3347" s="561"/>
      <c r="F3347" s="249">
        <v>250000</v>
      </c>
      <c r="G3347" s="364">
        <f t="shared" si="57"/>
        <v>265979.66129032266</v>
      </c>
      <c r="H3347" s="391" t="s">
        <v>9568</v>
      </c>
      <c r="M3347" s="93"/>
    </row>
    <row r="3348" spans="1:13" x14ac:dyDescent="0.3">
      <c r="A3348" s="333">
        <v>44599</v>
      </c>
      <c r="B3348" s="582"/>
      <c r="C3348" s="559" t="s">
        <v>4106</v>
      </c>
      <c r="D3348" s="560"/>
      <c r="E3348" s="561"/>
      <c r="F3348" s="249">
        <v>250000</v>
      </c>
      <c r="G3348" s="364">
        <f t="shared" si="57"/>
        <v>515979.66129032266</v>
      </c>
      <c r="H3348" s="391" t="s">
        <v>9568</v>
      </c>
      <c r="M3348" s="93"/>
    </row>
    <row r="3349" spans="1:13" x14ac:dyDescent="0.3">
      <c r="A3349" s="45">
        <v>44599</v>
      </c>
      <c r="B3349" s="421"/>
      <c r="C3349" s="78" t="s">
        <v>541</v>
      </c>
      <c r="D3349" s="78" t="s">
        <v>294</v>
      </c>
      <c r="E3349" s="77">
        <v>200000</v>
      </c>
      <c r="F3349" s="43"/>
      <c r="G3349" s="364">
        <f t="shared" si="57"/>
        <v>315979.66129032266</v>
      </c>
      <c r="H3349" s="391" t="s">
        <v>9568</v>
      </c>
    </row>
    <row r="3350" spans="1:13" x14ac:dyDescent="0.3">
      <c r="A3350" s="45">
        <v>44599</v>
      </c>
      <c r="B3350" s="408"/>
      <c r="C3350" s="218" t="s">
        <v>54</v>
      </c>
      <c r="D3350" s="218" t="s">
        <v>8646</v>
      </c>
      <c r="E3350" s="43">
        <v>111752</v>
      </c>
      <c r="F3350" s="43"/>
      <c r="G3350" s="364">
        <f t="shared" si="57"/>
        <v>204227.66129032266</v>
      </c>
      <c r="H3350" s="391" t="s">
        <v>9568</v>
      </c>
    </row>
    <row r="3351" spans="1:13" x14ac:dyDescent="0.3">
      <c r="A3351" s="45">
        <v>44599</v>
      </c>
      <c r="B3351" s="408"/>
      <c r="C3351" s="218" t="s">
        <v>54</v>
      </c>
      <c r="D3351" s="218" t="s">
        <v>6945</v>
      </c>
      <c r="E3351" s="43">
        <v>33266</v>
      </c>
      <c r="F3351" s="43"/>
      <c r="G3351" s="364">
        <f t="shared" si="57"/>
        <v>170961.66129032266</v>
      </c>
      <c r="H3351" s="391" t="s">
        <v>9568</v>
      </c>
    </row>
    <row r="3352" spans="1:13" x14ac:dyDescent="0.3">
      <c r="A3352" s="45">
        <v>44599</v>
      </c>
      <c r="B3352" s="432"/>
      <c r="C3352" s="218" t="s">
        <v>54</v>
      </c>
      <c r="D3352" s="332" t="s">
        <v>8739</v>
      </c>
      <c r="E3352" s="43">
        <v>27984</v>
      </c>
      <c r="F3352" s="43"/>
      <c r="G3352" s="364">
        <f t="shared" si="57"/>
        <v>142977.66129032266</v>
      </c>
      <c r="H3352" s="391" t="s">
        <v>9568</v>
      </c>
    </row>
    <row r="3353" spans="1:13" x14ac:dyDescent="0.3">
      <c r="A3353" s="45">
        <v>44600</v>
      </c>
      <c r="B3353" s="421"/>
      <c r="C3353" s="5" t="s">
        <v>5156</v>
      </c>
      <c r="D3353" s="78" t="s">
        <v>8832</v>
      </c>
      <c r="E3353" s="43">
        <v>150</v>
      </c>
      <c r="F3353" s="43"/>
      <c r="G3353" s="364">
        <f t="shared" si="57"/>
        <v>142827.66129032266</v>
      </c>
      <c r="H3353" s="391" t="s">
        <v>9568</v>
      </c>
    </row>
    <row r="3354" spans="1:13" x14ac:dyDescent="0.3">
      <c r="A3354" s="45">
        <v>44600</v>
      </c>
      <c r="B3354" s="399"/>
      <c r="C3354" s="5" t="s">
        <v>68</v>
      </c>
      <c r="D3354" s="5" t="s">
        <v>8833</v>
      </c>
      <c r="E3354" s="43">
        <v>80000</v>
      </c>
      <c r="F3354" s="43"/>
      <c r="G3354" s="364">
        <f t="shared" si="57"/>
        <v>62827.661290322663</v>
      </c>
      <c r="H3354" s="391" t="s">
        <v>9568</v>
      </c>
    </row>
    <row r="3355" spans="1:13" x14ac:dyDescent="0.3">
      <c r="A3355" s="45">
        <v>44600</v>
      </c>
      <c r="B3355" s="399"/>
      <c r="C3355" s="5" t="s">
        <v>14</v>
      </c>
      <c r="D3355" s="5" t="s">
        <v>8835</v>
      </c>
      <c r="E3355" s="43">
        <v>20000</v>
      </c>
      <c r="F3355" s="43"/>
      <c r="G3355" s="364">
        <f t="shared" si="57"/>
        <v>42827.661290322663</v>
      </c>
      <c r="H3355" s="391" t="s">
        <v>9568</v>
      </c>
    </row>
    <row r="3356" spans="1:13" x14ac:dyDescent="0.3">
      <c r="A3356" s="45">
        <v>44601</v>
      </c>
      <c r="B3356" s="399"/>
      <c r="C3356" s="5" t="s">
        <v>25</v>
      </c>
      <c r="D3356" s="5" t="s">
        <v>8836</v>
      </c>
      <c r="E3356" s="43">
        <v>3250</v>
      </c>
      <c r="F3356" s="43"/>
      <c r="G3356" s="364">
        <f t="shared" si="57"/>
        <v>39577.661290322663</v>
      </c>
      <c r="H3356" s="391" t="s">
        <v>9568</v>
      </c>
    </row>
    <row r="3357" spans="1:13" x14ac:dyDescent="0.3">
      <c r="A3357" s="45">
        <v>44601</v>
      </c>
      <c r="B3357" s="582"/>
      <c r="C3357" s="559" t="s">
        <v>8837</v>
      </c>
      <c r="D3357" s="560"/>
      <c r="E3357" s="561"/>
      <c r="F3357" s="249">
        <v>4000</v>
      </c>
      <c r="G3357" s="364">
        <f t="shared" ref="G3357:G3361" si="60">G3356+F3357-E3357</f>
        <v>43577.661290322663</v>
      </c>
      <c r="H3357" s="391" t="s">
        <v>9568</v>
      </c>
      <c r="M3357" s="93"/>
    </row>
    <row r="3358" spans="1:13" x14ac:dyDescent="0.3">
      <c r="A3358" s="45">
        <v>44601</v>
      </c>
      <c r="B3358" s="399"/>
      <c r="C3358" s="5" t="s">
        <v>25</v>
      </c>
      <c r="D3358" s="5" t="s">
        <v>4731</v>
      </c>
      <c r="E3358" s="43">
        <v>2500</v>
      </c>
      <c r="F3358" s="43"/>
      <c r="G3358" s="364">
        <f t="shared" si="60"/>
        <v>41077.661290322663</v>
      </c>
      <c r="H3358" s="391" t="s">
        <v>9568</v>
      </c>
    </row>
    <row r="3359" spans="1:13" x14ac:dyDescent="0.3">
      <c r="A3359" s="45">
        <v>44601</v>
      </c>
      <c r="B3359" s="399"/>
      <c r="C3359" s="5" t="s">
        <v>68</v>
      </c>
      <c r="D3359" s="5" t="s">
        <v>8838</v>
      </c>
      <c r="E3359" s="43">
        <v>10000</v>
      </c>
      <c r="F3359" s="43"/>
      <c r="G3359" s="364">
        <f t="shared" si="60"/>
        <v>31077.661290322663</v>
      </c>
      <c r="H3359" s="391" t="s">
        <v>9568</v>
      </c>
    </row>
    <row r="3360" spans="1:13" x14ac:dyDescent="0.3">
      <c r="A3360" s="45">
        <v>44601</v>
      </c>
      <c r="B3360" s="582"/>
      <c r="C3360" s="559" t="s">
        <v>8839</v>
      </c>
      <c r="D3360" s="560"/>
      <c r="E3360" s="561"/>
      <c r="F3360" s="249">
        <v>50000</v>
      </c>
      <c r="G3360" s="364">
        <f t="shared" si="60"/>
        <v>81077.661290322663</v>
      </c>
      <c r="H3360" s="391" t="s">
        <v>9568</v>
      </c>
      <c r="M3360" s="93"/>
    </row>
    <row r="3361" spans="1:13" x14ac:dyDescent="0.3">
      <c r="A3361" s="45">
        <v>44601</v>
      </c>
      <c r="B3361" s="432"/>
      <c r="C3361" s="218" t="s">
        <v>54</v>
      </c>
      <c r="D3361" s="332" t="s">
        <v>8238</v>
      </c>
      <c r="E3361" s="43">
        <v>79940</v>
      </c>
      <c r="F3361" s="43"/>
      <c r="G3361" s="364">
        <f t="shared" si="60"/>
        <v>1137.6612903226633</v>
      </c>
      <c r="H3361" s="391" t="s">
        <v>9568</v>
      </c>
    </row>
    <row r="3362" spans="1:13" x14ac:dyDescent="0.3">
      <c r="A3362" s="45">
        <v>44602</v>
      </c>
      <c r="B3362" s="399"/>
      <c r="C3362" s="5" t="s">
        <v>6959</v>
      </c>
      <c r="D3362" s="5" t="s">
        <v>8842</v>
      </c>
      <c r="E3362" s="43">
        <v>500</v>
      </c>
      <c r="F3362" s="43"/>
      <c r="G3362" s="364">
        <f t="shared" ref="G3362:G3372" si="61">G3361+F3362-E3362</f>
        <v>637.66129032266326</v>
      </c>
      <c r="H3362" s="391" t="s">
        <v>9568</v>
      </c>
    </row>
    <row r="3363" spans="1:13" x14ac:dyDescent="0.3">
      <c r="A3363" s="45">
        <v>44602</v>
      </c>
      <c r="B3363" s="582"/>
      <c r="C3363" s="559" t="s">
        <v>4106</v>
      </c>
      <c r="D3363" s="560"/>
      <c r="E3363" s="561"/>
      <c r="F3363" s="249">
        <v>100000</v>
      </c>
      <c r="G3363" s="364">
        <f t="shared" si="61"/>
        <v>100637.66129032266</v>
      </c>
      <c r="H3363" s="391" t="s">
        <v>9568</v>
      </c>
      <c r="M3363" s="93"/>
    </row>
    <row r="3364" spans="1:13" x14ac:dyDescent="0.3">
      <c r="A3364" s="45">
        <v>44602</v>
      </c>
      <c r="B3364" s="399"/>
      <c r="C3364" s="5" t="s">
        <v>8594</v>
      </c>
      <c r="D3364" s="5" t="s">
        <v>8550</v>
      </c>
      <c r="E3364" s="43">
        <v>50000</v>
      </c>
      <c r="F3364" s="43"/>
      <c r="G3364" s="364">
        <f t="shared" si="61"/>
        <v>50637.661290322663</v>
      </c>
      <c r="H3364" s="391" t="s">
        <v>9568</v>
      </c>
    </row>
    <row r="3365" spans="1:13" x14ac:dyDescent="0.3">
      <c r="A3365" s="45">
        <v>44603</v>
      </c>
      <c r="B3365" s="399"/>
      <c r="C3365" s="5" t="s">
        <v>8843</v>
      </c>
      <c r="D3365" s="5" t="s">
        <v>8844</v>
      </c>
      <c r="E3365" s="43">
        <v>4500</v>
      </c>
      <c r="F3365" s="43"/>
      <c r="G3365" s="364">
        <f t="shared" si="61"/>
        <v>46137.661290322663</v>
      </c>
      <c r="H3365" s="391" t="s">
        <v>9568</v>
      </c>
    </row>
    <row r="3366" spans="1:13" x14ac:dyDescent="0.3">
      <c r="A3366" s="45">
        <v>44603</v>
      </c>
      <c r="B3366" s="399"/>
      <c r="C3366" s="5" t="s">
        <v>3563</v>
      </c>
      <c r="D3366" s="5" t="s">
        <v>8845</v>
      </c>
      <c r="E3366" s="43">
        <v>4080</v>
      </c>
      <c r="F3366" s="43"/>
      <c r="G3366" s="364">
        <f t="shared" si="61"/>
        <v>42057.661290322663</v>
      </c>
      <c r="H3366" s="391" t="s">
        <v>9568</v>
      </c>
    </row>
    <row r="3367" spans="1:13" x14ac:dyDescent="0.3">
      <c r="A3367" s="45">
        <v>44603</v>
      </c>
      <c r="B3367" s="399"/>
      <c r="C3367" s="5" t="s">
        <v>1616</v>
      </c>
      <c r="D3367" s="5" t="s">
        <v>8848</v>
      </c>
      <c r="E3367" s="43">
        <v>650</v>
      </c>
      <c r="F3367" s="43"/>
      <c r="G3367" s="364">
        <f t="shared" si="61"/>
        <v>41407.661290322663</v>
      </c>
      <c r="H3367" s="391" t="s">
        <v>9568</v>
      </c>
    </row>
    <row r="3368" spans="1:13" x14ac:dyDescent="0.3">
      <c r="A3368" s="45">
        <v>44603</v>
      </c>
      <c r="B3368" s="399"/>
      <c r="C3368" s="5" t="s">
        <v>1616</v>
      </c>
      <c r="D3368" s="5" t="s">
        <v>8849</v>
      </c>
      <c r="E3368" s="43">
        <v>1500</v>
      </c>
      <c r="F3368" s="43"/>
      <c r="G3368" s="364">
        <f t="shared" si="61"/>
        <v>39907.661290322663</v>
      </c>
      <c r="H3368" s="391" t="s">
        <v>9568</v>
      </c>
    </row>
    <row r="3369" spans="1:13" x14ac:dyDescent="0.3">
      <c r="A3369" s="45">
        <v>44604</v>
      </c>
      <c r="B3369" s="399"/>
      <c r="C3369" s="5" t="s">
        <v>5162</v>
      </c>
      <c r="D3369" s="5" t="s">
        <v>7002</v>
      </c>
      <c r="E3369" s="43">
        <v>1000</v>
      </c>
      <c r="F3369" s="43"/>
      <c r="G3369" s="364">
        <f t="shared" si="61"/>
        <v>38907.661290322663</v>
      </c>
      <c r="H3369" s="391" t="s">
        <v>9568</v>
      </c>
    </row>
    <row r="3370" spans="1:13" x14ac:dyDescent="0.3">
      <c r="A3370" s="45">
        <v>44604</v>
      </c>
      <c r="B3370" s="399"/>
      <c r="C3370" s="5" t="s">
        <v>84</v>
      </c>
      <c r="D3370" s="5" t="s">
        <v>8846</v>
      </c>
      <c r="E3370" s="43">
        <v>1000</v>
      </c>
      <c r="F3370" s="43"/>
      <c r="G3370" s="364">
        <f t="shared" si="61"/>
        <v>37907.661290322663</v>
      </c>
      <c r="H3370" s="391" t="s">
        <v>9568</v>
      </c>
    </row>
    <row r="3371" spans="1:13" x14ac:dyDescent="0.3">
      <c r="A3371" s="45">
        <v>44606</v>
      </c>
      <c r="B3371" s="399"/>
      <c r="C3371" s="5" t="s">
        <v>18</v>
      </c>
      <c r="D3371" s="5" t="s">
        <v>8847</v>
      </c>
      <c r="E3371" s="43">
        <v>3000</v>
      </c>
      <c r="F3371" s="43"/>
      <c r="G3371" s="364">
        <f t="shared" si="61"/>
        <v>34907.661290322663</v>
      </c>
      <c r="H3371" s="391" t="s">
        <v>9568</v>
      </c>
    </row>
    <row r="3372" spans="1:13" x14ac:dyDescent="0.3">
      <c r="A3372" s="45">
        <v>44606</v>
      </c>
      <c r="B3372" s="399"/>
      <c r="C3372" s="5" t="s">
        <v>68</v>
      </c>
      <c r="D3372" s="5" t="s">
        <v>294</v>
      </c>
      <c r="E3372" s="43">
        <v>2000</v>
      </c>
      <c r="F3372" s="43"/>
      <c r="G3372" s="364">
        <f t="shared" si="61"/>
        <v>32907.661290322663</v>
      </c>
      <c r="H3372" s="391" t="s">
        <v>9568</v>
      </c>
    </row>
    <row r="3373" spans="1:13" x14ac:dyDescent="0.3">
      <c r="A3373" s="45">
        <v>44606</v>
      </c>
      <c r="B3373" s="399"/>
      <c r="C3373" s="5" t="s">
        <v>25</v>
      </c>
      <c r="D3373" s="5" t="s">
        <v>8850</v>
      </c>
      <c r="E3373" s="43">
        <v>3950</v>
      </c>
      <c r="F3373" s="43"/>
      <c r="G3373" s="364">
        <f t="shared" ref="G3373:G3436" si="62">G3372+F3373-E3373</f>
        <v>28957.661290322663</v>
      </c>
      <c r="H3373" s="391" t="s">
        <v>9568</v>
      </c>
    </row>
    <row r="3374" spans="1:13" x14ac:dyDescent="0.3">
      <c r="A3374" s="45">
        <v>44606</v>
      </c>
      <c r="B3374" s="582"/>
      <c r="C3374" s="559" t="s">
        <v>7440</v>
      </c>
      <c r="D3374" s="560"/>
      <c r="E3374" s="561"/>
      <c r="F3374" s="249">
        <v>50000</v>
      </c>
      <c r="G3374" s="364">
        <f t="shared" si="62"/>
        <v>78957.661290322663</v>
      </c>
      <c r="H3374" s="391" t="s">
        <v>9568</v>
      </c>
      <c r="M3374" s="93"/>
    </row>
    <row r="3375" spans="1:13" x14ac:dyDescent="0.3">
      <c r="A3375" s="45">
        <v>44606</v>
      </c>
      <c r="B3375" s="399"/>
      <c r="C3375" s="5" t="s">
        <v>6430</v>
      </c>
      <c r="D3375" s="5" t="s">
        <v>8851</v>
      </c>
      <c r="E3375" s="43">
        <v>22000</v>
      </c>
      <c r="F3375" s="43"/>
      <c r="G3375" s="364">
        <f t="shared" si="62"/>
        <v>56957.661290322663</v>
      </c>
      <c r="H3375" s="391" t="s">
        <v>9568</v>
      </c>
    </row>
    <row r="3376" spans="1:13" x14ac:dyDescent="0.3">
      <c r="A3376" s="45">
        <v>44606</v>
      </c>
      <c r="B3376" s="399"/>
      <c r="C3376" s="5" t="s">
        <v>14</v>
      </c>
      <c r="D3376" s="5" t="s">
        <v>294</v>
      </c>
      <c r="E3376" s="43">
        <v>5000</v>
      </c>
      <c r="F3376" s="43"/>
      <c r="G3376" s="364">
        <f t="shared" si="62"/>
        <v>51957.661290322663</v>
      </c>
      <c r="H3376" s="391" t="s">
        <v>9568</v>
      </c>
    </row>
    <row r="3377" spans="1:13" x14ac:dyDescent="0.3">
      <c r="A3377" s="45">
        <v>44606</v>
      </c>
      <c r="B3377" s="399"/>
      <c r="C3377" s="5" t="s">
        <v>3554</v>
      </c>
      <c r="D3377" s="5" t="s">
        <v>8852</v>
      </c>
      <c r="E3377" s="43">
        <v>5000</v>
      </c>
      <c r="F3377" s="43"/>
      <c r="G3377" s="364">
        <f t="shared" si="62"/>
        <v>46957.661290322663</v>
      </c>
      <c r="H3377" s="391" t="s">
        <v>9568</v>
      </c>
    </row>
    <row r="3378" spans="1:13" x14ac:dyDescent="0.3">
      <c r="A3378" s="45">
        <v>44606</v>
      </c>
      <c r="B3378" s="399"/>
      <c r="C3378" s="5" t="s">
        <v>3554</v>
      </c>
      <c r="D3378" s="5" t="s">
        <v>8853</v>
      </c>
      <c r="E3378" s="43">
        <v>10000</v>
      </c>
      <c r="F3378" s="43"/>
      <c r="G3378" s="364">
        <f t="shared" si="62"/>
        <v>36957.661290322663</v>
      </c>
      <c r="H3378" s="391" t="s">
        <v>9568</v>
      </c>
    </row>
    <row r="3379" spans="1:13" x14ac:dyDescent="0.3">
      <c r="A3379" s="45">
        <v>44607</v>
      </c>
      <c r="B3379" s="399"/>
      <c r="C3379" s="5" t="s">
        <v>25</v>
      </c>
      <c r="D3379" s="5" t="s">
        <v>3627</v>
      </c>
      <c r="E3379" s="43">
        <v>900</v>
      </c>
      <c r="F3379" s="43"/>
      <c r="G3379" s="364">
        <f t="shared" si="62"/>
        <v>36057.661290322663</v>
      </c>
      <c r="H3379" s="391" t="s">
        <v>9568</v>
      </c>
    </row>
    <row r="3380" spans="1:13" x14ac:dyDescent="0.3">
      <c r="A3380" s="45">
        <v>44607</v>
      </c>
      <c r="B3380" s="399"/>
      <c r="C3380" s="5" t="s">
        <v>84</v>
      </c>
      <c r="D3380" s="5" t="s">
        <v>8855</v>
      </c>
      <c r="E3380" s="43">
        <v>1000</v>
      </c>
      <c r="F3380" s="43"/>
      <c r="G3380" s="364">
        <f t="shared" si="62"/>
        <v>35057.661290322663</v>
      </c>
      <c r="H3380" s="391" t="s">
        <v>9568</v>
      </c>
    </row>
    <row r="3381" spans="1:13" x14ac:dyDescent="0.3">
      <c r="A3381" s="45">
        <v>44607</v>
      </c>
      <c r="B3381" s="399"/>
      <c r="C3381" s="5" t="s">
        <v>84</v>
      </c>
      <c r="D3381" s="5" t="s">
        <v>8854</v>
      </c>
      <c r="E3381" s="43">
        <v>4000</v>
      </c>
      <c r="F3381" s="43"/>
      <c r="G3381" s="364">
        <f t="shared" si="62"/>
        <v>31057.661290322663</v>
      </c>
      <c r="H3381" s="391" t="s">
        <v>9568</v>
      </c>
    </row>
    <row r="3382" spans="1:13" x14ac:dyDescent="0.3">
      <c r="A3382" s="45">
        <v>44608</v>
      </c>
      <c r="B3382" s="582"/>
      <c r="C3382" s="559" t="s">
        <v>8856</v>
      </c>
      <c r="D3382" s="560"/>
      <c r="E3382" s="561"/>
      <c r="F3382" s="249">
        <v>15000</v>
      </c>
      <c r="G3382" s="364">
        <f t="shared" ref="G3382:G3383" si="63">G3381+F3382-E3382</f>
        <v>46057.661290322663</v>
      </c>
      <c r="H3382" s="391" t="s">
        <v>9568</v>
      </c>
      <c r="M3382" s="93"/>
    </row>
    <row r="3383" spans="1:13" x14ac:dyDescent="0.3">
      <c r="A3383" s="45">
        <v>44608</v>
      </c>
      <c r="B3383" s="399"/>
      <c r="C3383" s="5" t="s">
        <v>14</v>
      </c>
      <c r="D3383" s="5" t="s">
        <v>8857</v>
      </c>
      <c r="E3383" s="43">
        <v>30000</v>
      </c>
      <c r="F3383" s="43"/>
      <c r="G3383" s="364">
        <f t="shared" si="63"/>
        <v>16057.661290322663</v>
      </c>
      <c r="H3383" s="391" t="s">
        <v>9568</v>
      </c>
    </row>
    <row r="3384" spans="1:13" x14ac:dyDescent="0.3">
      <c r="A3384" s="45">
        <v>44608</v>
      </c>
      <c r="B3384" s="399"/>
      <c r="C3384" s="5" t="s">
        <v>1074</v>
      </c>
      <c r="D3384" s="5" t="s">
        <v>8858</v>
      </c>
      <c r="E3384" s="43">
        <f>1370+4530</f>
        <v>5900</v>
      </c>
      <c r="F3384" s="43"/>
      <c r="G3384" s="364">
        <f t="shared" si="62"/>
        <v>10157.661290322663</v>
      </c>
      <c r="H3384" s="391" t="s">
        <v>9568</v>
      </c>
      <c r="K3384" s="238"/>
    </row>
    <row r="3385" spans="1:13" x14ac:dyDescent="0.3">
      <c r="A3385" s="45">
        <v>44608</v>
      </c>
      <c r="B3385" s="399"/>
      <c r="C3385" s="5" t="s">
        <v>1074</v>
      </c>
      <c r="D3385" s="5" t="s">
        <v>8859</v>
      </c>
      <c r="E3385" s="43">
        <f>1190+1070</f>
        <v>2260</v>
      </c>
      <c r="F3385" s="43"/>
      <c r="G3385" s="364">
        <f t="shared" si="62"/>
        <v>7897.6612903226633</v>
      </c>
      <c r="H3385" s="391" t="s">
        <v>9568</v>
      </c>
    </row>
    <row r="3386" spans="1:13" x14ac:dyDescent="0.3">
      <c r="A3386" s="45">
        <v>44608</v>
      </c>
      <c r="B3386" s="399"/>
      <c r="C3386" s="5" t="s">
        <v>6931</v>
      </c>
      <c r="D3386" s="5" t="s">
        <v>2013</v>
      </c>
      <c r="E3386" s="43">
        <v>150</v>
      </c>
      <c r="F3386" s="43"/>
      <c r="G3386" s="364">
        <f t="shared" si="62"/>
        <v>7747.6612903226633</v>
      </c>
      <c r="H3386" s="391" t="s">
        <v>9568</v>
      </c>
    </row>
    <row r="3387" spans="1:13" x14ac:dyDescent="0.3">
      <c r="A3387" s="45">
        <v>44608</v>
      </c>
      <c r="B3387" s="582"/>
      <c r="C3387" s="559" t="s">
        <v>8290</v>
      </c>
      <c r="D3387" s="560"/>
      <c r="E3387" s="561"/>
      <c r="F3387" s="249">
        <v>50000</v>
      </c>
      <c r="G3387" s="364">
        <f t="shared" si="62"/>
        <v>57747.661290322663</v>
      </c>
      <c r="H3387" s="391" t="s">
        <v>9568</v>
      </c>
      <c r="M3387" s="93"/>
    </row>
    <row r="3388" spans="1:13" x14ac:dyDescent="0.3">
      <c r="A3388" s="45">
        <v>44608</v>
      </c>
      <c r="B3388" s="399"/>
      <c r="C3388" s="5" t="s">
        <v>14</v>
      </c>
      <c r="D3388" s="5" t="s">
        <v>438</v>
      </c>
      <c r="E3388" s="43">
        <v>50000</v>
      </c>
      <c r="F3388" s="43"/>
      <c r="G3388" s="364">
        <f t="shared" si="62"/>
        <v>7747.6612903226633</v>
      </c>
      <c r="H3388" s="391" t="s">
        <v>9568</v>
      </c>
    </row>
    <row r="3389" spans="1:13" x14ac:dyDescent="0.3">
      <c r="A3389" s="45">
        <v>44610</v>
      </c>
      <c r="B3389" s="582"/>
      <c r="C3389" s="559" t="s">
        <v>7440</v>
      </c>
      <c r="D3389" s="560"/>
      <c r="E3389" s="561"/>
      <c r="F3389" s="249">
        <v>100000</v>
      </c>
      <c r="G3389" s="364">
        <f t="shared" ref="G3389" si="64">G3388+F3389-E3389</f>
        <v>107747.66129032266</v>
      </c>
      <c r="H3389" s="391" t="s">
        <v>9568</v>
      </c>
      <c r="M3389" s="93"/>
    </row>
    <row r="3390" spans="1:13" x14ac:dyDescent="0.3">
      <c r="A3390" s="45">
        <v>44610</v>
      </c>
      <c r="B3390" s="399"/>
      <c r="C3390" s="5" t="s">
        <v>68</v>
      </c>
      <c r="D3390" s="5" t="s">
        <v>8833</v>
      </c>
      <c r="E3390" s="43">
        <v>50000</v>
      </c>
      <c r="F3390" s="43"/>
      <c r="G3390" s="364">
        <f t="shared" si="62"/>
        <v>57747.661290322663</v>
      </c>
      <c r="H3390" s="391" t="s">
        <v>9568</v>
      </c>
    </row>
    <row r="3391" spans="1:13" x14ac:dyDescent="0.3">
      <c r="A3391" s="45">
        <v>44611</v>
      </c>
      <c r="B3391" s="399"/>
      <c r="C3391" s="5" t="s">
        <v>8594</v>
      </c>
      <c r="D3391" s="5" t="s">
        <v>8550</v>
      </c>
      <c r="E3391" s="43">
        <v>50000</v>
      </c>
      <c r="F3391" s="43"/>
      <c r="G3391" s="364">
        <f t="shared" si="62"/>
        <v>7747.6612903226633</v>
      </c>
      <c r="H3391" s="391" t="s">
        <v>9568</v>
      </c>
    </row>
    <row r="3392" spans="1:13" x14ac:dyDescent="0.3">
      <c r="A3392" s="45">
        <v>44611</v>
      </c>
      <c r="B3392" s="399"/>
      <c r="C3392" s="5" t="s">
        <v>25</v>
      </c>
      <c r="D3392" s="5" t="s">
        <v>8152</v>
      </c>
      <c r="E3392" s="43">
        <v>3481</v>
      </c>
      <c r="F3392" s="43"/>
      <c r="G3392" s="364">
        <f t="shared" si="62"/>
        <v>4266.6612903226633</v>
      </c>
      <c r="H3392" s="391" t="s">
        <v>9568</v>
      </c>
    </row>
    <row r="3393" spans="1:13" x14ac:dyDescent="0.3">
      <c r="A3393" s="45">
        <v>44613</v>
      </c>
      <c r="B3393" s="399"/>
      <c r="C3393" s="5" t="s">
        <v>1616</v>
      </c>
      <c r="D3393" s="5" t="s">
        <v>8866</v>
      </c>
      <c r="E3393" s="43">
        <v>754</v>
      </c>
      <c r="F3393" s="43"/>
      <c r="G3393" s="364">
        <f t="shared" si="62"/>
        <v>3512.6612903226633</v>
      </c>
      <c r="H3393" s="391" t="s">
        <v>9568</v>
      </c>
    </row>
    <row r="3394" spans="1:13" x14ac:dyDescent="0.3">
      <c r="A3394" s="45">
        <v>44613</v>
      </c>
      <c r="B3394" s="582"/>
      <c r="C3394" s="559" t="s">
        <v>8290</v>
      </c>
      <c r="D3394" s="560"/>
      <c r="E3394" s="561"/>
      <c r="F3394" s="249">
        <v>10000</v>
      </c>
      <c r="G3394" s="364">
        <f t="shared" ref="G3394" si="65">G3393+F3394-E3394</f>
        <v>13512.661290322663</v>
      </c>
      <c r="H3394" s="391" t="s">
        <v>9568</v>
      </c>
      <c r="M3394" s="93"/>
    </row>
    <row r="3395" spans="1:13" x14ac:dyDescent="0.3">
      <c r="A3395" s="45">
        <v>44613</v>
      </c>
      <c r="B3395" s="399"/>
      <c r="C3395" s="5" t="s">
        <v>68</v>
      </c>
      <c r="D3395" s="5" t="s">
        <v>8833</v>
      </c>
      <c r="E3395" s="43">
        <v>10000</v>
      </c>
      <c r="F3395" s="43"/>
      <c r="G3395" s="364">
        <f t="shared" si="62"/>
        <v>3512.6612903226633</v>
      </c>
      <c r="H3395" s="391" t="s">
        <v>9568</v>
      </c>
    </row>
    <row r="3396" spans="1:13" x14ac:dyDescent="0.3">
      <c r="A3396" s="45">
        <v>44613</v>
      </c>
      <c r="B3396" s="399"/>
      <c r="C3396" s="5" t="s">
        <v>25</v>
      </c>
      <c r="D3396" s="5" t="s">
        <v>8152</v>
      </c>
      <c r="E3396" s="43">
        <v>1570</v>
      </c>
      <c r="F3396" s="43"/>
      <c r="G3396" s="364">
        <f t="shared" si="62"/>
        <v>1942.6612903226633</v>
      </c>
      <c r="H3396" s="391" t="s">
        <v>9568</v>
      </c>
    </row>
    <row r="3397" spans="1:13" x14ac:dyDescent="0.3">
      <c r="A3397" s="45">
        <v>44614</v>
      </c>
      <c r="B3397" s="582"/>
      <c r="C3397" s="559" t="s">
        <v>3444</v>
      </c>
      <c r="D3397" s="560"/>
      <c r="E3397" s="561"/>
      <c r="F3397" s="249">
        <v>150000</v>
      </c>
      <c r="G3397" s="364">
        <f t="shared" si="62"/>
        <v>151942.66129032266</v>
      </c>
      <c r="H3397" s="391" t="s">
        <v>9568</v>
      </c>
      <c r="M3397" s="93"/>
    </row>
    <row r="3398" spans="1:13" x14ac:dyDescent="0.3">
      <c r="A3398" s="45">
        <v>44614</v>
      </c>
      <c r="B3398" s="399"/>
      <c r="C3398" s="5" t="s">
        <v>57</v>
      </c>
      <c r="D3398" s="5" t="s">
        <v>8868</v>
      </c>
      <c r="E3398" s="43">
        <v>5000</v>
      </c>
      <c r="F3398" s="43"/>
      <c r="G3398" s="364">
        <f t="shared" si="62"/>
        <v>146942.66129032266</v>
      </c>
      <c r="H3398" s="391" t="s">
        <v>9568</v>
      </c>
    </row>
    <row r="3399" spans="1:13" x14ac:dyDescent="0.3">
      <c r="A3399" s="45">
        <v>44614</v>
      </c>
      <c r="B3399" s="399"/>
      <c r="C3399" s="5" t="s">
        <v>84</v>
      </c>
      <c r="D3399" s="5" t="s">
        <v>8869</v>
      </c>
      <c r="E3399" s="43">
        <v>1000</v>
      </c>
      <c r="F3399" s="43"/>
      <c r="G3399" s="364">
        <f t="shared" si="62"/>
        <v>145942.66129032266</v>
      </c>
      <c r="H3399" s="391" t="s">
        <v>9568</v>
      </c>
    </row>
    <row r="3400" spans="1:13" x14ac:dyDescent="0.3">
      <c r="A3400" s="45">
        <v>44614</v>
      </c>
      <c r="B3400" s="399"/>
      <c r="C3400" s="5" t="s">
        <v>18</v>
      </c>
      <c r="D3400" s="5" t="s">
        <v>8870</v>
      </c>
      <c r="E3400" s="43">
        <v>5000</v>
      </c>
      <c r="F3400" s="43"/>
      <c r="G3400" s="364">
        <f t="shared" si="62"/>
        <v>140942.66129032266</v>
      </c>
      <c r="H3400" s="391" t="s">
        <v>9568</v>
      </c>
    </row>
    <row r="3401" spans="1:13" x14ac:dyDescent="0.3">
      <c r="A3401" s="45">
        <v>44614</v>
      </c>
      <c r="B3401" s="399"/>
      <c r="C3401" s="5" t="s">
        <v>3554</v>
      </c>
      <c r="D3401" s="5" t="s">
        <v>8871</v>
      </c>
      <c r="E3401" s="43">
        <v>5000</v>
      </c>
      <c r="F3401" s="43"/>
      <c r="G3401" s="364">
        <f t="shared" si="62"/>
        <v>135942.66129032266</v>
      </c>
      <c r="H3401" s="391" t="s">
        <v>9568</v>
      </c>
    </row>
    <row r="3402" spans="1:13" x14ac:dyDescent="0.3">
      <c r="A3402" s="45">
        <v>44614</v>
      </c>
      <c r="B3402" s="399"/>
      <c r="C3402" s="5" t="s">
        <v>3554</v>
      </c>
      <c r="D3402" s="5" t="s">
        <v>8872</v>
      </c>
      <c r="E3402" s="43">
        <v>2000</v>
      </c>
      <c r="F3402" s="43"/>
      <c r="G3402" s="364">
        <f t="shared" si="62"/>
        <v>133942.66129032266</v>
      </c>
      <c r="H3402" s="391" t="s">
        <v>9568</v>
      </c>
    </row>
    <row r="3403" spans="1:13" x14ac:dyDescent="0.3">
      <c r="A3403" s="45">
        <v>44614</v>
      </c>
      <c r="B3403" s="399"/>
      <c r="C3403" s="5" t="s">
        <v>14</v>
      </c>
      <c r="D3403" s="5" t="s">
        <v>294</v>
      </c>
      <c r="E3403" s="43">
        <v>50000</v>
      </c>
      <c r="F3403" s="43"/>
      <c r="G3403" s="364">
        <f t="shared" si="62"/>
        <v>83942.661290322663</v>
      </c>
      <c r="H3403" s="391" t="s">
        <v>9568</v>
      </c>
    </row>
    <row r="3404" spans="1:13" x14ac:dyDescent="0.3">
      <c r="A3404" s="45">
        <v>44615</v>
      </c>
      <c r="B3404" s="399"/>
      <c r="C3404" s="5" t="s">
        <v>1012</v>
      </c>
      <c r="D3404" s="5" t="s">
        <v>8873</v>
      </c>
      <c r="E3404" s="43">
        <v>20000</v>
      </c>
      <c r="F3404" s="43"/>
      <c r="G3404" s="364">
        <f t="shared" si="62"/>
        <v>63942.661290322663</v>
      </c>
      <c r="H3404" s="391" t="s">
        <v>9568</v>
      </c>
    </row>
    <row r="3405" spans="1:13" x14ac:dyDescent="0.3">
      <c r="A3405" s="45">
        <v>44615</v>
      </c>
      <c r="B3405" s="399"/>
      <c r="C3405" s="5" t="s">
        <v>3724</v>
      </c>
      <c r="D3405" s="5" t="s">
        <v>40</v>
      </c>
      <c r="E3405" s="43">
        <v>4660</v>
      </c>
      <c r="F3405" s="43"/>
      <c r="G3405" s="364">
        <f t="shared" si="62"/>
        <v>59282.661290322663</v>
      </c>
      <c r="H3405" s="391" t="s">
        <v>9568</v>
      </c>
    </row>
    <row r="3406" spans="1:13" x14ac:dyDescent="0.3">
      <c r="A3406" s="45">
        <v>44615</v>
      </c>
      <c r="B3406" s="399"/>
      <c r="C3406" s="5" t="s">
        <v>1074</v>
      </c>
      <c r="D3406" s="5" t="s">
        <v>8567</v>
      </c>
      <c r="E3406" s="43">
        <v>3928</v>
      </c>
      <c r="F3406" s="43"/>
      <c r="G3406" s="364">
        <f t="shared" si="62"/>
        <v>55354.661290322663</v>
      </c>
      <c r="H3406" s="391" t="s">
        <v>9568</v>
      </c>
    </row>
    <row r="3407" spans="1:13" x14ac:dyDescent="0.3">
      <c r="A3407" s="45">
        <v>44615</v>
      </c>
      <c r="B3407" s="399"/>
      <c r="C3407" s="5" t="s">
        <v>1074</v>
      </c>
      <c r="D3407" s="5" t="s">
        <v>8874</v>
      </c>
      <c r="E3407" s="43">
        <f>17245+3426</f>
        <v>20671</v>
      </c>
      <c r="F3407" s="43"/>
      <c r="G3407" s="364">
        <f t="shared" si="62"/>
        <v>34683.661290322663</v>
      </c>
      <c r="H3407" s="391" t="s">
        <v>9568</v>
      </c>
    </row>
    <row r="3408" spans="1:13" x14ac:dyDescent="0.3">
      <c r="A3408" s="45">
        <v>44615</v>
      </c>
      <c r="B3408" s="399"/>
      <c r="C3408" s="5" t="s">
        <v>14</v>
      </c>
      <c r="D3408" s="5" t="s">
        <v>8875</v>
      </c>
      <c r="E3408" s="43">
        <v>2720</v>
      </c>
      <c r="F3408" s="43"/>
      <c r="G3408" s="364">
        <f t="shared" si="62"/>
        <v>31963.661290322663</v>
      </c>
      <c r="H3408" s="391" t="s">
        <v>9568</v>
      </c>
    </row>
    <row r="3409" spans="1:13" x14ac:dyDescent="0.3">
      <c r="A3409" s="45">
        <v>44615</v>
      </c>
      <c r="B3409" s="399"/>
      <c r="C3409" s="5" t="s">
        <v>4550</v>
      </c>
      <c r="D3409" s="5" t="s">
        <v>8064</v>
      </c>
      <c r="E3409" s="43">
        <v>10000</v>
      </c>
      <c r="F3409" s="43"/>
      <c r="G3409" s="364">
        <f t="shared" si="62"/>
        <v>21963.661290322663</v>
      </c>
      <c r="H3409" s="391" t="s">
        <v>9568</v>
      </c>
    </row>
    <row r="3410" spans="1:13" x14ac:dyDescent="0.3">
      <c r="A3410" s="45">
        <v>44615</v>
      </c>
      <c r="B3410" s="399"/>
      <c r="C3410" s="5" t="s">
        <v>25</v>
      </c>
      <c r="D3410" s="5" t="s">
        <v>8878</v>
      </c>
      <c r="E3410" s="43">
        <v>10000</v>
      </c>
      <c r="F3410" s="43"/>
      <c r="G3410" s="364">
        <f t="shared" si="62"/>
        <v>11963.661290322663</v>
      </c>
      <c r="H3410" s="391" t="s">
        <v>9568</v>
      </c>
    </row>
    <row r="3411" spans="1:13" x14ac:dyDescent="0.3">
      <c r="A3411" s="45">
        <v>44615</v>
      </c>
      <c r="B3411" s="399"/>
      <c r="C3411" s="5" t="s">
        <v>6430</v>
      </c>
      <c r="D3411" s="5" t="s">
        <v>8876</v>
      </c>
      <c r="E3411" s="43">
        <v>2100</v>
      </c>
      <c r="F3411" s="43"/>
      <c r="G3411" s="364">
        <f t="shared" si="62"/>
        <v>9863.6612903226633</v>
      </c>
      <c r="H3411" s="391" t="s">
        <v>9568</v>
      </c>
    </row>
    <row r="3412" spans="1:13" x14ac:dyDescent="0.3">
      <c r="A3412" s="45">
        <v>44615</v>
      </c>
      <c r="B3412" s="399"/>
      <c r="C3412" s="5" t="s">
        <v>84</v>
      </c>
      <c r="D3412" s="5" t="s">
        <v>8877</v>
      </c>
      <c r="E3412" s="43">
        <v>6000</v>
      </c>
      <c r="F3412" s="43"/>
      <c r="G3412" s="364">
        <f t="shared" si="62"/>
        <v>3863.6612903226633</v>
      </c>
      <c r="H3412" s="391" t="s">
        <v>9568</v>
      </c>
    </row>
    <row r="3413" spans="1:13" x14ac:dyDescent="0.3">
      <c r="A3413" s="45">
        <v>44615</v>
      </c>
      <c r="B3413" s="582"/>
      <c r="C3413" s="559" t="s">
        <v>8290</v>
      </c>
      <c r="D3413" s="560"/>
      <c r="E3413" s="561"/>
      <c r="F3413" s="249">
        <v>70000</v>
      </c>
      <c r="G3413" s="364">
        <f t="shared" si="62"/>
        <v>73863.661290322663</v>
      </c>
      <c r="H3413" s="391" t="s">
        <v>9568</v>
      </c>
      <c r="M3413" s="93"/>
    </row>
    <row r="3414" spans="1:13" x14ac:dyDescent="0.3">
      <c r="A3414" s="45">
        <v>44615</v>
      </c>
      <c r="B3414" s="399"/>
      <c r="C3414" s="5" t="s">
        <v>8767</v>
      </c>
      <c r="D3414" s="5" t="s">
        <v>8879</v>
      </c>
      <c r="E3414" s="43">
        <v>20000</v>
      </c>
      <c r="F3414" s="43"/>
      <c r="G3414" s="364">
        <f t="shared" si="62"/>
        <v>53863.661290322663</v>
      </c>
      <c r="H3414" s="391" t="s">
        <v>9568</v>
      </c>
    </row>
    <row r="3415" spans="1:13" x14ac:dyDescent="0.3">
      <c r="A3415" s="45">
        <v>44616</v>
      </c>
      <c r="B3415" s="399"/>
      <c r="C3415" s="5" t="s">
        <v>84</v>
      </c>
      <c r="D3415" s="5" t="s">
        <v>8880</v>
      </c>
      <c r="E3415" s="43">
        <v>1000</v>
      </c>
      <c r="F3415" s="43"/>
      <c r="G3415" s="364">
        <f t="shared" si="62"/>
        <v>52863.661290322663</v>
      </c>
      <c r="H3415" s="391" t="s">
        <v>9568</v>
      </c>
    </row>
    <row r="3416" spans="1:13" x14ac:dyDescent="0.3">
      <c r="A3416" s="45">
        <v>44617</v>
      </c>
      <c r="B3416" s="399"/>
      <c r="C3416" s="5" t="s">
        <v>8900</v>
      </c>
      <c r="D3416" s="5" t="s">
        <v>8901</v>
      </c>
      <c r="E3416" s="43">
        <v>25000</v>
      </c>
      <c r="F3416" s="43"/>
      <c r="G3416" s="364">
        <f t="shared" si="62"/>
        <v>27863.661290322663</v>
      </c>
      <c r="H3416" s="391" t="s">
        <v>9568</v>
      </c>
    </row>
    <row r="3417" spans="1:13" x14ac:dyDescent="0.3">
      <c r="A3417" s="45">
        <v>44617</v>
      </c>
      <c r="B3417" s="399"/>
      <c r="C3417" s="5" t="s">
        <v>14</v>
      </c>
      <c r="D3417" s="5" t="s">
        <v>294</v>
      </c>
      <c r="E3417" s="43">
        <v>25000</v>
      </c>
      <c r="F3417" s="43"/>
      <c r="G3417" s="364">
        <f t="shared" si="62"/>
        <v>2863.6612903226633</v>
      </c>
      <c r="H3417" s="391" t="s">
        <v>9568</v>
      </c>
    </row>
    <row r="3418" spans="1:13" x14ac:dyDescent="0.3">
      <c r="A3418" s="45">
        <v>44620</v>
      </c>
      <c r="B3418" s="399"/>
      <c r="C3418" s="5" t="s">
        <v>14</v>
      </c>
      <c r="D3418" s="5" t="s">
        <v>640</v>
      </c>
      <c r="E3418" s="43">
        <v>1000</v>
      </c>
      <c r="F3418" s="43"/>
      <c r="G3418" s="364">
        <f t="shared" si="62"/>
        <v>1863.6612903226633</v>
      </c>
      <c r="H3418" s="391" t="s">
        <v>9568</v>
      </c>
    </row>
    <row r="3419" spans="1:13" x14ac:dyDescent="0.3">
      <c r="A3419" s="45">
        <v>44620</v>
      </c>
      <c r="B3419" s="582"/>
      <c r="C3419" s="559" t="s">
        <v>4106</v>
      </c>
      <c r="D3419" s="560"/>
      <c r="E3419" s="561"/>
      <c r="F3419" s="249">
        <v>300000</v>
      </c>
      <c r="G3419" s="364">
        <f t="shared" si="62"/>
        <v>301863.66129032266</v>
      </c>
      <c r="H3419" s="391" t="s">
        <v>9568</v>
      </c>
    </row>
    <row r="3420" spans="1:13" x14ac:dyDescent="0.3">
      <c r="A3420" s="45">
        <v>44620</v>
      </c>
      <c r="B3420" s="582"/>
      <c r="C3420" s="559" t="s">
        <v>4106</v>
      </c>
      <c r="D3420" s="560"/>
      <c r="E3420" s="561"/>
      <c r="F3420" s="43">
        <v>200000</v>
      </c>
      <c r="G3420" s="364">
        <f t="shared" si="62"/>
        <v>501863.66129032266</v>
      </c>
      <c r="H3420" s="391" t="s">
        <v>9568</v>
      </c>
    </row>
    <row r="3421" spans="1:13" x14ac:dyDescent="0.3">
      <c r="A3421" s="45">
        <v>44620</v>
      </c>
      <c r="B3421" s="399"/>
      <c r="C3421" s="5" t="s">
        <v>14</v>
      </c>
      <c r="D3421" s="5" t="s">
        <v>294</v>
      </c>
      <c r="E3421" s="43">
        <v>100000</v>
      </c>
      <c r="F3421" s="43"/>
      <c r="G3421" s="364">
        <f t="shared" si="62"/>
        <v>401863.66129032266</v>
      </c>
      <c r="H3421" s="391" t="s">
        <v>9568</v>
      </c>
    </row>
    <row r="3422" spans="1:13" x14ac:dyDescent="0.3">
      <c r="A3422" s="45">
        <v>44620</v>
      </c>
      <c r="B3422" s="399"/>
      <c r="C3422" s="5" t="s">
        <v>68</v>
      </c>
      <c r="D3422" s="5" t="s">
        <v>8833</v>
      </c>
      <c r="E3422" s="43">
        <v>3000</v>
      </c>
      <c r="F3422" s="43"/>
      <c r="G3422" s="364">
        <f t="shared" si="62"/>
        <v>398863.66129032266</v>
      </c>
      <c r="H3422" s="391" t="s">
        <v>9568</v>
      </c>
    </row>
    <row r="3423" spans="1:13" x14ac:dyDescent="0.3">
      <c r="A3423" s="45">
        <v>44620</v>
      </c>
      <c r="B3423" s="399"/>
      <c r="C3423" s="5" t="s">
        <v>14</v>
      </c>
      <c r="D3423" s="5" t="s">
        <v>294</v>
      </c>
      <c r="E3423" s="43">
        <v>28800</v>
      </c>
      <c r="F3423" s="43"/>
      <c r="G3423" s="364">
        <f t="shared" si="62"/>
        <v>370063.66129032266</v>
      </c>
      <c r="H3423" s="391" t="s">
        <v>9568</v>
      </c>
    </row>
    <row r="3424" spans="1:13" x14ac:dyDescent="0.3">
      <c r="A3424" s="45">
        <v>44620</v>
      </c>
      <c r="B3424" s="399"/>
      <c r="C3424" s="5" t="s">
        <v>3554</v>
      </c>
      <c r="D3424" s="5" t="s">
        <v>8902</v>
      </c>
      <c r="E3424" s="43">
        <v>10000</v>
      </c>
      <c r="F3424" s="43"/>
      <c r="G3424" s="364">
        <f t="shared" si="62"/>
        <v>360063.66129032266</v>
      </c>
      <c r="H3424" s="391" t="s">
        <v>9568</v>
      </c>
    </row>
    <row r="3425" spans="1:8" x14ac:dyDescent="0.3">
      <c r="A3425" s="45">
        <v>44620</v>
      </c>
      <c r="B3425" s="399"/>
      <c r="C3425" s="5" t="s">
        <v>14</v>
      </c>
      <c r="D3425" s="5" t="s">
        <v>640</v>
      </c>
      <c r="E3425" s="43">
        <v>1000</v>
      </c>
      <c r="F3425" s="43"/>
      <c r="G3425" s="364">
        <f t="shared" si="62"/>
        <v>359063.66129032266</v>
      </c>
      <c r="H3425" s="391" t="s">
        <v>9568</v>
      </c>
    </row>
    <row r="3426" spans="1:8" x14ac:dyDescent="0.3">
      <c r="A3426" s="45">
        <v>44620</v>
      </c>
      <c r="B3426" s="404"/>
      <c r="C3426" s="41" t="s">
        <v>8903</v>
      </c>
      <c r="D3426" s="41" t="s">
        <v>8904</v>
      </c>
      <c r="E3426" s="42">
        <v>10000</v>
      </c>
      <c r="F3426" s="43"/>
      <c r="G3426" s="364">
        <f t="shared" si="62"/>
        <v>349063.66129032266</v>
      </c>
      <c r="H3426" s="391" t="s">
        <v>9568</v>
      </c>
    </row>
    <row r="3427" spans="1:8" x14ac:dyDescent="0.3">
      <c r="A3427" s="45">
        <v>44620</v>
      </c>
      <c r="B3427" s="408"/>
      <c r="C3427" s="218" t="s">
        <v>7571</v>
      </c>
      <c r="D3427" s="218" t="s">
        <v>8053</v>
      </c>
      <c r="E3427" s="211">
        <v>80000</v>
      </c>
      <c r="F3427" s="43"/>
      <c r="G3427" s="364">
        <f t="shared" si="62"/>
        <v>269063.66129032266</v>
      </c>
      <c r="H3427" s="391" t="s">
        <v>9568</v>
      </c>
    </row>
    <row r="3428" spans="1:8" x14ac:dyDescent="0.3">
      <c r="A3428" s="45">
        <v>44620</v>
      </c>
      <c r="B3428" s="399"/>
      <c r="C3428" s="5" t="s">
        <v>25</v>
      </c>
      <c r="D3428" s="5" t="s">
        <v>4731</v>
      </c>
      <c r="E3428" s="43">
        <v>2500</v>
      </c>
      <c r="F3428" s="43"/>
      <c r="G3428" s="364">
        <f t="shared" si="62"/>
        <v>266563.66129032266</v>
      </c>
      <c r="H3428" s="391" t="s">
        <v>9568</v>
      </c>
    </row>
    <row r="3429" spans="1:8" x14ac:dyDescent="0.3">
      <c r="A3429" s="45">
        <v>44620</v>
      </c>
      <c r="B3429" s="399"/>
      <c r="C3429" s="5" t="s">
        <v>84</v>
      </c>
      <c r="D3429" s="5" t="s">
        <v>8905</v>
      </c>
      <c r="E3429" s="43">
        <v>10000</v>
      </c>
      <c r="F3429" s="43"/>
      <c r="G3429" s="364">
        <f t="shared" si="62"/>
        <v>256563.66129032266</v>
      </c>
      <c r="H3429" s="391" t="s">
        <v>9568</v>
      </c>
    </row>
    <row r="3430" spans="1:8" x14ac:dyDescent="0.3">
      <c r="A3430" s="45">
        <v>44620</v>
      </c>
      <c r="B3430" s="399"/>
      <c r="C3430" s="5" t="s">
        <v>54</v>
      </c>
      <c r="D3430" s="5" t="s">
        <v>8906</v>
      </c>
      <c r="E3430" s="43">
        <f>700*6</f>
        <v>4200</v>
      </c>
      <c r="F3430" s="43"/>
      <c r="G3430" s="364">
        <f t="shared" si="62"/>
        <v>252363.66129032266</v>
      </c>
      <c r="H3430" s="391" t="s">
        <v>9568</v>
      </c>
    </row>
    <row r="3431" spans="1:8" x14ac:dyDescent="0.3">
      <c r="A3431" s="45">
        <v>44620</v>
      </c>
      <c r="B3431" s="399"/>
      <c r="C3431" s="5" t="s">
        <v>54</v>
      </c>
      <c r="D3431" s="5" t="s">
        <v>8906</v>
      </c>
      <c r="E3431" s="43">
        <f>700*6</f>
        <v>4200</v>
      </c>
      <c r="F3431" s="43"/>
      <c r="G3431" s="364">
        <f t="shared" si="62"/>
        <v>248163.66129032266</v>
      </c>
      <c r="H3431" s="391" t="s">
        <v>9568</v>
      </c>
    </row>
    <row r="3432" spans="1:8" x14ac:dyDescent="0.3">
      <c r="A3432" s="45">
        <v>44620</v>
      </c>
      <c r="B3432" s="399"/>
      <c r="C3432" s="5" t="s">
        <v>84</v>
      </c>
      <c r="D3432" s="5" t="s">
        <v>8880</v>
      </c>
      <c r="E3432" s="43">
        <v>2000</v>
      </c>
      <c r="F3432" s="43"/>
      <c r="G3432" s="364">
        <f t="shared" si="62"/>
        <v>246163.66129032266</v>
      </c>
      <c r="H3432" s="391" t="s">
        <v>9568</v>
      </c>
    </row>
    <row r="3433" spans="1:8" x14ac:dyDescent="0.3">
      <c r="A3433" s="45">
        <v>44620</v>
      </c>
      <c r="B3433" s="399"/>
      <c r="C3433" s="5" t="s">
        <v>84</v>
      </c>
      <c r="D3433" s="5" t="s">
        <v>8907</v>
      </c>
      <c r="E3433" s="43">
        <v>2000</v>
      </c>
      <c r="F3433" s="43"/>
      <c r="G3433" s="364">
        <f t="shared" si="62"/>
        <v>244163.66129032266</v>
      </c>
      <c r="H3433" s="391" t="s">
        <v>9568</v>
      </c>
    </row>
    <row r="3434" spans="1:8" x14ac:dyDescent="0.3">
      <c r="A3434" s="45">
        <v>44620</v>
      </c>
      <c r="B3434" s="399"/>
      <c r="C3434" s="5" t="s">
        <v>84</v>
      </c>
      <c r="D3434" s="5" t="s">
        <v>8908</v>
      </c>
      <c r="E3434" s="43">
        <v>2000</v>
      </c>
      <c r="F3434" s="43"/>
      <c r="G3434" s="364">
        <f t="shared" si="62"/>
        <v>242163.66129032266</v>
      </c>
      <c r="H3434" s="391" t="s">
        <v>9568</v>
      </c>
    </row>
    <row r="3435" spans="1:8" x14ac:dyDescent="0.3">
      <c r="A3435" s="45">
        <v>44621</v>
      </c>
      <c r="B3435" s="399"/>
      <c r="C3435" s="5" t="s">
        <v>8573</v>
      </c>
      <c r="D3435" s="5" t="s">
        <v>8909</v>
      </c>
      <c r="E3435" s="43">
        <v>14000</v>
      </c>
      <c r="F3435" s="43"/>
      <c r="G3435" s="364">
        <f t="shared" si="62"/>
        <v>228163.66129032266</v>
      </c>
      <c r="H3435" s="391" t="s">
        <v>9568</v>
      </c>
    </row>
    <row r="3436" spans="1:8" x14ac:dyDescent="0.3">
      <c r="A3436" s="45">
        <v>44621</v>
      </c>
      <c r="B3436" s="399"/>
      <c r="C3436" s="5" t="s">
        <v>14</v>
      </c>
      <c r="D3436" s="5" t="s">
        <v>294</v>
      </c>
      <c r="E3436" s="43">
        <v>50000</v>
      </c>
      <c r="F3436" s="43"/>
      <c r="G3436" s="364">
        <f t="shared" si="62"/>
        <v>178163.66129032266</v>
      </c>
      <c r="H3436" s="391" t="s">
        <v>9568</v>
      </c>
    </row>
    <row r="3437" spans="1:8" x14ac:dyDescent="0.3">
      <c r="A3437" s="45">
        <v>44621</v>
      </c>
      <c r="B3437" s="404"/>
      <c r="C3437" s="41" t="s">
        <v>8903</v>
      </c>
      <c r="D3437" s="41" t="s">
        <v>8904</v>
      </c>
      <c r="E3437" s="42">
        <v>5000</v>
      </c>
      <c r="F3437" s="43"/>
      <c r="G3437" s="364">
        <f t="shared" ref="G3437:G3503" si="66">G3436+F3437-E3437</f>
        <v>173163.66129032266</v>
      </c>
      <c r="H3437" s="391" t="s">
        <v>9568</v>
      </c>
    </row>
    <row r="3438" spans="1:8" x14ac:dyDescent="0.3">
      <c r="A3438" s="45">
        <v>44621</v>
      </c>
      <c r="B3438" s="404"/>
      <c r="C3438" s="41" t="s">
        <v>8903</v>
      </c>
      <c r="D3438" s="41" t="s">
        <v>8904</v>
      </c>
      <c r="E3438" s="42">
        <v>5000</v>
      </c>
      <c r="F3438" s="43"/>
      <c r="G3438" s="364">
        <f t="shared" si="66"/>
        <v>168163.66129032266</v>
      </c>
      <c r="H3438" s="391" t="s">
        <v>9568</v>
      </c>
    </row>
    <row r="3439" spans="1:8" x14ac:dyDescent="0.3">
      <c r="A3439" s="45">
        <v>44621</v>
      </c>
      <c r="B3439" s="399"/>
      <c r="C3439" s="5" t="s">
        <v>5741</v>
      </c>
      <c r="D3439" s="5" t="s">
        <v>8910</v>
      </c>
      <c r="E3439" s="43">
        <v>25000</v>
      </c>
      <c r="F3439" s="43"/>
      <c r="G3439" s="364">
        <f t="shared" si="66"/>
        <v>143163.66129032266</v>
      </c>
      <c r="H3439" s="391" t="s">
        <v>9568</v>
      </c>
    </row>
    <row r="3440" spans="1:8" x14ac:dyDescent="0.3">
      <c r="A3440" s="45">
        <v>44621</v>
      </c>
      <c r="B3440" s="399"/>
      <c r="C3440" s="5" t="s">
        <v>14</v>
      </c>
      <c r="D3440" s="5" t="s">
        <v>8723</v>
      </c>
      <c r="E3440" s="43">
        <v>20000</v>
      </c>
      <c r="F3440" s="43"/>
      <c r="G3440" s="364">
        <f t="shared" si="66"/>
        <v>123163.66129032266</v>
      </c>
      <c r="H3440" s="391" t="s">
        <v>9568</v>
      </c>
    </row>
    <row r="3441" spans="1:13" x14ac:dyDescent="0.3">
      <c r="A3441" s="45">
        <v>44621</v>
      </c>
      <c r="B3441" s="399"/>
      <c r="C3441" s="5" t="s">
        <v>8803</v>
      </c>
      <c r="D3441" s="5" t="s">
        <v>91</v>
      </c>
      <c r="E3441" s="43">
        <v>670</v>
      </c>
      <c r="F3441" s="43"/>
      <c r="G3441" s="364">
        <f t="shared" si="66"/>
        <v>122493.66129032266</v>
      </c>
      <c r="H3441" s="391" t="s">
        <v>9568</v>
      </c>
    </row>
    <row r="3442" spans="1:13" x14ac:dyDescent="0.3">
      <c r="A3442" s="45">
        <v>44622</v>
      </c>
      <c r="B3442" s="399"/>
      <c r="C3442" s="5" t="s">
        <v>1012</v>
      </c>
      <c r="D3442" s="5" t="s">
        <v>8913</v>
      </c>
      <c r="E3442" s="43">
        <v>10000</v>
      </c>
      <c r="F3442" s="43"/>
      <c r="G3442" s="364">
        <f t="shared" si="66"/>
        <v>112493.66129032266</v>
      </c>
      <c r="H3442" s="391" t="s">
        <v>9568</v>
      </c>
    </row>
    <row r="3443" spans="1:13" x14ac:dyDescent="0.3">
      <c r="A3443" s="45">
        <v>44622</v>
      </c>
      <c r="B3443" s="399"/>
      <c r="C3443" s="5" t="s">
        <v>25</v>
      </c>
      <c r="D3443" s="5" t="s">
        <v>5641</v>
      </c>
      <c r="E3443" s="43">
        <v>650</v>
      </c>
      <c r="F3443" s="43"/>
      <c r="G3443" s="364">
        <f t="shared" si="66"/>
        <v>111843.66129032266</v>
      </c>
      <c r="H3443" s="391" t="s">
        <v>9568</v>
      </c>
    </row>
    <row r="3444" spans="1:13" x14ac:dyDescent="0.3">
      <c r="A3444" s="45">
        <v>44623</v>
      </c>
      <c r="B3444" s="399"/>
      <c r="C3444" s="5" t="s">
        <v>8914</v>
      </c>
      <c r="D3444" s="5" t="s">
        <v>8910</v>
      </c>
      <c r="E3444" s="43">
        <v>4000</v>
      </c>
      <c r="F3444" s="43"/>
      <c r="G3444" s="364">
        <f t="shared" si="66"/>
        <v>107843.66129032266</v>
      </c>
      <c r="H3444" s="391" t="s">
        <v>9568</v>
      </c>
    </row>
    <row r="3445" spans="1:13" x14ac:dyDescent="0.3">
      <c r="A3445" s="45">
        <v>44623</v>
      </c>
      <c r="B3445" s="399"/>
      <c r="C3445" s="5" t="s">
        <v>8915</v>
      </c>
      <c r="D3445" s="5" t="s">
        <v>8916</v>
      </c>
      <c r="E3445" s="43">
        <v>43200</v>
      </c>
      <c r="F3445" s="43"/>
      <c r="G3445" s="364">
        <f t="shared" si="66"/>
        <v>64643.661290322663</v>
      </c>
      <c r="H3445" s="391" t="s">
        <v>9568</v>
      </c>
    </row>
    <row r="3446" spans="1:13" x14ac:dyDescent="0.3">
      <c r="A3446" s="45">
        <v>44623</v>
      </c>
      <c r="B3446" s="399"/>
      <c r="C3446" s="5" t="s">
        <v>14</v>
      </c>
      <c r="D3446" s="5" t="s">
        <v>8213</v>
      </c>
      <c r="E3446" s="43">
        <v>3476</v>
      </c>
      <c r="F3446" s="43"/>
      <c r="G3446" s="364">
        <f t="shared" si="66"/>
        <v>61167.661290322663</v>
      </c>
      <c r="H3446" s="391" t="s">
        <v>9568</v>
      </c>
    </row>
    <row r="3447" spans="1:13" x14ac:dyDescent="0.3">
      <c r="A3447" s="45">
        <v>44623</v>
      </c>
      <c r="B3447" s="399"/>
      <c r="C3447" s="5" t="s">
        <v>25</v>
      </c>
      <c r="D3447" s="5" t="s">
        <v>8917</v>
      </c>
      <c r="E3447" s="43">
        <v>925</v>
      </c>
      <c r="F3447" s="43"/>
      <c r="G3447" s="364">
        <f t="shared" si="66"/>
        <v>60242.661290322663</v>
      </c>
      <c r="H3447" s="391" t="s">
        <v>9568</v>
      </c>
    </row>
    <row r="3448" spans="1:13" x14ac:dyDescent="0.3">
      <c r="A3448" s="45">
        <v>44623</v>
      </c>
      <c r="B3448" s="399"/>
      <c r="C3448" s="5" t="s">
        <v>57</v>
      </c>
      <c r="D3448" s="5" t="s">
        <v>294</v>
      </c>
      <c r="E3448" s="43">
        <v>2000</v>
      </c>
      <c r="F3448" s="43"/>
      <c r="G3448" s="364">
        <f t="shared" si="66"/>
        <v>58242.661290322663</v>
      </c>
      <c r="H3448" s="391" t="s">
        <v>9568</v>
      </c>
    </row>
    <row r="3449" spans="1:13" x14ac:dyDescent="0.3">
      <c r="A3449" s="45">
        <v>44623</v>
      </c>
      <c r="B3449" s="399"/>
      <c r="C3449" s="5" t="s">
        <v>4550</v>
      </c>
      <c r="D3449" s="5" t="s">
        <v>8919</v>
      </c>
      <c r="E3449" s="43">
        <v>20000</v>
      </c>
      <c r="F3449" s="43"/>
      <c r="G3449" s="364">
        <f t="shared" si="66"/>
        <v>38242.661290322663</v>
      </c>
      <c r="H3449" s="391" t="s">
        <v>9568</v>
      </c>
    </row>
    <row r="3450" spans="1:13" x14ac:dyDescent="0.3">
      <c r="A3450" s="45">
        <v>44624</v>
      </c>
      <c r="B3450" s="399"/>
      <c r="C3450" s="5" t="s">
        <v>8920</v>
      </c>
      <c r="D3450" s="5" t="s">
        <v>8956</v>
      </c>
      <c r="E3450" s="43">
        <v>25000</v>
      </c>
      <c r="F3450" s="43"/>
      <c r="G3450" s="364">
        <f t="shared" si="66"/>
        <v>13242.661290322663</v>
      </c>
      <c r="H3450" s="391" t="s">
        <v>9568</v>
      </c>
    </row>
    <row r="3451" spans="1:13" x14ac:dyDescent="0.3">
      <c r="A3451" s="45">
        <v>44624</v>
      </c>
      <c r="B3451" s="399"/>
      <c r="C3451" s="5" t="s">
        <v>84</v>
      </c>
      <c r="D3451" s="5" t="s">
        <v>8921</v>
      </c>
      <c r="E3451" s="43">
        <v>2000</v>
      </c>
      <c r="F3451" s="43"/>
      <c r="G3451" s="364">
        <f t="shared" si="66"/>
        <v>11242.661290322663</v>
      </c>
      <c r="H3451" s="391" t="s">
        <v>9568</v>
      </c>
    </row>
    <row r="3452" spans="1:13" x14ac:dyDescent="0.3">
      <c r="A3452" s="45">
        <v>44624</v>
      </c>
      <c r="B3452" s="399"/>
      <c r="C3452" s="5" t="s">
        <v>5162</v>
      </c>
      <c r="D3452" s="5" t="s">
        <v>8922</v>
      </c>
      <c r="E3452" s="43">
        <v>650</v>
      </c>
      <c r="F3452" s="43"/>
      <c r="G3452" s="364">
        <f t="shared" si="66"/>
        <v>10592.661290322663</v>
      </c>
      <c r="H3452" s="391" t="s">
        <v>9568</v>
      </c>
    </row>
    <row r="3453" spans="1:13" x14ac:dyDescent="0.3">
      <c r="A3453" s="45">
        <v>44624</v>
      </c>
      <c r="B3453" s="399"/>
      <c r="C3453" s="5" t="s">
        <v>2995</v>
      </c>
      <c r="D3453" s="5" t="s">
        <v>8923</v>
      </c>
      <c r="E3453" s="43">
        <v>7000</v>
      </c>
      <c r="F3453" s="43"/>
      <c r="G3453" s="364">
        <f t="shared" si="66"/>
        <v>3592.6612903226633</v>
      </c>
      <c r="H3453" s="391" t="s">
        <v>9568</v>
      </c>
    </row>
    <row r="3454" spans="1:13" x14ac:dyDescent="0.3">
      <c r="A3454" s="184">
        <v>44627</v>
      </c>
      <c r="B3454" s="583"/>
      <c r="C3454" s="562" t="s">
        <v>7440</v>
      </c>
      <c r="D3454" s="563"/>
      <c r="E3454" s="564"/>
      <c r="F3454" s="338">
        <v>200000</v>
      </c>
      <c r="G3454" s="364">
        <f t="shared" si="66"/>
        <v>203592.66129032266</v>
      </c>
      <c r="H3454" s="391" t="s">
        <v>9568</v>
      </c>
      <c r="M3454" s="93"/>
    </row>
    <row r="3455" spans="1:13" x14ac:dyDescent="0.3">
      <c r="A3455" s="45">
        <v>44627</v>
      </c>
      <c r="B3455" s="399"/>
      <c r="C3455" s="5" t="s">
        <v>14</v>
      </c>
      <c r="D3455" s="5" t="s">
        <v>294</v>
      </c>
      <c r="E3455" s="43">
        <v>5000</v>
      </c>
      <c r="F3455" s="43"/>
      <c r="G3455" s="364">
        <f t="shared" si="66"/>
        <v>198592.66129032266</v>
      </c>
      <c r="H3455" s="391" t="s">
        <v>9568</v>
      </c>
    </row>
    <row r="3456" spans="1:13" x14ac:dyDescent="0.3">
      <c r="A3456" s="45">
        <v>44627</v>
      </c>
      <c r="B3456" s="399"/>
      <c r="C3456" s="5" t="s">
        <v>8924</v>
      </c>
      <c r="D3456" s="5" t="s">
        <v>8931</v>
      </c>
      <c r="E3456" s="43">
        <v>360</v>
      </c>
      <c r="F3456" s="43"/>
      <c r="G3456" s="364">
        <f t="shared" si="66"/>
        <v>198232.66129032266</v>
      </c>
      <c r="H3456" s="391" t="s">
        <v>9568</v>
      </c>
    </row>
    <row r="3457" spans="1:8" x14ac:dyDescent="0.3">
      <c r="A3457" s="45">
        <v>44627</v>
      </c>
      <c r="B3457" s="401"/>
      <c r="C3457" s="73" t="s">
        <v>6931</v>
      </c>
      <c r="D3457" s="73" t="s">
        <v>8946</v>
      </c>
      <c r="E3457" s="58">
        <v>10000</v>
      </c>
      <c r="F3457" s="43"/>
      <c r="G3457" s="364">
        <f t="shared" si="66"/>
        <v>188232.66129032266</v>
      </c>
      <c r="H3457" s="391" t="s">
        <v>9568</v>
      </c>
    </row>
    <row r="3458" spans="1:8" x14ac:dyDescent="0.3">
      <c r="A3458" s="45">
        <v>44627</v>
      </c>
      <c r="B3458" s="399"/>
      <c r="C3458" s="5" t="s">
        <v>1012</v>
      </c>
      <c r="D3458" s="5" t="s">
        <v>8925</v>
      </c>
      <c r="E3458" s="43">
        <v>10000</v>
      </c>
      <c r="F3458" s="43"/>
      <c r="G3458" s="364">
        <f t="shared" si="66"/>
        <v>178232.66129032266</v>
      </c>
      <c r="H3458" s="391" t="s">
        <v>9568</v>
      </c>
    </row>
    <row r="3459" spans="1:8" x14ac:dyDescent="0.3">
      <c r="A3459" s="45">
        <v>44627</v>
      </c>
      <c r="B3459" s="432"/>
      <c r="C3459" s="218" t="s">
        <v>54</v>
      </c>
      <c r="D3459" s="332" t="s">
        <v>6245</v>
      </c>
      <c r="E3459" s="43">
        <v>36400</v>
      </c>
      <c r="F3459" s="43"/>
      <c r="G3459" s="364">
        <f t="shared" si="66"/>
        <v>141832.66129032266</v>
      </c>
      <c r="H3459" s="391" t="s">
        <v>9568</v>
      </c>
    </row>
    <row r="3460" spans="1:8" x14ac:dyDescent="0.3">
      <c r="A3460" s="45">
        <v>44627</v>
      </c>
      <c r="B3460" s="432"/>
      <c r="C3460" s="218" t="s">
        <v>54</v>
      </c>
      <c r="D3460" s="332" t="s">
        <v>8932</v>
      </c>
      <c r="E3460" s="43">
        <f>15000+5000</f>
        <v>20000</v>
      </c>
      <c r="F3460" s="43"/>
      <c r="G3460" s="364">
        <f t="shared" si="66"/>
        <v>121832.66129032266</v>
      </c>
      <c r="H3460" s="391" t="s">
        <v>9568</v>
      </c>
    </row>
    <row r="3461" spans="1:8" x14ac:dyDescent="0.3">
      <c r="A3461" s="45">
        <v>44627</v>
      </c>
      <c r="B3461" s="399"/>
      <c r="C3461" s="5" t="s">
        <v>14</v>
      </c>
      <c r="D3461" s="5" t="s">
        <v>294</v>
      </c>
      <c r="E3461" s="43">
        <v>7000</v>
      </c>
      <c r="F3461" s="43"/>
      <c r="G3461" s="364">
        <f t="shared" si="66"/>
        <v>114832.66129032266</v>
      </c>
      <c r="H3461" s="391" t="s">
        <v>9568</v>
      </c>
    </row>
    <row r="3462" spans="1:8" x14ac:dyDescent="0.3">
      <c r="A3462" s="45">
        <v>44627</v>
      </c>
      <c r="B3462" s="399"/>
      <c r="C3462" s="5" t="s">
        <v>25</v>
      </c>
      <c r="D3462" s="5" t="s">
        <v>8221</v>
      </c>
      <c r="E3462" s="43">
        <v>1000</v>
      </c>
      <c r="F3462" s="43"/>
      <c r="G3462" s="364">
        <f t="shared" si="66"/>
        <v>113832.66129032266</v>
      </c>
      <c r="H3462" s="391" t="s">
        <v>9568</v>
      </c>
    </row>
    <row r="3463" spans="1:8" x14ac:dyDescent="0.3">
      <c r="A3463" s="45">
        <v>44628</v>
      </c>
      <c r="B3463" s="399"/>
      <c r="C3463" s="5" t="s">
        <v>14</v>
      </c>
      <c r="D3463" s="5" t="s">
        <v>8930</v>
      </c>
      <c r="E3463" s="43">
        <v>100000</v>
      </c>
      <c r="F3463" s="43"/>
      <c r="G3463" s="364">
        <f t="shared" si="66"/>
        <v>13832.661290322663</v>
      </c>
      <c r="H3463" s="391" t="s">
        <v>9568</v>
      </c>
    </row>
    <row r="3464" spans="1:8" x14ac:dyDescent="0.3">
      <c r="A3464" s="45">
        <v>44628</v>
      </c>
      <c r="B3464" s="582"/>
      <c r="C3464" s="559" t="s">
        <v>4106</v>
      </c>
      <c r="D3464" s="560"/>
      <c r="E3464" s="561"/>
      <c r="F3464" s="43">
        <v>250000</v>
      </c>
      <c r="G3464" s="364">
        <f t="shared" si="66"/>
        <v>263832.66129032266</v>
      </c>
      <c r="H3464" s="391" t="s">
        <v>9568</v>
      </c>
    </row>
    <row r="3465" spans="1:8" x14ac:dyDescent="0.3">
      <c r="A3465" s="45">
        <v>44628</v>
      </c>
      <c r="B3465" s="582"/>
      <c r="C3465" s="559" t="s">
        <v>4106</v>
      </c>
      <c r="D3465" s="560"/>
      <c r="E3465" s="561"/>
      <c r="F3465" s="43">
        <v>250000</v>
      </c>
      <c r="G3465" s="364">
        <f t="shared" si="66"/>
        <v>513832.66129032266</v>
      </c>
      <c r="H3465" s="391" t="s">
        <v>9568</v>
      </c>
    </row>
    <row r="3466" spans="1:8" x14ac:dyDescent="0.3">
      <c r="A3466" s="45">
        <v>44628</v>
      </c>
      <c r="B3466" s="583"/>
      <c r="C3466" s="562" t="s">
        <v>7440</v>
      </c>
      <c r="D3466" s="563"/>
      <c r="E3466" s="564"/>
      <c r="F3466" s="338">
        <v>50000</v>
      </c>
      <c r="G3466" s="364">
        <f t="shared" si="66"/>
        <v>563832.66129032266</v>
      </c>
      <c r="H3466" s="391" t="s">
        <v>9568</v>
      </c>
    </row>
    <row r="3467" spans="1:8" x14ac:dyDescent="0.3">
      <c r="A3467" s="45">
        <v>44628</v>
      </c>
      <c r="B3467" s="399"/>
      <c r="C3467" s="5" t="s">
        <v>25</v>
      </c>
      <c r="D3467" s="5" t="s">
        <v>64</v>
      </c>
      <c r="E3467" s="43">
        <v>900</v>
      </c>
      <c r="F3467" s="43"/>
      <c r="G3467" s="364">
        <f t="shared" si="66"/>
        <v>562932.66129032266</v>
      </c>
      <c r="H3467" s="391" t="s">
        <v>9568</v>
      </c>
    </row>
    <row r="3468" spans="1:8" x14ac:dyDescent="0.3">
      <c r="A3468" s="45">
        <v>44628</v>
      </c>
      <c r="B3468" s="399"/>
      <c r="C3468" s="5" t="s">
        <v>1616</v>
      </c>
      <c r="D3468" s="5" t="s">
        <v>8643</v>
      </c>
      <c r="E3468" s="43">
        <v>1500</v>
      </c>
      <c r="F3468" s="43"/>
      <c r="G3468" s="364">
        <f t="shared" si="66"/>
        <v>561432.66129032266</v>
      </c>
      <c r="H3468" s="391" t="s">
        <v>9568</v>
      </c>
    </row>
    <row r="3469" spans="1:8" x14ac:dyDescent="0.3">
      <c r="A3469" s="45">
        <v>44628</v>
      </c>
      <c r="B3469" s="399"/>
      <c r="C3469" s="5" t="s">
        <v>1616</v>
      </c>
      <c r="D3469" s="5" t="s">
        <v>6509</v>
      </c>
      <c r="E3469" s="43">
        <v>650</v>
      </c>
      <c r="F3469" s="43"/>
      <c r="G3469" s="364">
        <f t="shared" si="66"/>
        <v>560782.66129032266</v>
      </c>
      <c r="H3469" s="391" t="s">
        <v>9568</v>
      </c>
    </row>
    <row r="3470" spans="1:8" x14ac:dyDescent="0.3">
      <c r="A3470" s="45">
        <v>44628</v>
      </c>
      <c r="B3470" s="399"/>
      <c r="C3470" s="5" t="s">
        <v>8720</v>
      </c>
      <c r="D3470" s="5" t="s">
        <v>8934</v>
      </c>
      <c r="E3470" s="43">
        <v>15000</v>
      </c>
      <c r="F3470" s="43"/>
      <c r="G3470" s="364">
        <f t="shared" si="66"/>
        <v>545782.66129032266</v>
      </c>
      <c r="H3470" s="391" t="s">
        <v>9568</v>
      </c>
    </row>
    <row r="3471" spans="1:8" x14ac:dyDescent="0.3">
      <c r="A3471" s="45">
        <v>44628</v>
      </c>
      <c r="B3471" s="432"/>
      <c r="C3471" s="218" t="s">
        <v>54</v>
      </c>
      <c r="D3471" s="332" t="s">
        <v>8637</v>
      </c>
      <c r="E3471" s="43">
        <v>70643</v>
      </c>
      <c r="F3471" s="43"/>
      <c r="G3471" s="364">
        <f t="shared" si="66"/>
        <v>475139.66129032266</v>
      </c>
      <c r="H3471" s="391" t="s">
        <v>9568</v>
      </c>
    </row>
    <row r="3472" spans="1:8" x14ac:dyDescent="0.3">
      <c r="A3472" s="45">
        <v>44628</v>
      </c>
      <c r="B3472" s="432"/>
      <c r="C3472" s="218" t="s">
        <v>54</v>
      </c>
      <c r="D3472" s="332" t="s">
        <v>8645</v>
      </c>
      <c r="E3472" s="43">
        <v>204339</v>
      </c>
      <c r="F3472" s="43"/>
      <c r="G3472" s="364">
        <f t="shared" si="66"/>
        <v>270800.66129032266</v>
      </c>
      <c r="H3472" s="391" t="s">
        <v>9568</v>
      </c>
    </row>
    <row r="3473" spans="1:8" x14ac:dyDescent="0.3">
      <c r="A3473" s="45">
        <v>44628</v>
      </c>
      <c r="B3473" s="432"/>
      <c r="C3473" s="218" t="s">
        <v>54</v>
      </c>
      <c r="D3473" s="332" t="s">
        <v>8933</v>
      </c>
      <c r="E3473" s="43">
        <v>74000</v>
      </c>
      <c r="F3473" s="43"/>
      <c r="G3473" s="364">
        <f t="shared" si="66"/>
        <v>196800.66129032266</v>
      </c>
      <c r="H3473" s="391" t="s">
        <v>9568</v>
      </c>
    </row>
    <row r="3474" spans="1:8" x14ac:dyDescent="0.3">
      <c r="A3474" s="45">
        <v>44628</v>
      </c>
      <c r="B3474" s="432"/>
      <c r="C3474" s="218" t="s">
        <v>54</v>
      </c>
      <c r="D3474" s="332" t="s">
        <v>6531</v>
      </c>
      <c r="E3474" s="58">
        <v>26125</v>
      </c>
      <c r="F3474" s="43"/>
      <c r="G3474" s="364">
        <f t="shared" si="66"/>
        <v>170675.66129032266</v>
      </c>
      <c r="H3474" s="391" t="s">
        <v>9568</v>
      </c>
    </row>
    <row r="3475" spans="1:8" x14ac:dyDescent="0.3">
      <c r="A3475" s="45">
        <v>44628</v>
      </c>
      <c r="B3475" s="408"/>
      <c r="C3475" s="218" t="s">
        <v>54</v>
      </c>
      <c r="D3475" s="218" t="s">
        <v>8952</v>
      </c>
      <c r="E3475" s="58">
        <v>112374</v>
      </c>
      <c r="F3475" s="43"/>
      <c r="G3475" s="364">
        <f t="shared" si="66"/>
        <v>58301.661290322663</v>
      </c>
      <c r="H3475" s="391" t="s">
        <v>9568</v>
      </c>
    </row>
    <row r="3476" spans="1:8" x14ac:dyDescent="0.3">
      <c r="A3476" s="45">
        <v>44628</v>
      </c>
      <c r="B3476" s="408"/>
      <c r="C3476" s="218" t="s">
        <v>54</v>
      </c>
      <c r="D3476" s="218" t="s">
        <v>8739</v>
      </c>
      <c r="E3476" s="58">
        <v>25000</v>
      </c>
      <c r="F3476" s="43"/>
      <c r="G3476" s="364">
        <f t="shared" si="66"/>
        <v>33301.661290322663</v>
      </c>
      <c r="H3476" s="391" t="s">
        <v>9568</v>
      </c>
    </row>
    <row r="3477" spans="1:8" x14ac:dyDescent="0.3">
      <c r="A3477" s="45">
        <v>44629</v>
      </c>
      <c r="B3477" s="399"/>
      <c r="C3477" s="5" t="s">
        <v>1616</v>
      </c>
      <c r="D3477" s="5" t="s">
        <v>3172</v>
      </c>
      <c r="E3477" s="43">
        <v>12000</v>
      </c>
      <c r="F3477" s="43"/>
      <c r="G3477" s="364">
        <f t="shared" si="66"/>
        <v>21301.661290322663</v>
      </c>
      <c r="H3477" s="391" t="s">
        <v>9568</v>
      </c>
    </row>
    <row r="3478" spans="1:8" x14ac:dyDescent="0.3">
      <c r="A3478" s="45">
        <v>44629</v>
      </c>
      <c r="B3478" s="399"/>
      <c r="C3478" s="5" t="s">
        <v>8935</v>
      </c>
      <c r="D3478" s="5" t="s">
        <v>2013</v>
      </c>
      <c r="E3478" s="43">
        <v>100</v>
      </c>
      <c r="F3478" s="43"/>
      <c r="G3478" s="364">
        <f t="shared" si="66"/>
        <v>21201.661290322663</v>
      </c>
      <c r="H3478" s="391" t="s">
        <v>9568</v>
      </c>
    </row>
    <row r="3479" spans="1:8" x14ac:dyDescent="0.3">
      <c r="A3479" s="45">
        <v>44628</v>
      </c>
      <c r="B3479" s="583"/>
      <c r="C3479" s="562" t="s">
        <v>8938</v>
      </c>
      <c r="D3479" s="563"/>
      <c r="E3479" s="564"/>
      <c r="F3479" s="338">
        <v>26125</v>
      </c>
      <c r="G3479" s="364">
        <f t="shared" si="66"/>
        <v>47326.661290322663</v>
      </c>
      <c r="H3479" s="391" t="s">
        <v>9568</v>
      </c>
    </row>
    <row r="3480" spans="1:8" x14ac:dyDescent="0.3">
      <c r="A3480" s="45">
        <v>44629</v>
      </c>
      <c r="B3480" s="399"/>
      <c r="C3480" s="5" t="s">
        <v>8939</v>
      </c>
      <c r="D3480" s="5" t="s">
        <v>8940</v>
      </c>
      <c r="E3480" s="43">
        <v>19000</v>
      </c>
      <c r="F3480" s="43"/>
      <c r="G3480" s="364">
        <f t="shared" si="66"/>
        <v>28326.661290322663</v>
      </c>
      <c r="H3480" s="391" t="s">
        <v>9568</v>
      </c>
    </row>
    <row r="3481" spans="1:8" x14ac:dyDescent="0.3">
      <c r="A3481" s="45">
        <v>44629</v>
      </c>
      <c r="B3481" s="583"/>
      <c r="C3481" s="562" t="s">
        <v>8941</v>
      </c>
      <c r="D3481" s="563"/>
      <c r="E3481" s="564"/>
      <c r="F3481" s="338">
        <v>500</v>
      </c>
      <c r="G3481" s="364">
        <f t="shared" si="66"/>
        <v>28826.661290322663</v>
      </c>
      <c r="H3481" s="391" t="s">
        <v>9568</v>
      </c>
    </row>
    <row r="3482" spans="1:8" x14ac:dyDescent="0.3">
      <c r="A3482" s="45">
        <v>44630</v>
      </c>
      <c r="B3482" s="582"/>
      <c r="C3482" s="559" t="s">
        <v>4106</v>
      </c>
      <c r="D3482" s="560"/>
      <c r="E3482" s="561"/>
      <c r="F3482" s="43">
        <v>250000</v>
      </c>
      <c r="G3482" s="364">
        <f t="shared" si="66"/>
        <v>278826.66129032266</v>
      </c>
      <c r="H3482" s="391" t="s">
        <v>9568</v>
      </c>
    </row>
    <row r="3483" spans="1:8" x14ac:dyDescent="0.3">
      <c r="A3483" s="45">
        <v>44630</v>
      </c>
      <c r="B3483" s="582"/>
      <c r="C3483" s="559" t="s">
        <v>4106</v>
      </c>
      <c r="D3483" s="560"/>
      <c r="E3483" s="561"/>
      <c r="F3483" s="43">
        <v>250000</v>
      </c>
      <c r="G3483" s="364">
        <f t="shared" si="66"/>
        <v>528826.66129032266</v>
      </c>
      <c r="H3483" s="391" t="s">
        <v>9568</v>
      </c>
    </row>
    <row r="3484" spans="1:8" x14ac:dyDescent="0.3">
      <c r="A3484" s="45">
        <v>44630</v>
      </c>
      <c r="B3484" s="408"/>
      <c r="C3484" s="218" t="s">
        <v>54</v>
      </c>
      <c r="D3484" s="218" t="s">
        <v>8824</v>
      </c>
      <c r="E3484" s="329">
        <v>31390</v>
      </c>
      <c r="F3484" s="43"/>
      <c r="G3484" s="364">
        <f t="shared" si="66"/>
        <v>497436.66129032266</v>
      </c>
      <c r="H3484" s="391" t="s">
        <v>9568</v>
      </c>
    </row>
    <row r="3485" spans="1:8" x14ac:dyDescent="0.3">
      <c r="A3485" s="45">
        <v>44630</v>
      </c>
      <c r="B3485" s="408"/>
      <c r="C3485" s="218" t="s">
        <v>54</v>
      </c>
      <c r="D3485" s="61" t="s">
        <v>6531</v>
      </c>
      <c r="E3485" s="329">
        <v>26125</v>
      </c>
      <c r="F3485" s="43"/>
      <c r="G3485" s="364">
        <f t="shared" si="66"/>
        <v>471311.66129032266</v>
      </c>
      <c r="H3485" s="391" t="s">
        <v>9568</v>
      </c>
    </row>
    <row r="3486" spans="1:8" x14ac:dyDescent="0.3">
      <c r="A3486" s="45">
        <v>44630</v>
      </c>
      <c r="B3486" s="408"/>
      <c r="C3486" s="218" t="s">
        <v>54</v>
      </c>
      <c r="D3486" s="61" t="s">
        <v>8636</v>
      </c>
      <c r="E3486" s="62">
        <v>124036</v>
      </c>
      <c r="F3486" s="43"/>
      <c r="G3486" s="364">
        <f t="shared" si="66"/>
        <v>347275.66129032266</v>
      </c>
      <c r="H3486" s="391" t="s">
        <v>9568</v>
      </c>
    </row>
    <row r="3487" spans="1:8" x14ac:dyDescent="0.3">
      <c r="A3487" s="45">
        <v>44630</v>
      </c>
      <c r="B3487" s="408"/>
      <c r="C3487" s="218" t="s">
        <v>54</v>
      </c>
      <c r="D3487" s="61" t="s">
        <v>8646</v>
      </c>
      <c r="E3487" s="62">
        <v>103830</v>
      </c>
      <c r="F3487" s="43"/>
      <c r="G3487" s="364">
        <f t="shared" si="66"/>
        <v>243445.66129032266</v>
      </c>
      <c r="H3487" s="391" t="s">
        <v>9568</v>
      </c>
    </row>
    <row r="3488" spans="1:8" x14ac:dyDescent="0.3">
      <c r="A3488" s="45">
        <v>44630</v>
      </c>
      <c r="B3488" s="408"/>
      <c r="C3488" s="218" t="s">
        <v>54</v>
      </c>
      <c r="D3488" s="61" t="s">
        <v>8238</v>
      </c>
      <c r="E3488" s="62">
        <v>78973</v>
      </c>
      <c r="F3488" s="43"/>
      <c r="G3488" s="364">
        <f t="shared" si="66"/>
        <v>164472.66129032266</v>
      </c>
      <c r="H3488" s="391" t="s">
        <v>9568</v>
      </c>
    </row>
    <row r="3489" spans="1:8" x14ac:dyDescent="0.3">
      <c r="A3489" s="45">
        <v>44630</v>
      </c>
      <c r="B3489" s="399"/>
      <c r="C3489" s="5" t="s">
        <v>5914</v>
      </c>
      <c r="D3489" s="5" t="s">
        <v>8945</v>
      </c>
      <c r="E3489" s="43">
        <v>2000</v>
      </c>
      <c r="F3489" s="43"/>
      <c r="G3489" s="364">
        <f t="shared" si="66"/>
        <v>162472.66129032266</v>
      </c>
      <c r="H3489" s="391" t="s">
        <v>9568</v>
      </c>
    </row>
    <row r="3490" spans="1:8" x14ac:dyDescent="0.3">
      <c r="A3490" s="45">
        <v>44630</v>
      </c>
      <c r="B3490" s="399"/>
      <c r="C3490" s="5" t="s">
        <v>3724</v>
      </c>
      <c r="D3490" s="5" t="s">
        <v>40</v>
      </c>
      <c r="E3490" s="43">
        <v>4235</v>
      </c>
      <c r="F3490" s="43"/>
      <c r="G3490" s="364">
        <f t="shared" si="66"/>
        <v>158237.66129032266</v>
      </c>
      <c r="H3490" s="391" t="s">
        <v>9568</v>
      </c>
    </row>
    <row r="3491" spans="1:8" x14ac:dyDescent="0.3">
      <c r="A3491" s="45">
        <v>44630</v>
      </c>
      <c r="B3491" s="399"/>
      <c r="C3491" s="5" t="s">
        <v>3554</v>
      </c>
      <c r="D3491" s="5" t="s">
        <v>8948</v>
      </c>
      <c r="E3491" s="43">
        <v>30000</v>
      </c>
      <c r="F3491" s="43"/>
      <c r="G3491" s="364">
        <f t="shared" si="66"/>
        <v>128237.66129032266</v>
      </c>
      <c r="H3491" s="391" t="s">
        <v>9568</v>
      </c>
    </row>
    <row r="3492" spans="1:8" x14ac:dyDescent="0.3">
      <c r="A3492" s="45">
        <v>44630</v>
      </c>
      <c r="B3492" s="399"/>
      <c r="C3492" s="5" t="s">
        <v>6430</v>
      </c>
      <c r="D3492" s="5" t="s">
        <v>8949</v>
      </c>
      <c r="E3492" s="43">
        <f>2060-400</f>
        <v>1660</v>
      </c>
      <c r="F3492" s="43"/>
      <c r="G3492" s="364">
        <f t="shared" si="66"/>
        <v>126577.66129032266</v>
      </c>
      <c r="H3492" s="391" t="s">
        <v>9568</v>
      </c>
    </row>
    <row r="3493" spans="1:8" x14ac:dyDescent="0.3">
      <c r="A3493" s="45">
        <v>44631</v>
      </c>
      <c r="B3493" s="399"/>
      <c r="C3493" s="5" t="s">
        <v>5741</v>
      </c>
      <c r="D3493" s="5" t="s">
        <v>8951</v>
      </c>
      <c r="E3493" s="43">
        <v>9450</v>
      </c>
      <c r="F3493" s="43"/>
      <c r="G3493" s="364">
        <f t="shared" si="66"/>
        <v>117127.66129032266</v>
      </c>
      <c r="H3493" s="391" t="s">
        <v>9568</v>
      </c>
    </row>
    <row r="3494" spans="1:8" x14ac:dyDescent="0.3">
      <c r="A3494" s="45">
        <v>44631</v>
      </c>
      <c r="B3494" s="399"/>
      <c r="C3494" s="5" t="s">
        <v>1074</v>
      </c>
      <c r="D3494" s="5" t="s">
        <v>8953</v>
      </c>
      <c r="E3494" s="43">
        <f>1310+4610</f>
        <v>5920</v>
      </c>
      <c r="F3494" s="43"/>
      <c r="G3494" s="364">
        <f t="shared" si="66"/>
        <v>111207.66129032266</v>
      </c>
      <c r="H3494" s="391" t="s">
        <v>9568</v>
      </c>
    </row>
    <row r="3495" spans="1:8" x14ac:dyDescent="0.3">
      <c r="A3495" s="45">
        <v>44631</v>
      </c>
      <c r="B3495" s="399"/>
      <c r="C3495" s="5" t="s">
        <v>1074</v>
      </c>
      <c r="D3495" s="5" t="s">
        <v>6356</v>
      </c>
      <c r="E3495" s="43">
        <f>900+1360</f>
        <v>2260</v>
      </c>
      <c r="F3495" s="43"/>
      <c r="G3495" s="364">
        <f t="shared" si="66"/>
        <v>108947.66129032266</v>
      </c>
      <c r="H3495" s="391" t="s">
        <v>9568</v>
      </c>
    </row>
    <row r="3496" spans="1:8" x14ac:dyDescent="0.3">
      <c r="A3496" s="45">
        <v>44631</v>
      </c>
      <c r="B3496" s="399"/>
      <c r="C3496" s="5" t="s">
        <v>7214</v>
      </c>
      <c r="D3496" s="5" t="s">
        <v>8947</v>
      </c>
      <c r="E3496" s="43">
        <v>50000</v>
      </c>
      <c r="F3496" s="43"/>
      <c r="G3496" s="364">
        <f t="shared" si="66"/>
        <v>58947.661290322663</v>
      </c>
      <c r="H3496" s="391" t="s">
        <v>9568</v>
      </c>
    </row>
    <row r="3497" spans="1:8" x14ac:dyDescent="0.3">
      <c r="A3497" s="45">
        <v>44631</v>
      </c>
      <c r="B3497" s="399"/>
      <c r="C3497" s="5" t="s">
        <v>57</v>
      </c>
      <c r="D3497" s="5" t="s">
        <v>8954</v>
      </c>
      <c r="E3497" s="43">
        <v>5000</v>
      </c>
      <c r="F3497" s="43"/>
      <c r="G3497" s="364">
        <f t="shared" si="66"/>
        <v>53947.661290322663</v>
      </c>
      <c r="H3497" s="391" t="s">
        <v>9568</v>
      </c>
    </row>
    <row r="3498" spans="1:8" x14ac:dyDescent="0.3">
      <c r="A3498" s="45">
        <v>44632</v>
      </c>
      <c r="B3498" s="399"/>
      <c r="C3498" s="5" t="s">
        <v>14</v>
      </c>
      <c r="D3498" s="5" t="s">
        <v>294</v>
      </c>
      <c r="E3498" s="43">
        <v>25000</v>
      </c>
      <c r="F3498" s="43"/>
      <c r="G3498" s="364">
        <f t="shared" si="66"/>
        <v>28947.661290322663</v>
      </c>
      <c r="H3498" s="391" t="s">
        <v>9568</v>
      </c>
    </row>
    <row r="3499" spans="1:8" x14ac:dyDescent="0.3">
      <c r="A3499" s="45">
        <v>44632</v>
      </c>
      <c r="B3499" s="399"/>
      <c r="C3499" s="5" t="s">
        <v>3554</v>
      </c>
      <c r="D3499" s="5" t="s">
        <v>8955</v>
      </c>
      <c r="E3499" s="43">
        <v>5000</v>
      </c>
      <c r="F3499" s="43"/>
      <c r="G3499" s="364">
        <f t="shared" si="66"/>
        <v>23947.661290322663</v>
      </c>
      <c r="H3499" s="391" t="s">
        <v>9568</v>
      </c>
    </row>
    <row r="3500" spans="1:8" x14ac:dyDescent="0.3">
      <c r="A3500" s="45">
        <v>44634</v>
      </c>
      <c r="B3500" s="399"/>
      <c r="C3500" s="5" t="s">
        <v>1012</v>
      </c>
      <c r="D3500" s="5" t="s">
        <v>8960</v>
      </c>
      <c r="E3500" s="43">
        <v>1000</v>
      </c>
      <c r="F3500" s="43"/>
      <c r="G3500" s="364">
        <f t="shared" si="66"/>
        <v>22947.661290322663</v>
      </c>
      <c r="H3500" s="391" t="s">
        <v>9568</v>
      </c>
    </row>
    <row r="3501" spans="1:8" x14ac:dyDescent="0.3">
      <c r="A3501" s="45">
        <v>44634</v>
      </c>
      <c r="B3501" s="399"/>
      <c r="C3501" s="5" t="s">
        <v>18</v>
      </c>
      <c r="D3501" s="5" t="s">
        <v>3183</v>
      </c>
      <c r="E3501" s="43">
        <v>5200</v>
      </c>
      <c r="F3501" s="43"/>
      <c r="G3501" s="364">
        <f t="shared" si="66"/>
        <v>17747.661290322663</v>
      </c>
      <c r="H3501" s="391" t="s">
        <v>9568</v>
      </c>
    </row>
    <row r="3502" spans="1:8" x14ac:dyDescent="0.3">
      <c r="A3502" s="45">
        <v>44634</v>
      </c>
      <c r="B3502" s="399"/>
      <c r="C3502" s="5" t="s">
        <v>6931</v>
      </c>
      <c r="D3502" s="5" t="s">
        <v>8961</v>
      </c>
      <c r="E3502" s="43">
        <v>16500</v>
      </c>
      <c r="F3502" s="43"/>
      <c r="G3502" s="364">
        <f t="shared" si="66"/>
        <v>1247.6612903226633</v>
      </c>
      <c r="H3502" s="391" t="s">
        <v>9568</v>
      </c>
    </row>
    <row r="3503" spans="1:8" ht="37.5" x14ac:dyDescent="0.3">
      <c r="A3503" s="45">
        <v>44634</v>
      </c>
      <c r="B3503" s="409"/>
      <c r="C3503" s="61" t="s">
        <v>3554</v>
      </c>
      <c r="D3503" s="132" t="s">
        <v>8963</v>
      </c>
      <c r="E3503" s="62">
        <v>1000</v>
      </c>
      <c r="F3503" s="43"/>
      <c r="G3503" s="364">
        <f t="shared" si="66"/>
        <v>247.66129032266326</v>
      </c>
      <c r="H3503" s="391" t="s">
        <v>9568</v>
      </c>
    </row>
    <row r="3504" spans="1:8" x14ac:dyDescent="0.3">
      <c r="A3504" s="45">
        <v>44638</v>
      </c>
      <c r="B3504" s="583"/>
      <c r="C3504" s="562" t="s">
        <v>8974</v>
      </c>
      <c r="D3504" s="563"/>
      <c r="E3504" s="564"/>
      <c r="F3504" s="338">
        <v>10000</v>
      </c>
      <c r="G3504" s="364">
        <f t="shared" ref="G3504" si="67">G3503+F3504-E3504</f>
        <v>10247.661290322663</v>
      </c>
      <c r="H3504" s="391" t="s">
        <v>9568</v>
      </c>
    </row>
    <row r="3505" spans="1:8" x14ac:dyDescent="0.3">
      <c r="A3505" s="45">
        <v>44638</v>
      </c>
      <c r="B3505" s="583"/>
      <c r="C3505" s="562" t="s">
        <v>8974</v>
      </c>
      <c r="D3505" s="563"/>
      <c r="E3505" s="564"/>
      <c r="F3505" s="338">
        <v>25000</v>
      </c>
      <c r="G3505" s="364">
        <f t="shared" ref="G3505:G3506" si="68">G3504+F3505-E3505</f>
        <v>35247.661290322663</v>
      </c>
      <c r="H3505" s="391" t="s">
        <v>9568</v>
      </c>
    </row>
    <row r="3506" spans="1:8" x14ac:dyDescent="0.3">
      <c r="A3506" s="45">
        <v>44638</v>
      </c>
      <c r="B3506" s="399"/>
      <c r="C3506" s="5" t="s">
        <v>1787</v>
      </c>
      <c r="D3506" s="5" t="s">
        <v>8975</v>
      </c>
      <c r="E3506" s="43">
        <v>1500</v>
      </c>
      <c r="F3506" s="43"/>
      <c r="G3506" s="364">
        <f t="shared" si="68"/>
        <v>33747.661290322663</v>
      </c>
      <c r="H3506" s="391" t="s">
        <v>9568</v>
      </c>
    </row>
    <row r="3507" spans="1:8" x14ac:dyDescent="0.3">
      <c r="A3507" s="45">
        <v>44638</v>
      </c>
      <c r="B3507" s="399"/>
      <c r="C3507" s="5" t="s">
        <v>84</v>
      </c>
      <c r="D3507" s="5" t="s">
        <v>8976</v>
      </c>
      <c r="E3507" s="65">
        <v>5000</v>
      </c>
      <c r="F3507" s="43"/>
      <c r="G3507" s="364">
        <f t="shared" ref="G3507:G3508" si="69">G3506+F3507-E3507</f>
        <v>28747.661290322663</v>
      </c>
      <c r="H3507" s="391" t="s">
        <v>9568</v>
      </c>
    </row>
    <row r="3508" spans="1:8" x14ac:dyDescent="0.3">
      <c r="A3508" s="45">
        <v>44638</v>
      </c>
      <c r="B3508" s="399"/>
      <c r="C3508" s="5" t="s">
        <v>84</v>
      </c>
      <c r="D3508" s="5" t="s">
        <v>8977</v>
      </c>
      <c r="E3508" s="65">
        <v>2500</v>
      </c>
      <c r="F3508" s="43"/>
      <c r="G3508" s="364">
        <f t="shared" si="69"/>
        <v>26247.661290322663</v>
      </c>
      <c r="H3508" s="391" t="s">
        <v>9568</v>
      </c>
    </row>
    <row r="3509" spans="1:8" x14ac:dyDescent="0.3">
      <c r="A3509" s="45">
        <v>44638</v>
      </c>
      <c r="B3509" s="399"/>
      <c r="C3509" s="5" t="s">
        <v>84</v>
      </c>
      <c r="D3509" s="5" t="s">
        <v>8978</v>
      </c>
      <c r="E3509" s="65">
        <v>2500</v>
      </c>
      <c r="F3509" s="43"/>
      <c r="G3509" s="364">
        <f t="shared" ref="G3509:G3573" si="70">G3508+F3509-E3509</f>
        <v>23747.661290322663</v>
      </c>
      <c r="H3509" s="391" t="s">
        <v>9568</v>
      </c>
    </row>
    <row r="3510" spans="1:8" x14ac:dyDescent="0.3">
      <c r="A3510" s="45">
        <v>44638</v>
      </c>
      <c r="B3510" s="399"/>
      <c r="C3510" s="5" t="s">
        <v>25</v>
      </c>
      <c r="D3510" s="5" t="s">
        <v>8152</v>
      </c>
      <c r="E3510" s="43">
        <v>4020</v>
      </c>
      <c r="F3510" s="43"/>
      <c r="G3510" s="364">
        <f t="shared" si="70"/>
        <v>19727.661290322663</v>
      </c>
      <c r="H3510" s="391" t="s">
        <v>9568</v>
      </c>
    </row>
    <row r="3511" spans="1:8" x14ac:dyDescent="0.3">
      <c r="A3511" s="45">
        <v>44638</v>
      </c>
      <c r="B3511" s="399"/>
      <c r="C3511" s="5" t="s">
        <v>14</v>
      </c>
      <c r="D3511" s="5" t="s">
        <v>640</v>
      </c>
      <c r="E3511" s="43">
        <v>1000</v>
      </c>
      <c r="F3511" s="43"/>
      <c r="G3511" s="364">
        <f t="shared" si="70"/>
        <v>18727.661290322663</v>
      </c>
      <c r="H3511" s="391" t="s">
        <v>9568</v>
      </c>
    </row>
    <row r="3512" spans="1:8" x14ac:dyDescent="0.3">
      <c r="A3512" s="45">
        <v>44639</v>
      </c>
      <c r="B3512" s="399"/>
      <c r="C3512" s="5" t="s">
        <v>8980</v>
      </c>
      <c r="D3512" s="5" t="s">
        <v>8981</v>
      </c>
      <c r="E3512" s="43">
        <v>4500</v>
      </c>
      <c r="F3512" s="43"/>
      <c r="G3512" s="364">
        <f t="shared" si="70"/>
        <v>14227.661290322663</v>
      </c>
      <c r="H3512" s="391" t="s">
        <v>9568</v>
      </c>
    </row>
    <row r="3513" spans="1:8" x14ac:dyDescent="0.3">
      <c r="A3513" s="45">
        <v>44639</v>
      </c>
      <c r="B3513" s="399"/>
      <c r="C3513" s="5" t="s">
        <v>4281</v>
      </c>
      <c r="D3513" s="5" t="s">
        <v>5675</v>
      </c>
      <c r="E3513" s="43">
        <v>500</v>
      </c>
      <c r="F3513" s="43"/>
      <c r="G3513" s="364">
        <f t="shared" si="70"/>
        <v>13727.661290322663</v>
      </c>
      <c r="H3513" s="391" t="s">
        <v>9568</v>
      </c>
    </row>
    <row r="3514" spans="1:8" x14ac:dyDescent="0.3">
      <c r="A3514" s="45">
        <v>44639</v>
      </c>
      <c r="B3514" s="399"/>
      <c r="C3514" s="5" t="s">
        <v>4281</v>
      </c>
      <c r="D3514" s="5" t="s">
        <v>8993</v>
      </c>
      <c r="E3514" s="43">
        <v>1000</v>
      </c>
      <c r="F3514" s="43"/>
      <c r="G3514" s="364">
        <f t="shared" si="70"/>
        <v>12727.661290322663</v>
      </c>
      <c r="H3514" s="391" t="s">
        <v>9568</v>
      </c>
    </row>
    <row r="3515" spans="1:8" x14ac:dyDescent="0.3">
      <c r="A3515" s="45">
        <v>44639</v>
      </c>
      <c r="B3515" s="399"/>
      <c r="C3515" s="5" t="s">
        <v>541</v>
      </c>
      <c r="D3515" s="5" t="s">
        <v>640</v>
      </c>
      <c r="E3515" s="43">
        <v>1000</v>
      </c>
      <c r="F3515" s="43"/>
      <c r="G3515" s="364">
        <f t="shared" si="70"/>
        <v>11727.661290322663</v>
      </c>
      <c r="H3515" s="391" t="s">
        <v>9568</v>
      </c>
    </row>
    <row r="3516" spans="1:8" x14ac:dyDescent="0.3">
      <c r="A3516" s="45">
        <v>44638</v>
      </c>
      <c r="B3516" s="583"/>
      <c r="C3516" s="562" t="s">
        <v>7440</v>
      </c>
      <c r="D3516" s="563"/>
      <c r="E3516" s="564"/>
      <c r="F3516" s="338">
        <v>130000</v>
      </c>
      <c r="G3516" s="364">
        <f t="shared" si="70"/>
        <v>141727.66129032266</v>
      </c>
      <c r="H3516" s="391" t="s">
        <v>9568</v>
      </c>
    </row>
    <row r="3517" spans="1:8" x14ac:dyDescent="0.3">
      <c r="A3517" s="45">
        <v>44639</v>
      </c>
      <c r="B3517" s="399"/>
      <c r="C3517" s="5" t="s">
        <v>3554</v>
      </c>
      <c r="D3517" s="5" t="s">
        <v>8982</v>
      </c>
      <c r="E3517" s="43">
        <v>10000</v>
      </c>
      <c r="F3517" s="43"/>
      <c r="G3517" s="364">
        <f t="shared" si="70"/>
        <v>131727.66129032266</v>
      </c>
      <c r="H3517" s="391" t="s">
        <v>9568</v>
      </c>
    </row>
    <row r="3518" spans="1:8" x14ac:dyDescent="0.3">
      <c r="A3518" s="45">
        <v>44639</v>
      </c>
      <c r="B3518" s="399"/>
      <c r="C3518" s="5" t="s">
        <v>7214</v>
      </c>
      <c r="D3518" s="5" t="s">
        <v>8983</v>
      </c>
      <c r="E3518" s="43">
        <v>30000</v>
      </c>
      <c r="F3518" s="43"/>
      <c r="G3518" s="364">
        <f t="shared" si="70"/>
        <v>101727.66129032266</v>
      </c>
      <c r="H3518" s="391" t="s">
        <v>9568</v>
      </c>
    </row>
    <row r="3519" spans="1:8" x14ac:dyDescent="0.3">
      <c r="A3519" s="45">
        <v>44639</v>
      </c>
      <c r="B3519" s="399"/>
      <c r="C3519" s="5" t="s">
        <v>7571</v>
      </c>
      <c r="D3519" s="5" t="s">
        <v>8550</v>
      </c>
      <c r="E3519" s="43">
        <v>35000</v>
      </c>
      <c r="F3519" s="43"/>
      <c r="G3519" s="364">
        <f t="shared" si="70"/>
        <v>66727.661290322663</v>
      </c>
      <c r="H3519" s="391" t="s">
        <v>9568</v>
      </c>
    </row>
    <row r="3520" spans="1:8" x14ac:dyDescent="0.3">
      <c r="A3520" s="45">
        <v>44641</v>
      </c>
      <c r="B3520" s="399"/>
      <c r="C3520" s="5" t="s">
        <v>57</v>
      </c>
      <c r="D3520" s="5" t="s">
        <v>294</v>
      </c>
      <c r="E3520" s="43">
        <v>3000</v>
      </c>
      <c r="F3520" s="43"/>
      <c r="G3520" s="364">
        <f>G3519+F3520-E3520</f>
        <v>63727.661290322663</v>
      </c>
      <c r="H3520" s="391" t="s">
        <v>9568</v>
      </c>
    </row>
    <row r="3521" spans="1:8" x14ac:dyDescent="0.3">
      <c r="A3521" s="45">
        <v>44641</v>
      </c>
      <c r="B3521" s="583"/>
      <c r="C3521" s="562" t="s">
        <v>7440</v>
      </c>
      <c r="D3521" s="563"/>
      <c r="E3521" s="564"/>
      <c r="F3521" s="338">
        <v>100000</v>
      </c>
      <c r="G3521" s="364">
        <f t="shared" ref="G3521" si="71">G3520+F3521-E3521</f>
        <v>163727.66129032266</v>
      </c>
      <c r="H3521" s="391" t="s">
        <v>9568</v>
      </c>
    </row>
    <row r="3522" spans="1:8" x14ac:dyDescent="0.3">
      <c r="A3522" s="45">
        <v>44641</v>
      </c>
      <c r="B3522" s="399"/>
      <c r="C3522" s="5" t="s">
        <v>8553</v>
      </c>
      <c r="D3522" s="5" t="s">
        <v>8984</v>
      </c>
      <c r="E3522" s="43">
        <v>69100</v>
      </c>
      <c r="F3522" s="43"/>
      <c r="G3522" s="364">
        <f t="shared" si="70"/>
        <v>94627.661290322663</v>
      </c>
      <c r="H3522" s="391" t="s">
        <v>9568</v>
      </c>
    </row>
    <row r="3523" spans="1:8" x14ac:dyDescent="0.3">
      <c r="A3523" s="45">
        <v>44641</v>
      </c>
      <c r="B3523" s="399"/>
      <c r="C3523" s="5" t="s">
        <v>84</v>
      </c>
      <c r="D3523" s="5" t="s">
        <v>8985</v>
      </c>
      <c r="E3523" s="65">
        <v>2000</v>
      </c>
      <c r="F3523" s="43"/>
      <c r="G3523" s="364">
        <f t="shared" si="70"/>
        <v>92627.661290322663</v>
      </c>
      <c r="H3523" s="391" t="s">
        <v>9568</v>
      </c>
    </row>
    <row r="3524" spans="1:8" x14ac:dyDescent="0.3">
      <c r="A3524" s="45">
        <v>44641</v>
      </c>
      <c r="B3524" s="399"/>
      <c r="C3524" s="5" t="s">
        <v>6430</v>
      </c>
      <c r="D3524" s="5" t="s">
        <v>8986</v>
      </c>
      <c r="E3524" s="43">
        <v>1650</v>
      </c>
      <c r="F3524" s="43"/>
      <c r="G3524" s="364">
        <f t="shared" si="70"/>
        <v>90977.661290322663</v>
      </c>
      <c r="H3524" s="391" t="s">
        <v>9568</v>
      </c>
    </row>
    <row r="3525" spans="1:8" x14ac:dyDescent="0.3">
      <c r="A3525" s="184">
        <v>44641</v>
      </c>
      <c r="B3525" s="432"/>
      <c r="C3525" s="349" t="s">
        <v>54</v>
      </c>
      <c r="D3525" s="349" t="s">
        <v>8820</v>
      </c>
      <c r="E3525" s="350">
        <v>30000</v>
      </c>
      <c r="G3525" s="367">
        <f t="shared" si="70"/>
        <v>60977.661290322663</v>
      </c>
      <c r="H3525" s="391" t="s">
        <v>9568</v>
      </c>
    </row>
    <row r="3526" spans="1:8" x14ac:dyDescent="0.3">
      <c r="A3526" s="45">
        <v>44642</v>
      </c>
      <c r="B3526" s="399"/>
      <c r="C3526" s="5" t="s">
        <v>14</v>
      </c>
      <c r="D3526" s="5" t="s">
        <v>294</v>
      </c>
      <c r="E3526" s="43">
        <v>5000</v>
      </c>
      <c r="F3526" s="43"/>
      <c r="G3526" s="364">
        <f t="shared" si="70"/>
        <v>55977.661290322663</v>
      </c>
      <c r="H3526" s="391" t="s">
        <v>9568</v>
      </c>
    </row>
    <row r="3527" spans="1:8" x14ac:dyDescent="0.3">
      <c r="A3527" s="45">
        <v>44642</v>
      </c>
      <c r="B3527" s="399"/>
      <c r="C3527" s="5" t="s">
        <v>14</v>
      </c>
      <c r="D3527" s="5" t="s">
        <v>8988</v>
      </c>
      <c r="E3527" s="43">
        <v>4120</v>
      </c>
      <c r="F3527" s="43"/>
      <c r="G3527" s="364">
        <f t="shared" si="70"/>
        <v>51857.661290322663</v>
      </c>
      <c r="H3527" s="391" t="s">
        <v>9568</v>
      </c>
    </row>
    <row r="3528" spans="1:8" x14ac:dyDescent="0.3">
      <c r="A3528" s="45">
        <v>44642</v>
      </c>
      <c r="B3528" s="399"/>
      <c r="C3528" s="5" t="s">
        <v>8553</v>
      </c>
      <c r="D3528" s="5" t="s">
        <v>8989</v>
      </c>
      <c r="E3528" s="43">
        <v>8400</v>
      </c>
      <c r="F3528" s="43"/>
      <c r="G3528" s="364">
        <f t="shared" si="70"/>
        <v>43457.661290322663</v>
      </c>
      <c r="H3528" s="391" t="s">
        <v>9568</v>
      </c>
    </row>
    <row r="3529" spans="1:8" x14ac:dyDescent="0.3">
      <c r="A3529" s="45">
        <v>44642</v>
      </c>
      <c r="B3529" s="399"/>
      <c r="C3529" s="5" t="s">
        <v>8990</v>
      </c>
      <c r="D3529" s="5" t="s">
        <v>4526</v>
      </c>
      <c r="E3529" s="43">
        <f>32600+600</f>
        <v>33200</v>
      </c>
      <c r="F3529" s="43"/>
      <c r="G3529" s="364">
        <f t="shared" si="70"/>
        <v>10257.661290322663</v>
      </c>
      <c r="H3529" s="391" t="s">
        <v>9568</v>
      </c>
    </row>
    <row r="3530" spans="1:8" x14ac:dyDescent="0.3">
      <c r="A3530" s="45">
        <v>44642</v>
      </c>
      <c r="B3530" s="399"/>
      <c r="C3530" s="5" t="s">
        <v>84</v>
      </c>
      <c r="D3530" s="5" t="s">
        <v>8992</v>
      </c>
      <c r="E3530" s="65">
        <v>1000</v>
      </c>
      <c r="F3530" s="43"/>
      <c r="G3530" s="364">
        <f t="shared" si="70"/>
        <v>9257.6612903226633</v>
      </c>
      <c r="H3530" s="391" t="s">
        <v>9568</v>
      </c>
    </row>
    <row r="3531" spans="1:8" x14ac:dyDescent="0.3">
      <c r="A3531" s="45">
        <v>44642</v>
      </c>
      <c r="B3531" s="580"/>
      <c r="C3531" s="554" t="s">
        <v>8974</v>
      </c>
      <c r="D3531" s="554"/>
      <c r="E3531" s="554"/>
      <c r="F3531" s="43">
        <v>5000</v>
      </c>
      <c r="G3531" s="364">
        <f t="shared" si="70"/>
        <v>14257.661290322663</v>
      </c>
      <c r="H3531" s="391" t="s">
        <v>9568</v>
      </c>
    </row>
    <row r="3532" spans="1:8" x14ac:dyDescent="0.3">
      <c r="A3532" s="45">
        <v>44644</v>
      </c>
      <c r="B3532" s="399"/>
      <c r="C3532" s="5" t="s">
        <v>5793</v>
      </c>
      <c r="D3532" s="5" t="s">
        <v>8994</v>
      </c>
      <c r="E3532" s="43">
        <v>400</v>
      </c>
      <c r="F3532" s="43"/>
      <c r="G3532" s="364">
        <f t="shared" si="70"/>
        <v>13857.661290322663</v>
      </c>
      <c r="H3532" s="391" t="s">
        <v>9568</v>
      </c>
    </row>
    <row r="3533" spans="1:8" x14ac:dyDescent="0.3">
      <c r="A3533" s="45">
        <v>44644</v>
      </c>
      <c r="B3533" s="399"/>
      <c r="C3533" s="5" t="s">
        <v>18</v>
      </c>
      <c r="D3533" s="5" t="s">
        <v>8995</v>
      </c>
      <c r="E3533" s="43">
        <v>5000</v>
      </c>
      <c r="F3533" s="43"/>
      <c r="G3533" s="364">
        <f t="shared" si="70"/>
        <v>8857.6612903226633</v>
      </c>
      <c r="H3533" s="391" t="s">
        <v>9568</v>
      </c>
    </row>
    <row r="3534" spans="1:8" x14ac:dyDescent="0.3">
      <c r="A3534" s="45">
        <v>44644</v>
      </c>
      <c r="B3534" s="399"/>
      <c r="C3534" s="5" t="s">
        <v>107</v>
      </c>
      <c r="D3534" s="5" t="s">
        <v>8996</v>
      </c>
      <c r="E3534" s="43">
        <v>2000</v>
      </c>
      <c r="F3534" s="43"/>
      <c r="G3534" s="364">
        <f t="shared" si="70"/>
        <v>6857.6612903226633</v>
      </c>
      <c r="H3534" s="391" t="s">
        <v>9568</v>
      </c>
    </row>
    <row r="3535" spans="1:8" x14ac:dyDescent="0.3">
      <c r="A3535" s="45">
        <v>44644</v>
      </c>
      <c r="B3535" s="580"/>
      <c r="C3535" s="554" t="s">
        <v>7440</v>
      </c>
      <c r="D3535" s="554"/>
      <c r="E3535" s="554"/>
      <c r="F3535" s="43">
        <v>100000</v>
      </c>
      <c r="G3535" s="364">
        <f t="shared" ref="G3535" si="72">G3534+F3535-E3535</f>
        <v>106857.66129032266</v>
      </c>
      <c r="H3535" s="391" t="s">
        <v>9568</v>
      </c>
    </row>
    <row r="3536" spans="1:8" x14ac:dyDescent="0.3">
      <c r="A3536" s="45">
        <v>44644</v>
      </c>
      <c r="B3536" s="399"/>
      <c r="C3536" s="5" t="s">
        <v>6908</v>
      </c>
      <c r="D3536" s="5" t="s">
        <v>9002</v>
      </c>
      <c r="E3536" s="43">
        <v>5400</v>
      </c>
      <c r="F3536" s="43"/>
      <c r="G3536" s="364">
        <f t="shared" si="70"/>
        <v>101457.66129032266</v>
      </c>
      <c r="H3536" s="391" t="s">
        <v>9568</v>
      </c>
    </row>
    <row r="3537" spans="1:8" x14ac:dyDescent="0.3">
      <c r="A3537" s="45">
        <v>44644</v>
      </c>
      <c r="B3537" s="399"/>
      <c r="C3537" s="5" t="s">
        <v>6908</v>
      </c>
      <c r="D3537" s="5" t="s">
        <v>9004</v>
      </c>
      <c r="E3537" s="43">
        <v>10500</v>
      </c>
      <c r="F3537" s="43"/>
      <c r="G3537" s="364">
        <f t="shared" si="70"/>
        <v>90957.661290322663</v>
      </c>
      <c r="H3537" s="391" t="s">
        <v>9568</v>
      </c>
    </row>
    <row r="3538" spans="1:8" x14ac:dyDescent="0.3">
      <c r="A3538" s="45">
        <v>44644</v>
      </c>
      <c r="B3538" s="399"/>
      <c r="C3538" s="5" t="s">
        <v>2995</v>
      </c>
      <c r="D3538" s="5" t="s">
        <v>9003</v>
      </c>
      <c r="E3538" s="43">
        <v>14000</v>
      </c>
      <c r="F3538" s="43"/>
      <c r="G3538" s="364">
        <f t="shared" si="70"/>
        <v>76957.661290322663</v>
      </c>
      <c r="H3538" s="391" t="s">
        <v>9568</v>
      </c>
    </row>
    <row r="3539" spans="1:8" x14ac:dyDescent="0.3">
      <c r="A3539" s="45">
        <v>44644</v>
      </c>
      <c r="B3539" s="399"/>
      <c r="C3539" s="5" t="s">
        <v>6908</v>
      </c>
      <c r="D3539" s="5" t="s">
        <v>9005</v>
      </c>
      <c r="E3539" s="43">
        <v>500</v>
      </c>
      <c r="F3539" s="43"/>
      <c r="G3539" s="364">
        <f t="shared" si="70"/>
        <v>76457.661290322663</v>
      </c>
      <c r="H3539" s="391" t="s">
        <v>9568</v>
      </c>
    </row>
    <row r="3540" spans="1:8" x14ac:dyDescent="0.3">
      <c r="A3540" s="45">
        <v>44644</v>
      </c>
      <c r="B3540" s="399"/>
      <c r="C3540" s="5" t="s">
        <v>1074</v>
      </c>
      <c r="D3540" s="5" t="s">
        <v>8790</v>
      </c>
      <c r="E3540" s="43">
        <v>4410</v>
      </c>
      <c r="F3540" s="43"/>
      <c r="G3540" s="364">
        <f t="shared" si="70"/>
        <v>72047.661290322663</v>
      </c>
      <c r="H3540" s="391" t="s">
        <v>9568</v>
      </c>
    </row>
    <row r="3541" spans="1:8" x14ac:dyDescent="0.3">
      <c r="A3541" s="45">
        <v>44644</v>
      </c>
      <c r="B3541" s="399"/>
      <c r="C3541" s="5" t="s">
        <v>1074</v>
      </c>
      <c r="D3541" s="5" t="s">
        <v>9006</v>
      </c>
      <c r="E3541" s="43">
        <f>12750+3265</f>
        <v>16015</v>
      </c>
      <c r="F3541" s="43"/>
      <c r="G3541" s="364">
        <f t="shared" si="70"/>
        <v>56032.661290322663</v>
      </c>
      <c r="H3541" s="391" t="s">
        <v>9568</v>
      </c>
    </row>
    <row r="3542" spans="1:8" x14ac:dyDescent="0.3">
      <c r="A3542" s="45">
        <v>44644</v>
      </c>
      <c r="B3542" s="399"/>
      <c r="C3542" s="5" t="s">
        <v>5741</v>
      </c>
      <c r="D3542" s="5" t="s">
        <v>9007</v>
      </c>
      <c r="E3542" s="43">
        <v>25600</v>
      </c>
      <c r="F3542" s="43"/>
      <c r="G3542" s="364">
        <f t="shared" si="70"/>
        <v>30432.661290322663</v>
      </c>
      <c r="H3542" s="391" t="s">
        <v>9568</v>
      </c>
    </row>
    <row r="3543" spans="1:8" x14ac:dyDescent="0.3">
      <c r="A3543" s="45">
        <v>44644</v>
      </c>
      <c r="B3543" s="399"/>
      <c r="C3543" s="5" t="s">
        <v>25</v>
      </c>
      <c r="D3543" s="5" t="s">
        <v>5641</v>
      </c>
      <c r="E3543" s="43">
        <v>650</v>
      </c>
      <c r="F3543" s="43"/>
      <c r="G3543" s="364">
        <f t="shared" si="70"/>
        <v>29782.661290322663</v>
      </c>
      <c r="H3543" s="391" t="s">
        <v>9568</v>
      </c>
    </row>
    <row r="3544" spans="1:8" x14ac:dyDescent="0.3">
      <c r="A3544" s="45">
        <v>44644</v>
      </c>
      <c r="B3544" s="399"/>
      <c r="C3544" s="5" t="s">
        <v>9010</v>
      </c>
      <c r="D3544" s="5" t="s">
        <v>9011</v>
      </c>
      <c r="E3544" s="43">
        <v>4100</v>
      </c>
      <c r="F3544" s="43"/>
      <c r="G3544" s="364">
        <f t="shared" si="70"/>
        <v>25682.661290322663</v>
      </c>
      <c r="H3544" s="391" t="s">
        <v>9568</v>
      </c>
    </row>
    <row r="3545" spans="1:8" x14ac:dyDescent="0.3">
      <c r="A3545" s="45">
        <v>44645</v>
      </c>
      <c r="B3545" s="580"/>
      <c r="C3545" s="554" t="s">
        <v>7440</v>
      </c>
      <c r="D3545" s="554"/>
      <c r="E3545" s="554"/>
      <c r="F3545" s="43">
        <v>100000</v>
      </c>
      <c r="G3545" s="364">
        <f t="shared" si="70"/>
        <v>125682.66129032266</v>
      </c>
      <c r="H3545" s="391" t="s">
        <v>9568</v>
      </c>
    </row>
    <row r="3546" spans="1:8" x14ac:dyDescent="0.3">
      <c r="A3546" s="45">
        <v>44645</v>
      </c>
      <c r="B3546" s="399"/>
      <c r="C3546" s="5" t="s">
        <v>7571</v>
      </c>
      <c r="D3546" s="5" t="s">
        <v>8550</v>
      </c>
      <c r="E3546" s="43">
        <v>5000</v>
      </c>
      <c r="F3546" s="43"/>
      <c r="G3546" s="364">
        <f t="shared" si="70"/>
        <v>120682.66129032266</v>
      </c>
      <c r="H3546" s="391" t="s">
        <v>9568</v>
      </c>
    </row>
    <row r="3547" spans="1:8" x14ac:dyDescent="0.3">
      <c r="A3547" s="45">
        <v>44645</v>
      </c>
      <c r="B3547" s="399"/>
      <c r="C3547" s="5" t="s">
        <v>25</v>
      </c>
      <c r="D3547" s="5" t="s">
        <v>4400</v>
      </c>
      <c r="E3547" s="43">
        <v>2500</v>
      </c>
      <c r="F3547" s="43"/>
      <c r="G3547" s="364">
        <f t="shared" si="70"/>
        <v>118182.66129032266</v>
      </c>
      <c r="H3547" s="391" t="s">
        <v>9568</v>
      </c>
    </row>
    <row r="3548" spans="1:8" x14ac:dyDescent="0.3">
      <c r="A3548" s="45">
        <v>44645</v>
      </c>
      <c r="B3548" s="399"/>
      <c r="C3548" s="5" t="s">
        <v>68</v>
      </c>
      <c r="D3548" s="5" t="s">
        <v>9012</v>
      </c>
      <c r="E3548" s="43">
        <v>15000</v>
      </c>
      <c r="F3548" s="43"/>
      <c r="G3548" s="364">
        <f t="shared" si="70"/>
        <v>103182.66129032266</v>
      </c>
      <c r="H3548" s="391" t="s">
        <v>9568</v>
      </c>
    </row>
    <row r="3549" spans="1:8" x14ac:dyDescent="0.3">
      <c r="A3549" s="45">
        <v>44645</v>
      </c>
      <c r="B3549" s="399"/>
      <c r="C3549" s="5" t="s">
        <v>4550</v>
      </c>
      <c r="D3549" s="5" t="s">
        <v>7904</v>
      </c>
      <c r="E3549" s="43">
        <v>60000</v>
      </c>
      <c r="F3549" s="43"/>
      <c r="G3549" s="364">
        <f t="shared" si="70"/>
        <v>43182.661290322663</v>
      </c>
      <c r="H3549" s="391" t="s">
        <v>9568</v>
      </c>
    </row>
    <row r="3550" spans="1:8" x14ac:dyDescent="0.3">
      <c r="A3550" s="45">
        <v>44645</v>
      </c>
      <c r="B3550" s="399"/>
      <c r="C3550" s="5" t="s">
        <v>1787</v>
      </c>
      <c r="D3550" s="5" t="s">
        <v>9013</v>
      </c>
      <c r="E3550" s="43">
        <v>1200</v>
      </c>
      <c r="F3550" s="43"/>
      <c r="G3550" s="364">
        <f t="shared" si="70"/>
        <v>41982.661290322663</v>
      </c>
      <c r="H3550" s="391" t="s">
        <v>9568</v>
      </c>
    </row>
    <row r="3551" spans="1:8" x14ac:dyDescent="0.3">
      <c r="A3551" s="45">
        <v>44645</v>
      </c>
      <c r="B3551" s="399"/>
      <c r="C3551" s="5" t="s">
        <v>84</v>
      </c>
      <c r="D3551" s="5" t="s">
        <v>9014</v>
      </c>
      <c r="E3551" s="65">
        <v>6000</v>
      </c>
      <c r="F3551" s="43"/>
      <c r="G3551" s="364">
        <f t="shared" ref="G3551" si="73">G3550+F3551-E3551</f>
        <v>35982.661290322663</v>
      </c>
      <c r="H3551" s="391" t="s">
        <v>9568</v>
      </c>
    </row>
    <row r="3552" spans="1:8" x14ac:dyDescent="0.3">
      <c r="A3552" s="45">
        <v>44645</v>
      </c>
      <c r="B3552" s="399"/>
      <c r="C3552" s="5" t="s">
        <v>25</v>
      </c>
      <c r="D3552" s="5" t="s">
        <v>8152</v>
      </c>
      <c r="E3552" s="43">
        <v>4250</v>
      </c>
      <c r="F3552" s="43"/>
      <c r="G3552" s="364">
        <f t="shared" si="70"/>
        <v>31732.661290322663</v>
      </c>
      <c r="H3552" s="391" t="s">
        <v>9568</v>
      </c>
    </row>
    <row r="3553" spans="1:8" x14ac:dyDescent="0.3">
      <c r="A3553" s="45">
        <v>44648</v>
      </c>
      <c r="B3553" s="399"/>
      <c r="C3553" s="5" t="s">
        <v>6959</v>
      </c>
      <c r="D3553" s="5" t="s">
        <v>9019</v>
      </c>
      <c r="E3553" s="43">
        <v>350</v>
      </c>
      <c r="F3553" s="43"/>
      <c r="G3553" s="364">
        <f t="shared" si="70"/>
        <v>31382.661290322663</v>
      </c>
      <c r="H3553" s="391" t="s">
        <v>9568</v>
      </c>
    </row>
    <row r="3554" spans="1:8" x14ac:dyDescent="0.3">
      <c r="A3554" s="45">
        <v>44648</v>
      </c>
      <c r="B3554" s="399"/>
      <c r="C3554" s="5" t="s">
        <v>5709</v>
      </c>
      <c r="D3554" s="5" t="s">
        <v>5673</v>
      </c>
      <c r="E3554" s="43">
        <v>1900</v>
      </c>
      <c r="F3554" s="43"/>
      <c r="G3554" s="364">
        <f t="shared" si="70"/>
        <v>29482.661290322663</v>
      </c>
      <c r="H3554" s="391" t="s">
        <v>9568</v>
      </c>
    </row>
    <row r="3555" spans="1:8" x14ac:dyDescent="0.3">
      <c r="A3555" s="45">
        <v>44648</v>
      </c>
      <c r="B3555" s="399"/>
      <c r="C3555" s="5" t="s">
        <v>5709</v>
      </c>
      <c r="D3555" s="5" t="s">
        <v>9020</v>
      </c>
      <c r="E3555" s="43">
        <v>10000</v>
      </c>
      <c r="F3555" s="43"/>
      <c r="G3555" s="364">
        <f t="shared" si="70"/>
        <v>19482.661290322663</v>
      </c>
      <c r="H3555" s="391" t="s">
        <v>9568</v>
      </c>
    </row>
    <row r="3556" spans="1:8" x14ac:dyDescent="0.3">
      <c r="A3556" s="45">
        <v>44648</v>
      </c>
      <c r="B3556" s="399"/>
      <c r="C3556" s="5" t="s">
        <v>1074</v>
      </c>
      <c r="D3556" s="5" t="s">
        <v>8875</v>
      </c>
      <c r="E3556" s="43">
        <v>1796</v>
      </c>
      <c r="F3556" s="43"/>
      <c r="G3556" s="364">
        <f t="shared" si="70"/>
        <v>17686.661290322663</v>
      </c>
      <c r="H3556" s="391" t="s">
        <v>9568</v>
      </c>
    </row>
    <row r="3557" spans="1:8" x14ac:dyDescent="0.3">
      <c r="A3557" s="45">
        <v>44648</v>
      </c>
      <c r="B3557" s="580"/>
      <c r="C3557" s="554" t="s">
        <v>7440</v>
      </c>
      <c r="D3557" s="554"/>
      <c r="E3557" s="554"/>
      <c r="F3557" s="43">
        <v>100000</v>
      </c>
      <c r="G3557" s="364">
        <f t="shared" si="70"/>
        <v>117686.66129032266</v>
      </c>
      <c r="H3557" s="391" t="s">
        <v>9568</v>
      </c>
    </row>
    <row r="3558" spans="1:8" x14ac:dyDescent="0.3">
      <c r="A3558" s="45">
        <v>44648</v>
      </c>
      <c r="B3558" s="399"/>
      <c r="C3558" s="5" t="s">
        <v>8573</v>
      </c>
      <c r="D3558" s="5" t="s">
        <v>9021</v>
      </c>
      <c r="E3558" s="43">
        <v>12000</v>
      </c>
      <c r="F3558" s="43"/>
      <c r="G3558" s="364">
        <f t="shared" si="70"/>
        <v>105686.66129032266</v>
      </c>
      <c r="H3558" s="391" t="s">
        <v>9568</v>
      </c>
    </row>
    <row r="3559" spans="1:8" x14ac:dyDescent="0.3">
      <c r="A3559" s="45">
        <v>44648</v>
      </c>
      <c r="B3559" s="399"/>
      <c r="C3559" s="5" t="s">
        <v>57</v>
      </c>
      <c r="D3559" s="5" t="s">
        <v>9022</v>
      </c>
      <c r="E3559" s="43">
        <v>7000</v>
      </c>
      <c r="F3559" s="43"/>
      <c r="G3559" s="364">
        <f t="shared" si="70"/>
        <v>98686.661290322663</v>
      </c>
      <c r="H3559" s="391" t="s">
        <v>9568</v>
      </c>
    </row>
    <row r="3560" spans="1:8" x14ac:dyDescent="0.3">
      <c r="A3560" s="45">
        <v>44648</v>
      </c>
      <c r="B3560" s="399"/>
      <c r="C3560" s="5" t="s">
        <v>84</v>
      </c>
      <c r="D3560" s="5" t="s">
        <v>8977</v>
      </c>
      <c r="E3560" s="65">
        <v>1000</v>
      </c>
      <c r="F3560" s="43"/>
      <c r="G3560" s="364">
        <f t="shared" si="70"/>
        <v>97686.661290322663</v>
      </c>
      <c r="H3560" s="391" t="s">
        <v>9568</v>
      </c>
    </row>
    <row r="3561" spans="1:8" x14ac:dyDescent="0.3">
      <c r="A3561" s="45">
        <v>44648</v>
      </c>
      <c r="B3561" s="399"/>
      <c r="C3561" s="5" t="s">
        <v>84</v>
      </c>
      <c r="D3561" s="5" t="s">
        <v>8992</v>
      </c>
      <c r="E3561" s="65">
        <v>1000</v>
      </c>
      <c r="F3561" s="43"/>
      <c r="G3561" s="364">
        <f t="shared" si="70"/>
        <v>96686.661290322663</v>
      </c>
      <c r="H3561" s="391" t="s">
        <v>9568</v>
      </c>
    </row>
    <row r="3562" spans="1:8" x14ac:dyDescent="0.3">
      <c r="A3562" s="45">
        <v>44648</v>
      </c>
      <c r="B3562" s="399"/>
      <c r="C3562" s="5" t="s">
        <v>25</v>
      </c>
      <c r="D3562" s="5" t="s">
        <v>9024</v>
      </c>
      <c r="E3562" s="43">
        <v>30000</v>
      </c>
      <c r="F3562" s="43"/>
      <c r="G3562" s="364">
        <f t="shared" si="70"/>
        <v>66686.661290322663</v>
      </c>
      <c r="H3562" s="391" t="s">
        <v>9568</v>
      </c>
    </row>
    <row r="3563" spans="1:8" x14ac:dyDescent="0.3">
      <c r="A3563" s="45">
        <v>44648</v>
      </c>
      <c r="B3563" s="399"/>
      <c r="C3563" s="5" t="s">
        <v>25</v>
      </c>
      <c r="D3563" s="5" t="s">
        <v>9028</v>
      </c>
      <c r="E3563" s="43">
        <v>3000</v>
      </c>
      <c r="F3563" s="43"/>
      <c r="G3563" s="364">
        <f t="shared" si="70"/>
        <v>63686.661290322663</v>
      </c>
      <c r="H3563" s="391" t="s">
        <v>9568</v>
      </c>
    </row>
    <row r="3564" spans="1:8" x14ac:dyDescent="0.3">
      <c r="A3564" s="45">
        <v>44649</v>
      </c>
      <c r="B3564" s="399"/>
      <c r="C3564" s="5" t="s">
        <v>8573</v>
      </c>
      <c r="D3564" s="5" t="s">
        <v>9025</v>
      </c>
      <c r="E3564" s="43">
        <v>10000</v>
      </c>
      <c r="F3564" s="43"/>
      <c r="G3564" s="364">
        <f t="shared" si="70"/>
        <v>53686.661290322663</v>
      </c>
      <c r="H3564" s="391" t="s">
        <v>9568</v>
      </c>
    </row>
    <row r="3565" spans="1:8" x14ac:dyDescent="0.3">
      <c r="A3565" s="45">
        <v>44649</v>
      </c>
      <c r="B3565" s="399"/>
      <c r="C3565" s="5" t="s">
        <v>6931</v>
      </c>
      <c r="D3565" s="5" t="s">
        <v>2248</v>
      </c>
      <c r="E3565" s="43">
        <v>200</v>
      </c>
      <c r="F3565" s="43"/>
      <c r="G3565" s="364">
        <f t="shared" si="70"/>
        <v>53486.661290322663</v>
      </c>
      <c r="H3565" s="391" t="s">
        <v>9568</v>
      </c>
    </row>
    <row r="3566" spans="1:8" x14ac:dyDescent="0.3">
      <c r="A3566" s="45">
        <v>44649</v>
      </c>
      <c r="B3566" s="399"/>
      <c r="C3566" s="5" t="s">
        <v>84</v>
      </c>
      <c r="D3566" s="61" t="s">
        <v>9027</v>
      </c>
      <c r="E3566" s="65">
        <v>2000</v>
      </c>
      <c r="F3566" s="43"/>
      <c r="G3566" s="364">
        <f t="shared" si="70"/>
        <v>51486.661290322663</v>
      </c>
      <c r="H3566" s="391" t="s">
        <v>9568</v>
      </c>
    </row>
    <row r="3567" spans="1:8" x14ac:dyDescent="0.3">
      <c r="A3567" s="45">
        <v>44650</v>
      </c>
      <c r="B3567" s="399"/>
      <c r="C3567" s="5" t="s">
        <v>14</v>
      </c>
      <c r="D3567" s="5" t="s">
        <v>294</v>
      </c>
      <c r="E3567" s="43">
        <v>5000</v>
      </c>
      <c r="F3567" s="43"/>
      <c r="G3567" s="364">
        <f t="shared" si="70"/>
        <v>46486.661290322663</v>
      </c>
      <c r="H3567" s="391" t="s">
        <v>9568</v>
      </c>
    </row>
    <row r="3568" spans="1:8" x14ac:dyDescent="0.3">
      <c r="A3568" s="45">
        <v>44650</v>
      </c>
      <c r="B3568" s="399"/>
      <c r="C3568" s="5" t="s">
        <v>25</v>
      </c>
      <c r="D3568" s="5" t="s">
        <v>9028</v>
      </c>
      <c r="E3568" s="43">
        <v>500</v>
      </c>
      <c r="F3568" s="43"/>
      <c r="G3568" s="364">
        <f t="shared" si="70"/>
        <v>45986.661290322663</v>
      </c>
      <c r="H3568" s="391" t="s">
        <v>9568</v>
      </c>
    </row>
    <row r="3569" spans="1:11" x14ac:dyDescent="0.3">
      <c r="A3569" s="45">
        <v>44650</v>
      </c>
      <c r="B3569" s="399"/>
      <c r="C3569" s="5" t="s">
        <v>8980</v>
      </c>
      <c r="D3569" s="5" t="s">
        <v>9029</v>
      </c>
      <c r="E3569" s="43">
        <v>1000</v>
      </c>
      <c r="F3569" s="43"/>
      <c r="G3569" s="364">
        <f t="shared" si="70"/>
        <v>44986.661290322663</v>
      </c>
      <c r="H3569" s="391" t="s">
        <v>9568</v>
      </c>
    </row>
    <row r="3570" spans="1:11" x14ac:dyDescent="0.3">
      <c r="A3570" s="45">
        <v>44650</v>
      </c>
      <c r="B3570" s="399"/>
      <c r="C3570" s="5" t="s">
        <v>68</v>
      </c>
      <c r="D3570" s="5" t="s">
        <v>9030</v>
      </c>
      <c r="E3570" s="43">
        <v>10000</v>
      </c>
      <c r="F3570" s="43"/>
      <c r="G3570" s="364">
        <f t="shared" si="70"/>
        <v>34986.661290322663</v>
      </c>
      <c r="H3570" s="391" t="s">
        <v>9568</v>
      </c>
    </row>
    <row r="3571" spans="1:11" x14ac:dyDescent="0.3">
      <c r="A3571" s="45">
        <v>44651</v>
      </c>
      <c r="B3571" s="580"/>
      <c r="C3571" s="554" t="s">
        <v>4106</v>
      </c>
      <c r="D3571" s="554"/>
      <c r="E3571" s="554"/>
      <c r="F3571" s="43">
        <v>100000</v>
      </c>
      <c r="G3571" s="364">
        <f t="shared" si="70"/>
        <v>134986.66129032266</v>
      </c>
      <c r="H3571" s="391" t="s">
        <v>9568</v>
      </c>
    </row>
    <row r="3572" spans="1:11" x14ac:dyDescent="0.3">
      <c r="A3572" s="45">
        <v>44651</v>
      </c>
      <c r="B3572" s="399"/>
      <c r="C3572" s="5" t="s">
        <v>8900</v>
      </c>
      <c r="D3572" s="5" t="s">
        <v>9031</v>
      </c>
      <c r="E3572" s="43">
        <v>18000</v>
      </c>
      <c r="F3572" s="43"/>
      <c r="G3572" s="364">
        <f t="shared" si="70"/>
        <v>116986.66129032266</v>
      </c>
      <c r="H3572" s="391" t="s">
        <v>9568</v>
      </c>
    </row>
    <row r="3573" spans="1:11" x14ac:dyDescent="0.3">
      <c r="A3573" s="45">
        <v>44651</v>
      </c>
      <c r="B3573" s="399"/>
      <c r="C3573" s="5" t="s">
        <v>8803</v>
      </c>
      <c r="D3573" s="5" t="s">
        <v>91</v>
      </c>
      <c r="E3573" s="43">
        <v>650</v>
      </c>
      <c r="F3573" s="43"/>
      <c r="G3573" s="364">
        <f t="shared" si="70"/>
        <v>116336.66129032266</v>
      </c>
      <c r="H3573" s="391" t="s">
        <v>9568</v>
      </c>
    </row>
    <row r="3574" spans="1:11" x14ac:dyDescent="0.3">
      <c r="A3574" s="45">
        <v>44652</v>
      </c>
      <c r="B3574" s="399"/>
      <c r="C3574" s="5" t="s">
        <v>84</v>
      </c>
      <c r="D3574" s="5" t="s">
        <v>9032</v>
      </c>
      <c r="E3574" s="65">
        <v>15000</v>
      </c>
      <c r="F3574" s="43"/>
      <c r="G3574" s="364">
        <f t="shared" ref="G3574:G3603" si="74">G3573+F3574-E3574</f>
        <v>101336.66129032266</v>
      </c>
      <c r="H3574" s="391" t="s">
        <v>9568</v>
      </c>
    </row>
    <row r="3575" spans="1:11" x14ac:dyDescent="0.3">
      <c r="A3575" s="45">
        <v>44652</v>
      </c>
      <c r="B3575" s="399"/>
      <c r="C3575" s="5" t="s">
        <v>5709</v>
      </c>
      <c r="D3575" s="5" t="s">
        <v>9040</v>
      </c>
      <c r="E3575" s="43">
        <v>15000</v>
      </c>
      <c r="F3575" s="43"/>
      <c r="G3575" s="364">
        <f t="shared" si="74"/>
        <v>86336.661290322663</v>
      </c>
      <c r="H3575" s="391" t="s">
        <v>9568</v>
      </c>
    </row>
    <row r="3576" spans="1:11" x14ac:dyDescent="0.3">
      <c r="A3576" s="45">
        <v>44652</v>
      </c>
      <c r="B3576" s="399"/>
      <c r="C3576" s="5" t="s">
        <v>5709</v>
      </c>
      <c r="D3576" s="5" t="s">
        <v>9041</v>
      </c>
      <c r="E3576" s="43">
        <v>5000</v>
      </c>
      <c r="F3576" s="43"/>
      <c r="G3576" s="364">
        <f t="shared" si="74"/>
        <v>81336.661290322663</v>
      </c>
      <c r="H3576" s="391" t="s">
        <v>9568</v>
      </c>
    </row>
    <row r="3577" spans="1:11" x14ac:dyDescent="0.3">
      <c r="A3577" s="45">
        <v>44652</v>
      </c>
      <c r="B3577" s="399"/>
      <c r="C3577" s="5" t="s">
        <v>777</v>
      </c>
      <c r="D3577" s="5" t="s">
        <v>294</v>
      </c>
      <c r="E3577" s="43">
        <v>30000</v>
      </c>
      <c r="F3577" s="43"/>
      <c r="G3577" s="364">
        <f t="shared" si="74"/>
        <v>51336.661290322663</v>
      </c>
      <c r="H3577" s="391" t="s">
        <v>9568</v>
      </c>
    </row>
    <row r="3578" spans="1:11" x14ac:dyDescent="0.3">
      <c r="A3578" s="45">
        <v>44653</v>
      </c>
      <c r="B3578" s="399"/>
      <c r="C3578" s="5" t="s">
        <v>6931</v>
      </c>
      <c r="D3578" s="5" t="s">
        <v>9042</v>
      </c>
      <c r="E3578" s="43">
        <v>15000</v>
      </c>
      <c r="F3578" s="43"/>
      <c r="G3578" s="364">
        <f t="shared" si="74"/>
        <v>36336.661290322663</v>
      </c>
      <c r="H3578" s="391" t="s">
        <v>9568</v>
      </c>
    </row>
    <row r="3579" spans="1:11" x14ac:dyDescent="0.3">
      <c r="A3579" s="45">
        <v>44653</v>
      </c>
      <c r="B3579" s="399"/>
      <c r="C3579" s="5" t="s">
        <v>25</v>
      </c>
      <c r="D3579" s="5" t="s">
        <v>9043</v>
      </c>
      <c r="E3579" s="43">
        <v>6700</v>
      </c>
      <c r="F3579" s="43"/>
      <c r="G3579" s="364">
        <f t="shared" si="74"/>
        <v>29636.661290322663</v>
      </c>
      <c r="H3579" s="391" t="s">
        <v>9568</v>
      </c>
    </row>
    <row r="3580" spans="1:11" x14ac:dyDescent="0.3">
      <c r="A3580" s="45">
        <v>44653</v>
      </c>
      <c r="B3580" s="399"/>
      <c r="C3580" s="5" t="s">
        <v>9044</v>
      </c>
      <c r="D3580" s="5" t="s">
        <v>9045</v>
      </c>
      <c r="E3580" s="43">
        <v>13000</v>
      </c>
      <c r="F3580" s="43"/>
      <c r="G3580" s="364">
        <f t="shared" si="74"/>
        <v>16636.661290322663</v>
      </c>
      <c r="H3580" s="391" t="s">
        <v>9568</v>
      </c>
    </row>
    <row r="3581" spans="1:11" x14ac:dyDescent="0.3">
      <c r="A3581" s="45">
        <v>44653</v>
      </c>
      <c r="B3581" s="399"/>
      <c r="C3581" s="5" t="s">
        <v>6430</v>
      </c>
      <c r="D3581" s="5" t="s">
        <v>294</v>
      </c>
      <c r="E3581" s="43">
        <v>1000</v>
      </c>
      <c r="F3581" s="43"/>
      <c r="G3581" s="364">
        <f t="shared" si="74"/>
        <v>15636.661290322663</v>
      </c>
      <c r="H3581" s="391" t="s">
        <v>9568</v>
      </c>
    </row>
    <row r="3582" spans="1:11" x14ac:dyDescent="0.3">
      <c r="A3582" s="45">
        <v>44653</v>
      </c>
      <c r="B3582" s="399"/>
      <c r="C3582" s="5" t="s">
        <v>84</v>
      </c>
      <c r="D3582" s="5" t="s">
        <v>9046</v>
      </c>
      <c r="E3582" s="65">
        <v>2000</v>
      </c>
      <c r="F3582" s="43"/>
      <c r="G3582" s="364">
        <f t="shared" si="74"/>
        <v>13636.661290322663</v>
      </c>
      <c r="H3582" s="391" t="s">
        <v>9568</v>
      </c>
      <c r="K3582" s="238"/>
    </row>
    <row r="3583" spans="1:11" x14ac:dyDescent="0.3">
      <c r="A3583" s="45">
        <v>44653</v>
      </c>
      <c r="B3583" s="399"/>
      <c r="C3583" s="5" t="s">
        <v>84</v>
      </c>
      <c r="D3583" s="5" t="s">
        <v>9047</v>
      </c>
      <c r="E3583" s="65">
        <v>1000</v>
      </c>
      <c r="F3583" s="43"/>
      <c r="G3583" s="364">
        <f t="shared" si="74"/>
        <v>12636.661290322663</v>
      </c>
      <c r="H3583" s="391" t="s">
        <v>9568</v>
      </c>
      <c r="K3583" s="238"/>
    </row>
    <row r="3584" spans="1:11" x14ac:dyDescent="0.3">
      <c r="A3584" s="45">
        <v>44653</v>
      </c>
      <c r="B3584" s="399"/>
      <c r="C3584" s="5" t="s">
        <v>25</v>
      </c>
      <c r="D3584" s="5" t="s">
        <v>8291</v>
      </c>
      <c r="E3584" s="43">
        <v>3800</v>
      </c>
      <c r="F3584" s="43"/>
      <c r="G3584" s="364">
        <f t="shared" si="74"/>
        <v>8836.6612903226633</v>
      </c>
      <c r="H3584" s="391" t="s">
        <v>9568</v>
      </c>
      <c r="K3584" s="238"/>
    </row>
    <row r="3585" spans="1:11" x14ac:dyDescent="0.3">
      <c r="A3585" s="45">
        <v>44653</v>
      </c>
      <c r="B3585" s="580"/>
      <c r="C3585" s="554" t="s">
        <v>7440</v>
      </c>
      <c r="D3585" s="554"/>
      <c r="E3585" s="554"/>
      <c r="F3585" s="43">
        <v>25000</v>
      </c>
      <c r="G3585" s="364">
        <f t="shared" si="74"/>
        <v>33836.661290322663</v>
      </c>
      <c r="H3585" s="391" t="s">
        <v>9568</v>
      </c>
      <c r="K3585" s="238"/>
    </row>
    <row r="3586" spans="1:11" x14ac:dyDescent="0.3">
      <c r="A3586" s="45">
        <v>44653</v>
      </c>
      <c r="B3586" s="399"/>
      <c r="C3586" s="5" t="s">
        <v>9048</v>
      </c>
      <c r="D3586" s="5" t="s">
        <v>9049</v>
      </c>
      <c r="E3586" s="43">
        <v>10000</v>
      </c>
      <c r="F3586" s="43"/>
      <c r="G3586" s="364">
        <f t="shared" si="74"/>
        <v>23836.661290322663</v>
      </c>
      <c r="H3586" s="391" t="s">
        <v>9568</v>
      </c>
      <c r="K3586" s="238"/>
    </row>
    <row r="3587" spans="1:11" x14ac:dyDescent="0.3">
      <c r="A3587" s="45">
        <v>44656</v>
      </c>
      <c r="B3587" s="399"/>
      <c r="C3587" s="5" t="s">
        <v>57</v>
      </c>
      <c r="D3587" s="5" t="s">
        <v>5973</v>
      </c>
      <c r="E3587" s="43">
        <v>8000</v>
      </c>
      <c r="F3587" s="43"/>
      <c r="G3587" s="364">
        <f t="shared" si="74"/>
        <v>15836.661290322663</v>
      </c>
      <c r="H3587" s="391" t="s">
        <v>9568</v>
      </c>
    </row>
    <row r="3588" spans="1:11" x14ac:dyDescent="0.3">
      <c r="A3588" s="45">
        <v>44656</v>
      </c>
      <c r="B3588" s="399"/>
      <c r="C3588" s="5" t="s">
        <v>5846</v>
      </c>
      <c r="D3588" s="5" t="s">
        <v>9050</v>
      </c>
      <c r="E3588" s="43">
        <v>500</v>
      </c>
      <c r="F3588" s="43"/>
      <c r="G3588" s="364">
        <f t="shared" si="74"/>
        <v>15336.661290322663</v>
      </c>
      <c r="H3588" s="391" t="s">
        <v>9568</v>
      </c>
    </row>
    <row r="3589" spans="1:11" x14ac:dyDescent="0.3">
      <c r="A3589" s="45">
        <v>44656</v>
      </c>
      <c r="B3589" s="399"/>
      <c r="C3589" s="5" t="s">
        <v>4946</v>
      </c>
      <c r="D3589" s="5" t="s">
        <v>8719</v>
      </c>
      <c r="E3589" s="43">
        <v>939</v>
      </c>
      <c r="F3589" s="43"/>
      <c r="G3589" s="364">
        <f t="shared" si="74"/>
        <v>14397.661290322663</v>
      </c>
      <c r="H3589" s="391" t="s">
        <v>9568</v>
      </c>
    </row>
    <row r="3590" spans="1:11" x14ac:dyDescent="0.3">
      <c r="A3590" s="45">
        <v>44656</v>
      </c>
      <c r="B3590" s="580"/>
      <c r="C3590" s="554" t="s">
        <v>7440</v>
      </c>
      <c r="D3590" s="554"/>
      <c r="E3590" s="554"/>
      <c r="F3590" s="43">
        <v>187000</v>
      </c>
      <c r="G3590" s="364">
        <f t="shared" si="74"/>
        <v>201397.66129032266</v>
      </c>
      <c r="H3590" s="391" t="s">
        <v>9568</v>
      </c>
      <c r="K3590" s="238"/>
    </row>
    <row r="3591" spans="1:11" x14ac:dyDescent="0.3">
      <c r="A3591" s="45">
        <v>44656</v>
      </c>
      <c r="B3591" s="399"/>
      <c r="C3591" s="5" t="s">
        <v>9052</v>
      </c>
      <c r="D3591" s="5" t="s">
        <v>294</v>
      </c>
      <c r="E3591" s="43">
        <v>21600</v>
      </c>
      <c r="F3591" s="43"/>
      <c r="G3591" s="364">
        <f t="shared" si="74"/>
        <v>179797.66129032266</v>
      </c>
      <c r="H3591" s="391" t="s">
        <v>9568</v>
      </c>
    </row>
    <row r="3592" spans="1:11" x14ac:dyDescent="0.3">
      <c r="A3592" s="45">
        <v>44656</v>
      </c>
      <c r="B3592" s="399"/>
      <c r="C3592" s="5" t="s">
        <v>14</v>
      </c>
      <c r="D3592" s="5" t="s">
        <v>640</v>
      </c>
      <c r="E3592" s="43">
        <v>1000</v>
      </c>
      <c r="F3592" s="43"/>
      <c r="G3592" s="364">
        <f t="shared" si="74"/>
        <v>178797.66129032266</v>
      </c>
      <c r="H3592" s="391" t="s">
        <v>9568</v>
      </c>
    </row>
    <row r="3593" spans="1:11" x14ac:dyDescent="0.3">
      <c r="A3593" s="45">
        <v>44656</v>
      </c>
      <c r="B3593" s="399"/>
      <c r="C3593" s="5" t="s">
        <v>3554</v>
      </c>
      <c r="D3593" s="5" t="s">
        <v>9055</v>
      </c>
      <c r="E3593" s="43">
        <v>5000</v>
      </c>
      <c r="F3593" s="43"/>
      <c r="G3593" s="364">
        <f t="shared" si="74"/>
        <v>173797.66129032266</v>
      </c>
      <c r="H3593" s="391" t="s">
        <v>9568</v>
      </c>
    </row>
    <row r="3594" spans="1:11" x14ac:dyDescent="0.3">
      <c r="A3594" s="45">
        <v>44656</v>
      </c>
      <c r="B3594" s="399"/>
      <c r="C3594" s="5" t="s">
        <v>9054</v>
      </c>
      <c r="D3594" s="5" t="s">
        <v>9056</v>
      </c>
      <c r="E3594" s="43">
        <v>30000</v>
      </c>
      <c r="F3594" s="43"/>
      <c r="G3594" s="364">
        <f t="shared" si="74"/>
        <v>143797.66129032266</v>
      </c>
      <c r="H3594" s="391" t="s">
        <v>9568</v>
      </c>
    </row>
    <row r="3595" spans="1:11" x14ac:dyDescent="0.3">
      <c r="A3595" s="45">
        <v>44656</v>
      </c>
      <c r="B3595" s="432"/>
      <c r="C3595" s="349" t="s">
        <v>54</v>
      </c>
      <c r="D3595" s="349" t="s">
        <v>6244</v>
      </c>
      <c r="E3595" s="350">
        <v>19927</v>
      </c>
      <c r="G3595" s="364">
        <f t="shared" si="74"/>
        <v>123870.66129032266</v>
      </c>
      <c r="H3595" s="391" t="s">
        <v>9568</v>
      </c>
    </row>
    <row r="3596" spans="1:11" x14ac:dyDescent="0.3">
      <c r="A3596" s="45">
        <v>44656</v>
      </c>
      <c r="B3596" s="432"/>
      <c r="C3596" s="349" t="s">
        <v>54</v>
      </c>
      <c r="D3596" s="218" t="s">
        <v>6842</v>
      </c>
      <c r="E3596" s="62">
        <f>97000+1500</f>
        <v>98500</v>
      </c>
      <c r="F3596" s="43"/>
      <c r="G3596" s="364">
        <f t="shared" si="74"/>
        <v>25370.661290322663</v>
      </c>
      <c r="H3596" s="391" t="s">
        <v>9568</v>
      </c>
    </row>
    <row r="3597" spans="1:11" x14ac:dyDescent="0.3">
      <c r="A3597" s="45">
        <v>44657</v>
      </c>
      <c r="B3597" s="399"/>
      <c r="C3597" s="5" t="s">
        <v>25</v>
      </c>
      <c r="D3597" s="5" t="s">
        <v>6543</v>
      </c>
      <c r="E3597" s="43">
        <v>1000</v>
      </c>
      <c r="F3597" s="43"/>
      <c r="G3597" s="364">
        <f t="shared" si="74"/>
        <v>24370.661290322663</v>
      </c>
      <c r="H3597" s="391" t="s">
        <v>9568</v>
      </c>
    </row>
    <row r="3598" spans="1:11" x14ac:dyDescent="0.3">
      <c r="A3598" s="45">
        <v>44657</v>
      </c>
      <c r="B3598" s="580"/>
      <c r="C3598" s="554" t="s">
        <v>7440</v>
      </c>
      <c r="D3598" s="554"/>
      <c r="E3598" s="554"/>
      <c r="F3598" s="43">
        <v>500000</v>
      </c>
      <c r="G3598" s="364">
        <f t="shared" ref="G3598" si="75">G3597+F3598-E3598</f>
        <v>524370.66129032266</v>
      </c>
      <c r="H3598" s="391" t="s">
        <v>9568</v>
      </c>
      <c r="K3598" s="238"/>
    </row>
    <row r="3599" spans="1:11" x14ac:dyDescent="0.3">
      <c r="A3599" s="45">
        <v>44657</v>
      </c>
      <c r="B3599" s="399"/>
      <c r="C3599" s="5" t="s">
        <v>1616</v>
      </c>
      <c r="D3599" s="5" t="s">
        <v>9058</v>
      </c>
      <c r="E3599" s="43">
        <v>650</v>
      </c>
      <c r="F3599" s="43"/>
      <c r="G3599" s="364">
        <f t="shared" si="74"/>
        <v>523720.66129032266</v>
      </c>
      <c r="H3599" s="391" t="s">
        <v>9568</v>
      </c>
    </row>
    <row r="3600" spans="1:11" x14ac:dyDescent="0.3">
      <c r="A3600" s="45">
        <v>44657</v>
      </c>
      <c r="B3600" s="432"/>
      <c r="C3600" s="349" t="s">
        <v>54</v>
      </c>
      <c r="D3600" s="349" t="s">
        <v>8636</v>
      </c>
      <c r="E3600" s="350">
        <v>117750</v>
      </c>
      <c r="G3600" s="364">
        <f t="shared" ref="G3600:G3601" si="76">G3599+F3600-E3600</f>
        <v>405970.66129032266</v>
      </c>
      <c r="H3600" s="391" t="s">
        <v>9568</v>
      </c>
    </row>
    <row r="3601" spans="1:11" x14ac:dyDescent="0.3">
      <c r="A3601" s="45">
        <v>44657</v>
      </c>
      <c r="B3601" s="432"/>
      <c r="C3601" s="349" t="s">
        <v>54</v>
      </c>
      <c r="D3601" s="218" t="s">
        <v>8637</v>
      </c>
      <c r="E3601" s="62">
        <v>73387</v>
      </c>
      <c r="F3601" s="43"/>
      <c r="G3601" s="364">
        <f t="shared" si="76"/>
        <v>332583.66129032266</v>
      </c>
      <c r="H3601" s="391" t="s">
        <v>9568</v>
      </c>
    </row>
    <row r="3602" spans="1:11" x14ac:dyDescent="0.3">
      <c r="A3602" s="45">
        <v>44657</v>
      </c>
      <c r="B3602" s="432"/>
      <c r="C3602" s="349" t="s">
        <v>54</v>
      </c>
      <c r="D3602" s="218" t="s">
        <v>9059</v>
      </c>
      <c r="E3602" s="62">
        <v>49952</v>
      </c>
      <c r="F3602" s="43"/>
      <c r="G3602" s="364">
        <f t="shared" si="74"/>
        <v>282631.66129032266</v>
      </c>
      <c r="H3602" s="391" t="s">
        <v>9568</v>
      </c>
    </row>
    <row r="3603" spans="1:11" x14ac:dyDescent="0.3">
      <c r="A3603" s="45">
        <v>44657</v>
      </c>
      <c r="B3603" s="432"/>
      <c r="C3603" s="349" t="s">
        <v>54</v>
      </c>
      <c r="D3603" s="218" t="s">
        <v>9060</v>
      </c>
      <c r="E3603" s="62">
        <v>126629</v>
      </c>
      <c r="F3603" s="43"/>
      <c r="G3603" s="364">
        <f t="shared" si="74"/>
        <v>156002.66129032266</v>
      </c>
      <c r="H3603" s="391" t="s">
        <v>9568</v>
      </c>
    </row>
    <row r="3604" spans="1:11" x14ac:dyDescent="0.3">
      <c r="A3604" s="45">
        <v>44657</v>
      </c>
      <c r="B3604" s="399"/>
      <c r="C3604" s="5" t="s">
        <v>5162</v>
      </c>
      <c r="D3604" s="5" t="s">
        <v>9061</v>
      </c>
      <c r="E3604" s="43">
        <v>1000</v>
      </c>
      <c r="F3604" s="43"/>
      <c r="G3604" s="364">
        <f t="shared" ref="G3604:G3644" si="77">G3603+F3604-E3604</f>
        <v>155002.66129032266</v>
      </c>
      <c r="H3604" s="391" t="s">
        <v>9568</v>
      </c>
    </row>
    <row r="3605" spans="1:11" x14ac:dyDescent="0.3">
      <c r="A3605" s="45">
        <v>44657</v>
      </c>
      <c r="B3605" s="399"/>
      <c r="C3605" s="5" t="s">
        <v>6931</v>
      </c>
      <c r="D3605" s="5" t="s">
        <v>2013</v>
      </c>
      <c r="E3605" s="43">
        <v>300</v>
      </c>
      <c r="F3605" s="43"/>
      <c r="G3605" s="364">
        <f t="shared" si="77"/>
        <v>154702.66129032266</v>
      </c>
      <c r="H3605" s="391" t="s">
        <v>9568</v>
      </c>
    </row>
    <row r="3606" spans="1:11" x14ac:dyDescent="0.3">
      <c r="A3606" s="45">
        <v>44657</v>
      </c>
      <c r="B3606" s="399"/>
      <c r="C3606" s="5" t="s">
        <v>6931</v>
      </c>
      <c r="D3606" s="5" t="s">
        <v>8945</v>
      </c>
      <c r="E3606" s="43">
        <v>2000</v>
      </c>
      <c r="F3606" s="43"/>
      <c r="G3606" s="364">
        <f t="shared" si="77"/>
        <v>152702.66129032266</v>
      </c>
      <c r="H3606" s="391" t="s">
        <v>9568</v>
      </c>
    </row>
    <row r="3607" spans="1:11" x14ac:dyDescent="0.3">
      <c r="A3607" s="45">
        <v>44657</v>
      </c>
      <c r="B3607" s="399"/>
      <c r="C3607" s="5" t="s">
        <v>84</v>
      </c>
      <c r="D3607" s="5" t="s">
        <v>8992</v>
      </c>
      <c r="E3607" s="43">
        <v>3000</v>
      </c>
      <c r="F3607" s="43"/>
      <c r="G3607" s="364">
        <f t="shared" si="77"/>
        <v>149702.66129032266</v>
      </c>
      <c r="H3607" s="391" t="s">
        <v>9568</v>
      </c>
    </row>
    <row r="3608" spans="1:11" x14ac:dyDescent="0.3">
      <c r="A3608" s="45">
        <v>44657</v>
      </c>
      <c r="B3608" s="399"/>
      <c r="C3608" s="5" t="s">
        <v>9062</v>
      </c>
      <c r="D3608" s="5" t="s">
        <v>9063</v>
      </c>
      <c r="E3608" s="43">
        <v>45230</v>
      </c>
      <c r="F3608" s="43"/>
      <c r="G3608" s="364">
        <f t="shared" si="77"/>
        <v>104472.66129032266</v>
      </c>
      <c r="H3608" s="391" t="s">
        <v>9568</v>
      </c>
    </row>
    <row r="3609" spans="1:11" x14ac:dyDescent="0.3">
      <c r="A3609" s="45">
        <v>44657</v>
      </c>
      <c r="B3609" s="580"/>
      <c r="C3609" s="554" t="s">
        <v>7440</v>
      </c>
      <c r="D3609" s="554"/>
      <c r="E3609" s="554"/>
      <c r="F3609" s="43">
        <v>400000</v>
      </c>
      <c r="G3609" s="364">
        <f t="shared" si="77"/>
        <v>504472.66129032266</v>
      </c>
      <c r="H3609" s="391" t="s">
        <v>9568</v>
      </c>
      <c r="K3609" s="238"/>
    </row>
    <row r="3610" spans="1:11" x14ac:dyDescent="0.3">
      <c r="A3610" s="45">
        <v>44657</v>
      </c>
      <c r="B3610" s="432"/>
      <c r="C3610" s="349" t="s">
        <v>54</v>
      </c>
      <c r="D3610" s="349" t="s">
        <v>8646</v>
      </c>
      <c r="E3610" s="350">
        <v>117036</v>
      </c>
      <c r="G3610" s="364">
        <f t="shared" si="77"/>
        <v>387436.66129032266</v>
      </c>
      <c r="H3610" s="391" t="s">
        <v>9568</v>
      </c>
    </row>
    <row r="3611" spans="1:11" x14ac:dyDescent="0.3">
      <c r="A3611" s="45">
        <v>44657</v>
      </c>
      <c r="B3611" s="432"/>
      <c r="C3611" s="349" t="s">
        <v>54</v>
      </c>
      <c r="D3611" s="218" t="s">
        <v>8645</v>
      </c>
      <c r="E3611" s="62">
        <v>227871</v>
      </c>
      <c r="F3611" s="43"/>
      <c r="G3611" s="364">
        <f t="shared" si="77"/>
        <v>159565.66129032266</v>
      </c>
      <c r="H3611" s="391" t="s">
        <v>9568</v>
      </c>
    </row>
    <row r="3612" spans="1:11" x14ac:dyDescent="0.3">
      <c r="A3612" s="45">
        <v>44657</v>
      </c>
      <c r="B3612" s="408"/>
      <c r="C3612" s="218" t="s">
        <v>54</v>
      </c>
      <c r="D3612" s="218" t="s">
        <v>8238</v>
      </c>
      <c r="E3612" s="62">
        <v>84113</v>
      </c>
      <c r="F3612" s="43"/>
      <c r="G3612" s="364">
        <f t="shared" si="77"/>
        <v>75452.661290322663</v>
      </c>
      <c r="H3612" s="391" t="s">
        <v>9568</v>
      </c>
    </row>
    <row r="3613" spans="1:11" x14ac:dyDescent="0.3">
      <c r="A3613" s="45">
        <v>44657</v>
      </c>
      <c r="B3613" s="408"/>
      <c r="C3613" s="218" t="s">
        <v>54</v>
      </c>
      <c r="D3613" s="61" t="s">
        <v>8824</v>
      </c>
      <c r="E3613" s="62">
        <v>32800</v>
      </c>
      <c r="F3613" s="43"/>
      <c r="G3613" s="364">
        <f t="shared" si="77"/>
        <v>42652.661290322663</v>
      </c>
      <c r="H3613" s="391" t="s">
        <v>9568</v>
      </c>
    </row>
    <row r="3614" spans="1:11" x14ac:dyDescent="0.3">
      <c r="A3614" s="45">
        <v>44659</v>
      </c>
      <c r="B3614" s="399"/>
      <c r="C3614" s="5" t="s">
        <v>5938</v>
      </c>
      <c r="D3614" s="5" t="s">
        <v>9064</v>
      </c>
      <c r="E3614" s="43">
        <v>20000</v>
      </c>
      <c r="F3614" s="43"/>
      <c r="G3614" s="364">
        <f t="shared" si="77"/>
        <v>22652.661290322663</v>
      </c>
      <c r="H3614" s="391" t="s">
        <v>9568</v>
      </c>
    </row>
    <row r="3615" spans="1:11" x14ac:dyDescent="0.3">
      <c r="A3615" s="45">
        <v>44659</v>
      </c>
      <c r="B3615" s="399"/>
      <c r="C3615" s="5" t="s">
        <v>9065</v>
      </c>
      <c r="D3615" s="5" t="s">
        <v>9066</v>
      </c>
      <c r="E3615" s="43">
        <v>12880</v>
      </c>
      <c r="F3615" s="43"/>
      <c r="G3615" s="364">
        <f t="shared" si="77"/>
        <v>9772.6612903226633</v>
      </c>
      <c r="H3615" s="391" t="s">
        <v>9568</v>
      </c>
    </row>
    <row r="3616" spans="1:11" x14ac:dyDescent="0.3">
      <c r="A3616" s="45">
        <v>44659</v>
      </c>
      <c r="B3616" s="580"/>
      <c r="C3616" s="554" t="s">
        <v>9067</v>
      </c>
      <c r="D3616" s="554"/>
      <c r="E3616" s="554"/>
      <c r="F3616" s="43">
        <v>50000</v>
      </c>
      <c r="G3616" s="364">
        <f t="shared" ref="G3616" si="78">G3615+F3616-E3616</f>
        <v>59772.661290322663</v>
      </c>
      <c r="H3616" s="391" t="s">
        <v>9568</v>
      </c>
      <c r="K3616" s="238"/>
    </row>
    <row r="3617" spans="1:11" x14ac:dyDescent="0.3">
      <c r="A3617" s="45">
        <v>44659</v>
      </c>
      <c r="B3617" s="399"/>
      <c r="C3617" s="5" t="s">
        <v>14</v>
      </c>
      <c r="D3617" s="5" t="s">
        <v>294</v>
      </c>
      <c r="E3617" s="43">
        <v>50000</v>
      </c>
      <c r="F3617" s="43"/>
      <c r="G3617" s="364">
        <f t="shared" si="77"/>
        <v>9772.6612903226633</v>
      </c>
      <c r="H3617" s="391" t="s">
        <v>9568</v>
      </c>
    </row>
    <row r="3618" spans="1:11" x14ac:dyDescent="0.3">
      <c r="A3618" s="45">
        <v>44659</v>
      </c>
      <c r="B3618" s="399"/>
      <c r="C3618" s="5" t="s">
        <v>107</v>
      </c>
      <c r="D3618" s="5" t="s">
        <v>9069</v>
      </c>
      <c r="E3618" s="43">
        <v>400</v>
      </c>
      <c r="F3618" s="43"/>
      <c r="G3618" s="364">
        <f t="shared" si="77"/>
        <v>9372.6612903226633</v>
      </c>
      <c r="H3618" s="391" t="s">
        <v>9568</v>
      </c>
    </row>
    <row r="3619" spans="1:11" x14ac:dyDescent="0.3">
      <c r="A3619" s="45">
        <v>44662</v>
      </c>
      <c r="B3619" s="399"/>
      <c r="C3619" s="5" t="s">
        <v>3724</v>
      </c>
      <c r="D3619" s="5" t="s">
        <v>40</v>
      </c>
      <c r="E3619" s="43">
        <v>4230</v>
      </c>
      <c r="F3619" s="43"/>
      <c r="G3619" s="364">
        <f t="shared" si="77"/>
        <v>5142.6612903226633</v>
      </c>
      <c r="H3619" s="391" t="s">
        <v>9568</v>
      </c>
    </row>
    <row r="3620" spans="1:11" x14ac:dyDescent="0.3">
      <c r="A3620" s="45">
        <v>44662</v>
      </c>
      <c r="B3620" s="399"/>
      <c r="C3620" s="5" t="s">
        <v>25</v>
      </c>
      <c r="D3620" s="5" t="s">
        <v>8152</v>
      </c>
      <c r="E3620" s="43">
        <v>2643</v>
      </c>
      <c r="F3620" s="43"/>
      <c r="G3620" s="364">
        <f t="shared" si="77"/>
        <v>2499.6612903226633</v>
      </c>
      <c r="H3620" s="391" t="s">
        <v>9568</v>
      </c>
    </row>
    <row r="3621" spans="1:11" x14ac:dyDescent="0.3">
      <c r="A3621" s="45">
        <v>44662</v>
      </c>
      <c r="B3621" s="580"/>
      <c r="C3621" s="554" t="s">
        <v>4106</v>
      </c>
      <c r="D3621" s="554"/>
      <c r="E3621" s="554"/>
      <c r="F3621" s="43">
        <v>200000</v>
      </c>
      <c r="G3621" s="364">
        <f t="shared" si="77"/>
        <v>202499.66129032266</v>
      </c>
      <c r="H3621" s="391" t="s">
        <v>9568</v>
      </c>
      <c r="K3621" s="238"/>
    </row>
    <row r="3622" spans="1:11" x14ac:dyDescent="0.3">
      <c r="A3622" s="45">
        <v>44662</v>
      </c>
      <c r="B3622" s="399"/>
      <c r="C3622" s="5" t="s">
        <v>4989</v>
      </c>
      <c r="D3622" s="5" t="s">
        <v>9076</v>
      </c>
      <c r="E3622" s="43">
        <v>25000</v>
      </c>
      <c r="F3622" s="43"/>
      <c r="G3622" s="364">
        <f t="shared" si="77"/>
        <v>177499.66129032266</v>
      </c>
      <c r="H3622" s="391" t="s">
        <v>9568</v>
      </c>
    </row>
    <row r="3623" spans="1:11" x14ac:dyDescent="0.3">
      <c r="A3623" s="45">
        <v>44662</v>
      </c>
      <c r="B3623" s="399"/>
      <c r="C3623" s="5" t="s">
        <v>4989</v>
      </c>
      <c r="D3623" s="5" t="s">
        <v>9077</v>
      </c>
      <c r="E3623" s="43">
        <v>25000</v>
      </c>
      <c r="F3623" s="43"/>
      <c r="G3623" s="364">
        <f t="shared" si="77"/>
        <v>152499.66129032266</v>
      </c>
      <c r="H3623" s="391" t="s">
        <v>9568</v>
      </c>
    </row>
    <row r="3624" spans="1:11" x14ac:dyDescent="0.3">
      <c r="A3624" s="45">
        <v>44662</v>
      </c>
      <c r="B3624" s="399"/>
      <c r="C3624" s="5" t="s">
        <v>4989</v>
      </c>
      <c r="D3624" s="5" t="s">
        <v>9078</v>
      </c>
      <c r="E3624" s="43">
        <v>25000</v>
      </c>
      <c r="F3624" s="43"/>
      <c r="G3624" s="364">
        <f t="shared" si="77"/>
        <v>127499.66129032266</v>
      </c>
      <c r="H3624" s="391" t="s">
        <v>9568</v>
      </c>
    </row>
    <row r="3625" spans="1:11" x14ac:dyDescent="0.3">
      <c r="A3625" s="45">
        <v>44662</v>
      </c>
      <c r="B3625" s="399"/>
      <c r="C3625" s="5" t="s">
        <v>4989</v>
      </c>
      <c r="D3625" s="5" t="s">
        <v>9079</v>
      </c>
      <c r="E3625" s="43">
        <v>25000</v>
      </c>
      <c r="F3625" s="43"/>
      <c r="G3625" s="364">
        <f t="shared" si="77"/>
        <v>102499.66129032266</v>
      </c>
      <c r="H3625" s="391" t="s">
        <v>9568</v>
      </c>
    </row>
    <row r="3626" spans="1:11" x14ac:dyDescent="0.3">
      <c r="A3626" s="45">
        <v>44662</v>
      </c>
      <c r="B3626" s="399"/>
      <c r="C3626" s="5" t="s">
        <v>7571</v>
      </c>
      <c r="D3626" s="5" t="s">
        <v>8550</v>
      </c>
      <c r="E3626" s="43">
        <v>50000</v>
      </c>
      <c r="F3626" s="43"/>
      <c r="G3626" s="364">
        <f t="shared" si="77"/>
        <v>52499.661290322663</v>
      </c>
      <c r="H3626" s="391" t="s">
        <v>9568</v>
      </c>
    </row>
    <row r="3627" spans="1:11" x14ac:dyDescent="0.3">
      <c r="A3627" s="45">
        <v>44662</v>
      </c>
      <c r="B3627" s="399"/>
      <c r="C3627" s="5" t="s">
        <v>14</v>
      </c>
      <c r="D3627" s="5" t="s">
        <v>294</v>
      </c>
      <c r="E3627" s="43">
        <v>20000</v>
      </c>
      <c r="F3627" s="43"/>
      <c r="G3627" s="364">
        <f t="shared" si="77"/>
        <v>32499.661290322663</v>
      </c>
      <c r="H3627" s="391" t="s">
        <v>9568</v>
      </c>
    </row>
    <row r="3628" spans="1:11" x14ac:dyDescent="0.3">
      <c r="A3628" s="45">
        <v>44662</v>
      </c>
      <c r="B3628" s="399"/>
      <c r="C3628" s="5" t="s">
        <v>541</v>
      </c>
      <c r="D3628" s="5" t="s">
        <v>294</v>
      </c>
      <c r="E3628" s="43">
        <v>30000</v>
      </c>
      <c r="F3628" s="43"/>
      <c r="G3628" s="364">
        <f t="shared" si="77"/>
        <v>2499.6612903226633</v>
      </c>
      <c r="H3628" s="391" t="s">
        <v>9568</v>
      </c>
    </row>
    <row r="3629" spans="1:11" x14ac:dyDescent="0.3">
      <c r="A3629" s="45">
        <v>44662</v>
      </c>
      <c r="B3629" s="399"/>
      <c r="C3629" s="5" t="s">
        <v>25</v>
      </c>
      <c r="D3629" s="5" t="s">
        <v>4400</v>
      </c>
      <c r="E3629" s="43">
        <v>2500</v>
      </c>
      <c r="F3629" s="43"/>
      <c r="G3629" s="364">
        <f t="shared" si="77"/>
        <v>-0.33870967733673751</v>
      </c>
      <c r="H3629" s="391" t="s">
        <v>9568</v>
      </c>
    </row>
    <row r="3630" spans="1:11" x14ac:dyDescent="0.3">
      <c r="A3630" s="45">
        <v>44665</v>
      </c>
      <c r="B3630" s="580"/>
      <c r="C3630" s="554" t="s">
        <v>9067</v>
      </c>
      <c r="D3630" s="554"/>
      <c r="E3630" s="554"/>
      <c r="F3630" s="43">
        <v>20000</v>
      </c>
      <c r="G3630" s="364">
        <f t="shared" si="77"/>
        <v>19999.661290322663</v>
      </c>
      <c r="H3630" s="391" t="s">
        <v>9568</v>
      </c>
      <c r="K3630" s="238"/>
    </row>
    <row r="3631" spans="1:11" x14ac:dyDescent="0.3">
      <c r="A3631" s="45">
        <v>44665</v>
      </c>
      <c r="B3631" s="399"/>
      <c r="C3631" s="5" t="s">
        <v>3546</v>
      </c>
      <c r="D3631" s="5" t="s">
        <v>9087</v>
      </c>
      <c r="E3631" s="43">
        <v>18200</v>
      </c>
      <c r="F3631" s="43"/>
      <c r="G3631" s="364">
        <f t="shared" si="77"/>
        <v>1799.6612903226633</v>
      </c>
      <c r="H3631" s="391" t="s">
        <v>9568</v>
      </c>
    </row>
    <row r="3632" spans="1:11" x14ac:dyDescent="0.3">
      <c r="A3632" s="45">
        <v>44665</v>
      </c>
      <c r="C3632" s="5" t="s">
        <v>84</v>
      </c>
      <c r="D3632" s="4" t="s">
        <v>9089</v>
      </c>
      <c r="E3632" s="167">
        <v>1800</v>
      </c>
      <c r="F3632" s="167"/>
      <c r="G3632" s="364">
        <f t="shared" si="77"/>
        <v>-0.33870967733673751</v>
      </c>
      <c r="H3632" s="391" t="s">
        <v>9568</v>
      </c>
    </row>
    <row r="3633" spans="1:11" x14ac:dyDescent="0.3">
      <c r="A3633" s="45">
        <v>44666</v>
      </c>
      <c r="B3633" s="580"/>
      <c r="C3633" s="554" t="s">
        <v>7440</v>
      </c>
      <c r="D3633" s="554"/>
      <c r="E3633" s="554"/>
      <c r="F3633" s="43">
        <v>49000</v>
      </c>
      <c r="G3633" s="364">
        <f t="shared" si="77"/>
        <v>48999.661290322663</v>
      </c>
      <c r="H3633" s="391" t="s">
        <v>9568</v>
      </c>
      <c r="K3633" s="238"/>
    </row>
    <row r="3634" spans="1:11" x14ac:dyDescent="0.3">
      <c r="A3634" s="45">
        <v>44666</v>
      </c>
      <c r="B3634" s="399"/>
      <c r="C3634" s="5" t="s">
        <v>25</v>
      </c>
      <c r="D3634" s="5" t="s">
        <v>9084</v>
      </c>
      <c r="E3634" s="43">
        <v>2500</v>
      </c>
      <c r="F3634" s="43"/>
      <c r="G3634" s="364">
        <f t="shared" si="77"/>
        <v>46499.661290322663</v>
      </c>
      <c r="H3634" s="391" t="s">
        <v>9568</v>
      </c>
    </row>
    <row r="3635" spans="1:11" x14ac:dyDescent="0.3">
      <c r="A3635" s="45">
        <v>44666</v>
      </c>
      <c r="B3635" s="399"/>
      <c r="C3635" s="5" t="s">
        <v>9044</v>
      </c>
      <c r="D3635" s="5" t="s">
        <v>9085</v>
      </c>
      <c r="E3635" s="43">
        <v>17000</v>
      </c>
      <c r="F3635" s="43"/>
      <c r="G3635" s="364">
        <f t="shared" si="77"/>
        <v>29499.661290322663</v>
      </c>
      <c r="H3635" s="391" t="s">
        <v>9568</v>
      </c>
    </row>
    <row r="3636" spans="1:11" x14ac:dyDescent="0.3">
      <c r="A3636" s="45">
        <v>44666</v>
      </c>
      <c r="B3636" s="399"/>
      <c r="C3636" s="5" t="s">
        <v>14</v>
      </c>
      <c r="D3636" s="5" t="s">
        <v>9086</v>
      </c>
      <c r="E3636" s="43">
        <v>7000</v>
      </c>
      <c r="F3636" s="43"/>
      <c r="G3636" s="364">
        <f t="shared" si="77"/>
        <v>22499.661290322663</v>
      </c>
      <c r="H3636" s="391" t="s">
        <v>9568</v>
      </c>
    </row>
    <row r="3637" spans="1:11" x14ac:dyDescent="0.3">
      <c r="A3637" s="45">
        <v>44666</v>
      </c>
      <c r="B3637" s="399"/>
      <c r="C3637" s="5" t="s">
        <v>57</v>
      </c>
      <c r="D3637" s="5" t="s">
        <v>294</v>
      </c>
      <c r="E3637" s="43">
        <v>2000</v>
      </c>
      <c r="F3637" s="43"/>
      <c r="G3637" s="364">
        <f t="shared" si="77"/>
        <v>20499.661290322663</v>
      </c>
      <c r="H3637" s="391" t="s">
        <v>9568</v>
      </c>
    </row>
    <row r="3638" spans="1:11" x14ac:dyDescent="0.3">
      <c r="A3638" s="45">
        <v>44666</v>
      </c>
      <c r="B3638" s="399"/>
      <c r="C3638" s="5" t="s">
        <v>84</v>
      </c>
      <c r="D3638" s="5" t="s">
        <v>9088</v>
      </c>
      <c r="E3638" s="43">
        <v>1000</v>
      </c>
      <c r="F3638" s="43"/>
      <c r="G3638" s="364">
        <f t="shared" si="77"/>
        <v>19499.661290322663</v>
      </c>
      <c r="H3638" s="391" t="s">
        <v>9568</v>
      </c>
    </row>
    <row r="3639" spans="1:11" x14ac:dyDescent="0.3">
      <c r="A3639" s="45">
        <v>44666</v>
      </c>
      <c r="B3639" s="399"/>
      <c r="C3639" s="5" t="s">
        <v>25</v>
      </c>
      <c r="D3639" s="5" t="s">
        <v>8850</v>
      </c>
      <c r="E3639" s="43">
        <v>2350</v>
      </c>
      <c r="F3639" s="43"/>
      <c r="G3639" s="364">
        <f t="shared" si="77"/>
        <v>17149.661290322663</v>
      </c>
      <c r="H3639" s="391" t="s">
        <v>9568</v>
      </c>
    </row>
    <row r="3640" spans="1:11" x14ac:dyDescent="0.3">
      <c r="A3640" s="45">
        <v>44666</v>
      </c>
      <c r="B3640" s="580"/>
      <c r="C3640" s="554" t="s">
        <v>7440</v>
      </c>
      <c r="D3640" s="554"/>
      <c r="E3640" s="554"/>
      <c r="F3640" s="43">
        <v>50000</v>
      </c>
      <c r="G3640" s="364">
        <f t="shared" si="77"/>
        <v>67149.661290322663</v>
      </c>
      <c r="H3640" s="391" t="s">
        <v>9568</v>
      </c>
      <c r="K3640" s="238"/>
    </row>
    <row r="3641" spans="1:11" x14ac:dyDescent="0.3">
      <c r="A3641" s="45">
        <v>44666</v>
      </c>
      <c r="B3641" s="399"/>
      <c r="C3641" s="5" t="s">
        <v>4989</v>
      </c>
      <c r="D3641" s="5" t="s">
        <v>9090</v>
      </c>
      <c r="E3641" s="43">
        <v>25000</v>
      </c>
      <c r="F3641" s="43"/>
      <c r="G3641" s="364">
        <f t="shared" si="77"/>
        <v>42149.661290322663</v>
      </c>
      <c r="H3641" s="391" t="s">
        <v>9568</v>
      </c>
    </row>
    <row r="3642" spans="1:11" x14ac:dyDescent="0.3">
      <c r="A3642" s="45">
        <v>44666</v>
      </c>
      <c r="B3642" s="399"/>
      <c r="C3642" s="5" t="s">
        <v>1787</v>
      </c>
      <c r="D3642" s="5" t="s">
        <v>9130</v>
      </c>
      <c r="E3642" s="43">
        <v>2000</v>
      </c>
      <c r="F3642" s="43"/>
      <c r="G3642" s="364">
        <f t="shared" si="77"/>
        <v>40149.661290322663</v>
      </c>
      <c r="H3642" s="391" t="s">
        <v>9568</v>
      </c>
    </row>
    <row r="3643" spans="1:11" x14ac:dyDescent="0.3">
      <c r="A3643" s="45">
        <v>44666</v>
      </c>
      <c r="B3643" s="399"/>
      <c r="C3643" s="5" t="s">
        <v>4989</v>
      </c>
      <c r="D3643" s="5" t="s">
        <v>9092</v>
      </c>
      <c r="E3643" s="43">
        <v>24145</v>
      </c>
      <c r="F3643" s="43"/>
      <c r="G3643" s="364">
        <f t="shared" si="77"/>
        <v>16004.661290322663</v>
      </c>
      <c r="H3643" s="391" t="s">
        <v>9568</v>
      </c>
    </row>
    <row r="3644" spans="1:11" x14ac:dyDescent="0.3">
      <c r="A3644" s="45">
        <v>44666</v>
      </c>
      <c r="B3644" s="399"/>
      <c r="C3644" s="5" t="s">
        <v>14</v>
      </c>
      <c r="D3644" s="5" t="s">
        <v>294</v>
      </c>
      <c r="E3644" s="43">
        <v>9000</v>
      </c>
      <c r="F3644" s="43"/>
      <c r="G3644" s="364">
        <f t="shared" si="77"/>
        <v>7004.6612903226633</v>
      </c>
      <c r="H3644" s="391" t="s">
        <v>9568</v>
      </c>
    </row>
    <row r="3645" spans="1:11" x14ac:dyDescent="0.3">
      <c r="A3645" s="45">
        <v>44667</v>
      </c>
      <c r="B3645" s="580"/>
      <c r="C3645" s="554" t="s">
        <v>9094</v>
      </c>
      <c r="D3645" s="554"/>
      <c r="E3645" s="554"/>
      <c r="F3645" s="43">
        <v>250000</v>
      </c>
      <c r="G3645" s="364">
        <f t="shared" ref="G3645" si="79">G3644+F3645-E3645</f>
        <v>257004.66129032266</v>
      </c>
      <c r="H3645" s="391" t="s">
        <v>9568</v>
      </c>
      <c r="K3645" s="238"/>
    </row>
    <row r="3646" spans="1:11" x14ac:dyDescent="0.3">
      <c r="A3646" s="45">
        <v>44667</v>
      </c>
      <c r="B3646" s="399"/>
      <c r="C3646" s="5" t="s">
        <v>7571</v>
      </c>
      <c r="D3646" s="5" t="s">
        <v>8550</v>
      </c>
      <c r="E3646" s="43">
        <v>20000</v>
      </c>
      <c r="F3646" s="43"/>
      <c r="G3646" s="364">
        <f t="shared" ref="G3646:G3709" si="80">G3645+F3646-E3646</f>
        <v>237004.66129032266</v>
      </c>
      <c r="H3646" s="391" t="s">
        <v>9568</v>
      </c>
    </row>
    <row r="3647" spans="1:11" x14ac:dyDescent="0.3">
      <c r="A3647" s="45">
        <v>44667</v>
      </c>
      <c r="B3647" s="399"/>
      <c r="C3647" s="5" t="s">
        <v>6430</v>
      </c>
      <c r="D3647" s="5" t="s">
        <v>2013</v>
      </c>
      <c r="E3647" s="43">
        <v>300</v>
      </c>
      <c r="F3647" s="43"/>
      <c r="G3647" s="364">
        <f t="shared" si="80"/>
        <v>236704.66129032266</v>
      </c>
      <c r="H3647" s="391" t="s">
        <v>9568</v>
      </c>
    </row>
    <row r="3648" spans="1:11" x14ac:dyDescent="0.3">
      <c r="A3648" s="45">
        <v>44667</v>
      </c>
      <c r="B3648" s="399"/>
      <c r="C3648" s="5" t="s">
        <v>84</v>
      </c>
      <c r="D3648" s="5" t="s">
        <v>9095</v>
      </c>
      <c r="E3648" s="43">
        <v>1000</v>
      </c>
      <c r="F3648" s="43"/>
      <c r="G3648" s="364">
        <f t="shared" si="80"/>
        <v>235704.66129032266</v>
      </c>
      <c r="H3648" s="391" t="s">
        <v>9568</v>
      </c>
    </row>
    <row r="3649" spans="1:8" x14ac:dyDescent="0.3">
      <c r="A3649" s="45">
        <v>44667</v>
      </c>
      <c r="B3649" s="399"/>
      <c r="C3649" s="5" t="s">
        <v>84</v>
      </c>
      <c r="D3649" s="5" t="s">
        <v>9096</v>
      </c>
      <c r="E3649" s="43">
        <v>2000</v>
      </c>
      <c r="F3649" s="43"/>
      <c r="G3649" s="364">
        <f t="shared" si="80"/>
        <v>233704.66129032266</v>
      </c>
      <c r="H3649" s="391" t="s">
        <v>9568</v>
      </c>
    </row>
    <row r="3650" spans="1:8" x14ac:dyDescent="0.3">
      <c r="A3650" s="45">
        <v>44667</v>
      </c>
      <c r="B3650" s="399"/>
      <c r="C3650" s="5" t="s">
        <v>6686</v>
      </c>
      <c r="D3650" s="5" t="s">
        <v>9097</v>
      </c>
      <c r="E3650" s="43">
        <v>5000</v>
      </c>
      <c r="F3650" s="43"/>
      <c r="G3650" s="364">
        <f t="shared" si="80"/>
        <v>228704.66129032266</v>
      </c>
      <c r="H3650" s="391" t="s">
        <v>9568</v>
      </c>
    </row>
    <row r="3651" spans="1:8" x14ac:dyDescent="0.3">
      <c r="A3651" s="45">
        <v>44667</v>
      </c>
      <c r="B3651" s="399"/>
      <c r="C3651" s="5" t="s">
        <v>9098</v>
      </c>
      <c r="D3651" s="5" t="s">
        <v>9099</v>
      </c>
      <c r="E3651" s="43">
        <v>27000</v>
      </c>
      <c r="F3651" s="43"/>
      <c r="G3651" s="364">
        <f t="shared" si="80"/>
        <v>201704.66129032266</v>
      </c>
      <c r="H3651" s="391" t="s">
        <v>9568</v>
      </c>
    </row>
    <row r="3652" spans="1:8" x14ac:dyDescent="0.3">
      <c r="A3652" s="45">
        <v>44667</v>
      </c>
      <c r="B3652" s="399"/>
      <c r="C3652" s="5" t="s">
        <v>14</v>
      </c>
      <c r="D3652" s="5" t="s">
        <v>294</v>
      </c>
      <c r="E3652" s="43">
        <v>50000</v>
      </c>
      <c r="F3652" s="43"/>
      <c r="G3652" s="364">
        <f t="shared" si="80"/>
        <v>151704.66129032266</v>
      </c>
      <c r="H3652" s="391" t="s">
        <v>9568</v>
      </c>
    </row>
    <row r="3653" spans="1:8" x14ac:dyDescent="0.3">
      <c r="A3653" s="45">
        <v>44669</v>
      </c>
      <c r="B3653" s="399"/>
      <c r="C3653" s="5" t="s">
        <v>1074</v>
      </c>
      <c r="D3653" s="5" t="s">
        <v>9100</v>
      </c>
      <c r="E3653" s="43">
        <v>34187</v>
      </c>
      <c r="F3653" s="43"/>
      <c r="G3653" s="364">
        <f t="shared" si="80"/>
        <v>117517.66129032266</v>
      </c>
      <c r="H3653" s="391" t="s">
        <v>9568</v>
      </c>
    </row>
    <row r="3654" spans="1:8" x14ac:dyDescent="0.3">
      <c r="A3654" s="45">
        <v>44669</v>
      </c>
      <c r="B3654" s="399"/>
      <c r="C3654" s="5" t="s">
        <v>1074</v>
      </c>
      <c r="D3654" s="5" t="s">
        <v>9101</v>
      </c>
      <c r="E3654" s="43">
        <v>10423</v>
      </c>
      <c r="F3654" s="43"/>
      <c r="G3654" s="365">
        <f t="shared" si="80"/>
        <v>107094.66129032266</v>
      </c>
      <c r="H3654" s="391" t="s">
        <v>9568</v>
      </c>
    </row>
    <row r="3655" spans="1:8" x14ac:dyDescent="0.3">
      <c r="A3655" s="45">
        <v>44669</v>
      </c>
      <c r="B3655" s="399"/>
      <c r="C3655" s="5" t="s">
        <v>4989</v>
      </c>
      <c r="D3655" s="5" t="s">
        <v>9102</v>
      </c>
      <c r="E3655" s="43">
        <v>5000</v>
      </c>
      <c r="F3655" s="43"/>
      <c r="G3655" s="364">
        <f t="shared" si="80"/>
        <v>102094.66129032266</v>
      </c>
      <c r="H3655" s="391" t="s">
        <v>9568</v>
      </c>
    </row>
    <row r="3656" spans="1:8" x14ac:dyDescent="0.3">
      <c r="A3656" s="45">
        <v>44669</v>
      </c>
      <c r="B3656" s="399"/>
      <c r="C3656" s="5" t="s">
        <v>25</v>
      </c>
      <c r="D3656" s="5" t="s">
        <v>8152</v>
      </c>
      <c r="E3656" s="43">
        <v>1700</v>
      </c>
      <c r="F3656" s="43"/>
      <c r="G3656" s="364">
        <f t="shared" si="80"/>
        <v>100394.66129032266</v>
      </c>
      <c r="H3656" s="391" t="s">
        <v>9568</v>
      </c>
    </row>
    <row r="3657" spans="1:8" x14ac:dyDescent="0.3">
      <c r="A3657" s="45">
        <v>44669</v>
      </c>
      <c r="B3657" s="399"/>
      <c r="C3657" s="5" t="s">
        <v>14</v>
      </c>
      <c r="D3657" s="5" t="s">
        <v>294</v>
      </c>
      <c r="E3657" s="43">
        <v>50000</v>
      </c>
      <c r="F3657" s="43"/>
      <c r="G3657" s="364">
        <f t="shared" si="80"/>
        <v>50394.661290322663</v>
      </c>
      <c r="H3657" s="391" t="s">
        <v>9568</v>
      </c>
    </row>
    <row r="3658" spans="1:8" x14ac:dyDescent="0.3">
      <c r="A3658" s="45">
        <v>44669</v>
      </c>
      <c r="B3658" s="399"/>
      <c r="C3658" s="5" t="s">
        <v>6931</v>
      </c>
      <c r="D3658" s="5" t="s">
        <v>2013</v>
      </c>
      <c r="E3658" s="43">
        <v>350</v>
      </c>
      <c r="F3658" s="43"/>
      <c r="G3658" s="364">
        <f t="shared" si="80"/>
        <v>50044.661290322663</v>
      </c>
      <c r="H3658" s="391" t="s">
        <v>9568</v>
      </c>
    </row>
    <row r="3659" spans="1:8" x14ac:dyDescent="0.3">
      <c r="A3659" s="45">
        <v>44669</v>
      </c>
      <c r="B3659" s="399"/>
      <c r="C3659" s="5" t="s">
        <v>4989</v>
      </c>
      <c r="D3659" s="5" t="s">
        <v>9103</v>
      </c>
      <c r="E3659" s="43">
        <v>20000</v>
      </c>
      <c r="F3659" s="43"/>
      <c r="G3659" s="364">
        <f t="shared" si="80"/>
        <v>30044.661290322663</v>
      </c>
      <c r="H3659" s="391" t="s">
        <v>9568</v>
      </c>
    </row>
    <row r="3660" spans="1:8" x14ac:dyDescent="0.3">
      <c r="A3660" s="45">
        <v>44669</v>
      </c>
      <c r="B3660" s="399"/>
      <c r="C3660" s="5" t="s">
        <v>4989</v>
      </c>
      <c r="D3660" s="5" t="s">
        <v>9104</v>
      </c>
      <c r="E3660" s="43">
        <v>25000</v>
      </c>
      <c r="F3660" s="43"/>
      <c r="G3660" s="364">
        <f t="shared" si="80"/>
        <v>5044.6612903226633</v>
      </c>
      <c r="H3660" s="391" t="s">
        <v>9568</v>
      </c>
    </row>
    <row r="3661" spans="1:8" x14ac:dyDescent="0.3">
      <c r="A3661" s="45">
        <v>44669</v>
      </c>
      <c r="B3661" s="399"/>
      <c r="C3661" s="5" t="s">
        <v>84</v>
      </c>
      <c r="D3661" s="5" t="s">
        <v>9105</v>
      </c>
      <c r="E3661" s="43">
        <v>5000</v>
      </c>
      <c r="F3661" s="43"/>
      <c r="G3661" s="364">
        <f t="shared" si="80"/>
        <v>44.661290322663262</v>
      </c>
      <c r="H3661" s="391" t="s">
        <v>9568</v>
      </c>
    </row>
    <row r="3662" spans="1:8" x14ac:dyDescent="0.3">
      <c r="A3662" s="45">
        <v>44669</v>
      </c>
      <c r="B3662" s="580"/>
      <c r="C3662" s="554" t="s">
        <v>9111</v>
      </c>
      <c r="D3662" s="554"/>
      <c r="E3662" s="554"/>
      <c r="F3662" s="43">
        <v>30000</v>
      </c>
      <c r="G3662" s="364">
        <f t="shared" si="80"/>
        <v>30044.661290322663</v>
      </c>
      <c r="H3662" s="391" t="s">
        <v>9568</v>
      </c>
    </row>
    <row r="3663" spans="1:8" x14ac:dyDescent="0.3">
      <c r="A3663" s="45">
        <v>44669</v>
      </c>
      <c r="B3663" s="399"/>
      <c r="C3663" s="5" t="s">
        <v>4989</v>
      </c>
      <c r="D3663" s="5" t="s">
        <v>9092</v>
      </c>
      <c r="E3663" s="43">
        <v>21950</v>
      </c>
      <c r="F3663" s="43"/>
      <c r="G3663" s="364">
        <f t="shared" si="80"/>
        <v>8094.6612903226633</v>
      </c>
      <c r="H3663" s="391" t="s">
        <v>9568</v>
      </c>
    </row>
    <row r="3664" spans="1:8" x14ac:dyDescent="0.3">
      <c r="A3664" s="45">
        <v>44670</v>
      </c>
      <c r="B3664" s="399"/>
      <c r="C3664" s="5" t="s">
        <v>18</v>
      </c>
      <c r="D3664" s="5" t="s">
        <v>9117</v>
      </c>
      <c r="E3664" s="43">
        <v>1000</v>
      </c>
      <c r="F3664" s="43"/>
      <c r="G3664" s="364">
        <f t="shared" si="80"/>
        <v>7094.6612903226633</v>
      </c>
      <c r="H3664" s="391" t="s">
        <v>9568</v>
      </c>
    </row>
    <row r="3665" spans="1:11" x14ac:dyDescent="0.3">
      <c r="A3665" s="45">
        <v>44670</v>
      </c>
      <c r="B3665" s="399"/>
      <c r="C3665" s="5" t="s">
        <v>1787</v>
      </c>
      <c r="D3665" s="5" t="s">
        <v>9118</v>
      </c>
      <c r="E3665" s="43">
        <v>1000</v>
      </c>
      <c r="F3665" s="43"/>
      <c r="G3665" s="364">
        <f t="shared" si="80"/>
        <v>6094.6612903226633</v>
      </c>
      <c r="H3665" s="391" t="s">
        <v>9568</v>
      </c>
    </row>
    <row r="3666" spans="1:11" x14ac:dyDescent="0.3">
      <c r="A3666" s="45">
        <v>44670</v>
      </c>
      <c r="B3666" s="399"/>
      <c r="C3666" s="5" t="s">
        <v>18</v>
      </c>
      <c r="D3666" s="5" t="s">
        <v>2013</v>
      </c>
      <c r="E3666" s="43">
        <v>200</v>
      </c>
      <c r="F3666" s="43"/>
      <c r="G3666" s="48">
        <f t="shared" si="80"/>
        <v>5894.6612903226633</v>
      </c>
      <c r="H3666" s="391" t="s">
        <v>9568</v>
      </c>
    </row>
    <row r="3667" spans="1:11" x14ac:dyDescent="0.3">
      <c r="A3667" s="45">
        <v>44670</v>
      </c>
      <c r="B3667" s="399"/>
      <c r="C3667" s="5" t="s">
        <v>84</v>
      </c>
      <c r="D3667" s="5" t="s">
        <v>9121</v>
      </c>
      <c r="E3667" s="43">
        <v>1000</v>
      </c>
      <c r="F3667" s="43"/>
      <c r="G3667" s="48">
        <f t="shared" si="80"/>
        <v>4894.6612903226633</v>
      </c>
      <c r="H3667" s="391" t="s">
        <v>9568</v>
      </c>
    </row>
    <row r="3668" spans="1:11" x14ac:dyDescent="0.3">
      <c r="A3668" s="45">
        <v>44670</v>
      </c>
      <c r="B3668" s="584"/>
      <c r="C3668" s="565" t="s">
        <v>9123</v>
      </c>
      <c r="D3668" s="554"/>
      <c r="E3668" s="554"/>
      <c r="F3668" s="43">
        <v>50000</v>
      </c>
      <c r="G3668" s="364">
        <f t="shared" ref="G3668" si="81">G3667+F3668-E3668</f>
        <v>54894.661290322663</v>
      </c>
      <c r="H3668" s="391" t="s">
        <v>9568</v>
      </c>
    </row>
    <row r="3669" spans="1:11" x14ac:dyDescent="0.3">
      <c r="A3669" s="45">
        <v>44670</v>
      </c>
      <c r="B3669" s="399"/>
      <c r="C3669" s="5" t="s">
        <v>68</v>
      </c>
      <c r="D3669" s="5" t="s">
        <v>4402</v>
      </c>
      <c r="E3669" s="43">
        <v>3000</v>
      </c>
      <c r="F3669" s="43"/>
      <c r="G3669" s="48">
        <f t="shared" si="80"/>
        <v>51894.661290322663</v>
      </c>
      <c r="H3669" s="391" t="s">
        <v>9568</v>
      </c>
    </row>
    <row r="3670" spans="1:11" x14ac:dyDescent="0.3">
      <c r="A3670" s="45">
        <v>44671</v>
      </c>
      <c r="B3670" s="399"/>
      <c r="C3670" s="5" t="s">
        <v>68</v>
      </c>
      <c r="D3670" s="5" t="s">
        <v>4402</v>
      </c>
      <c r="E3670" s="43">
        <v>15000</v>
      </c>
      <c r="F3670" s="43"/>
      <c r="G3670" s="48">
        <f t="shared" si="80"/>
        <v>36894.661290322663</v>
      </c>
      <c r="H3670" s="391" t="s">
        <v>9568</v>
      </c>
    </row>
    <row r="3671" spans="1:11" x14ac:dyDescent="0.3">
      <c r="A3671" s="45">
        <v>44671</v>
      </c>
      <c r="B3671" s="399"/>
      <c r="C3671" s="5" t="s">
        <v>6931</v>
      </c>
      <c r="D3671" s="5" t="s">
        <v>4402</v>
      </c>
      <c r="E3671" s="43">
        <v>15000</v>
      </c>
      <c r="F3671" s="43"/>
      <c r="G3671" s="48">
        <f t="shared" si="80"/>
        <v>21894.661290322663</v>
      </c>
      <c r="H3671" s="391" t="s">
        <v>9568</v>
      </c>
    </row>
    <row r="3672" spans="1:11" x14ac:dyDescent="0.3">
      <c r="A3672" s="45">
        <v>44671</v>
      </c>
      <c r="B3672" s="584"/>
      <c r="C3672" s="565" t="s">
        <v>9122</v>
      </c>
      <c r="D3672" s="554"/>
      <c r="E3672" s="554"/>
      <c r="F3672" s="43">
        <v>70000</v>
      </c>
      <c r="G3672" s="364">
        <f t="shared" si="80"/>
        <v>91894.661290322663</v>
      </c>
      <c r="H3672" s="391" t="s">
        <v>9568</v>
      </c>
    </row>
    <row r="3673" spans="1:11" x14ac:dyDescent="0.3">
      <c r="A3673" s="45">
        <v>44671</v>
      </c>
      <c r="B3673" s="399"/>
      <c r="C3673" s="5" t="s">
        <v>5709</v>
      </c>
      <c r="D3673" s="5" t="s">
        <v>3183</v>
      </c>
      <c r="E3673" s="43">
        <v>30000</v>
      </c>
      <c r="F3673" s="43"/>
      <c r="G3673" s="48">
        <f t="shared" si="80"/>
        <v>61894.661290322663</v>
      </c>
      <c r="H3673" s="391" t="s">
        <v>9568</v>
      </c>
    </row>
    <row r="3674" spans="1:11" x14ac:dyDescent="0.3">
      <c r="A3674" s="45">
        <v>44671</v>
      </c>
      <c r="B3674" s="399"/>
      <c r="C3674" s="5" t="s">
        <v>84</v>
      </c>
      <c r="D3674" s="5" t="s">
        <v>9124</v>
      </c>
      <c r="E3674" s="43">
        <v>1000</v>
      </c>
      <c r="F3674" s="43"/>
      <c r="G3674" s="48">
        <f t="shared" ref="G3674" si="82">G3673+F3674-E3674</f>
        <v>60894.661290322663</v>
      </c>
      <c r="H3674" s="391" t="s">
        <v>9568</v>
      </c>
    </row>
    <row r="3675" spans="1:11" x14ac:dyDescent="0.3">
      <c r="A3675" s="45">
        <v>44671</v>
      </c>
      <c r="B3675" s="399"/>
      <c r="C3675" s="5" t="s">
        <v>9126</v>
      </c>
      <c r="D3675" s="5" t="s">
        <v>8267</v>
      </c>
      <c r="E3675" s="43">
        <v>12000</v>
      </c>
      <c r="F3675" s="43"/>
      <c r="G3675" s="48">
        <f t="shared" si="80"/>
        <v>48894.661290322663</v>
      </c>
      <c r="H3675" s="391" t="s">
        <v>9568</v>
      </c>
    </row>
    <row r="3676" spans="1:11" x14ac:dyDescent="0.3">
      <c r="A3676" s="45">
        <v>44671</v>
      </c>
      <c r="B3676" s="399"/>
      <c r="C3676" s="5" t="s">
        <v>9126</v>
      </c>
      <c r="D3676" s="5" t="s">
        <v>9125</v>
      </c>
      <c r="E3676" s="43">
        <v>13000</v>
      </c>
      <c r="F3676" s="43"/>
      <c r="G3676" s="48">
        <f t="shared" si="80"/>
        <v>35894.661290322663</v>
      </c>
      <c r="H3676" s="391" t="s">
        <v>9568</v>
      </c>
    </row>
    <row r="3677" spans="1:11" x14ac:dyDescent="0.3">
      <c r="A3677" s="45">
        <v>44671</v>
      </c>
      <c r="B3677" s="399"/>
      <c r="C3677" s="5" t="s">
        <v>25</v>
      </c>
      <c r="D3677" s="5" t="s">
        <v>8152</v>
      </c>
      <c r="E3677" s="43">
        <v>4250</v>
      </c>
      <c r="F3677" s="43"/>
      <c r="G3677" s="48">
        <f t="shared" si="80"/>
        <v>31644.661290322663</v>
      </c>
      <c r="H3677" s="391" t="s">
        <v>9568</v>
      </c>
    </row>
    <row r="3678" spans="1:11" x14ac:dyDescent="0.3">
      <c r="A3678" s="45">
        <v>44671</v>
      </c>
      <c r="B3678" s="399"/>
      <c r="C3678" s="5" t="s">
        <v>1787</v>
      </c>
      <c r="D3678" s="5" t="s">
        <v>9131</v>
      </c>
      <c r="E3678" s="43">
        <v>3000</v>
      </c>
      <c r="F3678" s="43"/>
      <c r="G3678" s="48">
        <f t="shared" si="80"/>
        <v>28644.661290322663</v>
      </c>
      <c r="H3678" s="391" t="s">
        <v>9568</v>
      </c>
    </row>
    <row r="3679" spans="1:11" x14ac:dyDescent="0.3">
      <c r="A3679" s="45">
        <v>44671</v>
      </c>
      <c r="B3679" s="580"/>
      <c r="C3679" s="554" t="s">
        <v>7440</v>
      </c>
      <c r="D3679" s="554"/>
      <c r="E3679" s="554"/>
      <c r="F3679" s="43">
        <v>50000</v>
      </c>
      <c r="G3679" s="48">
        <f t="shared" si="80"/>
        <v>78644.661290322663</v>
      </c>
      <c r="H3679" s="391" t="s">
        <v>9568</v>
      </c>
      <c r="K3679" s="238"/>
    </row>
    <row r="3680" spans="1:11" x14ac:dyDescent="0.3">
      <c r="A3680" s="45">
        <v>44671</v>
      </c>
      <c r="B3680" s="399"/>
      <c r="C3680" s="5" t="s">
        <v>1616</v>
      </c>
      <c r="D3680" s="5" t="s">
        <v>1658</v>
      </c>
      <c r="E3680" s="43">
        <v>1500</v>
      </c>
      <c r="F3680" s="43"/>
      <c r="G3680" s="48">
        <f t="shared" si="80"/>
        <v>77144.661290322663</v>
      </c>
      <c r="H3680" s="391" t="s">
        <v>9568</v>
      </c>
    </row>
    <row r="3681" spans="1:11" x14ac:dyDescent="0.3">
      <c r="A3681" s="45">
        <v>44672</v>
      </c>
      <c r="B3681" s="399"/>
      <c r="C3681" s="5" t="s">
        <v>9044</v>
      </c>
      <c r="D3681" s="5" t="s">
        <v>9127</v>
      </c>
      <c r="E3681" s="43">
        <v>4000</v>
      </c>
      <c r="F3681" s="43"/>
      <c r="G3681" s="365">
        <f t="shared" si="80"/>
        <v>73144.661290322663</v>
      </c>
      <c r="H3681" s="391" t="s">
        <v>9568</v>
      </c>
    </row>
    <row r="3682" spans="1:11" x14ac:dyDescent="0.3">
      <c r="A3682" s="45">
        <v>44672</v>
      </c>
      <c r="B3682" s="399"/>
      <c r="C3682" s="5" t="s">
        <v>84</v>
      </c>
      <c r="D3682" s="5" t="s">
        <v>9128</v>
      </c>
      <c r="E3682" s="43">
        <v>1000</v>
      </c>
      <c r="F3682" s="43"/>
      <c r="G3682" s="48">
        <f t="shared" si="80"/>
        <v>72144.661290322663</v>
      </c>
      <c r="H3682" s="391" t="s">
        <v>9568</v>
      </c>
    </row>
    <row r="3683" spans="1:11" x14ac:dyDescent="0.3">
      <c r="A3683" s="45">
        <v>44673</v>
      </c>
      <c r="B3683" s="399"/>
      <c r="C3683" s="5" t="s">
        <v>7366</v>
      </c>
      <c r="D3683" s="5" t="s">
        <v>9129</v>
      </c>
      <c r="E3683" s="43">
        <v>33000</v>
      </c>
      <c r="F3683" s="43"/>
      <c r="G3683" s="48">
        <f t="shared" si="80"/>
        <v>39144.661290322663</v>
      </c>
      <c r="H3683" s="391" t="s">
        <v>9568</v>
      </c>
    </row>
    <row r="3684" spans="1:11" x14ac:dyDescent="0.3">
      <c r="A3684" s="45">
        <v>44673</v>
      </c>
      <c r="B3684" s="399"/>
      <c r="C3684" s="5" t="s">
        <v>14</v>
      </c>
      <c r="D3684" s="5" t="s">
        <v>8875</v>
      </c>
      <c r="E3684" s="43">
        <v>4850</v>
      </c>
      <c r="F3684" s="43"/>
      <c r="G3684" s="48">
        <f t="shared" si="80"/>
        <v>34294.661290322663</v>
      </c>
      <c r="H3684" s="391" t="s">
        <v>9568</v>
      </c>
    </row>
    <row r="3685" spans="1:11" x14ac:dyDescent="0.3">
      <c r="A3685" s="45">
        <v>44673</v>
      </c>
      <c r="B3685" s="399"/>
      <c r="C3685" s="5" t="s">
        <v>14</v>
      </c>
      <c r="D3685" s="5" t="s">
        <v>294</v>
      </c>
      <c r="E3685" s="43">
        <v>10000</v>
      </c>
      <c r="F3685" s="43"/>
      <c r="G3685" s="48">
        <f t="shared" si="80"/>
        <v>24294.661290322663</v>
      </c>
      <c r="H3685" s="391" t="s">
        <v>9568</v>
      </c>
    </row>
    <row r="3686" spans="1:11" x14ac:dyDescent="0.3">
      <c r="A3686" s="45">
        <v>44674</v>
      </c>
      <c r="B3686" s="399"/>
      <c r="C3686" s="5" t="s">
        <v>14</v>
      </c>
      <c r="D3686" s="5" t="s">
        <v>640</v>
      </c>
      <c r="E3686" s="43">
        <v>1000</v>
      </c>
      <c r="F3686" s="43"/>
      <c r="G3686" s="48">
        <f t="shared" si="80"/>
        <v>23294.661290322663</v>
      </c>
      <c r="H3686" s="391" t="s">
        <v>9568</v>
      </c>
    </row>
    <row r="3687" spans="1:11" x14ac:dyDescent="0.3">
      <c r="A3687" s="45">
        <v>44674</v>
      </c>
      <c r="B3687" s="399"/>
      <c r="C3687" s="5" t="s">
        <v>84</v>
      </c>
      <c r="D3687" s="5" t="s">
        <v>9132</v>
      </c>
      <c r="E3687" s="43">
        <v>6000</v>
      </c>
      <c r="F3687" s="43"/>
      <c r="G3687" s="48">
        <f t="shared" si="80"/>
        <v>17294.661290322663</v>
      </c>
      <c r="H3687" s="391" t="s">
        <v>9568</v>
      </c>
    </row>
    <row r="3688" spans="1:11" x14ac:dyDescent="0.3">
      <c r="A3688" s="45">
        <v>44676</v>
      </c>
      <c r="B3688" s="399"/>
      <c r="C3688" s="5" t="s">
        <v>84</v>
      </c>
      <c r="D3688" s="5" t="s">
        <v>9134</v>
      </c>
      <c r="E3688" s="43">
        <v>1500</v>
      </c>
      <c r="F3688" s="43"/>
      <c r="G3688" s="48">
        <f t="shared" si="80"/>
        <v>15794.661290322663</v>
      </c>
      <c r="H3688" s="391" t="s">
        <v>9568</v>
      </c>
    </row>
    <row r="3689" spans="1:11" x14ac:dyDescent="0.3">
      <c r="A3689" s="45">
        <v>44676</v>
      </c>
      <c r="B3689" s="399"/>
      <c r="C3689" s="5" t="s">
        <v>57</v>
      </c>
      <c r="D3689" s="5" t="s">
        <v>294</v>
      </c>
      <c r="E3689" s="65">
        <v>10000</v>
      </c>
      <c r="F3689" s="43"/>
      <c r="G3689" s="48">
        <f t="shared" si="80"/>
        <v>5794.6612903226633</v>
      </c>
      <c r="H3689" s="391" t="s">
        <v>9568</v>
      </c>
    </row>
    <row r="3690" spans="1:11" x14ac:dyDescent="0.3">
      <c r="A3690" s="45">
        <v>44677</v>
      </c>
      <c r="B3690" s="580"/>
      <c r="C3690" s="554" t="s">
        <v>4106</v>
      </c>
      <c r="D3690" s="554"/>
      <c r="E3690" s="554"/>
      <c r="F3690" s="43">
        <v>150000</v>
      </c>
      <c r="G3690" s="48">
        <f t="shared" si="80"/>
        <v>155794.66129032266</v>
      </c>
      <c r="H3690" s="391" t="s">
        <v>9568</v>
      </c>
      <c r="K3690" s="238"/>
    </row>
    <row r="3691" spans="1:11" x14ac:dyDescent="0.3">
      <c r="A3691" s="45">
        <v>44677</v>
      </c>
      <c r="B3691" s="399"/>
      <c r="C3691" s="5" t="s">
        <v>4989</v>
      </c>
      <c r="D3691" s="5" t="s">
        <v>9092</v>
      </c>
      <c r="E3691" s="43">
        <f>2195*10</f>
        <v>21950</v>
      </c>
      <c r="F3691" s="43"/>
      <c r="G3691" s="48">
        <f t="shared" si="80"/>
        <v>133844.66129032266</v>
      </c>
      <c r="H3691" s="391" t="s">
        <v>9568</v>
      </c>
    </row>
    <row r="3692" spans="1:11" x14ac:dyDescent="0.3">
      <c r="A3692" s="45">
        <v>44678</v>
      </c>
      <c r="B3692" s="399"/>
      <c r="C3692" s="5" t="s">
        <v>68</v>
      </c>
      <c r="D3692" s="5" t="s">
        <v>9139</v>
      </c>
      <c r="E3692" s="43">
        <v>10000</v>
      </c>
      <c r="F3692" s="43"/>
      <c r="G3692" s="48">
        <f t="shared" si="80"/>
        <v>123844.66129032266</v>
      </c>
      <c r="H3692" s="391" t="s">
        <v>9568</v>
      </c>
    </row>
    <row r="3693" spans="1:11" x14ac:dyDescent="0.3">
      <c r="A3693" s="45">
        <v>44678</v>
      </c>
      <c r="B3693" s="399"/>
      <c r="C3693" s="5" t="s">
        <v>14</v>
      </c>
      <c r="D3693" s="5" t="s">
        <v>294</v>
      </c>
      <c r="E3693" s="43">
        <v>5000</v>
      </c>
      <c r="F3693" s="43"/>
      <c r="G3693" s="48">
        <f t="shared" si="80"/>
        <v>118844.66129032266</v>
      </c>
      <c r="H3693" s="391" t="s">
        <v>9568</v>
      </c>
    </row>
    <row r="3694" spans="1:11" x14ac:dyDescent="0.3">
      <c r="A3694" s="45">
        <v>44678</v>
      </c>
      <c r="B3694" s="399"/>
      <c r="C3694" s="5" t="s">
        <v>25</v>
      </c>
      <c r="D3694" s="5" t="s">
        <v>9140</v>
      </c>
      <c r="E3694" s="43">
        <v>600</v>
      </c>
      <c r="F3694" s="43"/>
      <c r="G3694" s="48">
        <f t="shared" si="80"/>
        <v>118244.66129032266</v>
      </c>
      <c r="H3694" s="391" t="s">
        <v>9568</v>
      </c>
    </row>
    <row r="3695" spans="1:11" x14ac:dyDescent="0.3">
      <c r="A3695" s="45">
        <v>44678</v>
      </c>
      <c r="B3695" s="399"/>
      <c r="C3695" s="5" t="s">
        <v>84</v>
      </c>
      <c r="D3695" s="5" t="s">
        <v>9142</v>
      </c>
      <c r="E3695" s="43">
        <v>1000</v>
      </c>
      <c r="F3695" s="43"/>
      <c r="G3695" s="48">
        <f t="shared" si="80"/>
        <v>117244.66129032266</v>
      </c>
      <c r="H3695" s="391" t="s">
        <v>9568</v>
      </c>
    </row>
    <row r="3696" spans="1:11" x14ac:dyDescent="0.3">
      <c r="A3696" s="45">
        <v>44678</v>
      </c>
      <c r="B3696" s="399"/>
      <c r="C3696" s="5" t="s">
        <v>84</v>
      </c>
      <c r="D3696" s="5" t="s">
        <v>9143</v>
      </c>
      <c r="E3696" s="43">
        <v>2000</v>
      </c>
      <c r="F3696" s="43"/>
      <c r="G3696" s="48">
        <f t="shared" si="80"/>
        <v>115244.66129032266</v>
      </c>
      <c r="H3696" s="391" t="s">
        <v>9568</v>
      </c>
    </row>
    <row r="3697" spans="1:11" x14ac:dyDescent="0.3">
      <c r="A3697" s="45">
        <v>44678</v>
      </c>
      <c r="B3697" s="399"/>
      <c r="C3697" s="5" t="s">
        <v>25</v>
      </c>
      <c r="D3697" s="5" t="s">
        <v>8850</v>
      </c>
      <c r="E3697" s="43">
        <v>3560</v>
      </c>
      <c r="F3697" s="43"/>
      <c r="G3697" s="48">
        <f t="shared" si="80"/>
        <v>111684.66129032266</v>
      </c>
      <c r="H3697" s="391" t="s">
        <v>9568</v>
      </c>
    </row>
    <row r="3698" spans="1:11" x14ac:dyDescent="0.3">
      <c r="A3698" s="45">
        <v>44678</v>
      </c>
      <c r="B3698" s="399"/>
      <c r="C3698" s="5" t="s">
        <v>5162</v>
      </c>
      <c r="D3698" s="5" t="s">
        <v>9144</v>
      </c>
      <c r="E3698" s="43">
        <v>650</v>
      </c>
      <c r="F3698" s="43"/>
      <c r="G3698" s="48">
        <f t="shared" si="80"/>
        <v>111034.66129032266</v>
      </c>
      <c r="H3698" s="391" t="s">
        <v>9568</v>
      </c>
    </row>
    <row r="3699" spans="1:11" x14ac:dyDescent="0.3">
      <c r="A3699" s="45">
        <v>44679</v>
      </c>
      <c r="B3699" s="399"/>
      <c r="C3699" s="5" t="s">
        <v>777</v>
      </c>
      <c r="D3699" s="5" t="s">
        <v>438</v>
      </c>
      <c r="E3699" s="43">
        <v>15000</v>
      </c>
      <c r="F3699" s="43"/>
      <c r="G3699" s="48">
        <f t="shared" si="80"/>
        <v>96034.661290322663</v>
      </c>
      <c r="H3699" s="391" t="s">
        <v>9568</v>
      </c>
      <c r="K3699" s="370"/>
    </row>
    <row r="3700" spans="1:11" x14ac:dyDescent="0.3">
      <c r="A3700" s="45">
        <v>44680</v>
      </c>
      <c r="B3700" s="399"/>
      <c r="C3700" s="5" t="s">
        <v>84</v>
      </c>
      <c r="D3700" s="5" t="s">
        <v>9149</v>
      </c>
      <c r="E3700" s="43">
        <v>10000</v>
      </c>
      <c r="F3700" s="43"/>
      <c r="G3700" s="48">
        <f t="shared" si="80"/>
        <v>86034.661290322663</v>
      </c>
      <c r="H3700" s="391" t="s">
        <v>9568</v>
      </c>
    </row>
    <row r="3701" spans="1:11" x14ac:dyDescent="0.3">
      <c r="A3701" s="45">
        <v>44680</v>
      </c>
      <c r="B3701" s="580"/>
      <c r="C3701" s="554" t="s">
        <v>7440</v>
      </c>
      <c r="D3701" s="554"/>
      <c r="E3701" s="554"/>
      <c r="F3701" s="43">
        <v>1000000</v>
      </c>
      <c r="G3701" s="48">
        <f t="shared" si="80"/>
        <v>1086034.6612903227</v>
      </c>
      <c r="H3701" s="391" t="s">
        <v>9568</v>
      </c>
      <c r="K3701" s="238"/>
    </row>
    <row r="3702" spans="1:11" x14ac:dyDescent="0.3">
      <c r="A3702" s="45">
        <v>44680</v>
      </c>
      <c r="B3702" s="399"/>
      <c r="C3702" s="5" t="s">
        <v>7214</v>
      </c>
      <c r="D3702" s="5" t="s">
        <v>9150</v>
      </c>
      <c r="E3702" s="43">
        <v>10000</v>
      </c>
      <c r="F3702" s="43"/>
      <c r="G3702" s="48">
        <f t="shared" si="80"/>
        <v>1076034.6612903227</v>
      </c>
      <c r="H3702" s="391" t="s">
        <v>9568</v>
      </c>
    </row>
    <row r="3703" spans="1:11" x14ac:dyDescent="0.3">
      <c r="A3703" s="45">
        <v>44680</v>
      </c>
      <c r="B3703" s="409"/>
      <c r="C3703" s="61" t="s">
        <v>54</v>
      </c>
      <c r="D3703" s="61" t="s">
        <v>9152</v>
      </c>
      <c r="E3703" s="62">
        <v>5000</v>
      </c>
      <c r="F3703" s="43"/>
      <c r="G3703" s="48">
        <f t="shared" si="80"/>
        <v>1071034.6612903227</v>
      </c>
      <c r="H3703" s="391" t="s">
        <v>9568</v>
      </c>
    </row>
    <row r="3704" spans="1:11" x14ac:dyDescent="0.3">
      <c r="A3704" s="45">
        <v>44681</v>
      </c>
      <c r="B3704" s="399"/>
      <c r="C3704" s="5" t="s">
        <v>9048</v>
      </c>
      <c r="D3704" s="5" t="s">
        <v>5508</v>
      </c>
      <c r="E3704" s="43">
        <v>17000</v>
      </c>
      <c r="F3704" s="43"/>
      <c r="G3704" s="48">
        <f t="shared" si="80"/>
        <v>1054034.6612903227</v>
      </c>
      <c r="H3704" s="391" t="s">
        <v>9568</v>
      </c>
    </row>
    <row r="3705" spans="1:11" x14ac:dyDescent="0.3">
      <c r="A3705" s="45">
        <v>44681</v>
      </c>
      <c r="B3705" s="399"/>
      <c r="C3705" s="5" t="s">
        <v>84</v>
      </c>
      <c r="D3705" s="5" t="s">
        <v>9153</v>
      </c>
      <c r="E3705" s="43">
        <v>10000</v>
      </c>
      <c r="F3705" s="43"/>
      <c r="G3705" s="48">
        <f t="shared" si="80"/>
        <v>1044034.6612903227</v>
      </c>
      <c r="H3705" s="391" t="s">
        <v>9568</v>
      </c>
    </row>
    <row r="3706" spans="1:11" x14ac:dyDescent="0.3">
      <c r="A3706" s="45">
        <v>44681</v>
      </c>
      <c r="B3706" s="409"/>
      <c r="C3706" s="61" t="s">
        <v>7427</v>
      </c>
      <c r="D3706" s="61" t="s">
        <v>9154</v>
      </c>
      <c r="E3706" s="62">
        <v>454000</v>
      </c>
      <c r="F3706" s="43"/>
      <c r="G3706" s="48">
        <f t="shared" si="80"/>
        <v>590034.66129032266</v>
      </c>
      <c r="H3706" s="391" t="s">
        <v>9568</v>
      </c>
    </row>
    <row r="3707" spans="1:11" x14ac:dyDescent="0.3">
      <c r="A3707" s="45">
        <v>44681</v>
      </c>
      <c r="B3707" s="399"/>
      <c r="C3707" s="5" t="s">
        <v>84</v>
      </c>
      <c r="D3707" s="5" t="s">
        <v>9155</v>
      </c>
      <c r="E3707" s="43">
        <v>10000</v>
      </c>
      <c r="F3707" s="43"/>
      <c r="G3707" s="48">
        <f t="shared" si="80"/>
        <v>580034.66129032266</v>
      </c>
      <c r="H3707" s="391" t="s">
        <v>9568</v>
      </c>
    </row>
    <row r="3708" spans="1:11" x14ac:dyDescent="0.3">
      <c r="A3708" s="45">
        <v>44681</v>
      </c>
      <c r="B3708" s="399"/>
      <c r="C3708" s="5" t="s">
        <v>25</v>
      </c>
      <c r="D3708" s="5" t="s">
        <v>9158</v>
      </c>
      <c r="E3708" s="43">
        <v>930</v>
      </c>
      <c r="F3708" s="43"/>
      <c r="G3708" s="48">
        <f t="shared" si="80"/>
        <v>579104.66129032266</v>
      </c>
      <c r="H3708" s="391" t="s">
        <v>9568</v>
      </c>
    </row>
    <row r="3709" spans="1:11" x14ac:dyDescent="0.3">
      <c r="A3709" s="45">
        <v>44681</v>
      </c>
      <c r="B3709" s="399"/>
      <c r="C3709" s="5" t="s">
        <v>8803</v>
      </c>
      <c r="D3709" s="5" t="s">
        <v>91</v>
      </c>
      <c r="E3709" s="43">
        <v>650</v>
      </c>
      <c r="F3709" s="43"/>
      <c r="G3709" s="48">
        <f t="shared" si="80"/>
        <v>578454.66129032266</v>
      </c>
      <c r="H3709" s="391" t="s">
        <v>9568</v>
      </c>
    </row>
    <row r="3710" spans="1:11" x14ac:dyDescent="0.3">
      <c r="A3710" s="45">
        <v>44681</v>
      </c>
      <c r="B3710" s="399"/>
      <c r="C3710" s="5" t="s">
        <v>9159</v>
      </c>
      <c r="D3710" s="5" t="s">
        <v>5519</v>
      </c>
      <c r="E3710" s="43">
        <v>20000</v>
      </c>
      <c r="F3710" s="43"/>
      <c r="G3710" s="48">
        <f t="shared" ref="G3710:G3718" si="83">G3709+F3710-E3710</f>
        <v>558454.66129032266</v>
      </c>
      <c r="H3710" s="391" t="s">
        <v>9568</v>
      </c>
    </row>
    <row r="3711" spans="1:11" x14ac:dyDescent="0.3">
      <c r="A3711" s="45">
        <v>44681</v>
      </c>
      <c r="B3711" s="399"/>
      <c r="C3711" s="5" t="s">
        <v>4989</v>
      </c>
      <c r="D3711" s="73" t="s">
        <v>9160</v>
      </c>
      <c r="E3711" s="43">
        <v>20000</v>
      </c>
      <c r="F3711" s="43"/>
      <c r="G3711" s="48">
        <f t="shared" si="83"/>
        <v>538454.66129032266</v>
      </c>
      <c r="H3711" s="391" t="s">
        <v>9568</v>
      </c>
    </row>
    <row r="3712" spans="1:11" x14ac:dyDescent="0.3">
      <c r="A3712" s="45">
        <v>44681</v>
      </c>
      <c r="B3712" s="399"/>
      <c r="C3712" s="5" t="s">
        <v>8900</v>
      </c>
      <c r="D3712" s="5" t="s">
        <v>9161</v>
      </c>
      <c r="E3712" s="43">
        <v>40000</v>
      </c>
      <c r="F3712" s="43"/>
      <c r="G3712" s="48">
        <f t="shared" si="83"/>
        <v>498454.66129032266</v>
      </c>
      <c r="H3712" s="391" t="s">
        <v>9568</v>
      </c>
    </row>
    <row r="3713" spans="1:11" x14ac:dyDescent="0.3">
      <c r="A3713" s="45">
        <v>44681</v>
      </c>
      <c r="B3713" s="399"/>
      <c r="C3713" s="5" t="s">
        <v>8915</v>
      </c>
      <c r="D3713" s="5" t="s">
        <v>9162</v>
      </c>
      <c r="E3713" s="43">
        <v>50000</v>
      </c>
      <c r="F3713" s="43"/>
      <c r="G3713" s="48">
        <f t="shared" si="83"/>
        <v>448454.66129032266</v>
      </c>
      <c r="H3713" s="391" t="s">
        <v>9568</v>
      </c>
    </row>
    <row r="3714" spans="1:11" x14ac:dyDescent="0.3">
      <c r="A3714" s="45">
        <v>44681</v>
      </c>
      <c r="B3714" s="399"/>
      <c r="C3714" s="5" t="s">
        <v>541</v>
      </c>
      <c r="D3714" s="5" t="s">
        <v>4376</v>
      </c>
      <c r="E3714" s="43">
        <v>650</v>
      </c>
      <c r="F3714" s="43"/>
      <c r="G3714" s="48">
        <f t="shared" si="83"/>
        <v>447804.66129032266</v>
      </c>
      <c r="H3714" s="391" t="s">
        <v>9568</v>
      </c>
    </row>
    <row r="3715" spans="1:11" x14ac:dyDescent="0.3">
      <c r="A3715" s="45">
        <v>44681</v>
      </c>
      <c r="B3715" s="399"/>
      <c r="C3715" s="5" t="s">
        <v>9054</v>
      </c>
      <c r="D3715" s="5" t="s">
        <v>9164</v>
      </c>
      <c r="E3715" s="43">
        <v>10000</v>
      </c>
      <c r="F3715" s="43"/>
      <c r="G3715" s="48">
        <f t="shared" si="83"/>
        <v>437804.66129032266</v>
      </c>
      <c r="H3715" s="391" t="s">
        <v>9568</v>
      </c>
    </row>
    <row r="3716" spans="1:11" x14ac:dyDescent="0.3">
      <c r="A3716" s="45">
        <v>44681</v>
      </c>
      <c r="B3716" s="399"/>
      <c r="C3716" s="5" t="s">
        <v>5938</v>
      </c>
      <c r="D3716" s="5" t="s">
        <v>9165</v>
      </c>
      <c r="E3716" s="43">
        <v>20000</v>
      </c>
      <c r="F3716" s="43"/>
      <c r="G3716" s="48">
        <f t="shared" si="83"/>
        <v>417804.66129032266</v>
      </c>
      <c r="H3716" s="391" t="s">
        <v>9568</v>
      </c>
    </row>
    <row r="3717" spans="1:11" x14ac:dyDescent="0.3">
      <c r="A3717" s="45">
        <v>44681</v>
      </c>
      <c r="B3717" s="409"/>
      <c r="C3717" s="61" t="s">
        <v>7571</v>
      </c>
      <c r="D3717" s="61" t="s">
        <v>9163</v>
      </c>
      <c r="E3717" s="62">
        <v>400000</v>
      </c>
      <c r="F3717" s="43"/>
      <c r="G3717" s="48">
        <f t="shared" si="83"/>
        <v>17804.661290322663</v>
      </c>
      <c r="H3717" s="391" t="s">
        <v>9568</v>
      </c>
    </row>
    <row r="3718" spans="1:11" x14ac:dyDescent="0.3">
      <c r="A3718" s="45">
        <v>44687</v>
      </c>
      <c r="B3718" s="399"/>
      <c r="C3718" s="5" t="s">
        <v>25</v>
      </c>
      <c r="D3718" s="5" t="s">
        <v>8152</v>
      </c>
      <c r="E3718" s="43">
        <v>3250</v>
      </c>
      <c r="F3718" s="43"/>
      <c r="G3718" s="48">
        <f t="shared" si="83"/>
        <v>14554.661290322663</v>
      </c>
      <c r="H3718" s="391" t="s">
        <v>9568</v>
      </c>
    </row>
    <row r="3719" spans="1:11" x14ac:dyDescent="0.3">
      <c r="A3719" s="45">
        <v>44687</v>
      </c>
      <c r="B3719" s="399"/>
      <c r="C3719" s="5" t="s">
        <v>1074</v>
      </c>
      <c r="D3719" s="5" t="s">
        <v>8719</v>
      </c>
      <c r="E3719" s="43">
        <v>465</v>
      </c>
      <c r="F3719" s="43"/>
      <c r="G3719" s="48">
        <f t="shared" ref="G3719:G3783" si="84">G3718+F3719-E3719</f>
        <v>14089.661290322663</v>
      </c>
      <c r="H3719" s="391" t="s">
        <v>9568</v>
      </c>
    </row>
    <row r="3720" spans="1:11" x14ac:dyDescent="0.3">
      <c r="A3720" s="45">
        <v>44687</v>
      </c>
      <c r="B3720" s="399"/>
      <c r="C3720" s="5" t="s">
        <v>25</v>
      </c>
      <c r="D3720" s="5" t="s">
        <v>9170</v>
      </c>
      <c r="E3720" s="43">
        <v>3000</v>
      </c>
      <c r="F3720" s="43"/>
      <c r="G3720" s="48">
        <f t="shared" si="84"/>
        <v>11089.661290322663</v>
      </c>
      <c r="H3720" s="391" t="s">
        <v>9568</v>
      </c>
    </row>
    <row r="3721" spans="1:11" x14ac:dyDescent="0.3">
      <c r="A3721" s="45">
        <v>44687</v>
      </c>
      <c r="B3721" s="399"/>
      <c r="C3721" s="5" t="s">
        <v>1616</v>
      </c>
      <c r="D3721" s="5" t="s">
        <v>3703</v>
      </c>
      <c r="E3721" s="43">
        <v>1500</v>
      </c>
      <c r="F3721" s="43"/>
      <c r="G3721" s="48">
        <f t="shared" si="84"/>
        <v>9589.6612903226633</v>
      </c>
      <c r="H3721" s="391" t="s">
        <v>9568</v>
      </c>
    </row>
    <row r="3722" spans="1:11" x14ac:dyDescent="0.3">
      <c r="A3722" s="45">
        <v>44687</v>
      </c>
      <c r="B3722" s="399"/>
      <c r="C3722" s="5" t="s">
        <v>1616</v>
      </c>
      <c r="D3722" s="5" t="s">
        <v>7002</v>
      </c>
      <c r="E3722" s="43">
        <v>650</v>
      </c>
      <c r="F3722" s="43"/>
      <c r="G3722" s="48">
        <f t="shared" si="84"/>
        <v>8939.6612903226633</v>
      </c>
      <c r="H3722" s="391" t="s">
        <v>9568</v>
      </c>
    </row>
    <row r="3723" spans="1:11" x14ac:dyDescent="0.3">
      <c r="A3723" s="45">
        <v>44688</v>
      </c>
      <c r="B3723" s="580"/>
      <c r="C3723" s="554" t="s">
        <v>7440</v>
      </c>
      <c r="D3723" s="554"/>
      <c r="E3723" s="554"/>
      <c r="F3723" s="43">
        <v>100000</v>
      </c>
      <c r="G3723" s="48">
        <f t="shared" si="84"/>
        <v>108939.66129032266</v>
      </c>
      <c r="H3723" s="391" t="s">
        <v>9568</v>
      </c>
      <c r="K3723" s="238"/>
    </row>
    <row r="3724" spans="1:11" x14ac:dyDescent="0.3">
      <c r="A3724" s="45">
        <v>44688</v>
      </c>
      <c r="B3724" s="399"/>
      <c r="C3724" s="5" t="s">
        <v>68</v>
      </c>
      <c r="D3724" s="5" t="s">
        <v>294</v>
      </c>
      <c r="E3724" s="43">
        <v>15000</v>
      </c>
      <c r="F3724" s="43"/>
      <c r="G3724" s="48">
        <f t="shared" si="84"/>
        <v>93939.661290322663</v>
      </c>
      <c r="H3724" s="391" t="s">
        <v>9568</v>
      </c>
    </row>
    <row r="3725" spans="1:11" x14ac:dyDescent="0.3">
      <c r="A3725" s="45">
        <v>44690</v>
      </c>
      <c r="B3725" s="399"/>
      <c r="C3725" s="5" t="s">
        <v>14</v>
      </c>
      <c r="D3725" s="5" t="s">
        <v>294</v>
      </c>
      <c r="E3725" s="43">
        <v>5000</v>
      </c>
      <c r="F3725" s="43"/>
      <c r="G3725" s="48">
        <f t="shared" si="84"/>
        <v>88939.661290322663</v>
      </c>
      <c r="H3725" s="391" t="s">
        <v>9568</v>
      </c>
    </row>
    <row r="3726" spans="1:11" x14ac:dyDescent="0.3">
      <c r="A3726" s="45">
        <v>44690</v>
      </c>
      <c r="B3726" s="399"/>
      <c r="C3726" s="5" t="s">
        <v>6430</v>
      </c>
      <c r="D3726" s="5" t="s">
        <v>7961</v>
      </c>
      <c r="E3726" s="43">
        <v>680</v>
      </c>
      <c r="F3726" s="43"/>
      <c r="G3726" s="48">
        <f t="shared" si="84"/>
        <v>88259.661290322663</v>
      </c>
      <c r="H3726" s="391" t="s">
        <v>9568</v>
      </c>
    </row>
    <row r="3727" spans="1:11" x14ac:dyDescent="0.3">
      <c r="A3727" s="45">
        <v>44690</v>
      </c>
      <c r="B3727" s="433"/>
      <c r="C3727" s="371" t="s">
        <v>84</v>
      </c>
      <c r="D3727" s="371" t="s">
        <v>9177</v>
      </c>
      <c r="E3727" s="372">
        <v>5000</v>
      </c>
      <c r="F3727" s="43"/>
      <c r="G3727" s="48">
        <f t="shared" si="84"/>
        <v>83259.661290322663</v>
      </c>
      <c r="H3727" s="391" t="s">
        <v>9568</v>
      </c>
    </row>
    <row r="3728" spans="1:11" x14ac:dyDescent="0.3">
      <c r="A3728" s="45">
        <v>44691</v>
      </c>
      <c r="B3728" s="399"/>
      <c r="C3728" s="5" t="s">
        <v>25</v>
      </c>
      <c r="D3728" s="5" t="s">
        <v>8152</v>
      </c>
      <c r="E3728" s="43">
        <v>2850</v>
      </c>
      <c r="F3728" s="43"/>
      <c r="G3728" s="48">
        <f t="shared" si="84"/>
        <v>80409.661290322663</v>
      </c>
      <c r="H3728" s="391" t="s">
        <v>9568</v>
      </c>
    </row>
    <row r="3729" spans="1:9" x14ac:dyDescent="0.3">
      <c r="A3729" s="45">
        <v>44691</v>
      </c>
      <c r="B3729" s="399"/>
      <c r="C3729" s="5" t="s">
        <v>6931</v>
      </c>
      <c r="D3729" s="5" t="s">
        <v>8735</v>
      </c>
      <c r="E3729" s="43">
        <v>2000</v>
      </c>
      <c r="F3729" s="43"/>
      <c r="G3729" s="48">
        <f t="shared" si="84"/>
        <v>78409.661290322663</v>
      </c>
      <c r="H3729" s="391" t="s">
        <v>9568</v>
      </c>
    </row>
    <row r="3730" spans="1:9" x14ac:dyDescent="0.3">
      <c r="A3730" s="45">
        <v>44691</v>
      </c>
      <c r="B3730" s="399"/>
      <c r="C3730" s="5" t="s">
        <v>6931</v>
      </c>
      <c r="D3730" s="5" t="s">
        <v>9172</v>
      </c>
      <c r="E3730" s="43">
        <v>150</v>
      </c>
      <c r="F3730" s="43"/>
      <c r="G3730" s="48">
        <f t="shared" si="84"/>
        <v>78259.661290322663</v>
      </c>
      <c r="H3730" s="391" t="s">
        <v>9568</v>
      </c>
    </row>
    <row r="3731" spans="1:9" x14ac:dyDescent="0.3">
      <c r="A3731" s="45">
        <v>44691</v>
      </c>
      <c r="B3731" s="399"/>
      <c r="C3731" s="5" t="s">
        <v>9173</v>
      </c>
      <c r="D3731" s="5" t="s">
        <v>9174</v>
      </c>
      <c r="E3731" s="43">
        <v>690</v>
      </c>
      <c r="F3731" s="43"/>
      <c r="G3731" s="48">
        <f t="shared" si="84"/>
        <v>77569.661290322663</v>
      </c>
      <c r="H3731" s="391" t="s">
        <v>9568</v>
      </c>
    </row>
    <row r="3732" spans="1:9" x14ac:dyDescent="0.3">
      <c r="A3732" s="45">
        <v>44688</v>
      </c>
      <c r="B3732" s="580"/>
      <c r="C3732" s="554" t="s">
        <v>7440</v>
      </c>
      <c r="D3732" s="554"/>
      <c r="E3732" s="554"/>
      <c r="F3732" s="43">
        <v>200000</v>
      </c>
      <c r="G3732" s="48">
        <f t="shared" si="84"/>
        <v>277569.66129032266</v>
      </c>
      <c r="H3732" s="391" t="s">
        <v>9568</v>
      </c>
    </row>
    <row r="3733" spans="1:9" x14ac:dyDescent="0.3">
      <c r="A3733" s="45">
        <v>44691</v>
      </c>
      <c r="B3733" s="409"/>
      <c r="C3733" s="61" t="s">
        <v>54</v>
      </c>
      <c r="D3733" s="61" t="s">
        <v>9175</v>
      </c>
      <c r="E3733" s="62">
        <v>101344</v>
      </c>
      <c r="F3733" s="43"/>
      <c r="G3733" s="48">
        <f t="shared" si="84"/>
        <v>176225.66129032266</v>
      </c>
      <c r="H3733" s="391" t="s">
        <v>9568</v>
      </c>
      <c r="I3733" s="344"/>
    </row>
    <row r="3734" spans="1:9" x14ac:dyDescent="0.3">
      <c r="A3734" s="45">
        <v>44691</v>
      </c>
      <c r="B3734" s="409"/>
      <c r="C3734" s="61" t="s">
        <v>54</v>
      </c>
      <c r="D3734" s="61" t="s">
        <v>8636</v>
      </c>
      <c r="E3734" s="62">
        <v>125146</v>
      </c>
      <c r="F3734" s="43"/>
      <c r="G3734" s="48">
        <f t="shared" si="84"/>
        <v>51079.661290322663</v>
      </c>
      <c r="H3734" s="391" t="s">
        <v>9568</v>
      </c>
    </row>
    <row r="3735" spans="1:9" x14ac:dyDescent="0.3">
      <c r="A3735" s="45">
        <v>44692</v>
      </c>
      <c r="B3735" s="433"/>
      <c r="C3735" s="371" t="s">
        <v>84</v>
      </c>
      <c r="D3735" s="371" t="s">
        <v>9176</v>
      </c>
      <c r="E3735" s="372">
        <v>500</v>
      </c>
      <c r="F3735" s="43"/>
      <c r="G3735" s="48">
        <f t="shared" si="84"/>
        <v>50579.661290322663</v>
      </c>
      <c r="H3735" s="391" t="s">
        <v>9568</v>
      </c>
    </row>
    <row r="3736" spans="1:9" x14ac:dyDescent="0.3">
      <c r="A3736" s="45">
        <v>44692</v>
      </c>
      <c r="B3736" s="399"/>
      <c r="C3736" s="5" t="s">
        <v>14</v>
      </c>
      <c r="D3736" s="5" t="s">
        <v>294</v>
      </c>
      <c r="E3736" s="43">
        <v>2500</v>
      </c>
      <c r="F3736" s="43"/>
      <c r="G3736" s="48">
        <f t="shared" si="84"/>
        <v>48079.661290322663</v>
      </c>
      <c r="H3736" s="391" t="s">
        <v>9568</v>
      </c>
    </row>
    <row r="3737" spans="1:9" x14ac:dyDescent="0.3">
      <c r="A3737" s="45">
        <v>44692</v>
      </c>
      <c r="B3737" s="580"/>
      <c r="C3737" s="554" t="s">
        <v>7440</v>
      </c>
      <c r="D3737" s="554"/>
      <c r="E3737" s="554"/>
      <c r="F3737" s="43">
        <v>400000</v>
      </c>
      <c r="G3737" s="48">
        <f t="shared" si="84"/>
        <v>448079.66129032266</v>
      </c>
      <c r="H3737" s="391" t="s">
        <v>9568</v>
      </c>
    </row>
    <row r="3738" spans="1:9" x14ac:dyDescent="0.3">
      <c r="A3738" s="45">
        <v>44692</v>
      </c>
      <c r="B3738" s="409"/>
      <c r="C3738" s="61" t="s">
        <v>54</v>
      </c>
      <c r="D3738" s="61" t="s">
        <v>8637</v>
      </c>
      <c r="E3738" s="62">
        <v>75000</v>
      </c>
      <c r="F3738" s="43"/>
      <c r="G3738" s="48">
        <f t="shared" si="84"/>
        <v>373079.66129032266</v>
      </c>
      <c r="H3738" s="391" t="s">
        <v>9568</v>
      </c>
    </row>
    <row r="3739" spans="1:9" x14ac:dyDescent="0.3">
      <c r="A3739" s="45">
        <v>44692</v>
      </c>
      <c r="B3739" s="399"/>
      <c r="C3739" s="5" t="s">
        <v>14</v>
      </c>
      <c r="D3739" s="5" t="s">
        <v>6552</v>
      </c>
      <c r="E3739" s="43">
        <v>1000</v>
      </c>
      <c r="F3739" s="43"/>
      <c r="G3739" s="48">
        <f t="shared" si="84"/>
        <v>372079.66129032266</v>
      </c>
      <c r="H3739" s="391" t="s">
        <v>9568</v>
      </c>
    </row>
    <row r="3740" spans="1:9" x14ac:dyDescent="0.3">
      <c r="A3740" s="45">
        <v>44692</v>
      </c>
      <c r="B3740" s="399"/>
      <c r="C3740" s="5" t="s">
        <v>3724</v>
      </c>
      <c r="D3740" s="5" t="s">
        <v>40</v>
      </c>
      <c r="E3740" s="43">
        <v>4280</v>
      </c>
      <c r="F3740" s="43"/>
      <c r="G3740" s="48">
        <f t="shared" si="84"/>
        <v>367799.66129032266</v>
      </c>
      <c r="H3740" s="391" t="s">
        <v>9568</v>
      </c>
    </row>
    <row r="3741" spans="1:9" x14ac:dyDescent="0.3">
      <c r="A3741" s="45">
        <v>44692</v>
      </c>
      <c r="B3741" s="399"/>
      <c r="C3741" s="5" t="s">
        <v>25</v>
      </c>
      <c r="D3741" s="5" t="s">
        <v>9178</v>
      </c>
      <c r="E3741" s="43">
        <v>1150</v>
      </c>
      <c r="F3741" s="43"/>
      <c r="G3741" s="48">
        <f t="shared" si="84"/>
        <v>366649.66129032266</v>
      </c>
      <c r="H3741" s="391" t="s">
        <v>9568</v>
      </c>
    </row>
    <row r="3742" spans="1:9" x14ac:dyDescent="0.3">
      <c r="A3742" s="45">
        <v>44692</v>
      </c>
      <c r="B3742" s="409"/>
      <c r="C3742" s="61" t="s">
        <v>54</v>
      </c>
      <c r="D3742" s="61" t="s">
        <v>8646</v>
      </c>
      <c r="E3742" s="62">
        <v>120323</v>
      </c>
      <c r="F3742" s="43"/>
      <c r="G3742" s="48">
        <f t="shared" si="84"/>
        <v>246326.66129032266</v>
      </c>
      <c r="H3742" s="391" t="s">
        <v>9568</v>
      </c>
    </row>
    <row r="3743" spans="1:9" x14ac:dyDescent="0.3">
      <c r="A3743" s="45">
        <v>44692</v>
      </c>
      <c r="B3743" s="409"/>
      <c r="C3743" s="61" t="s">
        <v>54</v>
      </c>
      <c r="D3743" s="61" t="s">
        <v>9180</v>
      </c>
      <c r="E3743" s="62">
        <v>137144</v>
      </c>
      <c r="F3743" s="43"/>
      <c r="G3743" s="48">
        <f t="shared" si="84"/>
        <v>109182.66129032266</v>
      </c>
      <c r="H3743" s="391" t="s">
        <v>9568</v>
      </c>
    </row>
    <row r="3744" spans="1:9" x14ac:dyDescent="0.3">
      <c r="A3744" s="45">
        <v>44693</v>
      </c>
      <c r="B3744" s="409"/>
      <c r="C3744" s="61" t="s">
        <v>54</v>
      </c>
      <c r="D3744" s="61" t="s">
        <v>9179</v>
      </c>
      <c r="E3744" s="62">
        <v>105500</v>
      </c>
      <c r="F3744" s="43"/>
      <c r="G3744" s="48">
        <f t="shared" si="84"/>
        <v>3682.6612903226633</v>
      </c>
      <c r="H3744" s="391" t="s">
        <v>9568</v>
      </c>
    </row>
    <row r="3745" spans="1:8" x14ac:dyDescent="0.3">
      <c r="A3745" s="45">
        <v>44693</v>
      </c>
      <c r="B3745" s="399"/>
      <c r="C3745" s="5" t="s">
        <v>25</v>
      </c>
      <c r="D3745" s="5" t="s">
        <v>6543</v>
      </c>
      <c r="E3745" s="43">
        <v>1000</v>
      </c>
      <c r="F3745" s="43"/>
      <c r="G3745" s="48">
        <f t="shared" si="84"/>
        <v>2682.6612903226633</v>
      </c>
      <c r="H3745" s="391" t="s">
        <v>9568</v>
      </c>
    </row>
    <row r="3746" spans="1:8" x14ac:dyDescent="0.3">
      <c r="A3746" s="45">
        <v>44693</v>
      </c>
      <c r="B3746" s="580"/>
      <c r="C3746" s="554" t="s">
        <v>9181</v>
      </c>
      <c r="D3746" s="554"/>
      <c r="E3746" s="554"/>
      <c r="F3746" s="43">
        <v>24800</v>
      </c>
      <c r="G3746" s="48">
        <f t="shared" si="84"/>
        <v>27482.661290322663</v>
      </c>
      <c r="H3746" s="391" t="s">
        <v>9568</v>
      </c>
    </row>
    <row r="3747" spans="1:8" x14ac:dyDescent="0.3">
      <c r="A3747" s="45">
        <v>44693</v>
      </c>
      <c r="B3747" s="399"/>
      <c r="C3747" s="5" t="s">
        <v>9280</v>
      </c>
      <c r="D3747" s="5" t="s">
        <v>4400</v>
      </c>
      <c r="E3747" s="43">
        <v>3300</v>
      </c>
      <c r="F3747" s="43"/>
      <c r="G3747" s="48">
        <f t="shared" si="84"/>
        <v>24182.661290322663</v>
      </c>
      <c r="H3747" s="391" t="s">
        <v>9568</v>
      </c>
    </row>
    <row r="3748" spans="1:8" x14ac:dyDescent="0.3">
      <c r="A3748" s="45">
        <v>44693</v>
      </c>
      <c r="B3748" s="399"/>
      <c r="C3748" s="5" t="s">
        <v>68</v>
      </c>
      <c r="D3748" s="5" t="s">
        <v>9182</v>
      </c>
      <c r="E3748" s="43">
        <v>15000</v>
      </c>
      <c r="F3748" s="43"/>
      <c r="G3748" s="48">
        <f t="shared" si="84"/>
        <v>9182.6612903226633</v>
      </c>
      <c r="H3748" s="391" t="s">
        <v>9568</v>
      </c>
    </row>
    <row r="3749" spans="1:8" x14ac:dyDescent="0.3">
      <c r="A3749" s="45">
        <v>44693</v>
      </c>
      <c r="B3749" s="399"/>
      <c r="C3749" s="5" t="s">
        <v>8573</v>
      </c>
      <c r="D3749" s="5" t="s">
        <v>7625</v>
      </c>
      <c r="E3749" s="43">
        <v>3500</v>
      </c>
      <c r="F3749" s="43"/>
      <c r="G3749" s="48">
        <f t="shared" si="84"/>
        <v>5682.6612903226633</v>
      </c>
      <c r="H3749" s="391" t="s">
        <v>9568</v>
      </c>
    </row>
    <row r="3750" spans="1:8" x14ac:dyDescent="0.3">
      <c r="A3750" s="45">
        <v>44694</v>
      </c>
      <c r="B3750" s="580"/>
      <c r="C3750" s="554" t="s">
        <v>4106</v>
      </c>
      <c r="D3750" s="554"/>
      <c r="E3750" s="554"/>
      <c r="F3750" s="43">
        <v>300000</v>
      </c>
      <c r="G3750" s="48">
        <f t="shared" si="84"/>
        <v>305682.66129032266</v>
      </c>
      <c r="H3750" s="391" t="s">
        <v>9568</v>
      </c>
    </row>
    <row r="3751" spans="1:8" x14ac:dyDescent="0.3">
      <c r="A3751" s="45">
        <v>44694</v>
      </c>
      <c r="B3751" s="399"/>
      <c r="C3751" s="5" t="s">
        <v>25</v>
      </c>
      <c r="D3751" s="5" t="s">
        <v>8152</v>
      </c>
      <c r="E3751" s="43">
        <v>2580</v>
      </c>
      <c r="F3751" s="43"/>
      <c r="G3751" s="48">
        <f t="shared" si="84"/>
        <v>303102.66129032266</v>
      </c>
      <c r="H3751" s="391" t="s">
        <v>9568</v>
      </c>
    </row>
    <row r="3752" spans="1:8" x14ac:dyDescent="0.3">
      <c r="A3752" s="45">
        <v>44694</v>
      </c>
      <c r="B3752" s="399"/>
      <c r="C3752" s="5" t="s">
        <v>1074</v>
      </c>
      <c r="D3752" s="5" t="s">
        <v>8953</v>
      </c>
      <c r="E3752" s="43">
        <f>1310+4620</f>
        <v>5930</v>
      </c>
      <c r="F3752" s="43"/>
      <c r="G3752" s="48">
        <f t="shared" si="84"/>
        <v>297172.66129032266</v>
      </c>
      <c r="H3752" s="391" t="s">
        <v>9568</v>
      </c>
    </row>
    <row r="3753" spans="1:8" x14ac:dyDescent="0.3">
      <c r="A3753" s="45">
        <v>44694</v>
      </c>
      <c r="B3753" s="399"/>
      <c r="C3753" s="5" t="s">
        <v>1074</v>
      </c>
      <c r="D3753" s="5" t="s">
        <v>6356</v>
      </c>
      <c r="E3753" s="43">
        <f>680+1470</f>
        <v>2150</v>
      </c>
      <c r="F3753" s="43"/>
      <c r="G3753" s="48">
        <f t="shared" si="84"/>
        <v>295022.66129032266</v>
      </c>
      <c r="H3753" s="391" t="s">
        <v>9568</v>
      </c>
    </row>
    <row r="3754" spans="1:8" x14ac:dyDescent="0.3">
      <c r="A3754" s="45">
        <v>44694</v>
      </c>
      <c r="B3754" s="399"/>
      <c r="C3754" s="5" t="s">
        <v>5846</v>
      </c>
      <c r="D3754" s="5" t="s">
        <v>9183</v>
      </c>
      <c r="E3754" s="43">
        <v>500</v>
      </c>
      <c r="F3754" s="43"/>
      <c r="G3754" s="48">
        <f t="shared" si="84"/>
        <v>294522.66129032266</v>
      </c>
      <c r="H3754" s="391" t="s">
        <v>9568</v>
      </c>
    </row>
    <row r="3755" spans="1:8" x14ac:dyDescent="0.3">
      <c r="A3755" s="45">
        <v>44694</v>
      </c>
      <c r="B3755" s="409"/>
      <c r="C3755" s="61" t="s">
        <v>54</v>
      </c>
      <c r="D3755" s="61" t="s">
        <v>8645</v>
      </c>
      <c r="E3755" s="62">
        <v>245275</v>
      </c>
      <c r="F3755" s="43"/>
      <c r="G3755" s="48">
        <f t="shared" si="84"/>
        <v>49247.661290322663</v>
      </c>
      <c r="H3755" s="391" t="s">
        <v>9568</v>
      </c>
    </row>
    <row r="3756" spans="1:8" x14ac:dyDescent="0.3">
      <c r="A3756" s="45">
        <v>44694</v>
      </c>
      <c r="B3756" s="409"/>
      <c r="C3756" s="61" t="s">
        <v>54</v>
      </c>
      <c r="D3756" s="61" t="s">
        <v>8820</v>
      </c>
      <c r="E3756" s="62">
        <v>33125</v>
      </c>
      <c r="F3756" s="43"/>
      <c r="G3756" s="48">
        <f t="shared" si="84"/>
        <v>16122.661290322663</v>
      </c>
      <c r="H3756" s="391" t="s">
        <v>9568</v>
      </c>
    </row>
    <row r="3757" spans="1:8" x14ac:dyDescent="0.3">
      <c r="A3757" s="45">
        <v>44697</v>
      </c>
      <c r="B3757" s="399"/>
      <c r="C3757" s="5" t="s">
        <v>6931</v>
      </c>
      <c r="D3757" s="5" t="s">
        <v>9185</v>
      </c>
      <c r="E3757" s="43">
        <v>10000</v>
      </c>
      <c r="F3757" s="43"/>
      <c r="G3757" s="48">
        <f t="shared" si="84"/>
        <v>6122.6612903226633</v>
      </c>
      <c r="H3757" s="391" t="s">
        <v>9568</v>
      </c>
    </row>
    <row r="3758" spans="1:8" x14ac:dyDescent="0.3">
      <c r="A3758" s="45">
        <v>44697</v>
      </c>
      <c r="B3758" s="399"/>
      <c r="C3758" s="5" t="s">
        <v>9186</v>
      </c>
      <c r="D3758" s="5" t="s">
        <v>9187</v>
      </c>
      <c r="E3758" s="43">
        <v>2000</v>
      </c>
      <c r="F3758" s="43"/>
      <c r="G3758" s="48">
        <f t="shared" si="84"/>
        <v>4122.6612903226633</v>
      </c>
      <c r="H3758" s="391" t="s">
        <v>9568</v>
      </c>
    </row>
    <row r="3759" spans="1:8" x14ac:dyDescent="0.3">
      <c r="A3759" s="45">
        <v>44697</v>
      </c>
      <c r="B3759" s="399"/>
      <c r="C3759" s="5" t="s">
        <v>25</v>
      </c>
      <c r="D3759" s="5" t="s">
        <v>8152</v>
      </c>
      <c r="E3759" s="43">
        <v>2250</v>
      </c>
      <c r="F3759" s="43"/>
      <c r="G3759" s="48">
        <f t="shared" si="84"/>
        <v>1872.6612903226633</v>
      </c>
      <c r="H3759" s="391" t="s">
        <v>9568</v>
      </c>
    </row>
    <row r="3760" spans="1:8" x14ac:dyDescent="0.3">
      <c r="A3760" s="45">
        <v>44697</v>
      </c>
      <c r="B3760" s="580"/>
      <c r="C3760" s="554" t="s">
        <v>4106</v>
      </c>
      <c r="D3760" s="554"/>
      <c r="E3760" s="554"/>
      <c r="F3760" s="43">
        <v>100000</v>
      </c>
      <c r="G3760" s="48">
        <f t="shared" ref="G3760:G3761" si="85">G3759+F3760-E3760</f>
        <v>101872.66129032266</v>
      </c>
      <c r="H3760" s="391" t="s">
        <v>9568</v>
      </c>
    </row>
    <row r="3761" spans="1:10" x14ac:dyDescent="0.3">
      <c r="A3761" s="45">
        <v>44697</v>
      </c>
      <c r="B3761" s="399"/>
      <c r="C3761" s="5" t="s">
        <v>3554</v>
      </c>
      <c r="D3761" s="5" t="s">
        <v>9188</v>
      </c>
      <c r="E3761" s="43">
        <v>5000</v>
      </c>
      <c r="F3761" s="43"/>
      <c r="G3761" s="48">
        <f t="shared" si="85"/>
        <v>96872.661290322663</v>
      </c>
      <c r="H3761" s="391" t="s">
        <v>9568</v>
      </c>
      <c r="I3761" s="356"/>
    </row>
    <row r="3762" spans="1:10" x14ac:dyDescent="0.3">
      <c r="A3762" s="45">
        <v>44697</v>
      </c>
      <c r="B3762" s="399"/>
      <c r="C3762" s="5" t="s">
        <v>14</v>
      </c>
      <c r="D3762" s="5" t="s">
        <v>294</v>
      </c>
      <c r="E3762" s="43">
        <v>5000</v>
      </c>
      <c r="F3762" s="43"/>
      <c r="G3762" s="48">
        <f t="shared" si="84"/>
        <v>91872.661290322663</v>
      </c>
      <c r="H3762" s="391" t="s">
        <v>9568</v>
      </c>
    </row>
    <row r="3763" spans="1:10" x14ac:dyDescent="0.3">
      <c r="A3763" s="45">
        <v>44697</v>
      </c>
      <c r="B3763" s="398"/>
      <c r="C3763" s="74" t="s">
        <v>8900</v>
      </c>
      <c r="D3763" s="5" t="s">
        <v>294</v>
      </c>
      <c r="E3763" s="43">
        <v>20000</v>
      </c>
      <c r="F3763" s="249"/>
      <c r="G3763" s="48">
        <f t="shared" si="84"/>
        <v>71872.661290322663</v>
      </c>
      <c r="H3763" s="391" t="s">
        <v>9568</v>
      </c>
    </row>
    <row r="3764" spans="1:10" x14ac:dyDescent="0.3">
      <c r="A3764" s="45">
        <v>44697</v>
      </c>
      <c r="B3764" s="409"/>
      <c r="C3764" s="61" t="s">
        <v>54</v>
      </c>
      <c r="D3764" s="61" t="s">
        <v>6804</v>
      </c>
      <c r="E3764" s="62">
        <v>35000</v>
      </c>
      <c r="F3764" s="249"/>
      <c r="G3764" s="48">
        <f t="shared" si="84"/>
        <v>36872.661290322663</v>
      </c>
      <c r="H3764" s="391" t="s">
        <v>9568</v>
      </c>
    </row>
    <row r="3765" spans="1:10" x14ac:dyDescent="0.3">
      <c r="A3765" s="45">
        <v>44698</v>
      </c>
      <c r="B3765" s="399"/>
      <c r="C3765" s="5" t="s">
        <v>25</v>
      </c>
      <c r="D3765" s="5" t="s">
        <v>9196</v>
      </c>
      <c r="E3765" s="43">
        <v>680</v>
      </c>
      <c r="F3765" s="43"/>
      <c r="G3765" s="48">
        <f t="shared" si="84"/>
        <v>36192.661290322663</v>
      </c>
      <c r="H3765" s="391" t="s">
        <v>9568</v>
      </c>
    </row>
    <row r="3766" spans="1:10" x14ac:dyDescent="0.3">
      <c r="A3766" s="45">
        <v>44698</v>
      </c>
      <c r="B3766" s="409"/>
      <c r="C3766" s="61" t="s">
        <v>54</v>
      </c>
      <c r="D3766" s="61" t="s">
        <v>6531</v>
      </c>
      <c r="E3766" s="43">
        <v>20430</v>
      </c>
      <c r="F3766" s="43"/>
      <c r="G3766" s="48">
        <f t="shared" si="84"/>
        <v>15762.661290322663</v>
      </c>
      <c r="H3766" s="391" t="s">
        <v>9568</v>
      </c>
    </row>
    <row r="3767" spans="1:10" x14ac:dyDescent="0.3">
      <c r="A3767" s="45">
        <v>44699</v>
      </c>
      <c r="B3767" s="399"/>
      <c r="C3767" s="5" t="s">
        <v>14</v>
      </c>
      <c r="D3767" s="5" t="s">
        <v>3183</v>
      </c>
      <c r="E3767" s="43">
        <v>7000</v>
      </c>
      <c r="F3767" s="43"/>
      <c r="G3767" s="48">
        <f t="shared" si="84"/>
        <v>8762.6612903226633</v>
      </c>
      <c r="H3767" s="391" t="s">
        <v>9568</v>
      </c>
    </row>
    <row r="3768" spans="1:10" x14ac:dyDescent="0.3">
      <c r="A3768" s="45">
        <v>44699</v>
      </c>
      <c r="B3768" s="399"/>
      <c r="C3768" s="5" t="s">
        <v>9199</v>
      </c>
      <c r="D3768" s="5" t="s">
        <v>9200</v>
      </c>
      <c r="E3768" s="43">
        <v>5000</v>
      </c>
      <c r="F3768" s="43"/>
      <c r="G3768" s="48">
        <f t="shared" si="84"/>
        <v>3762.6612903226633</v>
      </c>
      <c r="H3768" s="391" t="s">
        <v>9568</v>
      </c>
      <c r="J3768" s="238"/>
    </row>
    <row r="3769" spans="1:10" x14ac:dyDescent="0.3">
      <c r="A3769" s="45">
        <v>44700</v>
      </c>
      <c r="B3769" s="580"/>
      <c r="C3769" s="554" t="s">
        <v>8974</v>
      </c>
      <c r="D3769" s="554"/>
      <c r="E3769" s="554"/>
      <c r="F3769" s="43">
        <v>15000</v>
      </c>
      <c r="G3769" s="48">
        <f t="shared" si="84"/>
        <v>18762.661290322663</v>
      </c>
      <c r="H3769" s="391" t="s">
        <v>9568</v>
      </c>
    </row>
    <row r="3770" spans="1:10" x14ac:dyDescent="0.3">
      <c r="A3770" s="45">
        <v>44700</v>
      </c>
      <c r="B3770" s="399"/>
      <c r="C3770" s="5" t="s">
        <v>14</v>
      </c>
      <c r="D3770" s="5" t="s">
        <v>9201</v>
      </c>
      <c r="E3770" s="43">
        <v>16563</v>
      </c>
      <c r="F3770" s="43"/>
      <c r="G3770" s="48">
        <f t="shared" si="84"/>
        <v>2199.6612903226633</v>
      </c>
      <c r="H3770" s="391" t="s">
        <v>9568</v>
      </c>
    </row>
    <row r="3771" spans="1:10" x14ac:dyDescent="0.3">
      <c r="A3771" s="45">
        <v>44700</v>
      </c>
      <c r="B3771" s="580"/>
      <c r="C3771" s="554" t="s">
        <v>9202</v>
      </c>
      <c r="D3771" s="554"/>
      <c r="E3771" s="554"/>
      <c r="F3771" s="43">
        <v>28800</v>
      </c>
      <c r="G3771" s="48">
        <f t="shared" si="84"/>
        <v>30999.661290322663</v>
      </c>
      <c r="H3771" s="391" t="s">
        <v>9568</v>
      </c>
    </row>
    <row r="3772" spans="1:10" x14ac:dyDescent="0.3">
      <c r="A3772" s="45">
        <v>44700</v>
      </c>
      <c r="B3772" s="399"/>
      <c r="C3772" s="5" t="s">
        <v>25</v>
      </c>
      <c r="D3772" s="5" t="s">
        <v>8152</v>
      </c>
      <c r="E3772" s="43">
        <v>2980</v>
      </c>
      <c r="F3772" s="43"/>
      <c r="G3772" s="48">
        <f t="shared" si="84"/>
        <v>28019.661290322663</v>
      </c>
      <c r="H3772" s="391" t="s">
        <v>9568</v>
      </c>
    </row>
    <row r="3773" spans="1:10" x14ac:dyDescent="0.3">
      <c r="A3773" s="45">
        <v>44700</v>
      </c>
      <c r="B3773" s="399"/>
      <c r="C3773" s="5" t="s">
        <v>2995</v>
      </c>
      <c r="D3773" s="5" t="s">
        <v>9003</v>
      </c>
      <c r="E3773" s="43">
        <v>14000</v>
      </c>
      <c r="F3773" s="43"/>
      <c r="G3773" s="48">
        <f t="shared" si="84"/>
        <v>14019.661290322663</v>
      </c>
      <c r="H3773" s="391" t="s">
        <v>9568</v>
      </c>
    </row>
    <row r="3774" spans="1:10" x14ac:dyDescent="0.3">
      <c r="A3774" s="45">
        <v>44701</v>
      </c>
      <c r="B3774" s="399"/>
      <c r="C3774" s="5" t="s">
        <v>107</v>
      </c>
      <c r="D3774" s="5" t="s">
        <v>9204</v>
      </c>
      <c r="E3774" s="43">
        <v>1000</v>
      </c>
      <c r="F3774" s="43"/>
      <c r="G3774" s="48">
        <f t="shared" si="84"/>
        <v>13019.661290322663</v>
      </c>
      <c r="H3774" s="391" t="s">
        <v>9568</v>
      </c>
      <c r="I3774" s="169"/>
    </row>
    <row r="3775" spans="1:10" x14ac:dyDescent="0.3">
      <c r="A3775" s="45">
        <v>44701</v>
      </c>
      <c r="B3775" s="399"/>
      <c r="C3775" s="5" t="s">
        <v>84</v>
      </c>
      <c r="D3775" s="5" t="s">
        <v>9205</v>
      </c>
      <c r="E3775" s="43">
        <v>1000</v>
      </c>
      <c r="F3775" s="43"/>
      <c r="G3775" s="48">
        <f t="shared" si="84"/>
        <v>12019.661290322663</v>
      </c>
      <c r="H3775" s="391" t="s">
        <v>9568</v>
      </c>
    </row>
    <row r="3776" spans="1:10" x14ac:dyDescent="0.3">
      <c r="A3776" s="45">
        <v>44701</v>
      </c>
      <c r="B3776" s="399"/>
      <c r="C3776" s="5" t="s">
        <v>84</v>
      </c>
      <c r="D3776" s="5" t="s">
        <v>9206</v>
      </c>
      <c r="E3776" s="43">
        <v>1000</v>
      </c>
      <c r="F3776" s="43"/>
      <c r="G3776" s="48">
        <f t="shared" si="84"/>
        <v>11019.661290322663</v>
      </c>
      <c r="H3776" s="391" t="s">
        <v>9568</v>
      </c>
    </row>
    <row r="3777" spans="1:8" x14ac:dyDescent="0.3">
      <c r="A3777" s="45">
        <v>44701</v>
      </c>
      <c r="B3777" s="399"/>
      <c r="C3777" s="5" t="s">
        <v>84</v>
      </c>
      <c r="D3777" s="5" t="s">
        <v>9207</v>
      </c>
      <c r="E3777" s="43">
        <v>1000</v>
      </c>
      <c r="F3777" s="43"/>
      <c r="G3777" s="48">
        <f t="shared" si="84"/>
        <v>10019.661290322663</v>
      </c>
      <c r="H3777" s="391" t="s">
        <v>9568</v>
      </c>
    </row>
    <row r="3778" spans="1:8" x14ac:dyDescent="0.3">
      <c r="A3778" s="45">
        <v>44701</v>
      </c>
      <c r="B3778" s="399"/>
      <c r="C3778" s="5" t="s">
        <v>84</v>
      </c>
      <c r="D3778" s="5" t="s">
        <v>9212</v>
      </c>
      <c r="E3778" s="43">
        <v>1000</v>
      </c>
      <c r="F3778" s="43"/>
      <c r="G3778" s="48">
        <f t="shared" si="84"/>
        <v>9019.6612903226633</v>
      </c>
      <c r="H3778" s="391" t="s">
        <v>9568</v>
      </c>
    </row>
    <row r="3779" spans="1:8" x14ac:dyDescent="0.3">
      <c r="A3779" s="45">
        <v>44702</v>
      </c>
      <c r="B3779" s="399"/>
      <c r="C3779" s="5" t="s">
        <v>4550</v>
      </c>
      <c r="D3779" s="5" t="s">
        <v>294</v>
      </c>
      <c r="E3779" s="43">
        <v>5000</v>
      </c>
      <c r="F3779" s="43"/>
      <c r="G3779" s="48">
        <f t="shared" si="84"/>
        <v>4019.6612903226633</v>
      </c>
      <c r="H3779" s="391" t="s">
        <v>9568</v>
      </c>
    </row>
    <row r="3780" spans="1:8" x14ac:dyDescent="0.3">
      <c r="A3780" s="45">
        <v>44704</v>
      </c>
      <c r="B3780" s="580"/>
      <c r="C3780" s="554" t="s">
        <v>4106</v>
      </c>
      <c r="D3780" s="554"/>
      <c r="E3780" s="554"/>
      <c r="F3780" s="43">
        <v>100000</v>
      </c>
      <c r="G3780" s="48">
        <f t="shared" si="84"/>
        <v>104019.66129032266</v>
      </c>
      <c r="H3780" s="391" t="s">
        <v>9568</v>
      </c>
    </row>
    <row r="3781" spans="1:8" x14ac:dyDescent="0.3">
      <c r="A3781" s="45">
        <v>44704</v>
      </c>
      <c r="B3781" s="399"/>
      <c r="C3781" s="5" t="s">
        <v>2995</v>
      </c>
      <c r="D3781" s="5" t="s">
        <v>9209</v>
      </c>
      <c r="E3781" s="43">
        <v>14000</v>
      </c>
      <c r="F3781" s="43"/>
      <c r="G3781" s="48">
        <f t="shared" si="84"/>
        <v>90019.661290322663</v>
      </c>
      <c r="H3781" s="391" t="s">
        <v>9568</v>
      </c>
    </row>
    <row r="3782" spans="1:8" x14ac:dyDescent="0.3">
      <c r="A3782" s="45">
        <v>44704</v>
      </c>
      <c r="B3782" s="399"/>
      <c r="C3782" s="5" t="s">
        <v>68</v>
      </c>
      <c r="D3782" s="5" t="s">
        <v>294</v>
      </c>
      <c r="E3782" s="43">
        <v>2000</v>
      </c>
      <c r="F3782" s="43"/>
      <c r="G3782" s="48">
        <f t="shared" si="84"/>
        <v>88019.661290322663</v>
      </c>
      <c r="H3782" s="391" t="s">
        <v>9568</v>
      </c>
    </row>
    <row r="3783" spans="1:8" x14ac:dyDescent="0.3">
      <c r="A3783" s="45">
        <v>44704</v>
      </c>
      <c r="B3783" s="399"/>
      <c r="C3783" s="5" t="s">
        <v>25</v>
      </c>
      <c r="D3783" s="5" t="s">
        <v>8152</v>
      </c>
      <c r="E3783" s="43">
        <v>3150</v>
      </c>
      <c r="F3783" s="43"/>
      <c r="G3783" s="48">
        <f t="shared" si="84"/>
        <v>84869.661290322663</v>
      </c>
      <c r="H3783" s="391" t="s">
        <v>9568</v>
      </c>
    </row>
    <row r="3784" spans="1:8" x14ac:dyDescent="0.3">
      <c r="A3784" s="45">
        <v>44704</v>
      </c>
      <c r="B3784" s="399"/>
      <c r="C3784" s="5" t="s">
        <v>6430</v>
      </c>
      <c r="D3784" s="5" t="s">
        <v>9210</v>
      </c>
      <c r="E3784" s="43">
        <v>1960</v>
      </c>
      <c r="F3784" s="43"/>
      <c r="G3784" s="48">
        <f t="shared" ref="G3784:G3803" si="86">G3783+F3784-E3784</f>
        <v>82909.661290322663</v>
      </c>
      <c r="H3784" s="391" t="s">
        <v>9568</v>
      </c>
    </row>
    <row r="3785" spans="1:8" x14ac:dyDescent="0.3">
      <c r="A3785" s="45">
        <v>44704</v>
      </c>
      <c r="B3785" s="399"/>
      <c r="C3785" s="5" t="s">
        <v>84</v>
      </c>
      <c r="D3785" s="5" t="s">
        <v>9211</v>
      </c>
      <c r="E3785" s="43">
        <v>6000</v>
      </c>
      <c r="F3785" s="43"/>
      <c r="G3785" s="48">
        <f t="shared" si="86"/>
        <v>76909.661290322663</v>
      </c>
      <c r="H3785" s="391" t="s">
        <v>9568</v>
      </c>
    </row>
    <row r="3786" spans="1:8" x14ac:dyDescent="0.3">
      <c r="A3786" s="45">
        <v>44704</v>
      </c>
      <c r="B3786" s="399"/>
      <c r="C3786" s="5" t="s">
        <v>84</v>
      </c>
      <c r="D3786" s="5" t="s">
        <v>9213</v>
      </c>
      <c r="E3786" s="43">
        <v>2000</v>
      </c>
      <c r="F3786" s="43"/>
      <c r="G3786" s="48">
        <f t="shared" si="86"/>
        <v>74909.661290322663</v>
      </c>
      <c r="H3786" s="391" t="s">
        <v>9568</v>
      </c>
    </row>
    <row r="3787" spans="1:8" x14ac:dyDescent="0.3">
      <c r="A3787" s="45">
        <v>44704</v>
      </c>
      <c r="B3787" s="399"/>
      <c r="C3787" s="5" t="s">
        <v>9214</v>
      </c>
      <c r="D3787" s="5" t="s">
        <v>9215</v>
      </c>
      <c r="E3787" s="43">
        <v>45800</v>
      </c>
      <c r="F3787" s="43"/>
      <c r="G3787" s="48">
        <f t="shared" si="86"/>
        <v>29109.661290322663</v>
      </c>
      <c r="H3787" s="391" t="s">
        <v>9568</v>
      </c>
    </row>
    <row r="3788" spans="1:8" x14ac:dyDescent="0.3">
      <c r="A3788" s="45">
        <v>44704</v>
      </c>
      <c r="B3788" s="399"/>
      <c r="C3788" s="5" t="s">
        <v>25</v>
      </c>
      <c r="D3788" s="5" t="s">
        <v>9281</v>
      </c>
      <c r="E3788" s="43">
        <v>420</v>
      </c>
      <c r="F3788" s="43"/>
      <c r="G3788" s="48">
        <f t="shared" si="86"/>
        <v>28689.661290322663</v>
      </c>
      <c r="H3788" s="391" t="s">
        <v>9568</v>
      </c>
    </row>
    <row r="3789" spans="1:8" x14ac:dyDescent="0.3">
      <c r="A3789" s="45">
        <v>44705</v>
      </c>
      <c r="B3789" s="399"/>
      <c r="C3789" s="5" t="s">
        <v>5162</v>
      </c>
      <c r="D3789" s="5" t="s">
        <v>9216</v>
      </c>
      <c r="E3789" s="43">
        <v>3000</v>
      </c>
      <c r="F3789" s="43"/>
      <c r="G3789" s="48">
        <f t="shared" si="86"/>
        <v>25689.661290322663</v>
      </c>
      <c r="H3789" s="391" t="s">
        <v>9568</v>
      </c>
    </row>
    <row r="3790" spans="1:8" x14ac:dyDescent="0.3">
      <c r="A3790" s="45">
        <v>44705</v>
      </c>
      <c r="B3790" s="399"/>
      <c r="C3790" s="5" t="s">
        <v>7571</v>
      </c>
      <c r="D3790" s="5" t="s">
        <v>8550</v>
      </c>
      <c r="E3790" s="43">
        <v>15000</v>
      </c>
      <c r="F3790" s="43"/>
      <c r="G3790" s="48">
        <f t="shared" si="86"/>
        <v>10689.661290322663</v>
      </c>
      <c r="H3790" s="391" t="s">
        <v>9568</v>
      </c>
    </row>
    <row r="3791" spans="1:8" x14ac:dyDescent="0.3">
      <c r="A3791" s="45">
        <v>44706</v>
      </c>
      <c r="B3791" s="580"/>
      <c r="C3791" s="554" t="s">
        <v>9225</v>
      </c>
      <c r="D3791" s="554"/>
      <c r="E3791" s="554"/>
      <c r="F3791" s="43">
        <v>17000</v>
      </c>
      <c r="G3791" s="48">
        <f t="shared" si="86"/>
        <v>27689.661290322663</v>
      </c>
      <c r="H3791" s="391" t="s">
        <v>9568</v>
      </c>
    </row>
    <row r="3792" spans="1:8" x14ac:dyDescent="0.3">
      <c r="A3792" s="45">
        <v>44706</v>
      </c>
      <c r="B3792" s="399"/>
      <c r="C3792" s="5" t="s">
        <v>9228</v>
      </c>
      <c r="D3792" s="5" t="s">
        <v>9229</v>
      </c>
      <c r="E3792" s="43">
        <v>22000</v>
      </c>
      <c r="F3792" s="43"/>
      <c r="G3792" s="48">
        <f t="shared" ref="G3792:G3794" si="87">G3791+F3792-E3792</f>
        <v>5689.6612903226633</v>
      </c>
      <c r="H3792" s="391" t="s">
        <v>9568</v>
      </c>
    </row>
    <row r="3793" spans="1:9" x14ac:dyDescent="0.3">
      <c r="A3793" s="45">
        <v>44706</v>
      </c>
      <c r="B3793" s="580"/>
      <c r="C3793" s="554" t="s">
        <v>4106</v>
      </c>
      <c r="D3793" s="554"/>
      <c r="E3793" s="554"/>
      <c r="F3793" s="43">
        <v>100000</v>
      </c>
      <c r="G3793" s="48">
        <f t="shared" si="87"/>
        <v>105689.66129032266</v>
      </c>
      <c r="H3793" s="391" t="s">
        <v>9568</v>
      </c>
    </row>
    <row r="3794" spans="1:9" x14ac:dyDescent="0.3">
      <c r="A3794" s="45">
        <v>44706</v>
      </c>
      <c r="B3794" s="399"/>
      <c r="C3794" s="5" t="s">
        <v>1074</v>
      </c>
      <c r="D3794" s="5" t="s">
        <v>9226</v>
      </c>
      <c r="E3794" s="43">
        <f>32325+9707</f>
        <v>42032</v>
      </c>
      <c r="F3794" s="43"/>
      <c r="G3794" s="48">
        <f t="shared" si="87"/>
        <v>63657.661290322663</v>
      </c>
      <c r="H3794" s="391" t="s">
        <v>9568</v>
      </c>
    </row>
    <row r="3795" spans="1:9" x14ac:dyDescent="0.3">
      <c r="A3795" s="45">
        <v>44706</v>
      </c>
      <c r="B3795" s="399"/>
      <c r="C3795" s="5" t="s">
        <v>1074</v>
      </c>
      <c r="D3795" s="5" t="s">
        <v>9227</v>
      </c>
      <c r="E3795" s="43">
        <f>9517+3603</f>
        <v>13120</v>
      </c>
      <c r="F3795" s="43"/>
      <c r="G3795" s="48">
        <f t="shared" si="86"/>
        <v>50537.661290322663</v>
      </c>
      <c r="H3795" s="391" t="s">
        <v>9568</v>
      </c>
    </row>
    <row r="3796" spans="1:9" x14ac:dyDescent="0.3">
      <c r="A3796" s="45">
        <v>44706</v>
      </c>
      <c r="B3796" s="399"/>
      <c r="C3796" s="5" t="s">
        <v>14</v>
      </c>
      <c r="D3796" s="5" t="s">
        <v>9230</v>
      </c>
      <c r="E3796" s="43">
        <v>9815</v>
      </c>
      <c r="F3796" s="43"/>
      <c r="G3796" s="48">
        <f t="shared" si="86"/>
        <v>40722.661290322663</v>
      </c>
      <c r="H3796" s="391" t="s">
        <v>9568</v>
      </c>
    </row>
    <row r="3797" spans="1:9" x14ac:dyDescent="0.3">
      <c r="A3797" s="45">
        <v>44706</v>
      </c>
      <c r="B3797" s="399"/>
      <c r="C3797" s="5" t="s">
        <v>541</v>
      </c>
      <c r="D3797" s="5" t="s">
        <v>294</v>
      </c>
      <c r="E3797" s="43">
        <v>5000</v>
      </c>
      <c r="F3797" s="43"/>
      <c r="G3797" s="48">
        <f t="shared" si="86"/>
        <v>35722.661290322663</v>
      </c>
      <c r="H3797" s="391" t="s">
        <v>9568</v>
      </c>
    </row>
    <row r="3798" spans="1:9" x14ac:dyDescent="0.3">
      <c r="A3798" s="45">
        <v>44706</v>
      </c>
      <c r="B3798" s="399"/>
      <c r="C3798" s="5" t="s">
        <v>3554</v>
      </c>
      <c r="D3798" s="5" t="s">
        <v>9231</v>
      </c>
      <c r="E3798" s="43">
        <v>15000</v>
      </c>
      <c r="F3798" s="43"/>
      <c r="G3798" s="48">
        <f t="shared" si="86"/>
        <v>20722.661290322663</v>
      </c>
      <c r="H3798" s="391" t="s">
        <v>9568</v>
      </c>
    </row>
    <row r="3799" spans="1:9" x14ac:dyDescent="0.3">
      <c r="A3799" s="45">
        <v>44706</v>
      </c>
      <c r="B3799" s="409"/>
      <c r="C3799" s="61" t="s">
        <v>54</v>
      </c>
      <c r="D3799" s="61" t="s">
        <v>9232</v>
      </c>
      <c r="E3799" s="43">
        <v>14000</v>
      </c>
      <c r="F3799" s="43"/>
      <c r="G3799" s="48">
        <f t="shared" si="86"/>
        <v>6722.6612903226633</v>
      </c>
      <c r="H3799" s="391" t="s">
        <v>9568</v>
      </c>
    </row>
    <row r="3800" spans="1:9" x14ac:dyDescent="0.3">
      <c r="A3800" s="45">
        <v>44706</v>
      </c>
      <c r="B3800" s="399"/>
      <c r="C3800" s="5" t="s">
        <v>25</v>
      </c>
      <c r="D3800" s="5" t="s">
        <v>8850</v>
      </c>
      <c r="E3800" s="43">
        <v>2970</v>
      </c>
      <c r="F3800" s="43"/>
      <c r="G3800" s="48">
        <f t="shared" si="86"/>
        <v>3752.6612903226633</v>
      </c>
      <c r="H3800" s="391" t="s">
        <v>9568</v>
      </c>
    </row>
    <row r="3801" spans="1:9" x14ac:dyDescent="0.3">
      <c r="A3801" s="45">
        <v>44708</v>
      </c>
      <c r="B3801" s="580"/>
      <c r="C3801" s="554" t="s">
        <v>4106</v>
      </c>
      <c r="D3801" s="554"/>
      <c r="E3801" s="554"/>
      <c r="F3801" s="43">
        <v>100000</v>
      </c>
      <c r="G3801" s="48">
        <f t="shared" si="86"/>
        <v>103752.66129032266</v>
      </c>
      <c r="H3801" s="391" t="s">
        <v>9568</v>
      </c>
    </row>
    <row r="3802" spans="1:9" x14ac:dyDescent="0.3">
      <c r="A3802" s="45">
        <v>44708</v>
      </c>
      <c r="B3802" s="399"/>
      <c r="C3802" s="5" t="s">
        <v>84</v>
      </c>
      <c r="D3802" s="5" t="s">
        <v>9236</v>
      </c>
      <c r="E3802" s="43">
        <v>10000</v>
      </c>
      <c r="F3802" s="43"/>
      <c r="G3802" s="48">
        <f t="shared" si="86"/>
        <v>93752.661290322663</v>
      </c>
      <c r="H3802" s="391" t="s">
        <v>9568</v>
      </c>
    </row>
    <row r="3803" spans="1:9" x14ac:dyDescent="0.3">
      <c r="A3803" s="45">
        <v>44708</v>
      </c>
      <c r="B3803" s="399"/>
      <c r="C3803" s="5" t="s">
        <v>5162</v>
      </c>
      <c r="D3803" s="5" t="s">
        <v>9247</v>
      </c>
      <c r="E3803" s="43">
        <v>10000</v>
      </c>
      <c r="F3803" s="43"/>
      <c r="G3803" s="48">
        <f t="shared" si="86"/>
        <v>83752.661290322663</v>
      </c>
      <c r="H3803" s="391" t="s">
        <v>9568</v>
      </c>
    </row>
    <row r="3804" spans="1:9" x14ac:dyDescent="0.3">
      <c r="A3804" s="45">
        <v>44708</v>
      </c>
      <c r="B3804" s="399"/>
      <c r="C3804" s="5" t="s">
        <v>18</v>
      </c>
      <c r="D3804" s="5" t="s">
        <v>7511</v>
      </c>
      <c r="E3804" s="43">
        <v>1000</v>
      </c>
      <c r="F3804" s="43"/>
      <c r="G3804" s="48">
        <f t="shared" ref="G3804:G3840" si="88">G3803+F3804-E3804</f>
        <v>82752.661290322663</v>
      </c>
      <c r="H3804" s="391" t="s">
        <v>9568</v>
      </c>
    </row>
    <row r="3805" spans="1:9" x14ac:dyDescent="0.3">
      <c r="A3805" s="45">
        <v>44708</v>
      </c>
      <c r="B3805" s="399"/>
      <c r="C3805" s="5" t="s">
        <v>9237</v>
      </c>
      <c r="D3805" s="5" t="s">
        <v>9238</v>
      </c>
      <c r="E3805" s="43">
        <v>27000</v>
      </c>
      <c r="F3805" s="43"/>
      <c r="G3805" s="48">
        <f t="shared" si="88"/>
        <v>55752.661290322663</v>
      </c>
      <c r="H3805" s="391" t="s">
        <v>9568</v>
      </c>
      <c r="I3805" s="375"/>
    </row>
    <row r="3806" spans="1:9" x14ac:dyDescent="0.3">
      <c r="A3806" s="45">
        <v>44708</v>
      </c>
      <c r="B3806" s="399"/>
      <c r="C3806" s="5" t="s">
        <v>14</v>
      </c>
      <c r="D3806" s="5" t="s">
        <v>9239</v>
      </c>
      <c r="E3806" s="43">
        <v>25000</v>
      </c>
      <c r="F3806" s="43"/>
      <c r="G3806" s="48">
        <f t="shared" si="88"/>
        <v>30752.661290322663</v>
      </c>
      <c r="H3806" s="391" t="s">
        <v>9568</v>
      </c>
      <c r="I3806" s="375"/>
    </row>
    <row r="3807" spans="1:9" x14ac:dyDescent="0.3">
      <c r="A3807" s="45">
        <v>44708</v>
      </c>
      <c r="B3807" s="399"/>
      <c r="C3807" s="5" t="s">
        <v>84</v>
      </c>
      <c r="D3807" s="5" t="s">
        <v>9240</v>
      </c>
      <c r="E3807" s="43">
        <v>15000</v>
      </c>
      <c r="F3807" s="43"/>
      <c r="G3807" s="48">
        <f t="shared" si="88"/>
        <v>15752.661290322663</v>
      </c>
      <c r="H3807" s="391" t="s">
        <v>9568</v>
      </c>
      <c r="I3807" s="375"/>
    </row>
    <row r="3808" spans="1:9" x14ac:dyDescent="0.3">
      <c r="A3808" s="45">
        <v>44708</v>
      </c>
      <c r="B3808" s="399"/>
      <c r="C3808" s="5" t="s">
        <v>5156</v>
      </c>
      <c r="D3808" s="5" t="s">
        <v>9241</v>
      </c>
      <c r="E3808" s="43">
        <v>850</v>
      </c>
      <c r="F3808" s="43"/>
      <c r="G3808" s="48">
        <f t="shared" si="88"/>
        <v>14902.661290322663</v>
      </c>
      <c r="H3808" s="391" t="s">
        <v>9568</v>
      </c>
    </row>
    <row r="3809" spans="1:8" x14ac:dyDescent="0.3">
      <c r="A3809" s="45">
        <v>44708</v>
      </c>
      <c r="B3809" s="399"/>
      <c r="C3809" s="5" t="s">
        <v>5156</v>
      </c>
      <c r="D3809" s="5" t="s">
        <v>9241</v>
      </c>
      <c r="E3809" s="43">
        <v>340</v>
      </c>
      <c r="F3809" s="43"/>
      <c r="G3809" s="48">
        <f t="shared" si="88"/>
        <v>14562.661290322663</v>
      </c>
      <c r="H3809" s="391" t="s">
        <v>9568</v>
      </c>
    </row>
    <row r="3810" spans="1:8" x14ac:dyDescent="0.3">
      <c r="A3810" s="45">
        <v>44708</v>
      </c>
      <c r="B3810" s="399"/>
      <c r="C3810" s="5" t="s">
        <v>25</v>
      </c>
      <c r="D3810" s="5" t="s">
        <v>9282</v>
      </c>
      <c r="E3810" s="43">
        <f>30+150+120+50</f>
        <v>350</v>
      </c>
      <c r="F3810" s="43"/>
      <c r="G3810" s="48">
        <f t="shared" si="88"/>
        <v>14212.661290322663</v>
      </c>
      <c r="H3810" s="391" t="s">
        <v>9568</v>
      </c>
    </row>
    <row r="3811" spans="1:8" x14ac:dyDescent="0.3">
      <c r="A3811" s="45">
        <v>44708</v>
      </c>
      <c r="B3811" s="399"/>
      <c r="C3811" s="5" t="s">
        <v>25</v>
      </c>
      <c r="D3811" s="5" t="s">
        <v>8850</v>
      </c>
      <c r="E3811" s="43">
        <v>2270</v>
      </c>
      <c r="F3811" s="43"/>
      <c r="G3811" s="48">
        <f t="shared" si="88"/>
        <v>11942.661290322663</v>
      </c>
      <c r="H3811" s="391" t="s">
        <v>9568</v>
      </c>
    </row>
    <row r="3812" spans="1:8" x14ac:dyDescent="0.3">
      <c r="A3812" s="45">
        <v>44711</v>
      </c>
      <c r="B3812" s="399"/>
      <c r="C3812" s="5" t="s">
        <v>1616</v>
      </c>
      <c r="D3812" s="5" t="s">
        <v>9244</v>
      </c>
      <c r="E3812" s="43">
        <v>1000</v>
      </c>
      <c r="F3812" s="43"/>
      <c r="G3812" s="48">
        <f t="shared" si="88"/>
        <v>10942.661290322663</v>
      </c>
      <c r="H3812" s="391" t="s">
        <v>9568</v>
      </c>
    </row>
    <row r="3813" spans="1:8" x14ac:dyDescent="0.3">
      <c r="A3813" s="45">
        <v>44711</v>
      </c>
      <c r="B3813" s="399"/>
      <c r="C3813" s="5" t="s">
        <v>84</v>
      </c>
      <c r="D3813" s="5" t="s">
        <v>9245</v>
      </c>
      <c r="E3813" s="43">
        <v>1000</v>
      </c>
      <c r="F3813" s="43"/>
      <c r="G3813" s="48">
        <f t="shared" si="88"/>
        <v>9942.6612903226633</v>
      </c>
      <c r="H3813" s="391" t="s">
        <v>9568</v>
      </c>
    </row>
    <row r="3814" spans="1:8" x14ac:dyDescent="0.3">
      <c r="A3814" s="45">
        <v>44711</v>
      </c>
      <c r="B3814" s="399"/>
      <c r="C3814" s="5" t="s">
        <v>84</v>
      </c>
      <c r="D3814" s="5" t="s">
        <v>9246</v>
      </c>
      <c r="E3814" s="43">
        <v>1000</v>
      </c>
      <c r="F3814" s="43"/>
      <c r="G3814" s="48">
        <f t="shared" si="88"/>
        <v>8942.6612903226633</v>
      </c>
      <c r="H3814" s="391" t="s">
        <v>9568</v>
      </c>
    </row>
    <row r="3815" spans="1:8" x14ac:dyDescent="0.3">
      <c r="A3815" s="45">
        <v>44711</v>
      </c>
      <c r="B3815" s="399"/>
      <c r="C3815" s="5" t="s">
        <v>5162</v>
      </c>
      <c r="D3815" s="5" t="s">
        <v>9248</v>
      </c>
      <c r="E3815" s="43">
        <v>1000</v>
      </c>
      <c r="F3815" s="43"/>
      <c r="G3815" s="48">
        <f t="shared" si="88"/>
        <v>7942.6612903226633</v>
      </c>
      <c r="H3815" s="391" t="s">
        <v>9568</v>
      </c>
    </row>
    <row r="3816" spans="1:8" x14ac:dyDescent="0.3">
      <c r="A3816" s="45">
        <v>44711</v>
      </c>
      <c r="B3816" s="399"/>
      <c r="C3816" s="5" t="s">
        <v>5162</v>
      </c>
      <c r="D3816" s="5" t="s">
        <v>6038</v>
      </c>
      <c r="E3816" s="43">
        <v>650</v>
      </c>
      <c r="F3816" s="43"/>
      <c r="G3816" s="48">
        <f t="shared" si="88"/>
        <v>7292.6612903226633</v>
      </c>
      <c r="H3816" s="391" t="s">
        <v>9568</v>
      </c>
    </row>
    <row r="3817" spans="1:8" x14ac:dyDescent="0.3">
      <c r="A3817" s="45">
        <v>44711</v>
      </c>
      <c r="B3817" s="399"/>
      <c r="C3817" s="5" t="s">
        <v>25</v>
      </c>
      <c r="D3817" s="5" t="s">
        <v>9249</v>
      </c>
      <c r="E3817" s="43">
        <v>3250</v>
      </c>
      <c r="F3817" s="43"/>
      <c r="G3817" s="48">
        <f t="shared" si="88"/>
        <v>4042.6612903226633</v>
      </c>
      <c r="H3817" s="391" t="s">
        <v>9568</v>
      </c>
    </row>
    <row r="3818" spans="1:8" x14ac:dyDescent="0.3">
      <c r="A3818" s="45">
        <v>44711</v>
      </c>
      <c r="B3818" s="580"/>
      <c r="C3818" s="554" t="s">
        <v>4106</v>
      </c>
      <c r="D3818" s="554"/>
      <c r="E3818" s="554"/>
      <c r="F3818" s="43">
        <v>100000</v>
      </c>
      <c r="G3818" s="48">
        <f t="shared" si="88"/>
        <v>104042.66129032266</v>
      </c>
      <c r="H3818" s="391" t="s">
        <v>9568</v>
      </c>
    </row>
    <row r="3819" spans="1:8" x14ac:dyDescent="0.3">
      <c r="A3819" s="45">
        <v>44711</v>
      </c>
      <c r="B3819" s="399"/>
      <c r="C3819" s="5" t="s">
        <v>5156</v>
      </c>
      <c r="D3819" s="5" t="s">
        <v>8564</v>
      </c>
      <c r="E3819" s="43">
        <v>6510</v>
      </c>
      <c r="F3819" s="43"/>
      <c r="G3819" s="48">
        <f t="shared" si="88"/>
        <v>97532.661290322663</v>
      </c>
      <c r="H3819" s="391" t="s">
        <v>9568</v>
      </c>
    </row>
    <row r="3820" spans="1:8" x14ac:dyDescent="0.3">
      <c r="A3820" s="45">
        <v>44711</v>
      </c>
      <c r="B3820" s="399"/>
      <c r="C3820" s="5" t="s">
        <v>5156</v>
      </c>
      <c r="D3820" s="5" t="s">
        <v>8564</v>
      </c>
      <c r="E3820" s="43">
        <v>2370</v>
      </c>
      <c r="F3820" s="43"/>
      <c r="G3820" s="48">
        <f t="shared" si="88"/>
        <v>95162.661290322663</v>
      </c>
      <c r="H3820" s="391" t="s">
        <v>9568</v>
      </c>
    </row>
    <row r="3821" spans="1:8" x14ac:dyDescent="0.3">
      <c r="A3821" s="45">
        <v>44712</v>
      </c>
      <c r="B3821" s="399"/>
      <c r="C3821" s="5" t="s">
        <v>8573</v>
      </c>
      <c r="D3821" s="5" t="s">
        <v>9250</v>
      </c>
      <c r="E3821" s="43">
        <v>8000</v>
      </c>
      <c r="F3821" s="43"/>
      <c r="G3821" s="48">
        <f t="shared" si="88"/>
        <v>87162.661290322663</v>
      </c>
      <c r="H3821" s="391" t="s">
        <v>9568</v>
      </c>
    </row>
    <row r="3822" spans="1:8" x14ac:dyDescent="0.3">
      <c r="A3822" s="45">
        <v>44712</v>
      </c>
      <c r="B3822" s="580"/>
      <c r="C3822" s="554" t="s">
        <v>4106</v>
      </c>
      <c r="D3822" s="554"/>
      <c r="E3822" s="554"/>
      <c r="F3822" s="43">
        <v>500000</v>
      </c>
      <c r="G3822" s="48">
        <f t="shared" ref="G3822:G3825" si="89">G3821+F3822-E3822</f>
        <v>587162.66129032266</v>
      </c>
      <c r="H3822" s="391" t="s">
        <v>9568</v>
      </c>
    </row>
    <row r="3823" spans="1:8" x14ac:dyDescent="0.3">
      <c r="A3823" s="45">
        <v>44712</v>
      </c>
      <c r="B3823" s="580"/>
      <c r="C3823" s="554" t="s">
        <v>3444</v>
      </c>
      <c r="D3823" s="554"/>
      <c r="E3823" s="554"/>
      <c r="F3823" s="43">
        <v>500000</v>
      </c>
      <c r="G3823" s="48">
        <f t="shared" si="89"/>
        <v>1087162.6612903227</v>
      </c>
      <c r="H3823" s="391" t="s">
        <v>9568</v>
      </c>
    </row>
    <row r="3824" spans="1:8" x14ac:dyDescent="0.3">
      <c r="A3824" s="45">
        <v>44712</v>
      </c>
      <c r="B3824" s="409"/>
      <c r="C3824" s="61" t="s">
        <v>54</v>
      </c>
      <c r="D3824" s="61" t="s">
        <v>9277</v>
      </c>
      <c r="E3824" s="62">
        <v>786433</v>
      </c>
      <c r="F3824" s="43"/>
      <c r="G3824" s="48">
        <f t="shared" si="89"/>
        <v>300729.66129032266</v>
      </c>
      <c r="H3824" s="391" t="s">
        <v>9568</v>
      </c>
    </row>
    <row r="3825" spans="1:8" x14ac:dyDescent="0.3">
      <c r="A3825" s="45">
        <v>44712</v>
      </c>
      <c r="B3825" s="399"/>
      <c r="C3825" s="5" t="s">
        <v>84</v>
      </c>
      <c r="D3825" s="5" t="s">
        <v>9251</v>
      </c>
      <c r="E3825" s="43">
        <v>2000</v>
      </c>
      <c r="F3825" s="43"/>
      <c r="G3825" s="48">
        <f t="shared" si="89"/>
        <v>298729.66129032266</v>
      </c>
      <c r="H3825" s="391" t="s">
        <v>9568</v>
      </c>
    </row>
    <row r="3826" spans="1:8" x14ac:dyDescent="0.3">
      <c r="A3826" s="45">
        <v>44712</v>
      </c>
      <c r="B3826" s="399"/>
      <c r="C3826" s="5" t="s">
        <v>25</v>
      </c>
      <c r="D3826" s="5" t="s">
        <v>5108</v>
      </c>
      <c r="E3826" s="43">
        <v>1000</v>
      </c>
      <c r="F3826" s="43"/>
      <c r="G3826" s="48">
        <f t="shared" si="88"/>
        <v>297729.66129032266</v>
      </c>
      <c r="H3826" s="391" t="s">
        <v>9568</v>
      </c>
    </row>
    <row r="3827" spans="1:8" x14ac:dyDescent="0.3">
      <c r="A3827" s="45">
        <v>44712</v>
      </c>
      <c r="B3827" s="433"/>
      <c r="C3827" s="371" t="s">
        <v>7744</v>
      </c>
      <c r="D3827" s="371" t="s">
        <v>5508</v>
      </c>
      <c r="E3827" s="372">
        <v>48000</v>
      </c>
      <c r="F3827" s="43"/>
      <c r="G3827" s="48">
        <f t="shared" si="88"/>
        <v>249729.66129032266</v>
      </c>
      <c r="H3827" s="391" t="s">
        <v>9568</v>
      </c>
    </row>
    <row r="3828" spans="1:8" x14ac:dyDescent="0.3">
      <c r="A3828" s="45">
        <v>44712</v>
      </c>
      <c r="B3828" s="399"/>
      <c r="C3828" s="5" t="s">
        <v>6908</v>
      </c>
      <c r="D3828" s="5" t="s">
        <v>9252</v>
      </c>
      <c r="E3828" s="43">
        <v>10000</v>
      </c>
      <c r="F3828" s="43"/>
      <c r="G3828" s="48">
        <f t="shared" si="88"/>
        <v>239729.66129032266</v>
      </c>
      <c r="H3828" s="391" t="s">
        <v>9568</v>
      </c>
    </row>
    <row r="3829" spans="1:8" x14ac:dyDescent="0.3">
      <c r="A3829" s="45">
        <v>44712</v>
      </c>
      <c r="B3829" s="399"/>
      <c r="C3829" s="5" t="s">
        <v>6908</v>
      </c>
      <c r="D3829" s="5" t="s">
        <v>9253</v>
      </c>
      <c r="E3829" s="43">
        <v>5000</v>
      </c>
      <c r="F3829" s="43"/>
      <c r="G3829" s="48">
        <f t="shared" si="88"/>
        <v>234729.66129032266</v>
      </c>
      <c r="H3829" s="391" t="s">
        <v>9568</v>
      </c>
    </row>
    <row r="3830" spans="1:8" x14ac:dyDescent="0.3">
      <c r="A3830" s="45">
        <v>44713</v>
      </c>
      <c r="B3830" s="399"/>
      <c r="C3830" s="5" t="s">
        <v>84</v>
      </c>
      <c r="D3830" s="5" t="s">
        <v>9254</v>
      </c>
      <c r="E3830" s="43">
        <v>1000</v>
      </c>
      <c r="F3830" s="43"/>
      <c r="G3830" s="48">
        <f t="shared" si="88"/>
        <v>233729.66129032266</v>
      </c>
      <c r="H3830" s="391" t="s">
        <v>9568</v>
      </c>
    </row>
    <row r="3831" spans="1:8" x14ac:dyDescent="0.3">
      <c r="A3831" s="45">
        <v>44713</v>
      </c>
      <c r="B3831" s="399"/>
      <c r="C3831" s="5" t="s">
        <v>8573</v>
      </c>
      <c r="D3831" s="5" t="s">
        <v>9255</v>
      </c>
      <c r="E3831" s="43">
        <v>10000</v>
      </c>
      <c r="F3831" s="43"/>
      <c r="G3831" s="48">
        <f t="shared" si="88"/>
        <v>223729.66129032266</v>
      </c>
      <c r="H3831" s="391" t="s">
        <v>9568</v>
      </c>
    </row>
    <row r="3832" spans="1:8" x14ac:dyDescent="0.3">
      <c r="A3832" s="45">
        <v>44713</v>
      </c>
      <c r="B3832" s="399"/>
      <c r="C3832" s="5" t="s">
        <v>3554</v>
      </c>
      <c r="D3832" s="5" t="s">
        <v>6102</v>
      </c>
      <c r="E3832" s="43">
        <v>10000</v>
      </c>
      <c r="F3832" s="43"/>
      <c r="G3832" s="48">
        <f t="shared" si="88"/>
        <v>213729.66129032266</v>
      </c>
      <c r="H3832" s="391" t="s">
        <v>9568</v>
      </c>
    </row>
    <row r="3833" spans="1:8" x14ac:dyDescent="0.3">
      <c r="A3833" s="45">
        <v>44713</v>
      </c>
      <c r="B3833" s="433"/>
      <c r="C3833" s="371" t="s">
        <v>14</v>
      </c>
      <c r="D3833" s="371" t="s">
        <v>294</v>
      </c>
      <c r="E3833" s="372">
        <v>25000</v>
      </c>
      <c r="F3833" s="43"/>
      <c r="G3833" s="48">
        <f t="shared" si="88"/>
        <v>188729.66129032266</v>
      </c>
      <c r="H3833" s="391" t="s">
        <v>9568</v>
      </c>
    </row>
    <row r="3834" spans="1:8" x14ac:dyDescent="0.3">
      <c r="A3834" s="45">
        <v>44713</v>
      </c>
      <c r="B3834" s="399"/>
      <c r="C3834" s="5" t="s">
        <v>6931</v>
      </c>
      <c r="D3834" s="5" t="s">
        <v>5915</v>
      </c>
      <c r="E3834" s="43">
        <v>2000</v>
      </c>
      <c r="F3834" s="43"/>
      <c r="G3834" s="48">
        <f t="shared" si="88"/>
        <v>186729.66129032266</v>
      </c>
      <c r="H3834" s="391" t="s">
        <v>9568</v>
      </c>
    </row>
    <row r="3835" spans="1:8" x14ac:dyDescent="0.3">
      <c r="A3835" s="45">
        <v>44713</v>
      </c>
      <c r="B3835" s="399"/>
      <c r="C3835" s="5" t="s">
        <v>25</v>
      </c>
      <c r="D3835" s="5" t="s">
        <v>9249</v>
      </c>
      <c r="E3835" s="43">
        <v>4350</v>
      </c>
      <c r="F3835" s="43"/>
      <c r="G3835" s="48">
        <f t="shared" si="88"/>
        <v>182379.66129032266</v>
      </c>
      <c r="H3835" s="391" t="s">
        <v>9568</v>
      </c>
    </row>
    <row r="3836" spans="1:8" x14ac:dyDescent="0.3">
      <c r="A3836" s="45">
        <v>44713</v>
      </c>
      <c r="B3836" s="399"/>
      <c r="C3836" s="5" t="s">
        <v>5156</v>
      </c>
      <c r="D3836" s="5" t="s">
        <v>9256</v>
      </c>
      <c r="E3836" s="43">
        <v>1260</v>
      </c>
      <c r="F3836" s="43"/>
      <c r="G3836" s="48">
        <f t="shared" si="88"/>
        <v>181119.66129032266</v>
      </c>
      <c r="H3836" s="391" t="s">
        <v>9568</v>
      </c>
    </row>
    <row r="3837" spans="1:8" x14ac:dyDescent="0.3">
      <c r="A3837" s="45">
        <v>44713</v>
      </c>
      <c r="B3837" s="399"/>
      <c r="C3837" s="5" t="s">
        <v>25</v>
      </c>
      <c r="D3837" s="5" t="s">
        <v>2013</v>
      </c>
      <c r="E3837" s="43">
        <v>200</v>
      </c>
      <c r="F3837" s="43"/>
      <c r="G3837" s="48">
        <f t="shared" si="88"/>
        <v>180919.66129032266</v>
      </c>
      <c r="H3837" s="391" t="s">
        <v>9568</v>
      </c>
    </row>
    <row r="3838" spans="1:8" x14ac:dyDescent="0.3">
      <c r="A3838" s="45">
        <v>44713</v>
      </c>
      <c r="B3838" s="399"/>
      <c r="C3838" s="5" t="s">
        <v>84</v>
      </c>
      <c r="D3838" s="5" t="s">
        <v>9257</v>
      </c>
      <c r="E3838" s="43">
        <v>1000</v>
      </c>
      <c r="F3838" s="43"/>
      <c r="G3838" s="48">
        <f t="shared" si="88"/>
        <v>179919.66129032266</v>
      </c>
      <c r="H3838" s="391" t="s">
        <v>9568</v>
      </c>
    </row>
    <row r="3839" spans="1:8" x14ac:dyDescent="0.3">
      <c r="A3839" s="45">
        <v>44715</v>
      </c>
      <c r="B3839" s="433"/>
      <c r="C3839" s="371" t="s">
        <v>25</v>
      </c>
      <c r="D3839" s="371" t="s">
        <v>9267</v>
      </c>
      <c r="E3839" s="372">
        <v>34780</v>
      </c>
      <c r="F3839" s="43"/>
      <c r="G3839" s="48">
        <f t="shared" si="88"/>
        <v>145139.66129032266</v>
      </c>
      <c r="H3839" s="391" t="s">
        <v>9568</v>
      </c>
    </row>
    <row r="3840" spans="1:8" x14ac:dyDescent="0.3">
      <c r="A3840" s="45">
        <v>44715</v>
      </c>
      <c r="B3840" s="399"/>
      <c r="C3840" s="5" t="s">
        <v>14</v>
      </c>
      <c r="D3840" s="5" t="s">
        <v>9266</v>
      </c>
      <c r="E3840" s="43">
        <v>9000</v>
      </c>
      <c r="F3840" s="43"/>
      <c r="G3840" s="48">
        <f t="shared" si="88"/>
        <v>136139.66129032266</v>
      </c>
      <c r="H3840" s="391" t="s">
        <v>9568</v>
      </c>
    </row>
    <row r="3841" spans="1:10" x14ac:dyDescent="0.3">
      <c r="A3841" s="45">
        <v>44715</v>
      </c>
      <c r="B3841" s="399"/>
      <c r="C3841" s="5" t="s">
        <v>84</v>
      </c>
      <c r="D3841" s="5" t="s">
        <v>9268</v>
      </c>
      <c r="E3841" s="43">
        <v>5000</v>
      </c>
      <c r="F3841" s="43"/>
      <c r="G3841" s="48">
        <f t="shared" ref="G3841:G3906" si="90">G3840+F3841-E3841</f>
        <v>131139.66129032266</v>
      </c>
      <c r="H3841" s="391" t="s">
        <v>9568</v>
      </c>
    </row>
    <row r="3842" spans="1:10" x14ac:dyDescent="0.3">
      <c r="A3842" s="45">
        <v>44715</v>
      </c>
      <c r="B3842" s="399"/>
      <c r="C3842" s="5" t="s">
        <v>18</v>
      </c>
      <c r="D3842" s="5" t="s">
        <v>2013</v>
      </c>
      <c r="E3842" s="43">
        <v>200</v>
      </c>
      <c r="F3842" s="43"/>
      <c r="G3842" s="48">
        <f t="shared" si="90"/>
        <v>130939.66129032266</v>
      </c>
      <c r="H3842" s="391" t="s">
        <v>9568</v>
      </c>
    </row>
    <row r="3843" spans="1:10" x14ac:dyDescent="0.3">
      <c r="A3843" s="45">
        <v>44715</v>
      </c>
      <c r="B3843" s="399"/>
      <c r="C3843" s="5" t="s">
        <v>1616</v>
      </c>
      <c r="D3843" s="5" t="s">
        <v>7002</v>
      </c>
      <c r="E3843" s="43">
        <v>650</v>
      </c>
      <c r="F3843" s="43"/>
      <c r="G3843" s="48">
        <f t="shared" si="90"/>
        <v>130289.66129032266</v>
      </c>
      <c r="H3843" s="391" t="s">
        <v>9568</v>
      </c>
    </row>
    <row r="3844" spans="1:10" x14ac:dyDescent="0.3">
      <c r="A3844" s="45">
        <v>44715</v>
      </c>
      <c r="B3844" s="399"/>
      <c r="C3844" s="5" t="s">
        <v>91</v>
      </c>
      <c r="D3844" s="5" t="s">
        <v>40</v>
      </c>
      <c r="E3844" s="43">
        <v>590</v>
      </c>
      <c r="F3844" s="43"/>
      <c r="G3844" s="48">
        <f t="shared" si="90"/>
        <v>129699.66129032266</v>
      </c>
      <c r="H3844" s="391" t="s">
        <v>9568</v>
      </c>
    </row>
    <row r="3845" spans="1:10" x14ac:dyDescent="0.3">
      <c r="A3845" s="45">
        <v>44716</v>
      </c>
      <c r="B3845" s="399"/>
      <c r="C3845" s="5" t="s">
        <v>1074</v>
      </c>
      <c r="D3845" s="5" t="s">
        <v>9269</v>
      </c>
      <c r="E3845" s="43">
        <v>1000</v>
      </c>
      <c r="F3845" s="43"/>
      <c r="G3845" s="48">
        <f t="shared" si="90"/>
        <v>128699.66129032266</v>
      </c>
      <c r="H3845" s="391" t="s">
        <v>9568</v>
      </c>
    </row>
    <row r="3846" spans="1:10" x14ac:dyDescent="0.3">
      <c r="A3846" s="45">
        <v>44716</v>
      </c>
      <c r="B3846" s="399"/>
      <c r="C3846" s="5" t="s">
        <v>14</v>
      </c>
      <c r="D3846" s="5" t="s">
        <v>294</v>
      </c>
      <c r="E3846" s="43">
        <v>5000</v>
      </c>
      <c r="F3846" s="43"/>
      <c r="G3846" s="48">
        <f t="shared" si="90"/>
        <v>123699.66129032266</v>
      </c>
      <c r="H3846" s="391" t="s">
        <v>9568</v>
      </c>
    </row>
    <row r="3847" spans="1:10" x14ac:dyDescent="0.3">
      <c r="A3847" s="45">
        <v>44716</v>
      </c>
      <c r="B3847" s="433"/>
      <c r="C3847" s="371" t="s">
        <v>14</v>
      </c>
      <c r="D3847" s="371" t="s">
        <v>9270</v>
      </c>
      <c r="E3847" s="372">
        <v>20000</v>
      </c>
      <c r="F3847" s="43"/>
      <c r="G3847" s="48">
        <f t="shared" si="90"/>
        <v>103699.66129032266</v>
      </c>
      <c r="H3847" s="391" t="s">
        <v>9568</v>
      </c>
    </row>
    <row r="3848" spans="1:10" x14ac:dyDescent="0.3">
      <c r="A3848" s="45">
        <v>44716</v>
      </c>
      <c r="B3848" s="433"/>
      <c r="C3848" s="371" t="s">
        <v>68</v>
      </c>
      <c r="D3848" s="371" t="s">
        <v>9272</v>
      </c>
      <c r="E3848" s="372">
        <v>25000</v>
      </c>
      <c r="F3848" s="43"/>
      <c r="G3848" s="48">
        <f t="shared" si="90"/>
        <v>78699.661290322663</v>
      </c>
      <c r="H3848" s="391" t="s">
        <v>9568</v>
      </c>
    </row>
    <row r="3849" spans="1:10" x14ac:dyDescent="0.3">
      <c r="A3849" s="45">
        <v>44716</v>
      </c>
      <c r="B3849" s="580"/>
      <c r="C3849" s="554" t="s">
        <v>7440</v>
      </c>
      <c r="D3849" s="554"/>
      <c r="E3849" s="554"/>
      <c r="F3849" s="43">
        <v>2000</v>
      </c>
      <c r="G3849" s="48">
        <f t="shared" si="90"/>
        <v>80699.661290322663</v>
      </c>
      <c r="H3849" s="391" t="s">
        <v>9568</v>
      </c>
    </row>
    <row r="3850" spans="1:10" x14ac:dyDescent="0.3">
      <c r="A3850" s="45">
        <v>44716</v>
      </c>
      <c r="B3850" s="399"/>
      <c r="C3850" s="5" t="s">
        <v>18</v>
      </c>
      <c r="D3850" s="5" t="s">
        <v>9273</v>
      </c>
      <c r="E3850" s="43">
        <v>850</v>
      </c>
      <c r="F3850" s="43"/>
      <c r="G3850" s="48">
        <f t="shared" si="90"/>
        <v>79849.661290322663</v>
      </c>
      <c r="H3850" s="391" t="s">
        <v>9568</v>
      </c>
    </row>
    <row r="3851" spans="1:10" x14ac:dyDescent="0.3">
      <c r="A3851" s="45">
        <v>44716</v>
      </c>
      <c r="B3851" s="399"/>
      <c r="C3851" s="5" t="s">
        <v>5156</v>
      </c>
      <c r="D3851" s="5" t="s">
        <v>9241</v>
      </c>
      <c r="E3851" s="43">
        <v>2210</v>
      </c>
      <c r="F3851" s="43"/>
      <c r="G3851" s="48">
        <f t="shared" si="90"/>
        <v>77639.661290322663</v>
      </c>
      <c r="H3851" s="391" t="s">
        <v>9568</v>
      </c>
    </row>
    <row r="3852" spans="1:10" x14ac:dyDescent="0.3">
      <c r="A3852" s="45">
        <v>44716</v>
      </c>
      <c r="B3852" s="399"/>
      <c r="C3852" s="5" t="s">
        <v>25</v>
      </c>
      <c r="D3852" s="5" t="s">
        <v>9249</v>
      </c>
      <c r="E3852" s="43">
        <v>6840</v>
      </c>
      <c r="F3852" s="43"/>
      <c r="G3852" s="48">
        <f t="shared" si="90"/>
        <v>70799.661290322663</v>
      </c>
      <c r="H3852" s="391" t="s">
        <v>9568</v>
      </c>
      <c r="I3852" s="369"/>
      <c r="J3852" s="334"/>
    </row>
    <row r="3853" spans="1:10" x14ac:dyDescent="0.3">
      <c r="A3853" s="45">
        <v>44716</v>
      </c>
      <c r="B3853" s="413"/>
      <c r="C3853" s="231" t="s">
        <v>5709</v>
      </c>
      <c r="D3853" s="231" t="s">
        <v>9274</v>
      </c>
      <c r="E3853" s="232">
        <v>22000</v>
      </c>
      <c r="F3853" s="43"/>
      <c r="G3853" s="48">
        <f t="shared" si="90"/>
        <v>48799.661290322663</v>
      </c>
      <c r="H3853" s="391" t="s">
        <v>9568</v>
      </c>
      <c r="I3853" s="369"/>
      <c r="J3853" s="334"/>
    </row>
    <row r="3854" spans="1:10" x14ac:dyDescent="0.3">
      <c r="A3854" s="45">
        <v>44718</v>
      </c>
      <c r="B3854" s="401"/>
      <c r="C3854" s="73" t="s">
        <v>9126</v>
      </c>
      <c r="D3854" s="73" t="s">
        <v>9275</v>
      </c>
      <c r="E3854" s="183">
        <v>5000</v>
      </c>
      <c r="F3854" s="43"/>
      <c r="G3854" s="48">
        <f t="shared" si="90"/>
        <v>43799.661290322663</v>
      </c>
      <c r="H3854" s="391" t="s">
        <v>9568</v>
      </c>
    </row>
    <row r="3855" spans="1:10" x14ac:dyDescent="0.3">
      <c r="A3855" s="45">
        <v>44718</v>
      </c>
      <c r="B3855" s="433"/>
      <c r="C3855" s="371" t="s">
        <v>4550</v>
      </c>
      <c r="D3855" s="371" t="s">
        <v>9276</v>
      </c>
      <c r="E3855" s="372">
        <v>22000</v>
      </c>
      <c r="F3855" s="43"/>
      <c r="G3855" s="48">
        <f t="shared" si="90"/>
        <v>21799.661290322663</v>
      </c>
      <c r="H3855" s="391" t="s">
        <v>9568</v>
      </c>
      <c r="I3855" s="369"/>
      <c r="J3855" s="335"/>
    </row>
    <row r="3856" spans="1:10" x14ac:dyDescent="0.3">
      <c r="A3856" s="45">
        <v>44718</v>
      </c>
      <c r="B3856" s="433"/>
      <c r="C3856" s="371" t="s">
        <v>14</v>
      </c>
      <c r="D3856" s="371" t="s">
        <v>294</v>
      </c>
      <c r="E3856" s="372">
        <v>10000</v>
      </c>
      <c r="F3856" s="43"/>
      <c r="G3856" s="48">
        <f t="shared" si="90"/>
        <v>11799.661290322663</v>
      </c>
      <c r="H3856" s="391" t="s">
        <v>9568</v>
      </c>
      <c r="I3856" s="369"/>
      <c r="J3856" s="335"/>
    </row>
    <row r="3857" spans="1:10" x14ac:dyDescent="0.3">
      <c r="A3857" s="45">
        <v>44718</v>
      </c>
      <c r="B3857" s="399"/>
      <c r="C3857" s="5" t="s">
        <v>1787</v>
      </c>
      <c r="D3857" s="5" t="s">
        <v>9278</v>
      </c>
      <c r="E3857" s="43">
        <v>1500</v>
      </c>
      <c r="F3857" s="43"/>
      <c r="G3857" s="48">
        <f t="shared" si="90"/>
        <v>10299.661290322663</v>
      </c>
      <c r="H3857" s="391" t="s">
        <v>9568</v>
      </c>
    </row>
    <row r="3858" spans="1:10" x14ac:dyDescent="0.3">
      <c r="A3858" s="45">
        <v>44718</v>
      </c>
      <c r="B3858" s="399"/>
      <c r="C3858" s="5" t="s">
        <v>25</v>
      </c>
      <c r="D3858" s="5" t="s">
        <v>4400</v>
      </c>
      <c r="E3858" s="43">
        <v>3700</v>
      </c>
      <c r="F3858" s="43"/>
      <c r="G3858" s="48">
        <f t="shared" si="90"/>
        <v>6599.6612903226633</v>
      </c>
      <c r="H3858" s="391" t="s">
        <v>9568</v>
      </c>
      <c r="I3858" s="369"/>
      <c r="J3858" s="335"/>
    </row>
    <row r="3859" spans="1:10" x14ac:dyDescent="0.3">
      <c r="A3859" s="45">
        <v>44720</v>
      </c>
      <c r="B3859" s="399"/>
      <c r="C3859" s="5" t="s">
        <v>247</v>
      </c>
      <c r="D3859" s="5" t="s">
        <v>9279</v>
      </c>
      <c r="E3859" s="43">
        <v>350</v>
      </c>
      <c r="F3859" s="43"/>
      <c r="G3859" s="48">
        <f t="shared" si="90"/>
        <v>6249.6612903226633</v>
      </c>
      <c r="H3859" s="391" t="s">
        <v>9568</v>
      </c>
      <c r="I3859" s="369"/>
      <c r="J3859" s="335"/>
    </row>
    <row r="3860" spans="1:10" x14ac:dyDescent="0.3">
      <c r="A3860" s="45">
        <v>44720</v>
      </c>
      <c r="B3860" s="399"/>
      <c r="C3860" s="5" t="s">
        <v>25</v>
      </c>
      <c r="D3860" s="5" t="s">
        <v>9249</v>
      </c>
      <c r="E3860" s="43">
        <v>3560</v>
      </c>
      <c r="F3860" s="43"/>
      <c r="G3860" s="48">
        <f t="shared" si="90"/>
        <v>2689.6612903226633</v>
      </c>
      <c r="H3860" s="391" t="s">
        <v>9568</v>
      </c>
      <c r="I3860" s="352"/>
      <c r="J3860" s="353"/>
    </row>
    <row r="3861" spans="1:10" x14ac:dyDescent="0.3">
      <c r="A3861" s="45">
        <v>44720</v>
      </c>
      <c r="B3861" s="399"/>
      <c r="C3861" s="5" t="s">
        <v>1787</v>
      </c>
      <c r="D3861" s="5" t="s">
        <v>9283</v>
      </c>
      <c r="E3861" s="43">
        <v>1800</v>
      </c>
      <c r="F3861" s="43"/>
      <c r="G3861" s="48">
        <f t="shared" si="90"/>
        <v>889.66129032266326</v>
      </c>
      <c r="H3861" s="391" t="s">
        <v>9568</v>
      </c>
    </row>
    <row r="3862" spans="1:10" x14ac:dyDescent="0.3">
      <c r="A3862" s="45">
        <v>44720</v>
      </c>
      <c r="B3862" s="580"/>
      <c r="C3862" s="554" t="s">
        <v>7440</v>
      </c>
      <c r="D3862" s="554"/>
      <c r="E3862" s="554"/>
      <c r="F3862" s="43">
        <v>100000</v>
      </c>
      <c r="G3862" s="48">
        <f t="shared" ref="G3862:G3863" si="91">G3861+F3862-E3862</f>
        <v>100889.66129032266</v>
      </c>
      <c r="H3862" s="391" t="s">
        <v>9568</v>
      </c>
      <c r="I3862" s="369"/>
      <c r="J3862" s="335"/>
    </row>
    <row r="3863" spans="1:10" x14ac:dyDescent="0.3">
      <c r="A3863" s="45">
        <v>44720</v>
      </c>
      <c r="B3863" s="409"/>
      <c r="C3863" s="61" t="s">
        <v>54</v>
      </c>
      <c r="D3863" s="61" t="s">
        <v>9285</v>
      </c>
      <c r="E3863" s="62">
        <v>30930</v>
      </c>
      <c r="F3863" s="43"/>
      <c r="G3863" s="48">
        <f t="shared" si="91"/>
        <v>69959.661290322663</v>
      </c>
      <c r="H3863" s="391" t="s">
        <v>9568</v>
      </c>
    </row>
    <row r="3864" spans="1:10" x14ac:dyDescent="0.3">
      <c r="A3864" s="45">
        <v>44721</v>
      </c>
      <c r="B3864" s="399"/>
      <c r="C3864" s="5" t="s">
        <v>9159</v>
      </c>
      <c r="D3864" s="5" t="s">
        <v>9286</v>
      </c>
      <c r="E3864" s="43">
        <v>4000</v>
      </c>
      <c r="F3864" s="43"/>
      <c r="G3864" s="48">
        <f t="shared" si="90"/>
        <v>65959.661290322663</v>
      </c>
      <c r="H3864" s="391" t="s">
        <v>9568</v>
      </c>
    </row>
    <row r="3865" spans="1:10" x14ac:dyDescent="0.3">
      <c r="A3865" s="45">
        <v>44721</v>
      </c>
      <c r="B3865" s="399"/>
      <c r="C3865" s="5" t="s">
        <v>14</v>
      </c>
      <c r="D3865" s="5" t="s">
        <v>640</v>
      </c>
      <c r="E3865" s="43">
        <v>1000</v>
      </c>
      <c r="F3865" s="43"/>
      <c r="G3865" s="48">
        <f t="shared" si="90"/>
        <v>64959.661290322663</v>
      </c>
      <c r="H3865" s="391" t="s">
        <v>9568</v>
      </c>
    </row>
    <row r="3866" spans="1:10" x14ac:dyDescent="0.3">
      <c r="A3866" s="45">
        <v>44721</v>
      </c>
      <c r="B3866" s="399"/>
      <c r="C3866" s="5" t="s">
        <v>14</v>
      </c>
      <c r="D3866" s="5" t="s">
        <v>294</v>
      </c>
      <c r="E3866" s="43">
        <v>10000</v>
      </c>
      <c r="F3866" s="43"/>
      <c r="G3866" s="48">
        <f t="shared" si="90"/>
        <v>54959.661290322663</v>
      </c>
      <c r="H3866" s="391" t="s">
        <v>9568</v>
      </c>
      <c r="I3866" s="369"/>
      <c r="J3866" s="334"/>
    </row>
    <row r="3867" spans="1:10" x14ac:dyDescent="0.3">
      <c r="A3867" s="45">
        <v>44721</v>
      </c>
      <c r="B3867" s="399"/>
      <c r="C3867" s="5" t="s">
        <v>84</v>
      </c>
      <c r="D3867" s="5" t="s">
        <v>9287</v>
      </c>
      <c r="E3867" s="43">
        <v>3000</v>
      </c>
      <c r="F3867" s="43"/>
      <c r="G3867" s="48">
        <f t="shared" si="90"/>
        <v>51959.661290322663</v>
      </c>
      <c r="H3867" s="391" t="s">
        <v>9568</v>
      </c>
      <c r="I3867" s="369"/>
      <c r="J3867" s="363"/>
    </row>
    <row r="3868" spans="1:10" x14ac:dyDescent="0.3">
      <c r="A3868" s="45">
        <v>44721</v>
      </c>
      <c r="B3868" s="399"/>
      <c r="C3868" s="5" t="s">
        <v>9288</v>
      </c>
      <c r="D3868" s="5" t="s">
        <v>9289</v>
      </c>
      <c r="E3868" s="43">
        <v>12000</v>
      </c>
      <c r="F3868" s="43"/>
      <c r="G3868" s="48">
        <f t="shared" si="90"/>
        <v>39959.661290322663</v>
      </c>
      <c r="H3868" s="391" t="s">
        <v>9568</v>
      </c>
      <c r="I3868" s="369"/>
      <c r="J3868" s="334"/>
    </row>
    <row r="3869" spans="1:10" x14ac:dyDescent="0.3">
      <c r="A3869" s="45">
        <v>44720</v>
      </c>
      <c r="B3869" s="580"/>
      <c r="C3869" s="554" t="s">
        <v>7440</v>
      </c>
      <c r="D3869" s="554"/>
      <c r="E3869" s="554"/>
      <c r="F3869" s="43">
        <v>100000</v>
      </c>
      <c r="G3869" s="48">
        <f t="shared" si="90"/>
        <v>139959.66129032266</v>
      </c>
      <c r="H3869" s="391" t="s">
        <v>9568</v>
      </c>
      <c r="I3869" s="369"/>
      <c r="J3869" s="334"/>
    </row>
    <row r="3870" spans="1:10" x14ac:dyDescent="0.3">
      <c r="A3870" s="45">
        <v>44721</v>
      </c>
      <c r="B3870" s="409"/>
      <c r="C3870" s="61" t="s">
        <v>54</v>
      </c>
      <c r="D3870" s="61" t="s">
        <v>8646</v>
      </c>
      <c r="E3870" s="62">
        <v>128381</v>
      </c>
      <c r="F3870" s="43"/>
      <c r="G3870" s="48">
        <f t="shared" si="90"/>
        <v>11578.661290322663</v>
      </c>
      <c r="H3870" s="391" t="s">
        <v>9568</v>
      </c>
    </row>
    <row r="3871" spans="1:10" x14ac:dyDescent="0.3">
      <c r="A3871" s="45">
        <v>44721</v>
      </c>
      <c r="B3871" s="399"/>
      <c r="C3871" s="5" t="s">
        <v>3724</v>
      </c>
      <c r="D3871" s="5" t="s">
        <v>40</v>
      </c>
      <c r="E3871" s="43">
        <v>4235</v>
      </c>
      <c r="F3871" s="43"/>
      <c r="G3871" s="48">
        <f t="shared" si="90"/>
        <v>7343.6612903226633</v>
      </c>
      <c r="H3871" s="391" t="s">
        <v>9568</v>
      </c>
    </row>
    <row r="3872" spans="1:10" x14ac:dyDescent="0.3">
      <c r="A3872" s="45">
        <v>44722</v>
      </c>
      <c r="B3872" s="399"/>
      <c r="C3872" s="5" t="s">
        <v>1074</v>
      </c>
      <c r="D3872" s="5" t="s">
        <v>8719</v>
      </c>
      <c r="E3872" s="43">
        <v>464</v>
      </c>
      <c r="F3872" s="43"/>
      <c r="G3872" s="48">
        <f t="shared" si="90"/>
        <v>6879.6612903226633</v>
      </c>
      <c r="H3872" s="391" t="s">
        <v>9568</v>
      </c>
    </row>
    <row r="3873" spans="1:8" x14ac:dyDescent="0.3">
      <c r="A3873" s="45">
        <v>44722</v>
      </c>
      <c r="B3873" s="399"/>
      <c r="C3873" s="5" t="s">
        <v>25</v>
      </c>
      <c r="D3873" s="5" t="s">
        <v>9298</v>
      </c>
      <c r="E3873" s="43">
        <v>250</v>
      </c>
      <c r="F3873" s="43"/>
      <c r="G3873" s="48">
        <f t="shared" si="90"/>
        <v>6629.6612903226633</v>
      </c>
      <c r="H3873" s="391" t="s">
        <v>9568</v>
      </c>
    </row>
    <row r="3874" spans="1:8" x14ac:dyDescent="0.3">
      <c r="A3874" s="45">
        <v>44722</v>
      </c>
      <c r="B3874" s="399"/>
      <c r="C3874" s="5" t="s">
        <v>64</v>
      </c>
      <c r="D3874" s="5" t="s">
        <v>40</v>
      </c>
      <c r="E3874" s="43">
        <v>1300</v>
      </c>
      <c r="F3874" s="43"/>
      <c r="G3874" s="48">
        <f t="shared" si="90"/>
        <v>5329.6612903226633</v>
      </c>
      <c r="H3874" s="391" t="s">
        <v>9568</v>
      </c>
    </row>
    <row r="3875" spans="1:8" x14ac:dyDescent="0.3">
      <c r="A3875" s="45">
        <v>44722</v>
      </c>
      <c r="B3875" s="580"/>
      <c r="C3875" s="554" t="s">
        <v>8290</v>
      </c>
      <c r="D3875" s="554"/>
      <c r="E3875" s="554"/>
      <c r="F3875" s="43">
        <v>10000</v>
      </c>
      <c r="G3875" s="48">
        <f t="shared" ref="G3875" si="92">G3874+F3875-E3875</f>
        <v>15329.661290322663</v>
      </c>
      <c r="H3875" s="391" t="s">
        <v>9568</v>
      </c>
    </row>
    <row r="3876" spans="1:8" x14ac:dyDescent="0.3">
      <c r="A3876" s="45">
        <v>44722</v>
      </c>
      <c r="B3876" s="399"/>
      <c r="C3876" s="5" t="s">
        <v>247</v>
      </c>
      <c r="D3876" s="5" t="s">
        <v>9299</v>
      </c>
      <c r="E3876" s="43">
        <v>6050</v>
      </c>
      <c r="F3876" s="43"/>
      <c r="G3876" s="48">
        <f t="shared" si="90"/>
        <v>9279.6612903226633</v>
      </c>
      <c r="H3876" s="391" t="s">
        <v>9568</v>
      </c>
    </row>
    <row r="3877" spans="1:8" x14ac:dyDescent="0.3">
      <c r="A3877" s="45">
        <v>44722</v>
      </c>
      <c r="B3877" s="399"/>
      <c r="C3877" s="5" t="s">
        <v>25</v>
      </c>
      <c r="D3877" s="5" t="s">
        <v>9302</v>
      </c>
      <c r="E3877" s="43">
        <v>3837</v>
      </c>
      <c r="F3877" s="43"/>
      <c r="G3877" s="48">
        <f t="shared" si="90"/>
        <v>5442.6612903226633</v>
      </c>
      <c r="H3877" s="391" t="s">
        <v>9568</v>
      </c>
    </row>
    <row r="3878" spans="1:8" x14ac:dyDescent="0.3">
      <c r="A3878" s="45">
        <v>44722</v>
      </c>
      <c r="B3878" s="399"/>
      <c r="C3878" s="5" t="s">
        <v>18</v>
      </c>
      <c r="D3878" s="5" t="s">
        <v>294</v>
      </c>
      <c r="E3878" s="43">
        <v>2000</v>
      </c>
      <c r="F3878" s="43"/>
      <c r="G3878" s="48">
        <f t="shared" si="90"/>
        <v>3442.6612903226633</v>
      </c>
      <c r="H3878" s="391" t="s">
        <v>9568</v>
      </c>
    </row>
    <row r="3879" spans="1:8" x14ac:dyDescent="0.3">
      <c r="A3879" s="45">
        <v>44722</v>
      </c>
      <c r="B3879" s="399"/>
      <c r="C3879" s="5" t="s">
        <v>247</v>
      </c>
      <c r="D3879" s="5" t="s">
        <v>2013</v>
      </c>
      <c r="E3879" s="43">
        <v>150</v>
      </c>
      <c r="F3879" s="43"/>
      <c r="G3879" s="48">
        <f t="shared" si="90"/>
        <v>3292.6612903226633</v>
      </c>
      <c r="H3879" s="391" t="s">
        <v>9568</v>
      </c>
    </row>
    <row r="3880" spans="1:8" x14ac:dyDescent="0.3">
      <c r="A3880" s="45">
        <v>44725</v>
      </c>
      <c r="B3880" s="580"/>
      <c r="C3880" s="554" t="s">
        <v>4106</v>
      </c>
      <c r="D3880" s="554"/>
      <c r="E3880" s="554"/>
      <c r="F3880" s="43">
        <v>100000</v>
      </c>
      <c r="G3880" s="48">
        <f t="shared" si="90"/>
        <v>103292.66129032266</v>
      </c>
      <c r="H3880" s="391" t="s">
        <v>9568</v>
      </c>
    </row>
    <row r="3881" spans="1:8" x14ac:dyDescent="0.3">
      <c r="A3881" s="45">
        <v>44725</v>
      </c>
      <c r="B3881" s="409"/>
      <c r="C3881" s="61" t="s">
        <v>54</v>
      </c>
      <c r="D3881" s="61" t="s">
        <v>9303</v>
      </c>
      <c r="E3881" s="62">
        <v>19500</v>
      </c>
      <c r="F3881" s="43"/>
      <c r="G3881" s="48">
        <f t="shared" si="90"/>
        <v>83792.661290322663</v>
      </c>
      <c r="H3881" s="391" t="s">
        <v>9568</v>
      </c>
    </row>
    <row r="3882" spans="1:8" x14ac:dyDescent="0.3">
      <c r="A3882" s="45">
        <v>44725</v>
      </c>
      <c r="B3882" s="399"/>
      <c r="C3882" s="5" t="s">
        <v>84</v>
      </c>
      <c r="D3882" s="5" t="s">
        <v>9304</v>
      </c>
      <c r="E3882" s="43">
        <v>500</v>
      </c>
      <c r="F3882" s="43"/>
      <c r="G3882" s="48">
        <f t="shared" si="90"/>
        <v>83292.661290322663</v>
      </c>
      <c r="H3882" s="391" t="s">
        <v>9568</v>
      </c>
    </row>
    <row r="3883" spans="1:8" x14ac:dyDescent="0.3">
      <c r="A3883" s="45">
        <v>44725</v>
      </c>
      <c r="B3883" s="399"/>
      <c r="C3883" s="5" t="s">
        <v>4550</v>
      </c>
      <c r="D3883" s="5" t="s">
        <v>7684</v>
      </c>
      <c r="E3883" s="43">
        <v>10000</v>
      </c>
      <c r="F3883" s="43"/>
      <c r="G3883" s="48">
        <f t="shared" si="90"/>
        <v>73292.661290322663</v>
      </c>
      <c r="H3883" s="391" t="s">
        <v>9568</v>
      </c>
    </row>
    <row r="3884" spans="1:8" x14ac:dyDescent="0.3">
      <c r="A3884" s="45">
        <v>44725</v>
      </c>
      <c r="B3884" s="409"/>
      <c r="C3884" s="61" t="s">
        <v>54</v>
      </c>
      <c r="D3884" s="61" t="s">
        <v>6531</v>
      </c>
      <c r="E3884" s="62">
        <v>23000</v>
      </c>
      <c r="F3884" s="43"/>
      <c r="G3884" s="48">
        <f t="shared" si="90"/>
        <v>50292.661290322663</v>
      </c>
      <c r="H3884" s="391" t="s">
        <v>9568</v>
      </c>
    </row>
    <row r="3885" spans="1:8" x14ac:dyDescent="0.3">
      <c r="A3885" s="45">
        <v>44725</v>
      </c>
      <c r="B3885" s="399"/>
      <c r="C3885" s="5" t="s">
        <v>6430</v>
      </c>
      <c r="D3885" s="5" t="s">
        <v>7684</v>
      </c>
      <c r="E3885" s="43">
        <v>5000</v>
      </c>
      <c r="F3885" s="43"/>
      <c r="G3885" s="48">
        <f t="shared" si="90"/>
        <v>45292.661290322663</v>
      </c>
      <c r="H3885" s="391" t="s">
        <v>9568</v>
      </c>
    </row>
    <row r="3886" spans="1:8" x14ac:dyDescent="0.3">
      <c r="A3886" s="45">
        <v>44725</v>
      </c>
      <c r="B3886" s="399"/>
      <c r="C3886" s="5" t="s">
        <v>1787</v>
      </c>
      <c r="D3886" s="5" t="s">
        <v>9305</v>
      </c>
      <c r="E3886" s="43">
        <v>3500</v>
      </c>
      <c r="F3886" s="43"/>
      <c r="G3886" s="48">
        <f t="shared" si="90"/>
        <v>41792.661290322663</v>
      </c>
      <c r="H3886" s="391" t="s">
        <v>9568</v>
      </c>
    </row>
    <row r="3887" spans="1:8" x14ac:dyDescent="0.3">
      <c r="A3887" s="45">
        <v>44725</v>
      </c>
      <c r="B3887" s="399"/>
      <c r="C3887" s="5" t="s">
        <v>6908</v>
      </c>
      <c r="D3887" s="5" t="s">
        <v>9306</v>
      </c>
      <c r="E3887" s="43">
        <v>18000</v>
      </c>
      <c r="F3887" s="43"/>
      <c r="G3887" s="48">
        <f t="shared" si="90"/>
        <v>23792.661290322663</v>
      </c>
      <c r="H3887" s="391" t="s">
        <v>9568</v>
      </c>
    </row>
    <row r="3888" spans="1:8" x14ac:dyDescent="0.3">
      <c r="A3888" s="45">
        <v>44726</v>
      </c>
      <c r="B3888" s="399"/>
      <c r="C3888" s="5" t="s">
        <v>110</v>
      </c>
      <c r="D3888" s="5" t="s">
        <v>640</v>
      </c>
      <c r="E3888" s="43">
        <v>5000</v>
      </c>
      <c r="F3888" s="43"/>
      <c r="G3888" s="48">
        <f t="shared" si="90"/>
        <v>18792.661290322663</v>
      </c>
      <c r="H3888" s="391" t="s">
        <v>9568</v>
      </c>
    </row>
    <row r="3889" spans="1:8" x14ac:dyDescent="0.3">
      <c r="A3889" s="45">
        <v>44726</v>
      </c>
      <c r="B3889" s="399"/>
      <c r="C3889" s="5" t="s">
        <v>1787</v>
      </c>
      <c r="D3889" s="5" t="s">
        <v>5793</v>
      </c>
      <c r="E3889" s="43">
        <v>2000</v>
      </c>
      <c r="F3889" s="43"/>
      <c r="G3889" s="48">
        <f t="shared" si="90"/>
        <v>16792.661290322663</v>
      </c>
      <c r="H3889" s="391" t="s">
        <v>9568</v>
      </c>
    </row>
    <row r="3890" spans="1:8" x14ac:dyDescent="0.3">
      <c r="A3890" s="45">
        <v>44726</v>
      </c>
      <c r="B3890" s="399"/>
      <c r="C3890" s="5" t="s">
        <v>84</v>
      </c>
      <c r="D3890" s="5" t="s">
        <v>9307</v>
      </c>
      <c r="E3890" s="43">
        <v>2000</v>
      </c>
      <c r="F3890" s="43"/>
      <c r="G3890" s="48">
        <f t="shared" si="90"/>
        <v>14792.661290322663</v>
      </c>
      <c r="H3890" s="391" t="s">
        <v>9568</v>
      </c>
    </row>
    <row r="3891" spans="1:8" x14ac:dyDescent="0.3">
      <c r="A3891" s="45">
        <v>44726</v>
      </c>
      <c r="B3891" s="399"/>
      <c r="C3891" s="5" t="s">
        <v>84</v>
      </c>
      <c r="D3891" s="5" t="s">
        <v>9308</v>
      </c>
      <c r="E3891" s="43">
        <v>5000</v>
      </c>
      <c r="F3891" s="43"/>
      <c r="G3891" s="48">
        <f t="shared" si="90"/>
        <v>9792.6612903226633</v>
      </c>
      <c r="H3891" s="391" t="s">
        <v>9568</v>
      </c>
    </row>
    <row r="3892" spans="1:8" x14ac:dyDescent="0.3">
      <c r="A3892" s="45">
        <v>44726</v>
      </c>
      <c r="B3892" s="399"/>
      <c r="C3892" s="5" t="s">
        <v>18</v>
      </c>
      <c r="D3892" s="5" t="s">
        <v>9309</v>
      </c>
      <c r="E3892" s="43">
        <v>2000</v>
      </c>
      <c r="F3892" s="43"/>
      <c r="G3892" s="48">
        <f t="shared" si="90"/>
        <v>7792.6612903226633</v>
      </c>
      <c r="H3892" s="391" t="s">
        <v>9568</v>
      </c>
    </row>
    <row r="3893" spans="1:8" x14ac:dyDescent="0.3">
      <c r="A3893" s="45">
        <v>44727</v>
      </c>
      <c r="B3893" s="399"/>
      <c r="C3893" s="5" t="s">
        <v>9313</v>
      </c>
      <c r="D3893" s="5" t="s">
        <v>9314</v>
      </c>
      <c r="E3893" s="43">
        <v>300</v>
      </c>
      <c r="F3893" s="43"/>
      <c r="G3893" s="48">
        <f t="shared" si="90"/>
        <v>7492.6612903226633</v>
      </c>
      <c r="H3893" s="391" t="s">
        <v>9568</v>
      </c>
    </row>
    <row r="3894" spans="1:8" x14ac:dyDescent="0.3">
      <c r="A3894" s="45">
        <v>44727</v>
      </c>
      <c r="B3894" s="399"/>
      <c r="C3894" s="5" t="s">
        <v>25</v>
      </c>
      <c r="D3894" s="5" t="s">
        <v>9249</v>
      </c>
      <c r="E3894" s="43">
        <v>6210</v>
      </c>
      <c r="F3894" s="43"/>
      <c r="G3894" s="48">
        <f t="shared" si="90"/>
        <v>1282.6612903226633</v>
      </c>
      <c r="H3894" s="391" t="s">
        <v>9568</v>
      </c>
    </row>
    <row r="3895" spans="1:8" x14ac:dyDescent="0.3">
      <c r="A3895" s="45">
        <v>44727</v>
      </c>
      <c r="B3895" s="580"/>
      <c r="C3895" s="554" t="s">
        <v>9311</v>
      </c>
      <c r="D3895" s="554"/>
      <c r="E3895" s="554"/>
      <c r="F3895" s="43">
        <v>323448</v>
      </c>
      <c r="G3895" s="48">
        <f t="shared" ref="G3895:G3896" si="93">G3894+F3895-E3895</f>
        <v>324730.66129032266</v>
      </c>
      <c r="H3895" s="391" t="s">
        <v>9568</v>
      </c>
    </row>
    <row r="3896" spans="1:8" x14ac:dyDescent="0.3">
      <c r="A3896" s="45">
        <v>44727</v>
      </c>
      <c r="B3896" s="399"/>
      <c r="C3896" s="5" t="s">
        <v>325</v>
      </c>
      <c r="D3896" s="5" t="s">
        <v>8053</v>
      </c>
      <c r="E3896" s="43">
        <v>10000</v>
      </c>
      <c r="F3896" s="43"/>
      <c r="G3896" s="48">
        <f t="shared" si="93"/>
        <v>314730.66129032266</v>
      </c>
      <c r="H3896" s="391" t="s">
        <v>9568</v>
      </c>
    </row>
    <row r="3897" spans="1:8" x14ac:dyDescent="0.3">
      <c r="A3897" s="45">
        <v>44727</v>
      </c>
      <c r="B3897" s="399"/>
      <c r="C3897" s="5" t="s">
        <v>6430</v>
      </c>
      <c r="D3897" s="5" t="s">
        <v>9315</v>
      </c>
      <c r="E3897" s="43">
        <v>1320</v>
      </c>
      <c r="F3897" s="43"/>
      <c r="G3897" s="48">
        <f t="shared" si="90"/>
        <v>313410.66129032266</v>
      </c>
      <c r="H3897" s="391" t="s">
        <v>9568</v>
      </c>
    </row>
    <row r="3898" spans="1:8" x14ac:dyDescent="0.3">
      <c r="A3898" s="45">
        <v>44727</v>
      </c>
      <c r="B3898" s="399"/>
      <c r="C3898" s="5" t="s">
        <v>6430</v>
      </c>
      <c r="D3898" s="5" t="s">
        <v>5813</v>
      </c>
      <c r="E3898" s="43">
        <v>680</v>
      </c>
      <c r="F3898" s="43"/>
      <c r="G3898" s="48">
        <f t="shared" si="90"/>
        <v>312730.66129032266</v>
      </c>
      <c r="H3898" s="391" t="s">
        <v>9568</v>
      </c>
    </row>
    <row r="3899" spans="1:8" x14ac:dyDescent="0.3">
      <c r="A3899" s="45">
        <v>44727</v>
      </c>
      <c r="B3899" s="399"/>
      <c r="C3899" s="5" t="s">
        <v>25</v>
      </c>
      <c r="D3899" s="5" t="s">
        <v>4400</v>
      </c>
      <c r="E3899" s="43">
        <v>2500</v>
      </c>
      <c r="F3899" s="43"/>
      <c r="G3899" s="48">
        <f t="shared" si="90"/>
        <v>310230.66129032266</v>
      </c>
      <c r="H3899" s="391" t="s">
        <v>9568</v>
      </c>
    </row>
    <row r="3900" spans="1:8" x14ac:dyDescent="0.3">
      <c r="A3900" s="45">
        <v>44727</v>
      </c>
      <c r="B3900" s="399"/>
      <c r="C3900" s="5" t="s">
        <v>84</v>
      </c>
      <c r="D3900" s="5" t="s">
        <v>9316</v>
      </c>
      <c r="E3900" s="43">
        <v>15000</v>
      </c>
      <c r="F3900" s="43"/>
      <c r="G3900" s="48">
        <f t="shared" si="90"/>
        <v>295230.66129032266</v>
      </c>
      <c r="H3900" s="391" t="s">
        <v>9568</v>
      </c>
    </row>
    <row r="3901" spans="1:8" x14ac:dyDescent="0.3">
      <c r="A3901" s="45">
        <v>44727</v>
      </c>
      <c r="B3901" s="399"/>
      <c r="C3901" s="5" t="s">
        <v>84</v>
      </c>
      <c r="D3901" s="5" t="s">
        <v>9317</v>
      </c>
      <c r="E3901" s="43">
        <v>2000</v>
      </c>
      <c r="F3901" s="43"/>
      <c r="G3901" s="48">
        <f t="shared" si="90"/>
        <v>293230.66129032266</v>
      </c>
      <c r="H3901" s="391" t="s">
        <v>9568</v>
      </c>
    </row>
    <row r="3902" spans="1:8" x14ac:dyDescent="0.3">
      <c r="A3902" s="45">
        <v>44727</v>
      </c>
      <c r="B3902" s="399"/>
      <c r="C3902" s="5" t="s">
        <v>84</v>
      </c>
      <c r="D3902" s="5" t="s">
        <v>9318</v>
      </c>
      <c r="E3902" s="43">
        <v>2000</v>
      </c>
      <c r="F3902" s="43"/>
      <c r="G3902" s="48">
        <f t="shared" si="90"/>
        <v>291230.66129032266</v>
      </c>
      <c r="H3902" s="391" t="s">
        <v>9568</v>
      </c>
    </row>
    <row r="3903" spans="1:8" x14ac:dyDescent="0.3">
      <c r="A3903" s="45">
        <v>44727</v>
      </c>
      <c r="B3903" s="399"/>
      <c r="C3903" s="5" t="s">
        <v>14</v>
      </c>
      <c r="D3903" s="5" t="s">
        <v>294</v>
      </c>
      <c r="E3903" s="43">
        <v>10000</v>
      </c>
      <c r="F3903" s="43"/>
      <c r="G3903" s="48">
        <f t="shared" si="90"/>
        <v>281230.66129032266</v>
      </c>
      <c r="H3903" s="391" t="s">
        <v>9568</v>
      </c>
    </row>
    <row r="3904" spans="1:8" x14ac:dyDescent="0.3">
      <c r="A3904" s="45">
        <v>44727</v>
      </c>
      <c r="B3904" s="399"/>
      <c r="C3904" s="5" t="s">
        <v>107</v>
      </c>
      <c r="D3904" s="5" t="s">
        <v>9319</v>
      </c>
      <c r="E3904" s="43">
        <v>1000</v>
      </c>
      <c r="F3904" s="43"/>
      <c r="G3904" s="48">
        <f t="shared" si="90"/>
        <v>280230.66129032266</v>
      </c>
      <c r="H3904" s="391" t="s">
        <v>9568</v>
      </c>
    </row>
    <row r="3905" spans="1:8" x14ac:dyDescent="0.3">
      <c r="A3905" s="45">
        <v>44728</v>
      </c>
      <c r="B3905" s="399"/>
      <c r="C3905" s="5" t="s">
        <v>5938</v>
      </c>
      <c r="D3905" s="5" t="s">
        <v>9320</v>
      </c>
      <c r="E3905" s="43">
        <v>40000</v>
      </c>
      <c r="F3905" s="43"/>
      <c r="G3905" s="48">
        <f t="shared" si="90"/>
        <v>240230.66129032266</v>
      </c>
      <c r="H3905" s="391" t="s">
        <v>9568</v>
      </c>
    </row>
    <row r="3906" spans="1:8" x14ac:dyDescent="0.3">
      <c r="A3906" s="45">
        <v>44728</v>
      </c>
      <c r="B3906" s="399"/>
      <c r="C3906" s="5" t="s">
        <v>4550</v>
      </c>
      <c r="D3906" s="5" t="s">
        <v>9327</v>
      </c>
      <c r="E3906" s="43">
        <v>10000</v>
      </c>
      <c r="F3906" s="43"/>
      <c r="G3906" s="48">
        <f t="shared" si="90"/>
        <v>230230.66129032266</v>
      </c>
      <c r="H3906" s="391" t="s">
        <v>9568</v>
      </c>
    </row>
    <row r="3907" spans="1:8" x14ac:dyDescent="0.3">
      <c r="A3907" s="45">
        <v>44728</v>
      </c>
      <c r="B3907" s="399"/>
      <c r="C3907" s="5" t="s">
        <v>9328</v>
      </c>
      <c r="D3907" s="5" t="s">
        <v>9329</v>
      </c>
      <c r="E3907" s="43">
        <v>40000</v>
      </c>
      <c r="F3907" s="43"/>
      <c r="G3907" s="48">
        <f t="shared" ref="G3907:G3977" si="94">G3906+F3907-E3907</f>
        <v>190230.66129032266</v>
      </c>
      <c r="H3907" s="391" t="s">
        <v>9568</v>
      </c>
    </row>
    <row r="3908" spans="1:8" x14ac:dyDescent="0.3">
      <c r="A3908" s="45">
        <v>44728</v>
      </c>
      <c r="B3908" s="399"/>
      <c r="C3908" s="5" t="s">
        <v>9313</v>
      </c>
      <c r="D3908" s="5" t="s">
        <v>9330</v>
      </c>
      <c r="E3908" s="43">
        <v>1000</v>
      </c>
      <c r="F3908" s="43"/>
      <c r="G3908" s="48">
        <f t="shared" si="94"/>
        <v>189230.66129032266</v>
      </c>
      <c r="H3908" s="391" t="s">
        <v>9568</v>
      </c>
    </row>
    <row r="3909" spans="1:8" x14ac:dyDescent="0.3">
      <c r="A3909" s="45">
        <v>44729</v>
      </c>
      <c r="B3909" s="399"/>
      <c r="C3909" s="5" t="s">
        <v>4550</v>
      </c>
      <c r="D3909" s="5" t="s">
        <v>9327</v>
      </c>
      <c r="E3909" s="43">
        <v>10000</v>
      </c>
      <c r="F3909" s="43"/>
      <c r="G3909" s="48">
        <f t="shared" si="94"/>
        <v>179230.66129032266</v>
      </c>
      <c r="H3909" s="391" t="s">
        <v>9568</v>
      </c>
    </row>
    <row r="3910" spans="1:8" x14ac:dyDescent="0.3">
      <c r="A3910" s="45">
        <v>44729</v>
      </c>
      <c r="B3910" s="399"/>
      <c r="C3910" s="5" t="s">
        <v>9126</v>
      </c>
      <c r="D3910" s="5" t="s">
        <v>9275</v>
      </c>
      <c r="E3910" s="43">
        <v>5000</v>
      </c>
      <c r="F3910" s="43"/>
      <c r="G3910" s="48">
        <f t="shared" si="94"/>
        <v>174230.66129032266</v>
      </c>
      <c r="H3910" s="391" t="s">
        <v>9568</v>
      </c>
    </row>
    <row r="3911" spans="1:8" x14ac:dyDescent="0.3">
      <c r="A3911" s="45">
        <v>44729</v>
      </c>
      <c r="B3911" s="399"/>
      <c r="C3911" s="5" t="s">
        <v>25</v>
      </c>
      <c r="D3911" s="5" t="s">
        <v>9302</v>
      </c>
      <c r="E3911" s="43">
        <v>5090</v>
      </c>
      <c r="F3911" s="43"/>
      <c r="G3911" s="48">
        <f t="shared" si="94"/>
        <v>169140.66129032266</v>
      </c>
      <c r="H3911" s="391" t="s">
        <v>9568</v>
      </c>
    </row>
    <row r="3912" spans="1:8" x14ac:dyDescent="0.3">
      <c r="A3912" s="45">
        <v>44730</v>
      </c>
      <c r="B3912" s="399"/>
      <c r="C3912" s="5" t="s">
        <v>9313</v>
      </c>
      <c r="D3912" s="5" t="s">
        <v>9330</v>
      </c>
      <c r="E3912" s="43">
        <v>6000</v>
      </c>
      <c r="F3912" s="43"/>
      <c r="G3912" s="48">
        <f t="shared" si="94"/>
        <v>163140.66129032266</v>
      </c>
      <c r="H3912" s="391" t="s">
        <v>9568</v>
      </c>
    </row>
    <row r="3913" spans="1:8" x14ac:dyDescent="0.3">
      <c r="A3913" s="45">
        <v>44730</v>
      </c>
      <c r="B3913" s="399"/>
      <c r="C3913" s="5" t="s">
        <v>9331</v>
      </c>
      <c r="D3913" s="5" t="s">
        <v>9332</v>
      </c>
      <c r="E3913" s="43">
        <v>24000</v>
      </c>
      <c r="F3913" s="43"/>
      <c r="G3913" s="48">
        <f t="shared" si="94"/>
        <v>139140.66129032266</v>
      </c>
      <c r="H3913" s="391" t="s">
        <v>9568</v>
      </c>
    </row>
    <row r="3914" spans="1:8" x14ac:dyDescent="0.3">
      <c r="A3914" s="45">
        <v>44730</v>
      </c>
      <c r="B3914" s="399"/>
      <c r="C3914" s="5" t="s">
        <v>4989</v>
      </c>
      <c r="D3914" s="5" t="s">
        <v>9333</v>
      </c>
      <c r="E3914" s="43">
        <v>2000</v>
      </c>
      <c r="F3914" s="43"/>
      <c r="G3914" s="48">
        <f t="shared" si="94"/>
        <v>137140.66129032266</v>
      </c>
      <c r="H3914" s="391" t="s">
        <v>9568</v>
      </c>
    </row>
    <row r="3915" spans="1:8" x14ac:dyDescent="0.3">
      <c r="A3915" s="45">
        <v>44730</v>
      </c>
      <c r="B3915" s="399"/>
      <c r="C3915" s="5" t="s">
        <v>84</v>
      </c>
      <c r="D3915" s="5" t="s">
        <v>9334</v>
      </c>
      <c r="E3915" s="43">
        <v>10000</v>
      </c>
      <c r="F3915" s="43"/>
      <c r="G3915" s="48">
        <f t="shared" si="94"/>
        <v>127140.66129032266</v>
      </c>
      <c r="H3915" s="391" t="s">
        <v>9568</v>
      </c>
    </row>
    <row r="3916" spans="1:8" x14ac:dyDescent="0.3">
      <c r="A3916" s="45">
        <v>44730</v>
      </c>
      <c r="B3916" s="399"/>
      <c r="C3916" s="5" t="s">
        <v>84</v>
      </c>
      <c r="D3916" s="5" t="s">
        <v>9335</v>
      </c>
      <c r="E3916" s="43">
        <v>5000</v>
      </c>
      <c r="F3916" s="43"/>
      <c r="G3916" s="48">
        <f t="shared" si="94"/>
        <v>122140.66129032266</v>
      </c>
      <c r="H3916" s="391" t="s">
        <v>9568</v>
      </c>
    </row>
    <row r="3917" spans="1:8" x14ac:dyDescent="0.3">
      <c r="A3917" s="45">
        <v>44732</v>
      </c>
      <c r="B3917" s="399"/>
      <c r="C3917" s="5" t="s">
        <v>1074</v>
      </c>
      <c r="D3917" s="5" t="s">
        <v>9336</v>
      </c>
      <c r="E3917" s="43">
        <v>56781</v>
      </c>
      <c r="F3917" s="43"/>
      <c r="G3917" s="48">
        <f t="shared" si="94"/>
        <v>65359.661290322663</v>
      </c>
      <c r="H3917" s="391" t="s">
        <v>9568</v>
      </c>
    </row>
    <row r="3918" spans="1:8" x14ac:dyDescent="0.3">
      <c r="A3918" s="45">
        <v>44732</v>
      </c>
      <c r="B3918" s="399"/>
      <c r="C3918" s="5" t="s">
        <v>1074</v>
      </c>
      <c r="D3918" s="5" t="s">
        <v>9337</v>
      </c>
      <c r="E3918" s="43">
        <v>17537</v>
      </c>
      <c r="F3918" s="43"/>
      <c r="G3918" s="48">
        <f t="shared" si="94"/>
        <v>47822.661290322663</v>
      </c>
      <c r="H3918" s="391" t="s">
        <v>9568</v>
      </c>
    </row>
    <row r="3919" spans="1:8" x14ac:dyDescent="0.3">
      <c r="A3919" s="45">
        <v>44732</v>
      </c>
      <c r="B3919" s="399"/>
      <c r="C3919" s="5" t="s">
        <v>9313</v>
      </c>
      <c r="D3919" s="5" t="s">
        <v>7605</v>
      </c>
      <c r="E3919" s="43">
        <v>660</v>
      </c>
      <c r="F3919" s="43"/>
      <c r="G3919" s="48">
        <f t="shared" si="94"/>
        <v>47162.661290322663</v>
      </c>
      <c r="H3919" s="391" t="s">
        <v>9568</v>
      </c>
    </row>
    <row r="3920" spans="1:8" x14ac:dyDescent="0.3">
      <c r="A3920" s="45">
        <v>44732</v>
      </c>
      <c r="B3920" s="399"/>
      <c r="C3920" s="5" t="s">
        <v>14</v>
      </c>
      <c r="D3920" s="5" t="s">
        <v>294</v>
      </c>
      <c r="E3920" s="43">
        <v>5000</v>
      </c>
      <c r="F3920" s="43"/>
      <c r="G3920" s="48">
        <f t="shared" si="94"/>
        <v>42162.661290322663</v>
      </c>
      <c r="H3920" s="391" t="s">
        <v>9568</v>
      </c>
    </row>
    <row r="3921" spans="1:8" x14ac:dyDescent="0.3">
      <c r="A3921" s="45">
        <v>44732</v>
      </c>
      <c r="B3921" s="399"/>
      <c r="C3921" s="5" t="s">
        <v>5156</v>
      </c>
      <c r="D3921" s="5" t="s">
        <v>9241</v>
      </c>
      <c r="E3921" s="43">
        <v>1700</v>
      </c>
      <c r="F3921" s="43"/>
      <c r="G3921" s="48">
        <f t="shared" si="94"/>
        <v>40462.661290322663</v>
      </c>
      <c r="H3921" s="391" t="s">
        <v>9568</v>
      </c>
    </row>
    <row r="3922" spans="1:8" x14ac:dyDescent="0.3">
      <c r="A3922" s="45">
        <v>44733</v>
      </c>
      <c r="B3922" s="399"/>
      <c r="C3922" s="5" t="s">
        <v>84</v>
      </c>
      <c r="D3922" s="5" t="s">
        <v>9345</v>
      </c>
      <c r="E3922" s="43">
        <v>8500</v>
      </c>
      <c r="F3922" s="43"/>
      <c r="G3922" s="48">
        <f t="shared" si="94"/>
        <v>31962.661290322663</v>
      </c>
      <c r="H3922" s="391" t="s">
        <v>9568</v>
      </c>
    </row>
    <row r="3923" spans="1:8" x14ac:dyDescent="0.3">
      <c r="A3923" s="45">
        <v>44733</v>
      </c>
      <c r="B3923" s="399"/>
      <c r="C3923" s="5" t="s">
        <v>6430</v>
      </c>
      <c r="D3923" s="5" t="s">
        <v>2128</v>
      </c>
      <c r="E3923" s="43">
        <v>1500</v>
      </c>
      <c r="F3923" s="43"/>
      <c r="G3923" s="48">
        <f t="shared" si="94"/>
        <v>30462.661290322663</v>
      </c>
      <c r="H3923" s="391" t="s">
        <v>9568</v>
      </c>
    </row>
    <row r="3924" spans="1:8" x14ac:dyDescent="0.3">
      <c r="A3924" s="45">
        <v>44733</v>
      </c>
      <c r="B3924" s="399"/>
      <c r="C3924" s="5" t="s">
        <v>541</v>
      </c>
      <c r="D3924" s="5" t="s">
        <v>9346</v>
      </c>
      <c r="E3924" s="43">
        <v>860</v>
      </c>
      <c r="F3924" s="43"/>
      <c r="G3924" s="48">
        <f t="shared" si="94"/>
        <v>29602.661290322663</v>
      </c>
      <c r="H3924" s="391" t="s">
        <v>9568</v>
      </c>
    </row>
    <row r="3925" spans="1:8" x14ac:dyDescent="0.3">
      <c r="A3925" s="45">
        <v>44733</v>
      </c>
      <c r="B3925" s="399"/>
      <c r="C3925" s="5" t="s">
        <v>84</v>
      </c>
      <c r="D3925" s="5" t="s">
        <v>9347</v>
      </c>
      <c r="E3925" s="43">
        <v>5000</v>
      </c>
      <c r="F3925" s="43"/>
      <c r="G3925" s="48">
        <f t="shared" si="94"/>
        <v>24602.661290322663</v>
      </c>
      <c r="H3925" s="391" t="s">
        <v>9568</v>
      </c>
    </row>
    <row r="3926" spans="1:8" x14ac:dyDescent="0.3">
      <c r="A3926" s="45">
        <v>44733</v>
      </c>
      <c r="B3926" s="399"/>
      <c r="C3926" s="5" t="s">
        <v>84</v>
      </c>
      <c r="D3926" s="5" t="s">
        <v>9348</v>
      </c>
      <c r="E3926" s="43">
        <v>10000</v>
      </c>
      <c r="F3926" s="43"/>
      <c r="G3926" s="48">
        <f t="shared" si="94"/>
        <v>14602.661290322663</v>
      </c>
      <c r="H3926" s="391" t="s">
        <v>9568</v>
      </c>
    </row>
    <row r="3927" spans="1:8" x14ac:dyDescent="0.3">
      <c r="A3927" s="45">
        <v>44733</v>
      </c>
      <c r="B3927" s="399"/>
      <c r="C3927" s="5" t="s">
        <v>84</v>
      </c>
      <c r="D3927" s="5" t="s">
        <v>9349</v>
      </c>
      <c r="E3927" s="43">
        <v>2000</v>
      </c>
      <c r="F3927" s="43"/>
      <c r="G3927" s="48">
        <f t="shared" si="94"/>
        <v>12602.661290322663</v>
      </c>
      <c r="H3927" s="391" t="s">
        <v>9568</v>
      </c>
    </row>
    <row r="3928" spans="1:8" x14ac:dyDescent="0.3">
      <c r="A3928" s="45">
        <v>44734</v>
      </c>
      <c r="B3928" s="399"/>
      <c r="C3928" s="5" t="s">
        <v>6430</v>
      </c>
      <c r="D3928" s="5" t="s">
        <v>3143</v>
      </c>
      <c r="E3928" s="43">
        <v>3000</v>
      </c>
      <c r="F3928" s="43"/>
      <c r="G3928" s="48">
        <f t="shared" si="94"/>
        <v>9602.6612903226633</v>
      </c>
      <c r="H3928" s="391" t="s">
        <v>9568</v>
      </c>
    </row>
    <row r="3929" spans="1:8" x14ac:dyDescent="0.3">
      <c r="A3929" s="45">
        <v>44734</v>
      </c>
      <c r="B3929" s="399"/>
      <c r="C3929" s="5" t="s">
        <v>84</v>
      </c>
      <c r="D3929" s="5" t="s">
        <v>9350</v>
      </c>
      <c r="E3929" s="43">
        <v>1000</v>
      </c>
      <c r="F3929" s="43"/>
      <c r="G3929" s="48">
        <f t="shared" si="94"/>
        <v>8602.6612903226633</v>
      </c>
      <c r="H3929" s="391" t="s">
        <v>9568</v>
      </c>
    </row>
    <row r="3930" spans="1:8" x14ac:dyDescent="0.3">
      <c r="A3930" s="45">
        <v>44735</v>
      </c>
      <c r="B3930" s="399"/>
      <c r="C3930" s="5" t="s">
        <v>25</v>
      </c>
      <c r="D3930" s="5" t="s">
        <v>9249</v>
      </c>
      <c r="E3930" s="43">
        <v>6670</v>
      </c>
      <c r="F3930" s="43"/>
      <c r="G3930" s="48">
        <f t="shared" si="94"/>
        <v>1932.6612903226633</v>
      </c>
      <c r="H3930" s="391" t="s">
        <v>9568</v>
      </c>
    </row>
    <row r="3931" spans="1:8" x14ac:dyDescent="0.3">
      <c r="A3931" s="45">
        <v>44736</v>
      </c>
      <c r="B3931" s="580"/>
      <c r="C3931" s="554" t="s">
        <v>7440</v>
      </c>
      <c r="D3931" s="554"/>
      <c r="E3931" s="554"/>
      <c r="F3931" s="43">
        <v>35000</v>
      </c>
      <c r="G3931" s="48">
        <f t="shared" si="94"/>
        <v>36932.661290322663</v>
      </c>
      <c r="H3931" s="391" t="s">
        <v>9568</v>
      </c>
    </row>
    <row r="3932" spans="1:8" x14ac:dyDescent="0.3">
      <c r="A3932" s="45">
        <v>44736</v>
      </c>
      <c r="B3932" s="399"/>
      <c r="C3932" s="5" t="s">
        <v>84</v>
      </c>
      <c r="D3932" s="5" t="s">
        <v>9357</v>
      </c>
      <c r="E3932" s="43">
        <v>10000</v>
      </c>
      <c r="F3932" s="43"/>
      <c r="G3932" s="48">
        <f t="shared" si="94"/>
        <v>26932.661290322663</v>
      </c>
      <c r="H3932" s="391" t="s">
        <v>9568</v>
      </c>
    </row>
    <row r="3933" spans="1:8" x14ac:dyDescent="0.3">
      <c r="A3933" s="45">
        <v>44736</v>
      </c>
      <c r="B3933" s="399"/>
      <c r="C3933" s="5" t="s">
        <v>84</v>
      </c>
      <c r="D3933" s="5" t="s">
        <v>9358</v>
      </c>
      <c r="E3933" s="43">
        <v>2000</v>
      </c>
      <c r="F3933" s="43"/>
      <c r="G3933" s="48">
        <f t="shared" si="94"/>
        <v>24932.661290322663</v>
      </c>
      <c r="H3933" s="391" t="s">
        <v>9568</v>
      </c>
    </row>
    <row r="3934" spans="1:8" x14ac:dyDescent="0.3">
      <c r="A3934" s="45">
        <v>44736</v>
      </c>
      <c r="B3934" s="399"/>
      <c r="C3934" s="5" t="s">
        <v>4989</v>
      </c>
      <c r="D3934" s="5" t="s">
        <v>9359</v>
      </c>
      <c r="E3934" s="43">
        <v>3000</v>
      </c>
      <c r="F3934" s="43"/>
      <c r="G3934" s="48">
        <f t="shared" si="94"/>
        <v>21932.661290322663</v>
      </c>
      <c r="H3934" s="391" t="s">
        <v>9568</v>
      </c>
    </row>
    <row r="3935" spans="1:8" x14ac:dyDescent="0.3">
      <c r="A3935" s="45">
        <v>44736</v>
      </c>
      <c r="B3935" s="580"/>
      <c r="C3935" s="554" t="s">
        <v>3444</v>
      </c>
      <c r="D3935" s="554"/>
      <c r="E3935" s="554"/>
      <c r="F3935" s="43">
        <v>100000</v>
      </c>
      <c r="G3935" s="48">
        <f t="shared" si="94"/>
        <v>121932.66129032266</v>
      </c>
      <c r="H3935" s="391" t="s">
        <v>9568</v>
      </c>
    </row>
    <row r="3936" spans="1:8" x14ac:dyDescent="0.3">
      <c r="A3936" s="45">
        <v>44736</v>
      </c>
      <c r="B3936" s="399"/>
      <c r="C3936" s="5" t="s">
        <v>9360</v>
      </c>
      <c r="D3936" s="5" t="s">
        <v>9363</v>
      </c>
      <c r="E3936" s="43">
        <v>22000</v>
      </c>
      <c r="F3936" s="43"/>
      <c r="G3936" s="48">
        <f t="shared" si="94"/>
        <v>99932.661290322663</v>
      </c>
      <c r="H3936" s="391" t="s">
        <v>9568</v>
      </c>
    </row>
    <row r="3937" spans="1:8" x14ac:dyDescent="0.3">
      <c r="A3937" s="45">
        <v>44736</v>
      </c>
      <c r="B3937" s="399"/>
      <c r="C3937" s="5" t="s">
        <v>14</v>
      </c>
      <c r="D3937" s="5" t="s">
        <v>9361</v>
      </c>
      <c r="E3937" s="43">
        <v>50000</v>
      </c>
      <c r="F3937" s="43"/>
      <c r="G3937" s="48">
        <f t="shared" si="94"/>
        <v>49932.661290322663</v>
      </c>
      <c r="H3937" s="391" t="s">
        <v>9568</v>
      </c>
    </row>
    <row r="3938" spans="1:8" x14ac:dyDescent="0.3">
      <c r="A3938" s="45">
        <v>44736</v>
      </c>
      <c r="B3938" s="399"/>
      <c r="C3938" s="5" t="s">
        <v>5162</v>
      </c>
      <c r="D3938" s="5" t="s">
        <v>9362</v>
      </c>
      <c r="E3938" s="43">
        <v>850</v>
      </c>
      <c r="F3938" s="43"/>
      <c r="G3938" s="48">
        <f t="shared" si="94"/>
        <v>49082.661290322663</v>
      </c>
      <c r="H3938" s="391" t="s">
        <v>9568</v>
      </c>
    </row>
    <row r="3939" spans="1:8" x14ac:dyDescent="0.3">
      <c r="A3939" s="45">
        <v>44736</v>
      </c>
      <c r="B3939" s="399"/>
      <c r="C3939" s="5" t="s">
        <v>2995</v>
      </c>
      <c r="D3939" s="5" t="s">
        <v>9364</v>
      </c>
      <c r="E3939" s="43">
        <v>30000</v>
      </c>
      <c r="F3939" s="43"/>
      <c r="G3939" s="48">
        <f t="shared" si="94"/>
        <v>19082.661290322663</v>
      </c>
      <c r="H3939" s="391" t="s">
        <v>9568</v>
      </c>
    </row>
    <row r="3940" spans="1:8" x14ac:dyDescent="0.3">
      <c r="A3940" s="45">
        <v>44736</v>
      </c>
      <c r="B3940" s="399"/>
      <c r="C3940" s="5" t="s">
        <v>63</v>
      </c>
      <c r="D3940" s="5" t="s">
        <v>9365</v>
      </c>
      <c r="E3940" s="43">
        <v>4300</v>
      </c>
      <c r="F3940" s="43"/>
      <c r="G3940" s="48">
        <f t="shared" si="94"/>
        <v>14782.661290322663</v>
      </c>
      <c r="H3940" s="391" t="s">
        <v>9568</v>
      </c>
    </row>
    <row r="3941" spans="1:8" x14ac:dyDescent="0.3">
      <c r="A3941" s="45">
        <v>44736</v>
      </c>
      <c r="B3941" s="399"/>
      <c r="C3941" s="5" t="s">
        <v>5156</v>
      </c>
      <c r="D3941" s="73" t="s">
        <v>693</v>
      </c>
      <c r="E3941" s="183">
        <v>1660</v>
      </c>
      <c r="F3941" s="43"/>
      <c r="G3941" s="48">
        <f t="shared" si="94"/>
        <v>13122.661290322663</v>
      </c>
      <c r="H3941" s="391" t="s">
        <v>9568</v>
      </c>
    </row>
    <row r="3942" spans="1:8" x14ac:dyDescent="0.3">
      <c r="A3942" s="45">
        <v>44736</v>
      </c>
      <c r="B3942" s="399"/>
      <c r="C3942" s="5" t="s">
        <v>247</v>
      </c>
      <c r="D3942" s="5" t="s">
        <v>9366</v>
      </c>
      <c r="E3942" s="43">
        <v>550</v>
      </c>
      <c r="F3942" s="43"/>
      <c r="G3942" s="48">
        <f t="shared" si="94"/>
        <v>12572.661290322663</v>
      </c>
      <c r="H3942" s="391" t="s">
        <v>9568</v>
      </c>
    </row>
    <row r="3943" spans="1:8" x14ac:dyDescent="0.3">
      <c r="A3943" s="45">
        <v>44737</v>
      </c>
      <c r="B3943" s="399"/>
      <c r="C3943" s="5" t="s">
        <v>6931</v>
      </c>
      <c r="D3943" s="5" t="s">
        <v>9367</v>
      </c>
      <c r="E3943" s="43">
        <v>3000</v>
      </c>
      <c r="F3943" s="43"/>
      <c r="G3943" s="48">
        <f t="shared" si="94"/>
        <v>9572.6612903226633</v>
      </c>
      <c r="H3943" s="391" t="s">
        <v>9568</v>
      </c>
    </row>
    <row r="3944" spans="1:8" x14ac:dyDescent="0.3">
      <c r="A3944" s="45">
        <v>44737</v>
      </c>
      <c r="B3944" s="580"/>
      <c r="C3944" s="554" t="s">
        <v>7440</v>
      </c>
      <c r="D3944" s="554"/>
      <c r="E3944" s="554"/>
      <c r="F3944" s="43">
        <v>200000</v>
      </c>
      <c r="G3944" s="48">
        <f t="shared" ref="G3944" si="95">G3943+F3944-E3944</f>
        <v>209572.66129032266</v>
      </c>
      <c r="H3944" s="391" t="s">
        <v>9568</v>
      </c>
    </row>
    <row r="3945" spans="1:8" x14ac:dyDescent="0.3">
      <c r="A3945" s="45">
        <v>44737</v>
      </c>
      <c r="B3945" s="399"/>
      <c r="C3945" s="5" t="s">
        <v>25</v>
      </c>
      <c r="D3945" s="5" t="s">
        <v>9370</v>
      </c>
      <c r="E3945" s="43">
        <v>6410</v>
      </c>
      <c r="F3945" s="43"/>
      <c r="G3945" s="48">
        <f t="shared" si="94"/>
        <v>203162.66129032266</v>
      </c>
      <c r="H3945" s="391" t="s">
        <v>9568</v>
      </c>
    </row>
    <row r="3946" spans="1:8" x14ac:dyDescent="0.3">
      <c r="A3946" s="45">
        <v>44737</v>
      </c>
      <c r="B3946" s="399"/>
      <c r="C3946" s="5" t="s">
        <v>5156</v>
      </c>
      <c r="D3946" s="5" t="s">
        <v>9241</v>
      </c>
      <c r="E3946" s="43">
        <v>1040</v>
      </c>
      <c r="F3946" s="43"/>
      <c r="G3946" s="48">
        <f t="shared" si="94"/>
        <v>202122.66129032266</v>
      </c>
      <c r="H3946" s="391" t="s">
        <v>9568</v>
      </c>
    </row>
    <row r="3947" spans="1:8" x14ac:dyDescent="0.3">
      <c r="A3947" s="45">
        <v>44739</v>
      </c>
      <c r="B3947" s="399"/>
      <c r="C3947" s="5" t="s">
        <v>14</v>
      </c>
      <c r="D3947" s="5" t="s">
        <v>294</v>
      </c>
      <c r="E3947" s="43">
        <v>25000</v>
      </c>
      <c r="F3947" s="43"/>
      <c r="G3947" s="48">
        <f t="shared" si="94"/>
        <v>177122.66129032266</v>
      </c>
      <c r="H3947" s="391" t="s">
        <v>9568</v>
      </c>
    </row>
    <row r="3948" spans="1:8" x14ac:dyDescent="0.3">
      <c r="A3948" s="45">
        <v>44739</v>
      </c>
      <c r="B3948" s="399"/>
      <c r="C3948" s="5" t="s">
        <v>541</v>
      </c>
      <c r="D3948" s="5" t="s">
        <v>640</v>
      </c>
      <c r="E3948" s="43">
        <v>5000</v>
      </c>
      <c r="F3948" s="43"/>
      <c r="G3948" s="48">
        <f t="shared" si="94"/>
        <v>172122.66129032266</v>
      </c>
      <c r="H3948" s="391" t="s">
        <v>9568</v>
      </c>
    </row>
    <row r="3949" spans="1:8" x14ac:dyDescent="0.3">
      <c r="A3949" s="45">
        <v>44739</v>
      </c>
      <c r="B3949" s="399"/>
      <c r="C3949" s="5" t="s">
        <v>1787</v>
      </c>
      <c r="D3949" s="5" t="s">
        <v>9371</v>
      </c>
      <c r="E3949" s="43">
        <v>600</v>
      </c>
      <c r="F3949" s="43"/>
      <c r="G3949" s="48">
        <f t="shared" si="94"/>
        <v>171522.66129032266</v>
      </c>
      <c r="H3949" s="391" t="s">
        <v>9568</v>
      </c>
    </row>
    <row r="3950" spans="1:8" x14ac:dyDescent="0.3">
      <c r="A3950" s="45">
        <v>44739</v>
      </c>
      <c r="B3950" s="399"/>
      <c r="C3950" s="5" t="s">
        <v>6430</v>
      </c>
      <c r="D3950" s="5" t="s">
        <v>9372</v>
      </c>
      <c r="E3950" s="43">
        <v>3000</v>
      </c>
      <c r="F3950" s="43"/>
      <c r="G3950" s="48">
        <f t="shared" si="94"/>
        <v>168522.66129032266</v>
      </c>
      <c r="H3950" s="391" t="s">
        <v>9568</v>
      </c>
    </row>
    <row r="3951" spans="1:8" x14ac:dyDescent="0.3">
      <c r="A3951" s="45">
        <v>44739</v>
      </c>
      <c r="B3951" s="399"/>
      <c r="C3951" s="5" t="s">
        <v>6430</v>
      </c>
      <c r="D3951" s="5" t="s">
        <v>9373</v>
      </c>
      <c r="E3951" s="43">
        <v>1660</v>
      </c>
      <c r="F3951" s="43"/>
      <c r="G3951" s="48">
        <f t="shared" si="94"/>
        <v>166862.66129032266</v>
      </c>
      <c r="H3951" s="391" t="s">
        <v>9568</v>
      </c>
    </row>
    <row r="3952" spans="1:8" x14ac:dyDescent="0.3">
      <c r="A3952" s="45">
        <v>44739</v>
      </c>
      <c r="B3952" s="399"/>
      <c r="C3952" s="5" t="s">
        <v>5709</v>
      </c>
      <c r="D3952" s="5" t="s">
        <v>3557</v>
      </c>
      <c r="E3952" s="43">
        <v>19000</v>
      </c>
      <c r="F3952" s="43"/>
      <c r="G3952" s="365">
        <f t="shared" si="94"/>
        <v>147862.66129032266</v>
      </c>
      <c r="H3952" s="391" t="s">
        <v>9568</v>
      </c>
    </row>
    <row r="3953" spans="1:8" x14ac:dyDescent="0.3">
      <c r="A3953" s="45">
        <v>44739</v>
      </c>
      <c r="B3953" s="399"/>
      <c r="C3953" s="5" t="s">
        <v>5709</v>
      </c>
      <c r="D3953" s="5" t="s">
        <v>9374</v>
      </c>
      <c r="E3953" s="43">
        <v>5150</v>
      </c>
      <c r="F3953" s="43"/>
      <c r="G3953" s="364">
        <f t="shared" si="94"/>
        <v>142712.66129032266</v>
      </c>
      <c r="H3953" s="391" t="s">
        <v>9568</v>
      </c>
    </row>
    <row r="3954" spans="1:8" x14ac:dyDescent="0.3">
      <c r="A3954" s="45">
        <v>44739</v>
      </c>
      <c r="B3954" s="399"/>
      <c r="C3954" s="5" t="s">
        <v>4989</v>
      </c>
      <c r="D3954" s="5" t="s">
        <v>9375</v>
      </c>
      <c r="E3954" s="43">
        <v>25000</v>
      </c>
      <c r="F3954" s="43"/>
      <c r="G3954" s="364">
        <f t="shared" si="94"/>
        <v>117712.66129032266</v>
      </c>
      <c r="H3954" s="391" t="s">
        <v>9568</v>
      </c>
    </row>
    <row r="3955" spans="1:8" x14ac:dyDescent="0.3">
      <c r="A3955" s="45">
        <v>44739</v>
      </c>
      <c r="B3955" s="399"/>
      <c r="C3955" s="5" t="s">
        <v>84</v>
      </c>
      <c r="D3955" s="5" t="s">
        <v>9378</v>
      </c>
      <c r="E3955" s="43">
        <v>760</v>
      </c>
      <c r="F3955" s="43"/>
      <c r="G3955" s="364">
        <f t="shared" si="94"/>
        <v>116952.66129032266</v>
      </c>
      <c r="H3955" s="391" t="s">
        <v>9568</v>
      </c>
    </row>
    <row r="3956" spans="1:8" x14ac:dyDescent="0.3">
      <c r="A3956" s="45">
        <v>44739</v>
      </c>
      <c r="B3956" s="399"/>
      <c r="C3956" s="5" t="s">
        <v>84</v>
      </c>
      <c r="D3956" s="5" t="s">
        <v>9376</v>
      </c>
      <c r="E3956" s="43">
        <v>5000</v>
      </c>
      <c r="F3956" s="43"/>
      <c r="G3956" s="364">
        <f t="shared" si="94"/>
        <v>111952.66129032266</v>
      </c>
      <c r="H3956" s="391" t="s">
        <v>9568</v>
      </c>
    </row>
    <row r="3957" spans="1:8" x14ac:dyDescent="0.3">
      <c r="A3957" s="45">
        <v>44739</v>
      </c>
      <c r="B3957" s="399"/>
      <c r="C3957" s="5" t="s">
        <v>1787</v>
      </c>
      <c r="D3957" s="5" t="s">
        <v>9377</v>
      </c>
      <c r="E3957" s="43">
        <v>2000</v>
      </c>
      <c r="F3957" s="43"/>
      <c r="G3957" s="364">
        <f t="shared" si="94"/>
        <v>109952.66129032266</v>
      </c>
      <c r="H3957" s="391" t="s">
        <v>9568</v>
      </c>
    </row>
    <row r="3958" spans="1:8" x14ac:dyDescent="0.3">
      <c r="A3958" s="45">
        <v>44739</v>
      </c>
      <c r="B3958" s="399"/>
      <c r="C3958" s="5" t="s">
        <v>63</v>
      </c>
      <c r="D3958" s="5" t="s">
        <v>91</v>
      </c>
      <c r="E3958" s="43">
        <v>650</v>
      </c>
      <c r="F3958" s="43"/>
      <c r="G3958" s="364">
        <f t="shared" si="94"/>
        <v>109302.66129032266</v>
      </c>
      <c r="H3958" s="391" t="s">
        <v>9568</v>
      </c>
    </row>
    <row r="3959" spans="1:8" x14ac:dyDescent="0.3">
      <c r="A3959" s="45">
        <v>44741</v>
      </c>
      <c r="B3959" s="580"/>
      <c r="C3959" s="554" t="s">
        <v>7440</v>
      </c>
      <c r="D3959" s="554"/>
      <c r="E3959" s="554"/>
      <c r="F3959" s="43">
        <v>100000</v>
      </c>
      <c r="G3959" s="48">
        <f t="shared" si="94"/>
        <v>209302.66129032266</v>
      </c>
      <c r="H3959" s="391" t="s">
        <v>9568</v>
      </c>
    </row>
    <row r="3960" spans="1:8" x14ac:dyDescent="0.3">
      <c r="A3960" s="45">
        <v>44741</v>
      </c>
      <c r="B3960" s="399"/>
      <c r="C3960" s="5" t="s">
        <v>4550</v>
      </c>
      <c r="D3960" s="5" t="s">
        <v>9327</v>
      </c>
      <c r="E3960" s="43">
        <v>20000</v>
      </c>
      <c r="F3960" s="43"/>
      <c r="G3960" s="48">
        <f t="shared" si="94"/>
        <v>189302.66129032266</v>
      </c>
      <c r="H3960" s="391" t="s">
        <v>9568</v>
      </c>
    </row>
    <row r="3961" spans="1:8" x14ac:dyDescent="0.3">
      <c r="A3961" s="45">
        <v>44741</v>
      </c>
      <c r="B3961" s="399"/>
      <c r="C3961" s="5" t="s">
        <v>9044</v>
      </c>
      <c r="D3961" s="5" t="s">
        <v>9129</v>
      </c>
      <c r="E3961" s="43">
        <v>2000</v>
      </c>
      <c r="F3961" s="43"/>
      <c r="G3961" s="48">
        <f t="shared" si="94"/>
        <v>187302.66129032266</v>
      </c>
      <c r="H3961" s="391" t="s">
        <v>9568</v>
      </c>
    </row>
    <row r="3962" spans="1:8" x14ac:dyDescent="0.3">
      <c r="A3962" s="45">
        <v>44741</v>
      </c>
      <c r="B3962" s="399"/>
      <c r="C3962" s="5" t="s">
        <v>9159</v>
      </c>
      <c r="D3962" s="5" t="s">
        <v>9380</v>
      </c>
      <c r="E3962" s="43">
        <v>1000</v>
      </c>
      <c r="F3962" s="43"/>
      <c r="G3962" s="48">
        <f t="shared" si="94"/>
        <v>186302.66129032266</v>
      </c>
      <c r="H3962" s="391" t="s">
        <v>9568</v>
      </c>
    </row>
    <row r="3963" spans="1:8" x14ac:dyDescent="0.3">
      <c r="A3963" s="45">
        <v>44741</v>
      </c>
      <c r="B3963" s="399"/>
      <c r="C3963" s="5" t="s">
        <v>4550</v>
      </c>
      <c r="D3963" s="5" t="s">
        <v>3183</v>
      </c>
      <c r="E3963" s="43">
        <v>10000</v>
      </c>
      <c r="F3963" s="43"/>
      <c r="G3963" s="48">
        <f t="shared" si="94"/>
        <v>176302.66129032266</v>
      </c>
      <c r="H3963" s="391" t="s">
        <v>9568</v>
      </c>
    </row>
    <row r="3964" spans="1:8" x14ac:dyDescent="0.3">
      <c r="A3964" s="45">
        <v>44741</v>
      </c>
      <c r="B3964" s="399"/>
      <c r="C3964" s="5" t="s">
        <v>247</v>
      </c>
      <c r="D3964" s="5" t="s">
        <v>9385</v>
      </c>
      <c r="E3964" s="43">
        <v>30000</v>
      </c>
      <c r="F3964" s="43"/>
      <c r="G3964" s="48">
        <f t="shared" si="94"/>
        <v>146302.66129032266</v>
      </c>
      <c r="H3964" s="391" t="s">
        <v>9568</v>
      </c>
    </row>
    <row r="3965" spans="1:8" x14ac:dyDescent="0.3">
      <c r="A3965" s="45">
        <v>44741</v>
      </c>
      <c r="B3965" s="399"/>
      <c r="C3965" s="5" t="s">
        <v>9214</v>
      </c>
      <c r="D3965" s="5" t="s">
        <v>9381</v>
      </c>
      <c r="E3965" s="43">
        <v>38400</v>
      </c>
      <c r="F3965" s="43"/>
      <c r="G3965" s="48">
        <f t="shared" si="94"/>
        <v>107902.66129032266</v>
      </c>
      <c r="H3965" s="391" t="s">
        <v>9568</v>
      </c>
    </row>
    <row r="3966" spans="1:8" x14ac:dyDescent="0.3">
      <c r="A3966" s="45">
        <v>44742</v>
      </c>
      <c r="B3966" s="399"/>
      <c r="C3966" s="5" t="s">
        <v>25</v>
      </c>
      <c r="D3966" s="5" t="s">
        <v>9370</v>
      </c>
      <c r="E3966" s="43">
        <v>8250</v>
      </c>
      <c r="F3966" s="43"/>
      <c r="G3966" s="48">
        <f t="shared" si="94"/>
        <v>99652.661290322663</v>
      </c>
      <c r="H3966" s="391" t="s">
        <v>9568</v>
      </c>
    </row>
    <row r="3967" spans="1:8" x14ac:dyDescent="0.3">
      <c r="A3967" s="45">
        <v>44742</v>
      </c>
      <c r="B3967" s="399"/>
      <c r="C3967" s="5" t="s">
        <v>6908</v>
      </c>
      <c r="D3967" s="5" t="s">
        <v>9382</v>
      </c>
      <c r="E3967" s="43">
        <v>29000</v>
      </c>
      <c r="F3967" s="43"/>
      <c r="G3967" s="48">
        <f t="shared" si="94"/>
        <v>70652.661290322663</v>
      </c>
      <c r="H3967" s="391" t="s">
        <v>9568</v>
      </c>
    </row>
    <row r="3968" spans="1:8" x14ac:dyDescent="0.3">
      <c r="A3968" s="45">
        <v>44742</v>
      </c>
      <c r="B3968" s="399"/>
      <c r="C3968" s="5" t="s">
        <v>18</v>
      </c>
      <c r="D3968" s="5" t="s">
        <v>9383</v>
      </c>
      <c r="E3968" s="43">
        <v>6825</v>
      </c>
      <c r="F3968" s="43"/>
      <c r="G3968" s="48">
        <f t="shared" si="94"/>
        <v>63827.661290322663</v>
      </c>
      <c r="H3968" s="391" t="s">
        <v>9568</v>
      </c>
    </row>
    <row r="3969" spans="1:8" x14ac:dyDescent="0.3">
      <c r="A3969" s="45">
        <v>44742</v>
      </c>
      <c r="B3969" s="399"/>
      <c r="C3969" s="5" t="s">
        <v>18</v>
      </c>
      <c r="D3969" s="5" t="s">
        <v>2013</v>
      </c>
      <c r="E3969" s="43">
        <v>200</v>
      </c>
      <c r="F3969" s="43"/>
      <c r="G3969" s="48">
        <f t="shared" si="94"/>
        <v>63627.661290322663</v>
      </c>
      <c r="H3969" s="391" t="s">
        <v>9568</v>
      </c>
    </row>
    <row r="3970" spans="1:8" x14ac:dyDescent="0.3">
      <c r="A3970" s="45">
        <v>44742</v>
      </c>
      <c r="B3970" s="399"/>
      <c r="C3970" s="5" t="s">
        <v>84</v>
      </c>
      <c r="D3970" s="5" t="s">
        <v>9384</v>
      </c>
      <c r="E3970" s="43">
        <v>2000</v>
      </c>
      <c r="F3970" s="43"/>
      <c r="G3970" s="48">
        <f t="shared" si="94"/>
        <v>61627.661290322663</v>
      </c>
      <c r="H3970" s="391" t="s">
        <v>9568</v>
      </c>
    </row>
    <row r="3971" spans="1:8" x14ac:dyDescent="0.3">
      <c r="A3971" s="45">
        <v>44743</v>
      </c>
      <c r="B3971" s="399"/>
      <c r="C3971" s="5" t="s">
        <v>9313</v>
      </c>
      <c r="D3971" s="92" t="s">
        <v>9389</v>
      </c>
      <c r="E3971" s="43">
        <v>5000</v>
      </c>
      <c r="F3971" s="43"/>
      <c r="G3971" s="48">
        <f t="shared" si="94"/>
        <v>56627.661290322663</v>
      </c>
      <c r="H3971" s="391" t="s">
        <v>9568</v>
      </c>
    </row>
    <row r="3972" spans="1:8" ht="37.5" x14ac:dyDescent="0.3">
      <c r="A3972" s="45">
        <v>44743</v>
      </c>
      <c r="B3972" s="399"/>
      <c r="C3972" s="5" t="s">
        <v>9313</v>
      </c>
      <c r="D3972" s="92" t="s">
        <v>9390</v>
      </c>
      <c r="E3972" s="43">
        <v>5620</v>
      </c>
      <c r="F3972" s="43"/>
      <c r="G3972" s="48">
        <f t="shared" si="94"/>
        <v>51007.661290322663</v>
      </c>
      <c r="H3972" s="391" t="s">
        <v>9568</v>
      </c>
    </row>
    <row r="3973" spans="1:8" x14ac:dyDescent="0.3">
      <c r="A3973" s="45">
        <v>44743</v>
      </c>
      <c r="B3973" s="402"/>
      <c r="C3973" s="39" t="s">
        <v>18</v>
      </c>
      <c r="D3973" s="39" t="s">
        <v>3143</v>
      </c>
      <c r="E3973" s="380">
        <v>12000</v>
      </c>
      <c r="F3973" s="43"/>
      <c r="G3973" s="48">
        <f t="shared" si="94"/>
        <v>39007.661290322663</v>
      </c>
      <c r="H3973" s="391" t="s">
        <v>9568</v>
      </c>
    </row>
    <row r="3974" spans="1:8" x14ac:dyDescent="0.3">
      <c r="A3974" s="45">
        <v>44743</v>
      </c>
      <c r="B3974" s="399"/>
      <c r="C3974" s="5" t="s">
        <v>84</v>
      </c>
      <c r="D3974" s="5" t="s">
        <v>9391</v>
      </c>
      <c r="E3974" s="43">
        <v>30000</v>
      </c>
      <c r="F3974" s="43"/>
      <c r="G3974" s="48">
        <f t="shared" si="94"/>
        <v>9007.6612903226633</v>
      </c>
      <c r="H3974" s="391" t="s">
        <v>9568</v>
      </c>
    </row>
    <row r="3975" spans="1:8" x14ac:dyDescent="0.3">
      <c r="A3975" s="45">
        <v>44743</v>
      </c>
      <c r="B3975" s="399"/>
      <c r="C3975" s="5" t="s">
        <v>14</v>
      </c>
      <c r="D3975" s="5" t="s">
        <v>294</v>
      </c>
      <c r="E3975" s="43">
        <v>1000</v>
      </c>
      <c r="F3975" s="43"/>
      <c r="G3975" s="48">
        <f t="shared" si="94"/>
        <v>8007.6612903226633</v>
      </c>
      <c r="H3975" s="391" t="s">
        <v>9568</v>
      </c>
    </row>
    <row r="3976" spans="1:8" x14ac:dyDescent="0.3">
      <c r="A3976" s="45">
        <v>44743</v>
      </c>
      <c r="B3976" s="399"/>
      <c r="C3976" s="5" t="s">
        <v>9313</v>
      </c>
      <c r="D3976" s="5" t="s">
        <v>2013</v>
      </c>
      <c r="E3976" s="43">
        <v>200</v>
      </c>
      <c r="F3976" s="43"/>
      <c r="G3976" s="48">
        <f t="shared" si="94"/>
        <v>7807.6612903226633</v>
      </c>
      <c r="H3976" s="391" t="s">
        <v>9568</v>
      </c>
    </row>
    <row r="3977" spans="1:8" x14ac:dyDescent="0.3">
      <c r="A3977" s="45">
        <v>44744</v>
      </c>
      <c r="B3977" s="399"/>
      <c r="C3977" s="5" t="s">
        <v>25</v>
      </c>
      <c r="D3977" s="5" t="s">
        <v>9302</v>
      </c>
      <c r="E3977" s="43">
        <v>5120</v>
      </c>
      <c r="F3977" s="43"/>
      <c r="G3977" s="48">
        <f t="shared" si="94"/>
        <v>2687.6612903226633</v>
      </c>
      <c r="H3977" s="391" t="s">
        <v>9568</v>
      </c>
    </row>
    <row r="3978" spans="1:8" x14ac:dyDescent="0.3">
      <c r="A3978" s="45">
        <v>44744</v>
      </c>
      <c r="B3978" s="580"/>
      <c r="C3978" s="554" t="s">
        <v>7440</v>
      </c>
      <c r="D3978" s="554"/>
      <c r="E3978" s="554"/>
      <c r="F3978" s="43">
        <v>50000</v>
      </c>
      <c r="G3978" s="48">
        <f t="shared" ref="G3978:G4010" si="96">G3977+F3978-E3978</f>
        <v>52687.661290322663</v>
      </c>
      <c r="H3978" s="391" t="s">
        <v>9568</v>
      </c>
    </row>
    <row r="3979" spans="1:8" x14ac:dyDescent="0.3">
      <c r="A3979" s="45">
        <v>44744</v>
      </c>
      <c r="B3979" s="399"/>
      <c r="C3979" s="5" t="s">
        <v>14</v>
      </c>
      <c r="D3979" s="5" t="s">
        <v>9398</v>
      </c>
      <c r="E3979" s="43">
        <v>30000</v>
      </c>
      <c r="F3979" s="43"/>
      <c r="G3979" s="48">
        <f t="shared" si="96"/>
        <v>22687.661290322663</v>
      </c>
      <c r="H3979" s="391" t="s">
        <v>9568</v>
      </c>
    </row>
    <row r="3980" spans="1:8" x14ac:dyDescent="0.3">
      <c r="A3980" s="45">
        <v>44744</v>
      </c>
      <c r="B3980" s="399"/>
      <c r="C3980" s="5" t="s">
        <v>25</v>
      </c>
      <c r="D3980" s="5" t="s">
        <v>4400</v>
      </c>
      <c r="E3980" s="65">
        <v>4670</v>
      </c>
      <c r="F3980" s="43"/>
      <c r="G3980" s="48">
        <f t="shared" si="96"/>
        <v>18017.661290322663</v>
      </c>
      <c r="H3980" s="391" t="s">
        <v>9568</v>
      </c>
    </row>
    <row r="3981" spans="1:8" x14ac:dyDescent="0.3">
      <c r="A3981" s="45">
        <v>44744</v>
      </c>
      <c r="B3981" s="399"/>
      <c r="C3981" s="5" t="s">
        <v>18</v>
      </c>
      <c r="D3981" s="5" t="s">
        <v>640</v>
      </c>
      <c r="E3981" s="43">
        <v>900</v>
      </c>
      <c r="F3981" s="43"/>
      <c r="G3981" s="48">
        <f t="shared" si="96"/>
        <v>17117.661290322663</v>
      </c>
      <c r="H3981" s="391" t="s">
        <v>9568</v>
      </c>
    </row>
    <row r="3982" spans="1:8" x14ac:dyDescent="0.3">
      <c r="A3982" s="45">
        <v>44744</v>
      </c>
      <c r="B3982" s="399"/>
      <c r="C3982" s="5" t="s">
        <v>84</v>
      </c>
      <c r="D3982" s="5" t="s">
        <v>9401</v>
      </c>
      <c r="E3982" s="43">
        <v>1000</v>
      </c>
      <c r="F3982" s="43"/>
      <c r="G3982" s="48">
        <f t="shared" si="96"/>
        <v>16117.661290322663</v>
      </c>
      <c r="H3982" s="391" t="s">
        <v>9568</v>
      </c>
    </row>
    <row r="3983" spans="1:8" x14ac:dyDescent="0.3">
      <c r="A3983" s="45">
        <v>44746</v>
      </c>
      <c r="B3983" s="399"/>
      <c r="C3983" s="5" t="s">
        <v>25</v>
      </c>
      <c r="D3983" s="5" t="s">
        <v>9249</v>
      </c>
      <c r="E3983" s="43">
        <v>4780</v>
      </c>
      <c r="F3983" s="43"/>
      <c r="G3983" s="48">
        <f t="shared" si="96"/>
        <v>11337.661290322663</v>
      </c>
      <c r="H3983" s="391" t="s">
        <v>9568</v>
      </c>
    </row>
    <row r="3984" spans="1:8" x14ac:dyDescent="0.3">
      <c r="A3984" s="45">
        <v>44746</v>
      </c>
      <c r="B3984" s="399"/>
      <c r="C3984" s="5" t="s">
        <v>3724</v>
      </c>
      <c r="D3984" s="5" t="s">
        <v>6332</v>
      </c>
      <c r="E3984" s="43">
        <v>4270</v>
      </c>
      <c r="F3984" s="43"/>
      <c r="G3984" s="48">
        <f t="shared" si="96"/>
        <v>7067.6612903226633</v>
      </c>
      <c r="H3984" s="391" t="s">
        <v>9568</v>
      </c>
    </row>
    <row r="3985" spans="1:8" x14ac:dyDescent="0.3">
      <c r="A3985" s="45">
        <v>44746</v>
      </c>
      <c r="B3985" s="399"/>
      <c r="C3985" s="5" t="s">
        <v>1616</v>
      </c>
      <c r="D3985" s="5" t="s">
        <v>7002</v>
      </c>
      <c r="E3985" s="43">
        <v>650</v>
      </c>
      <c r="F3985" s="43"/>
      <c r="G3985" s="48">
        <f t="shared" si="96"/>
        <v>6417.6612903226633</v>
      </c>
      <c r="H3985" s="391" t="s">
        <v>9568</v>
      </c>
    </row>
    <row r="3986" spans="1:8" x14ac:dyDescent="0.3">
      <c r="A3986" s="45">
        <v>44746</v>
      </c>
      <c r="B3986" s="580"/>
      <c r="C3986" s="554" t="s">
        <v>9404</v>
      </c>
      <c r="D3986" s="554"/>
      <c r="E3986" s="554"/>
      <c r="F3986" s="43">
        <v>900000</v>
      </c>
      <c r="G3986" s="48">
        <f t="shared" si="96"/>
        <v>906417.66129032266</v>
      </c>
      <c r="H3986" s="391" t="s">
        <v>9568</v>
      </c>
    </row>
    <row r="3987" spans="1:8" x14ac:dyDescent="0.3">
      <c r="A3987" s="45">
        <v>44746</v>
      </c>
      <c r="B3987" s="399"/>
      <c r="C3987" s="5" t="s">
        <v>9406</v>
      </c>
      <c r="D3987" s="5" t="s">
        <v>9407</v>
      </c>
      <c r="E3987" s="43">
        <v>190000</v>
      </c>
      <c r="F3987" s="43"/>
      <c r="G3987" s="48">
        <f t="shared" si="96"/>
        <v>716417.66129032266</v>
      </c>
      <c r="H3987" s="391" t="s">
        <v>9568</v>
      </c>
    </row>
    <row r="3988" spans="1:8" x14ac:dyDescent="0.3">
      <c r="A3988" s="45">
        <v>44746</v>
      </c>
      <c r="B3988" s="409"/>
      <c r="C3988" s="61" t="s">
        <v>54</v>
      </c>
      <c r="D3988" s="61" t="s">
        <v>8636</v>
      </c>
      <c r="E3988" s="62">
        <v>139204</v>
      </c>
      <c r="F3988" s="43"/>
      <c r="G3988" s="48">
        <f t="shared" si="96"/>
        <v>577213.66129032266</v>
      </c>
      <c r="H3988" s="391" t="s">
        <v>9568</v>
      </c>
    </row>
    <row r="3989" spans="1:8" x14ac:dyDescent="0.3">
      <c r="A3989" s="45">
        <v>44746</v>
      </c>
      <c r="B3989" s="409"/>
      <c r="C3989" s="61" t="s">
        <v>54</v>
      </c>
      <c r="D3989" s="61" t="s">
        <v>8637</v>
      </c>
      <c r="E3989" s="62">
        <v>103467</v>
      </c>
      <c r="F3989" s="43"/>
      <c r="G3989" s="48">
        <f t="shared" si="96"/>
        <v>473746.66129032266</v>
      </c>
      <c r="H3989" s="391" t="s">
        <v>9568</v>
      </c>
    </row>
    <row r="3990" spans="1:8" x14ac:dyDescent="0.3">
      <c r="A3990" s="45">
        <v>44746</v>
      </c>
      <c r="B3990" s="399"/>
      <c r="C3990" s="5" t="s">
        <v>6931</v>
      </c>
      <c r="D3990" s="5" t="s">
        <v>3172</v>
      </c>
      <c r="E3990" s="43">
        <v>700</v>
      </c>
      <c r="F3990" s="43"/>
      <c r="G3990" s="48">
        <f t="shared" si="96"/>
        <v>473046.66129032266</v>
      </c>
      <c r="H3990" s="391" t="s">
        <v>9568</v>
      </c>
    </row>
    <row r="3991" spans="1:8" x14ac:dyDescent="0.3">
      <c r="A3991" s="45">
        <v>44746</v>
      </c>
      <c r="B3991" s="399"/>
      <c r="C3991" s="5" t="s">
        <v>6931</v>
      </c>
      <c r="D3991" s="5" t="s">
        <v>8735</v>
      </c>
      <c r="E3991" s="43">
        <v>3000</v>
      </c>
      <c r="F3991" s="43"/>
      <c r="G3991" s="48">
        <f t="shared" si="96"/>
        <v>470046.66129032266</v>
      </c>
      <c r="H3991" s="391" t="s">
        <v>9568</v>
      </c>
    </row>
    <row r="3992" spans="1:8" x14ac:dyDescent="0.3">
      <c r="A3992" s="45">
        <v>44746</v>
      </c>
      <c r="B3992" s="399"/>
      <c r="C3992" s="5" t="s">
        <v>6931</v>
      </c>
      <c r="D3992" s="5" t="s">
        <v>2013</v>
      </c>
      <c r="E3992" s="43">
        <v>250</v>
      </c>
      <c r="F3992" s="43"/>
      <c r="G3992" s="48">
        <f t="shared" si="96"/>
        <v>469796.66129032266</v>
      </c>
      <c r="H3992" s="391" t="s">
        <v>9568</v>
      </c>
    </row>
    <row r="3993" spans="1:8" x14ac:dyDescent="0.3">
      <c r="A3993" s="45">
        <v>44746</v>
      </c>
      <c r="B3993" s="401"/>
      <c r="C3993" s="73" t="s">
        <v>6931</v>
      </c>
      <c r="D3993" s="73" t="s">
        <v>9367</v>
      </c>
      <c r="E3993" s="183">
        <v>5000</v>
      </c>
      <c r="F3993" s="43"/>
      <c r="G3993" s="48">
        <f t="shared" si="96"/>
        <v>464796.66129032266</v>
      </c>
      <c r="H3993" s="391" t="s">
        <v>9568</v>
      </c>
    </row>
    <row r="3994" spans="1:8" x14ac:dyDescent="0.3">
      <c r="A3994" s="45">
        <v>44746</v>
      </c>
      <c r="B3994" s="399"/>
      <c r="C3994" s="5" t="s">
        <v>9288</v>
      </c>
      <c r="D3994" s="5" t="s">
        <v>9409</v>
      </c>
      <c r="E3994" s="43">
        <v>45000</v>
      </c>
      <c r="F3994" s="43"/>
      <c r="G3994" s="48">
        <f t="shared" si="96"/>
        <v>419796.66129032266</v>
      </c>
      <c r="H3994" s="391" t="s">
        <v>9568</v>
      </c>
    </row>
    <row r="3995" spans="1:8" x14ac:dyDescent="0.3">
      <c r="A3995" s="45">
        <v>44746</v>
      </c>
      <c r="B3995" s="409"/>
      <c r="C3995" s="61" t="s">
        <v>54</v>
      </c>
      <c r="D3995" s="61" t="s">
        <v>9410</v>
      </c>
      <c r="E3995" s="62">
        <v>59725</v>
      </c>
      <c r="F3995" s="43"/>
      <c r="G3995" s="48">
        <f t="shared" si="96"/>
        <v>360071.66129032266</v>
      </c>
      <c r="H3995" s="391" t="s">
        <v>9568</v>
      </c>
    </row>
    <row r="3996" spans="1:8" x14ac:dyDescent="0.3">
      <c r="A3996" s="45">
        <v>44746</v>
      </c>
      <c r="B3996" s="409"/>
      <c r="C3996" s="61" t="s">
        <v>54</v>
      </c>
      <c r="D3996" s="61" t="s">
        <v>9411</v>
      </c>
      <c r="E3996" s="62">
        <v>220371</v>
      </c>
      <c r="F3996" s="43"/>
      <c r="G3996" s="48">
        <f t="shared" si="96"/>
        <v>139700.66129032266</v>
      </c>
      <c r="H3996" s="391" t="s">
        <v>9568</v>
      </c>
    </row>
    <row r="3997" spans="1:8" x14ac:dyDescent="0.3">
      <c r="A3997" s="45">
        <v>44746</v>
      </c>
      <c r="B3997" s="409"/>
      <c r="C3997" s="61" t="s">
        <v>54</v>
      </c>
      <c r="D3997" s="61" t="s">
        <v>9413</v>
      </c>
      <c r="E3997" s="62">
        <v>25150</v>
      </c>
      <c r="F3997" s="43"/>
      <c r="G3997" s="48">
        <f t="shared" si="96"/>
        <v>114550.66129032266</v>
      </c>
      <c r="H3997" s="391" t="s">
        <v>9568</v>
      </c>
    </row>
    <row r="3998" spans="1:8" x14ac:dyDescent="0.3">
      <c r="A3998" s="45">
        <v>44746</v>
      </c>
      <c r="B3998" s="399"/>
      <c r="C3998" s="5" t="s">
        <v>1787</v>
      </c>
      <c r="D3998" s="5" t="s">
        <v>9412</v>
      </c>
      <c r="E3998" s="43">
        <v>1500</v>
      </c>
      <c r="F3998" s="43"/>
      <c r="G3998" s="48">
        <f t="shared" si="96"/>
        <v>113050.66129032266</v>
      </c>
      <c r="H3998" s="391" t="s">
        <v>9568</v>
      </c>
    </row>
    <row r="3999" spans="1:8" x14ac:dyDescent="0.3">
      <c r="A3999" s="45">
        <v>44746</v>
      </c>
      <c r="B3999" s="580"/>
      <c r="C3999" s="554" t="s">
        <v>9404</v>
      </c>
      <c r="D3999" s="554"/>
      <c r="E3999" s="554"/>
      <c r="F3999" s="43">
        <v>100000</v>
      </c>
      <c r="G3999" s="48">
        <f t="shared" si="96"/>
        <v>213050.66129032266</v>
      </c>
      <c r="H3999" s="391" t="s">
        <v>9568</v>
      </c>
    </row>
    <row r="4000" spans="1:8" x14ac:dyDescent="0.3">
      <c r="A4000" s="45">
        <v>44746</v>
      </c>
      <c r="B4000" s="399"/>
      <c r="C4000" s="5" t="s">
        <v>3554</v>
      </c>
      <c r="D4000" s="5" t="s">
        <v>9414</v>
      </c>
      <c r="E4000" s="43">
        <v>15000</v>
      </c>
      <c r="F4000" s="43"/>
      <c r="G4000" s="48">
        <f t="shared" si="96"/>
        <v>198050.66129032266</v>
      </c>
      <c r="H4000" s="391" t="s">
        <v>9568</v>
      </c>
    </row>
    <row r="4001" spans="1:8" x14ac:dyDescent="0.3">
      <c r="A4001" s="45">
        <v>44746</v>
      </c>
      <c r="B4001" s="399"/>
      <c r="C4001" s="5" t="s">
        <v>14</v>
      </c>
      <c r="D4001" s="5" t="s">
        <v>294</v>
      </c>
      <c r="E4001" s="43">
        <v>15000</v>
      </c>
      <c r="F4001" s="43"/>
      <c r="G4001" s="48">
        <f t="shared" si="96"/>
        <v>183050.66129032266</v>
      </c>
      <c r="H4001" s="391" t="s">
        <v>9568</v>
      </c>
    </row>
    <row r="4002" spans="1:8" x14ac:dyDescent="0.3">
      <c r="A4002" s="45">
        <v>44746</v>
      </c>
      <c r="B4002" s="399"/>
      <c r="C4002" s="5" t="s">
        <v>25</v>
      </c>
      <c r="D4002" s="5" t="s">
        <v>5108</v>
      </c>
      <c r="E4002" s="43">
        <v>1000</v>
      </c>
      <c r="F4002" s="43"/>
      <c r="G4002" s="48">
        <f t="shared" si="96"/>
        <v>182050.66129032266</v>
      </c>
      <c r="H4002" s="391" t="s">
        <v>9568</v>
      </c>
    </row>
    <row r="4003" spans="1:8" x14ac:dyDescent="0.3">
      <c r="A4003" s="45">
        <v>44746</v>
      </c>
      <c r="B4003" s="409"/>
      <c r="C4003" s="61" t="s">
        <v>54</v>
      </c>
      <c r="D4003" s="61" t="s">
        <v>9415</v>
      </c>
      <c r="E4003" s="62">
        <v>76000</v>
      </c>
      <c r="F4003" s="43"/>
      <c r="G4003" s="48">
        <f t="shared" si="96"/>
        <v>106050.66129032266</v>
      </c>
      <c r="H4003" s="391" t="s">
        <v>9568</v>
      </c>
    </row>
    <row r="4004" spans="1:8" x14ac:dyDescent="0.3">
      <c r="A4004" s="45">
        <v>44746</v>
      </c>
      <c r="B4004" s="399"/>
      <c r="C4004" s="5" t="s">
        <v>9214</v>
      </c>
      <c r="D4004" s="5" t="s">
        <v>9416</v>
      </c>
      <c r="E4004" s="43">
        <v>96600</v>
      </c>
      <c r="F4004" s="43"/>
      <c r="G4004" s="48">
        <f t="shared" si="96"/>
        <v>9450.6612903226633</v>
      </c>
      <c r="H4004" s="391" t="s">
        <v>9568</v>
      </c>
    </row>
    <row r="4005" spans="1:8" x14ac:dyDescent="0.3">
      <c r="A4005" s="45">
        <v>44746</v>
      </c>
      <c r="B4005" s="399"/>
      <c r="C4005" s="5" t="s">
        <v>1074</v>
      </c>
      <c r="D4005" s="5" t="s">
        <v>9158</v>
      </c>
      <c r="E4005" s="43">
        <v>780</v>
      </c>
      <c r="F4005" s="43"/>
      <c r="G4005" s="48">
        <f t="shared" si="96"/>
        <v>8670.6612903226633</v>
      </c>
      <c r="H4005" s="391" t="s">
        <v>9568</v>
      </c>
    </row>
    <row r="4006" spans="1:8" x14ac:dyDescent="0.3">
      <c r="A4006" s="45">
        <v>44746</v>
      </c>
      <c r="B4006" s="402"/>
      <c r="C4006" s="39" t="s">
        <v>7466</v>
      </c>
      <c r="D4006" s="39" t="s">
        <v>3720</v>
      </c>
      <c r="E4006" s="40">
        <v>3500</v>
      </c>
      <c r="F4006" s="43"/>
      <c r="G4006" s="48">
        <f t="shared" si="96"/>
        <v>5170.6612903226633</v>
      </c>
      <c r="H4006" s="391" t="s">
        <v>9568</v>
      </c>
    </row>
    <row r="4007" spans="1:8" x14ac:dyDescent="0.3">
      <c r="A4007" s="45">
        <v>44746</v>
      </c>
      <c r="B4007" s="399"/>
      <c r="C4007" s="5" t="s">
        <v>25</v>
      </c>
      <c r="D4007" s="5" t="s">
        <v>9249</v>
      </c>
      <c r="E4007" s="43">
        <f>4400+430</f>
        <v>4830</v>
      </c>
      <c r="F4007" s="43"/>
      <c r="G4007" s="48">
        <f t="shared" si="96"/>
        <v>340.66129032266326</v>
      </c>
      <c r="H4007" s="391" t="s">
        <v>9568</v>
      </c>
    </row>
    <row r="4008" spans="1:8" x14ac:dyDescent="0.3">
      <c r="A4008" s="45">
        <v>44762</v>
      </c>
      <c r="B4008" s="580"/>
      <c r="C4008" s="554" t="s">
        <v>7440</v>
      </c>
      <c r="D4008" s="554"/>
      <c r="E4008" s="554"/>
      <c r="F4008" s="43">
        <v>86000</v>
      </c>
      <c r="G4008" s="48">
        <v>86000</v>
      </c>
      <c r="H4008" s="391" t="s">
        <v>9568</v>
      </c>
    </row>
    <row r="4009" spans="1:8" x14ac:dyDescent="0.3">
      <c r="A4009" s="45">
        <v>44762</v>
      </c>
      <c r="B4009" s="399"/>
      <c r="C4009" s="5" t="s">
        <v>2995</v>
      </c>
      <c r="D4009" s="5"/>
      <c r="E4009" s="43">
        <v>6600</v>
      </c>
      <c r="F4009" s="43"/>
      <c r="G4009" s="48">
        <f t="shared" ref="G4009" si="97">G4008+F4009-E4009</f>
        <v>79400</v>
      </c>
      <c r="H4009" s="391" t="s">
        <v>9568</v>
      </c>
    </row>
    <row r="4010" spans="1:8" x14ac:dyDescent="0.3">
      <c r="A4010" s="45">
        <v>44762</v>
      </c>
      <c r="B4010" s="399"/>
      <c r="C4010" s="5" t="s">
        <v>9427</v>
      </c>
      <c r="D4010" s="5" t="s">
        <v>3557</v>
      </c>
      <c r="E4010" s="43">
        <v>2500</v>
      </c>
      <c r="F4010" s="43"/>
      <c r="G4010" s="48">
        <f t="shared" si="96"/>
        <v>76900</v>
      </c>
      <c r="H4010" s="391" t="s">
        <v>9568</v>
      </c>
    </row>
    <row r="4011" spans="1:8" x14ac:dyDescent="0.3">
      <c r="A4011" s="45">
        <v>44762</v>
      </c>
      <c r="B4011" s="399"/>
      <c r="C4011" s="5" t="s">
        <v>25</v>
      </c>
      <c r="D4011" s="5" t="s">
        <v>9433</v>
      </c>
      <c r="E4011" s="43">
        <v>5491</v>
      </c>
      <c r="F4011" s="43"/>
      <c r="G4011" s="48">
        <f t="shared" ref="G4011:G4038" si="98">G4010+F4011-E4011</f>
        <v>71409</v>
      </c>
      <c r="H4011" s="391" t="s">
        <v>9568</v>
      </c>
    </row>
    <row r="4012" spans="1:8" x14ac:dyDescent="0.3">
      <c r="A4012" s="45">
        <v>44762</v>
      </c>
      <c r="B4012" s="399"/>
      <c r="C4012" s="5" t="s">
        <v>1074</v>
      </c>
      <c r="D4012" s="5" t="s">
        <v>9435</v>
      </c>
      <c r="E4012" s="43">
        <v>2630</v>
      </c>
      <c r="F4012" s="43"/>
      <c r="G4012" s="48">
        <f t="shared" si="98"/>
        <v>68779</v>
      </c>
      <c r="H4012" s="391" t="s">
        <v>9568</v>
      </c>
    </row>
    <row r="4013" spans="1:8" x14ac:dyDescent="0.3">
      <c r="A4013" s="45">
        <v>44762</v>
      </c>
      <c r="B4013" s="399"/>
      <c r="C4013" s="5" t="s">
        <v>1074</v>
      </c>
      <c r="D4013" s="5" t="s">
        <v>9436</v>
      </c>
      <c r="E4013" s="43">
        <v>6040</v>
      </c>
      <c r="F4013" s="43"/>
      <c r="G4013" s="48">
        <f t="shared" si="98"/>
        <v>62739</v>
      </c>
      <c r="H4013" s="391" t="s">
        <v>9568</v>
      </c>
    </row>
    <row r="4014" spans="1:8" x14ac:dyDescent="0.3">
      <c r="A4014" s="45">
        <v>44762</v>
      </c>
      <c r="B4014" s="399"/>
      <c r="C4014" s="5" t="s">
        <v>247</v>
      </c>
      <c r="D4014" s="5" t="s">
        <v>2013</v>
      </c>
      <c r="E4014" s="43">
        <v>130</v>
      </c>
      <c r="F4014" s="43"/>
      <c r="G4014" s="48">
        <f t="shared" si="98"/>
        <v>62609</v>
      </c>
      <c r="H4014" s="391" t="s">
        <v>9568</v>
      </c>
    </row>
    <row r="4015" spans="1:8" x14ac:dyDescent="0.3">
      <c r="A4015" s="45">
        <v>44762</v>
      </c>
      <c r="B4015" s="399"/>
      <c r="C4015" s="5" t="s">
        <v>9438</v>
      </c>
      <c r="D4015" s="5" t="s">
        <v>9439</v>
      </c>
      <c r="E4015" s="43">
        <v>20000</v>
      </c>
      <c r="F4015" s="43"/>
      <c r="G4015" s="48">
        <f t="shared" si="98"/>
        <v>42609</v>
      </c>
      <c r="H4015" s="391" t="s">
        <v>9568</v>
      </c>
    </row>
    <row r="4016" spans="1:8" x14ac:dyDescent="0.3">
      <c r="A4016" s="45">
        <v>44762</v>
      </c>
      <c r="B4016" s="399"/>
      <c r="C4016" s="5" t="s">
        <v>14</v>
      </c>
      <c r="D4016" s="5" t="s">
        <v>294</v>
      </c>
      <c r="E4016" s="43">
        <v>5000</v>
      </c>
      <c r="F4016" s="43"/>
      <c r="G4016" s="48">
        <f t="shared" si="98"/>
        <v>37609</v>
      </c>
      <c r="H4016" s="391" t="s">
        <v>9568</v>
      </c>
    </row>
    <row r="4017" spans="1:8" x14ac:dyDescent="0.3">
      <c r="A4017" s="45">
        <v>44762</v>
      </c>
      <c r="B4017" s="399"/>
      <c r="C4017" s="5" t="s">
        <v>1787</v>
      </c>
      <c r="D4017" s="5" t="s">
        <v>40</v>
      </c>
      <c r="E4017" s="43">
        <v>1500</v>
      </c>
      <c r="F4017" s="43"/>
      <c r="G4017" s="48">
        <f t="shared" si="98"/>
        <v>36109</v>
      </c>
      <c r="H4017" s="391" t="s">
        <v>9568</v>
      </c>
    </row>
    <row r="4018" spans="1:8" x14ac:dyDescent="0.3">
      <c r="A4018" s="45">
        <v>44762</v>
      </c>
      <c r="B4018" s="399"/>
      <c r="C4018" s="5" t="s">
        <v>5156</v>
      </c>
      <c r="D4018" s="5" t="s">
        <v>9446</v>
      </c>
      <c r="E4018" s="43">
        <v>4000</v>
      </c>
      <c r="F4018" s="43"/>
      <c r="G4018" s="48">
        <f t="shared" si="98"/>
        <v>32109</v>
      </c>
      <c r="H4018" s="391" t="s">
        <v>9568</v>
      </c>
    </row>
    <row r="4019" spans="1:8" x14ac:dyDescent="0.3">
      <c r="A4019" s="45">
        <v>44762</v>
      </c>
      <c r="B4019" s="399"/>
      <c r="C4019" s="5" t="s">
        <v>5156</v>
      </c>
      <c r="D4019" s="5" t="s">
        <v>9447</v>
      </c>
      <c r="E4019" s="43">
        <v>2500</v>
      </c>
      <c r="F4019" s="43"/>
      <c r="G4019" s="48">
        <f t="shared" si="98"/>
        <v>29609</v>
      </c>
      <c r="H4019" s="391" t="s">
        <v>9568</v>
      </c>
    </row>
    <row r="4020" spans="1:8" x14ac:dyDescent="0.3">
      <c r="A4020" s="45">
        <v>44763</v>
      </c>
      <c r="B4020" s="399"/>
      <c r="C4020" s="5" t="s">
        <v>54</v>
      </c>
      <c r="D4020" s="5" t="s">
        <v>9448</v>
      </c>
      <c r="E4020" s="43">
        <v>2000</v>
      </c>
      <c r="F4020" s="43"/>
      <c r="G4020" s="48">
        <f t="shared" si="98"/>
        <v>27609</v>
      </c>
      <c r="H4020" s="391" t="s">
        <v>9568</v>
      </c>
    </row>
    <row r="4021" spans="1:8" x14ac:dyDescent="0.3">
      <c r="A4021" s="45">
        <v>44763</v>
      </c>
      <c r="B4021" s="399"/>
      <c r="C4021" s="5" t="s">
        <v>7214</v>
      </c>
      <c r="D4021" s="5" t="s">
        <v>9449</v>
      </c>
      <c r="E4021" s="43">
        <v>18000</v>
      </c>
      <c r="F4021" s="43"/>
      <c r="G4021" s="48">
        <f t="shared" si="98"/>
        <v>9609</v>
      </c>
      <c r="H4021" s="391" t="s">
        <v>9568</v>
      </c>
    </row>
    <row r="4022" spans="1:8" x14ac:dyDescent="0.3">
      <c r="A4022" s="45">
        <v>44764</v>
      </c>
      <c r="B4022" s="399"/>
      <c r="C4022" s="5" t="s">
        <v>1787</v>
      </c>
      <c r="D4022" s="5" t="s">
        <v>40</v>
      </c>
      <c r="E4022" s="43">
        <v>1500</v>
      </c>
      <c r="F4022" s="43"/>
      <c r="G4022" s="48">
        <f t="shared" si="98"/>
        <v>8109</v>
      </c>
      <c r="H4022" s="391" t="s">
        <v>9568</v>
      </c>
    </row>
    <row r="4023" spans="1:8" x14ac:dyDescent="0.3">
      <c r="A4023" s="45">
        <v>44764</v>
      </c>
      <c r="B4023" s="399"/>
      <c r="C4023" s="5" t="s">
        <v>25</v>
      </c>
      <c r="D4023" s="5" t="s">
        <v>9450</v>
      </c>
      <c r="E4023" s="43">
        <v>130</v>
      </c>
      <c r="F4023" s="43"/>
      <c r="G4023" s="48">
        <f t="shared" si="98"/>
        <v>7979</v>
      </c>
      <c r="H4023" s="391" t="s">
        <v>9568</v>
      </c>
    </row>
    <row r="4024" spans="1:8" x14ac:dyDescent="0.3">
      <c r="A4024" s="45">
        <v>44764</v>
      </c>
      <c r="B4024" s="399"/>
      <c r="C4024" s="5" t="s">
        <v>84</v>
      </c>
      <c r="D4024" s="5" t="s">
        <v>9451</v>
      </c>
      <c r="E4024" s="43">
        <v>2000</v>
      </c>
      <c r="F4024" s="43"/>
      <c r="G4024" s="48">
        <f t="shared" si="98"/>
        <v>5979</v>
      </c>
      <c r="H4024" s="391" t="s">
        <v>9568</v>
      </c>
    </row>
    <row r="4025" spans="1:8" x14ac:dyDescent="0.3">
      <c r="A4025" s="45">
        <v>44765</v>
      </c>
      <c r="B4025" s="580"/>
      <c r="C4025" s="554" t="s">
        <v>7440</v>
      </c>
      <c r="D4025" s="554"/>
      <c r="E4025" s="554"/>
      <c r="F4025" s="43">
        <v>40000</v>
      </c>
      <c r="G4025" s="48">
        <f t="shared" si="98"/>
        <v>45979</v>
      </c>
      <c r="H4025" s="391" t="s">
        <v>9568</v>
      </c>
    </row>
    <row r="4026" spans="1:8" x14ac:dyDescent="0.3">
      <c r="A4026" s="45">
        <v>44765</v>
      </c>
      <c r="B4026" s="399"/>
      <c r="C4026" s="5" t="s">
        <v>9452</v>
      </c>
      <c r="D4026" s="5" t="s">
        <v>9453</v>
      </c>
      <c r="E4026" s="43">
        <v>7000</v>
      </c>
      <c r="F4026" s="43"/>
      <c r="G4026" s="48">
        <f t="shared" si="98"/>
        <v>38979</v>
      </c>
      <c r="H4026" s="391" t="s">
        <v>9568</v>
      </c>
    </row>
    <row r="4027" spans="1:8" x14ac:dyDescent="0.3">
      <c r="A4027" s="45">
        <v>44765</v>
      </c>
      <c r="B4027" s="399"/>
      <c r="C4027" s="5" t="s">
        <v>1787</v>
      </c>
      <c r="D4027" s="5" t="s">
        <v>9457</v>
      </c>
      <c r="E4027" s="43">
        <v>1500</v>
      </c>
      <c r="F4027" s="43"/>
      <c r="G4027" s="48">
        <f t="shared" si="98"/>
        <v>37479</v>
      </c>
      <c r="H4027" s="391" t="s">
        <v>9568</v>
      </c>
    </row>
    <row r="4028" spans="1:8" x14ac:dyDescent="0.3">
      <c r="A4028" s="45">
        <v>44765</v>
      </c>
      <c r="B4028" s="399"/>
      <c r="C4028" s="5" t="s">
        <v>25</v>
      </c>
      <c r="D4028" s="5" t="s">
        <v>9455</v>
      </c>
      <c r="E4028" s="43">
        <v>4570</v>
      </c>
      <c r="F4028" s="43"/>
      <c r="G4028" s="48">
        <f t="shared" si="98"/>
        <v>32909</v>
      </c>
      <c r="H4028" s="391" t="s">
        <v>9568</v>
      </c>
    </row>
    <row r="4029" spans="1:8" x14ac:dyDescent="0.3">
      <c r="A4029" s="45">
        <v>44765</v>
      </c>
      <c r="B4029" s="402"/>
      <c r="C4029" s="39" t="s">
        <v>68</v>
      </c>
      <c r="D4029" s="39" t="s">
        <v>3557</v>
      </c>
      <c r="E4029" s="40">
        <v>20000</v>
      </c>
      <c r="F4029" s="43"/>
      <c r="G4029" s="48">
        <f t="shared" si="98"/>
        <v>12909</v>
      </c>
      <c r="H4029" s="391" t="s">
        <v>9568</v>
      </c>
    </row>
    <row r="4030" spans="1:8" x14ac:dyDescent="0.3">
      <c r="A4030" s="45">
        <v>44765</v>
      </c>
      <c r="B4030" s="401"/>
      <c r="C4030" s="73" t="s">
        <v>247</v>
      </c>
      <c r="D4030" s="73" t="s">
        <v>9456</v>
      </c>
      <c r="E4030" s="183">
        <v>1000</v>
      </c>
      <c r="F4030" s="43"/>
      <c r="G4030" s="48">
        <f t="shared" si="98"/>
        <v>11909</v>
      </c>
      <c r="H4030" s="391" t="s">
        <v>9568</v>
      </c>
    </row>
    <row r="4031" spans="1:8" x14ac:dyDescent="0.3">
      <c r="A4031" s="45">
        <v>44765</v>
      </c>
      <c r="B4031" s="399"/>
      <c r="C4031" s="5" t="s">
        <v>1787</v>
      </c>
      <c r="D4031" s="5" t="s">
        <v>9457</v>
      </c>
      <c r="E4031" s="43">
        <v>2000</v>
      </c>
      <c r="F4031" s="43"/>
      <c r="G4031" s="48">
        <f t="shared" si="98"/>
        <v>9909</v>
      </c>
      <c r="H4031" s="391" t="s">
        <v>9568</v>
      </c>
    </row>
    <row r="4032" spans="1:8" x14ac:dyDescent="0.3">
      <c r="A4032" s="45">
        <v>44765</v>
      </c>
      <c r="B4032" s="399"/>
      <c r="C4032" s="5" t="s">
        <v>9458</v>
      </c>
      <c r="D4032" s="5" t="s">
        <v>9459</v>
      </c>
      <c r="E4032" s="43">
        <v>6000</v>
      </c>
      <c r="F4032" s="43"/>
      <c r="G4032" s="48">
        <f t="shared" si="98"/>
        <v>3909</v>
      </c>
      <c r="H4032" s="391" t="s">
        <v>9568</v>
      </c>
    </row>
    <row r="4033" spans="1:8" x14ac:dyDescent="0.3">
      <c r="A4033" s="45">
        <v>44769</v>
      </c>
      <c r="B4033" s="399"/>
      <c r="C4033" s="5" t="s">
        <v>25</v>
      </c>
      <c r="D4033" s="5" t="s">
        <v>9455</v>
      </c>
      <c r="E4033" s="43">
        <v>3905</v>
      </c>
      <c r="F4033" s="43"/>
      <c r="G4033" s="48">
        <f t="shared" si="98"/>
        <v>4</v>
      </c>
      <c r="H4033" s="391" t="s">
        <v>9568</v>
      </c>
    </row>
    <row r="4034" spans="1:8" x14ac:dyDescent="0.3">
      <c r="A4034" s="45">
        <v>44769</v>
      </c>
      <c r="B4034" s="580"/>
      <c r="C4034" s="554" t="s">
        <v>4106</v>
      </c>
      <c r="D4034" s="554"/>
      <c r="E4034" s="554"/>
      <c r="F4034" s="43">
        <v>100000</v>
      </c>
      <c r="G4034" s="48">
        <f t="shared" ref="G4034" si="99">G4033+F4034-E4034</f>
        <v>100004</v>
      </c>
      <c r="H4034" s="391" t="s">
        <v>9568</v>
      </c>
    </row>
    <row r="4035" spans="1:8" x14ac:dyDescent="0.3">
      <c r="A4035" s="45">
        <v>44769</v>
      </c>
      <c r="B4035" s="399"/>
      <c r="C4035" s="5" t="s">
        <v>1074</v>
      </c>
      <c r="D4035" s="5" t="s">
        <v>9006</v>
      </c>
      <c r="E4035" s="43">
        <v>62493</v>
      </c>
      <c r="F4035" s="43"/>
      <c r="G4035" s="48">
        <f t="shared" si="98"/>
        <v>37511</v>
      </c>
      <c r="H4035" s="391" t="s">
        <v>9568</v>
      </c>
    </row>
    <row r="4036" spans="1:8" x14ac:dyDescent="0.3">
      <c r="A4036" s="45">
        <v>44769</v>
      </c>
      <c r="B4036" s="399"/>
      <c r="C4036" s="5" t="s">
        <v>1074</v>
      </c>
      <c r="D4036" s="5" t="s">
        <v>8790</v>
      </c>
      <c r="E4036" s="43">
        <v>20575</v>
      </c>
      <c r="F4036" s="43"/>
      <c r="G4036" s="48">
        <f t="shared" si="98"/>
        <v>16936</v>
      </c>
      <c r="H4036" s="391" t="s">
        <v>9568</v>
      </c>
    </row>
    <row r="4037" spans="1:8" x14ac:dyDescent="0.3">
      <c r="A4037" s="45">
        <v>44769</v>
      </c>
      <c r="B4037" s="399"/>
      <c r="C4037" s="5" t="s">
        <v>84</v>
      </c>
      <c r="D4037" s="5" t="s">
        <v>9460</v>
      </c>
      <c r="E4037" s="43">
        <v>1000</v>
      </c>
      <c r="F4037" s="43"/>
      <c r="G4037" s="48">
        <f t="shared" si="98"/>
        <v>15936</v>
      </c>
      <c r="H4037" s="391" t="s">
        <v>9568</v>
      </c>
    </row>
    <row r="4038" spans="1:8" x14ac:dyDescent="0.3">
      <c r="A4038" s="45">
        <v>44769</v>
      </c>
      <c r="B4038" s="399"/>
      <c r="C4038" s="5" t="s">
        <v>1787</v>
      </c>
      <c r="D4038" s="5" t="s">
        <v>9457</v>
      </c>
      <c r="E4038" s="43">
        <v>8000</v>
      </c>
      <c r="F4038" s="43"/>
      <c r="G4038" s="48">
        <f t="shared" si="98"/>
        <v>7936</v>
      </c>
      <c r="H4038" s="391" t="s">
        <v>9568</v>
      </c>
    </row>
    <row r="4039" spans="1:8" x14ac:dyDescent="0.3">
      <c r="A4039" s="45">
        <v>44770</v>
      </c>
      <c r="B4039" s="399"/>
      <c r="C4039" s="5" t="s">
        <v>9461</v>
      </c>
      <c r="D4039" s="5" t="s">
        <v>9462</v>
      </c>
      <c r="E4039" s="43">
        <v>700</v>
      </c>
      <c r="F4039" s="43"/>
      <c r="G4039" s="48">
        <f t="shared" ref="G4039:G4117" si="100">G4038+F4039-E4039</f>
        <v>7236</v>
      </c>
      <c r="H4039" s="391" t="s">
        <v>9568</v>
      </c>
    </row>
    <row r="4040" spans="1:8" x14ac:dyDescent="0.3">
      <c r="A4040" s="45">
        <v>44770</v>
      </c>
      <c r="B4040" s="580"/>
      <c r="C4040" s="554" t="s">
        <v>7440</v>
      </c>
      <c r="D4040" s="554"/>
      <c r="E4040" s="554"/>
      <c r="F4040" s="43">
        <v>40000</v>
      </c>
      <c r="G4040" s="48">
        <f t="shared" si="100"/>
        <v>47236</v>
      </c>
      <c r="H4040" s="391" t="s">
        <v>9568</v>
      </c>
    </row>
    <row r="4041" spans="1:8" x14ac:dyDescent="0.3">
      <c r="A4041" s="45">
        <v>44770</v>
      </c>
      <c r="B4041" s="399"/>
      <c r="C4041" s="5" t="s">
        <v>68</v>
      </c>
      <c r="D4041" s="5" t="s">
        <v>3557</v>
      </c>
      <c r="E4041" s="43">
        <v>15000</v>
      </c>
      <c r="F4041" s="43"/>
      <c r="G4041" s="48">
        <f t="shared" si="100"/>
        <v>32236</v>
      </c>
      <c r="H4041" s="391" t="s">
        <v>9568</v>
      </c>
    </row>
    <row r="4042" spans="1:8" x14ac:dyDescent="0.3">
      <c r="A4042" s="45">
        <v>44770</v>
      </c>
      <c r="B4042" s="399"/>
      <c r="C4042" s="5" t="s">
        <v>1787</v>
      </c>
      <c r="D4042" s="5" t="s">
        <v>9464</v>
      </c>
      <c r="E4042" s="43">
        <v>6000</v>
      </c>
      <c r="F4042" s="43"/>
      <c r="G4042" s="48">
        <f t="shared" si="100"/>
        <v>26236</v>
      </c>
      <c r="H4042" s="391" t="s">
        <v>9568</v>
      </c>
    </row>
    <row r="4043" spans="1:8" x14ac:dyDescent="0.3">
      <c r="A4043" s="45">
        <v>44771</v>
      </c>
      <c r="B4043" s="399"/>
      <c r="C4043" s="5" t="s">
        <v>6959</v>
      </c>
      <c r="D4043" s="5" t="s">
        <v>9465</v>
      </c>
      <c r="E4043" s="43">
        <v>500</v>
      </c>
      <c r="F4043" s="43"/>
      <c r="G4043" s="48">
        <f t="shared" si="100"/>
        <v>25736</v>
      </c>
      <c r="H4043" s="391" t="s">
        <v>9568</v>
      </c>
    </row>
    <row r="4044" spans="1:8" x14ac:dyDescent="0.3">
      <c r="A4044" s="45">
        <v>44771</v>
      </c>
      <c r="B4044" s="399"/>
      <c r="C4044" s="5" t="s">
        <v>18</v>
      </c>
      <c r="D4044" s="5" t="s">
        <v>294</v>
      </c>
      <c r="E4044" s="43">
        <v>2000</v>
      </c>
      <c r="F4044" s="43"/>
      <c r="G4044" s="48">
        <f t="shared" si="100"/>
        <v>23736</v>
      </c>
      <c r="H4044" s="391" t="s">
        <v>9568</v>
      </c>
    </row>
    <row r="4045" spans="1:8" x14ac:dyDescent="0.3">
      <c r="A4045" s="45">
        <v>44771</v>
      </c>
      <c r="B4045" s="399"/>
      <c r="C4045" s="5" t="s">
        <v>84</v>
      </c>
      <c r="D4045" s="5" t="s">
        <v>9466</v>
      </c>
      <c r="E4045" s="43">
        <v>1000</v>
      </c>
      <c r="F4045" s="43"/>
      <c r="G4045" s="48">
        <f t="shared" si="100"/>
        <v>22736</v>
      </c>
      <c r="H4045" s="391" t="s">
        <v>9568</v>
      </c>
    </row>
    <row r="4046" spans="1:8" x14ac:dyDescent="0.3">
      <c r="A4046" s="45">
        <v>44771</v>
      </c>
      <c r="B4046" s="399"/>
      <c r="C4046" s="5" t="s">
        <v>84</v>
      </c>
      <c r="D4046" s="5" t="s">
        <v>9467</v>
      </c>
      <c r="E4046" s="43">
        <v>1000</v>
      </c>
      <c r="F4046" s="43"/>
      <c r="G4046" s="48">
        <f t="shared" si="100"/>
        <v>21736</v>
      </c>
      <c r="H4046" s="391" t="s">
        <v>9568</v>
      </c>
    </row>
    <row r="4047" spans="1:8" x14ac:dyDescent="0.3">
      <c r="A4047" s="45">
        <v>44771</v>
      </c>
      <c r="B4047" s="399"/>
      <c r="C4047" s="5" t="s">
        <v>84</v>
      </c>
      <c r="D4047" s="5" t="s">
        <v>9468</v>
      </c>
      <c r="E4047" s="43">
        <v>3000</v>
      </c>
      <c r="F4047" s="43"/>
      <c r="G4047" s="48">
        <f t="shared" si="100"/>
        <v>18736</v>
      </c>
      <c r="H4047" s="391" t="s">
        <v>9568</v>
      </c>
    </row>
    <row r="4048" spans="1:8" x14ac:dyDescent="0.3">
      <c r="A4048" s="45">
        <v>44771</v>
      </c>
      <c r="B4048" s="399"/>
      <c r="C4048" s="5" t="s">
        <v>14</v>
      </c>
      <c r="D4048" s="5" t="s">
        <v>294</v>
      </c>
      <c r="E4048" s="43">
        <v>3000</v>
      </c>
      <c r="F4048" s="43"/>
      <c r="G4048" s="48">
        <f t="shared" si="100"/>
        <v>15736</v>
      </c>
      <c r="H4048" s="391" t="s">
        <v>9568</v>
      </c>
    </row>
    <row r="4049" spans="1:8" x14ac:dyDescent="0.3">
      <c r="A4049" s="45">
        <v>44771</v>
      </c>
      <c r="B4049" s="399"/>
      <c r="C4049" s="5" t="s">
        <v>25</v>
      </c>
      <c r="D4049" s="5" t="s">
        <v>9370</v>
      </c>
      <c r="E4049" s="43">
        <v>5680</v>
      </c>
      <c r="F4049" s="43"/>
      <c r="G4049" s="48">
        <f t="shared" si="100"/>
        <v>10056</v>
      </c>
      <c r="H4049" s="391" t="s">
        <v>9568</v>
      </c>
    </row>
    <row r="4050" spans="1:8" x14ac:dyDescent="0.3">
      <c r="A4050" s="45">
        <v>44772</v>
      </c>
      <c r="B4050" s="399"/>
      <c r="C4050" s="5" t="s">
        <v>14</v>
      </c>
      <c r="D4050" s="5" t="s">
        <v>294</v>
      </c>
      <c r="E4050" s="43">
        <v>3000</v>
      </c>
      <c r="F4050" s="43"/>
      <c r="G4050" s="48">
        <f t="shared" si="100"/>
        <v>7056</v>
      </c>
      <c r="H4050" s="391" t="s">
        <v>9568</v>
      </c>
    </row>
    <row r="4051" spans="1:8" x14ac:dyDescent="0.3">
      <c r="A4051" s="45">
        <v>44772</v>
      </c>
      <c r="B4051" s="580"/>
      <c r="C4051" s="554" t="s">
        <v>7440</v>
      </c>
      <c r="D4051" s="554"/>
      <c r="E4051" s="554"/>
      <c r="F4051" s="43">
        <v>40000</v>
      </c>
      <c r="G4051" s="48">
        <f>G4050+F4051-E4051</f>
        <v>47056</v>
      </c>
      <c r="H4051" s="391" t="s">
        <v>9568</v>
      </c>
    </row>
    <row r="4052" spans="1:8" x14ac:dyDescent="0.3">
      <c r="A4052" s="45">
        <v>44772</v>
      </c>
      <c r="B4052" s="399"/>
      <c r="C4052" s="5" t="s">
        <v>9469</v>
      </c>
      <c r="D4052" s="5" t="s">
        <v>9470</v>
      </c>
      <c r="E4052" s="43">
        <v>7500</v>
      </c>
      <c r="F4052" s="43"/>
      <c r="G4052" s="48">
        <f t="shared" si="100"/>
        <v>39556</v>
      </c>
      <c r="H4052" s="391" t="s">
        <v>9568</v>
      </c>
    </row>
    <row r="4053" spans="1:8" x14ac:dyDescent="0.3">
      <c r="A4053" s="45">
        <v>44772</v>
      </c>
      <c r="B4053" s="399"/>
      <c r="C4053" s="5" t="s">
        <v>68</v>
      </c>
      <c r="D4053" s="5" t="s">
        <v>3557</v>
      </c>
      <c r="E4053" s="43">
        <v>30000</v>
      </c>
      <c r="F4053" s="43"/>
      <c r="G4053" s="48">
        <f t="shared" si="100"/>
        <v>9556</v>
      </c>
      <c r="H4053" s="391" t="s">
        <v>9568</v>
      </c>
    </row>
    <row r="4054" spans="1:8" x14ac:dyDescent="0.3">
      <c r="A4054" s="45">
        <v>44772</v>
      </c>
      <c r="B4054" s="399"/>
      <c r="C4054" s="5" t="s">
        <v>25</v>
      </c>
      <c r="D4054" s="5" t="s">
        <v>2007</v>
      </c>
      <c r="E4054" s="43">
        <v>800</v>
      </c>
      <c r="F4054" s="43"/>
      <c r="G4054" s="48">
        <f t="shared" si="100"/>
        <v>8756</v>
      </c>
      <c r="H4054" s="391" t="s">
        <v>9568</v>
      </c>
    </row>
    <row r="4055" spans="1:8" x14ac:dyDescent="0.3">
      <c r="A4055" s="45">
        <v>44772</v>
      </c>
      <c r="B4055" s="399"/>
      <c r="C4055" s="5" t="s">
        <v>25</v>
      </c>
      <c r="D4055" s="5" t="s">
        <v>9370</v>
      </c>
      <c r="E4055" s="43">
        <v>2780</v>
      </c>
      <c r="F4055" s="43"/>
      <c r="G4055" s="48">
        <f t="shared" si="100"/>
        <v>5976</v>
      </c>
      <c r="H4055" s="391" t="s">
        <v>9568</v>
      </c>
    </row>
    <row r="4056" spans="1:8" x14ac:dyDescent="0.3">
      <c r="A4056" s="45">
        <v>44772</v>
      </c>
      <c r="B4056" s="580"/>
      <c r="C4056" s="554" t="s">
        <v>7440</v>
      </c>
      <c r="D4056" s="554"/>
      <c r="E4056" s="554"/>
      <c r="F4056" s="43">
        <v>5000</v>
      </c>
      <c r="G4056" s="48">
        <f>G4055+F4056-E4056</f>
        <v>10976</v>
      </c>
      <c r="H4056" s="391" t="s">
        <v>9568</v>
      </c>
    </row>
    <row r="4057" spans="1:8" x14ac:dyDescent="0.3">
      <c r="A4057" s="45">
        <v>44772</v>
      </c>
      <c r="B4057" s="404"/>
      <c r="C4057" s="41" t="s">
        <v>54</v>
      </c>
      <c r="D4057" s="41" t="s">
        <v>9477</v>
      </c>
      <c r="E4057" s="42">
        <v>2000</v>
      </c>
      <c r="F4057" s="43"/>
      <c r="G4057" s="48">
        <f t="shared" si="100"/>
        <v>8976</v>
      </c>
      <c r="H4057" s="391" t="s">
        <v>9568</v>
      </c>
    </row>
    <row r="4058" spans="1:8" x14ac:dyDescent="0.3">
      <c r="A4058" s="45">
        <v>44772</v>
      </c>
      <c r="B4058" s="399"/>
      <c r="C4058" s="5" t="s">
        <v>84</v>
      </c>
      <c r="D4058" s="5" t="s">
        <v>9474</v>
      </c>
      <c r="E4058" s="43">
        <v>3000</v>
      </c>
      <c r="F4058" s="43"/>
      <c r="G4058" s="48">
        <f t="shared" si="100"/>
        <v>5976</v>
      </c>
      <c r="H4058" s="391" t="s">
        <v>9568</v>
      </c>
    </row>
    <row r="4059" spans="1:8" x14ac:dyDescent="0.3">
      <c r="A4059" s="45">
        <v>44774</v>
      </c>
      <c r="B4059" s="580"/>
      <c r="C4059" s="554" t="s">
        <v>4362</v>
      </c>
      <c r="D4059" s="554"/>
      <c r="E4059" s="554"/>
      <c r="F4059" s="43">
        <v>1000</v>
      </c>
      <c r="G4059" s="48">
        <f t="shared" si="100"/>
        <v>6976</v>
      </c>
      <c r="H4059" s="391" t="s">
        <v>9568</v>
      </c>
    </row>
    <row r="4060" spans="1:8" x14ac:dyDescent="0.3">
      <c r="A4060" s="45">
        <v>44774</v>
      </c>
      <c r="B4060" s="399"/>
      <c r="C4060" s="5" t="s">
        <v>4550</v>
      </c>
      <c r="D4060" s="5" t="s">
        <v>8757</v>
      </c>
      <c r="E4060" s="43">
        <v>1000</v>
      </c>
      <c r="F4060" s="43"/>
      <c r="G4060" s="48">
        <f t="shared" si="100"/>
        <v>5976</v>
      </c>
      <c r="H4060" s="391" t="s">
        <v>9568</v>
      </c>
    </row>
    <row r="4061" spans="1:8" x14ac:dyDescent="0.3">
      <c r="A4061" s="45">
        <v>44774</v>
      </c>
      <c r="B4061" s="580"/>
      <c r="C4061" s="554" t="s">
        <v>4106</v>
      </c>
      <c r="D4061" s="554"/>
      <c r="E4061" s="554"/>
      <c r="F4061" s="43">
        <v>100000</v>
      </c>
      <c r="G4061" s="48">
        <f t="shared" si="100"/>
        <v>105976</v>
      </c>
      <c r="H4061" s="391" t="s">
        <v>9568</v>
      </c>
    </row>
    <row r="4062" spans="1:8" x14ac:dyDescent="0.3">
      <c r="A4062" s="45">
        <v>44774</v>
      </c>
      <c r="B4062" s="399"/>
      <c r="C4062" s="5" t="s">
        <v>68</v>
      </c>
      <c r="D4062" s="5" t="s">
        <v>3557</v>
      </c>
      <c r="E4062" s="43">
        <v>10000</v>
      </c>
      <c r="F4062" s="43"/>
      <c r="G4062" s="48">
        <f t="shared" si="100"/>
        <v>95976</v>
      </c>
      <c r="H4062" s="391" t="s">
        <v>9568</v>
      </c>
    </row>
    <row r="4063" spans="1:8" x14ac:dyDescent="0.3">
      <c r="A4063" s="45">
        <v>44774</v>
      </c>
      <c r="B4063" s="399"/>
      <c r="C4063" s="5" t="s">
        <v>9475</v>
      </c>
      <c r="D4063" s="5" t="s">
        <v>9476</v>
      </c>
      <c r="E4063" s="43">
        <v>2200</v>
      </c>
      <c r="F4063" s="43"/>
      <c r="G4063" s="48">
        <f t="shared" si="100"/>
        <v>93776</v>
      </c>
      <c r="H4063" s="391" t="s">
        <v>9568</v>
      </c>
    </row>
    <row r="4064" spans="1:8" x14ac:dyDescent="0.3">
      <c r="A4064" s="45">
        <v>44774</v>
      </c>
      <c r="B4064" s="399"/>
      <c r="C4064" s="5" t="s">
        <v>9044</v>
      </c>
      <c r="D4064" s="5" t="s">
        <v>9489</v>
      </c>
      <c r="E4064" s="43">
        <v>25000</v>
      </c>
      <c r="F4064" s="43"/>
      <c r="G4064" s="48">
        <f t="shared" si="100"/>
        <v>68776</v>
      </c>
      <c r="H4064" s="391" t="s">
        <v>9568</v>
      </c>
    </row>
    <row r="4065" spans="1:8" x14ac:dyDescent="0.3">
      <c r="A4065" s="45">
        <v>44774</v>
      </c>
      <c r="B4065" s="399"/>
      <c r="C4065" s="5" t="s">
        <v>18</v>
      </c>
      <c r="D4065" s="5" t="s">
        <v>9490</v>
      </c>
      <c r="E4065" s="43">
        <v>1000</v>
      </c>
      <c r="F4065" s="43"/>
      <c r="G4065" s="48">
        <f t="shared" si="100"/>
        <v>67776</v>
      </c>
      <c r="H4065" s="391" t="s">
        <v>9568</v>
      </c>
    </row>
    <row r="4066" spans="1:8" x14ac:dyDescent="0.3">
      <c r="A4066" s="45">
        <v>44774</v>
      </c>
      <c r="B4066" s="399"/>
      <c r="C4066" s="5" t="s">
        <v>68</v>
      </c>
      <c r="D4066" s="5" t="s">
        <v>3557</v>
      </c>
      <c r="E4066" s="43">
        <v>5000</v>
      </c>
      <c r="F4066" s="43"/>
      <c r="G4066" s="48">
        <f t="shared" si="100"/>
        <v>62776</v>
      </c>
      <c r="H4066" s="391" t="s">
        <v>9568</v>
      </c>
    </row>
    <row r="4067" spans="1:8" x14ac:dyDescent="0.3">
      <c r="A4067" s="45">
        <v>44774</v>
      </c>
      <c r="B4067" s="399"/>
      <c r="C4067" s="5" t="s">
        <v>14</v>
      </c>
      <c r="D4067" s="5" t="s">
        <v>3183</v>
      </c>
      <c r="E4067" s="43">
        <v>25000</v>
      </c>
      <c r="F4067" s="43"/>
      <c r="G4067" s="48">
        <f t="shared" si="100"/>
        <v>37776</v>
      </c>
      <c r="H4067" s="391" t="s">
        <v>9568</v>
      </c>
    </row>
    <row r="4068" spans="1:8" x14ac:dyDescent="0.3">
      <c r="A4068" s="45">
        <v>44775</v>
      </c>
      <c r="B4068" s="399"/>
      <c r="C4068" s="5" t="s">
        <v>4550</v>
      </c>
      <c r="D4068" s="5" t="s">
        <v>294</v>
      </c>
      <c r="E4068" s="43">
        <v>10000</v>
      </c>
      <c r="F4068" s="43"/>
      <c r="G4068" s="48">
        <f t="shared" si="100"/>
        <v>27776</v>
      </c>
      <c r="H4068" s="391" t="s">
        <v>9568</v>
      </c>
    </row>
    <row r="4069" spans="1:8" x14ac:dyDescent="0.3">
      <c r="A4069" s="45">
        <v>44775</v>
      </c>
      <c r="B4069" s="399"/>
      <c r="C4069" s="5" t="s">
        <v>1074</v>
      </c>
      <c r="D4069" s="5" t="s">
        <v>9491</v>
      </c>
      <c r="E4069" s="43">
        <v>250</v>
      </c>
      <c r="F4069" s="43"/>
      <c r="G4069" s="48">
        <f t="shared" si="100"/>
        <v>27526</v>
      </c>
      <c r="H4069" s="391" t="s">
        <v>9568</v>
      </c>
    </row>
    <row r="4070" spans="1:8" x14ac:dyDescent="0.3">
      <c r="A4070" s="45">
        <v>44775</v>
      </c>
      <c r="B4070" s="399"/>
      <c r="C4070" s="5" t="s">
        <v>1074</v>
      </c>
      <c r="D4070" s="5" t="s">
        <v>9492</v>
      </c>
      <c r="E4070" s="43">
        <v>730</v>
      </c>
      <c r="F4070" s="43"/>
      <c r="G4070" s="48">
        <f t="shared" si="100"/>
        <v>26796</v>
      </c>
      <c r="H4070" s="391" t="s">
        <v>9568</v>
      </c>
    </row>
    <row r="4071" spans="1:8" x14ac:dyDescent="0.3">
      <c r="A4071" s="45">
        <v>44775</v>
      </c>
      <c r="B4071" s="399"/>
      <c r="C4071" s="5" t="s">
        <v>1616</v>
      </c>
      <c r="D4071" s="5" t="s">
        <v>1008</v>
      </c>
      <c r="E4071" s="43">
        <v>1500</v>
      </c>
      <c r="F4071" s="43"/>
      <c r="G4071" s="48">
        <f t="shared" si="100"/>
        <v>25296</v>
      </c>
      <c r="H4071" s="391" t="s">
        <v>9568</v>
      </c>
    </row>
    <row r="4072" spans="1:8" x14ac:dyDescent="0.3">
      <c r="A4072" s="45">
        <v>44775</v>
      </c>
      <c r="B4072" s="399"/>
      <c r="C4072" s="5" t="s">
        <v>1616</v>
      </c>
      <c r="D4072" s="5" t="s">
        <v>7002</v>
      </c>
      <c r="E4072" s="43">
        <v>700</v>
      </c>
      <c r="F4072" s="43"/>
      <c r="G4072" s="48">
        <f t="shared" si="100"/>
        <v>24596</v>
      </c>
      <c r="H4072" s="391" t="s">
        <v>9568</v>
      </c>
    </row>
    <row r="4073" spans="1:8" x14ac:dyDescent="0.3">
      <c r="A4073" s="45">
        <v>44775</v>
      </c>
      <c r="B4073" s="399"/>
      <c r="C4073" s="5" t="s">
        <v>2175</v>
      </c>
      <c r="D4073" s="5" t="s">
        <v>9494</v>
      </c>
      <c r="E4073" s="43">
        <v>5000</v>
      </c>
      <c r="F4073" s="43"/>
      <c r="G4073" s="48">
        <f t="shared" si="100"/>
        <v>19596</v>
      </c>
      <c r="H4073" s="391" t="s">
        <v>9568</v>
      </c>
    </row>
    <row r="4074" spans="1:8" x14ac:dyDescent="0.3">
      <c r="A4074" s="45">
        <v>44775</v>
      </c>
      <c r="B4074" s="399"/>
      <c r="C4074" s="5" t="s">
        <v>91</v>
      </c>
      <c r="D4074" s="5" t="s">
        <v>2444</v>
      </c>
      <c r="E4074" s="43">
        <v>650</v>
      </c>
      <c r="F4074" s="43"/>
      <c r="G4074" s="48">
        <f t="shared" si="100"/>
        <v>18946</v>
      </c>
      <c r="H4074" s="391" t="s">
        <v>9568</v>
      </c>
    </row>
    <row r="4075" spans="1:8" x14ac:dyDescent="0.3">
      <c r="A4075" s="45">
        <v>44775</v>
      </c>
      <c r="B4075" s="399"/>
      <c r="C4075" s="5" t="s">
        <v>84</v>
      </c>
      <c r="D4075" s="5" t="s">
        <v>9496</v>
      </c>
      <c r="E4075" s="43">
        <v>2300</v>
      </c>
      <c r="F4075" s="43"/>
      <c r="G4075" s="48">
        <f t="shared" si="100"/>
        <v>16646</v>
      </c>
      <c r="H4075" s="391" t="s">
        <v>9568</v>
      </c>
    </row>
    <row r="4076" spans="1:8" x14ac:dyDescent="0.3">
      <c r="A4076" s="45">
        <v>44775</v>
      </c>
      <c r="B4076" s="399"/>
      <c r="C4076" s="5" t="s">
        <v>6430</v>
      </c>
      <c r="D4076" s="5" t="s">
        <v>9497</v>
      </c>
      <c r="E4076" s="43">
        <v>1000</v>
      </c>
      <c r="F4076" s="43"/>
      <c r="G4076" s="48">
        <f t="shared" si="100"/>
        <v>15646</v>
      </c>
      <c r="H4076" s="391" t="s">
        <v>9568</v>
      </c>
    </row>
    <row r="4077" spans="1:8" x14ac:dyDescent="0.3">
      <c r="A4077" s="45">
        <v>44777</v>
      </c>
      <c r="B4077" s="399"/>
      <c r="C4077" s="5" t="s">
        <v>25</v>
      </c>
      <c r="D4077" s="5" t="s">
        <v>9302</v>
      </c>
      <c r="E4077" s="43">
        <v>5060</v>
      </c>
      <c r="F4077" s="43"/>
      <c r="G4077" s="48">
        <f t="shared" si="100"/>
        <v>10586</v>
      </c>
      <c r="H4077" s="391" t="s">
        <v>9568</v>
      </c>
    </row>
    <row r="4078" spans="1:8" x14ac:dyDescent="0.3">
      <c r="A4078" s="45">
        <v>44777</v>
      </c>
      <c r="B4078" s="399"/>
      <c r="C4078" s="5" t="s">
        <v>5156</v>
      </c>
      <c r="D4078" s="5" t="s">
        <v>9241</v>
      </c>
      <c r="E4078" s="43">
        <v>720</v>
      </c>
      <c r="F4078" s="40"/>
      <c r="G4078" s="48">
        <f t="shared" si="100"/>
        <v>9866</v>
      </c>
      <c r="H4078" s="391" t="s">
        <v>9568</v>
      </c>
    </row>
    <row r="4079" spans="1:8" x14ac:dyDescent="0.3">
      <c r="A4079" s="45">
        <v>44777</v>
      </c>
      <c r="B4079" s="399"/>
      <c r="C4079" s="5" t="s">
        <v>5156</v>
      </c>
      <c r="D4079" s="5" t="s">
        <v>9377</v>
      </c>
      <c r="E4079" s="43">
        <v>435</v>
      </c>
      <c r="F4079" s="40"/>
      <c r="G4079" s="48">
        <f t="shared" si="100"/>
        <v>9431</v>
      </c>
      <c r="H4079" s="391" t="s">
        <v>9568</v>
      </c>
    </row>
    <row r="4080" spans="1:8" x14ac:dyDescent="0.3">
      <c r="A4080" s="45">
        <v>44777</v>
      </c>
      <c r="B4080" s="399"/>
      <c r="C4080" s="5" t="s">
        <v>247</v>
      </c>
      <c r="D4080" s="5" t="s">
        <v>2013</v>
      </c>
      <c r="E4080" s="43">
        <v>345</v>
      </c>
      <c r="F4080" s="40"/>
      <c r="G4080" s="48">
        <f t="shared" ref="G4080:G4081" si="101">G4079+F4080-E4080</f>
        <v>9086</v>
      </c>
      <c r="H4080" s="391" t="s">
        <v>9568</v>
      </c>
    </row>
    <row r="4081" spans="1:8" x14ac:dyDescent="0.3">
      <c r="A4081" s="45">
        <v>44777</v>
      </c>
      <c r="B4081" s="401"/>
      <c r="C4081" s="73" t="s">
        <v>5156</v>
      </c>
      <c r="D4081" s="73" t="s">
        <v>9241</v>
      </c>
      <c r="E4081" s="58">
        <v>400</v>
      </c>
      <c r="F4081" s="43"/>
      <c r="G4081" s="48">
        <f t="shared" si="101"/>
        <v>8686</v>
      </c>
      <c r="H4081" s="391" t="s">
        <v>9568</v>
      </c>
    </row>
    <row r="4082" spans="1:8" x14ac:dyDescent="0.3">
      <c r="A4082" s="45">
        <v>44777</v>
      </c>
      <c r="B4082" s="580"/>
      <c r="C4082" s="554" t="s">
        <v>7440</v>
      </c>
      <c r="D4082" s="554"/>
      <c r="E4082" s="554"/>
      <c r="F4082" s="43">
        <v>945000</v>
      </c>
      <c r="G4082" s="48">
        <f>G4081+F4082-E4082</f>
        <v>953686</v>
      </c>
      <c r="H4082" s="391" t="s">
        <v>9568</v>
      </c>
    </row>
    <row r="4083" spans="1:8" x14ac:dyDescent="0.3">
      <c r="A4083" s="45">
        <v>44777</v>
      </c>
      <c r="B4083" s="399"/>
      <c r="C4083" s="5" t="s">
        <v>68</v>
      </c>
      <c r="D4083" s="5" t="s">
        <v>3557</v>
      </c>
      <c r="E4083" s="43">
        <v>15000</v>
      </c>
      <c r="F4083" s="40"/>
      <c r="G4083" s="48">
        <f t="shared" ref="G4083:G4110" si="102">G4082+F4083-E4083</f>
        <v>938686</v>
      </c>
      <c r="H4083" s="391" t="s">
        <v>9568</v>
      </c>
    </row>
    <row r="4084" spans="1:8" x14ac:dyDescent="0.3">
      <c r="A4084" s="45">
        <v>44777</v>
      </c>
      <c r="B4084" s="399"/>
      <c r="C4084" s="5" t="s">
        <v>84</v>
      </c>
      <c r="D4084" s="5" t="s">
        <v>9501</v>
      </c>
      <c r="E4084" s="43">
        <v>8000</v>
      </c>
      <c r="F4084" s="40"/>
      <c r="G4084" s="48">
        <f t="shared" si="102"/>
        <v>930686</v>
      </c>
      <c r="H4084" s="391" t="s">
        <v>9568</v>
      </c>
    </row>
    <row r="4085" spans="1:8" x14ac:dyDescent="0.3">
      <c r="A4085" s="45">
        <v>44777</v>
      </c>
      <c r="B4085" s="404"/>
      <c r="C4085" s="41" t="s">
        <v>54</v>
      </c>
      <c r="D4085" s="41" t="s">
        <v>156</v>
      </c>
      <c r="E4085" s="42">
        <v>57601</v>
      </c>
      <c r="F4085" s="43"/>
      <c r="G4085" s="48">
        <f t="shared" si="102"/>
        <v>873085</v>
      </c>
      <c r="H4085" s="391" t="s">
        <v>9568</v>
      </c>
    </row>
    <row r="4086" spans="1:8" x14ac:dyDescent="0.3">
      <c r="A4086" s="45">
        <v>44777</v>
      </c>
      <c r="B4086" s="404"/>
      <c r="C4086" s="41" t="s">
        <v>54</v>
      </c>
      <c r="D4086" s="41" t="s">
        <v>9500</v>
      </c>
      <c r="E4086" s="42">
        <v>32375</v>
      </c>
      <c r="F4086" s="43"/>
      <c r="G4086" s="48">
        <f t="shared" si="102"/>
        <v>840710</v>
      </c>
      <c r="H4086" s="391" t="s">
        <v>9568</v>
      </c>
    </row>
    <row r="4087" spans="1:8" x14ac:dyDescent="0.3">
      <c r="A4087" s="45">
        <v>44777</v>
      </c>
      <c r="B4087" s="404"/>
      <c r="C4087" s="41" t="s">
        <v>54</v>
      </c>
      <c r="D4087" s="41" t="s">
        <v>9512</v>
      </c>
      <c r="E4087" s="42">
        <v>31140</v>
      </c>
      <c r="F4087" s="43"/>
      <c r="G4087" s="48">
        <f t="shared" si="102"/>
        <v>809570</v>
      </c>
      <c r="H4087" s="391" t="s">
        <v>9568</v>
      </c>
    </row>
    <row r="4088" spans="1:8" x14ac:dyDescent="0.3">
      <c r="A4088" s="45">
        <v>44777</v>
      </c>
      <c r="B4088" s="404"/>
      <c r="C4088" s="41" t="s">
        <v>54</v>
      </c>
      <c r="D4088" s="41" t="s">
        <v>9513</v>
      </c>
      <c r="E4088" s="42">
        <v>21260</v>
      </c>
      <c r="F4088" s="43"/>
      <c r="G4088" s="48">
        <f t="shared" ref="G4088:G4091" si="103">G4087+F4088-E4088</f>
        <v>788310</v>
      </c>
      <c r="H4088" s="391" t="s">
        <v>9568</v>
      </c>
    </row>
    <row r="4089" spans="1:8" x14ac:dyDescent="0.3">
      <c r="A4089" s="45">
        <v>44777</v>
      </c>
      <c r="B4089" s="404"/>
      <c r="C4089" s="41" t="s">
        <v>54</v>
      </c>
      <c r="D4089" s="41" t="s">
        <v>9413</v>
      </c>
      <c r="E4089" s="42">
        <v>23065</v>
      </c>
      <c r="F4089" s="43"/>
      <c r="G4089" s="48">
        <f t="shared" si="103"/>
        <v>765245</v>
      </c>
      <c r="H4089" s="391" t="s">
        <v>9568</v>
      </c>
    </row>
    <row r="4090" spans="1:8" x14ac:dyDescent="0.3">
      <c r="A4090" s="45">
        <v>44777</v>
      </c>
      <c r="B4090" s="404"/>
      <c r="C4090" s="41" t="s">
        <v>54</v>
      </c>
      <c r="D4090" s="41" t="s">
        <v>6952</v>
      </c>
      <c r="E4090" s="42">
        <v>34800</v>
      </c>
      <c r="F4090" s="43"/>
      <c r="G4090" s="48">
        <f t="shared" si="103"/>
        <v>730445</v>
      </c>
      <c r="H4090" s="391" t="s">
        <v>9568</v>
      </c>
    </row>
    <row r="4091" spans="1:8" x14ac:dyDescent="0.3">
      <c r="A4091" s="45">
        <v>44777</v>
      </c>
      <c r="B4091" s="401"/>
      <c r="C4091" s="73" t="s">
        <v>5156</v>
      </c>
      <c r="D4091" s="73" t="s">
        <v>6363</v>
      </c>
      <c r="E4091" s="58">
        <v>760</v>
      </c>
      <c r="F4091" s="43"/>
      <c r="G4091" s="48">
        <f t="shared" si="103"/>
        <v>729685</v>
      </c>
      <c r="H4091" s="391" t="s">
        <v>9568</v>
      </c>
    </row>
    <row r="4092" spans="1:8" x14ac:dyDescent="0.3">
      <c r="A4092" s="45">
        <v>44777</v>
      </c>
      <c r="B4092" s="401"/>
      <c r="C4092" s="73" t="s">
        <v>5156</v>
      </c>
      <c r="D4092" s="73" t="s">
        <v>6363</v>
      </c>
      <c r="E4092" s="58">
        <v>60</v>
      </c>
      <c r="F4092" s="43"/>
      <c r="G4092" s="48">
        <f t="shared" si="102"/>
        <v>729625</v>
      </c>
      <c r="H4092" s="391" t="s">
        <v>9568</v>
      </c>
    </row>
    <row r="4093" spans="1:8" x14ac:dyDescent="0.3">
      <c r="A4093" s="45">
        <v>44777</v>
      </c>
      <c r="B4093" s="399"/>
      <c r="C4093" s="5" t="s">
        <v>5162</v>
      </c>
      <c r="D4093" s="5" t="s">
        <v>8922</v>
      </c>
      <c r="E4093" s="43">
        <v>700</v>
      </c>
      <c r="F4093" s="43"/>
      <c r="G4093" s="48">
        <f t="shared" si="102"/>
        <v>728925</v>
      </c>
      <c r="H4093" s="391" t="s">
        <v>9568</v>
      </c>
    </row>
    <row r="4094" spans="1:8" x14ac:dyDescent="0.3">
      <c r="A4094" s="45">
        <v>44777</v>
      </c>
      <c r="B4094" s="399"/>
      <c r="C4094" s="5" t="s">
        <v>1787</v>
      </c>
      <c r="D4094" s="5" t="s">
        <v>9503</v>
      </c>
      <c r="E4094" s="43">
        <v>7000</v>
      </c>
      <c r="F4094" s="43"/>
      <c r="G4094" s="48">
        <f t="shared" si="102"/>
        <v>721925</v>
      </c>
      <c r="H4094" s="391" t="s">
        <v>9568</v>
      </c>
    </row>
    <row r="4095" spans="1:8" x14ac:dyDescent="0.3">
      <c r="A4095" s="45">
        <v>44777</v>
      </c>
      <c r="B4095" s="399"/>
      <c r="C4095" s="5" t="s">
        <v>9458</v>
      </c>
      <c r="D4095" s="5" t="s">
        <v>9504</v>
      </c>
      <c r="E4095" s="43">
        <v>3000</v>
      </c>
      <c r="F4095" s="43"/>
      <c r="G4095" s="48">
        <f t="shared" si="102"/>
        <v>718925</v>
      </c>
      <c r="H4095" s="391" t="s">
        <v>9568</v>
      </c>
    </row>
    <row r="4096" spans="1:8" x14ac:dyDescent="0.3">
      <c r="A4096" s="45">
        <v>44777</v>
      </c>
      <c r="B4096" s="434"/>
      <c r="C4096" s="388" t="s">
        <v>6908</v>
      </c>
      <c r="D4096" s="388" t="s">
        <v>9505</v>
      </c>
      <c r="E4096" s="389">
        <v>10000</v>
      </c>
      <c r="F4096" s="43"/>
      <c r="G4096" s="48">
        <f t="shared" si="102"/>
        <v>708925</v>
      </c>
      <c r="H4096" s="391" t="s">
        <v>9568</v>
      </c>
    </row>
    <row r="4097" spans="1:14" x14ac:dyDescent="0.3">
      <c r="A4097" s="45">
        <v>44777</v>
      </c>
      <c r="B4097" s="399"/>
      <c r="C4097" s="5" t="s">
        <v>25</v>
      </c>
      <c r="D4097" s="5" t="s">
        <v>5108</v>
      </c>
      <c r="E4097" s="43">
        <v>1000</v>
      </c>
      <c r="F4097" s="43"/>
      <c r="G4097" s="48">
        <f t="shared" si="102"/>
        <v>707925</v>
      </c>
      <c r="H4097" s="391" t="s">
        <v>9568</v>
      </c>
    </row>
    <row r="4098" spans="1:14" x14ac:dyDescent="0.3">
      <c r="A4098" s="45">
        <v>44777</v>
      </c>
      <c r="B4098" s="399"/>
      <c r="C4098" s="5" t="s">
        <v>9519</v>
      </c>
      <c r="D4098" s="5" t="s">
        <v>9520</v>
      </c>
      <c r="E4098" s="43">
        <v>1320</v>
      </c>
      <c r="F4098" s="43"/>
      <c r="G4098" s="48">
        <f t="shared" si="102"/>
        <v>706605</v>
      </c>
      <c r="H4098" s="391" t="s">
        <v>9568</v>
      </c>
    </row>
    <row r="4099" spans="1:14" x14ac:dyDescent="0.3">
      <c r="A4099" s="45">
        <v>44778</v>
      </c>
      <c r="B4099" s="404"/>
      <c r="C4099" s="41" t="s">
        <v>54</v>
      </c>
      <c r="D4099" s="41" t="s">
        <v>6842</v>
      </c>
      <c r="E4099" s="42">
        <v>115000</v>
      </c>
      <c r="F4099" s="43"/>
      <c r="G4099" s="48">
        <f t="shared" si="102"/>
        <v>591605</v>
      </c>
      <c r="H4099" s="391" t="s">
        <v>9568</v>
      </c>
    </row>
    <row r="4100" spans="1:14" x14ac:dyDescent="0.3">
      <c r="A4100" s="45">
        <v>44778</v>
      </c>
      <c r="B4100" s="404"/>
      <c r="C4100" s="41" t="s">
        <v>54</v>
      </c>
      <c r="D4100" s="41" t="s">
        <v>8636</v>
      </c>
      <c r="E4100" s="42">
        <v>155435</v>
      </c>
      <c r="F4100" s="43"/>
      <c r="G4100" s="48">
        <f t="shared" si="102"/>
        <v>436170</v>
      </c>
      <c r="H4100" s="391" t="s">
        <v>9568</v>
      </c>
    </row>
    <row r="4101" spans="1:14" x14ac:dyDescent="0.3">
      <c r="A4101" s="45">
        <v>44778</v>
      </c>
      <c r="B4101" s="404"/>
      <c r="C4101" s="41" t="s">
        <v>54</v>
      </c>
      <c r="D4101" s="41" t="s">
        <v>8637</v>
      </c>
      <c r="E4101" s="42">
        <v>112794</v>
      </c>
      <c r="F4101" s="43"/>
      <c r="G4101" s="48">
        <f t="shared" si="102"/>
        <v>323376</v>
      </c>
      <c r="H4101" s="391" t="s">
        <v>9568</v>
      </c>
    </row>
    <row r="4102" spans="1:14" x14ac:dyDescent="0.3">
      <c r="A4102" s="45">
        <v>44778</v>
      </c>
      <c r="B4102" s="399"/>
      <c r="C4102" s="5" t="s">
        <v>25</v>
      </c>
      <c r="D4102" s="5" t="s">
        <v>9507</v>
      </c>
      <c r="E4102" s="43">
        <v>250</v>
      </c>
      <c r="F4102" s="43"/>
      <c r="G4102" s="48">
        <f>G4101+F4102-E4102</f>
        <v>323126</v>
      </c>
      <c r="H4102" s="391" t="s">
        <v>9568</v>
      </c>
    </row>
    <row r="4103" spans="1:14" x14ac:dyDescent="0.3">
      <c r="A4103" s="45">
        <v>44778</v>
      </c>
      <c r="B4103" s="399"/>
      <c r="C4103" s="5" t="s">
        <v>25</v>
      </c>
      <c r="D4103" s="5" t="s">
        <v>9506</v>
      </c>
      <c r="E4103" s="43">
        <f>150+350</f>
        <v>500</v>
      </c>
      <c r="F4103" s="43"/>
      <c r="G4103" s="48">
        <f t="shared" si="102"/>
        <v>322626</v>
      </c>
      <c r="H4103" s="391" t="s">
        <v>9568</v>
      </c>
    </row>
    <row r="4104" spans="1:14" x14ac:dyDescent="0.3">
      <c r="A4104" s="45">
        <v>44778</v>
      </c>
      <c r="B4104" s="399"/>
      <c r="C4104" s="5" t="s">
        <v>6430</v>
      </c>
      <c r="D4104" s="5" t="s">
        <v>3183</v>
      </c>
      <c r="E4104" s="43">
        <v>5000</v>
      </c>
      <c r="F4104" s="43"/>
      <c r="G4104" s="48">
        <f t="shared" si="102"/>
        <v>317626</v>
      </c>
      <c r="H4104" s="391" t="s">
        <v>9568</v>
      </c>
    </row>
    <row r="4105" spans="1:14" x14ac:dyDescent="0.3">
      <c r="A4105" s="45">
        <v>44778</v>
      </c>
      <c r="B4105" s="399"/>
      <c r="C4105" s="5" t="s">
        <v>68</v>
      </c>
      <c r="D4105" s="5" t="s">
        <v>3183</v>
      </c>
      <c r="E4105" s="43">
        <v>10000</v>
      </c>
      <c r="F4105" s="43"/>
      <c r="G4105" s="48">
        <f t="shared" si="102"/>
        <v>307626</v>
      </c>
      <c r="H4105" s="391" t="s">
        <v>9568</v>
      </c>
    </row>
    <row r="4106" spans="1:14" x14ac:dyDescent="0.3">
      <c r="A4106" s="45">
        <v>44778</v>
      </c>
      <c r="B4106" s="399"/>
      <c r="C4106" s="5" t="s">
        <v>6931</v>
      </c>
      <c r="D4106" s="5" t="s">
        <v>9514</v>
      </c>
      <c r="E4106" s="43">
        <v>3000</v>
      </c>
      <c r="F4106" s="43"/>
      <c r="G4106" s="48">
        <f t="shared" si="102"/>
        <v>304626</v>
      </c>
      <c r="H4106" s="391" t="s">
        <v>9568</v>
      </c>
    </row>
    <row r="4107" spans="1:14" x14ac:dyDescent="0.3">
      <c r="A4107" s="45">
        <v>44778</v>
      </c>
      <c r="B4107" s="399"/>
      <c r="C4107" s="5" t="s">
        <v>6931</v>
      </c>
      <c r="D4107" s="5" t="s">
        <v>2013</v>
      </c>
      <c r="E4107" s="43">
        <v>200</v>
      </c>
      <c r="F4107" s="43"/>
      <c r="G4107" s="48">
        <f t="shared" si="102"/>
        <v>304426</v>
      </c>
      <c r="H4107" s="391" t="s">
        <v>9568</v>
      </c>
    </row>
    <row r="4108" spans="1:14" x14ac:dyDescent="0.3">
      <c r="A4108" s="45">
        <v>44778</v>
      </c>
      <c r="B4108" s="404"/>
      <c r="C4108" s="41" t="s">
        <v>54</v>
      </c>
      <c r="D4108" s="41" t="s">
        <v>8645</v>
      </c>
      <c r="E4108" s="42">
        <v>98500</v>
      </c>
      <c r="F4108" s="43"/>
      <c r="G4108" s="48">
        <f t="shared" si="102"/>
        <v>205926</v>
      </c>
      <c r="H4108" s="391" t="s">
        <v>9568</v>
      </c>
    </row>
    <row r="4109" spans="1:14" x14ac:dyDescent="0.3">
      <c r="A4109" s="45">
        <v>44778</v>
      </c>
      <c r="B4109" s="404"/>
      <c r="C4109" s="41" t="s">
        <v>54</v>
      </c>
      <c r="D4109" s="41" t="s">
        <v>9411</v>
      </c>
      <c r="E4109" s="42">
        <v>149992</v>
      </c>
      <c r="F4109" s="43"/>
      <c r="G4109" s="48">
        <f t="shared" si="102"/>
        <v>55934</v>
      </c>
      <c r="H4109" s="391" t="s">
        <v>9568</v>
      </c>
    </row>
    <row r="4110" spans="1:14" s="390" customFormat="1" x14ac:dyDescent="0.3">
      <c r="A4110" s="45">
        <v>44778</v>
      </c>
      <c r="B4110" s="322"/>
      <c r="C4110" s="44" t="s">
        <v>25</v>
      </c>
      <c r="D4110" s="124" t="s">
        <v>9518</v>
      </c>
      <c r="E4110" s="28">
        <f>670+150+400+6605-1320</f>
        <v>6505</v>
      </c>
      <c r="F4110" s="28"/>
      <c r="G4110" s="48">
        <f t="shared" si="102"/>
        <v>49429</v>
      </c>
      <c r="H4110" s="391" t="s">
        <v>9568</v>
      </c>
      <c r="I4110" s="52"/>
      <c r="J4110" s="155"/>
      <c r="K4110" s="155"/>
      <c r="N4110" s="155"/>
    </row>
    <row r="4111" spans="1:14" x14ac:dyDescent="0.3">
      <c r="A4111" s="45">
        <v>44778</v>
      </c>
      <c r="B4111" s="399"/>
      <c r="C4111" s="5" t="s">
        <v>4550</v>
      </c>
      <c r="D4111" s="5" t="s">
        <v>9515</v>
      </c>
      <c r="E4111" s="43">
        <v>20000</v>
      </c>
      <c r="F4111" s="43"/>
      <c r="G4111" s="48">
        <f t="shared" si="100"/>
        <v>29429</v>
      </c>
      <c r="H4111" s="391" t="s">
        <v>9568</v>
      </c>
    </row>
    <row r="4112" spans="1:14" x14ac:dyDescent="0.3">
      <c r="A4112" s="45">
        <v>44778</v>
      </c>
      <c r="B4112" s="399"/>
      <c r="C4112" s="5" t="s">
        <v>84</v>
      </c>
      <c r="D4112" s="5" t="s">
        <v>9516</v>
      </c>
      <c r="E4112" s="43">
        <v>15000</v>
      </c>
      <c r="F4112" s="43"/>
      <c r="G4112" s="48">
        <f t="shared" si="100"/>
        <v>14429</v>
      </c>
      <c r="H4112" s="391" t="s">
        <v>9568</v>
      </c>
    </row>
    <row r="4113" spans="1:8" x14ac:dyDescent="0.3">
      <c r="A4113" s="45">
        <v>44778</v>
      </c>
      <c r="B4113" s="399"/>
      <c r="C4113" s="5" t="s">
        <v>84</v>
      </c>
      <c r="D4113" s="5" t="s">
        <v>9517</v>
      </c>
      <c r="E4113" s="43">
        <v>5000</v>
      </c>
      <c r="F4113" s="43"/>
      <c r="G4113" s="48">
        <f t="shared" si="100"/>
        <v>9429</v>
      </c>
      <c r="H4113" s="391" t="s">
        <v>9568</v>
      </c>
    </row>
    <row r="4114" spans="1:8" x14ac:dyDescent="0.3">
      <c r="A4114" s="45">
        <v>44779</v>
      </c>
      <c r="B4114" s="404"/>
      <c r="C4114" s="41" t="s">
        <v>54</v>
      </c>
      <c r="D4114" s="41" t="s">
        <v>9521</v>
      </c>
      <c r="E4114" s="42">
        <v>750</v>
      </c>
      <c r="F4114" s="43"/>
      <c r="G4114" s="48">
        <f t="shared" si="100"/>
        <v>8679</v>
      </c>
      <c r="H4114" s="391" t="s">
        <v>9568</v>
      </c>
    </row>
    <row r="4115" spans="1:8" x14ac:dyDescent="0.3">
      <c r="A4115" s="45">
        <v>44779</v>
      </c>
      <c r="B4115" s="399"/>
      <c r="C4115" s="5" t="s">
        <v>6908</v>
      </c>
      <c r="D4115" s="5" t="s">
        <v>9522</v>
      </c>
      <c r="E4115" s="43">
        <v>1900</v>
      </c>
      <c r="F4115" s="43"/>
      <c r="G4115" s="48">
        <f t="shared" si="100"/>
        <v>6779</v>
      </c>
      <c r="H4115" s="391" t="s">
        <v>9568</v>
      </c>
    </row>
    <row r="4116" spans="1:8" x14ac:dyDescent="0.3">
      <c r="A4116" s="45">
        <v>44779</v>
      </c>
      <c r="B4116" s="404"/>
      <c r="C4116" s="41" t="s">
        <v>54</v>
      </c>
      <c r="D4116" s="41" t="s">
        <v>9523</v>
      </c>
      <c r="E4116" s="42">
        <v>3000</v>
      </c>
      <c r="F4116" s="43"/>
      <c r="G4116" s="48">
        <f t="shared" ref="G4116" si="104">G4115+F4116-E4116</f>
        <v>3779</v>
      </c>
      <c r="H4116" s="391" t="s">
        <v>9568</v>
      </c>
    </row>
    <row r="4117" spans="1:8" x14ac:dyDescent="0.3">
      <c r="A4117" s="45">
        <v>44783</v>
      </c>
      <c r="B4117" s="399"/>
      <c r="C4117" s="5" t="s">
        <v>25</v>
      </c>
      <c r="D4117" s="5" t="s">
        <v>7533</v>
      </c>
      <c r="E4117" s="43">
        <v>260</v>
      </c>
      <c r="F4117" s="43"/>
      <c r="G4117" s="48">
        <f t="shared" si="100"/>
        <v>3519</v>
      </c>
      <c r="H4117" s="391" t="s">
        <v>9568</v>
      </c>
    </row>
    <row r="4118" spans="1:8" x14ac:dyDescent="0.3">
      <c r="A4118" s="45">
        <v>44783</v>
      </c>
      <c r="B4118" s="580"/>
      <c r="C4118" s="554" t="s">
        <v>4106</v>
      </c>
      <c r="D4118" s="554"/>
      <c r="E4118" s="554"/>
      <c r="F4118" s="43">
        <v>100000</v>
      </c>
      <c r="G4118" s="48">
        <f t="shared" ref="G4118" si="105">G4117+F4118-E4118</f>
        <v>103519</v>
      </c>
      <c r="H4118" s="391" t="s">
        <v>9568</v>
      </c>
    </row>
    <row r="4119" spans="1:8" x14ac:dyDescent="0.3">
      <c r="A4119" s="45">
        <v>44783</v>
      </c>
      <c r="B4119" s="580"/>
      <c r="C4119" s="554" t="s">
        <v>4106</v>
      </c>
      <c r="D4119" s="554"/>
      <c r="E4119" s="554"/>
      <c r="F4119" s="43">
        <v>100000</v>
      </c>
      <c r="G4119" s="48">
        <f t="shared" ref="G4119:G4120" si="106">G4118+F4119-E4119</f>
        <v>203519</v>
      </c>
      <c r="H4119" s="391" t="s">
        <v>9568</v>
      </c>
    </row>
    <row r="4120" spans="1:8" x14ac:dyDescent="0.3">
      <c r="A4120" s="45">
        <v>44783</v>
      </c>
      <c r="B4120" s="580"/>
      <c r="C4120" s="554" t="s">
        <v>4106</v>
      </c>
      <c r="D4120" s="554"/>
      <c r="E4120" s="554"/>
      <c r="F4120" s="43">
        <v>100000</v>
      </c>
      <c r="G4120" s="48">
        <f t="shared" si="106"/>
        <v>303519</v>
      </c>
      <c r="H4120" s="391" t="s">
        <v>9568</v>
      </c>
    </row>
    <row r="4121" spans="1:8" x14ac:dyDescent="0.3">
      <c r="A4121" s="45">
        <v>44783</v>
      </c>
      <c r="B4121" s="404"/>
      <c r="C4121" s="41" t="s">
        <v>54</v>
      </c>
      <c r="D4121" s="41" t="s">
        <v>9524</v>
      </c>
      <c r="E4121" s="42">
        <v>30000</v>
      </c>
      <c r="F4121" s="43"/>
      <c r="G4121" s="48">
        <f t="shared" ref="G4121:G4188" si="107">G4120+F4121-E4121</f>
        <v>273519</v>
      </c>
      <c r="H4121" s="391" t="s">
        <v>9568</v>
      </c>
    </row>
    <row r="4122" spans="1:8" x14ac:dyDescent="0.3">
      <c r="A4122" s="45">
        <v>44783</v>
      </c>
      <c r="B4122" s="399"/>
      <c r="C4122" s="5" t="s">
        <v>57</v>
      </c>
      <c r="D4122" s="5" t="s">
        <v>3183</v>
      </c>
      <c r="E4122" s="43">
        <v>10000</v>
      </c>
      <c r="F4122" s="43"/>
      <c r="G4122" s="48">
        <f>G4121+F4122-E4122</f>
        <v>263519</v>
      </c>
      <c r="H4122" s="391" t="s">
        <v>9568</v>
      </c>
    </row>
    <row r="4123" spans="1:8" x14ac:dyDescent="0.3">
      <c r="A4123" s="45">
        <v>44783</v>
      </c>
      <c r="B4123" s="399"/>
      <c r="C4123" s="5" t="s">
        <v>9525</v>
      </c>
      <c r="D4123" s="5" t="s">
        <v>9526</v>
      </c>
      <c r="E4123" s="43">
        <v>700</v>
      </c>
      <c r="F4123" s="43"/>
      <c r="G4123" s="48">
        <f t="shared" si="107"/>
        <v>262819</v>
      </c>
      <c r="H4123" s="391" t="s">
        <v>9568</v>
      </c>
    </row>
    <row r="4124" spans="1:8" x14ac:dyDescent="0.3">
      <c r="A4124" s="45">
        <v>44783</v>
      </c>
      <c r="B4124" s="399"/>
      <c r="C4124" s="5" t="s">
        <v>84</v>
      </c>
      <c r="D4124" s="5" t="s">
        <v>9527</v>
      </c>
      <c r="E4124" s="43">
        <v>15000</v>
      </c>
      <c r="F4124" s="43"/>
      <c r="G4124" s="48">
        <f t="shared" si="107"/>
        <v>247819</v>
      </c>
      <c r="H4124" s="391" t="s">
        <v>9568</v>
      </c>
    </row>
    <row r="4125" spans="1:8" x14ac:dyDescent="0.3">
      <c r="A4125" s="45">
        <v>44783</v>
      </c>
      <c r="B4125" s="404"/>
      <c r="C4125" s="41" t="s">
        <v>54</v>
      </c>
      <c r="D4125" s="41" t="s">
        <v>9529</v>
      </c>
      <c r="E4125" s="42">
        <v>125362</v>
      </c>
      <c r="F4125" s="43"/>
      <c r="G4125" s="48">
        <f t="shared" ref="G4125:G4126" si="108">G4124+F4125-E4125</f>
        <v>122457</v>
      </c>
      <c r="H4125" s="391" t="s">
        <v>9568</v>
      </c>
    </row>
    <row r="4126" spans="1:8" x14ac:dyDescent="0.3">
      <c r="A4126" s="45">
        <v>44783</v>
      </c>
      <c r="B4126" s="404"/>
      <c r="C4126" s="41" t="s">
        <v>54</v>
      </c>
      <c r="D4126" s="41" t="s">
        <v>9530</v>
      </c>
      <c r="E4126" s="42">
        <v>106950</v>
      </c>
      <c r="F4126" s="43"/>
      <c r="G4126" s="48">
        <f t="shared" si="108"/>
        <v>15507</v>
      </c>
      <c r="H4126" s="391" t="s">
        <v>9568</v>
      </c>
    </row>
    <row r="4127" spans="1:8" x14ac:dyDescent="0.3">
      <c r="A4127" s="45">
        <v>44783</v>
      </c>
      <c r="B4127" s="399"/>
      <c r="C4127" s="5" t="s">
        <v>1787</v>
      </c>
      <c r="D4127" s="5" t="s">
        <v>9528</v>
      </c>
      <c r="E4127" s="43">
        <v>3000</v>
      </c>
      <c r="F4127" s="43"/>
      <c r="G4127" s="48">
        <f t="shared" si="107"/>
        <v>12507</v>
      </c>
      <c r="H4127" s="391" t="s">
        <v>9568</v>
      </c>
    </row>
    <row r="4128" spans="1:8" x14ac:dyDescent="0.3">
      <c r="A4128" s="45">
        <v>44784</v>
      </c>
      <c r="B4128" s="580"/>
      <c r="C4128" s="554" t="s">
        <v>4106</v>
      </c>
      <c r="D4128" s="554"/>
      <c r="E4128" s="554"/>
      <c r="F4128" s="43">
        <v>200000</v>
      </c>
      <c r="G4128" s="48">
        <f t="shared" si="107"/>
        <v>212507</v>
      </c>
      <c r="H4128" s="391" t="s">
        <v>9568</v>
      </c>
    </row>
    <row r="4129" spans="1:8" x14ac:dyDescent="0.3">
      <c r="A4129" s="45">
        <v>44784</v>
      </c>
      <c r="B4129" s="404"/>
      <c r="C4129" s="41" t="s">
        <v>54</v>
      </c>
      <c r="D4129" s="41" t="s">
        <v>9531</v>
      </c>
      <c r="E4129" s="42">
        <v>27500</v>
      </c>
      <c r="F4129" s="43"/>
      <c r="G4129" s="48">
        <f t="shared" si="107"/>
        <v>185007</v>
      </c>
      <c r="H4129" s="391" t="s">
        <v>9568</v>
      </c>
    </row>
    <row r="4130" spans="1:8" x14ac:dyDescent="0.3">
      <c r="A4130" s="45">
        <v>44784</v>
      </c>
      <c r="B4130" s="399"/>
      <c r="C4130" s="5" t="s">
        <v>247</v>
      </c>
      <c r="D4130" s="5" t="s">
        <v>2013</v>
      </c>
      <c r="E4130" s="43">
        <v>300</v>
      </c>
      <c r="F4130" s="43"/>
      <c r="G4130" s="48">
        <f t="shared" si="107"/>
        <v>184707</v>
      </c>
      <c r="H4130" s="391" t="s">
        <v>9568</v>
      </c>
    </row>
    <row r="4131" spans="1:8" x14ac:dyDescent="0.3">
      <c r="A4131" s="45">
        <v>44785</v>
      </c>
      <c r="B4131" s="399"/>
      <c r="C4131" s="5" t="s">
        <v>14</v>
      </c>
      <c r="D4131" s="5" t="s">
        <v>9532</v>
      </c>
      <c r="E4131" s="43">
        <v>5000</v>
      </c>
      <c r="F4131" s="43"/>
      <c r="G4131" s="48">
        <f t="shared" si="107"/>
        <v>179707</v>
      </c>
      <c r="H4131" s="391" t="s">
        <v>9568</v>
      </c>
    </row>
    <row r="4132" spans="1:8" x14ac:dyDescent="0.3">
      <c r="A4132" s="45">
        <v>44785</v>
      </c>
      <c r="B4132" s="399"/>
      <c r="C4132" s="5" t="s">
        <v>14</v>
      </c>
      <c r="D4132" s="5" t="s">
        <v>9533</v>
      </c>
      <c r="E4132" s="43">
        <f>20112+250</f>
        <v>20362</v>
      </c>
      <c r="F4132" s="43"/>
      <c r="G4132" s="48">
        <f t="shared" si="107"/>
        <v>159345</v>
      </c>
      <c r="H4132" s="391" t="s">
        <v>9568</v>
      </c>
    </row>
    <row r="4133" spans="1:8" x14ac:dyDescent="0.3">
      <c r="A4133" s="45">
        <v>44785</v>
      </c>
      <c r="B4133" s="399"/>
      <c r="C4133" s="5" t="s">
        <v>1074</v>
      </c>
      <c r="D4133" s="5" t="s">
        <v>9534</v>
      </c>
      <c r="E4133" s="43">
        <f>810+4680+1340+1200</f>
        <v>8030</v>
      </c>
      <c r="F4133" s="43"/>
      <c r="G4133" s="48">
        <f t="shared" si="107"/>
        <v>151315</v>
      </c>
      <c r="H4133" s="391" t="s">
        <v>9568</v>
      </c>
    </row>
    <row r="4134" spans="1:8" x14ac:dyDescent="0.3">
      <c r="A4134" s="45">
        <v>44785</v>
      </c>
      <c r="B4134" s="399"/>
      <c r="C4134" s="5" t="s">
        <v>25</v>
      </c>
      <c r="D4134" s="5" t="s">
        <v>4731</v>
      </c>
      <c r="E4134" s="43">
        <v>4670</v>
      </c>
      <c r="F4134" s="43"/>
      <c r="G4134" s="48">
        <f t="shared" si="107"/>
        <v>146645</v>
      </c>
      <c r="H4134" s="391" t="s">
        <v>9568</v>
      </c>
    </row>
    <row r="4135" spans="1:8" x14ac:dyDescent="0.3">
      <c r="A4135" s="45">
        <v>44785</v>
      </c>
      <c r="B4135" s="404"/>
      <c r="C4135" s="41" t="s">
        <v>54</v>
      </c>
      <c r="D4135" s="41" t="s">
        <v>9535</v>
      </c>
      <c r="E4135" s="43">
        <v>25000</v>
      </c>
      <c r="F4135" s="43"/>
      <c r="G4135" s="48">
        <f t="shared" si="107"/>
        <v>121645</v>
      </c>
      <c r="H4135" s="391" t="s">
        <v>9568</v>
      </c>
    </row>
    <row r="4136" spans="1:8" ht="37.5" x14ac:dyDescent="0.3">
      <c r="A4136" s="45">
        <v>44785</v>
      </c>
      <c r="B4136" s="399"/>
      <c r="C4136" s="5" t="s">
        <v>9525</v>
      </c>
      <c r="D4136" s="92" t="s">
        <v>9536</v>
      </c>
      <c r="E4136" s="43">
        <v>16000</v>
      </c>
      <c r="F4136" s="43"/>
      <c r="G4136" s="48">
        <f t="shared" si="107"/>
        <v>105645</v>
      </c>
      <c r="H4136" s="391" t="s">
        <v>9568</v>
      </c>
    </row>
    <row r="4137" spans="1:8" x14ac:dyDescent="0.3">
      <c r="A4137" s="45">
        <v>44785</v>
      </c>
      <c r="B4137" s="399"/>
      <c r="C4137" s="5" t="s">
        <v>9525</v>
      </c>
      <c r="D4137" s="5" t="s">
        <v>9462</v>
      </c>
      <c r="E4137" s="43">
        <v>500</v>
      </c>
      <c r="F4137" s="43"/>
      <c r="G4137" s="48">
        <f t="shared" si="107"/>
        <v>105145</v>
      </c>
      <c r="H4137" s="391" t="s">
        <v>9568</v>
      </c>
    </row>
    <row r="4138" spans="1:8" x14ac:dyDescent="0.3">
      <c r="A4138" s="45">
        <v>44785</v>
      </c>
      <c r="B4138" s="435"/>
      <c r="C4138" s="217" t="s">
        <v>247</v>
      </c>
      <c r="D4138" s="217"/>
      <c r="E4138" s="222">
        <v>500</v>
      </c>
      <c r="F4138" s="43"/>
      <c r="G4138" s="48">
        <f t="shared" si="107"/>
        <v>104645</v>
      </c>
      <c r="H4138" s="391" t="s">
        <v>9568</v>
      </c>
    </row>
    <row r="4139" spans="1:8" x14ac:dyDescent="0.3">
      <c r="A4139" s="45">
        <v>44785</v>
      </c>
      <c r="B4139" s="399"/>
      <c r="C4139" s="5" t="s">
        <v>84</v>
      </c>
      <c r="D4139" s="5" t="s">
        <v>9537</v>
      </c>
      <c r="E4139" s="43">
        <v>30000</v>
      </c>
      <c r="F4139" s="43"/>
      <c r="G4139" s="48">
        <f t="shared" si="107"/>
        <v>74645</v>
      </c>
      <c r="H4139" s="391" t="s">
        <v>9568</v>
      </c>
    </row>
    <row r="4140" spans="1:8" x14ac:dyDescent="0.3">
      <c r="A4140" s="45">
        <v>44785</v>
      </c>
      <c r="B4140" s="404"/>
      <c r="C4140" s="41" t="s">
        <v>54</v>
      </c>
      <c r="D4140" s="41" t="s">
        <v>9538</v>
      </c>
      <c r="E4140" s="43">
        <v>8000</v>
      </c>
      <c r="F4140" s="43"/>
      <c r="G4140" s="48">
        <f t="shared" si="107"/>
        <v>66645</v>
      </c>
      <c r="H4140" s="391" t="s">
        <v>9568</v>
      </c>
    </row>
    <row r="4141" spans="1:8" x14ac:dyDescent="0.3">
      <c r="A4141" s="45">
        <v>44785</v>
      </c>
      <c r="B4141" s="399"/>
      <c r="C4141" s="5" t="s">
        <v>84</v>
      </c>
      <c r="D4141" s="5" t="s">
        <v>9539</v>
      </c>
      <c r="E4141" s="43">
        <v>10000</v>
      </c>
      <c r="F4141" s="43"/>
      <c r="G4141" s="48">
        <f t="shared" si="107"/>
        <v>56645</v>
      </c>
      <c r="H4141" s="391" t="s">
        <v>9568</v>
      </c>
    </row>
    <row r="4142" spans="1:8" x14ac:dyDescent="0.3">
      <c r="A4142" s="45">
        <v>44785</v>
      </c>
      <c r="B4142" s="399"/>
      <c r="C4142" s="5" t="s">
        <v>25</v>
      </c>
      <c r="D4142" s="5" t="s">
        <v>9249</v>
      </c>
      <c r="E4142" s="43">
        <v>6250</v>
      </c>
      <c r="F4142" s="43"/>
      <c r="G4142" s="48">
        <f t="shared" si="107"/>
        <v>50395</v>
      </c>
      <c r="H4142" s="391" t="s">
        <v>9568</v>
      </c>
    </row>
    <row r="4143" spans="1:8" x14ac:dyDescent="0.3">
      <c r="A4143" s="45">
        <v>44786</v>
      </c>
      <c r="B4143" s="399"/>
      <c r="C4143" s="5" t="s">
        <v>9044</v>
      </c>
      <c r="D4143" s="5" t="s">
        <v>9540</v>
      </c>
      <c r="E4143" s="43">
        <v>20000</v>
      </c>
      <c r="F4143" s="43"/>
      <c r="G4143" s="48">
        <f t="shared" si="107"/>
        <v>30395</v>
      </c>
      <c r="H4143" s="391" t="s">
        <v>9568</v>
      </c>
    </row>
    <row r="4144" spans="1:8" x14ac:dyDescent="0.3">
      <c r="A4144" s="45">
        <v>44786</v>
      </c>
      <c r="B4144" s="399"/>
      <c r="C4144" s="5" t="s">
        <v>4055</v>
      </c>
      <c r="D4144" s="5" t="s">
        <v>9541</v>
      </c>
      <c r="E4144" s="43">
        <v>10000</v>
      </c>
      <c r="F4144" s="43"/>
      <c r="G4144" s="48">
        <f t="shared" si="107"/>
        <v>20395</v>
      </c>
      <c r="H4144" s="391" t="s">
        <v>9568</v>
      </c>
    </row>
    <row r="4145" spans="1:8" x14ac:dyDescent="0.3">
      <c r="A4145" s="45">
        <v>44786</v>
      </c>
      <c r="B4145" s="401"/>
      <c r="C4145" s="73" t="s">
        <v>6931</v>
      </c>
      <c r="D4145" s="73" t="s">
        <v>9542</v>
      </c>
      <c r="E4145" s="58">
        <v>11000</v>
      </c>
      <c r="F4145" s="43"/>
      <c r="G4145" s="48">
        <f t="shared" si="107"/>
        <v>9395</v>
      </c>
      <c r="H4145" s="391" t="s">
        <v>9568</v>
      </c>
    </row>
    <row r="4146" spans="1:8" x14ac:dyDescent="0.3">
      <c r="A4146" s="45">
        <v>44786</v>
      </c>
      <c r="B4146" s="399"/>
      <c r="C4146" s="5" t="s">
        <v>6931</v>
      </c>
      <c r="D4146" s="5" t="s">
        <v>2013</v>
      </c>
      <c r="E4146" s="43">
        <v>200</v>
      </c>
      <c r="F4146" s="43"/>
      <c r="G4146" s="48">
        <f t="shared" si="107"/>
        <v>9195</v>
      </c>
      <c r="H4146" s="391" t="s">
        <v>9568</v>
      </c>
    </row>
    <row r="4147" spans="1:8" x14ac:dyDescent="0.3">
      <c r="A4147" s="45">
        <v>44788</v>
      </c>
      <c r="B4147" s="399"/>
      <c r="C4147" s="5" t="s">
        <v>3724</v>
      </c>
      <c r="D4147" s="5"/>
      <c r="E4147" s="43">
        <v>4970</v>
      </c>
      <c r="F4147" s="43"/>
      <c r="G4147" s="48">
        <f t="shared" si="107"/>
        <v>4225</v>
      </c>
      <c r="H4147" s="391" t="s">
        <v>9568</v>
      </c>
    </row>
    <row r="4148" spans="1:8" x14ac:dyDescent="0.3">
      <c r="A4148" s="45">
        <v>44788</v>
      </c>
      <c r="B4148" s="580"/>
      <c r="C4148" s="554" t="s">
        <v>4106</v>
      </c>
      <c r="D4148" s="554"/>
      <c r="E4148" s="554"/>
      <c r="F4148" s="43">
        <v>50000</v>
      </c>
      <c r="G4148" s="48">
        <f t="shared" ref="G4148:G4149" si="109">G4147+F4148-E4148</f>
        <v>54225</v>
      </c>
      <c r="H4148" s="391" t="s">
        <v>9568</v>
      </c>
    </row>
    <row r="4149" spans="1:8" x14ac:dyDescent="0.3">
      <c r="A4149" s="45">
        <v>44788</v>
      </c>
      <c r="B4149" s="580"/>
      <c r="C4149" s="554" t="s">
        <v>4106</v>
      </c>
      <c r="D4149" s="554"/>
      <c r="E4149" s="554"/>
      <c r="F4149" s="43">
        <v>50000</v>
      </c>
      <c r="G4149" s="48">
        <f t="shared" si="109"/>
        <v>104225</v>
      </c>
      <c r="H4149" s="391" t="s">
        <v>9568</v>
      </c>
    </row>
    <row r="4150" spans="1:8" x14ac:dyDescent="0.3">
      <c r="A4150" s="45">
        <v>44788</v>
      </c>
      <c r="B4150" s="399"/>
      <c r="C4150" s="5" t="s">
        <v>6908</v>
      </c>
      <c r="D4150" s="5" t="s">
        <v>9549</v>
      </c>
      <c r="E4150" s="43">
        <v>24000</v>
      </c>
      <c r="F4150" s="43"/>
      <c r="G4150" s="48">
        <f t="shared" si="107"/>
        <v>80225</v>
      </c>
      <c r="H4150" s="391" t="s">
        <v>9568</v>
      </c>
    </row>
    <row r="4151" spans="1:8" x14ac:dyDescent="0.3">
      <c r="A4151" s="45">
        <v>44788</v>
      </c>
      <c r="B4151" s="399"/>
      <c r="C4151" s="5" t="s">
        <v>6908</v>
      </c>
      <c r="D4151" s="5" t="s">
        <v>9550</v>
      </c>
      <c r="E4151" s="43">
        <v>8800</v>
      </c>
      <c r="F4151" s="43"/>
      <c r="G4151" s="48">
        <f t="shared" si="107"/>
        <v>71425</v>
      </c>
      <c r="H4151" s="391" t="s">
        <v>9568</v>
      </c>
    </row>
    <row r="4152" spans="1:8" x14ac:dyDescent="0.3">
      <c r="A4152" s="45">
        <v>44788</v>
      </c>
      <c r="B4152" s="399"/>
      <c r="C4152" s="5" t="s">
        <v>6908</v>
      </c>
      <c r="D4152" s="5" t="s">
        <v>9551</v>
      </c>
      <c r="E4152" s="43">
        <v>7200</v>
      </c>
      <c r="F4152" s="43"/>
      <c r="G4152" s="48">
        <f t="shared" si="107"/>
        <v>64225</v>
      </c>
      <c r="H4152" s="391" t="s">
        <v>9568</v>
      </c>
    </row>
    <row r="4153" spans="1:8" x14ac:dyDescent="0.3">
      <c r="A4153" s="45">
        <v>44788</v>
      </c>
      <c r="B4153" s="399"/>
      <c r="C4153" s="5" t="s">
        <v>14</v>
      </c>
      <c r="D4153" s="5" t="s">
        <v>6565</v>
      </c>
      <c r="E4153" s="43">
        <v>40000</v>
      </c>
      <c r="F4153" s="43"/>
      <c r="G4153" s="48">
        <f t="shared" si="107"/>
        <v>24225</v>
      </c>
      <c r="H4153" s="391" t="s">
        <v>9568</v>
      </c>
    </row>
    <row r="4154" spans="1:8" x14ac:dyDescent="0.3">
      <c r="A4154" s="45">
        <v>44788</v>
      </c>
      <c r="B4154" s="399"/>
      <c r="C4154" s="5" t="s">
        <v>68</v>
      </c>
      <c r="D4154" s="5" t="s">
        <v>294</v>
      </c>
      <c r="E4154" s="43">
        <v>15000</v>
      </c>
      <c r="F4154" s="43"/>
      <c r="G4154" s="48">
        <f t="shared" si="107"/>
        <v>9225</v>
      </c>
      <c r="H4154" s="391" t="s">
        <v>9568</v>
      </c>
    </row>
    <row r="4155" spans="1:8" x14ac:dyDescent="0.3">
      <c r="A4155" s="45">
        <v>44788</v>
      </c>
      <c r="B4155" s="399"/>
      <c r="C4155" s="5" t="s">
        <v>25</v>
      </c>
      <c r="D4155" s="5" t="s">
        <v>9249</v>
      </c>
      <c r="E4155" s="43">
        <v>4975</v>
      </c>
      <c r="F4155" s="43"/>
      <c r="G4155" s="48">
        <f t="shared" si="107"/>
        <v>4250</v>
      </c>
      <c r="H4155" s="391" t="s">
        <v>9568</v>
      </c>
    </row>
    <row r="4156" spans="1:8" x14ac:dyDescent="0.3">
      <c r="A4156" s="45">
        <v>44789</v>
      </c>
      <c r="B4156" s="580"/>
      <c r="C4156" s="554" t="s">
        <v>4362</v>
      </c>
      <c r="D4156" s="554"/>
      <c r="E4156" s="554"/>
      <c r="F4156" s="43">
        <v>4000</v>
      </c>
      <c r="G4156" s="48">
        <f t="shared" si="107"/>
        <v>8250</v>
      </c>
      <c r="H4156" s="391" t="s">
        <v>9568</v>
      </c>
    </row>
    <row r="4157" spans="1:8" x14ac:dyDescent="0.3">
      <c r="A4157" s="45">
        <v>44789</v>
      </c>
      <c r="B4157" s="399"/>
      <c r="C4157" s="5" t="s">
        <v>9555</v>
      </c>
      <c r="D4157" s="5" t="s">
        <v>9170</v>
      </c>
      <c r="E4157" s="43">
        <v>1000</v>
      </c>
      <c r="F4157" s="43"/>
      <c r="G4157" s="48">
        <f t="shared" si="107"/>
        <v>7250</v>
      </c>
      <c r="H4157" s="391" t="s">
        <v>9568</v>
      </c>
    </row>
    <row r="4158" spans="1:8" x14ac:dyDescent="0.3">
      <c r="A4158" s="45">
        <v>44789</v>
      </c>
      <c r="B4158" s="399"/>
      <c r="C4158" s="5" t="s">
        <v>1787</v>
      </c>
      <c r="D4158" s="5" t="s">
        <v>9559</v>
      </c>
      <c r="E4158" s="43">
        <v>2000</v>
      </c>
      <c r="F4158" s="43"/>
      <c r="G4158" s="48">
        <f t="shared" si="107"/>
        <v>5250</v>
      </c>
      <c r="H4158" s="391" t="s">
        <v>9568</v>
      </c>
    </row>
    <row r="4159" spans="1:8" x14ac:dyDescent="0.3">
      <c r="A4159" s="45">
        <v>44790</v>
      </c>
      <c r="B4159" s="399"/>
      <c r="C4159" s="5" t="s">
        <v>6430</v>
      </c>
      <c r="D4159" s="5" t="s">
        <v>9556</v>
      </c>
      <c r="E4159" s="43">
        <v>2500</v>
      </c>
      <c r="F4159" s="43"/>
      <c r="G4159" s="48">
        <f t="shared" si="107"/>
        <v>2750</v>
      </c>
      <c r="H4159" s="391" t="s">
        <v>9568</v>
      </c>
    </row>
    <row r="4160" spans="1:8" x14ac:dyDescent="0.3">
      <c r="A4160" s="45">
        <v>44790</v>
      </c>
      <c r="B4160" s="399"/>
      <c r="C4160" s="5" t="s">
        <v>6430</v>
      </c>
      <c r="D4160" s="5" t="s">
        <v>9557</v>
      </c>
      <c r="E4160" s="43">
        <v>1500</v>
      </c>
      <c r="F4160" s="43"/>
      <c r="G4160" s="48">
        <f t="shared" si="107"/>
        <v>1250</v>
      </c>
      <c r="H4160" s="391" t="s">
        <v>9568</v>
      </c>
    </row>
    <row r="4161" spans="1:8" x14ac:dyDescent="0.3">
      <c r="A4161" s="45">
        <v>44790</v>
      </c>
      <c r="B4161" s="580"/>
      <c r="C4161" s="554" t="s">
        <v>4106</v>
      </c>
      <c r="D4161" s="554"/>
      <c r="E4161" s="554"/>
      <c r="F4161" s="43">
        <v>100000</v>
      </c>
      <c r="G4161" s="48">
        <f t="shared" si="107"/>
        <v>101250</v>
      </c>
      <c r="H4161" s="391" t="s">
        <v>9568</v>
      </c>
    </row>
    <row r="4162" spans="1:8" x14ac:dyDescent="0.3">
      <c r="A4162" s="45">
        <v>44790</v>
      </c>
      <c r="B4162" s="399"/>
      <c r="C4162" s="5" t="s">
        <v>5938</v>
      </c>
      <c r="D4162" s="5" t="s">
        <v>9558</v>
      </c>
      <c r="E4162" s="43">
        <v>40000</v>
      </c>
      <c r="F4162" s="43"/>
      <c r="G4162" s="48">
        <f t="shared" si="107"/>
        <v>61250</v>
      </c>
      <c r="H4162" s="391" t="s">
        <v>9568</v>
      </c>
    </row>
    <row r="4163" spans="1:8" x14ac:dyDescent="0.3">
      <c r="A4163" s="45">
        <v>44791</v>
      </c>
      <c r="B4163" s="399"/>
      <c r="C4163" s="5" t="s">
        <v>25</v>
      </c>
      <c r="D4163" s="5" t="s">
        <v>9249</v>
      </c>
      <c r="E4163" s="43">
        <v>4785</v>
      </c>
      <c r="F4163" s="43"/>
      <c r="G4163" s="48">
        <f t="shared" si="107"/>
        <v>56465</v>
      </c>
      <c r="H4163" s="391" t="s">
        <v>9568</v>
      </c>
    </row>
    <row r="4164" spans="1:8" x14ac:dyDescent="0.3">
      <c r="A4164" s="45">
        <v>44791</v>
      </c>
      <c r="B4164" s="399"/>
      <c r="C4164" s="5" t="s">
        <v>68</v>
      </c>
      <c r="D4164" s="5" t="s">
        <v>3183</v>
      </c>
      <c r="E4164" s="43">
        <v>1000</v>
      </c>
      <c r="F4164" s="43"/>
      <c r="G4164" s="48">
        <f t="shared" si="107"/>
        <v>55465</v>
      </c>
      <c r="H4164" s="391" t="s">
        <v>9568</v>
      </c>
    </row>
    <row r="4165" spans="1:8" x14ac:dyDescent="0.3">
      <c r="A4165" s="45">
        <v>44791</v>
      </c>
      <c r="B4165" s="399"/>
      <c r="C4165" s="5" t="s">
        <v>57</v>
      </c>
      <c r="D4165" s="5" t="s">
        <v>3183</v>
      </c>
      <c r="E4165" s="43">
        <v>7000</v>
      </c>
      <c r="F4165" s="43"/>
      <c r="G4165" s="48">
        <f t="shared" si="107"/>
        <v>48465</v>
      </c>
      <c r="H4165" s="391" t="s">
        <v>9568</v>
      </c>
    </row>
    <row r="4166" spans="1:8" x14ac:dyDescent="0.3">
      <c r="A4166" s="45">
        <v>44791</v>
      </c>
      <c r="B4166" s="399"/>
      <c r="C4166" s="5" t="s">
        <v>84</v>
      </c>
      <c r="D4166" s="5" t="s">
        <v>9566</v>
      </c>
      <c r="E4166" s="43">
        <v>2000</v>
      </c>
      <c r="F4166" s="43"/>
      <c r="G4166" s="48">
        <f t="shared" si="107"/>
        <v>46465</v>
      </c>
      <c r="H4166" s="391" t="s">
        <v>9568</v>
      </c>
    </row>
    <row r="4167" spans="1:8" x14ac:dyDescent="0.3">
      <c r="A4167" s="45">
        <v>44792</v>
      </c>
      <c r="B4167" s="399"/>
      <c r="C4167" s="5" t="s">
        <v>4550</v>
      </c>
      <c r="D4167" s="5" t="s">
        <v>9570</v>
      </c>
      <c r="E4167" s="43">
        <v>2000</v>
      </c>
      <c r="F4167" s="43"/>
      <c r="G4167" s="48">
        <f t="shared" si="107"/>
        <v>44465</v>
      </c>
      <c r="H4167" s="391" t="s">
        <v>9568</v>
      </c>
    </row>
    <row r="4168" spans="1:8" x14ac:dyDescent="0.3">
      <c r="A4168" s="45">
        <v>44792</v>
      </c>
      <c r="B4168" s="399"/>
      <c r="C4168" s="5" t="s">
        <v>6959</v>
      </c>
      <c r="D4168" s="5" t="s">
        <v>9571</v>
      </c>
      <c r="E4168" s="43">
        <v>2000</v>
      </c>
      <c r="F4168" s="43"/>
      <c r="G4168" s="48">
        <f t="shared" si="107"/>
        <v>42465</v>
      </c>
      <c r="H4168" s="391" t="s">
        <v>9568</v>
      </c>
    </row>
    <row r="4169" spans="1:8" x14ac:dyDescent="0.3">
      <c r="A4169" s="45">
        <v>44792</v>
      </c>
      <c r="B4169" s="399"/>
      <c r="C4169" s="5" t="s">
        <v>5709</v>
      </c>
      <c r="D4169" s="5" t="s">
        <v>9573</v>
      </c>
      <c r="E4169" s="43">
        <v>30000</v>
      </c>
      <c r="F4169" s="43"/>
      <c r="G4169" s="48">
        <f t="shared" si="107"/>
        <v>12465</v>
      </c>
      <c r="H4169" s="391" t="s">
        <v>9568</v>
      </c>
    </row>
    <row r="4170" spans="1:8" x14ac:dyDescent="0.3">
      <c r="A4170" s="45">
        <v>44792</v>
      </c>
      <c r="B4170" s="580"/>
      <c r="C4170" s="554" t="s">
        <v>4106</v>
      </c>
      <c r="D4170" s="554"/>
      <c r="E4170" s="554"/>
      <c r="F4170" s="43">
        <v>100000</v>
      </c>
      <c r="G4170" s="48">
        <f t="shared" si="107"/>
        <v>112465</v>
      </c>
      <c r="H4170" s="391" t="s">
        <v>9568</v>
      </c>
    </row>
    <row r="4171" spans="1:8" x14ac:dyDescent="0.3">
      <c r="A4171" s="45">
        <v>44792</v>
      </c>
      <c r="B4171" s="580"/>
      <c r="C4171" s="554" t="s">
        <v>4106</v>
      </c>
      <c r="D4171" s="554"/>
      <c r="E4171" s="554"/>
      <c r="F4171" s="43">
        <v>50000</v>
      </c>
      <c r="G4171" s="48">
        <f t="shared" si="107"/>
        <v>162465</v>
      </c>
      <c r="H4171" s="391" t="s">
        <v>9568</v>
      </c>
    </row>
    <row r="4172" spans="1:8" x14ac:dyDescent="0.3">
      <c r="A4172" s="45">
        <v>44792</v>
      </c>
      <c r="B4172" s="399"/>
      <c r="C4172" s="5" t="s">
        <v>68</v>
      </c>
      <c r="D4172" s="5" t="s">
        <v>9577</v>
      </c>
      <c r="E4172" s="43">
        <v>32000</v>
      </c>
      <c r="F4172" s="43"/>
      <c r="G4172" s="48">
        <f t="shared" si="107"/>
        <v>130465</v>
      </c>
      <c r="H4172" s="391" t="s">
        <v>9568</v>
      </c>
    </row>
    <row r="4173" spans="1:8" x14ac:dyDescent="0.3">
      <c r="A4173" s="45">
        <v>44792</v>
      </c>
      <c r="B4173" s="399"/>
      <c r="C4173" s="5" t="s">
        <v>68</v>
      </c>
      <c r="D4173" s="5" t="s">
        <v>3183</v>
      </c>
      <c r="E4173" s="43">
        <v>28000</v>
      </c>
      <c r="F4173" s="43"/>
      <c r="G4173" s="48">
        <f t="shared" si="107"/>
        <v>102465</v>
      </c>
      <c r="H4173" s="391" t="s">
        <v>9568</v>
      </c>
    </row>
    <row r="4174" spans="1:8" x14ac:dyDescent="0.3">
      <c r="A4174" s="45">
        <v>44792</v>
      </c>
      <c r="B4174" s="399"/>
      <c r="C4174" s="5" t="s">
        <v>1787</v>
      </c>
      <c r="D4174" s="5" t="s">
        <v>9578</v>
      </c>
      <c r="E4174" s="43">
        <v>2000</v>
      </c>
      <c r="F4174" s="43"/>
      <c r="G4174" s="48">
        <f t="shared" si="107"/>
        <v>100465</v>
      </c>
      <c r="H4174" s="391" t="s">
        <v>9568</v>
      </c>
    </row>
    <row r="4175" spans="1:8" x14ac:dyDescent="0.3">
      <c r="A4175" s="45">
        <v>44792</v>
      </c>
      <c r="B4175" s="399"/>
      <c r="C4175" s="5" t="s">
        <v>25</v>
      </c>
      <c r="D4175" s="5" t="s">
        <v>4276</v>
      </c>
      <c r="E4175" s="43">
        <v>6235</v>
      </c>
      <c r="F4175" s="43"/>
      <c r="G4175" s="48">
        <f t="shared" si="107"/>
        <v>94230</v>
      </c>
      <c r="H4175" s="391" t="s">
        <v>9568</v>
      </c>
    </row>
    <row r="4176" spans="1:8" x14ac:dyDescent="0.3">
      <c r="A4176" s="45">
        <v>44792</v>
      </c>
      <c r="B4176" s="399"/>
      <c r="C4176" s="5" t="s">
        <v>5156</v>
      </c>
      <c r="D4176" s="5" t="s">
        <v>693</v>
      </c>
      <c r="E4176" s="43">
        <v>690</v>
      </c>
      <c r="F4176" s="43"/>
      <c r="G4176" s="48">
        <f t="shared" si="107"/>
        <v>93540</v>
      </c>
      <c r="H4176" s="391" t="s">
        <v>9568</v>
      </c>
    </row>
    <row r="4177" spans="1:8" x14ac:dyDescent="0.3">
      <c r="A4177" s="45">
        <v>44792</v>
      </c>
      <c r="B4177" s="399"/>
      <c r="C4177" s="5" t="s">
        <v>5156</v>
      </c>
      <c r="D4177" s="5" t="s">
        <v>9585</v>
      </c>
      <c r="E4177" s="43">
        <v>460</v>
      </c>
      <c r="F4177" s="43"/>
      <c r="G4177" s="48">
        <f t="shared" si="107"/>
        <v>93080</v>
      </c>
      <c r="H4177" s="391" t="s">
        <v>9568</v>
      </c>
    </row>
    <row r="4178" spans="1:8" x14ac:dyDescent="0.3">
      <c r="A4178" s="45">
        <v>44795</v>
      </c>
      <c r="B4178" s="399"/>
      <c r="C4178" s="5" t="s">
        <v>5793</v>
      </c>
      <c r="D4178" s="5" t="s">
        <v>9585</v>
      </c>
      <c r="E4178" s="43">
        <v>2000</v>
      </c>
      <c r="F4178" s="43"/>
      <c r="G4178" s="48">
        <f t="shared" si="107"/>
        <v>91080</v>
      </c>
      <c r="H4178" s="391" t="s">
        <v>9568</v>
      </c>
    </row>
    <row r="4179" spans="1:8" x14ac:dyDescent="0.3">
      <c r="A4179" s="45">
        <v>44793</v>
      </c>
      <c r="B4179" s="399"/>
      <c r="C4179" s="5" t="s">
        <v>68</v>
      </c>
      <c r="D4179" s="5" t="s">
        <v>3183</v>
      </c>
      <c r="E4179" s="43">
        <v>30000</v>
      </c>
      <c r="F4179" s="43"/>
      <c r="G4179" s="48">
        <f t="shared" si="107"/>
        <v>61080</v>
      </c>
      <c r="H4179" s="391" t="s">
        <v>9568</v>
      </c>
    </row>
    <row r="4180" spans="1:8" x14ac:dyDescent="0.3">
      <c r="A4180" s="45">
        <v>44793</v>
      </c>
      <c r="B4180" s="399"/>
      <c r="C4180" s="5" t="s">
        <v>8573</v>
      </c>
      <c r="D4180" s="1" t="s">
        <v>9579</v>
      </c>
      <c r="E4180" s="43">
        <v>20000</v>
      </c>
      <c r="F4180" s="43"/>
      <c r="G4180" s="48">
        <f t="shared" si="107"/>
        <v>41080</v>
      </c>
      <c r="H4180" s="391" t="s">
        <v>9568</v>
      </c>
    </row>
    <row r="4181" spans="1:8" x14ac:dyDescent="0.3">
      <c r="A4181" s="45">
        <v>44793</v>
      </c>
      <c r="B4181" s="399"/>
      <c r="C4181" s="5" t="s">
        <v>14</v>
      </c>
      <c r="D4181" s="5" t="s">
        <v>3183</v>
      </c>
      <c r="E4181" s="43">
        <v>10000</v>
      </c>
      <c r="F4181" s="43"/>
      <c r="G4181" s="48">
        <f t="shared" si="107"/>
        <v>31080</v>
      </c>
      <c r="H4181" s="391" t="s">
        <v>9568</v>
      </c>
    </row>
    <row r="4182" spans="1:8" x14ac:dyDescent="0.3">
      <c r="A4182" s="45">
        <v>44795</v>
      </c>
      <c r="B4182" s="399"/>
      <c r="C4182" s="5" t="s">
        <v>9582</v>
      </c>
      <c r="D4182" s="5" t="s">
        <v>9583</v>
      </c>
      <c r="E4182" s="43">
        <v>2500</v>
      </c>
      <c r="F4182" s="43"/>
      <c r="G4182" s="48">
        <f t="shared" si="107"/>
        <v>28580</v>
      </c>
      <c r="H4182" s="391" t="s">
        <v>9568</v>
      </c>
    </row>
    <row r="4183" spans="1:8" x14ac:dyDescent="0.3">
      <c r="A4183" s="45">
        <v>44795</v>
      </c>
      <c r="B4183" s="399"/>
      <c r="C4183" s="5" t="s">
        <v>9582</v>
      </c>
      <c r="D4183" s="5" t="s">
        <v>9584</v>
      </c>
      <c r="E4183" s="43">
        <v>1000</v>
      </c>
      <c r="F4183" s="43"/>
      <c r="G4183" s="48">
        <f t="shared" si="107"/>
        <v>27580</v>
      </c>
      <c r="H4183" s="391" t="s">
        <v>9568</v>
      </c>
    </row>
    <row r="4184" spans="1:8" x14ac:dyDescent="0.3">
      <c r="A4184" s="45">
        <v>44795</v>
      </c>
      <c r="B4184" s="399"/>
      <c r="C4184" s="5" t="s">
        <v>68</v>
      </c>
      <c r="D4184" s="5" t="s">
        <v>294</v>
      </c>
      <c r="E4184" s="43">
        <v>25000</v>
      </c>
      <c r="F4184" s="43"/>
      <c r="G4184" s="48">
        <f t="shared" si="107"/>
        <v>2580</v>
      </c>
      <c r="H4184" s="391" t="s">
        <v>9568</v>
      </c>
    </row>
    <row r="4185" spans="1:8" x14ac:dyDescent="0.3">
      <c r="A4185" s="45">
        <v>44796</v>
      </c>
      <c r="B4185" s="580"/>
      <c r="C4185" s="554" t="s">
        <v>4106</v>
      </c>
      <c r="D4185" s="554"/>
      <c r="E4185" s="554"/>
      <c r="F4185" s="43">
        <v>200000</v>
      </c>
      <c r="G4185" s="48">
        <f t="shared" ref="G4185" si="110">G4184+F4185-E4185</f>
        <v>202580</v>
      </c>
      <c r="H4185" s="391" t="s">
        <v>9568</v>
      </c>
    </row>
    <row r="4186" spans="1:8" x14ac:dyDescent="0.3">
      <c r="A4186" s="45">
        <v>44796</v>
      </c>
      <c r="B4186" s="399"/>
      <c r="C4186" s="5" t="s">
        <v>9525</v>
      </c>
      <c r="D4186" s="5" t="s">
        <v>9586</v>
      </c>
      <c r="E4186" s="43">
        <v>5800</v>
      </c>
      <c r="F4186" s="43"/>
      <c r="G4186" s="48">
        <f t="shared" si="107"/>
        <v>196780</v>
      </c>
      <c r="H4186" s="391" t="s">
        <v>9568</v>
      </c>
    </row>
    <row r="4187" spans="1:8" x14ac:dyDescent="0.3">
      <c r="A4187" s="45">
        <v>44796</v>
      </c>
      <c r="B4187" s="399"/>
      <c r="C4187" s="5" t="s">
        <v>9555</v>
      </c>
      <c r="D4187" s="5" t="s">
        <v>40</v>
      </c>
      <c r="E4187" s="43">
        <v>2000</v>
      </c>
      <c r="F4187" s="43"/>
      <c r="G4187" s="48">
        <f t="shared" si="107"/>
        <v>194780</v>
      </c>
      <c r="H4187" s="391" t="s">
        <v>9568</v>
      </c>
    </row>
    <row r="4188" spans="1:8" x14ac:dyDescent="0.3">
      <c r="A4188" s="45">
        <v>44796</v>
      </c>
      <c r="B4188" s="399"/>
      <c r="C4188" s="5" t="s">
        <v>68</v>
      </c>
      <c r="D4188" s="5" t="s">
        <v>9588</v>
      </c>
      <c r="E4188" s="43">
        <v>20000</v>
      </c>
      <c r="F4188" s="43"/>
      <c r="G4188" s="48">
        <f t="shared" si="107"/>
        <v>174780</v>
      </c>
      <c r="H4188" s="391" t="s">
        <v>9568</v>
      </c>
    </row>
    <row r="4189" spans="1:8" x14ac:dyDescent="0.3">
      <c r="A4189" s="45">
        <v>44796</v>
      </c>
      <c r="B4189" s="399"/>
      <c r="C4189" s="5" t="s">
        <v>6931</v>
      </c>
      <c r="D4189" s="5" t="s">
        <v>9587</v>
      </c>
      <c r="E4189" s="43">
        <v>20000</v>
      </c>
      <c r="F4189" s="43"/>
      <c r="G4189" s="48">
        <f t="shared" ref="G4189:G4255" si="111">G4188+F4189-E4189</f>
        <v>154780</v>
      </c>
      <c r="H4189" s="391" t="s">
        <v>9568</v>
      </c>
    </row>
    <row r="4190" spans="1:8" x14ac:dyDescent="0.3">
      <c r="A4190" s="45">
        <v>44796</v>
      </c>
      <c r="B4190" s="399"/>
      <c r="C4190" s="5" t="s">
        <v>54</v>
      </c>
      <c r="D4190" s="5" t="s">
        <v>9589</v>
      </c>
      <c r="E4190" s="43">
        <v>10000</v>
      </c>
      <c r="F4190" s="43"/>
      <c r="G4190" s="48">
        <f t="shared" si="111"/>
        <v>144780</v>
      </c>
      <c r="H4190" s="391" t="s">
        <v>9568</v>
      </c>
    </row>
    <row r="4191" spans="1:8" x14ac:dyDescent="0.3">
      <c r="A4191" s="45">
        <v>44796</v>
      </c>
      <c r="B4191" s="399"/>
      <c r="C4191" s="5" t="s">
        <v>84</v>
      </c>
      <c r="D4191" s="5" t="s">
        <v>9591</v>
      </c>
      <c r="E4191" s="43">
        <v>6000</v>
      </c>
      <c r="F4191" s="43"/>
      <c r="G4191" s="48">
        <f t="shared" si="111"/>
        <v>138780</v>
      </c>
      <c r="H4191" s="391" t="s">
        <v>9568</v>
      </c>
    </row>
    <row r="4192" spans="1:8" x14ac:dyDescent="0.3">
      <c r="A4192" s="45">
        <v>44796</v>
      </c>
      <c r="B4192" s="399"/>
      <c r="C4192" s="5" t="s">
        <v>84</v>
      </c>
      <c r="D4192" s="5" t="s">
        <v>9592</v>
      </c>
      <c r="E4192" s="43">
        <v>2000</v>
      </c>
      <c r="F4192" s="43"/>
      <c r="G4192" s="48">
        <f t="shared" si="111"/>
        <v>136780</v>
      </c>
      <c r="H4192" s="391" t="s">
        <v>9568</v>
      </c>
    </row>
    <row r="4193" spans="1:8" x14ac:dyDescent="0.3">
      <c r="A4193" s="45">
        <v>44797</v>
      </c>
      <c r="B4193" s="399"/>
      <c r="C4193" s="5" t="s">
        <v>14</v>
      </c>
      <c r="D4193" s="5" t="s">
        <v>3183</v>
      </c>
      <c r="E4193" s="43">
        <v>10000</v>
      </c>
      <c r="F4193" s="43"/>
      <c r="G4193" s="48">
        <f t="shared" si="111"/>
        <v>126780</v>
      </c>
      <c r="H4193" s="391" t="s">
        <v>9568</v>
      </c>
    </row>
    <row r="4194" spans="1:8" x14ac:dyDescent="0.3">
      <c r="A4194" s="45">
        <v>44797</v>
      </c>
      <c r="B4194" s="399"/>
      <c r="C4194" s="5" t="s">
        <v>1074</v>
      </c>
      <c r="D4194" s="5" t="s">
        <v>9006</v>
      </c>
      <c r="E4194" s="43">
        <f>40287+15869</f>
        <v>56156</v>
      </c>
      <c r="F4194" s="43"/>
      <c r="G4194" s="48">
        <f t="shared" si="111"/>
        <v>70624</v>
      </c>
      <c r="H4194" s="391" t="s">
        <v>9568</v>
      </c>
    </row>
    <row r="4195" spans="1:8" x14ac:dyDescent="0.3">
      <c r="A4195" s="45">
        <v>44797</v>
      </c>
      <c r="B4195" s="399"/>
      <c r="C4195" s="5" t="s">
        <v>1074</v>
      </c>
      <c r="D4195" s="5" t="s">
        <v>9593</v>
      </c>
      <c r="E4195" s="43">
        <f>3541+22960</f>
        <v>26501</v>
      </c>
      <c r="F4195" s="43"/>
      <c r="G4195" s="48">
        <f t="shared" si="111"/>
        <v>44123</v>
      </c>
      <c r="H4195" s="391" t="s">
        <v>9568</v>
      </c>
    </row>
    <row r="4196" spans="1:8" x14ac:dyDescent="0.3">
      <c r="A4196" s="45">
        <v>44798</v>
      </c>
      <c r="B4196" s="399"/>
      <c r="C4196" s="5" t="s">
        <v>25</v>
      </c>
      <c r="D4196" s="5" t="s">
        <v>4276</v>
      </c>
      <c r="E4196" s="43">
        <v>5955</v>
      </c>
      <c r="F4196" s="43"/>
      <c r="G4196" s="48">
        <f t="shared" si="111"/>
        <v>38168</v>
      </c>
      <c r="H4196" s="391" t="s">
        <v>9568</v>
      </c>
    </row>
    <row r="4197" spans="1:8" x14ac:dyDescent="0.3">
      <c r="A4197" s="45">
        <v>44798</v>
      </c>
      <c r="B4197" s="399"/>
      <c r="C4197" s="5" t="s">
        <v>1787</v>
      </c>
      <c r="D4197" s="5" t="s">
        <v>9599</v>
      </c>
      <c r="E4197" s="43">
        <v>6000</v>
      </c>
      <c r="F4197" s="43"/>
      <c r="G4197" s="48">
        <f t="shared" si="111"/>
        <v>32168</v>
      </c>
      <c r="H4197" s="391" t="s">
        <v>9568</v>
      </c>
    </row>
    <row r="4198" spans="1:8" x14ac:dyDescent="0.3">
      <c r="A4198" s="45">
        <v>44799</v>
      </c>
      <c r="B4198" s="399"/>
      <c r="C4198" s="5" t="s">
        <v>68</v>
      </c>
      <c r="D4198" s="5" t="s">
        <v>3183</v>
      </c>
      <c r="E4198" s="43">
        <v>10000</v>
      </c>
      <c r="F4198" s="43"/>
      <c r="G4198" s="48">
        <f t="shared" si="111"/>
        <v>22168</v>
      </c>
      <c r="H4198" s="391" t="s">
        <v>9568</v>
      </c>
    </row>
    <row r="4199" spans="1:8" x14ac:dyDescent="0.3">
      <c r="A4199" s="45">
        <v>44799</v>
      </c>
      <c r="B4199" s="580"/>
      <c r="C4199" s="554" t="s">
        <v>4364</v>
      </c>
      <c r="D4199" s="554"/>
      <c r="E4199" s="554"/>
      <c r="F4199" s="43">
        <v>100000</v>
      </c>
      <c r="G4199" s="48">
        <f t="shared" si="111"/>
        <v>122168</v>
      </c>
      <c r="H4199" s="391" t="s">
        <v>9568</v>
      </c>
    </row>
    <row r="4200" spans="1:8" x14ac:dyDescent="0.3">
      <c r="A4200" s="45">
        <v>44799</v>
      </c>
      <c r="B4200" s="399"/>
      <c r="C4200" s="5" t="s">
        <v>9582</v>
      </c>
      <c r="D4200" s="5" t="s">
        <v>9601</v>
      </c>
      <c r="E4200" s="43">
        <v>2750</v>
      </c>
      <c r="F4200" s="43"/>
      <c r="G4200" s="48">
        <f t="shared" si="111"/>
        <v>119418</v>
      </c>
      <c r="H4200" s="391" t="s">
        <v>9568</v>
      </c>
    </row>
    <row r="4201" spans="1:8" x14ac:dyDescent="0.3">
      <c r="A4201" s="45">
        <v>44799</v>
      </c>
      <c r="B4201" s="399"/>
      <c r="C4201" s="5" t="s">
        <v>9602</v>
      </c>
      <c r="D4201" s="5" t="s">
        <v>9603</v>
      </c>
      <c r="E4201" s="43">
        <v>20000</v>
      </c>
      <c r="F4201" s="43"/>
      <c r="G4201" s="48">
        <f t="shared" si="111"/>
        <v>99418</v>
      </c>
      <c r="H4201" s="391" t="s">
        <v>9568</v>
      </c>
    </row>
    <row r="4202" spans="1:8" x14ac:dyDescent="0.3">
      <c r="A4202" s="45">
        <v>44800</v>
      </c>
      <c r="B4202" s="399"/>
      <c r="C4202" s="5" t="s">
        <v>9525</v>
      </c>
      <c r="D4202" s="5" t="s">
        <v>9459</v>
      </c>
      <c r="E4202" s="43">
        <v>3000</v>
      </c>
      <c r="F4202" s="43"/>
      <c r="G4202" s="48">
        <f t="shared" si="111"/>
        <v>96418</v>
      </c>
      <c r="H4202" s="391" t="s">
        <v>9568</v>
      </c>
    </row>
    <row r="4203" spans="1:8" x14ac:dyDescent="0.3">
      <c r="A4203" s="45">
        <v>44800</v>
      </c>
      <c r="B4203" s="399"/>
      <c r="C4203" s="5" t="s">
        <v>9604</v>
      </c>
      <c r="D4203" s="5" t="s">
        <v>9605</v>
      </c>
      <c r="E4203" s="43">
        <v>30000</v>
      </c>
      <c r="F4203" s="43"/>
      <c r="G4203" s="365">
        <f t="shared" si="111"/>
        <v>66418</v>
      </c>
      <c r="H4203" s="391" t="s">
        <v>9568</v>
      </c>
    </row>
    <row r="4204" spans="1:8" x14ac:dyDescent="0.3">
      <c r="A4204" s="45">
        <v>44800</v>
      </c>
      <c r="B4204" s="399"/>
      <c r="C4204" s="5" t="s">
        <v>7581</v>
      </c>
      <c r="D4204" s="5" t="s">
        <v>294</v>
      </c>
      <c r="E4204" s="43">
        <v>30000</v>
      </c>
      <c r="F4204" s="43"/>
      <c r="G4204" s="364">
        <f t="shared" si="111"/>
        <v>36418</v>
      </c>
      <c r="H4204" s="391" t="s">
        <v>9568</v>
      </c>
    </row>
    <row r="4205" spans="1:8" x14ac:dyDescent="0.3">
      <c r="A4205" s="45">
        <v>44800</v>
      </c>
      <c r="B4205" s="399"/>
      <c r="C4205" s="5" t="s">
        <v>541</v>
      </c>
      <c r="D4205" s="5" t="s">
        <v>6038</v>
      </c>
      <c r="E4205" s="43">
        <v>5000</v>
      </c>
      <c r="F4205" s="43"/>
      <c r="G4205" s="364">
        <f t="shared" si="111"/>
        <v>31418</v>
      </c>
      <c r="H4205" s="391" t="s">
        <v>9568</v>
      </c>
    </row>
    <row r="4206" spans="1:8" x14ac:dyDescent="0.3">
      <c r="A4206" s="45">
        <v>44800</v>
      </c>
      <c r="B4206" s="399"/>
      <c r="C4206" s="5" t="s">
        <v>14</v>
      </c>
      <c r="D4206" s="5" t="s">
        <v>294</v>
      </c>
      <c r="E4206" s="43">
        <v>15000</v>
      </c>
      <c r="F4206" s="43"/>
      <c r="G4206" s="364">
        <f t="shared" si="111"/>
        <v>16418</v>
      </c>
      <c r="H4206" s="391" t="s">
        <v>9568</v>
      </c>
    </row>
    <row r="4207" spans="1:8" x14ac:dyDescent="0.3">
      <c r="A4207" s="45">
        <v>44800</v>
      </c>
      <c r="B4207" s="399"/>
      <c r="C4207" s="5" t="s">
        <v>9604</v>
      </c>
      <c r="D4207" s="5" t="s">
        <v>9608</v>
      </c>
      <c r="E4207" s="43">
        <v>4000</v>
      </c>
      <c r="F4207" s="43"/>
      <c r="G4207" s="364">
        <f t="shared" si="111"/>
        <v>12418</v>
      </c>
      <c r="H4207" s="391" t="s">
        <v>9568</v>
      </c>
    </row>
    <row r="4208" spans="1:8" x14ac:dyDescent="0.3">
      <c r="A4208" s="45">
        <v>44800</v>
      </c>
      <c r="B4208" s="399"/>
      <c r="C4208" s="5" t="s">
        <v>84</v>
      </c>
      <c r="D4208" s="5" t="s">
        <v>9609</v>
      </c>
      <c r="E4208" s="43">
        <v>2000</v>
      </c>
      <c r="F4208" s="43"/>
      <c r="G4208" s="364">
        <f t="shared" si="111"/>
        <v>10418</v>
      </c>
      <c r="H4208" s="391" t="s">
        <v>9568</v>
      </c>
    </row>
    <row r="4209" spans="1:9" x14ac:dyDescent="0.3">
      <c r="A4209" s="45">
        <v>44802</v>
      </c>
      <c r="B4209" s="580"/>
      <c r="C4209" s="554" t="s">
        <v>4364</v>
      </c>
      <c r="D4209" s="554"/>
      <c r="E4209" s="554"/>
      <c r="F4209" s="43">
        <v>150000</v>
      </c>
      <c r="G4209" s="48">
        <f t="shared" ref="G4209" si="112">G4208+F4209-E4209</f>
        <v>160418</v>
      </c>
      <c r="H4209" s="391" t="s">
        <v>9568</v>
      </c>
    </row>
    <row r="4210" spans="1:9" x14ac:dyDescent="0.3">
      <c r="A4210" s="45">
        <v>44802</v>
      </c>
      <c r="B4210" s="399"/>
      <c r="C4210" s="5" t="s">
        <v>8573</v>
      </c>
      <c r="D4210" s="5" t="s">
        <v>9611</v>
      </c>
      <c r="E4210" s="43">
        <v>50000</v>
      </c>
      <c r="F4210" s="43"/>
      <c r="G4210" s="364">
        <f t="shared" si="111"/>
        <v>110418</v>
      </c>
      <c r="H4210" s="391" t="s">
        <v>9568</v>
      </c>
    </row>
    <row r="4211" spans="1:9" x14ac:dyDescent="0.3">
      <c r="A4211" s="45">
        <v>44802</v>
      </c>
      <c r="B4211" s="399"/>
      <c r="C4211" s="5" t="s">
        <v>9452</v>
      </c>
      <c r="D4211" s="5" t="s">
        <v>9615</v>
      </c>
      <c r="E4211" s="43">
        <v>13000</v>
      </c>
      <c r="F4211" s="43"/>
      <c r="G4211" s="364">
        <f t="shared" si="111"/>
        <v>97418</v>
      </c>
      <c r="H4211" s="391" t="s">
        <v>9568</v>
      </c>
    </row>
    <row r="4212" spans="1:9" x14ac:dyDescent="0.3">
      <c r="A4212" s="45">
        <v>44802</v>
      </c>
      <c r="B4212" s="399"/>
      <c r="C4212" s="5" t="s">
        <v>25</v>
      </c>
      <c r="D4212" s="5" t="s">
        <v>4276</v>
      </c>
      <c r="E4212" s="43">
        <v>6675</v>
      </c>
      <c r="F4212" s="43"/>
      <c r="G4212" s="364">
        <f t="shared" si="111"/>
        <v>90743</v>
      </c>
      <c r="H4212" s="391" t="s">
        <v>9568</v>
      </c>
    </row>
    <row r="4213" spans="1:9" x14ac:dyDescent="0.3">
      <c r="A4213" s="45">
        <v>44802</v>
      </c>
      <c r="B4213" s="399"/>
      <c r="C4213" s="5" t="s">
        <v>9620</v>
      </c>
      <c r="D4213" s="5" t="s">
        <v>40</v>
      </c>
      <c r="E4213" s="43">
        <v>5000</v>
      </c>
      <c r="F4213" s="43"/>
      <c r="G4213" s="364">
        <f t="shared" si="111"/>
        <v>85743</v>
      </c>
      <c r="H4213" s="391" t="s">
        <v>9568</v>
      </c>
    </row>
    <row r="4214" spans="1:9" x14ac:dyDescent="0.3">
      <c r="A4214" s="45">
        <v>44802</v>
      </c>
      <c r="B4214" s="399"/>
      <c r="C4214" s="5" t="s">
        <v>9621</v>
      </c>
      <c r="D4214" s="5" t="s">
        <v>9622</v>
      </c>
      <c r="E4214" s="43">
        <v>50000</v>
      </c>
      <c r="F4214" s="43"/>
      <c r="G4214" s="364">
        <f t="shared" si="111"/>
        <v>35743</v>
      </c>
      <c r="H4214" s="391" t="s">
        <v>9568</v>
      </c>
    </row>
    <row r="4215" spans="1:9" x14ac:dyDescent="0.3">
      <c r="A4215" s="45">
        <v>44802</v>
      </c>
      <c r="B4215" s="580"/>
      <c r="C4215" s="554" t="s">
        <v>4364</v>
      </c>
      <c r="D4215" s="554"/>
      <c r="E4215" s="554"/>
      <c r="F4215" s="43">
        <v>500000</v>
      </c>
      <c r="G4215" s="48">
        <f t="shared" si="111"/>
        <v>535743</v>
      </c>
      <c r="H4215" s="391" t="s">
        <v>9568</v>
      </c>
    </row>
    <row r="4216" spans="1:9" x14ac:dyDescent="0.3">
      <c r="A4216" s="45">
        <v>44802</v>
      </c>
      <c r="B4216" s="399"/>
      <c r="C4216" s="5" t="s">
        <v>9044</v>
      </c>
      <c r="D4216" s="5" t="s">
        <v>9623</v>
      </c>
      <c r="E4216" s="43">
        <v>15000</v>
      </c>
      <c r="F4216" s="43"/>
      <c r="G4216" s="48">
        <f t="shared" si="111"/>
        <v>520743</v>
      </c>
      <c r="H4216" s="391" t="s">
        <v>9568</v>
      </c>
    </row>
    <row r="4217" spans="1:9" x14ac:dyDescent="0.3">
      <c r="A4217" s="45">
        <v>44802</v>
      </c>
      <c r="B4217" s="399"/>
      <c r="C4217" s="5" t="s">
        <v>9525</v>
      </c>
      <c r="D4217" s="5" t="s">
        <v>4399</v>
      </c>
      <c r="E4217" s="43">
        <v>2000</v>
      </c>
      <c r="F4217" s="43"/>
      <c r="G4217" s="48">
        <f t="shared" si="111"/>
        <v>518743</v>
      </c>
      <c r="H4217" s="391" t="s">
        <v>9568</v>
      </c>
    </row>
    <row r="4218" spans="1:9" x14ac:dyDescent="0.3">
      <c r="A4218" s="45">
        <v>44803</v>
      </c>
      <c r="B4218" s="399"/>
      <c r="C4218" s="5" t="s">
        <v>57</v>
      </c>
      <c r="D4218" s="5" t="s">
        <v>3332</v>
      </c>
      <c r="E4218" s="43">
        <v>1000</v>
      </c>
      <c r="F4218" s="43"/>
      <c r="G4218" s="48">
        <f t="shared" si="111"/>
        <v>517743</v>
      </c>
      <c r="H4218" s="391" t="s">
        <v>9568</v>
      </c>
    </row>
    <row r="4219" spans="1:9" x14ac:dyDescent="0.3">
      <c r="A4219" s="45">
        <v>44803</v>
      </c>
      <c r="B4219" s="399"/>
      <c r="C4219" s="5" t="s">
        <v>14</v>
      </c>
      <c r="D4219" s="5" t="s">
        <v>294</v>
      </c>
      <c r="E4219" s="43">
        <v>10000</v>
      </c>
      <c r="F4219" s="43"/>
      <c r="G4219" s="48">
        <f t="shared" si="111"/>
        <v>507743</v>
      </c>
      <c r="H4219" s="391" t="s">
        <v>9568</v>
      </c>
      <c r="I4219" s="155"/>
    </row>
    <row r="4220" spans="1:9" x14ac:dyDescent="0.3">
      <c r="A4220" s="45">
        <v>44803</v>
      </c>
      <c r="B4220" s="399"/>
      <c r="C4220" s="5" t="s">
        <v>9625</v>
      </c>
      <c r="D4220" s="5" t="s">
        <v>9626</v>
      </c>
      <c r="E4220" s="43">
        <v>236000</v>
      </c>
      <c r="F4220" s="43"/>
      <c r="G4220" s="48">
        <f t="shared" si="111"/>
        <v>271743</v>
      </c>
      <c r="H4220" s="391" t="s">
        <v>9568</v>
      </c>
    </row>
    <row r="4221" spans="1:9" x14ac:dyDescent="0.3">
      <c r="A4221" s="45">
        <v>44803</v>
      </c>
      <c r="B4221" s="399"/>
      <c r="C4221" s="5" t="s">
        <v>9627</v>
      </c>
      <c r="D4221" s="5" t="s">
        <v>9628</v>
      </c>
      <c r="E4221" s="43">
        <v>1500</v>
      </c>
      <c r="F4221" s="43"/>
      <c r="G4221" s="48">
        <f t="shared" si="111"/>
        <v>270243</v>
      </c>
      <c r="H4221" s="391" t="s">
        <v>9568</v>
      </c>
    </row>
    <row r="4222" spans="1:9" x14ac:dyDescent="0.3">
      <c r="A4222" s="45">
        <v>44803</v>
      </c>
      <c r="B4222" s="399"/>
      <c r="C4222" s="5" t="s">
        <v>84</v>
      </c>
      <c r="D4222" s="5" t="s">
        <v>9629</v>
      </c>
      <c r="E4222" s="43">
        <v>5000</v>
      </c>
      <c r="F4222" s="43"/>
      <c r="G4222" s="48">
        <f t="shared" si="111"/>
        <v>265243</v>
      </c>
      <c r="H4222" s="391" t="s">
        <v>9568</v>
      </c>
    </row>
    <row r="4223" spans="1:9" x14ac:dyDescent="0.3">
      <c r="A4223" s="45">
        <v>44803</v>
      </c>
      <c r="B4223" s="399"/>
      <c r="C4223" s="5" t="s">
        <v>91</v>
      </c>
      <c r="D4223" s="5" t="s">
        <v>40</v>
      </c>
      <c r="E4223" s="43">
        <v>500</v>
      </c>
      <c r="F4223" s="43"/>
      <c r="G4223" s="48">
        <f t="shared" si="111"/>
        <v>264743</v>
      </c>
      <c r="H4223" s="391" t="s">
        <v>9568</v>
      </c>
    </row>
    <row r="4224" spans="1:9" x14ac:dyDescent="0.3">
      <c r="A4224" s="45">
        <v>44803</v>
      </c>
      <c r="B4224" s="399"/>
      <c r="C4224" s="5" t="s">
        <v>5979</v>
      </c>
      <c r="D4224" s="5" t="s">
        <v>40</v>
      </c>
      <c r="E4224" s="43">
        <v>50000</v>
      </c>
      <c r="F4224" s="43"/>
      <c r="G4224" s="48">
        <f t="shared" si="111"/>
        <v>214743</v>
      </c>
      <c r="H4224" s="391" t="s">
        <v>9568</v>
      </c>
    </row>
    <row r="4225" spans="1:8" x14ac:dyDescent="0.3">
      <c r="A4225" s="45">
        <v>44803</v>
      </c>
      <c r="B4225" s="399"/>
      <c r="C4225" s="5" t="s">
        <v>9525</v>
      </c>
      <c r="D4225" s="5" t="s">
        <v>4399</v>
      </c>
      <c r="E4225" s="43">
        <v>2000</v>
      </c>
      <c r="F4225" s="43"/>
      <c r="G4225" s="48">
        <f t="shared" si="111"/>
        <v>212743</v>
      </c>
      <c r="H4225" s="391" t="s">
        <v>9568</v>
      </c>
    </row>
    <row r="4226" spans="1:8" x14ac:dyDescent="0.3">
      <c r="A4226" s="45">
        <v>44803</v>
      </c>
      <c r="B4226" s="399"/>
      <c r="C4226" s="5" t="s">
        <v>4550</v>
      </c>
      <c r="D4226" s="5" t="s">
        <v>294</v>
      </c>
      <c r="E4226" s="43">
        <v>50000</v>
      </c>
      <c r="F4226" s="43"/>
      <c r="G4226" s="48">
        <f t="shared" si="111"/>
        <v>162743</v>
      </c>
      <c r="H4226" s="391" t="s">
        <v>9568</v>
      </c>
    </row>
    <row r="4227" spans="1:8" x14ac:dyDescent="0.3">
      <c r="A4227" s="45">
        <v>44803</v>
      </c>
      <c r="B4227" s="399"/>
      <c r="C4227" s="5" t="s">
        <v>84</v>
      </c>
      <c r="D4227" s="5" t="s">
        <v>9630</v>
      </c>
      <c r="E4227" s="43">
        <v>2000</v>
      </c>
      <c r="F4227" s="43"/>
      <c r="G4227" s="48">
        <f t="shared" si="111"/>
        <v>160743</v>
      </c>
      <c r="H4227" s="391" t="s">
        <v>9568</v>
      </c>
    </row>
    <row r="4228" spans="1:8" x14ac:dyDescent="0.3">
      <c r="A4228" s="45">
        <v>44803</v>
      </c>
      <c r="B4228" s="399"/>
      <c r="C4228" s="5" t="s">
        <v>84</v>
      </c>
      <c r="D4228" s="5" t="s">
        <v>9631</v>
      </c>
      <c r="E4228" s="43">
        <v>2000</v>
      </c>
      <c r="F4228" s="43"/>
      <c r="G4228" s="48">
        <f t="shared" si="111"/>
        <v>158743</v>
      </c>
      <c r="H4228" s="391" t="s">
        <v>9568</v>
      </c>
    </row>
    <row r="4229" spans="1:8" x14ac:dyDescent="0.3">
      <c r="A4229" s="45">
        <v>44804</v>
      </c>
      <c r="B4229" s="399"/>
      <c r="C4229" s="5" t="s">
        <v>1616</v>
      </c>
      <c r="D4229" s="5" t="s">
        <v>1008</v>
      </c>
      <c r="E4229" s="65">
        <v>1500</v>
      </c>
      <c r="F4229" s="43"/>
      <c r="G4229" s="48">
        <f t="shared" si="111"/>
        <v>157243</v>
      </c>
      <c r="H4229" s="391" t="s">
        <v>9568</v>
      </c>
    </row>
    <row r="4230" spans="1:8" x14ac:dyDescent="0.3">
      <c r="A4230" s="45">
        <v>44804</v>
      </c>
      <c r="B4230" s="399"/>
      <c r="C4230" s="5" t="s">
        <v>1616</v>
      </c>
      <c r="D4230" s="5" t="s">
        <v>3008</v>
      </c>
      <c r="E4230" s="65">
        <v>700</v>
      </c>
      <c r="F4230" s="43"/>
      <c r="G4230" s="48">
        <f t="shared" si="111"/>
        <v>156543</v>
      </c>
      <c r="H4230" s="391" t="s">
        <v>9568</v>
      </c>
    </row>
    <row r="4231" spans="1:8" x14ac:dyDescent="0.3">
      <c r="A4231" s="45">
        <v>44804</v>
      </c>
      <c r="B4231" s="399"/>
      <c r="C4231" s="5" t="s">
        <v>84</v>
      </c>
      <c r="D4231" s="5" t="s">
        <v>9632</v>
      </c>
      <c r="E4231" s="43">
        <v>40000</v>
      </c>
      <c r="F4231" s="43"/>
      <c r="G4231" s="48">
        <f t="shared" si="111"/>
        <v>116543</v>
      </c>
      <c r="H4231" s="391" t="s">
        <v>9568</v>
      </c>
    </row>
    <row r="4232" spans="1:8" x14ac:dyDescent="0.3">
      <c r="A4232" s="45">
        <v>44804</v>
      </c>
      <c r="B4232" s="399"/>
      <c r="C4232" s="5" t="s">
        <v>14</v>
      </c>
      <c r="D4232" s="5" t="s">
        <v>294</v>
      </c>
      <c r="E4232" s="43">
        <v>15000</v>
      </c>
      <c r="F4232" s="43"/>
      <c r="G4232" s="48">
        <f t="shared" si="111"/>
        <v>101543</v>
      </c>
      <c r="H4232" s="391" t="s">
        <v>9568</v>
      </c>
    </row>
    <row r="4233" spans="1:8" x14ac:dyDescent="0.3">
      <c r="A4233" s="45">
        <v>44804</v>
      </c>
      <c r="B4233" s="399"/>
      <c r="C4233" s="5" t="s">
        <v>57</v>
      </c>
      <c r="D4233" s="5" t="s">
        <v>294</v>
      </c>
      <c r="E4233" s="43">
        <v>1000</v>
      </c>
      <c r="F4233" s="43"/>
      <c r="G4233" s="48">
        <f t="shared" si="111"/>
        <v>100543</v>
      </c>
      <c r="H4233" s="391" t="s">
        <v>9568</v>
      </c>
    </row>
    <row r="4234" spans="1:8" x14ac:dyDescent="0.3">
      <c r="A4234" s="45">
        <v>44804</v>
      </c>
      <c r="B4234" s="399"/>
      <c r="C4234" s="5" t="s">
        <v>68</v>
      </c>
      <c r="D4234" s="5" t="s">
        <v>3183</v>
      </c>
      <c r="E4234" s="43">
        <v>15000</v>
      </c>
      <c r="F4234" s="43"/>
      <c r="G4234" s="48">
        <f t="shared" si="111"/>
        <v>85543</v>
      </c>
      <c r="H4234" s="391" t="s">
        <v>9568</v>
      </c>
    </row>
    <row r="4235" spans="1:8" x14ac:dyDescent="0.3">
      <c r="A4235" s="45">
        <v>44806</v>
      </c>
      <c r="B4235" s="399"/>
      <c r="C4235" s="5" t="s">
        <v>9525</v>
      </c>
      <c r="D4235" s="5" t="s">
        <v>9635</v>
      </c>
      <c r="E4235" s="43">
        <v>3900</v>
      </c>
      <c r="F4235" s="43"/>
      <c r="G4235" s="48">
        <f t="shared" si="111"/>
        <v>81643</v>
      </c>
      <c r="H4235" s="391" t="s">
        <v>9568</v>
      </c>
    </row>
    <row r="4236" spans="1:8" x14ac:dyDescent="0.3">
      <c r="A4236" s="45">
        <v>44806</v>
      </c>
      <c r="B4236" s="399"/>
      <c r="C4236" s="5" t="s">
        <v>9525</v>
      </c>
      <c r="D4236" s="5" t="s">
        <v>9636</v>
      </c>
      <c r="E4236" s="43">
        <v>25500</v>
      </c>
      <c r="F4236" s="43"/>
      <c r="G4236" s="48">
        <f t="shared" si="111"/>
        <v>56143</v>
      </c>
      <c r="H4236" s="391" t="s">
        <v>9568</v>
      </c>
    </row>
    <row r="4237" spans="1:8" x14ac:dyDescent="0.3">
      <c r="A4237" s="45">
        <v>44806</v>
      </c>
      <c r="B4237" s="399"/>
      <c r="C4237" s="5" t="s">
        <v>68</v>
      </c>
      <c r="D4237" s="5" t="s">
        <v>3183</v>
      </c>
      <c r="E4237" s="43">
        <v>15000</v>
      </c>
      <c r="F4237" s="43"/>
      <c r="G4237" s="48">
        <f t="shared" si="111"/>
        <v>41143</v>
      </c>
      <c r="H4237" s="391" t="s">
        <v>9568</v>
      </c>
    </row>
    <row r="4238" spans="1:8" x14ac:dyDescent="0.3">
      <c r="A4238" s="45">
        <v>44806</v>
      </c>
      <c r="B4238" s="399"/>
      <c r="C4238" s="5" t="s">
        <v>25</v>
      </c>
      <c r="D4238" s="5" t="s">
        <v>9518</v>
      </c>
      <c r="E4238" s="43">
        <v>6940</v>
      </c>
      <c r="F4238" s="43"/>
      <c r="G4238" s="48">
        <f t="shared" si="111"/>
        <v>34203</v>
      </c>
      <c r="H4238" s="391" t="s">
        <v>9568</v>
      </c>
    </row>
    <row r="4239" spans="1:8" x14ac:dyDescent="0.3">
      <c r="A4239" s="45">
        <v>44806</v>
      </c>
      <c r="B4239" s="399"/>
      <c r="C4239" s="5" t="s">
        <v>5156</v>
      </c>
      <c r="D4239" s="5" t="s">
        <v>9475</v>
      </c>
      <c r="E4239" s="43">
        <v>740</v>
      </c>
      <c r="F4239" s="43"/>
      <c r="G4239" s="48">
        <f t="shared" si="111"/>
        <v>33463</v>
      </c>
      <c r="H4239" s="391" t="s">
        <v>9568</v>
      </c>
    </row>
    <row r="4240" spans="1:8" x14ac:dyDescent="0.3">
      <c r="A4240" s="45">
        <v>44806</v>
      </c>
      <c r="B4240" s="399"/>
      <c r="C4240" s="5" t="s">
        <v>1074</v>
      </c>
      <c r="D4240" s="5" t="s">
        <v>9638</v>
      </c>
      <c r="E4240" s="43">
        <v>750</v>
      </c>
      <c r="F4240" s="43"/>
      <c r="G4240" s="48">
        <f t="shared" si="111"/>
        <v>32713</v>
      </c>
      <c r="H4240" s="391" t="s">
        <v>9568</v>
      </c>
    </row>
    <row r="4241" spans="1:8" x14ac:dyDescent="0.3">
      <c r="A4241" s="45">
        <v>44806</v>
      </c>
      <c r="B4241" s="399"/>
      <c r="C4241" s="5" t="s">
        <v>18</v>
      </c>
      <c r="D4241" s="5" t="s">
        <v>640</v>
      </c>
      <c r="E4241" s="43">
        <v>900</v>
      </c>
      <c r="F4241" s="43"/>
      <c r="G4241" s="48">
        <f t="shared" si="111"/>
        <v>31813</v>
      </c>
      <c r="H4241" s="391" t="s">
        <v>9568</v>
      </c>
    </row>
    <row r="4242" spans="1:8" x14ac:dyDescent="0.3">
      <c r="A4242" s="45">
        <v>44806</v>
      </c>
      <c r="B4242" s="399"/>
      <c r="C4242" s="5" t="s">
        <v>57</v>
      </c>
      <c r="D4242" s="5" t="s">
        <v>294</v>
      </c>
      <c r="E4242" s="43">
        <v>3000</v>
      </c>
      <c r="F4242" s="43"/>
      <c r="G4242" s="48">
        <f t="shared" si="111"/>
        <v>28813</v>
      </c>
      <c r="H4242" s="391" t="s">
        <v>9568</v>
      </c>
    </row>
    <row r="4243" spans="1:8" x14ac:dyDescent="0.3">
      <c r="A4243" s="45">
        <v>44806</v>
      </c>
      <c r="B4243" s="399"/>
      <c r="C4243" s="5" t="s">
        <v>57</v>
      </c>
      <c r="D4243" s="5" t="s">
        <v>9640</v>
      </c>
      <c r="E4243" s="43">
        <v>2500</v>
      </c>
      <c r="F4243" s="43"/>
      <c r="G4243" s="48">
        <f t="shared" si="111"/>
        <v>26313</v>
      </c>
      <c r="H4243" s="391" t="s">
        <v>9568</v>
      </c>
    </row>
    <row r="4244" spans="1:8" x14ac:dyDescent="0.3">
      <c r="A4244" s="45">
        <v>44806</v>
      </c>
      <c r="B4244" s="399"/>
      <c r="C4244" s="5" t="s">
        <v>9642</v>
      </c>
      <c r="D4244" s="5" t="s">
        <v>9643</v>
      </c>
      <c r="E4244" s="43">
        <v>2000</v>
      </c>
      <c r="F4244" s="43"/>
      <c r="G4244" s="48">
        <f t="shared" si="111"/>
        <v>24313</v>
      </c>
      <c r="H4244" s="391" t="s">
        <v>9568</v>
      </c>
    </row>
    <row r="4245" spans="1:8" x14ac:dyDescent="0.3">
      <c r="A4245" s="45">
        <v>44806</v>
      </c>
      <c r="B4245" s="402"/>
      <c r="C4245" s="39" t="s">
        <v>54</v>
      </c>
      <c r="D4245" s="39" t="s">
        <v>4109</v>
      </c>
      <c r="E4245" s="40">
        <v>16000</v>
      </c>
      <c r="F4245" s="43"/>
      <c r="G4245" s="48">
        <f t="shared" si="111"/>
        <v>8313</v>
      </c>
      <c r="H4245" s="391" t="s">
        <v>9568</v>
      </c>
    </row>
    <row r="4246" spans="1:8" x14ac:dyDescent="0.3">
      <c r="A4246" s="45">
        <v>44807</v>
      </c>
      <c r="B4246" s="580"/>
      <c r="C4246" s="554" t="s">
        <v>4364</v>
      </c>
      <c r="D4246" s="554"/>
      <c r="E4246" s="554"/>
      <c r="F4246" s="43">
        <v>500000</v>
      </c>
      <c r="G4246" s="48">
        <f t="shared" si="111"/>
        <v>508313</v>
      </c>
      <c r="H4246" s="391" t="s">
        <v>9568</v>
      </c>
    </row>
    <row r="4247" spans="1:8" x14ac:dyDescent="0.3">
      <c r="A4247" s="45">
        <v>44807</v>
      </c>
      <c r="B4247" s="399"/>
      <c r="C4247" s="5" t="s">
        <v>9647</v>
      </c>
      <c r="D4247" s="5" t="s">
        <v>9648</v>
      </c>
      <c r="E4247" s="43">
        <v>100000</v>
      </c>
      <c r="F4247" s="43"/>
      <c r="G4247" s="48">
        <f t="shared" si="111"/>
        <v>408313</v>
      </c>
      <c r="H4247" s="391" t="s">
        <v>9568</v>
      </c>
    </row>
    <row r="4248" spans="1:8" x14ac:dyDescent="0.3">
      <c r="A4248" s="45">
        <v>44807</v>
      </c>
      <c r="B4248" s="399"/>
      <c r="C4248" s="5" t="s">
        <v>6430</v>
      </c>
      <c r="D4248" s="5" t="s">
        <v>6932</v>
      </c>
      <c r="E4248" s="43">
        <v>1600</v>
      </c>
      <c r="F4248" s="43"/>
      <c r="G4248" s="48">
        <f t="shared" si="111"/>
        <v>406713</v>
      </c>
      <c r="H4248" s="391" t="s">
        <v>9568</v>
      </c>
    </row>
    <row r="4249" spans="1:8" x14ac:dyDescent="0.3">
      <c r="A4249" s="45">
        <v>44807</v>
      </c>
      <c r="B4249" s="399"/>
      <c r="C4249" s="5" t="s">
        <v>6430</v>
      </c>
      <c r="D4249" s="5" t="s">
        <v>9649</v>
      </c>
      <c r="E4249" s="43">
        <v>5000</v>
      </c>
      <c r="F4249" s="43"/>
      <c r="G4249" s="48">
        <f t="shared" si="111"/>
        <v>401713</v>
      </c>
      <c r="H4249" s="391" t="s">
        <v>9568</v>
      </c>
    </row>
    <row r="4250" spans="1:8" x14ac:dyDescent="0.3">
      <c r="A4250" s="45">
        <v>44807</v>
      </c>
      <c r="B4250" s="399"/>
      <c r="C4250" s="5" t="s">
        <v>9650</v>
      </c>
      <c r="D4250" s="5" t="s">
        <v>9651</v>
      </c>
      <c r="E4250" s="43">
        <v>22500</v>
      </c>
      <c r="F4250" s="43"/>
      <c r="G4250" s="48">
        <f t="shared" si="111"/>
        <v>379213</v>
      </c>
      <c r="H4250" s="391" t="s">
        <v>9568</v>
      </c>
    </row>
    <row r="4251" spans="1:8" x14ac:dyDescent="0.3">
      <c r="A4251" s="45">
        <v>44807</v>
      </c>
      <c r="B4251" s="399"/>
      <c r="C4251" s="5" t="s">
        <v>9654</v>
      </c>
      <c r="D4251" s="5" t="s">
        <v>9652</v>
      </c>
      <c r="E4251" s="43">
        <v>236560</v>
      </c>
      <c r="F4251" s="43"/>
      <c r="G4251" s="48">
        <f t="shared" si="111"/>
        <v>142653</v>
      </c>
      <c r="H4251" s="391" t="s">
        <v>9568</v>
      </c>
    </row>
    <row r="4252" spans="1:8" x14ac:dyDescent="0.3">
      <c r="A4252" s="45">
        <v>44807</v>
      </c>
      <c r="B4252" s="399"/>
      <c r="C4252" s="5" t="s">
        <v>9044</v>
      </c>
      <c r="D4252" s="5" t="s">
        <v>9692</v>
      </c>
      <c r="E4252" s="43">
        <v>30000</v>
      </c>
      <c r="F4252" s="43"/>
      <c r="G4252" s="48">
        <f t="shared" si="111"/>
        <v>112653</v>
      </c>
      <c r="H4252" s="391" t="s">
        <v>9568</v>
      </c>
    </row>
    <row r="4253" spans="1:8" x14ac:dyDescent="0.3">
      <c r="A4253" s="45">
        <v>44807</v>
      </c>
      <c r="B4253" s="399"/>
      <c r="C4253" s="5" t="s">
        <v>5793</v>
      </c>
      <c r="D4253" s="5" t="s">
        <v>9653</v>
      </c>
      <c r="E4253" s="43">
        <v>1500</v>
      </c>
      <c r="F4253" s="43"/>
      <c r="G4253" s="48">
        <f t="shared" si="111"/>
        <v>111153</v>
      </c>
      <c r="H4253" s="391" t="s">
        <v>9568</v>
      </c>
    </row>
    <row r="4254" spans="1:8" x14ac:dyDescent="0.3">
      <c r="A4254" s="45">
        <v>44807</v>
      </c>
      <c r="B4254" s="399"/>
      <c r="C4254" s="5" t="s">
        <v>5156</v>
      </c>
      <c r="D4254" s="5" t="s">
        <v>6129</v>
      </c>
      <c r="E4254" s="43">
        <v>3570</v>
      </c>
      <c r="F4254" s="43"/>
      <c r="G4254" s="48">
        <f t="shared" si="111"/>
        <v>107583</v>
      </c>
      <c r="H4254" s="391" t="s">
        <v>9568</v>
      </c>
    </row>
    <row r="4255" spans="1:8" x14ac:dyDescent="0.3">
      <c r="A4255" s="45">
        <v>44807</v>
      </c>
      <c r="B4255" s="399"/>
      <c r="C4255" s="5" t="s">
        <v>5162</v>
      </c>
      <c r="D4255" s="5" t="s">
        <v>9655</v>
      </c>
      <c r="E4255" s="43">
        <f>750+180</f>
        <v>930</v>
      </c>
      <c r="F4255" s="43"/>
      <c r="G4255" s="48">
        <f t="shared" si="111"/>
        <v>106653</v>
      </c>
      <c r="H4255" s="391" t="s">
        <v>9568</v>
      </c>
    </row>
    <row r="4256" spans="1:8" x14ac:dyDescent="0.3">
      <c r="A4256" s="45">
        <v>44809</v>
      </c>
      <c r="B4256" s="399"/>
      <c r="C4256" s="5" t="s">
        <v>14</v>
      </c>
      <c r="D4256" s="5" t="s">
        <v>640</v>
      </c>
      <c r="E4256" s="43">
        <v>1000</v>
      </c>
      <c r="F4256" s="43"/>
      <c r="G4256" s="48">
        <f t="shared" ref="G4256:G4263" si="113">G4255+F4256-E4256</f>
        <v>105653</v>
      </c>
      <c r="H4256" s="391" t="s">
        <v>9568</v>
      </c>
    </row>
    <row r="4257" spans="1:8" x14ac:dyDescent="0.3">
      <c r="A4257" s="45">
        <v>44809</v>
      </c>
      <c r="B4257" s="399"/>
      <c r="C4257" s="5" t="s">
        <v>57</v>
      </c>
      <c r="D4257" s="5" t="s">
        <v>294</v>
      </c>
      <c r="E4257" s="43">
        <v>3000</v>
      </c>
      <c r="F4257" s="43"/>
      <c r="G4257" s="48">
        <f t="shared" si="113"/>
        <v>102653</v>
      </c>
      <c r="H4257" s="391" t="s">
        <v>9568</v>
      </c>
    </row>
    <row r="4258" spans="1:8" x14ac:dyDescent="0.3">
      <c r="A4258" s="45">
        <v>44809</v>
      </c>
      <c r="B4258" s="399"/>
      <c r="C4258" s="5" t="s">
        <v>6430</v>
      </c>
      <c r="D4258" s="5" t="s">
        <v>9656</v>
      </c>
      <c r="E4258" s="43">
        <v>8000</v>
      </c>
      <c r="F4258" s="43"/>
      <c r="G4258" s="48">
        <f t="shared" si="113"/>
        <v>94653</v>
      </c>
      <c r="H4258" s="391" t="s">
        <v>9568</v>
      </c>
    </row>
    <row r="4259" spans="1:8" x14ac:dyDescent="0.3">
      <c r="A4259" s="45">
        <v>44809</v>
      </c>
      <c r="B4259" s="399"/>
      <c r="C4259" s="5" t="s">
        <v>5793</v>
      </c>
      <c r="D4259" s="5" t="s">
        <v>9653</v>
      </c>
      <c r="E4259" s="43">
        <v>1500</v>
      </c>
      <c r="F4259" s="43"/>
      <c r="G4259" s="48">
        <f t="shared" si="113"/>
        <v>93153</v>
      </c>
      <c r="H4259" s="391" t="s">
        <v>9568</v>
      </c>
    </row>
    <row r="4260" spans="1:8" x14ac:dyDescent="0.3">
      <c r="A4260" s="45">
        <v>44809</v>
      </c>
      <c r="B4260" s="399"/>
      <c r="C4260" s="5" t="s">
        <v>6430</v>
      </c>
      <c r="D4260" s="5" t="s">
        <v>294</v>
      </c>
      <c r="E4260" s="43">
        <v>15280</v>
      </c>
      <c r="F4260" s="43"/>
      <c r="G4260" s="48">
        <f t="shared" si="113"/>
        <v>77873</v>
      </c>
      <c r="H4260" s="391" t="s">
        <v>9568</v>
      </c>
    </row>
    <row r="4261" spans="1:8" x14ac:dyDescent="0.3">
      <c r="A4261" s="45">
        <v>44809</v>
      </c>
      <c r="B4261" s="399"/>
      <c r="C4261" s="5" t="s">
        <v>9647</v>
      </c>
      <c r="D4261" s="5" t="s">
        <v>9657</v>
      </c>
      <c r="E4261" s="43">
        <v>30000</v>
      </c>
      <c r="F4261" s="43"/>
      <c r="G4261" s="48">
        <f t="shared" si="113"/>
        <v>47873</v>
      </c>
      <c r="H4261" s="391" t="s">
        <v>9568</v>
      </c>
    </row>
    <row r="4262" spans="1:8" x14ac:dyDescent="0.3">
      <c r="A4262" s="45">
        <v>44809</v>
      </c>
      <c r="B4262" s="399"/>
      <c r="C4262" s="5" t="s">
        <v>25</v>
      </c>
      <c r="D4262" s="5" t="s">
        <v>8152</v>
      </c>
      <c r="E4262" s="43">
        <v>4883</v>
      </c>
      <c r="F4262" s="43"/>
      <c r="G4262" s="48">
        <f t="shared" si="113"/>
        <v>42990</v>
      </c>
      <c r="H4262" s="391" t="s">
        <v>9568</v>
      </c>
    </row>
    <row r="4263" spans="1:8" x14ac:dyDescent="0.3">
      <c r="A4263" s="45">
        <v>44810</v>
      </c>
      <c r="B4263" s="399"/>
      <c r="C4263" s="5" t="s">
        <v>14</v>
      </c>
      <c r="D4263" s="5" t="s">
        <v>9660</v>
      </c>
      <c r="E4263" s="43">
        <v>8000</v>
      </c>
      <c r="F4263" s="43"/>
      <c r="G4263" s="48">
        <f t="shared" si="113"/>
        <v>34990</v>
      </c>
      <c r="H4263" s="391" t="s">
        <v>9568</v>
      </c>
    </row>
    <row r="4264" spans="1:8" x14ac:dyDescent="0.3">
      <c r="A4264" s="45">
        <v>44810</v>
      </c>
      <c r="B4264" s="399"/>
      <c r="C4264" s="5" t="s">
        <v>6430</v>
      </c>
      <c r="D4264" s="5" t="s">
        <v>9661</v>
      </c>
      <c r="E4264" s="43">
        <v>12000</v>
      </c>
      <c r="F4264" s="43"/>
      <c r="G4264" s="48">
        <f t="shared" ref="G4264:G4298" si="114">G4263+F4264-E4264</f>
        <v>22990</v>
      </c>
      <c r="H4264" s="391" t="s">
        <v>9568</v>
      </c>
    </row>
    <row r="4265" spans="1:8" x14ac:dyDescent="0.3">
      <c r="A4265" s="45">
        <v>44810</v>
      </c>
      <c r="B4265" s="401"/>
      <c r="C4265" s="73" t="s">
        <v>9662</v>
      </c>
      <c r="D4265" s="73" t="s">
        <v>9663</v>
      </c>
      <c r="E4265" s="183">
        <v>10500</v>
      </c>
      <c r="F4265" s="43"/>
      <c r="G4265" s="48">
        <f t="shared" si="114"/>
        <v>12490</v>
      </c>
      <c r="H4265" s="391" t="s">
        <v>9568</v>
      </c>
    </row>
    <row r="4266" spans="1:8" x14ac:dyDescent="0.3">
      <c r="A4266" s="45">
        <v>44810</v>
      </c>
      <c r="B4266" s="399"/>
      <c r="C4266" s="5" t="s">
        <v>9525</v>
      </c>
      <c r="D4266" s="5" t="s">
        <v>9667</v>
      </c>
      <c r="E4266" s="43">
        <v>5000</v>
      </c>
      <c r="F4266" s="43"/>
      <c r="G4266" s="48">
        <f t="shared" si="114"/>
        <v>7490</v>
      </c>
      <c r="H4266" s="391" t="s">
        <v>9568</v>
      </c>
    </row>
    <row r="4267" spans="1:8" x14ac:dyDescent="0.3">
      <c r="A4267" s="45">
        <v>44810</v>
      </c>
      <c r="B4267" s="399"/>
      <c r="C4267" s="5" t="s">
        <v>25</v>
      </c>
      <c r="D4267" s="5" t="s">
        <v>9668</v>
      </c>
      <c r="E4267" s="43">
        <v>1000</v>
      </c>
      <c r="F4267" s="43"/>
      <c r="G4267" s="48">
        <f t="shared" si="114"/>
        <v>6490</v>
      </c>
      <c r="H4267" s="391" t="s">
        <v>9568</v>
      </c>
    </row>
    <row r="4268" spans="1:8" x14ac:dyDescent="0.3">
      <c r="A4268" s="45">
        <v>44810</v>
      </c>
      <c r="B4268" s="580"/>
      <c r="C4268" s="554" t="s">
        <v>4364</v>
      </c>
      <c r="D4268" s="554"/>
      <c r="E4268" s="554"/>
      <c r="F4268" s="43">
        <v>830000</v>
      </c>
      <c r="G4268" s="48">
        <f t="shared" si="114"/>
        <v>836490</v>
      </c>
      <c r="H4268" s="391" t="s">
        <v>9568</v>
      </c>
    </row>
    <row r="4269" spans="1:8" x14ac:dyDescent="0.3">
      <c r="A4269" s="45">
        <v>44810</v>
      </c>
      <c r="B4269" s="399"/>
      <c r="C4269" s="5" t="s">
        <v>4055</v>
      </c>
      <c r="D4269" s="5" t="s">
        <v>9670</v>
      </c>
      <c r="E4269" s="43">
        <v>5000</v>
      </c>
      <c r="F4269" s="43"/>
      <c r="G4269" s="48">
        <f t="shared" si="114"/>
        <v>831490</v>
      </c>
      <c r="H4269" s="391" t="s">
        <v>9568</v>
      </c>
    </row>
    <row r="4270" spans="1:8" x14ac:dyDescent="0.3">
      <c r="A4270" s="45">
        <v>44810</v>
      </c>
      <c r="B4270" s="399"/>
      <c r="C4270" s="5" t="s">
        <v>9671</v>
      </c>
      <c r="D4270" s="5" t="s">
        <v>5508</v>
      </c>
      <c r="E4270" s="43">
        <v>100000</v>
      </c>
      <c r="F4270" s="43"/>
      <c r="G4270" s="48">
        <f t="shared" si="114"/>
        <v>731490</v>
      </c>
      <c r="H4270" s="391" t="s">
        <v>9568</v>
      </c>
    </row>
    <row r="4271" spans="1:8" x14ac:dyDescent="0.3">
      <c r="A4271" s="45">
        <v>44810</v>
      </c>
      <c r="B4271" s="399"/>
      <c r="C4271" s="5" t="s">
        <v>9672</v>
      </c>
      <c r="D4271" s="5" t="s">
        <v>9673</v>
      </c>
      <c r="E4271" s="43">
        <v>3250</v>
      </c>
      <c r="F4271" s="43"/>
      <c r="G4271" s="48">
        <f t="shared" si="114"/>
        <v>728240</v>
      </c>
      <c r="H4271" s="391" t="s">
        <v>9568</v>
      </c>
    </row>
    <row r="4272" spans="1:8" x14ac:dyDescent="0.3">
      <c r="A4272" s="45">
        <v>44810</v>
      </c>
      <c r="B4272" s="399"/>
      <c r="C4272" s="5" t="s">
        <v>5793</v>
      </c>
      <c r="D4272" s="5" t="s">
        <v>9674</v>
      </c>
      <c r="E4272" s="43">
        <v>2000</v>
      </c>
      <c r="F4272" s="43"/>
      <c r="G4272" s="48">
        <f t="shared" si="114"/>
        <v>726240</v>
      </c>
      <c r="H4272" s="391" t="s">
        <v>9568</v>
      </c>
    </row>
    <row r="4273" spans="1:8" x14ac:dyDescent="0.3">
      <c r="A4273" s="45">
        <v>44811</v>
      </c>
      <c r="B4273" s="399"/>
      <c r="C4273" s="5" t="s">
        <v>9675</v>
      </c>
      <c r="D4273" s="5" t="s">
        <v>5508</v>
      </c>
      <c r="E4273" s="43">
        <v>23000</v>
      </c>
      <c r="F4273" s="43"/>
      <c r="G4273" s="48">
        <f t="shared" si="114"/>
        <v>703240</v>
      </c>
      <c r="H4273" s="391" t="s">
        <v>9568</v>
      </c>
    </row>
    <row r="4274" spans="1:8" x14ac:dyDescent="0.3">
      <c r="A4274" s="45">
        <v>44811</v>
      </c>
      <c r="B4274" s="399"/>
      <c r="C4274" s="5" t="s">
        <v>4989</v>
      </c>
      <c r="D4274" s="5" t="s">
        <v>9677</v>
      </c>
      <c r="E4274" s="43">
        <v>10000</v>
      </c>
      <c r="F4274" s="43"/>
      <c r="G4274" s="48">
        <f t="shared" si="114"/>
        <v>693240</v>
      </c>
      <c r="H4274" s="391" t="s">
        <v>9568</v>
      </c>
    </row>
    <row r="4275" spans="1:8" x14ac:dyDescent="0.3">
      <c r="A4275" s="45">
        <v>44811</v>
      </c>
      <c r="B4275" s="399"/>
      <c r="C4275" s="5" t="s">
        <v>25</v>
      </c>
      <c r="D4275" s="5" t="s">
        <v>8152</v>
      </c>
      <c r="E4275" s="43">
        <v>2320</v>
      </c>
      <c r="F4275" s="43"/>
      <c r="G4275" s="48">
        <f t="shared" si="114"/>
        <v>690920</v>
      </c>
      <c r="H4275" s="391" t="s">
        <v>9568</v>
      </c>
    </row>
    <row r="4276" spans="1:8" x14ac:dyDescent="0.3">
      <c r="A4276" s="45">
        <v>44811</v>
      </c>
      <c r="B4276" s="399"/>
      <c r="C4276" s="5" t="s">
        <v>9679</v>
      </c>
      <c r="D4276" s="5" t="s">
        <v>9680</v>
      </c>
      <c r="E4276" s="43">
        <v>75000</v>
      </c>
      <c r="F4276" s="43"/>
      <c r="G4276" s="48">
        <f t="shared" si="114"/>
        <v>615920</v>
      </c>
      <c r="H4276" s="391" t="s">
        <v>9568</v>
      </c>
    </row>
    <row r="4277" spans="1:8" x14ac:dyDescent="0.3">
      <c r="A4277" s="45">
        <v>44811</v>
      </c>
      <c r="B4277" s="404"/>
      <c r="C4277" s="41" t="s">
        <v>54</v>
      </c>
      <c r="D4277" s="41" t="s">
        <v>6842</v>
      </c>
      <c r="E4277" s="42">
        <v>99000</v>
      </c>
      <c r="F4277" s="43"/>
      <c r="G4277" s="48">
        <f t="shared" si="114"/>
        <v>516920</v>
      </c>
      <c r="H4277" s="391" t="s">
        <v>9568</v>
      </c>
    </row>
    <row r="4278" spans="1:8" x14ac:dyDescent="0.3">
      <c r="A4278" s="45">
        <v>44811</v>
      </c>
      <c r="B4278" s="404"/>
      <c r="C4278" s="41" t="s">
        <v>54</v>
      </c>
      <c r="D4278" s="41" t="s">
        <v>156</v>
      </c>
      <c r="E4278" s="42">
        <v>10260</v>
      </c>
      <c r="F4278" s="43"/>
      <c r="G4278" s="48">
        <f t="shared" si="114"/>
        <v>506660</v>
      </c>
      <c r="H4278" s="391" t="s">
        <v>9568</v>
      </c>
    </row>
    <row r="4279" spans="1:8" x14ac:dyDescent="0.3">
      <c r="A4279" s="45">
        <v>44811</v>
      </c>
      <c r="B4279" s="404"/>
      <c r="C4279" s="41" t="s">
        <v>54</v>
      </c>
      <c r="D4279" s="41" t="s">
        <v>9303</v>
      </c>
      <c r="E4279" s="42">
        <v>18430</v>
      </c>
      <c r="F4279" s="43"/>
      <c r="G4279" s="48">
        <f t="shared" si="114"/>
        <v>488230</v>
      </c>
      <c r="H4279" s="391" t="s">
        <v>9568</v>
      </c>
    </row>
    <row r="4280" spans="1:8" x14ac:dyDescent="0.3">
      <c r="A4280" s="45">
        <v>44811</v>
      </c>
      <c r="B4280" s="404"/>
      <c r="C4280" s="41" t="s">
        <v>54</v>
      </c>
      <c r="D4280" s="41" t="s">
        <v>8646</v>
      </c>
      <c r="E4280" s="42">
        <v>120240</v>
      </c>
      <c r="F4280" s="43"/>
      <c r="G4280" s="48">
        <f t="shared" si="114"/>
        <v>367990</v>
      </c>
      <c r="H4280" s="391" t="s">
        <v>9568</v>
      </c>
    </row>
    <row r="4281" spans="1:8" x14ac:dyDescent="0.3">
      <c r="A4281" s="45">
        <v>44811</v>
      </c>
      <c r="B4281" s="404"/>
      <c r="C4281" s="41" t="s">
        <v>54</v>
      </c>
      <c r="D4281" s="41" t="s">
        <v>8645</v>
      </c>
      <c r="E4281" s="42">
        <v>305306</v>
      </c>
      <c r="F4281" s="43"/>
      <c r="G4281" s="48">
        <f t="shared" si="114"/>
        <v>62684</v>
      </c>
      <c r="H4281" s="391" t="s">
        <v>9568</v>
      </c>
    </row>
    <row r="4282" spans="1:8" x14ac:dyDescent="0.3">
      <c r="A4282" s="45">
        <v>44811</v>
      </c>
      <c r="B4282" s="399"/>
      <c r="C4282" s="5" t="s">
        <v>5156</v>
      </c>
      <c r="D4282" s="5" t="s">
        <v>9681</v>
      </c>
      <c r="E4282" s="65">
        <v>2320</v>
      </c>
      <c r="F4282" s="43"/>
      <c r="G4282" s="48">
        <f t="shared" si="114"/>
        <v>60364</v>
      </c>
      <c r="H4282" s="391" t="s">
        <v>9568</v>
      </c>
    </row>
    <row r="4283" spans="1:8" x14ac:dyDescent="0.3">
      <c r="A4283" s="45">
        <v>44811</v>
      </c>
      <c r="B4283" s="404"/>
      <c r="C4283" s="41" t="s">
        <v>54</v>
      </c>
      <c r="D4283" s="41" t="s">
        <v>9413</v>
      </c>
      <c r="E4283" s="42">
        <v>23500</v>
      </c>
      <c r="F4283" s="43"/>
      <c r="G4283" s="48">
        <f t="shared" si="114"/>
        <v>36864</v>
      </c>
      <c r="H4283" s="391" t="s">
        <v>9568</v>
      </c>
    </row>
    <row r="4284" spans="1:8" x14ac:dyDescent="0.3">
      <c r="A4284" s="45">
        <v>44812</v>
      </c>
      <c r="B4284" s="399"/>
      <c r="C4284" s="5" t="s">
        <v>5793</v>
      </c>
      <c r="D4284" s="5" t="s">
        <v>9682</v>
      </c>
      <c r="E4284" s="43">
        <v>800</v>
      </c>
      <c r="F4284" s="43"/>
      <c r="G4284" s="48">
        <f t="shared" si="114"/>
        <v>36064</v>
      </c>
      <c r="H4284" s="391" t="s">
        <v>9568</v>
      </c>
    </row>
    <row r="4285" spans="1:8" x14ac:dyDescent="0.3">
      <c r="A4285" s="45">
        <v>44812</v>
      </c>
      <c r="B4285" s="399"/>
      <c r="C4285" s="5" t="s">
        <v>25</v>
      </c>
      <c r="D4285" s="5" t="s">
        <v>9685</v>
      </c>
      <c r="E4285" s="43">
        <v>2300</v>
      </c>
      <c r="F4285" s="43"/>
      <c r="G4285" s="48">
        <f t="shared" si="114"/>
        <v>33764</v>
      </c>
      <c r="H4285" s="391" t="s">
        <v>9568</v>
      </c>
    </row>
    <row r="4286" spans="1:8" x14ac:dyDescent="0.3">
      <c r="A4286" s="45">
        <v>44812</v>
      </c>
      <c r="B4286" s="404"/>
      <c r="C4286" s="41" t="s">
        <v>54</v>
      </c>
      <c r="D4286" s="41" t="s">
        <v>9686</v>
      </c>
      <c r="E4286" s="42">
        <v>18500</v>
      </c>
      <c r="F4286" s="43"/>
      <c r="G4286" s="48">
        <f t="shared" si="114"/>
        <v>15264</v>
      </c>
      <c r="H4286" s="391" t="s">
        <v>9568</v>
      </c>
    </row>
    <row r="4287" spans="1:8" x14ac:dyDescent="0.3">
      <c r="A4287" s="45">
        <v>44812</v>
      </c>
      <c r="B4287" s="399"/>
      <c r="C4287" s="5" t="s">
        <v>5156</v>
      </c>
      <c r="D4287" s="5" t="s">
        <v>9687</v>
      </c>
      <c r="E4287" s="65">
        <v>1100</v>
      </c>
      <c r="F4287" s="43"/>
      <c r="G4287" s="48">
        <f t="shared" si="114"/>
        <v>14164</v>
      </c>
      <c r="H4287" s="391" t="s">
        <v>9568</v>
      </c>
    </row>
    <row r="4288" spans="1:8" x14ac:dyDescent="0.3">
      <c r="A4288" s="45">
        <v>44812</v>
      </c>
      <c r="B4288" s="399"/>
      <c r="C4288" s="5" t="s">
        <v>8553</v>
      </c>
      <c r="D4288" s="5" t="s">
        <v>2013</v>
      </c>
      <c r="E4288" s="43">
        <v>350</v>
      </c>
      <c r="F4288" s="43"/>
      <c r="G4288" s="48">
        <f t="shared" si="114"/>
        <v>13814</v>
      </c>
      <c r="H4288" s="391" t="s">
        <v>9568</v>
      </c>
    </row>
    <row r="4289" spans="1:8" x14ac:dyDescent="0.3">
      <c r="A4289" s="45">
        <v>44813</v>
      </c>
      <c r="B4289" s="399"/>
      <c r="C4289" s="5" t="s">
        <v>5793</v>
      </c>
      <c r="D4289" s="5" t="s">
        <v>9704</v>
      </c>
      <c r="E4289" s="43">
        <v>3000</v>
      </c>
      <c r="F4289" s="43"/>
      <c r="G4289" s="48">
        <f t="shared" si="114"/>
        <v>10814</v>
      </c>
      <c r="H4289" s="391" t="s">
        <v>9568</v>
      </c>
    </row>
    <row r="4290" spans="1:8" x14ac:dyDescent="0.3">
      <c r="A4290" s="45">
        <v>44813</v>
      </c>
      <c r="B4290" s="580"/>
      <c r="C4290" s="554" t="s">
        <v>4364</v>
      </c>
      <c r="D4290" s="554"/>
      <c r="E4290" s="554"/>
      <c r="F4290" s="43">
        <v>490000</v>
      </c>
      <c r="G4290" s="48">
        <f t="shared" si="114"/>
        <v>500814</v>
      </c>
      <c r="H4290" s="391" t="s">
        <v>9568</v>
      </c>
    </row>
    <row r="4291" spans="1:8" x14ac:dyDescent="0.3">
      <c r="A4291" s="45">
        <v>44813</v>
      </c>
      <c r="B4291" s="399"/>
      <c r="C4291" s="5" t="s">
        <v>68</v>
      </c>
      <c r="D4291" s="5" t="s">
        <v>3183</v>
      </c>
      <c r="E4291" s="43">
        <v>30000</v>
      </c>
      <c r="F4291" s="43"/>
      <c r="G4291" s="48">
        <f t="shared" si="114"/>
        <v>470814</v>
      </c>
      <c r="H4291" s="391" t="s">
        <v>9568</v>
      </c>
    </row>
    <row r="4292" spans="1:8" x14ac:dyDescent="0.3">
      <c r="A4292" s="45">
        <v>44813</v>
      </c>
      <c r="B4292" s="404"/>
      <c r="C4292" s="41" t="s">
        <v>54</v>
      </c>
      <c r="D4292" s="41" t="s">
        <v>9688</v>
      </c>
      <c r="E4292" s="42">
        <v>18870</v>
      </c>
      <c r="F4292" s="43"/>
      <c r="G4292" s="48">
        <f t="shared" si="114"/>
        <v>451944</v>
      </c>
      <c r="H4292" s="391" t="s">
        <v>9568</v>
      </c>
    </row>
    <row r="4293" spans="1:8" x14ac:dyDescent="0.3">
      <c r="A4293" s="45">
        <v>44813</v>
      </c>
      <c r="B4293" s="404"/>
      <c r="C4293" s="41" t="s">
        <v>54</v>
      </c>
      <c r="D4293" s="41" t="s">
        <v>9530</v>
      </c>
      <c r="E4293" s="42">
        <v>92712</v>
      </c>
      <c r="F4293" s="43"/>
      <c r="G4293" s="48">
        <f t="shared" si="114"/>
        <v>359232</v>
      </c>
      <c r="H4293" s="391" t="s">
        <v>9568</v>
      </c>
    </row>
    <row r="4294" spans="1:8" x14ac:dyDescent="0.3">
      <c r="A4294" s="45">
        <v>44813</v>
      </c>
      <c r="B4294" s="404"/>
      <c r="C4294" s="41" t="s">
        <v>54</v>
      </c>
      <c r="D4294" s="41" t="s">
        <v>9689</v>
      </c>
      <c r="E4294" s="42">
        <v>105351</v>
      </c>
      <c r="F4294" s="43"/>
      <c r="G4294" s="48">
        <f t="shared" si="114"/>
        <v>253881</v>
      </c>
      <c r="H4294" s="391" t="s">
        <v>9568</v>
      </c>
    </row>
    <row r="4295" spans="1:8" x14ac:dyDescent="0.3">
      <c r="A4295" s="45">
        <v>44813</v>
      </c>
      <c r="B4295" s="404"/>
      <c r="C4295" s="41" t="s">
        <v>54</v>
      </c>
      <c r="D4295" s="41" t="s">
        <v>8636</v>
      </c>
      <c r="E4295" s="42">
        <v>162800</v>
      </c>
      <c r="F4295" s="43"/>
      <c r="G4295" s="48">
        <f t="shared" si="114"/>
        <v>91081</v>
      </c>
      <c r="H4295" s="391" t="s">
        <v>9568</v>
      </c>
    </row>
    <row r="4296" spans="1:8" x14ac:dyDescent="0.3">
      <c r="A4296" s="45">
        <v>44813</v>
      </c>
      <c r="B4296" s="404"/>
      <c r="C4296" s="41" t="s">
        <v>54</v>
      </c>
      <c r="D4296" s="41" t="s">
        <v>9512</v>
      </c>
      <c r="E4296" s="42">
        <v>23330</v>
      </c>
      <c r="F4296" s="43"/>
      <c r="G4296" s="48">
        <f t="shared" si="114"/>
        <v>67751</v>
      </c>
      <c r="H4296" s="391" t="s">
        <v>9568</v>
      </c>
    </row>
    <row r="4297" spans="1:8" x14ac:dyDescent="0.3">
      <c r="A4297" s="45">
        <v>44813</v>
      </c>
      <c r="B4297" s="404"/>
      <c r="C4297" s="41" t="s">
        <v>54</v>
      </c>
      <c r="D4297" s="41" t="s">
        <v>9500</v>
      </c>
      <c r="E4297" s="42">
        <v>27137</v>
      </c>
      <c r="F4297" s="43"/>
      <c r="G4297" s="48">
        <f t="shared" si="114"/>
        <v>40614</v>
      </c>
      <c r="H4297" s="391" t="s">
        <v>9568</v>
      </c>
    </row>
    <row r="4298" spans="1:8" x14ac:dyDescent="0.3">
      <c r="A4298" s="45">
        <v>44813</v>
      </c>
      <c r="B4298" s="399"/>
      <c r="C4298" s="5" t="s">
        <v>1616</v>
      </c>
      <c r="D4298" s="5" t="s">
        <v>2248</v>
      </c>
      <c r="E4298" s="43">
        <v>1000</v>
      </c>
      <c r="F4298" s="43"/>
      <c r="G4298" s="48">
        <f t="shared" si="114"/>
        <v>39614</v>
      </c>
      <c r="H4298" s="391" t="s">
        <v>9568</v>
      </c>
    </row>
    <row r="4299" spans="1:8" x14ac:dyDescent="0.3">
      <c r="A4299" s="45">
        <v>44813</v>
      </c>
      <c r="B4299" s="399"/>
      <c r="C4299" s="5" t="s">
        <v>6931</v>
      </c>
      <c r="D4299" s="5" t="s">
        <v>5915</v>
      </c>
      <c r="E4299" s="43">
        <v>3000</v>
      </c>
      <c r="F4299" s="43"/>
      <c r="G4299" s="364">
        <f t="shared" ref="G4299:G4318" si="115">G4298+F4299-E4299</f>
        <v>36614</v>
      </c>
      <c r="H4299" s="391" t="s">
        <v>9568</v>
      </c>
    </row>
    <row r="4300" spans="1:8" x14ac:dyDescent="0.3">
      <c r="A4300" s="45">
        <v>44813</v>
      </c>
      <c r="B4300" s="399"/>
      <c r="C4300" s="5" t="s">
        <v>6931</v>
      </c>
      <c r="D4300" s="5" t="s">
        <v>9690</v>
      </c>
      <c r="E4300" s="43">
        <v>620</v>
      </c>
      <c r="F4300" s="43"/>
      <c r="G4300" s="364">
        <f t="shared" si="115"/>
        <v>35994</v>
      </c>
      <c r="H4300" s="391" t="s">
        <v>9568</v>
      </c>
    </row>
    <row r="4301" spans="1:8" x14ac:dyDescent="0.3">
      <c r="A4301" s="45">
        <v>44813</v>
      </c>
      <c r="B4301" s="399"/>
      <c r="C4301" s="5" t="s">
        <v>9691</v>
      </c>
      <c r="D4301" s="5" t="s">
        <v>2013</v>
      </c>
      <c r="E4301" s="43">
        <v>630</v>
      </c>
      <c r="F4301" s="43"/>
      <c r="G4301" s="364">
        <f t="shared" si="115"/>
        <v>35364</v>
      </c>
      <c r="H4301" s="391" t="s">
        <v>9568</v>
      </c>
    </row>
    <row r="4302" spans="1:8" x14ac:dyDescent="0.3">
      <c r="A4302" s="45">
        <v>44813</v>
      </c>
      <c r="B4302" s="399"/>
      <c r="C4302" s="5" t="s">
        <v>541</v>
      </c>
      <c r="D4302" s="5" t="s">
        <v>294</v>
      </c>
      <c r="E4302" s="43">
        <v>10000</v>
      </c>
      <c r="F4302" s="43"/>
      <c r="G4302" s="364">
        <f t="shared" si="115"/>
        <v>25364</v>
      </c>
      <c r="H4302" s="391" t="s">
        <v>9568</v>
      </c>
    </row>
    <row r="4303" spans="1:8" x14ac:dyDescent="0.3">
      <c r="A4303" s="45">
        <v>44813</v>
      </c>
      <c r="B4303" s="399"/>
      <c r="C4303" s="5" t="s">
        <v>9044</v>
      </c>
      <c r="D4303" s="5" t="s">
        <v>9693</v>
      </c>
      <c r="E4303" s="43">
        <v>6000</v>
      </c>
      <c r="F4303" s="43"/>
      <c r="G4303" s="364">
        <f t="shared" si="115"/>
        <v>19364</v>
      </c>
      <c r="H4303" s="391" t="s">
        <v>9568</v>
      </c>
    </row>
    <row r="4304" spans="1:8" x14ac:dyDescent="0.3">
      <c r="A4304" s="45">
        <v>44813</v>
      </c>
      <c r="B4304" s="399"/>
      <c r="C4304" s="5" t="s">
        <v>5793</v>
      </c>
      <c r="D4304" s="5" t="s">
        <v>9694</v>
      </c>
      <c r="E4304" s="43">
        <v>3500</v>
      </c>
      <c r="F4304" s="43"/>
      <c r="G4304" s="364">
        <f t="shared" si="115"/>
        <v>15864</v>
      </c>
      <c r="H4304" s="391" t="s">
        <v>9568</v>
      </c>
    </row>
    <row r="4305" spans="1:8" x14ac:dyDescent="0.3">
      <c r="A4305" s="45">
        <v>44813</v>
      </c>
      <c r="B4305" s="399"/>
      <c r="C4305" s="5" t="s">
        <v>107</v>
      </c>
      <c r="D4305" s="5" t="s">
        <v>9695</v>
      </c>
      <c r="E4305" s="43">
        <v>640</v>
      </c>
      <c r="F4305" s="43"/>
      <c r="G4305" s="364">
        <f t="shared" si="115"/>
        <v>15224</v>
      </c>
      <c r="H4305" s="391" t="s">
        <v>9568</v>
      </c>
    </row>
    <row r="4306" spans="1:8" x14ac:dyDescent="0.3">
      <c r="A4306" s="45">
        <v>44813</v>
      </c>
      <c r="B4306" s="399"/>
      <c r="C4306" s="5" t="s">
        <v>25</v>
      </c>
      <c r="D4306" s="5" t="s">
        <v>8152</v>
      </c>
      <c r="E4306" s="43">
        <v>4030</v>
      </c>
      <c r="F4306" s="43"/>
      <c r="G4306" s="364">
        <f t="shared" si="115"/>
        <v>11194</v>
      </c>
      <c r="H4306" s="391" t="s">
        <v>9568</v>
      </c>
    </row>
    <row r="4307" spans="1:8" x14ac:dyDescent="0.3">
      <c r="A4307" s="45">
        <v>44813</v>
      </c>
      <c r="B4307" s="399"/>
      <c r="C4307" s="5" t="s">
        <v>9696</v>
      </c>
      <c r="D4307" s="5" t="s">
        <v>2013</v>
      </c>
      <c r="E4307" s="43">
        <v>150</v>
      </c>
      <c r="F4307" s="43"/>
      <c r="G4307" s="364">
        <f t="shared" si="115"/>
        <v>11044</v>
      </c>
      <c r="H4307" s="391" t="s">
        <v>9568</v>
      </c>
    </row>
    <row r="4308" spans="1:8" x14ac:dyDescent="0.3">
      <c r="A4308" s="45">
        <v>44813</v>
      </c>
      <c r="B4308" s="399"/>
      <c r="C4308" s="5" t="s">
        <v>9525</v>
      </c>
      <c r="D4308" s="5" t="s">
        <v>8082</v>
      </c>
      <c r="E4308" s="43">
        <v>2000</v>
      </c>
      <c r="F4308" s="43"/>
      <c r="G4308" s="364">
        <f t="shared" si="115"/>
        <v>9044</v>
      </c>
      <c r="H4308" s="391" t="s">
        <v>9568</v>
      </c>
    </row>
    <row r="4309" spans="1:8" x14ac:dyDescent="0.3">
      <c r="A4309" s="45">
        <v>44814</v>
      </c>
      <c r="B4309" s="580"/>
      <c r="C4309" s="554" t="s">
        <v>4364</v>
      </c>
      <c r="D4309" s="554"/>
      <c r="E4309" s="554"/>
      <c r="F4309" s="43">
        <v>200000</v>
      </c>
      <c r="G4309" s="48">
        <f t="shared" si="115"/>
        <v>209044</v>
      </c>
      <c r="H4309" s="391" t="s">
        <v>9568</v>
      </c>
    </row>
    <row r="4310" spans="1:8" x14ac:dyDescent="0.3">
      <c r="A4310" s="45">
        <v>44814</v>
      </c>
      <c r="B4310" s="404"/>
      <c r="C4310" s="41" t="s">
        <v>54</v>
      </c>
      <c r="D4310" s="41" t="s">
        <v>9524</v>
      </c>
      <c r="E4310" s="42">
        <v>38000</v>
      </c>
      <c r="F4310" s="43"/>
      <c r="G4310" s="364">
        <f t="shared" si="115"/>
        <v>171044</v>
      </c>
      <c r="H4310" s="391" t="s">
        <v>9568</v>
      </c>
    </row>
    <row r="4311" spans="1:8" x14ac:dyDescent="0.3">
      <c r="A4311" s="45">
        <v>44814</v>
      </c>
      <c r="B4311" s="409"/>
      <c r="C4311" s="61" t="s">
        <v>9691</v>
      </c>
      <c r="D4311" s="61" t="s">
        <v>9706</v>
      </c>
      <c r="E4311" s="62">
        <v>39700</v>
      </c>
      <c r="F4311" s="43"/>
      <c r="G4311" s="364">
        <f t="shared" si="115"/>
        <v>131344</v>
      </c>
      <c r="H4311" s="391" t="s">
        <v>9568</v>
      </c>
    </row>
    <row r="4312" spans="1:8" x14ac:dyDescent="0.3">
      <c r="A4312" s="45">
        <v>44814</v>
      </c>
      <c r="B4312" s="399"/>
      <c r="C4312" s="5" t="s">
        <v>4055</v>
      </c>
      <c r="D4312" s="5" t="s">
        <v>9699</v>
      </c>
      <c r="E4312" s="43">
        <v>30000</v>
      </c>
      <c r="F4312" s="43"/>
      <c r="G4312" s="364">
        <f t="shared" si="115"/>
        <v>101344</v>
      </c>
      <c r="H4312" s="391" t="s">
        <v>9568</v>
      </c>
    </row>
    <row r="4313" spans="1:8" x14ac:dyDescent="0.3">
      <c r="A4313" s="45">
        <v>44814</v>
      </c>
      <c r="B4313" s="399"/>
      <c r="C4313" s="5" t="s">
        <v>9691</v>
      </c>
      <c r="D4313" s="5" t="s">
        <v>9702</v>
      </c>
      <c r="E4313" s="43">
        <v>300</v>
      </c>
      <c r="F4313" s="43"/>
      <c r="G4313" s="364">
        <f t="shared" si="115"/>
        <v>101044</v>
      </c>
      <c r="H4313" s="391" t="s">
        <v>9568</v>
      </c>
    </row>
    <row r="4314" spans="1:8" x14ac:dyDescent="0.3">
      <c r="A4314" s="45">
        <v>44814</v>
      </c>
      <c r="B4314" s="399"/>
      <c r="C4314" s="5" t="s">
        <v>5156</v>
      </c>
      <c r="D4314" s="5" t="s">
        <v>693</v>
      </c>
      <c r="E4314" s="43">
        <v>200</v>
      </c>
      <c r="F4314" s="43"/>
      <c r="G4314" s="364">
        <f t="shared" si="115"/>
        <v>100844</v>
      </c>
      <c r="H4314" s="391" t="s">
        <v>9568</v>
      </c>
    </row>
    <row r="4315" spans="1:8" x14ac:dyDescent="0.3">
      <c r="A4315" s="45">
        <v>44814</v>
      </c>
      <c r="B4315" s="404"/>
      <c r="C4315" s="41" t="s">
        <v>54</v>
      </c>
      <c r="D4315" s="41" t="s">
        <v>9703</v>
      </c>
      <c r="E4315" s="42">
        <v>65000</v>
      </c>
      <c r="F4315" s="43"/>
      <c r="G4315" s="364">
        <f t="shared" si="115"/>
        <v>35844</v>
      </c>
      <c r="H4315" s="391" t="s">
        <v>9568</v>
      </c>
    </row>
    <row r="4316" spans="1:8" x14ac:dyDescent="0.3">
      <c r="A4316" s="45">
        <v>44814</v>
      </c>
      <c r="B4316" s="399"/>
      <c r="C4316" s="5" t="s">
        <v>3724</v>
      </c>
      <c r="D4316" s="5"/>
      <c r="E4316" s="43">
        <v>4970</v>
      </c>
      <c r="F4316" s="43"/>
      <c r="G4316" s="364">
        <f t="shared" si="115"/>
        <v>30874</v>
      </c>
      <c r="H4316" s="391" t="s">
        <v>9568</v>
      </c>
    </row>
    <row r="4317" spans="1:8" x14ac:dyDescent="0.3">
      <c r="A4317" s="45">
        <v>44816</v>
      </c>
      <c r="B4317" s="399"/>
      <c r="C4317" s="5" t="s">
        <v>18</v>
      </c>
      <c r="D4317" s="5" t="s">
        <v>9707</v>
      </c>
      <c r="E4317" s="43">
        <v>1000</v>
      </c>
      <c r="F4317" s="43"/>
      <c r="G4317" s="364">
        <f t="shared" si="115"/>
        <v>29874</v>
      </c>
      <c r="H4317" s="391" t="s">
        <v>9568</v>
      </c>
    </row>
    <row r="4318" spans="1:8" x14ac:dyDescent="0.3">
      <c r="A4318" s="45">
        <v>44816</v>
      </c>
      <c r="B4318" s="399"/>
      <c r="C4318" s="5" t="s">
        <v>14</v>
      </c>
      <c r="D4318" s="5" t="s">
        <v>9708</v>
      </c>
      <c r="E4318" s="43">
        <v>23531</v>
      </c>
      <c r="F4318" s="43"/>
      <c r="G4318" s="364">
        <f t="shared" si="115"/>
        <v>6343</v>
      </c>
      <c r="H4318" s="391" t="s">
        <v>9568</v>
      </c>
    </row>
    <row r="4319" spans="1:8" x14ac:dyDescent="0.3">
      <c r="A4319" s="45">
        <v>44816</v>
      </c>
      <c r="B4319" s="580"/>
      <c r="C4319" s="554" t="s">
        <v>4364</v>
      </c>
      <c r="D4319" s="554"/>
      <c r="E4319" s="554"/>
      <c r="F4319" s="43">
        <v>100000</v>
      </c>
      <c r="G4319" s="48">
        <f t="shared" ref="G4319:G4320" si="116">G4318+F4319-E4319</f>
        <v>106343</v>
      </c>
      <c r="H4319" s="391" t="s">
        <v>9568</v>
      </c>
    </row>
    <row r="4320" spans="1:8" x14ac:dyDescent="0.3">
      <c r="A4320" s="45">
        <v>44816</v>
      </c>
      <c r="B4320" s="404"/>
      <c r="C4320" s="41" t="s">
        <v>54</v>
      </c>
      <c r="D4320" s="41" t="s">
        <v>9710</v>
      </c>
      <c r="E4320" s="42">
        <v>40000</v>
      </c>
      <c r="F4320" s="43"/>
      <c r="G4320" s="48">
        <f t="shared" si="116"/>
        <v>66343</v>
      </c>
      <c r="H4320" s="391" t="s">
        <v>9568</v>
      </c>
    </row>
    <row r="4321" spans="1:8" x14ac:dyDescent="0.3">
      <c r="A4321" s="45">
        <v>44816</v>
      </c>
      <c r="B4321" s="409"/>
      <c r="C4321" s="61" t="s">
        <v>325</v>
      </c>
      <c r="D4321" s="61" t="s">
        <v>9711</v>
      </c>
      <c r="E4321" s="62"/>
      <c r="F4321" s="62">
        <v>5000</v>
      </c>
      <c r="G4321" s="364">
        <f t="shared" ref="G4321:G4383" si="117">G4320+F4321-E4321</f>
        <v>71343</v>
      </c>
      <c r="H4321" s="391" t="s">
        <v>9568</v>
      </c>
    </row>
    <row r="4322" spans="1:8" x14ac:dyDescent="0.3">
      <c r="A4322" s="45">
        <v>44816</v>
      </c>
      <c r="B4322" s="399"/>
      <c r="C4322" s="5" t="s">
        <v>9713</v>
      </c>
      <c r="D4322" s="5" t="s">
        <v>9714</v>
      </c>
      <c r="E4322" s="43">
        <v>5400</v>
      </c>
      <c r="F4322" s="43"/>
      <c r="G4322" s="364">
        <f t="shared" si="117"/>
        <v>65943</v>
      </c>
      <c r="H4322" s="391" t="s">
        <v>9568</v>
      </c>
    </row>
    <row r="4323" spans="1:8" x14ac:dyDescent="0.3">
      <c r="A4323" s="45">
        <v>44816</v>
      </c>
      <c r="B4323" s="399"/>
      <c r="C4323" s="5" t="s">
        <v>84</v>
      </c>
      <c r="D4323" s="5" t="s">
        <v>9745</v>
      </c>
      <c r="E4323" s="43">
        <v>2000</v>
      </c>
      <c r="F4323" s="43"/>
      <c r="G4323" s="364">
        <f t="shared" si="117"/>
        <v>63943</v>
      </c>
      <c r="H4323" s="391" t="s">
        <v>9568</v>
      </c>
    </row>
    <row r="4324" spans="1:8" x14ac:dyDescent="0.3">
      <c r="A4324" s="45">
        <v>44816</v>
      </c>
      <c r="B4324" s="399"/>
      <c r="C4324" s="5" t="s">
        <v>9602</v>
      </c>
      <c r="D4324" s="5" t="s">
        <v>9715</v>
      </c>
      <c r="E4324" s="43">
        <v>40000</v>
      </c>
      <c r="F4324" s="43"/>
      <c r="G4324" s="364">
        <f t="shared" si="117"/>
        <v>23943</v>
      </c>
      <c r="H4324" s="391" t="s">
        <v>9568</v>
      </c>
    </row>
    <row r="4325" spans="1:8" x14ac:dyDescent="0.3">
      <c r="A4325" s="45">
        <v>44816</v>
      </c>
      <c r="B4325" s="399"/>
      <c r="C4325" s="5" t="s">
        <v>84</v>
      </c>
      <c r="D4325" s="5" t="s">
        <v>9716</v>
      </c>
      <c r="E4325" s="43">
        <v>1000</v>
      </c>
      <c r="F4325" s="43"/>
      <c r="G4325" s="364">
        <f t="shared" si="117"/>
        <v>22943</v>
      </c>
      <c r="H4325" s="391" t="s">
        <v>9568</v>
      </c>
    </row>
    <row r="4326" spans="1:8" x14ac:dyDescent="0.3">
      <c r="A4326" s="45">
        <v>44818</v>
      </c>
      <c r="B4326" s="399"/>
      <c r="C4326" s="5" t="s">
        <v>25</v>
      </c>
      <c r="D4326" s="5" t="s">
        <v>8152</v>
      </c>
      <c r="E4326" s="43">
        <v>4320</v>
      </c>
      <c r="F4326" s="43"/>
      <c r="G4326" s="364">
        <f t="shared" si="117"/>
        <v>18623</v>
      </c>
      <c r="H4326" s="391" t="s">
        <v>9568</v>
      </c>
    </row>
    <row r="4327" spans="1:8" x14ac:dyDescent="0.3">
      <c r="A4327" s="45">
        <v>44818</v>
      </c>
      <c r="B4327" s="580"/>
      <c r="C4327" s="554" t="s">
        <v>6069</v>
      </c>
      <c r="D4327" s="554"/>
      <c r="E4327" s="554"/>
      <c r="F4327" s="43">
        <v>500000</v>
      </c>
      <c r="G4327" s="48">
        <f t="shared" si="117"/>
        <v>518623</v>
      </c>
      <c r="H4327" s="391" t="s">
        <v>9568</v>
      </c>
    </row>
    <row r="4328" spans="1:8" x14ac:dyDescent="0.3">
      <c r="A4328" s="45">
        <v>44818</v>
      </c>
      <c r="B4328" s="399"/>
      <c r="C4328" s="5" t="s">
        <v>5793</v>
      </c>
      <c r="D4328" s="5" t="s">
        <v>9717</v>
      </c>
      <c r="E4328" s="43">
        <v>1700</v>
      </c>
      <c r="F4328" s="43"/>
      <c r="G4328" s="364">
        <f t="shared" si="117"/>
        <v>516923</v>
      </c>
      <c r="H4328" s="391" t="s">
        <v>9568</v>
      </c>
    </row>
    <row r="4329" spans="1:8" x14ac:dyDescent="0.3">
      <c r="A4329" s="45">
        <v>44818</v>
      </c>
      <c r="B4329" s="399"/>
      <c r="C4329" s="5" t="s">
        <v>9718</v>
      </c>
      <c r="D4329" s="5" t="s">
        <v>9719</v>
      </c>
      <c r="E4329" s="43">
        <v>260000</v>
      </c>
      <c r="F4329" s="43"/>
      <c r="G4329" s="364">
        <f t="shared" si="117"/>
        <v>256923</v>
      </c>
      <c r="H4329" s="391" t="s">
        <v>9568</v>
      </c>
    </row>
    <row r="4330" spans="1:8" x14ac:dyDescent="0.3">
      <c r="A4330" s="45">
        <v>44818</v>
      </c>
      <c r="B4330" s="399"/>
      <c r="C4330" s="5" t="s">
        <v>3005</v>
      </c>
      <c r="D4330" s="5" t="s">
        <v>9720</v>
      </c>
      <c r="E4330" s="43">
        <v>33100</v>
      </c>
      <c r="F4330" s="43"/>
      <c r="G4330" s="364">
        <f t="shared" si="117"/>
        <v>223823</v>
      </c>
      <c r="H4330" s="391" t="s">
        <v>9568</v>
      </c>
    </row>
    <row r="4331" spans="1:8" x14ac:dyDescent="0.3">
      <c r="A4331" s="45">
        <v>44818</v>
      </c>
      <c r="B4331" s="399"/>
      <c r="C4331" s="5" t="s">
        <v>8573</v>
      </c>
      <c r="D4331" s="5" t="s">
        <v>9721</v>
      </c>
      <c r="E4331" s="43">
        <v>11000</v>
      </c>
      <c r="F4331" s="43"/>
      <c r="G4331" s="364">
        <f t="shared" si="117"/>
        <v>212823</v>
      </c>
      <c r="H4331" s="391" t="s">
        <v>9568</v>
      </c>
    </row>
    <row r="4332" spans="1:8" x14ac:dyDescent="0.3">
      <c r="A4332" s="45">
        <v>44818</v>
      </c>
      <c r="B4332" s="399"/>
      <c r="C4332" s="5" t="s">
        <v>14</v>
      </c>
      <c r="D4332" s="5" t="s">
        <v>9722</v>
      </c>
      <c r="E4332" s="43">
        <v>2000</v>
      </c>
      <c r="F4332" s="43"/>
      <c r="G4332" s="364">
        <f t="shared" si="117"/>
        <v>210823</v>
      </c>
      <c r="H4332" s="391" t="s">
        <v>9568</v>
      </c>
    </row>
    <row r="4333" spans="1:8" x14ac:dyDescent="0.3">
      <c r="A4333" s="45">
        <v>44818</v>
      </c>
      <c r="B4333" s="399"/>
      <c r="C4333" s="5" t="s">
        <v>7214</v>
      </c>
      <c r="D4333" s="5" t="s">
        <v>9723</v>
      </c>
      <c r="E4333" s="43">
        <v>15000</v>
      </c>
      <c r="F4333" s="43"/>
      <c r="G4333" s="364">
        <f t="shared" si="117"/>
        <v>195823</v>
      </c>
      <c r="H4333" s="391" t="s">
        <v>9568</v>
      </c>
    </row>
    <row r="4334" spans="1:8" x14ac:dyDescent="0.3">
      <c r="A4334" s="45">
        <v>44818</v>
      </c>
      <c r="B4334" s="399"/>
      <c r="C4334" s="5" t="s">
        <v>9525</v>
      </c>
      <c r="D4334" s="5" t="s">
        <v>9724</v>
      </c>
      <c r="E4334" s="43">
        <v>15000</v>
      </c>
      <c r="F4334" s="43"/>
      <c r="G4334" s="364">
        <f t="shared" si="117"/>
        <v>180823</v>
      </c>
      <c r="H4334" s="391" t="s">
        <v>9568</v>
      </c>
    </row>
    <row r="4335" spans="1:8" x14ac:dyDescent="0.3">
      <c r="A4335" s="45">
        <v>44818</v>
      </c>
      <c r="B4335" s="399"/>
      <c r="C4335" s="5" t="s">
        <v>9458</v>
      </c>
      <c r="D4335" s="5" t="s">
        <v>9725</v>
      </c>
      <c r="E4335" s="43">
        <v>1500</v>
      </c>
      <c r="F4335" s="43"/>
      <c r="G4335" s="364">
        <f t="shared" si="117"/>
        <v>179323</v>
      </c>
      <c r="H4335" s="391" t="s">
        <v>9568</v>
      </c>
    </row>
    <row r="4336" spans="1:8" x14ac:dyDescent="0.3">
      <c r="A4336" s="45">
        <v>44818</v>
      </c>
      <c r="B4336" s="399"/>
      <c r="C4336" s="5" t="s">
        <v>9525</v>
      </c>
      <c r="D4336" s="5" t="s">
        <v>9728</v>
      </c>
      <c r="E4336" s="43">
        <v>10000</v>
      </c>
      <c r="F4336" s="43"/>
      <c r="G4336" s="364">
        <f t="shared" si="117"/>
        <v>169323</v>
      </c>
      <c r="H4336" s="391" t="s">
        <v>9568</v>
      </c>
    </row>
    <row r="4337" spans="1:8" x14ac:dyDescent="0.3">
      <c r="A4337" s="45">
        <v>44818</v>
      </c>
      <c r="B4337" s="399"/>
      <c r="C4337" s="5" t="s">
        <v>1074</v>
      </c>
      <c r="D4337" s="5" t="s">
        <v>6469</v>
      </c>
      <c r="E4337" s="43">
        <v>2100</v>
      </c>
      <c r="F4337" s="43"/>
      <c r="G4337" s="364">
        <f t="shared" si="117"/>
        <v>167223</v>
      </c>
      <c r="H4337" s="391" t="s">
        <v>9568</v>
      </c>
    </row>
    <row r="4338" spans="1:8" x14ac:dyDescent="0.3">
      <c r="A4338" s="45">
        <v>44818</v>
      </c>
      <c r="B4338" s="399"/>
      <c r="C4338" s="5" t="s">
        <v>1074</v>
      </c>
      <c r="D4338" s="5" t="s">
        <v>9727</v>
      </c>
      <c r="E4338" s="43">
        <v>6100</v>
      </c>
      <c r="F4338" s="43"/>
      <c r="G4338" s="364">
        <f t="shared" si="117"/>
        <v>161123</v>
      </c>
      <c r="H4338" s="391" t="s">
        <v>9568</v>
      </c>
    </row>
    <row r="4339" spans="1:8" x14ac:dyDescent="0.3">
      <c r="A4339" s="45">
        <v>44818</v>
      </c>
      <c r="B4339" s="399"/>
      <c r="C4339" s="5" t="s">
        <v>247</v>
      </c>
      <c r="D4339" s="5" t="s">
        <v>2013</v>
      </c>
      <c r="E4339" s="43">
        <v>300</v>
      </c>
      <c r="F4339" s="43"/>
      <c r="G4339" s="364">
        <f t="shared" si="117"/>
        <v>160823</v>
      </c>
      <c r="H4339" s="391" t="s">
        <v>9568</v>
      </c>
    </row>
    <row r="4340" spans="1:8" x14ac:dyDescent="0.3">
      <c r="A4340" s="45">
        <v>44818</v>
      </c>
      <c r="B4340" s="399"/>
      <c r="C4340" s="5" t="s">
        <v>14</v>
      </c>
      <c r="D4340" s="5" t="s">
        <v>294</v>
      </c>
      <c r="E4340" s="43">
        <v>15000</v>
      </c>
      <c r="F4340" s="43"/>
      <c r="G4340" s="364">
        <f t="shared" si="117"/>
        <v>145823</v>
      </c>
      <c r="H4340" s="391" t="s">
        <v>9568</v>
      </c>
    </row>
    <row r="4341" spans="1:8" x14ac:dyDescent="0.3">
      <c r="A4341" s="45">
        <v>44818</v>
      </c>
      <c r="B4341" s="399"/>
      <c r="C4341" s="5" t="s">
        <v>7214</v>
      </c>
      <c r="D4341" s="5" t="s">
        <v>9729</v>
      </c>
      <c r="E4341" s="43">
        <v>2500</v>
      </c>
      <c r="F4341" s="43"/>
      <c r="G4341" s="364">
        <f t="shared" si="117"/>
        <v>143323</v>
      </c>
      <c r="H4341" s="391" t="s">
        <v>9568</v>
      </c>
    </row>
    <row r="4342" spans="1:8" x14ac:dyDescent="0.3">
      <c r="A4342" s="45">
        <v>44819</v>
      </c>
      <c r="B4342" s="399"/>
      <c r="C4342" s="5" t="s">
        <v>4550</v>
      </c>
      <c r="D4342" s="5" t="s">
        <v>9730</v>
      </c>
      <c r="E4342" s="43">
        <v>20000</v>
      </c>
      <c r="F4342" s="43"/>
      <c r="G4342" s="364">
        <f t="shared" si="117"/>
        <v>123323</v>
      </c>
      <c r="H4342" s="391" t="s">
        <v>9568</v>
      </c>
    </row>
    <row r="4343" spans="1:8" x14ac:dyDescent="0.3">
      <c r="A4343" s="45">
        <v>44819</v>
      </c>
      <c r="B4343" s="399"/>
      <c r="C4343" s="5" t="s">
        <v>5793</v>
      </c>
      <c r="D4343" s="5" t="s">
        <v>9731</v>
      </c>
      <c r="E4343" s="43">
        <v>2000</v>
      </c>
      <c r="F4343" s="43"/>
      <c r="G4343" s="364">
        <f t="shared" si="117"/>
        <v>121323</v>
      </c>
      <c r="H4343" s="391" t="s">
        <v>9568</v>
      </c>
    </row>
    <row r="4344" spans="1:8" x14ac:dyDescent="0.3">
      <c r="A4344" s="45">
        <v>44819</v>
      </c>
      <c r="B4344" s="399"/>
      <c r="C4344" s="5" t="s">
        <v>25</v>
      </c>
      <c r="D4344" s="5" t="s">
        <v>8152</v>
      </c>
      <c r="E4344" s="43">
        <f>3170+260</f>
        <v>3430</v>
      </c>
      <c r="F4344" s="43"/>
      <c r="G4344" s="364">
        <f t="shared" si="117"/>
        <v>117893</v>
      </c>
      <c r="H4344" s="391" t="s">
        <v>9568</v>
      </c>
    </row>
    <row r="4345" spans="1:8" x14ac:dyDescent="0.3">
      <c r="A4345" s="45">
        <v>44819</v>
      </c>
      <c r="B4345" s="409"/>
      <c r="C4345" s="61" t="s">
        <v>4989</v>
      </c>
      <c r="D4345" s="61" t="s">
        <v>9733</v>
      </c>
      <c r="E4345" s="62">
        <v>5000</v>
      </c>
      <c r="F4345" s="43"/>
      <c r="G4345" s="364">
        <f t="shared" si="117"/>
        <v>112893</v>
      </c>
      <c r="H4345" s="391" t="s">
        <v>9568</v>
      </c>
    </row>
    <row r="4346" spans="1:8" x14ac:dyDescent="0.3">
      <c r="A4346" s="45">
        <v>44819</v>
      </c>
      <c r="B4346" s="399"/>
      <c r="C4346" s="5" t="s">
        <v>5793</v>
      </c>
      <c r="D4346" s="5" t="s">
        <v>9734</v>
      </c>
      <c r="E4346" s="43">
        <v>3500</v>
      </c>
      <c r="F4346" s="43"/>
      <c r="G4346" s="364">
        <f t="shared" si="117"/>
        <v>109393</v>
      </c>
      <c r="H4346" s="391" t="s">
        <v>9568</v>
      </c>
    </row>
    <row r="4347" spans="1:8" x14ac:dyDescent="0.3">
      <c r="A4347" s="45">
        <v>44819</v>
      </c>
      <c r="B4347" s="399"/>
      <c r="C4347" s="5" t="s">
        <v>6430</v>
      </c>
      <c r="D4347" s="5" t="s">
        <v>9739</v>
      </c>
      <c r="E4347" s="43">
        <v>1750</v>
      </c>
      <c r="F4347" s="43"/>
      <c r="G4347" s="364">
        <f t="shared" si="117"/>
        <v>107643</v>
      </c>
      <c r="H4347" s="391" t="s">
        <v>9568</v>
      </c>
    </row>
    <row r="4348" spans="1:8" x14ac:dyDescent="0.3">
      <c r="A4348" s="45">
        <v>44819</v>
      </c>
      <c r="B4348" s="404"/>
      <c r="C4348" s="41" t="s">
        <v>54</v>
      </c>
      <c r="D4348" s="41" t="s">
        <v>9735</v>
      </c>
      <c r="E4348" s="42">
        <v>8000</v>
      </c>
      <c r="F4348" s="43"/>
      <c r="G4348" s="364">
        <f t="shared" si="117"/>
        <v>99643</v>
      </c>
      <c r="H4348" s="391" t="s">
        <v>9568</v>
      </c>
    </row>
    <row r="4349" spans="1:8" x14ac:dyDescent="0.3">
      <c r="A4349" s="45">
        <v>44819</v>
      </c>
      <c r="B4349" s="399"/>
      <c r="C4349" s="5" t="s">
        <v>84</v>
      </c>
      <c r="D4349" s="5" t="s">
        <v>9736</v>
      </c>
      <c r="E4349" s="43">
        <v>1000</v>
      </c>
      <c r="F4349" s="43"/>
      <c r="G4349" s="364">
        <f t="shared" si="117"/>
        <v>98643</v>
      </c>
      <c r="H4349" s="391" t="s">
        <v>9568</v>
      </c>
    </row>
    <row r="4350" spans="1:8" x14ac:dyDescent="0.3">
      <c r="A4350" s="45">
        <v>44819</v>
      </c>
      <c r="B4350" s="399"/>
      <c r="C4350" s="5" t="s">
        <v>68</v>
      </c>
      <c r="D4350" s="5" t="s">
        <v>9737</v>
      </c>
      <c r="E4350" s="43">
        <v>38000</v>
      </c>
      <c r="F4350" s="43"/>
      <c r="G4350" s="364">
        <f t="shared" si="117"/>
        <v>60643</v>
      </c>
      <c r="H4350" s="391" t="s">
        <v>9568</v>
      </c>
    </row>
    <row r="4351" spans="1:8" x14ac:dyDescent="0.3">
      <c r="A4351" s="45">
        <v>44819</v>
      </c>
      <c r="B4351" s="399"/>
      <c r="C4351" s="5" t="s">
        <v>68</v>
      </c>
      <c r="D4351" s="5" t="s">
        <v>9738</v>
      </c>
      <c r="E4351" s="43">
        <v>10000</v>
      </c>
      <c r="F4351" s="43"/>
      <c r="G4351" s="364">
        <f t="shared" si="117"/>
        <v>50643</v>
      </c>
      <c r="H4351" s="391" t="s">
        <v>9568</v>
      </c>
    </row>
    <row r="4352" spans="1:8" x14ac:dyDescent="0.3">
      <c r="A4352" s="45">
        <v>44819</v>
      </c>
      <c r="B4352" s="399"/>
      <c r="C4352" s="5" t="s">
        <v>84</v>
      </c>
      <c r="D4352" s="5" t="s">
        <v>9740</v>
      </c>
      <c r="E4352" s="43">
        <v>5000</v>
      </c>
      <c r="F4352" s="43"/>
      <c r="G4352" s="364">
        <f t="shared" si="117"/>
        <v>45643</v>
      </c>
      <c r="H4352" s="391" t="s">
        <v>9568</v>
      </c>
    </row>
    <row r="4353" spans="1:8" x14ac:dyDescent="0.3">
      <c r="A4353" s="45">
        <v>44820</v>
      </c>
      <c r="B4353" s="399"/>
      <c r="C4353" s="5" t="s">
        <v>68</v>
      </c>
      <c r="D4353" s="5" t="s">
        <v>294</v>
      </c>
      <c r="E4353" s="43">
        <v>5000</v>
      </c>
      <c r="F4353" s="43"/>
      <c r="G4353" s="364">
        <f t="shared" si="117"/>
        <v>40643</v>
      </c>
      <c r="H4353" s="391" t="s">
        <v>9568</v>
      </c>
    </row>
    <row r="4354" spans="1:8" x14ac:dyDescent="0.3">
      <c r="A4354" s="45">
        <v>44820</v>
      </c>
      <c r="B4354" s="399"/>
      <c r="C4354" s="5" t="s">
        <v>5793</v>
      </c>
      <c r="D4354" s="5" t="s">
        <v>9741</v>
      </c>
      <c r="E4354" s="43">
        <v>3000</v>
      </c>
      <c r="F4354" s="43"/>
      <c r="G4354" s="364">
        <f t="shared" si="117"/>
        <v>37643</v>
      </c>
      <c r="H4354" s="391" t="s">
        <v>9568</v>
      </c>
    </row>
    <row r="4355" spans="1:8" x14ac:dyDescent="0.3">
      <c r="A4355" s="45">
        <v>44820</v>
      </c>
      <c r="B4355" s="399"/>
      <c r="C4355" s="5" t="s">
        <v>9743</v>
      </c>
      <c r="D4355" s="5" t="s">
        <v>9798</v>
      </c>
      <c r="E4355" s="43">
        <v>10000</v>
      </c>
      <c r="F4355" s="43"/>
      <c r="G4355" s="364">
        <f t="shared" si="117"/>
        <v>27643</v>
      </c>
      <c r="H4355" s="391" t="s">
        <v>9568</v>
      </c>
    </row>
    <row r="4356" spans="1:8" x14ac:dyDescent="0.3">
      <c r="A4356" s="45">
        <v>44820</v>
      </c>
      <c r="B4356" s="399"/>
      <c r="C4356" s="5" t="s">
        <v>4055</v>
      </c>
      <c r="D4356" s="5" t="s">
        <v>9744</v>
      </c>
      <c r="E4356" s="43">
        <v>5000</v>
      </c>
      <c r="F4356" s="43"/>
      <c r="G4356" s="364">
        <f t="shared" si="117"/>
        <v>22643</v>
      </c>
      <c r="H4356" s="391" t="s">
        <v>9568</v>
      </c>
    </row>
    <row r="4357" spans="1:8" x14ac:dyDescent="0.3">
      <c r="A4357" s="45">
        <v>44820</v>
      </c>
      <c r="B4357" s="399"/>
      <c r="C4357" s="5" t="s">
        <v>5793</v>
      </c>
      <c r="D4357" s="5" t="s">
        <v>9746</v>
      </c>
      <c r="E4357" s="43">
        <v>600</v>
      </c>
      <c r="F4357" s="43"/>
      <c r="G4357" s="364">
        <f t="shared" si="117"/>
        <v>22043</v>
      </c>
      <c r="H4357" s="391" t="s">
        <v>9568</v>
      </c>
    </row>
    <row r="4358" spans="1:8" x14ac:dyDescent="0.3">
      <c r="A4358" s="45">
        <v>44820</v>
      </c>
      <c r="B4358" s="399"/>
      <c r="C4358" s="5" t="s">
        <v>25</v>
      </c>
      <c r="D4358" s="5" t="s">
        <v>9747</v>
      </c>
      <c r="E4358" s="43">
        <v>600</v>
      </c>
      <c r="F4358" s="43"/>
      <c r="G4358" s="364">
        <f t="shared" si="117"/>
        <v>21443</v>
      </c>
      <c r="H4358" s="391" t="s">
        <v>9568</v>
      </c>
    </row>
    <row r="4359" spans="1:8" x14ac:dyDescent="0.3">
      <c r="A4359" s="45">
        <v>44820</v>
      </c>
      <c r="B4359" s="399"/>
      <c r="C4359" s="5" t="s">
        <v>84</v>
      </c>
      <c r="D4359" s="5" t="s">
        <v>9748</v>
      </c>
      <c r="E4359" s="43">
        <v>5000</v>
      </c>
      <c r="F4359" s="43"/>
      <c r="G4359" s="364">
        <f t="shared" si="117"/>
        <v>16443</v>
      </c>
      <c r="H4359" s="391" t="s">
        <v>9568</v>
      </c>
    </row>
    <row r="4360" spans="1:8" x14ac:dyDescent="0.3">
      <c r="A4360" s="45">
        <v>44820</v>
      </c>
      <c r="B4360" s="399"/>
      <c r="C4360" s="5" t="s">
        <v>57</v>
      </c>
      <c r="D4360" s="5" t="s">
        <v>9749</v>
      </c>
      <c r="E4360" s="43">
        <v>500</v>
      </c>
      <c r="F4360" s="43"/>
      <c r="G4360" s="364">
        <f t="shared" si="117"/>
        <v>15943</v>
      </c>
      <c r="H4360" s="391" t="s">
        <v>9568</v>
      </c>
    </row>
    <row r="4361" spans="1:8" x14ac:dyDescent="0.3">
      <c r="A4361" s="45">
        <v>44820</v>
      </c>
      <c r="B4361" s="399"/>
      <c r="C4361" s="5" t="s">
        <v>57</v>
      </c>
      <c r="D4361" s="5" t="s">
        <v>3557</v>
      </c>
      <c r="E4361" s="43">
        <v>850</v>
      </c>
      <c r="F4361" s="43"/>
      <c r="G4361" s="364">
        <f t="shared" si="117"/>
        <v>15093</v>
      </c>
      <c r="H4361" s="391" t="s">
        <v>9568</v>
      </c>
    </row>
    <row r="4362" spans="1:8" x14ac:dyDescent="0.3">
      <c r="A4362" s="45">
        <v>44820</v>
      </c>
      <c r="B4362" s="399"/>
      <c r="C4362" s="5" t="s">
        <v>84</v>
      </c>
      <c r="D4362" s="5" t="s">
        <v>9750</v>
      </c>
      <c r="E4362" s="43">
        <v>10000</v>
      </c>
      <c r="F4362" s="43"/>
      <c r="G4362" s="364">
        <f t="shared" si="117"/>
        <v>5093</v>
      </c>
      <c r="H4362" s="391" t="s">
        <v>9568</v>
      </c>
    </row>
    <row r="4363" spans="1:8" x14ac:dyDescent="0.3">
      <c r="A4363" s="45">
        <v>44820</v>
      </c>
      <c r="B4363" s="399"/>
      <c r="C4363" s="5" t="s">
        <v>247</v>
      </c>
      <c r="D4363" s="5" t="s">
        <v>2248</v>
      </c>
      <c r="E4363" s="43">
        <v>550</v>
      </c>
      <c r="F4363" s="43"/>
      <c r="G4363" s="364">
        <f t="shared" si="117"/>
        <v>4543</v>
      </c>
      <c r="H4363" s="391" t="s">
        <v>9568</v>
      </c>
    </row>
    <row r="4364" spans="1:8" x14ac:dyDescent="0.3">
      <c r="A4364" s="45">
        <v>44821</v>
      </c>
      <c r="B4364" s="409"/>
      <c r="C4364" s="61" t="s">
        <v>8594</v>
      </c>
      <c r="D4364" s="61" t="s">
        <v>9751</v>
      </c>
      <c r="E4364" s="62"/>
      <c r="F4364" s="62">
        <v>400</v>
      </c>
      <c r="G4364" s="364">
        <f t="shared" si="117"/>
        <v>4943</v>
      </c>
      <c r="H4364" s="391" t="s">
        <v>9568</v>
      </c>
    </row>
    <row r="4365" spans="1:8" x14ac:dyDescent="0.3">
      <c r="A4365" s="45">
        <v>44821</v>
      </c>
      <c r="B4365" s="399"/>
      <c r="C4365" s="5" t="s">
        <v>9458</v>
      </c>
      <c r="D4365" s="5" t="s">
        <v>9725</v>
      </c>
      <c r="E4365" s="43">
        <v>1500</v>
      </c>
      <c r="F4365" s="43"/>
      <c r="G4365" s="364">
        <f t="shared" si="117"/>
        <v>3443</v>
      </c>
      <c r="H4365" s="391" t="s">
        <v>9568</v>
      </c>
    </row>
    <row r="4366" spans="1:8" x14ac:dyDescent="0.3">
      <c r="A4366" s="45">
        <v>44821</v>
      </c>
      <c r="B4366" s="399"/>
      <c r="C4366" s="5" t="s">
        <v>25</v>
      </c>
      <c r="D4366" s="5" t="s">
        <v>9747</v>
      </c>
      <c r="E4366" s="43">
        <v>750</v>
      </c>
      <c r="F4366" s="43"/>
      <c r="G4366" s="364">
        <f t="shared" si="117"/>
        <v>2693</v>
      </c>
      <c r="H4366" s="391" t="s">
        <v>9568</v>
      </c>
    </row>
    <row r="4367" spans="1:8" x14ac:dyDescent="0.3">
      <c r="A4367" s="45">
        <v>44823</v>
      </c>
      <c r="B4367" s="399"/>
      <c r="C4367" s="5" t="s">
        <v>57</v>
      </c>
      <c r="D4367" s="5" t="s">
        <v>40</v>
      </c>
      <c r="E4367" s="43">
        <v>500</v>
      </c>
      <c r="F4367" s="43"/>
      <c r="G4367" s="364">
        <f t="shared" si="117"/>
        <v>2193</v>
      </c>
      <c r="H4367" s="391" t="s">
        <v>9568</v>
      </c>
    </row>
    <row r="4368" spans="1:8" x14ac:dyDescent="0.3">
      <c r="A4368" s="45">
        <v>44823</v>
      </c>
      <c r="B4368" s="580"/>
      <c r="C4368" s="554" t="s">
        <v>4364</v>
      </c>
      <c r="D4368" s="554"/>
      <c r="E4368" s="554"/>
      <c r="F4368" s="43">
        <v>130000</v>
      </c>
      <c r="G4368" s="48">
        <f t="shared" ref="G4368" si="118">G4367+F4368-E4368</f>
        <v>132193</v>
      </c>
      <c r="H4368" s="391" t="s">
        <v>9568</v>
      </c>
    </row>
    <row r="4369" spans="1:8" x14ac:dyDescent="0.3">
      <c r="A4369" s="45">
        <v>44823</v>
      </c>
      <c r="B4369" s="399"/>
      <c r="C4369" s="5" t="s">
        <v>14</v>
      </c>
      <c r="D4369" s="5" t="s">
        <v>9656</v>
      </c>
      <c r="E4369" s="43">
        <v>50000</v>
      </c>
      <c r="F4369" s="43"/>
      <c r="G4369" s="364">
        <f t="shared" si="117"/>
        <v>82193</v>
      </c>
      <c r="H4369" s="391" t="s">
        <v>9568</v>
      </c>
    </row>
    <row r="4370" spans="1:8" x14ac:dyDescent="0.3">
      <c r="A4370" s="45">
        <v>44823</v>
      </c>
      <c r="B4370" s="399"/>
      <c r="C4370" s="5" t="s">
        <v>68</v>
      </c>
      <c r="D4370" s="5" t="s">
        <v>3557</v>
      </c>
      <c r="E4370" s="43">
        <v>30000</v>
      </c>
      <c r="F4370" s="43"/>
      <c r="G4370" s="364">
        <f t="shared" si="117"/>
        <v>52193</v>
      </c>
      <c r="H4370" s="391" t="s">
        <v>9568</v>
      </c>
    </row>
    <row r="4371" spans="1:8" x14ac:dyDescent="0.3">
      <c r="A4371" s="45">
        <v>44823</v>
      </c>
      <c r="B4371" s="399"/>
      <c r="C4371" s="5" t="s">
        <v>9044</v>
      </c>
      <c r="D4371" s="5" t="s">
        <v>9755</v>
      </c>
      <c r="E4371" s="43">
        <v>30000</v>
      </c>
      <c r="F4371" s="43"/>
      <c r="G4371" s="364">
        <f t="shared" si="117"/>
        <v>22193</v>
      </c>
      <c r="H4371" s="391" t="s">
        <v>9568</v>
      </c>
    </row>
    <row r="4372" spans="1:8" x14ac:dyDescent="0.3">
      <c r="A4372" s="45">
        <v>44823</v>
      </c>
      <c r="B4372" s="399"/>
      <c r="C4372" s="5" t="s">
        <v>9756</v>
      </c>
      <c r="D4372" s="5" t="s">
        <v>2013</v>
      </c>
      <c r="E4372" s="43">
        <v>400</v>
      </c>
      <c r="F4372" s="43"/>
      <c r="G4372" s="364">
        <f t="shared" si="117"/>
        <v>21793</v>
      </c>
      <c r="H4372" s="391" t="s">
        <v>9568</v>
      </c>
    </row>
    <row r="4373" spans="1:8" x14ac:dyDescent="0.3">
      <c r="A4373" s="45">
        <v>44824</v>
      </c>
      <c r="B4373" s="399"/>
      <c r="C4373" s="5" t="s">
        <v>8573</v>
      </c>
      <c r="D4373" s="5" t="s">
        <v>9758</v>
      </c>
      <c r="E4373" s="43">
        <v>8000</v>
      </c>
      <c r="F4373" s="43"/>
      <c r="G4373" s="364">
        <f t="shared" si="117"/>
        <v>13793</v>
      </c>
      <c r="H4373" s="391" t="s">
        <v>9568</v>
      </c>
    </row>
    <row r="4374" spans="1:8" x14ac:dyDescent="0.3">
      <c r="A4374" s="45">
        <v>44824</v>
      </c>
      <c r="B4374" s="399"/>
      <c r="C4374" s="5" t="s">
        <v>84</v>
      </c>
      <c r="D4374" s="5" t="s">
        <v>9759</v>
      </c>
      <c r="E4374" s="43">
        <v>5000</v>
      </c>
      <c r="F4374" s="43"/>
      <c r="G4374" s="364">
        <f t="shared" si="117"/>
        <v>8793</v>
      </c>
      <c r="H4374" s="391" t="s">
        <v>9568</v>
      </c>
    </row>
    <row r="4375" spans="1:8" x14ac:dyDescent="0.3">
      <c r="A4375" s="45">
        <v>44824</v>
      </c>
      <c r="B4375" s="399"/>
      <c r="C4375" s="5" t="s">
        <v>9525</v>
      </c>
      <c r="D4375" s="5" t="s">
        <v>9760</v>
      </c>
      <c r="E4375" s="43">
        <v>1500</v>
      </c>
      <c r="F4375" s="43"/>
      <c r="G4375" s="364">
        <f t="shared" si="117"/>
        <v>7293</v>
      </c>
      <c r="H4375" s="391" t="s">
        <v>9568</v>
      </c>
    </row>
    <row r="4376" spans="1:8" x14ac:dyDescent="0.3">
      <c r="A4376" s="45">
        <v>44824</v>
      </c>
      <c r="B4376" s="399"/>
      <c r="C4376" s="5" t="s">
        <v>5793</v>
      </c>
      <c r="D4376" s="5" t="s">
        <v>9761</v>
      </c>
      <c r="E4376" s="43">
        <v>1500</v>
      </c>
      <c r="F4376" s="43"/>
      <c r="G4376" s="364">
        <f t="shared" si="117"/>
        <v>5793</v>
      </c>
      <c r="H4376" s="391" t="s">
        <v>9568</v>
      </c>
    </row>
    <row r="4377" spans="1:8" x14ac:dyDescent="0.3">
      <c r="A4377" s="45">
        <v>44824</v>
      </c>
      <c r="B4377" s="399"/>
      <c r="C4377" s="5" t="s">
        <v>9525</v>
      </c>
      <c r="D4377" s="5" t="s">
        <v>9762</v>
      </c>
      <c r="E4377" s="43">
        <v>1600</v>
      </c>
      <c r="F4377" s="43"/>
      <c r="G4377" s="364">
        <f t="shared" si="117"/>
        <v>4193</v>
      </c>
      <c r="H4377" s="391" t="s">
        <v>9568</v>
      </c>
    </row>
    <row r="4378" spans="1:8" x14ac:dyDescent="0.3">
      <c r="A4378" s="45">
        <v>44824</v>
      </c>
      <c r="B4378" s="399"/>
      <c r="C4378" s="5" t="s">
        <v>18</v>
      </c>
      <c r="D4378" s="5" t="s">
        <v>9763</v>
      </c>
      <c r="E4378" s="43">
        <v>850</v>
      </c>
      <c r="F4378" s="43"/>
      <c r="G4378" s="364">
        <f t="shared" si="117"/>
        <v>3343</v>
      </c>
      <c r="H4378" s="391" t="s">
        <v>9568</v>
      </c>
    </row>
    <row r="4379" spans="1:8" x14ac:dyDescent="0.3">
      <c r="A4379" s="45">
        <v>44825</v>
      </c>
      <c r="B4379" s="399"/>
      <c r="C4379" s="5" t="s">
        <v>9768</v>
      </c>
      <c r="D4379" s="5" t="s">
        <v>9771</v>
      </c>
      <c r="E4379" s="43">
        <v>1935</v>
      </c>
      <c r="F4379" s="43"/>
      <c r="G4379" s="364">
        <f t="shared" si="117"/>
        <v>1408</v>
      </c>
      <c r="H4379" s="391" t="s">
        <v>9568</v>
      </c>
    </row>
    <row r="4380" spans="1:8" x14ac:dyDescent="0.3">
      <c r="A4380" s="45">
        <v>44825</v>
      </c>
      <c r="B4380" s="399"/>
      <c r="C4380" s="5" t="s">
        <v>9768</v>
      </c>
      <c r="D4380" s="5" t="s">
        <v>9770</v>
      </c>
      <c r="E4380" s="43">
        <v>600</v>
      </c>
      <c r="F4380" s="43"/>
      <c r="G4380" s="364">
        <f t="shared" si="117"/>
        <v>808</v>
      </c>
      <c r="H4380" s="391" t="s">
        <v>9568</v>
      </c>
    </row>
    <row r="4381" spans="1:8" x14ac:dyDescent="0.3">
      <c r="A4381" s="45">
        <v>44825</v>
      </c>
      <c r="B4381" s="580"/>
      <c r="C4381" s="554" t="s">
        <v>4106</v>
      </c>
      <c r="D4381" s="554"/>
      <c r="E4381" s="554"/>
      <c r="F4381" s="43">
        <v>500000</v>
      </c>
      <c r="G4381" s="364">
        <f t="shared" si="117"/>
        <v>500808</v>
      </c>
      <c r="H4381" s="391" t="s">
        <v>9568</v>
      </c>
    </row>
    <row r="4382" spans="1:8" x14ac:dyDescent="0.3">
      <c r="A4382" s="45">
        <v>44825</v>
      </c>
      <c r="B4382" s="399"/>
      <c r="C4382" s="5" t="s">
        <v>68</v>
      </c>
      <c r="D4382" s="5" t="s">
        <v>5476</v>
      </c>
      <c r="E4382" s="43">
        <v>13875</v>
      </c>
      <c r="F4382" s="43"/>
      <c r="G4382" s="364">
        <f t="shared" si="117"/>
        <v>486933</v>
      </c>
      <c r="H4382" s="391" t="s">
        <v>9568</v>
      </c>
    </row>
    <row r="4383" spans="1:8" x14ac:dyDescent="0.3">
      <c r="A4383" s="45">
        <v>44825</v>
      </c>
      <c r="B4383" s="399"/>
      <c r="C4383" s="5" t="s">
        <v>9764</v>
      </c>
      <c r="D4383" s="5" t="s">
        <v>9779</v>
      </c>
      <c r="E4383" s="43">
        <v>31500</v>
      </c>
      <c r="F4383" s="43"/>
      <c r="G4383" s="364">
        <f t="shared" si="117"/>
        <v>455433</v>
      </c>
      <c r="H4383" s="391" t="s">
        <v>9568</v>
      </c>
    </row>
    <row r="4384" spans="1:8" x14ac:dyDescent="0.3">
      <c r="A4384" s="45">
        <v>44825</v>
      </c>
      <c r="B4384" s="399"/>
      <c r="C4384" s="5" t="s">
        <v>9765</v>
      </c>
      <c r="D4384" s="5" t="s">
        <v>985</v>
      </c>
      <c r="E4384" s="43">
        <v>5000</v>
      </c>
      <c r="F4384" s="43"/>
      <c r="G4384" s="364">
        <f t="shared" ref="G4384:G4434" si="119">G4383+F4384-E4384</f>
        <v>450433</v>
      </c>
      <c r="H4384" s="391" t="s">
        <v>9568</v>
      </c>
    </row>
    <row r="4385" spans="1:8" x14ac:dyDescent="0.3">
      <c r="A4385" s="45">
        <v>44825</v>
      </c>
      <c r="B4385" s="399"/>
      <c r="C4385" s="5" t="s">
        <v>4156</v>
      </c>
      <c r="D4385" s="5" t="s">
        <v>9766</v>
      </c>
      <c r="E4385" s="43">
        <v>200000</v>
      </c>
      <c r="F4385" s="43"/>
      <c r="G4385" s="364">
        <f t="shared" si="119"/>
        <v>250433</v>
      </c>
      <c r="H4385" s="391" t="s">
        <v>9568</v>
      </c>
    </row>
    <row r="4386" spans="1:8" x14ac:dyDescent="0.3">
      <c r="A4386" s="45">
        <v>44825</v>
      </c>
      <c r="B4386" s="399"/>
      <c r="C4386" s="5" t="s">
        <v>4156</v>
      </c>
      <c r="D4386" s="5" t="s">
        <v>9767</v>
      </c>
      <c r="E4386" s="43">
        <v>60000</v>
      </c>
      <c r="F4386" s="43"/>
      <c r="G4386" s="364">
        <f t="shared" si="119"/>
        <v>190433</v>
      </c>
      <c r="H4386" s="391" t="s">
        <v>9568</v>
      </c>
    </row>
    <row r="4387" spans="1:8" x14ac:dyDescent="0.3">
      <c r="A4387" s="45">
        <v>44825</v>
      </c>
      <c r="B4387" s="399"/>
      <c r="C4387" s="5" t="s">
        <v>1967</v>
      </c>
      <c r="D4387" s="5" t="s">
        <v>2013</v>
      </c>
      <c r="E4387" s="43">
        <v>100</v>
      </c>
      <c r="F4387" s="43"/>
      <c r="G4387" s="364">
        <f t="shared" si="119"/>
        <v>190333</v>
      </c>
      <c r="H4387" s="391" t="s">
        <v>9568</v>
      </c>
    </row>
    <row r="4388" spans="1:8" x14ac:dyDescent="0.3">
      <c r="A4388" s="45">
        <v>44825</v>
      </c>
      <c r="B4388" s="399"/>
      <c r="C4388" s="5" t="s">
        <v>9008</v>
      </c>
      <c r="D4388" s="5" t="s">
        <v>9773</v>
      </c>
      <c r="E4388" s="43">
        <v>15000</v>
      </c>
      <c r="F4388" s="43"/>
      <c r="G4388" s="364">
        <f t="shared" si="119"/>
        <v>175333</v>
      </c>
      <c r="H4388" s="391" t="s">
        <v>9568</v>
      </c>
    </row>
    <row r="4389" spans="1:8" x14ac:dyDescent="0.3">
      <c r="A4389" s="45">
        <v>44825</v>
      </c>
      <c r="B4389" s="399"/>
      <c r="C4389" s="5" t="s">
        <v>25</v>
      </c>
      <c r="D4389" s="5" t="s">
        <v>9774</v>
      </c>
      <c r="E4389" s="43">
        <v>170</v>
      </c>
      <c r="F4389" s="43"/>
      <c r="G4389" s="364">
        <f t="shared" si="119"/>
        <v>175163</v>
      </c>
      <c r="H4389" s="391" t="s">
        <v>9568</v>
      </c>
    </row>
    <row r="4390" spans="1:8" x14ac:dyDescent="0.3">
      <c r="A4390" s="45">
        <v>44825</v>
      </c>
      <c r="B4390" s="399"/>
      <c r="C4390" s="5" t="s">
        <v>25</v>
      </c>
      <c r="D4390" s="5" t="s">
        <v>9747</v>
      </c>
      <c r="E4390" s="43">
        <v>500</v>
      </c>
      <c r="F4390" s="43"/>
      <c r="G4390" s="364">
        <f t="shared" si="119"/>
        <v>174663</v>
      </c>
      <c r="H4390" s="391" t="s">
        <v>9568</v>
      </c>
    </row>
    <row r="4391" spans="1:8" x14ac:dyDescent="0.3">
      <c r="A4391" s="45">
        <v>44825</v>
      </c>
      <c r="B4391" s="399"/>
      <c r="C4391" s="5" t="s">
        <v>25</v>
      </c>
      <c r="D4391" s="5" t="s">
        <v>9776</v>
      </c>
      <c r="E4391" s="43">
        <v>250</v>
      </c>
      <c r="F4391" s="43"/>
      <c r="G4391" s="364">
        <f t="shared" si="119"/>
        <v>174413</v>
      </c>
      <c r="H4391" s="391" t="s">
        <v>9568</v>
      </c>
    </row>
    <row r="4392" spans="1:8" x14ac:dyDescent="0.3">
      <c r="A4392" s="45">
        <v>44825</v>
      </c>
      <c r="B4392" s="399"/>
      <c r="C4392" s="5" t="s">
        <v>25</v>
      </c>
      <c r="D4392" s="5" t="s">
        <v>6049</v>
      </c>
      <c r="E4392" s="43">
        <v>200</v>
      </c>
      <c r="F4392" s="43"/>
      <c r="G4392" s="364">
        <f t="shared" si="119"/>
        <v>174213</v>
      </c>
      <c r="H4392" s="391" t="s">
        <v>9568</v>
      </c>
    </row>
    <row r="4393" spans="1:8" x14ac:dyDescent="0.3">
      <c r="A4393" s="45">
        <v>44825</v>
      </c>
      <c r="B4393" s="399"/>
      <c r="C4393" s="5" t="s">
        <v>68</v>
      </c>
      <c r="D4393" s="5" t="s">
        <v>294</v>
      </c>
      <c r="E4393" s="43">
        <v>2000</v>
      </c>
      <c r="F4393" s="43"/>
      <c r="G4393" s="364">
        <f t="shared" si="119"/>
        <v>172213</v>
      </c>
      <c r="H4393" s="391" t="s">
        <v>9568</v>
      </c>
    </row>
    <row r="4394" spans="1:8" x14ac:dyDescent="0.3">
      <c r="A4394" s="45">
        <v>44826</v>
      </c>
      <c r="B4394" s="399"/>
      <c r="C4394" s="5" t="s">
        <v>9764</v>
      </c>
      <c r="D4394" s="5" t="s">
        <v>9780</v>
      </c>
      <c r="E4394" s="43">
        <v>68000</v>
      </c>
      <c r="F4394" s="43"/>
      <c r="G4394" s="364">
        <f t="shared" si="119"/>
        <v>104213</v>
      </c>
      <c r="H4394" s="391" t="s">
        <v>9568</v>
      </c>
    </row>
    <row r="4395" spans="1:8" x14ac:dyDescent="0.3">
      <c r="A4395" s="45">
        <v>44826</v>
      </c>
      <c r="B4395" s="399"/>
      <c r="C4395" s="5" t="s">
        <v>68</v>
      </c>
      <c r="D4395" s="5" t="s">
        <v>9781</v>
      </c>
      <c r="E4395" s="43">
        <v>15000</v>
      </c>
      <c r="F4395" s="43"/>
      <c r="G4395" s="364">
        <f t="shared" si="119"/>
        <v>89213</v>
      </c>
      <c r="H4395" s="391" t="s">
        <v>9568</v>
      </c>
    </row>
    <row r="4396" spans="1:8" x14ac:dyDescent="0.3">
      <c r="A4396" s="45">
        <v>44826</v>
      </c>
      <c r="B4396" s="399"/>
      <c r="C4396" s="5" t="s">
        <v>25</v>
      </c>
      <c r="D4396" s="5" t="s">
        <v>7533</v>
      </c>
      <c r="E4396" s="43">
        <v>350</v>
      </c>
      <c r="F4396" s="43"/>
      <c r="G4396" s="364">
        <f t="shared" si="119"/>
        <v>88863</v>
      </c>
      <c r="H4396" s="391" t="s">
        <v>9568</v>
      </c>
    </row>
    <row r="4397" spans="1:8" x14ac:dyDescent="0.3">
      <c r="A4397" s="45">
        <v>44826</v>
      </c>
      <c r="B4397" s="399"/>
      <c r="C4397" s="5" t="s">
        <v>5793</v>
      </c>
      <c r="D4397" s="5" t="s">
        <v>9783</v>
      </c>
      <c r="E4397" s="43">
        <v>500</v>
      </c>
      <c r="F4397" s="43"/>
      <c r="G4397" s="364">
        <f t="shared" si="119"/>
        <v>88363</v>
      </c>
      <c r="H4397" s="391" t="s">
        <v>9568</v>
      </c>
    </row>
    <row r="4398" spans="1:8" x14ac:dyDescent="0.3">
      <c r="A4398" s="45">
        <v>44826</v>
      </c>
      <c r="B4398" s="399"/>
      <c r="C4398" s="5" t="s">
        <v>9784</v>
      </c>
      <c r="D4398" s="5" t="s">
        <v>40</v>
      </c>
      <c r="E4398" s="43">
        <v>8000</v>
      </c>
      <c r="F4398" s="43"/>
      <c r="G4398" s="364">
        <f t="shared" si="119"/>
        <v>80363</v>
      </c>
      <c r="H4398" s="391" t="s">
        <v>9568</v>
      </c>
    </row>
    <row r="4399" spans="1:8" x14ac:dyDescent="0.3">
      <c r="A4399" s="45">
        <v>44826</v>
      </c>
      <c r="B4399" s="399"/>
      <c r="C4399" s="5" t="s">
        <v>7315</v>
      </c>
      <c r="D4399" s="5" t="s">
        <v>9785</v>
      </c>
      <c r="E4399" s="43">
        <v>18100</v>
      </c>
      <c r="F4399" s="43"/>
      <c r="G4399" s="364">
        <f t="shared" si="119"/>
        <v>62263</v>
      </c>
      <c r="H4399" s="391" t="s">
        <v>9568</v>
      </c>
    </row>
    <row r="4400" spans="1:8" x14ac:dyDescent="0.3">
      <c r="A4400" s="45">
        <v>44826</v>
      </c>
      <c r="B4400" s="399"/>
      <c r="C4400" s="5" t="s">
        <v>25</v>
      </c>
      <c r="D4400" s="5" t="s">
        <v>9786</v>
      </c>
      <c r="E4400" s="43">
        <v>1000</v>
      </c>
      <c r="F4400" s="43"/>
      <c r="G4400" s="364">
        <f t="shared" si="119"/>
        <v>61263</v>
      </c>
      <c r="H4400" s="391" t="s">
        <v>9568</v>
      </c>
    </row>
    <row r="4401" spans="1:10" x14ac:dyDescent="0.3">
      <c r="A4401" s="45">
        <v>44826</v>
      </c>
      <c r="B4401" s="399"/>
      <c r="C4401" s="5" t="s">
        <v>84</v>
      </c>
      <c r="D4401" s="5" t="s">
        <v>9787</v>
      </c>
      <c r="E4401" s="43">
        <v>1000</v>
      </c>
      <c r="F4401" s="43"/>
      <c r="G4401" s="364">
        <f t="shared" si="119"/>
        <v>60263</v>
      </c>
      <c r="H4401" s="391" t="s">
        <v>9568</v>
      </c>
    </row>
    <row r="4402" spans="1:10" x14ac:dyDescent="0.3">
      <c r="A4402" s="45">
        <v>44826</v>
      </c>
      <c r="B4402" s="399"/>
      <c r="C4402" s="5" t="s">
        <v>84</v>
      </c>
      <c r="D4402" s="5" t="s">
        <v>9790</v>
      </c>
      <c r="E4402" s="43">
        <v>5000</v>
      </c>
      <c r="F4402" s="43"/>
      <c r="G4402" s="364">
        <f t="shared" si="119"/>
        <v>55263</v>
      </c>
      <c r="H4402" s="391" t="s">
        <v>9568</v>
      </c>
    </row>
    <row r="4403" spans="1:10" x14ac:dyDescent="0.3">
      <c r="A4403" s="45">
        <v>44826</v>
      </c>
      <c r="B4403" s="399"/>
      <c r="C4403" s="5" t="s">
        <v>1616</v>
      </c>
      <c r="D4403" s="5" t="s">
        <v>9791</v>
      </c>
      <c r="E4403" s="43">
        <v>700</v>
      </c>
      <c r="F4403" s="43"/>
      <c r="G4403" s="364">
        <f t="shared" si="119"/>
        <v>54563</v>
      </c>
      <c r="H4403" s="391" t="s">
        <v>9568</v>
      </c>
    </row>
    <row r="4404" spans="1:10" x14ac:dyDescent="0.3">
      <c r="A4404" s="45">
        <v>44827</v>
      </c>
      <c r="B4404" s="399"/>
      <c r="C4404" s="5" t="s">
        <v>9792</v>
      </c>
      <c r="D4404" s="5" t="s">
        <v>9793</v>
      </c>
      <c r="E4404" s="43">
        <v>50000</v>
      </c>
      <c r="F4404" s="43"/>
      <c r="G4404" s="364">
        <f t="shared" si="119"/>
        <v>4563</v>
      </c>
      <c r="H4404" s="391" t="s">
        <v>9568</v>
      </c>
    </row>
    <row r="4405" spans="1:10" x14ac:dyDescent="0.3">
      <c r="A4405" s="45">
        <v>44827</v>
      </c>
      <c r="B4405" s="580"/>
      <c r="C4405" s="554" t="s">
        <v>8290</v>
      </c>
      <c r="D4405" s="554"/>
      <c r="E4405" s="554"/>
      <c r="F4405" s="43">
        <v>30000</v>
      </c>
      <c r="G4405" s="364">
        <f t="shared" si="119"/>
        <v>34563</v>
      </c>
      <c r="H4405" s="391" t="s">
        <v>9568</v>
      </c>
    </row>
    <row r="4406" spans="1:10" x14ac:dyDescent="0.3">
      <c r="A4406" s="45">
        <v>44827</v>
      </c>
      <c r="B4406" s="399"/>
      <c r="C4406" s="5" t="s">
        <v>25</v>
      </c>
      <c r="D4406" s="5" t="s">
        <v>9794</v>
      </c>
      <c r="E4406" s="43">
        <v>350</v>
      </c>
      <c r="F4406" s="43"/>
      <c r="G4406" s="364">
        <f t="shared" si="119"/>
        <v>34213</v>
      </c>
      <c r="H4406" s="391" t="s">
        <v>9568</v>
      </c>
    </row>
    <row r="4407" spans="1:10" x14ac:dyDescent="0.3">
      <c r="A4407" s="45">
        <v>44828</v>
      </c>
      <c r="B4407" s="399"/>
      <c r="C4407" s="5" t="s">
        <v>14</v>
      </c>
      <c r="D4407" s="5" t="s">
        <v>294</v>
      </c>
      <c r="E4407" s="43">
        <v>5000</v>
      </c>
      <c r="F4407" s="43"/>
      <c r="G4407" s="364">
        <f t="shared" si="119"/>
        <v>29213</v>
      </c>
      <c r="H4407" s="391" t="s">
        <v>9568</v>
      </c>
    </row>
    <row r="4408" spans="1:10" x14ac:dyDescent="0.3">
      <c r="A4408" s="45">
        <v>44828</v>
      </c>
      <c r="B4408" s="399"/>
      <c r="C4408" s="5" t="s">
        <v>5793</v>
      </c>
      <c r="D4408" s="5" t="s">
        <v>9796</v>
      </c>
      <c r="E4408" s="43">
        <v>350</v>
      </c>
      <c r="F4408" s="43"/>
      <c r="G4408" s="364">
        <f t="shared" si="119"/>
        <v>28863</v>
      </c>
      <c r="H4408" s="391" t="s">
        <v>9568</v>
      </c>
    </row>
    <row r="4409" spans="1:10" x14ac:dyDescent="0.3">
      <c r="A4409" s="45">
        <v>44828</v>
      </c>
      <c r="B4409" s="399"/>
      <c r="C4409" s="5" t="s">
        <v>9743</v>
      </c>
      <c r="D4409" s="5" t="s">
        <v>9799</v>
      </c>
      <c r="E4409" s="43">
        <v>20000</v>
      </c>
      <c r="F4409" s="43"/>
      <c r="G4409" s="364">
        <f t="shared" si="119"/>
        <v>8863</v>
      </c>
      <c r="H4409" s="391" t="s">
        <v>9568</v>
      </c>
    </row>
    <row r="4410" spans="1:10" x14ac:dyDescent="0.3">
      <c r="A4410" s="45">
        <v>44828</v>
      </c>
      <c r="B4410" s="399"/>
      <c r="C4410" s="5" t="s">
        <v>4055</v>
      </c>
      <c r="D4410" s="5" t="s">
        <v>9797</v>
      </c>
      <c r="E4410" s="43">
        <v>7000</v>
      </c>
      <c r="F4410" s="43"/>
      <c r="G4410" s="364">
        <f t="shared" si="119"/>
        <v>1863</v>
      </c>
      <c r="H4410" s="391" t="s">
        <v>9568</v>
      </c>
    </row>
    <row r="4411" spans="1:10" x14ac:dyDescent="0.3">
      <c r="A4411" s="45">
        <v>44830</v>
      </c>
      <c r="B4411" s="399"/>
      <c r="C4411" s="5" t="s">
        <v>5709</v>
      </c>
      <c r="D4411" s="5" t="s">
        <v>9800</v>
      </c>
      <c r="E4411" s="43">
        <v>500</v>
      </c>
      <c r="F4411" s="43"/>
      <c r="G4411" s="364">
        <f t="shared" si="119"/>
        <v>1363</v>
      </c>
      <c r="H4411" s="391" t="s">
        <v>9568</v>
      </c>
    </row>
    <row r="4412" spans="1:10" x14ac:dyDescent="0.3">
      <c r="A4412" s="45">
        <v>44831</v>
      </c>
      <c r="B4412" s="580"/>
      <c r="C4412" s="554" t="s">
        <v>4106</v>
      </c>
      <c r="D4412" s="554"/>
      <c r="E4412" s="554"/>
      <c r="F4412" s="43">
        <v>150000</v>
      </c>
      <c r="G4412" s="364">
        <f t="shared" si="119"/>
        <v>151363</v>
      </c>
      <c r="H4412" s="391" t="s">
        <v>9568</v>
      </c>
    </row>
    <row r="4413" spans="1:10" x14ac:dyDescent="0.3">
      <c r="A4413" s="45">
        <v>44831</v>
      </c>
      <c r="B4413" s="399"/>
      <c r="C4413" s="5" t="s">
        <v>8594</v>
      </c>
      <c r="D4413" s="5" t="s">
        <v>8550</v>
      </c>
      <c r="E4413" s="43">
        <v>30000</v>
      </c>
      <c r="F4413" s="43"/>
      <c r="G4413" s="364">
        <f t="shared" si="119"/>
        <v>121363</v>
      </c>
      <c r="H4413" s="391" t="s">
        <v>9568</v>
      </c>
    </row>
    <row r="4414" spans="1:10" x14ac:dyDescent="0.3">
      <c r="A4414" s="45">
        <v>44831</v>
      </c>
      <c r="B4414" s="399"/>
      <c r="C4414" s="5" t="s">
        <v>9756</v>
      </c>
      <c r="D4414" s="5" t="s">
        <v>2013</v>
      </c>
      <c r="E4414" s="43">
        <v>1130</v>
      </c>
      <c r="F4414" s="43"/>
      <c r="G4414" s="48">
        <f t="shared" si="119"/>
        <v>120233</v>
      </c>
      <c r="H4414" s="391" t="s">
        <v>9568</v>
      </c>
    </row>
    <row r="4415" spans="1:10" x14ac:dyDescent="0.3">
      <c r="A4415" s="45">
        <v>44831</v>
      </c>
      <c r="B4415" s="399"/>
      <c r="C4415" s="5" t="s">
        <v>25</v>
      </c>
      <c r="D4415" s="5" t="s">
        <v>9801</v>
      </c>
      <c r="E4415" s="43">
        <v>335</v>
      </c>
      <c r="F4415" s="43"/>
      <c r="G4415" s="48">
        <f t="shared" si="119"/>
        <v>119898</v>
      </c>
      <c r="H4415" s="391" t="s">
        <v>9568</v>
      </c>
    </row>
    <row r="4416" spans="1:10" x14ac:dyDescent="0.3">
      <c r="A4416" s="45">
        <v>44831</v>
      </c>
      <c r="B4416" s="399"/>
      <c r="C4416" s="5" t="s">
        <v>9768</v>
      </c>
      <c r="D4416" s="5" t="s">
        <v>9802</v>
      </c>
      <c r="E4416" s="43">
        <v>960</v>
      </c>
      <c r="F4416" s="43"/>
      <c r="G4416" s="48">
        <f t="shared" si="119"/>
        <v>118938</v>
      </c>
      <c r="H4416" s="396" t="s">
        <v>9568</v>
      </c>
      <c r="I4416" s="568"/>
      <c r="J4416" s="568"/>
    </row>
    <row r="4417" spans="1:10" x14ac:dyDescent="0.3">
      <c r="A4417" s="45">
        <v>44831</v>
      </c>
      <c r="B4417" s="399"/>
      <c r="C4417" s="5" t="s">
        <v>68</v>
      </c>
      <c r="D4417" s="5" t="s">
        <v>9803</v>
      </c>
      <c r="E4417" s="65">
        <v>10000</v>
      </c>
      <c r="F4417" s="43"/>
      <c r="G4417" s="48">
        <f t="shared" si="119"/>
        <v>108938</v>
      </c>
      <c r="H4417" s="396" t="s">
        <v>9568</v>
      </c>
      <c r="I4417" s="167"/>
      <c r="J4417" s="167"/>
    </row>
    <row r="4418" spans="1:10" x14ac:dyDescent="0.3">
      <c r="A4418" s="45">
        <v>44831</v>
      </c>
      <c r="B4418" s="399"/>
      <c r="C4418" s="5" t="s">
        <v>1074</v>
      </c>
      <c r="D4418" s="5" t="s">
        <v>9006</v>
      </c>
      <c r="E4418" s="43">
        <v>55684</v>
      </c>
      <c r="F4418" s="43"/>
      <c r="G4418" s="48">
        <f t="shared" si="119"/>
        <v>53254</v>
      </c>
      <c r="H4418" s="396" t="s">
        <v>9568</v>
      </c>
      <c r="I4418" s="167"/>
      <c r="J4418" s="167"/>
    </row>
    <row r="4419" spans="1:10" x14ac:dyDescent="0.3">
      <c r="A4419" s="45">
        <v>44831</v>
      </c>
      <c r="B4419" s="399"/>
      <c r="C4419" s="5" t="s">
        <v>1074</v>
      </c>
      <c r="D4419" s="5" t="s">
        <v>9805</v>
      </c>
      <c r="E4419" s="43">
        <v>25152</v>
      </c>
      <c r="F4419" s="43"/>
      <c r="G4419" s="48">
        <f t="shared" si="119"/>
        <v>28102</v>
      </c>
      <c r="H4419" s="396" t="s">
        <v>9568</v>
      </c>
      <c r="I4419" s="167"/>
      <c r="J4419" s="167"/>
    </row>
    <row r="4420" spans="1:10" x14ac:dyDescent="0.3">
      <c r="A4420" s="45">
        <v>44831</v>
      </c>
      <c r="B4420" s="399"/>
      <c r="C4420" s="5" t="s">
        <v>1074</v>
      </c>
      <c r="D4420" s="5" t="s">
        <v>9804</v>
      </c>
      <c r="E4420" s="43">
        <v>2933</v>
      </c>
      <c r="F4420" s="43"/>
      <c r="G4420" s="48">
        <f t="shared" si="119"/>
        <v>25169</v>
      </c>
      <c r="H4420" s="396" t="s">
        <v>9568</v>
      </c>
      <c r="I4420" s="167"/>
      <c r="J4420" s="167"/>
    </row>
    <row r="4421" spans="1:10" x14ac:dyDescent="0.3">
      <c r="A4421" s="45">
        <v>44831</v>
      </c>
      <c r="B4421" s="399"/>
      <c r="C4421" s="5" t="s">
        <v>4400</v>
      </c>
      <c r="D4421" s="5" t="s">
        <v>9806</v>
      </c>
      <c r="E4421" s="43">
        <v>7300</v>
      </c>
      <c r="F4421" s="43"/>
      <c r="G4421" s="48">
        <f t="shared" si="119"/>
        <v>17869</v>
      </c>
      <c r="H4421" s="396" t="s">
        <v>9568</v>
      </c>
      <c r="I4421" s="167"/>
      <c r="J4421" s="167"/>
    </row>
    <row r="4422" spans="1:10" x14ac:dyDescent="0.3">
      <c r="A4422" s="45">
        <v>44831</v>
      </c>
      <c r="B4422" s="399"/>
      <c r="C4422" s="5" t="s">
        <v>8009</v>
      </c>
      <c r="D4422" s="5" t="s">
        <v>9807</v>
      </c>
      <c r="E4422" s="43">
        <v>1500</v>
      </c>
      <c r="F4422" s="43"/>
      <c r="G4422" s="48">
        <f t="shared" si="119"/>
        <v>16369</v>
      </c>
      <c r="H4422" s="396" t="s">
        <v>9568</v>
      </c>
      <c r="I4422" s="167"/>
      <c r="J4422" s="167"/>
    </row>
    <row r="4423" spans="1:10" x14ac:dyDescent="0.3">
      <c r="A4423" s="45">
        <v>44831</v>
      </c>
      <c r="B4423" s="399"/>
      <c r="C4423" s="5" t="s">
        <v>25</v>
      </c>
      <c r="D4423" s="5" t="s">
        <v>9808</v>
      </c>
      <c r="E4423" s="43">
        <v>1960</v>
      </c>
      <c r="F4423" s="43"/>
      <c r="G4423" s="48">
        <f t="shared" si="119"/>
        <v>14409</v>
      </c>
      <c r="H4423" s="391" t="s">
        <v>9568</v>
      </c>
    </row>
    <row r="4424" spans="1:10" x14ac:dyDescent="0.3">
      <c r="A4424" s="45">
        <v>44831</v>
      </c>
      <c r="B4424" s="399"/>
      <c r="C4424" s="5" t="s">
        <v>4055</v>
      </c>
      <c r="D4424" s="5" t="s">
        <v>9809</v>
      </c>
      <c r="E4424" s="43">
        <v>5000</v>
      </c>
      <c r="F4424" s="43"/>
      <c r="G4424" s="48">
        <f t="shared" si="119"/>
        <v>9409</v>
      </c>
      <c r="H4424" s="391" t="s">
        <v>9568</v>
      </c>
    </row>
    <row r="4425" spans="1:10" x14ac:dyDescent="0.3">
      <c r="A4425" s="45">
        <v>44831</v>
      </c>
      <c r="B4425" s="399"/>
      <c r="C4425" s="5" t="s">
        <v>41</v>
      </c>
      <c r="D4425" s="5" t="s">
        <v>2013</v>
      </c>
      <c r="E4425" s="43">
        <v>500</v>
      </c>
      <c r="F4425" s="43"/>
      <c r="G4425" s="48">
        <f t="shared" si="119"/>
        <v>8909</v>
      </c>
      <c r="H4425" s="391" t="s">
        <v>9568</v>
      </c>
    </row>
    <row r="4426" spans="1:10" x14ac:dyDescent="0.3">
      <c r="A4426" s="45">
        <v>44831</v>
      </c>
      <c r="B4426" s="399"/>
      <c r="C4426" s="5" t="s">
        <v>5156</v>
      </c>
      <c r="D4426" s="5" t="s">
        <v>9818</v>
      </c>
      <c r="E4426" s="65">
        <v>5500</v>
      </c>
      <c r="F4426" s="43"/>
      <c r="G4426" s="48">
        <f t="shared" si="119"/>
        <v>3409</v>
      </c>
      <c r="H4426" s="391" t="s">
        <v>9568</v>
      </c>
    </row>
    <row r="4427" spans="1:10" x14ac:dyDescent="0.3">
      <c r="A4427" s="45">
        <v>44831</v>
      </c>
      <c r="B4427" s="399"/>
      <c r="C4427" s="5" t="s">
        <v>68</v>
      </c>
      <c r="D4427" s="5" t="s">
        <v>294</v>
      </c>
      <c r="E4427" s="65">
        <v>2000</v>
      </c>
      <c r="F4427" s="43"/>
      <c r="G4427" s="48">
        <f t="shared" si="119"/>
        <v>1409</v>
      </c>
      <c r="H4427" s="391" t="s">
        <v>9568</v>
      </c>
    </row>
    <row r="4428" spans="1:10" x14ac:dyDescent="0.3">
      <c r="A4428" s="45">
        <v>44832</v>
      </c>
      <c r="B4428" s="580"/>
      <c r="C4428" s="554" t="s">
        <v>4106</v>
      </c>
      <c r="D4428" s="554"/>
      <c r="E4428" s="554"/>
      <c r="F4428" s="43">
        <v>100000</v>
      </c>
      <c r="G4428" s="364">
        <f t="shared" ref="G4428" si="120">G4427+F4428-E4428</f>
        <v>101409</v>
      </c>
      <c r="H4428" s="391" t="s">
        <v>9568</v>
      </c>
    </row>
    <row r="4429" spans="1:10" x14ac:dyDescent="0.3">
      <c r="A4429" s="45">
        <v>44832</v>
      </c>
      <c r="B4429" s="399"/>
      <c r="C4429" s="5" t="s">
        <v>9525</v>
      </c>
      <c r="D4429" s="5" t="s">
        <v>9813</v>
      </c>
      <c r="E4429" s="43">
        <v>10000</v>
      </c>
      <c r="F4429" s="43"/>
      <c r="G4429" s="48">
        <f t="shared" si="119"/>
        <v>91409</v>
      </c>
      <c r="H4429" s="391" t="s">
        <v>9568</v>
      </c>
    </row>
    <row r="4430" spans="1:10" x14ac:dyDescent="0.3">
      <c r="A4430" s="45">
        <v>44832</v>
      </c>
      <c r="B4430" s="399"/>
      <c r="C4430" s="5" t="s">
        <v>9525</v>
      </c>
      <c r="D4430" s="5" t="s">
        <v>9811</v>
      </c>
      <c r="E4430" s="65">
        <v>3950</v>
      </c>
      <c r="F4430" s="43"/>
      <c r="G4430" s="48">
        <f t="shared" si="119"/>
        <v>87459</v>
      </c>
      <c r="H4430" s="391" t="s">
        <v>9568</v>
      </c>
    </row>
    <row r="4431" spans="1:10" x14ac:dyDescent="0.3">
      <c r="A4431" s="45">
        <v>44832</v>
      </c>
      <c r="B4431" s="399"/>
      <c r="C4431" s="5" t="s">
        <v>9525</v>
      </c>
      <c r="D4431" s="5" t="s">
        <v>9812</v>
      </c>
      <c r="E4431" s="43">
        <v>4500</v>
      </c>
      <c r="F4431" s="43"/>
      <c r="G4431" s="48">
        <f t="shared" si="119"/>
        <v>82959</v>
      </c>
      <c r="H4431" s="391" t="s">
        <v>9568</v>
      </c>
    </row>
    <row r="4432" spans="1:10" x14ac:dyDescent="0.3">
      <c r="A4432" s="45">
        <v>44832</v>
      </c>
      <c r="B4432" s="399"/>
      <c r="C4432" s="5" t="s">
        <v>9525</v>
      </c>
      <c r="D4432" s="5" t="s">
        <v>9814</v>
      </c>
      <c r="E4432" s="43">
        <v>460</v>
      </c>
      <c r="F4432" s="43"/>
      <c r="G4432" s="48">
        <f t="shared" si="119"/>
        <v>82499</v>
      </c>
      <c r="H4432" s="391" t="s">
        <v>9568</v>
      </c>
    </row>
    <row r="4433" spans="1:8" x14ac:dyDescent="0.3">
      <c r="A4433" s="45">
        <v>44832</v>
      </c>
      <c r="B4433" s="399"/>
      <c r="C4433" s="5" t="s">
        <v>9525</v>
      </c>
      <c r="D4433" s="5" t="s">
        <v>9815</v>
      </c>
      <c r="E4433" s="43">
        <v>540</v>
      </c>
      <c r="F4433" s="43"/>
      <c r="G4433" s="48">
        <f t="shared" si="119"/>
        <v>81959</v>
      </c>
      <c r="H4433" s="391" t="s">
        <v>9568</v>
      </c>
    </row>
    <row r="4434" spans="1:8" x14ac:dyDescent="0.3">
      <c r="A4434" s="45">
        <v>44832</v>
      </c>
      <c r="B4434" s="399"/>
      <c r="C4434" s="5" t="s">
        <v>25</v>
      </c>
      <c r="D4434" s="5" t="s">
        <v>9819</v>
      </c>
      <c r="E4434" s="43">
        <v>140</v>
      </c>
      <c r="F4434" s="43"/>
      <c r="G4434" s="48">
        <f t="shared" si="119"/>
        <v>81819</v>
      </c>
      <c r="H4434" s="391" t="s">
        <v>9568</v>
      </c>
    </row>
    <row r="4435" spans="1:8" x14ac:dyDescent="0.3">
      <c r="A4435" s="45">
        <v>44832</v>
      </c>
      <c r="B4435" s="399"/>
      <c r="C4435" s="5" t="s">
        <v>57</v>
      </c>
      <c r="D4435" s="5" t="s">
        <v>9822</v>
      </c>
      <c r="E4435" s="43">
        <v>9550</v>
      </c>
      <c r="F4435" s="43"/>
      <c r="G4435" s="48">
        <f t="shared" ref="G4435:G4450" si="121">G4434+F4435-E4435</f>
        <v>72269</v>
      </c>
      <c r="H4435" s="391" t="s">
        <v>9568</v>
      </c>
    </row>
    <row r="4436" spans="1:8" x14ac:dyDescent="0.3">
      <c r="A4436" s="45">
        <v>44832</v>
      </c>
      <c r="B4436" s="399"/>
      <c r="C4436" s="5" t="s">
        <v>57</v>
      </c>
      <c r="D4436" s="5" t="s">
        <v>2013</v>
      </c>
      <c r="E4436" s="43">
        <v>320</v>
      </c>
      <c r="F4436" s="43"/>
      <c r="G4436" s="48">
        <f t="shared" si="121"/>
        <v>71949</v>
      </c>
      <c r="H4436" s="391" t="s">
        <v>9568</v>
      </c>
    </row>
    <row r="4437" spans="1:8" x14ac:dyDescent="0.3">
      <c r="A4437" s="45">
        <v>44832</v>
      </c>
      <c r="B4437" s="399"/>
      <c r="C4437" s="5" t="s">
        <v>25</v>
      </c>
      <c r="D4437" s="5" t="s">
        <v>9826</v>
      </c>
      <c r="E4437" s="43">
        <v>350</v>
      </c>
      <c r="F4437" s="43"/>
      <c r="G4437" s="48">
        <f t="shared" si="121"/>
        <v>71599</v>
      </c>
      <c r="H4437" s="391" t="s">
        <v>9568</v>
      </c>
    </row>
    <row r="4438" spans="1:8" x14ac:dyDescent="0.3">
      <c r="A4438" s="45">
        <v>44832</v>
      </c>
      <c r="B4438" s="399"/>
      <c r="C4438" s="5" t="s">
        <v>84</v>
      </c>
      <c r="D4438" s="5" t="s">
        <v>9823</v>
      </c>
      <c r="E4438" s="43">
        <v>1000</v>
      </c>
      <c r="F4438" s="43"/>
      <c r="G4438" s="48">
        <f t="shared" si="121"/>
        <v>70599</v>
      </c>
      <c r="H4438" s="391" t="s">
        <v>9568</v>
      </c>
    </row>
    <row r="4439" spans="1:8" x14ac:dyDescent="0.3">
      <c r="A4439" s="45">
        <v>44833</v>
      </c>
      <c r="B4439" s="409"/>
      <c r="C4439" s="61" t="s">
        <v>41</v>
      </c>
      <c r="D4439" s="61" t="s">
        <v>2013</v>
      </c>
      <c r="E4439" s="62">
        <v>400</v>
      </c>
      <c r="F4439" s="43"/>
      <c r="G4439" s="48">
        <f t="shared" si="121"/>
        <v>70199</v>
      </c>
      <c r="H4439" s="391" t="s">
        <v>9568</v>
      </c>
    </row>
    <row r="4440" spans="1:8" x14ac:dyDescent="0.3">
      <c r="A4440" s="45">
        <v>44833</v>
      </c>
      <c r="B4440" s="399"/>
      <c r="C4440" s="5" t="s">
        <v>25</v>
      </c>
      <c r="D4440" s="5" t="s">
        <v>7533</v>
      </c>
      <c r="E4440" s="43">
        <v>100</v>
      </c>
      <c r="F4440" s="43"/>
      <c r="G4440" s="48">
        <f t="shared" si="121"/>
        <v>70099</v>
      </c>
      <c r="H4440" s="391" t="s">
        <v>9568</v>
      </c>
    </row>
    <row r="4441" spans="1:8" x14ac:dyDescent="0.3">
      <c r="A4441" s="45">
        <v>44833</v>
      </c>
      <c r="B4441" s="399"/>
      <c r="C4441" s="5" t="s">
        <v>91</v>
      </c>
      <c r="D4441" s="5" t="s">
        <v>3332</v>
      </c>
      <c r="E4441" s="43">
        <v>800</v>
      </c>
      <c r="F4441" s="43"/>
      <c r="G4441" s="48">
        <f t="shared" si="121"/>
        <v>69299</v>
      </c>
      <c r="H4441" s="391" t="s">
        <v>9568</v>
      </c>
    </row>
    <row r="4442" spans="1:8" x14ac:dyDescent="0.3">
      <c r="A4442" s="45">
        <v>44833</v>
      </c>
      <c r="B4442" s="399"/>
      <c r="C4442" s="5" t="s">
        <v>14</v>
      </c>
      <c r="D4442" s="5" t="s">
        <v>294</v>
      </c>
      <c r="E4442" s="43">
        <v>5000</v>
      </c>
      <c r="F4442" s="43"/>
      <c r="G4442" s="48">
        <f t="shared" si="121"/>
        <v>64299</v>
      </c>
      <c r="H4442" s="391" t="s">
        <v>9568</v>
      </c>
    </row>
    <row r="4443" spans="1:8" x14ac:dyDescent="0.3">
      <c r="A4443" s="45">
        <v>44833</v>
      </c>
      <c r="B4443" s="399"/>
      <c r="C4443" s="5" t="s">
        <v>1512</v>
      </c>
      <c r="D4443" s="5" t="s">
        <v>9824</v>
      </c>
      <c r="E4443" s="43">
        <v>16000</v>
      </c>
      <c r="F4443" s="43"/>
      <c r="G4443" s="364">
        <f t="shared" si="121"/>
        <v>48299</v>
      </c>
      <c r="H4443" s="391" t="s">
        <v>9568</v>
      </c>
    </row>
    <row r="4444" spans="1:8" x14ac:dyDescent="0.3">
      <c r="A4444" s="45">
        <v>44833</v>
      </c>
      <c r="B4444" s="399"/>
      <c r="C4444" s="5" t="s">
        <v>5162</v>
      </c>
      <c r="D4444" s="5" t="s">
        <v>9825</v>
      </c>
      <c r="E4444" s="43">
        <v>750</v>
      </c>
      <c r="F4444" s="43"/>
      <c r="G4444" s="364">
        <f t="shared" si="121"/>
        <v>47549</v>
      </c>
      <c r="H4444" s="391" t="s">
        <v>9568</v>
      </c>
    </row>
    <row r="4445" spans="1:8" x14ac:dyDescent="0.3">
      <c r="A4445" s="45">
        <v>44833</v>
      </c>
      <c r="B4445" s="399"/>
      <c r="C4445" s="5" t="s">
        <v>5709</v>
      </c>
      <c r="D4445" s="5" t="s">
        <v>9827</v>
      </c>
      <c r="E4445" s="43">
        <v>16000</v>
      </c>
      <c r="F4445" s="43"/>
      <c r="G4445" s="364">
        <f t="shared" si="121"/>
        <v>31549</v>
      </c>
      <c r="H4445" s="391" t="s">
        <v>9568</v>
      </c>
    </row>
    <row r="4446" spans="1:8" x14ac:dyDescent="0.3">
      <c r="A4446" s="45">
        <v>44833</v>
      </c>
      <c r="B4446" s="399"/>
      <c r="C4446" s="5" t="s">
        <v>84</v>
      </c>
      <c r="D4446" s="5" t="s">
        <v>9832</v>
      </c>
      <c r="E4446" s="43">
        <v>3000</v>
      </c>
      <c r="F4446" s="43"/>
      <c r="G4446" s="364">
        <f t="shared" si="121"/>
        <v>28549</v>
      </c>
      <c r="H4446" s="391" t="s">
        <v>9568</v>
      </c>
    </row>
    <row r="4447" spans="1:8" x14ac:dyDescent="0.3">
      <c r="A4447" s="45">
        <v>44833</v>
      </c>
      <c r="B4447" s="399"/>
      <c r="C4447" s="5" t="s">
        <v>4550</v>
      </c>
      <c r="D4447" s="5" t="s">
        <v>9327</v>
      </c>
      <c r="E4447" s="43">
        <v>500</v>
      </c>
      <c r="F4447" s="43"/>
      <c r="G4447" s="364">
        <f t="shared" si="121"/>
        <v>28049</v>
      </c>
      <c r="H4447" s="391" t="s">
        <v>9568</v>
      </c>
    </row>
    <row r="4448" spans="1:8" x14ac:dyDescent="0.3">
      <c r="A4448" s="45">
        <v>44834</v>
      </c>
      <c r="B4448" s="399"/>
      <c r="C4448" s="5" t="s">
        <v>14</v>
      </c>
      <c r="D4448" s="5" t="s">
        <v>294</v>
      </c>
      <c r="E4448" s="43">
        <v>18000</v>
      </c>
      <c r="F4448" s="43"/>
      <c r="G4448" s="364">
        <f t="shared" si="121"/>
        <v>10049</v>
      </c>
      <c r="H4448" s="391" t="s">
        <v>9568</v>
      </c>
    </row>
    <row r="4449" spans="1:8" x14ac:dyDescent="0.3">
      <c r="A4449" s="45">
        <v>44834</v>
      </c>
      <c r="B4449" s="399" t="s">
        <v>9863</v>
      </c>
      <c r="C4449" s="5" t="s">
        <v>68</v>
      </c>
      <c r="D4449" s="5" t="s">
        <v>3183</v>
      </c>
      <c r="E4449" s="43">
        <v>8000</v>
      </c>
      <c r="F4449" s="43"/>
      <c r="G4449" s="364">
        <f t="shared" si="121"/>
        <v>2049</v>
      </c>
      <c r="H4449" s="391" t="s">
        <v>9568</v>
      </c>
    </row>
    <row r="4450" spans="1:8" x14ac:dyDescent="0.3">
      <c r="A4450" s="45">
        <v>44835</v>
      </c>
      <c r="B4450" s="585"/>
      <c r="C4450" s="566" t="s">
        <v>9830</v>
      </c>
      <c r="D4450" s="566"/>
      <c r="E4450" s="566"/>
      <c r="F4450" s="43">
        <v>265000</v>
      </c>
      <c r="G4450" s="364">
        <f t="shared" si="121"/>
        <v>267049</v>
      </c>
      <c r="H4450" s="391" t="s">
        <v>9568</v>
      </c>
    </row>
    <row r="4451" spans="1:8" x14ac:dyDescent="0.3">
      <c r="A4451" s="45">
        <v>44835</v>
      </c>
      <c r="B4451" s="399" t="s">
        <v>9860</v>
      </c>
      <c r="C4451" s="5" t="s">
        <v>9525</v>
      </c>
      <c r="D4451" s="5" t="s">
        <v>9831</v>
      </c>
      <c r="E4451" s="43">
        <v>7500</v>
      </c>
      <c r="F4451" s="43"/>
      <c r="G4451" s="364">
        <f t="shared" ref="G4451:G4518" si="122">G4450+F4451-E4451</f>
        <v>259549</v>
      </c>
      <c r="H4451" s="391" t="s">
        <v>9568</v>
      </c>
    </row>
    <row r="4452" spans="1:8" x14ac:dyDescent="0.3">
      <c r="A4452" s="45">
        <v>44837</v>
      </c>
      <c r="B4452" s="399" t="s">
        <v>9860</v>
      </c>
      <c r="C4452" s="5" t="s">
        <v>68</v>
      </c>
      <c r="D4452" s="5" t="s">
        <v>9875</v>
      </c>
      <c r="E4452" s="43">
        <v>10000</v>
      </c>
      <c r="F4452" s="43"/>
      <c r="G4452" s="364">
        <f t="shared" si="122"/>
        <v>249549</v>
      </c>
      <c r="H4452" s="391" t="s">
        <v>9568</v>
      </c>
    </row>
    <row r="4453" spans="1:8" x14ac:dyDescent="0.3">
      <c r="A4453" s="45">
        <v>44837</v>
      </c>
      <c r="B4453" s="399" t="s">
        <v>12190</v>
      </c>
      <c r="C4453" s="5" t="s">
        <v>1074</v>
      </c>
      <c r="D4453" s="5" t="s">
        <v>2570</v>
      </c>
      <c r="E4453" s="43">
        <v>490</v>
      </c>
      <c r="F4453" s="43"/>
      <c r="G4453" s="364">
        <f t="shared" si="122"/>
        <v>249059</v>
      </c>
      <c r="H4453" s="391" t="s">
        <v>9568</v>
      </c>
    </row>
    <row r="4454" spans="1:8" x14ac:dyDescent="0.3">
      <c r="A4454" s="45">
        <v>44837</v>
      </c>
      <c r="B4454" s="399" t="s">
        <v>118</v>
      </c>
      <c r="C4454" s="5" t="s">
        <v>1074</v>
      </c>
      <c r="D4454" s="5" t="s">
        <v>2570</v>
      </c>
      <c r="E4454" s="43">
        <v>300</v>
      </c>
      <c r="F4454" s="43"/>
      <c r="G4454" s="364">
        <f t="shared" si="122"/>
        <v>248759</v>
      </c>
      <c r="H4454" s="391" t="s">
        <v>9568</v>
      </c>
    </row>
    <row r="4455" spans="1:8" x14ac:dyDescent="0.3">
      <c r="A4455" s="45">
        <v>44837</v>
      </c>
      <c r="B4455" s="399" t="s">
        <v>9857</v>
      </c>
      <c r="C4455" s="5" t="s">
        <v>9756</v>
      </c>
      <c r="D4455" s="5" t="s">
        <v>9880</v>
      </c>
      <c r="E4455" s="43">
        <v>5110</v>
      </c>
      <c r="F4455" s="43"/>
      <c r="G4455" s="364">
        <f t="shared" si="122"/>
        <v>243649</v>
      </c>
      <c r="H4455" s="391" t="s">
        <v>9568</v>
      </c>
    </row>
    <row r="4456" spans="1:8" x14ac:dyDescent="0.3">
      <c r="A4456" s="45">
        <v>44837</v>
      </c>
      <c r="B4456" s="399"/>
      <c r="C4456" s="5" t="s">
        <v>7692</v>
      </c>
      <c r="D4456" s="5" t="s">
        <v>9834</v>
      </c>
      <c r="E4456" s="43">
        <v>40000</v>
      </c>
      <c r="F4456" s="43"/>
      <c r="G4456" s="364">
        <f t="shared" si="122"/>
        <v>203649</v>
      </c>
      <c r="H4456" s="391" t="s">
        <v>9568</v>
      </c>
    </row>
    <row r="4457" spans="1:8" x14ac:dyDescent="0.3">
      <c r="A4457" s="45">
        <v>44837</v>
      </c>
      <c r="B4457" s="399" t="s">
        <v>9868</v>
      </c>
      <c r="C4457" s="5" t="s">
        <v>9877</v>
      </c>
      <c r="D4457" s="5" t="s">
        <v>693</v>
      </c>
      <c r="E4457" s="43">
        <v>320</v>
      </c>
      <c r="F4457" s="43"/>
      <c r="G4457" s="364">
        <f t="shared" si="122"/>
        <v>203329</v>
      </c>
      <c r="H4457" s="391" t="s">
        <v>9568</v>
      </c>
    </row>
    <row r="4458" spans="1:8" x14ac:dyDescent="0.3">
      <c r="A4458" s="45">
        <v>44837</v>
      </c>
      <c r="B4458" s="399" t="s">
        <v>10615</v>
      </c>
      <c r="C4458" s="5" t="s">
        <v>6430</v>
      </c>
      <c r="D4458" s="5" t="s">
        <v>6932</v>
      </c>
      <c r="E4458" s="43">
        <v>3500</v>
      </c>
      <c r="F4458" s="43"/>
      <c r="G4458" s="364">
        <f t="shared" si="122"/>
        <v>199829</v>
      </c>
      <c r="H4458" s="391" t="s">
        <v>9568</v>
      </c>
    </row>
    <row r="4459" spans="1:8" x14ac:dyDescent="0.3">
      <c r="A4459" s="45">
        <v>44837</v>
      </c>
      <c r="B4459" s="399" t="s">
        <v>10615</v>
      </c>
      <c r="C4459" s="5" t="s">
        <v>7099</v>
      </c>
      <c r="D4459" s="5" t="s">
        <v>9881</v>
      </c>
      <c r="E4459" s="43">
        <v>1000</v>
      </c>
      <c r="F4459" s="43"/>
      <c r="G4459" s="364">
        <f t="shared" si="122"/>
        <v>198829</v>
      </c>
      <c r="H4459" s="391" t="s">
        <v>9568</v>
      </c>
    </row>
    <row r="4460" spans="1:8" x14ac:dyDescent="0.3">
      <c r="A4460" s="45">
        <v>44837</v>
      </c>
      <c r="B4460" s="409" t="s">
        <v>9863</v>
      </c>
      <c r="C4460" s="61" t="s">
        <v>1512</v>
      </c>
      <c r="D4460" s="61" t="s">
        <v>9835</v>
      </c>
      <c r="E4460" s="62">
        <v>49000</v>
      </c>
      <c r="F4460" s="43"/>
      <c r="G4460" s="364">
        <f t="shared" si="122"/>
        <v>149829</v>
      </c>
      <c r="H4460" s="391" t="s">
        <v>9568</v>
      </c>
    </row>
    <row r="4461" spans="1:8" x14ac:dyDescent="0.3">
      <c r="A4461" s="45">
        <v>44838</v>
      </c>
      <c r="B4461" s="399" t="s">
        <v>9863</v>
      </c>
      <c r="C4461" s="5" t="s">
        <v>5156</v>
      </c>
      <c r="D4461" s="5" t="s">
        <v>9837</v>
      </c>
      <c r="E4461" s="65">
        <v>1920</v>
      </c>
      <c r="F4461" s="43"/>
      <c r="G4461" s="364">
        <f t="shared" si="122"/>
        <v>147909</v>
      </c>
      <c r="H4461" s="391" t="s">
        <v>9568</v>
      </c>
    </row>
    <row r="4462" spans="1:8" x14ac:dyDescent="0.3">
      <c r="A4462" s="45">
        <v>44838</v>
      </c>
      <c r="B4462" s="399" t="s">
        <v>9857</v>
      </c>
      <c r="C4462" s="5" t="s">
        <v>5156</v>
      </c>
      <c r="D4462" s="5" t="s">
        <v>9838</v>
      </c>
      <c r="E4462" s="65">
        <v>440</v>
      </c>
      <c r="F4462" s="43"/>
      <c r="G4462" s="364">
        <f t="shared" si="122"/>
        <v>147469</v>
      </c>
      <c r="H4462" s="391" t="s">
        <v>9568</v>
      </c>
    </row>
    <row r="4463" spans="1:8" x14ac:dyDescent="0.3">
      <c r="A4463" s="45">
        <v>44838</v>
      </c>
      <c r="B4463" s="399" t="s">
        <v>9863</v>
      </c>
      <c r="C4463" s="5" t="s">
        <v>18</v>
      </c>
      <c r="D4463" s="5" t="s">
        <v>640</v>
      </c>
      <c r="E4463" s="43">
        <v>1000</v>
      </c>
      <c r="F4463" s="43"/>
      <c r="G4463" s="364">
        <f t="shared" si="122"/>
        <v>146469</v>
      </c>
      <c r="H4463" s="391" t="s">
        <v>9568</v>
      </c>
    </row>
    <row r="4464" spans="1:8" x14ac:dyDescent="0.3">
      <c r="A4464" s="45">
        <v>44838</v>
      </c>
      <c r="B4464" s="399" t="s">
        <v>9860</v>
      </c>
      <c r="C4464" s="5" t="s">
        <v>2995</v>
      </c>
      <c r="D4464" s="5" t="s">
        <v>9836</v>
      </c>
      <c r="E4464" s="43">
        <v>11000</v>
      </c>
      <c r="F4464" s="43"/>
      <c r="G4464" s="364">
        <f t="shared" si="122"/>
        <v>135469</v>
      </c>
      <c r="H4464" s="391" t="s">
        <v>9568</v>
      </c>
    </row>
    <row r="4465" spans="1:8" x14ac:dyDescent="0.3">
      <c r="A4465" s="45">
        <v>44838</v>
      </c>
      <c r="B4465" s="399" t="s">
        <v>12190</v>
      </c>
      <c r="C4465" s="5" t="s">
        <v>5938</v>
      </c>
      <c r="D4465" s="5" t="s">
        <v>9840</v>
      </c>
      <c r="E4465" s="43">
        <v>40000</v>
      </c>
      <c r="F4465" s="43"/>
      <c r="G4465" s="364">
        <f t="shared" si="122"/>
        <v>95469</v>
      </c>
      <c r="H4465" s="391" t="s">
        <v>9568</v>
      </c>
    </row>
    <row r="4466" spans="1:8" x14ac:dyDescent="0.3">
      <c r="A4466" s="45">
        <v>44838</v>
      </c>
      <c r="B4466" s="399" t="s">
        <v>4935</v>
      </c>
      <c r="C4466" s="5" t="s">
        <v>84</v>
      </c>
      <c r="D4466" s="5" t="s">
        <v>9841</v>
      </c>
      <c r="E4466" s="43">
        <v>40000</v>
      </c>
      <c r="F4466" s="43"/>
      <c r="G4466" s="364">
        <f t="shared" si="122"/>
        <v>55469</v>
      </c>
      <c r="H4466" s="391" t="s">
        <v>9568</v>
      </c>
    </row>
    <row r="4467" spans="1:8" x14ac:dyDescent="0.3">
      <c r="A4467" s="45">
        <v>44838</v>
      </c>
      <c r="B4467" s="399" t="s">
        <v>118</v>
      </c>
      <c r="C4467" s="5" t="s">
        <v>84</v>
      </c>
      <c r="D4467" s="5" t="s">
        <v>9842</v>
      </c>
      <c r="E4467" s="43">
        <v>10000</v>
      </c>
      <c r="F4467" s="43"/>
      <c r="G4467" s="364">
        <f t="shared" si="122"/>
        <v>45469</v>
      </c>
      <c r="H4467" s="391" t="s">
        <v>9568</v>
      </c>
    </row>
    <row r="4468" spans="1:8" x14ac:dyDescent="0.3">
      <c r="A4468" s="45">
        <v>44838</v>
      </c>
      <c r="B4468" s="399" t="s">
        <v>118</v>
      </c>
      <c r="C4468" s="5" t="s">
        <v>84</v>
      </c>
      <c r="D4468" s="5" t="s">
        <v>9843</v>
      </c>
      <c r="E4468" s="43">
        <v>10000</v>
      </c>
      <c r="F4468" s="43"/>
      <c r="G4468" s="364">
        <f t="shared" si="122"/>
        <v>35469</v>
      </c>
      <c r="H4468" s="391" t="s">
        <v>9568</v>
      </c>
    </row>
    <row r="4469" spans="1:8" x14ac:dyDescent="0.3">
      <c r="A4469" s="45">
        <v>44839</v>
      </c>
      <c r="B4469" s="399" t="s">
        <v>9863</v>
      </c>
      <c r="C4469" s="5" t="s">
        <v>68</v>
      </c>
      <c r="D4469" s="5" t="s">
        <v>3557</v>
      </c>
      <c r="E4469" s="43">
        <v>3000</v>
      </c>
      <c r="F4469" s="43"/>
      <c r="G4469" s="364">
        <f t="shared" si="122"/>
        <v>32469</v>
      </c>
      <c r="H4469" s="391" t="s">
        <v>9568</v>
      </c>
    </row>
    <row r="4470" spans="1:8" x14ac:dyDescent="0.3">
      <c r="A4470" s="45">
        <v>44839</v>
      </c>
      <c r="B4470" s="399" t="s">
        <v>9863</v>
      </c>
      <c r="C4470" s="5" t="s">
        <v>541</v>
      </c>
      <c r="D4470" s="5" t="s">
        <v>640</v>
      </c>
      <c r="E4470" s="43">
        <v>5000</v>
      </c>
      <c r="F4470" s="43"/>
      <c r="G4470" s="364">
        <f t="shared" si="122"/>
        <v>27469</v>
      </c>
      <c r="H4470" s="391" t="s">
        <v>9568</v>
      </c>
    </row>
    <row r="4471" spans="1:8" x14ac:dyDescent="0.3">
      <c r="A4471" s="45">
        <v>44839</v>
      </c>
      <c r="B4471" s="399" t="s">
        <v>9860</v>
      </c>
      <c r="C4471" s="5" t="s">
        <v>9044</v>
      </c>
      <c r="D4471" s="5" t="s">
        <v>9882</v>
      </c>
      <c r="E4471" s="43">
        <v>500</v>
      </c>
      <c r="F4471" s="43"/>
      <c r="G4471" s="364">
        <f t="shared" si="122"/>
        <v>26969</v>
      </c>
      <c r="H4471" s="391" t="s">
        <v>9568</v>
      </c>
    </row>
    <row r="4472" spans="1:8" x14ac:dyDescent="0.3">
      <c r="A4472" s="45">
        <v>44839</v>
      </c>
      <c r="B4472" s="399" t="s">
        <v>9863</v>
      </c>
      <c r="C4472" s="5" t="s">
        <v>8573</v>
      </c>
      <c r="D4472" s="5" t="s">
        <v>9844</v>
      </c>
      <c r="E4472" s="43">
        <v>7000</v>
      </c>
      <c r="F4472" s="43"/>
      <c r="G4472" s="364">
        <f t="shared" si="122"/>
        <v>19969</v>
      </c>
      <c r="H4472" s="391" t="s">
        <v>9568</v>
      </c>
    </row>
    <row r="4473" spans="1:8" x14ac:dyDescent="0.3">
      <c r="A4473" s="45">
        <v>44839</v>
      </c>
      <c r="B4473" s="399"/>
      <c r="C4473" s="5" t="s">
        <v>14</v>
      </c>
      <c r="D4473" s="5" t="s">
        <v>294</v>
      </c>
      <c r="E4473" s="43">
        <v>5000</v>
      </c>
      <c r="F4473" s="43"/>
      <c r="G4473" s="364">
        <f t="shared" si="122"/>
        <v>14969</v>
      </c>
      <c r="H4473" s="391" t="s">
        <v>9568</v>
      </c>
    </row>
    <row r="4474" spans="1:8" x14ac:dyDescent="0.3">
      <c r="A4474" s="45">
        <v>44839</v>
      </c>
      <c r="B4474" s="399" t="s">
        <v>4935</v>
      </c>
      <c r="C4474" s="5" t="s">
        <v>9159</v>
      </c>
      <c r="D4474" s="5" t="s">
        <v>6140</v>
      </c>
      <c r="E4474" s="43">
        <v>2000</v>
      </c>
      <c r="F4474" s="43"/>
      <c r="G4474" s="364">
        <f t="shared" si="122"/>
        <v>12969</v>
      </c>
      <c r="H4474" s="391" t="s">
        <v>9568</v>
      </c>
    </row>
    <row r="4475" spans="1:8" x14ac:dyDescent="0.3">
      <c r="A4475" s="45">
        <v>44839</v>
      </c>
      <c r="B4475" s="399" t="s">
        <v>118</v>
      </c>
      <c r="C4475" s="5" t="s">
        <v>9873</v>
      </c>
      <c r="D4475" s="5" t="s">
        <v>9845</v>
      </c>
      <c r="E4475" s="43">
        <v>5160</v>
      </c>
      <c r="F4475" s="43"/>
      <c r="G4475" s="364">
        <f t="shared" si="122"/>
        <v>7809</v>
      </c>
      <c r="H4475" s="391" t="s">
        <v>9568</v>
      </c>
    </row>
    <row r="4476" spans="1:8" x14ac:dyDescent="0.3">
      <c r="A4476" s="45">
        <v>44839</v>
      </c>
      <c r="B4476" s="580"/>
      <c r="C4476" s="554" t="s">
        <v>4106</v>
      </c>
      <c r="D4476" s="554"/>
      <c r="E4476" s="554"/>
      <c r="F4476" s="43">
        <v>200000</v>
      </c>
      <c r="G4476" s="364">
        <f t="shared" si="122"/>
        <v>207809</v>
      </c>
      <c r="H4476" s="391" t="s">
        <v>9568</v>
      </c>
    </row>
    <row r="4477" spans="1:8" x14ac:dyDescent="0.3">
      <c r="A4477" s="45">
        <v>44839</v>
      </c>
      <c r="B4477" s="399" t="s">
        <v>9857</v>
      </c>
      <c r="C4477" s="5" t="s">
        <v>7744</v>
      </c>
      <c r="D4477" s="5" t="s">
        <v>9883</v>
      </c>
      <c r="E4477" s="43">
        <v>36000</v>
      </c>
      <c r="F4477" s="43"/>
      <c r="G4477" s="364">
        <f t="shared" si="122"/>
        <v>171809</v>
      </c>
      <c r="H4477" s="391" t="s">
        <v>9568</v>
      </c>
    </row>
    <row r="4478" spans="1:8" x14ac:dyDescent="0.3">
      <c r="A4478" s="45">
        <v>44839</v>
      </c>
      <c r="B4478" s="399" t="s">
        <v>4935</v>
      </c>
      <c r="C4478" s="5" t="s">
        <v>84</v>
      </c>
      <c r="D4478" s="5" t="s">
        <v>9846</v>
      </c>
      <c r="E4478" s="43">
        <v>1000</v>
      </c>
      <c r="F4478" s="43"/>
      <c r="G4478" s="364">
        <f t="shared" si="122"/>
        <v>170809</v>
      </c>
      <c r="H4478" s="391" t="s">
        <v>9568</v>
      </c>
    </row>
    <row r="4479" spans="1:8" x14ac:dyDescent="0.3">
      <c r="A4479" s="45">
        <v>44839</v>
      </c>
      <c r="B4479" s="399" t="s">
        <v>4935</v>
      </c>
      <c r="C4479" s="5" t="s">
        <v>84</v>
      </c>
      <c r="D4479" s="5" t="s">
        <v>9847</v>
      </c>
      <c r="E4479" s="43">
        <v>2000</v>
      </c>
      <c r="F4479" s="43"/>
      <c r="G4479" s="364">
        <f t="shared" si="122"/>
        <v>168809</v>
      </c>
      <c r="H4479" s="391" t="s">
        <v>9568</v>
      </c>
    </row>
    <row r="4480" spans="1:8" x14ac:dyDescent="0.3">
      <c r="A4480" s="45">
        <v>44840</v>
      </c>
      <c r="B4480" s="399" t="s">
        <v>9878</v>
      </c>
      <c r="C4480" s="5" t="s">
        <v>6430</v>
      </c>
      <c r="D4480" s="5" t="s">
        <v>9849</v>
      </c>
      <c r="E4480" s="43">
        <v>19350</v>
      </c>
      <c r="F4480" s="43"/>
      <c r="G4480" s="364">
        <f t="shared" si="122"/>
        <v>149459</v>
      </c>
      <c r="H4480" s="391" t="s">
        <v>9568</v>
      </c>
    </row>
    <row r="4481" spans="1:8" x14ac:dyDescent="0.3">
      <c r="A4481" s="45">
        <v>44840</v>
      </c>
      <c r="B4481" s="399" t="s">
        <v>12190</v>
      </c>
      <c r="C4481" s="5" t="s">
        <v>110</v>
      </c>
      <c r="D4481" s="5" t="s">
        <v>7049</v>
      </c>
      <c r="E4481" s="43">
        <v>51000</v>
      </c>
      <c r="F4481" s="43"/>
      <c r="G4481" s="364">
        <f t="shared" si="122"/>
        <v>98459</v>
      </c>
      <c r="H4481" s="391" t="s">
        <v>9568</v>
      </c>
    </row>
    <row r="4482" spans="1:8" x14ac:dyDescent="0.3">
      <c r="A4482" s="45">
        <v>44840</v>
      </c>
      <c r="B4482" s="399" t="s">
        <v>5933</v>
      </c>
      <c r="C4482" s="5" t="s">
        <v>6931</v>
      </c>
      <c r="D4482" s="5" t="s">
        <v>6932</v>
      </c>
      <c r="E4482" s="43">
        <v>3000</v>
      </c>
      <c r="F4482" s="43"/>
      <c r="G4482" s="364">
        <f t="shared" si="122"/>
        <v>95459</v>
      </c>
      <c r="H4482" s="391" t="s">
        <v>9568</v>
      </c>
    </row>
    <row r="4483" spans="1:8" x14ac:dyDescent="0.3">
      <c r="A4483" s="45">
        <v>44840</v>
      </c>
      <c r="B4483" s="580"/>
      <c r="C4483" s="554" t="s">
        <v>9850</v>
      </c>
      <c r="D4483" s="554"/>
      <c r="E4483" s="554"/>
      <c r="F4483" s="43">
        <v>500000</v>
      </c>
      <c r="G4483" s="364">
        <f t="shared" si="122"/>
        <v>595459</v>
      </c>
      <c r="H4483" s="391" t="s">
        <v>9568</v>
      </c>
    </row>
    <row r="4484" spans="1:8" x14ac:dyDescent="0.3">
      <c r="A4484" s="45">
        <v>44840</v>
      </c>
      <c r="B4484" s="409" t="s">
        <v>5933</v>
      </c>
      <c r="C4484" s="61" t="s">
        <v>1512</v>
      </c>
      <c r="D4484" s="61" t="s">
        <v>8636</v>
      </c>
      <c r="E4484" s="62">
        <v>163877</v>
      </c>
      <c r="F4484" s="43"/>
      <c r="G4484" s="364">
        <f t="shared" si="122"/>
        <v>431582</v>
      </c>
      <c r="H4484" s="391" t="s">
        <v>9568</v>
      </c>
    </row>
    <row r="4485" spans="1:8" x14ac:dyDescent="0.3">
      <c r="A4485" s="45">
        <v>44840</v>
      </c>
      <c r="B4485" s="409" t="s">
        <v>9879</v>
      </c>
      <c r="C4485" s="61" t="s">
        <v>1512</v>
      </c>
      <c r="D4485" s="61" t="s">
        <v>9413</v>
      </c>
      <c r="E4485" s="62">
        <v>26325</v>
      </c>
      <c r="F4485" s="43"/>
      <c r="G4485" s="364">
        <f t="shared" si="122"/>
        <v>405257</v>
      </c>
      <c r="H4485" s="391" t="s">
        <v>9568</v>
      </c>
    </row>
    <row r="4486" spans="1:8" x14ac:dyDescent="0.3">
      <c r="A4486" s="45">
        <v>44840</v>
      </c>
      <c r="B4486" s="399" t="s">
        <v>10615</v>
      </c>
      <c r="C4486" s="5" t="s">
        <v>6430</v>
      </c>
      <c r="D4486" s="5" t="s">
        <v>2013</v>
      </c>
      <c r="E4486" s="43">
        <v>820</v>
      </c>
      <c r="F4486" s="43"/>
      <c r="G4486" s="364">
        <f t="shared" si="122"/>
        <v>404437</v>
      </c>
      <c r="H4486" s="391" t="s">
        <v>9568</v>
      </c>
    </row>
    <row r="4487" spans="1:8" x14ac:dyDescent="0.3">
      <c r="A4487" s="45">
        <v>44840</v>
      </c>
      <c r="B4487" s="399" t="s">
        <v>9879</v>
      </c>
      <c r="C4487" s="5" t="s">
        <v>84</v>
      </c>
      <c r="D4487" s="5" t="s">
        <v>9851</v>
      </c>
      <c r="E4487" s="43">
        <v>40000</v>
      </c>
      <c r="F4487" s="43"/>
      <c r="G4487" s="364">
        <f t="shared" si="122"/>
        <v>364437</v>
      </c>
      <c r="H4487" s="391" t="s">
        <v>9568</v>
      </c>
    </row>
    <row r="4488" spans="1:8" x14ac:dyDescent="0.3">
      <c r="A4488" s="45">
        <v>44840</v>
      </c>
      <c r="B4488" s="399" t="s">
        <v>9863</v>
      </c>
      <c r="C4488" s="5" t="s">
        <v>68</v>
      </c>
      <c r="D4488" s="5" t="s">
        <v>294</v>
      </c>
      <c r="E4488" s="43">
        <v>3000</v>
      </c>
      <c r="F4488" s="43"/>
      <c r="G4488" s="364">
        <f t="shared" si="122"/>
        <v>361437</v>
      </c>
      <c r="H4488" s="391" t="s">
        <v>9568</v>
      </c>
    </row>
    <row r="4489" spans="1:8" x14ac:dyDescent="0.3">
      <c r="A4489" s="45">
        <v>44840</v>
      </c>
      <c r="B4489" s="409" t="s">
        <v>118</v>
      </c>
      <c r="C4489" s="61" t="s">
        <v>1512</v>
      </c>
      <c r="D4489" s="61" t="s">
        <v>6842</v>
      </c>
      <c r="E4489" s="62">
        <v>113467</v>
      </c>
      <c r="F4489" s="43"/>
      <c r="G4489" s="364">
        <f t="shared" si="122"/>
        <v>247970</v>
      </c>
      <c r="H4489" s="391" t="s">
        <v>9568</v>
      </c>
    </row>
    <row r="4490" spans="1:8" x14ac:dyDescent="0.3">
      <c r="A4490" s="45">
        <v>44840</v>
      </c>
      <c r="B4490" s="399" t="s">
        <v>118</v>
      </c>
      <c r="C4490" s="5" t="s">
        <v>9873</v>
      </c>
      <c r="D4490" s="5" t="s">
        <v>5108</v>
      </c>
      <c r="E4490" s="43">
        <v>1000</v>
      </c>
      <c r="F4490" s="43"/>
      <c r="G4490" s="364">
        <f t="shared" si="122"/>
        <v>246970</v>
      </c>
      <c r="H4490" s="391" t="s">
        <v>9568</v>
      </c>
    </row>
    <row r="4491" spans="1:8" x14ac:dyDescent="0.3">
      <c r="A4491" s="45">
        <v>44841</v>
      </c>
      <c r="B4491" s="409" t="s">
        <v>9860</v>
      </c>
      <c r="C4491" s="61" t="s">
        <v>1512</v>
      </c>
      <c r="D4491" s="61" t="s">
        <v>9703</v>
      </c>
      <c r="E4491" s="62">
        <v>62833</v>
      </c>
      <c r="F4491" s="43"/>
      <c r="G4491" s="364">
        <f t="shared" si="122"/>
        <v>184137</v>
      </c>
      <c r="H4491" s="391" t="s">
        <v>9568</v>
      </c>
    </row>
    <row r="4492" spans="1:8" x14ac:dyDescent="0.3">
      <c r="A4492" s="45">
        <v>44841</v>
      </c>
      <c r="B4492" s="399" t="s">
        <v>9860</v>
      </c>
      <c r="C4492" s="5" t="s">
        <v>9525</v>
      </c>
      <c r="D4492" s="5" t="s">
        <v>9852</v>
      </c>
      <c r="E4492" s="43">
        <v>10000</v>
      </c>
      <c r="F4492" s="43"/>
      <c r="G4492" s="364">
        <f t="shared" si="122"/>
        <v>174137</v>
      </c>
      <c r="H4492" s="391" t="s">
        <v>9568</v>
      </c>
    </row>
    <row r="4493" spans="1:8" x14ac:dyDescent="0.3">
      <c r="A4493" s="45">
        <v>44841</v>
      </c>
      <c r="B4493" s="409" t="s">
        <v>10615</v>
      </c>
      <c r="C4493" s="61" t="s">
        <v>1512</v>
      </c>
      <c r="D4493" s="61" t="s">
        <v>9689</v>
      </c>
      <c r="E4493" s="62">
        <f>125333-13300</f>
        <v>112033</v>
      </c>
      <c r="F4493" s="43"/>
      <c r="G4493" s="364">
        <f t="shared" si="122"/>
        <v>62104</v>
      </c>
      <c r="H4493" s="391" t="s">
        <v>9568</v>
      </c>
    </row>
    <row r="4494" spans="1:8" x14ac:dyDescent="0.3">
      <c r="A4494" s="45">
        <v>44841</v>
      </c>
      <c r="B4494" s="580"/>
      <c r="C4494" s="554" t="s">
        <v>4106</v>
      </c>
      <c r="D4494" s="554"/>
      <c r="E4494" s="554"/>
      <c r="F4494" s="43">
        <v>600000</v>
      </c>
      <c r="G4494" s="364">
        <f t="shared" si="122"/>
        <v>662104</v>
      </c>
      <c r="H4494" s="391" t="s">
        <v>9568</v>
      </c>
    </row>
    <row r="4495" spans="1:8" x14ac:dyDescent="0.3">
      <c r="A4495" s="45">
        <v>44841</v>
      </c>
      <c r="B4495" s="409" t="s">
        <v>9868</v>
      </c>
      <c r="C4495" s="61" t="s">
        <v>1512</v>
      </c>
      <c r="D4495" s="61" t="s">
        <v>8645</v>
      </c>
      <c r="E4495" s="62">
        <v>302713</v>
      </c>
      <c r="F4495" s="43"/>
      <c r="G4495" s="364">
        <f t="shared" si="122"/>
        <v>359391</v>
      </c>
      <c r="H4495" s="391" t="s">
        <v>9568</v>
      </c>
    </row>
    <row r="4496" spans="1:8" x14ac:dyDescent="0.3">
      <c r="A4496" s="45">
        <v>44841</v>
      </c>
      <c r="B4496" s="399" t="s">
        <v>9869</v>
      </c>
      <c r="C4496" s="5" t="s">
        <v>6931</v>
      </c>
      <c r="D4496" s="5" t="s">
        <v>9853</v>
      </c>
      <c r="E4496" s="43">
        <v>250</v>
      </c>
      <c r="F4496" s="43"/>
      <c r="G4496" s="364">
        <f t="shared" si="122"/>
        <v>359141</v>
      </c>
      <c r="H4496" s="391" t="s">
        <v>9568</v>
      </c>
    </row>
    <row r="4497" spans="1:14" x14ac:dyDescent="0.3">
      <c r="A4497" s="45">
        <v>44841</v>
      </c>
      <c r="B4497" s="399" t="s">
        <v>9870</v>
      </c>
      <c r="C4497" s="5" t="s">
        <v>9756</v>
      </c>
      <c r="D4497" s="5" t="s">
        <v>2013</v>
      </c>
      <c r="E4497" s="43">
        <v>750</v>
      </c>
      <c r="F4497" s="43"/>
      <c r="G4497" s="364">
        <f t="shared" si="122"/>
        <v>358391</v>
      </c>
      <c r="H4497" s="391" t="s">
        <v>9568</v>
      </c>
    </row>
    <row r="4498" spans="1:14" x14ac:dyDescent="0.3">
      <c r="A4498" s="45">
        <v>44841</v>
      </c>
      <c r="B4498" s="399" t="s">
        <v>4935</v>
      </c>
      <c r="C4498" s="5" t="s">
        <v>57</v>
      </c>
      <c r="D4498" s="5" t="s">
        <v>9871</v>
      </c>
      <c r="E4498" s="43">
        <v>3000</v>
      </c>
      <c r="F4498" s="43"/>
      <c r="G4498" s="364">
        <f t="shared" si="122"/>
        <v>355391</v>
      </c>
      <c r="H4498" s="391" t="s">
        <v>9568</v>
      </c>
    </row>
    <row r="4499" spans="1:14" x14ac:dyDescent="0.3">
      <c r="A4499" s="45">
        <v>44841</v>
      </c>
      <c r="B4499" s="399" t="s">
        <v>9857</v>
      </c>
      <c r="C4499" s="5" t="s">
        <v>9865</v>
      </c>
      <c r="D4499" s="5" t="s">
        <v>9866</v>
      </c>
      <c r="E4499" s="43">
        <v>7000</v>
      </c>
      <c r="F4499" s="43"/>
      <c r="G4499" s="364">
        <f t="shared" si="122"/>
        <v>348391</v>
      </c>
      <c r="H4499" s="391" t="s">
        <v>9568</v>
      </c>
    </row>
    <row r="4500" spans="1:14" s="390" customFormat="1" ht="37.5" x14ac:dyDescent="0.3">
      <c r="A4500" s="45">
        <v>44841</v>
      </c>
      <c r="B4500" s="322" t="s">
        <v>9857</v>
      </c>
      <c r="C4500" s="44" t="s">
        <v>9864</v>
      </c>
      <c r="D4500" s="124" t="s">
        <v>9867</v>
      </c>
      <c r="E4500" s="28">
        <v>10000</v>
      </c>
      <c r="F4500" s="28"/>
      <c r="G4500" s="364">
        <f t="shared" si="122"/>
        <v>338391</v>
      </c>
      <c r="H4500" s="400" t="s">
        <v>9568</v>
      </c>
      <c r="I4500" s="52"/>
      <c r="J4500" s="52"/>
      <c r="K4500" s="52"/>
      <c r="L4500" s="4"/>
      <c r="N4500" s="155"/>
    </row>
    <row r="4501" spans="1:14" x14ac:dyDescent="0.3">
      <c r="A4501" s="45">
        <v>44841</v>
      </c>
      <c r="B4501" s="399" t="s">
        <v>9860</v>
      </c>
      <c r="C4501" s="5" t="s">
        <v>9044</v>
      </c>
      <c r="D4501" s="5" t="s">
        <v>9872</v>
      </c>
      <c r="E4501" s="43">
        <v>10000</v>
      </c>
      <c r="F4501" s="43"/>
      <c r="G4501" s="364">
        <f t="shared" si="122"/>
        <v>328391</v>
      </c>
      <c r="H4501" s="391" t="s">
        <v>9568</v>
      </c>
    </row>
    <row r="4502" spans="1:14" x14ac:dyDescent="0.3">
      <c r="A4502" s="45">
        <v>44841</v>
      </c>
      <c r="B4502" s="399" t="s">
        <v>9863</v>
      </c>
      <c r="C4502" s="5" t="s">
        <v>18</v>
      </c>
      <c r="D4502" s="5" t="s">
        <v>2013</v>
      </c>
      <c r="E4502" s="43">
        <v>500</v>
      </c>
      <c r="F4502" s="43"/>
      <c r="G4502" s="364">
        <f t="shared" si="122"/>
        <v>327891</v>
      </c>
      <c r="H4502" s="391" t="s">
        <v>9568</v>
      </c>
    </row>
    <row r="4503" spans="1:14" x14ac:dyDescent="0.3">
      <c r="A4503" s="45">
        <v>44841</v>
      </c>
      <c r="B4503" s="409"/>
      <c r="C4503" s="61" t="s">
        <v>1512</v>
      </c>
      <c r="D4503" s="61" t="s">
        <v>9856</v>
      </c>
      <c r="E4503" s="62">
        <v>52085</v>
      </c>
      <c r="F4503" s="43"/>
      <c r="G4503" s="364">
        <f t="shared" si="122"/>
        <v>275806</v>
      </c>
      <c r="H4503" s="391" t="s">
        <v>9568</v>
      </c>
    </row>
    <row r="4504" spans="1:14" x14ac:dyDescent="0.3">
      <c r="A4504" s="45">
        <v>44842</v>
      </c>
      <c r="B4504" s="409" t="s">
        <v>9862</v>
      </c>
      <c r="C4504" s="61" t="s">
        <v>1512</v>
      </c>
      <c r="D4504" s="61" t="s">
        <v>8646</v>
      </c>
      <c r="E4504" s="62">
        <v>117813</v>
      </c>
      <c r="F4504" s="43"/>
      <c r="G4504" s="364">
        <f t="shared" si="122"/>
        <v>157993</v>
      </c>
      <c r="H4504" s="391" t="s">
        <v>9568</v>
      </c>
    </row>
    <row r="4505" spans="1:14" x14ac:dyDescent="0.3">
      <c r="A4505" s="45">
        <v>44842</v>
      </c>
      <c r="B4505" s="409" t="s">
        <v>9861</v>
      </c>
      <c r="C4505" s="61" t="s">
        <v>1512</v>
      </c>
      <c r="D4505" s="61" t="s">
        <v>9175</v>
      </c>
      <c r="E4505" s="62">
        <v>96523</v>
      </c>
      <c r="F4505" s="43"/>
      <c r="G4505" s="364">
        <f t="shared" si="122"/>
        <v>61470</v>
      </c>
      <c r="H4505" s="391" t="s">
        <v>9568</v>
      </c>
    </row>
    <row r="4506" spans="1:14" x14ac:dyDescent="0.3">
      <c r="A4506" s="45">
        <v>44842</v>
      </c>
      <c r="B4506" s="399" t="s">
        <v>9860</v>
      </c>
      <c r="C4506" s="5" t="s">
        <v>9525</v>
      </c>
      <c r="D4506" s="5" t="s">
        <v>9859</v>
      </c>
      <c r="E4506" s="43">
        <v>2000</v>
      </c>
      <c r="F4506" s="43"/>
      <c r="G4506" s="364">
        <f t="shared" si="122"/>
        <v>59470</v>
      </c>
      <c r="H4506" s="391" t="s">
        <v>9568</v>
      </c>
    </row>
    <row r="4507" spans="1:14" x14ac:dyDescent="0.3">
      <c r="A4507" s="45">
        <v>44842</v>
      </c>
      <c r="B4507" s="399" t="s">
        <v>9857</v>
      </c>
      <c r="C4507" s="5" t="s">
        <v>9525</v>
      </c>
      <c r="D4507" s="5" t="s">
        <v>9858</v>
      </c>
      <c r="E4507" s="43">
        <v>850</v>
      </c>
      <c r="F4507" s="43"/>
      <c r="G4507" s="364">
        <f t="shared" si="122"/>
        <v>58620</v>
      </c>
      <c r="H4507" s="391" t="s">
        <v>9568</v>
      </c>
    </row>
    <row r="4508" spans="1:14" x14ac:dyDescent="0.3">
      <c r="A4508" s="45">
        <v>44842</v>
      </c>
      <c r="B4508" s="399" t="s">
        <v>9860</v>
      </c>
      <c r="C4508" s="5" t="s">
        <v>9525</v>
      </c>
      <c r="D4508" s="5" t="s">
        <v>9884</v>
      </c>
      <c r="E4508" s="65">
        <v>12000</v>
      </c>
      <c r="F4508" s="43"/>
      <c r="G4508" s="364">
        <f t="shared" si="122"/>
        <v>46620</v>
      </c>
      <c r="H4508" s="391" t="s">
        <v>9568</v>
      </c>
    </row>
    <row r="4509" spans="1:14" x14ac:dyDescent="0.3">
      <c r="A4509" s="45">
        <v>44842</v>
      </c>
      <c r="B4509" s="399" t="s">
        <v>9863</v>
      </c>
      <c r="C4509" s="5" t="s">
        <v>6430</v>
      </c>
      <c r="D4509" s="5" t="s">
        <v>9895</v>
      </c>
      <c r="E4509" s="65">
        <v>14500</v>
      </c>
      <c r="F4509" s="43"/>
      <c r="G4509" s="364">
        <f t="shared" si="122"/>
        <v>32120</v>
      </c>
      <c r="H4509" s="391" t="s">
        <v>9568</v>
      </c>
    </row>
    <row r="4510" spans="1:14" x14ac:dyDescent="0.3">
      <c r="A4510" s="45">
        <v>44842</v>
      </c>
      <c r="B4510" s="399" t="s">
        <v>5846</v>
      </c>
      <c r="C4510" s="5" t="s">
        <v>5793</v>
      </c>
      <c r="D4510" s="5" t="s">
        <v>9896</v>
      </c>
      <c r="E4510" s="43">
        <v>1000</v>
      </c>
      <c r="F4510" s="43"/>
      <c r="G4510" s="364">
        <f t="shared" si="122"/>
        <v>31120</v>
      </c>
      <c r="H4510" s="391" t="s">
        <v>9568</v>
      </c>
    </row>
    <row r="4511" spans="1:14" x14ac:dyDescent="0.3">
      <c r="A4511" s="45">
        <v>44842</v>
      </c>
      <c r="B4511" s="409" t="s">
        <v>9897</v>
      </c>
      <c r="C4511" s="61" t="s">
        <v>1512</v>
      </c>
      <c r="D4511" s="61" t="s">
        <v>40</v>
      </c>
      <c r="E4511" s="62">
        <v>10000</v>
      </c>
      <c r="F4511" s="43"/>
      <c r="G4511" s="364">
        <f t="shared" si="122"/>
        <v>21120</v>
      </c>
      <c r="H4511" s="391" t="s">
        <v>9568</v>
      </c>
    </row>
    <row r="4512" spans="1:14" x14ac:dyDescent="0.3">
      <c r="A4512" s="45">
        <v>44844</v>
      </c>
      <c r="B4512" s="399" t="s">
        <v>118</v>
      </c>
      <c r="C4512" s="5" t="s">
        <v>9873</v>
      </c>
      <c r="D4512" s="5" t="s">
        <v>9898</v>
      </c>
      <c r="E4512" s="43">
        <v>7160</v>
      </c>
      <c r="F4512" s="43"/>
      <c r="G4512" s="364">
        <f t="shared" si="122"/>
        <v>13960</v>
      </c>
      <c r="H4512" s="391" t="s">
        <v>9568</v>
      </c>
    </row>
    <row r="4513" spans="1:8" x14ac:dyDescent="0.3">
      <c r="A4513" s="45">
        <v>44845</v>
      </c>
      <c r="B4513" s="399" t="s">
        <v>4935</v>
      </c>
      <c r="C4513" s="5" t="s">
        <v>4550</v>
      </c>
      <c r="D4513" s="5" t="s">
        <v>9910</v>
      </c>
      <c r="E4513" s="43">
        <v>13000</v>
      </c>
      <c r="F4513" s="43"/>
      <c r="G4513" s="364">
        <f t="shared" si="122"/>
        <v>960</v>
      </c>
      <c r="H4513" s="391" t="s">
        <v>9568</v>
      </c>
    </row>
    <row r="4514" spans="1:8" x14ac:dyDescent="0.3">
      <c r="A4514" s="45">
        <v>44845</v>
      </c>
      <c r="B4514" s="399" t="s">
        <v>4935</v>
      </c>
      <c r="C4514" s="5" t="s">
        <v>6154</v>
      </c>
      <c r="D4514" s="5" t="s">
        <v>2013</v>
      </c>
      <c r="E4514" s="43">
        <v>100</v>
      </c>
      <c r="F4514" s="43"/>
      <c r="G4514" s="364">
        <f t="shared" si="122"/>
        <v>860</v>
      </c>
      <c r="H4514" s="391" t="s">
        <v>9568</v>
      </c>
    </row>
    <row r="4515" spans="1:8" x14ac:dyDescent="0.3">
      <c r="A4515" s="45">
        <v>44846</v>
      </c>
      <c r="B4515" s="580"/>
      <c r="C4515" s="554" t="s">
        <v>9911</v>
      </c>
      <c r="D4515" s="554"/>
      <c r="E4515" s="554"/>
      <c r="F4515" s="43">
        <v>10000</v>
      </c>
      <c r="G4515" s="364">
        <f t="shared" ref="G4515" si="123">G4514+F4515-E4515</f>
        <v>10860</v>
      </c>
      <c r="H4515" s="391" t="s">
        <v>9568</v>
      </c>
    </row>
    <row r="4516" spans="1:8" x14ac:dyDescent="0.3">
      <c r="A4516" s="45">
        <v>44846</v>
      </c>
      <c r="B4516" s="399" t="s">
        <v>9863</v>
      </c>
      <c r="C4516" s="5" t="s">
        <v>18</v>
      </c>
      <c r="D4516" s="5" t="s">
        <v>9912</v>
      </c>
      <c r="E4516" s="43">
        <v>5000</v>
      </c>
      <c r="F4516" s="43"/>
      <c r="G4516" s="364">
        <f t="shared" si="122"/>
        <v>5860</v>
      </c>
      <c r="H4516" s="391" t="s">
        <v>9568</v>
      </c>
    </row>
    <row r="4517" spans="1:8" x14ac:dyDescent="0.3">
      <c r="A4517" s="45">
        <v>44847</v>
      </c>
      <c r="B4517" s="580"/>
      <c r="C4517" s="554" t="s">
        <v>6249</v>
      </c>
      <c r="D4517" s="554"/>
      <c r="E4517" s="554"/>
      <c r="F4517" s="43">
        <v>300000</v>
      </c>
      <c r="G4517" s="364">
        <f t="shared" si="122"/>
        <v>305860</v>
      </c>
      <c r="H4517" s="391" t="s">
        <v>9568</v>
      </c>
    </row>
    <row r="4518" spans="1:8" x14ac:dyDescent="0.3">
      <c r="A4518" s="45">
        <v>44847</v>
      </c>
      <c r="B4518" s="399"/>
      <c r="C4518" s="5" t="s">
        <v>8594</v>
      </c>
      <c r="D4518" s="5" t="s">
        <v>9915</v>
      </c>
      <c r="E4518" s="43">
        <v>10000</v>
      </c>
      <c r="F4518" s="43"/>
      <c r="G4518" s="364">
        <f t="shared" si="122"/>
        <v>295860</v>
      </c>
      <c r="H4518" s="391" t="s">
        <v>9568</v>
      </c>
    </row>
    <row r="4519" spans="1:8" x14ac:dyDescent="0.3">
      <c r="A4519" s="45">
        <v>44847</v>
      </c>
      <c r="B4519" s="399" t="s">
        <v>9863</v>
      </c>
      <c r="C4519" s="5" t="s">
        <v>8573</v>
      </c>
      <c r="D4519" s="5" t="s">
        <v>9916</v>
      </c>
      <c r="E4519" s="43">
        <v>44000</v>
      </c>
      <c r="F4519" s="43"/>
      <c r="G4519" s="364">
        <f t="shared" ref="G4519:G4586" si="124">G4518+F4519-E4519</f>
        <v>251860</v>
      </c>
      <c r="H4519" s="391" t="s">
        <v>9568</v>
      </c>
    </row>
    <row r="4520" spans="1:8" x14ac:dyDescent="0.3">
      <c r="A4520" s="45">
        <v>44847</v>
      </c>
      <c r="B4520" s="399" t="s">
        <v>9917</v>
      </c>
      <c r="C4520" s="5" t="s">
        <v>1074</v>
      </c>
      <c r="D4520" s="5" t="s">
        <v>9918</v>
      </c>
      <c r="E4520" s="43">
        <v>6010</v>
      </c>
      <c r="F4520" s="43"/>
      <c r="G4520" s="364">
        <f t="shared" si="124"/>
        <v>245850</v>
      </c>
      <c r="H4520" s="391" t="s">
        <v>9568</v>
      </c>
    </row>
    <row r="4521" spans="1:8" x14ac:dyDescent="0.3">
      <c r="A4521" s="45">
        <v>44847</v>
      </c>
      <c r="B4521" s="399" t="s">
        <v>9917</v>
      </c>
      <c r="C4521" s="5" t="s">
        <v>1074</v>
      </c>
      <c r="D4521" s="5" t="s">
        <v>9919</v>
      </c>
      <c r="E4521" s="43">
        <v>2370</v>
      </c>
      <c r="F4521" s="43"/>
      <c r="G4521" s="364">
        <f t="shared" si="124"/>
        <v>243480</v>
      </c>
      <c r="H4521" s="391" t="s">
        <v>9568</v>
      </c>
    </row>
    <row r="4522" spans="1:8" x14ac:dyDescent="0.3">
      <c r="A4522" s="45">
        <v>44847</v>
      </c>
      <c r="B4522" s="399"/>
      <c r="C4522" s="5" t="s">
        <v>14</v>
      </c>
      <c r="D4522" s="5" t="s">
        <v>9708</v>
      </c>
      <c r="E4522" s="43">
        <v>17105</v>
      </c>
      <c r="F4522" s="43"/>
      <c r="G4522" s="364">
        <f t="shared" si="124"/>
        <v>226375</v>
      </c>
      <c r="H4522" s="391" t="s">
        <v>9568</v>
      </c>
    </row>
    <row r="4523" spans="1:8" x14ac:dyDescent="0.3">
      <c r="A4523" s="45">
        <v>44847</v>
      </c>
      <c r="B4523" s="399" t="s">
        <v>9863</v>
      </c>
      <c r="C4523" s="5" t="s">
        <v>9671</v>
      </c>
      <c r="D4523" s="5" t="s">
        <v>9920</v>
      </c>
      <c r="E4523" s="43">
        <v>50000</v>
      </c>
      <c r="F4523" s="43"/>
      <c r="G4523" s="364">
        <f t="shared" si="124"/>
        <v>176375</v>
      </c>
      <c r="H4523" s="391" t="s">
        <v>9568</v>
      </c>
    </row>
    <row r="4524" spans="1:8" x14ac:dyDescent="0.3">
      <c r="A4524" s="45">
        <v>44847</v>
      </c>
      <c r="B4524" s="399" t="s">
        <v>9857</v>
      </c>
      <c r="C4524" s="5" t="s">
        <v>68</v>
      </c>
      <c r="D4524" s="5" t="s">
        <v>9921</v>
      </c>
      <c r="E4524" s="43">
        <v>48000</v>
      </c>
      <c r="F4524" s="43"/>
      <c r="G4524" s="364">
        <f t="shared" si="124"/>
        <v>128375</v>
      </c>
      <c r="H4524" s="391" t="s">
        <v>9568</v>
      </c>
    </row>
    <row r="4525" spans="1:8" x14ac:dyDescent="0.3">
      <c r="A4525" s="45">
        <v>44847</v>
      </c>
      <c r="B4525" s="399"/>
      <c r="C4525" s="5" t="s">
        <v>68</v>
      </c>
      <c r="D4525" s="5" t="s">
        <v>9922</v>
      </c>
      <c r="E4525" s="43">
        <v>12000</v>
      </c>
      <c r="F4525" s="43"/>
      <c r="G4525" s="364">
        <f t="shared" si="124"/>
        <v>116375</v>
      </c>
      <c r="H4525" s="391" t="s">
        <v>9568</v>
      </c>
    </row>
    <row r="4526" spans="1:8" x14ac:dyDescent="0.3">
      <c r="A4526" s="45">
        <v>44847</v>
      </c>
      <c r="B4526" s="399"/>
      <c r="C4526" s="5" t="s">
        <v>14</v>
      </c>
      <c r="D4526" s="5" t="s">
        <v>294</v>
      </c>
      <c r="E4526" s="43">
        <v>50000</v>
      </c>
      <c r="F4526" s="43"/>
      <c r="G4526" s="364">
        <f t="shared" si="124"/>
        <v>66375</v>
      </c>
      <c r="H4526" s="391" t="s">
        <v>9568</v>
      </c>
    </row>
    <row r="4527" spans="1:8" x14ac:dyDescent="0.3">
      <c r="A4527" s="45">
        <v>44847</v>
      </c>
      <c r="B4527" s="399" t="s">
        <v>118</v>
      </c>
      <c r="C4527" s="5" t="s">
        <v>9873</v>
      </c>
      <c r="D4527" s="5" t="s">
        <v>9898</v>
      </c>
      <c r="E4527" s="43">
        <v>3625</v>
      </c>
      <c r="F4527" s="43"/>
      <c r="G4527" s="364">
        <f t="shared" si="124"/>
        <v>62750</v>
      </c>
      <c r="H4527" s="391" t="s">
        <v>9568</v>
      </c>
    </row>
    <row r="4528" spans="1:8" x14ac:dyDescent="0.3">
      <c r="A4528" s="45">
        <v>44848</v>
      </c>
      <c r="B4528" s="399"/>
      <c r="C4528" s="5" t="s">
        <v>3724</v>
      </c>
      <c r="D4528" s="5" t="s">
        <v>40</v>
      </c>
      <c r="E4528" s="43">
        <v>5210</v>
      </c>
      <c r="F4528" s="43"/>
      <c r="G4528" s="364">
        <f t="shared" si="124"/>
        <v>57540</v>
      </c>
      <c r="H4528" s="391" t="s">
        <v>9568</v>
      </c>
    </row>
    <row r="4529" spans="1:8" x14ac:dyDescent="0.3">
      <c r="A4529" s="45">
        <v>44848</v>
      </c>
      <c r="B4529" s="409" t="s">
        <v>9923</v>
      </c>
      <c r="C4529" s="61" t="s">
        <v>1512</v>
      </c>
      <c r="D4529" s="61" t="s">
        <v>9924</v>
      </c>
      <c r="E4529" s="62">
        <v>16100</v>
      </c>
      <c r="F4529" s="43"/>
      <c r="G4529" s="364">
        <f t="shared" si="124"/>
        <v>41440</v>
      </c>
      <c r="H4529" s="391" t="s">
        <v>9568</v>
      </c>
    </row>
    <row r="4530" spans="1:8" x14ac:dyDescent="0.3">
      <c r="A4530" s="45">
        <v>44848</v>
      </c>
      <c r="B4530" s="399" t="s">
        <v>9925</v>
      </c>
      <c r="C4530" s="5" t="s">
        <v>9258</v>
      </c>
      <c r="D4530" s="5" t="s">
        <v>9926</v>
      </c>
      <c r="E4530" s="43">
        <v>5000</v>
      </c>
      <c r="F4530" s="43"/>
      <c r="G4530" s="364">
        <f t="shared" si="124"/>
        <v>36440</v>
      </c>
      <c r="H4530" s="391" t="s">
        <v>9568</v>
      </c>
    </row>
    <row r="4531" spans="1:8" x14ac:dyDescent="0.3">
      <c r="A4531" s="45">
        <v>44848</v>
      </c>
      <c r="B4531" s="399" t="s">
        <v>9860</v>
      </c>
      <c r="C4531" s="5" t="s">
        <v>9044</v>
      </c>
      <c r="D4531" s="5" t="s">
        <v>3488</v>
      </c>
      <c r="E4531" s="43">
        <v>7000</v>
      </c>
      <c r="F4531" s="43"/>
      <c r="G4531" s="364">
        <f t="shared" si="124"/>
        <v>29440</v>
      </c>
      <c r="H4531" s="391" t="s">
        <v>9568</v>
      </c>
    </row>
    <row r="4532" spans="1:8" x14ac:dyDescent="0.3">
      <c r="A4532" s="45">
        <v>44848</v>
      </c>
      <c r="B4532" s="399" t="s">
        <v>9929</v>
      </c>
      <c r="C4532" s="5" t="s">
        <v>57</v>
      </c>
      <c r="D4532" s="5" t="s">
        <v>9927</v>
      </c>
      <c r="E4532" s="43">
        <v>5000</v>
      </c>
      <c r="F4532" s="43"/>
      <c r="G4532" s="364">
        <f t="shared" si="124"/>
        <v>24440</v>
      </c>
      <c r="H4532" s="391" t="s">
        <v>9568</v>
      </c>
    </row>
    <row r="4533" spans="1:8" x14ac:dyDescent="0.3">
      <c r="A4533" s="45">
        <v>44848</v>
      </c>
      <c r="B4533" s="399"/>
      <c r="C4533" s="5" t="s">
        <v>25</v>
      </c>
      <c r="D4533" s="5" t="s">
        <v>9928</v>
      </c>
      <c r="E4533" s="43">
        <v>800</v>
      </c>
      <c r="F4533" s="43"/>
      <c r="G4533" s="364">
        <f t="shared" si="124"/>
        <v>23640</v>
      </c>
      <c r="H4533" s="391" t="s">
        <v>9568</v>
      </c>
    </row>
    <row r="4534" spans="1:8" x14ac:dyDescent="0.3">
      <c r="A4534" s="45">
        <v>44848</v>
      </c>
      <c r="B4534" s="399" t="s">
        <v>30</v>
      </c>
      <c r="C4534" s="5" t="s">
        <v>9756</v>
      </c>
      <c r="D4534" s="5" t="s">
        <v>2013</v>
      </c>
      <c r="E4534" s="43">
        <v>700</v>
      </c>
      <c r="F4534" s="43"/>
      <c r="G4534" s="364">
        <f t="shared" si="124"/>
        <v>22940</v>
      </c>
      <c r="H4534" s="391" t="s">
        <v>9568</v>
      </c>
    </row>
    <row r="4535" spans="1:8" x14ac:dyDescent="0.3">
      <c r="A4535" s="45">
        <v>44848</v>
      </c>
      <c r="B4535" s="399"/>
      <c r="C4535" s="5" t="s">
        <v>68</v>
      </c>
      <c r="D4535" s="5" t="s">
        <v>7126</v>
      </c>
      <c r="E4535" s="43">
        <v>2000</v>
      </c>
      <c r="F4535" s="43"/>
      <c r="G4535" s="364">
        <f t="shared" si="124"/>
        <v>20940</v>
      </c>
      <c r="H4535" s="391" t="s">
        <v>9568</v>
      </c>
    </row>
    <row r="4536" spans="1:8" x14ac:dyDescent="0.3">
      <c r="A4536" s="45">
        <v>44848</v>
      </c>
      <c r="B4536" s="399" t="s">
        <v>9860</v>
      </c>
      <c r="C4536" s="5" t="s">
        <v>9525</v>
      </c>
      <c r="D4536" s="5" t="s">
        <v>9931</v>
      </c>
      <c r="E4536" s="43">
        <v>4500</v>
      </c>
      <c r="F4536" s="43"/>
      <c r="G4536" s="364">
        <f t="shared" si="124"/>
        <v>16440</v>
      </c>
      <c r="H4536" s="391" t="s">
        <v>9568</v>
      </c>
    </row>
    <row r="4537" spans="1:8" x14ac:dyDescent="0.3">
      <c r="A4537" s="45">
        <v>44849</v>
      </c>
      <c r="B4537" s="399" t="s">
        <v>10615</v>
      </c>
      <c r="C4537" s="5" t="s">
        <v>6430</v>
      </c>
      <c r="D4537" s="5" t="s">
        <v>9932</v>
      </c>
      <c r="E4537" s="43">
        <v>8000</v>
      </c>
      <c r="F4537" s="43"/>
      <c r="G4537" s="364">
        <f t="shared" si="124"/>
        <v>8440</v>
      </c>
      <c r="H4537" s="391" t="s">
        <v>9568</v>
      </c>
    </row>
    <row r="4538" spans="1:8" x14ac:dyDescent="0.3">
      <c r="A4538" s="45">
        <v>44849</v>
      </c>
      <c r="B4538" s="399" t="s">
        <v>118</v>
      </c>
      <c r="C4538" s="5" t="s">
        <v>9873</v>
      </c>
      <c r="D4538" s="5" t="s">
        <v>9898</v>
      </c>
      <c r="E4538" s="43">
        <v>5855</v>
      </c>
      <c r="F4538" s="43"/>
      <c r="G4538" s="364">
        <f t="shared" si="124"/>
        <v>2585</v>
      </c>
      <c r="H4538" s="391" t="s">
        <v>9568</v>
      </c>
    </row>
    <row r="4539" spans="1:8" x14ac:dyDescent="0.3">
      <c r="A4539" s="45">
        <v>44849</v>
      </c>
      <c r="B4539" s="585"/>
      <c r="C4539" s="566" t="s">
        <v>9830</v>
      </c>
      <c r="D4539" s="566"/>
      <c r="E4539" s="566"/>
      <c r="F4539" s="43">
        <v>200000</v>
      </c>
      <c r="G4539" s="364">
        <f t="shared" si="124"/>
        <v>202585</v>
      </c>
      <c r="H4539" s="391" t="s">
        <v>9568</v>
      </c>
    </row>
    <row r="4540" spans="1:8" x14ac:dyDescent="0.3">
      <c r="A4540" s="45">
        <v>44849</v>
      </c>
      <c r="B4540" s="399" t="s">
        <v>9863</v>
      </c>
      <c r="C4540" s="5" t="s">
        <v>5156</v>
      </c>
      <c r="D4540" s="5"/>
      <c r="E4540" s="43">
        <v>340</v>
      </c>
      <c r="F4540" s="43"/>
      <c r="G4540" s="364">
        <f t="shared" si="124"/>
        <v>202245</v>
      </c>
      <c r="H4540" s="391" t="s">
        <v>9568</v>
      </c>
    </row>
    <row r="4541" spans="1:8" x14ac:dyDescent="0.3">
      <c r="A4541" s="45">
        <v>44849</v>
      </c>
      <c r="B4541" s="399" t="s">
        <v>9857</v>
      </c>
      <c r="C4541" s="5" t="s">
        <v>5156</v>
      </c>
      <c r="D4541" s="5"/>
      <c r="E4541" s="43">
        <f>320+340</f>
        <v>660</v>
      </c>
      <c r="F4541" s="43"/>
      <c r="G4541" s="364">
        <f t="shared" si="124"/>
        <v>201585</v>
      </c>
      <c r="H4541" s="391" t="s">
        <v>9568</v>
      </c>
    </row>
    <row r="4542" spans="1:8" x14ac:dyDescent="0.3">
      <c r="A4542" s="45">
        <v>44849</v>
      </c>
      <c r="B4542" s="399" t="s">
        <v>9879</v>
      </c>
      <c r="C4542" s="5" t="s">
        <v>5156</v>
      </c>
      <c r="D4542" s="5"/>
      <c r="E4542" s="43">
        <v>600</v>
      </c>
      <c r="F4542" s="43"/>
      <c r="G4542" s="364">
        <f t="shared" si="124"/>
        <v>200985</v>
      </c>
      <c r="H4542" s="391" t="s">
        <v>9568</v>
      </c>
    </row>
    <row r="4543" spans="1:8" x14ac:dyDescent="0.3">
      <c r="A4543" s="45">
        <v>44849</v>
      </c>
      <c r="B4543" s="399" t="s">
        <v>9857</v>
      </c>
      <c r="C4543" s="5" t="s">
        <v>5156</v>
      </c>
      <c r="D4543" s="5"/>
      <c r="E4543" s="43">
        <v>1510</v>
      </c>
      <c r="F4543" s="43"/>
      <c r="G4543" s="364">
        <f t="shared" si="124"/>
        <v>199475</v>
      </c>
      <c r="H4543" s="391" t="s">
        <v>9568</v>
      </c>
    </row>
    <row r="4544" spans="1:8" x14ac:dyDescent="0.3">
      <c r="A4544" s="45">
        <v>44849</v>
      </c>
      <c r="B4544" s="399" t="s">
        <v>1449</v>
      </c>
      <c r="C4544" s="5" t="s">
        <v>9939</v>
      </c>
      <c r="D4544" s="5" t="s">
        <v>55</v>
      </c>
      <c r="E4544" s="43">
        <v>1500</v>
      </c>
      <c r="F4544" s="43"/>
      <c r="G4544" s="364">
        <f t="shared" si="124"/>
        <v>197975</v>
      </c>
      <c r="H4544" s="391" t="s">
        <v>9568</v>
      </c>
    </row>
    <row r="4545" spans="1:8" x14ac:dyDescent="0.3">
      <c r="A4545" s="45">
        <v>44849</v>
      </c>
      <c r="B4545" s="409" t="s">
        <v>9935</v>
      </c>
      <c r="C4545" s="61" t="s">
        <v>1512</v>
      </c>
      <c r="D4545" s="61" t="s">
        <v>40</v>
      </c>
      <c r="E4545" s="62">
        <v>28000</v>
      </c>
      <c r="F4545" s="43"/>
      <c r="G4545" s="364">
        <f t="shared" si="124"/>
        <v>169975</v>
      </c>
      <c r="H4545" s="391" t="s">
        <v>9568</v>
      </c>
    </row>
    <row r="4546" spans="1:8" x14ac:dyDescent="0.3">
      <c r="A4546" s="45">
        <v>44849</v>
      </c>
      <c r="B4546" s="399"/>
      <c r="C4546" s="5" t="s">
        <v>5709</v>
      </c>
      <c r="D4546" s="5" t="s">
        <v>9936</v>
      </c>
      <c r="E4546" s="43">
        <v>4000</v>
      </c>
      <c r="F4546" s="43"/>
      <c r="G4546" s="364">
        <f t="shared" si="124"/>
        <v>165975</v>
      </c>
      <c r="H4546" s="391" t="s">
        <v>9568</v>
      </c>
    </row>
    <row r="4547" spans="1:8" x14ac:dyDescent="0.3">
      <c r="A4547" s="45">
        <v>44849</v>
      </c>
      <c r="B4547" s="399"/>
      <c r="C4547" s="5" t="s">
        <v>5709</v>
      </c>
      <c r="D4547" s="5" t="s">
        <v>9937</v>
      </c>
      <c r="E4547" s="43">
        <v>4000</v>
      </c>
      <c r="F4547" s="43"/>
      <c r="G4547" s="364">
        <f t="shared" si="124"/>
        <v>161975</v>
      </c>
      <c r="H4547" s="391" t="s">
        <v>9568</v>
      </c>
    </row>
    <row r="4548" spans="1:8" x14ac:dyDescent="0.3">
      <c r="A4548" s="45">
        <v>44849</v>
      </c>
      <c r="B4548" s="399" t="s">
        <v>30</v>
      </c>
      <c r="C4548" s="5" t="s">
        <v>41</v>
      </c>
      <c r="D4548" s="5" t="s">
        <v>2248</v>
      </c>
      <c r="E4548" s="43">
        <v>400</v>
      </c>
      <c r="F4548" s="43"/>
      <c r="G4548" s="364">
        <f t="shared" si="124"/>
        <v>161575</v>
      </c>
      <c r="H4548" s="391" t="s">
        <v>9568</v>
      </c>
    </row>
    <row r="4549" spans="1:8" x14ac:dyDescent="0.3">
      <c r="A4549" s="45">
        <v>44849</v>
      </c>
      <c r="B4549" s="399" t="s">
        <v>5793</v>
      </c>
      <c r="C4549" s="5" t="s">
        <v>9044</v>
      </c>
      <c r="D4549" s="5" t="s">
        <v>40</v>
      </c>
      <c r="E4549" s="43">
        <v>500</v>
      </c>
      <c r="F4549" s="43"/>
      <c r="G4549" s="364">
        <f t="shared" si="124"/>
        <v>161075</v>
      </c>
      <c r="H4549" s="391" t="s">
        <v>9568</v>
      </c>
    </row>
    <row r="4550" spans="1:8" x14ac:dyDescent="0.3">
      <c r="A4550" s="45">
        <v>44851</v>
      </c>
      <c r="B4550" s="399" t="s">
        <v>10615</v>
      </c>
      <c r="C4550" s="5" t="s">
        <v>6430</v>
      </c>
      <c r="D4550" s="5" t="s">
        <v>294</v>
      </c>
      <c r="E4550" s="43">
        <v>10000</v>
      </c>
      <c r="F4550" s="43"/>
      <c r="G4550" s="364">
        <f t="shared" si="124"/>
        <v>151075</v>
      </c>
      <c r="H4550" s="391" t="s">
        <v>9568</v>
      </c>
    </row>
    <row r="4551" spans="1:8" x14ac:dyDescent="0.3">
      <c r="A4551" s="45">
        <v>44851</v>
      </c>
      <c r="B4551" s="399"/>
      <c r="C4551" s="5" t="s">
        <v>64</v>
      </c>
      <c r="D4551" s="5" t="s">
        <v>40</v>
      </c>
      <c r="E4551" s="43">
        <v>1500</v>
      </c>
      <c r="F4551" s="43"/>
      <c r="G4551" s="364">
        <f t="shared" si="124"/>
        <v>149575</v>
      </c>
      <c r="H4551" s="391" t="s">
        <v>9568</v>
      </c>
    </row>
    <row r="4552" spans="1:8" x14ac:dyDescent="0.3">
      <c r="A4552" s="45">
        <v>44852</v>
      </c>
      <c r="B4552" s="399" t="s">
        <v>5793</v>
      </c>
      <c r="C4552" s="5" t="s">
        <v>9044</v>
      </c>
      <c r="D4552" s="5" t="s">
        <v>40</v>
      </c>
      <c r="E4552" s="43">
        <v>500</v>
      </c>
      <c r="F4552" s="43"/>
      <c r="G4552" s="364">
        <f t="shared" si="124"/>
        <v>149075</v>
      </c>
      <c r="H4552" s="391" t="s">
        <v>9568</v>
      </c>
    </row>
    <row r="4553" spans="1:8" x14ac:dyDescent="0.3">
      <c r="A4553" s="45">
        <v>44852</v>
      </c>
      <c r="B4553" s="399" t="s">
        <v>4935</v>
      </c>
      <c r="C4553" s="5" t="s">
        <v>4550</v>
      </c>
      <c r="D4553" s="5" t="s">
        <v>9940</v>
      </c>
      <c r="E4553" s="43">
        <v>30000</v>
      </c>
      <c r="F4553" s="43"/>
      <c r="G4553" s="364">
        <f t="shared" si="124"/>
        <v>119075</v>
      </c>
      <c r="H4553" s="391" t="s">
        <v>9568</v>
      </c>
    </row>
    <row r="4554" spans="1:8" x14ac:dyDescent="0.3">
      <c r="A4554" s="45">
        <v>44852</v>
      </c>
      <c r="B4554" s="399" t="s">
        <v>9863</v>
      </c>
      <c r="C4554" s="5" t="s">
        <v>18</v>
      </c>
      <c r="D4554" s="5" t="s">
        <v>294</v>
      </c>
      <c r="E4554" s="43">
        <v>10000</v>
      </c>
      <c r="F4554" s="43"/>
      <c r="G4554" s="364">
        <f t="shared" si="124"/>
        <v>109075</v>
      </c>
      <c r="H4554" s="391" t="s">
        <v>9568</v>
      </c>
    </row>
    <row r="4555" spans="1:8" x14ac:dyDescent="0.3">
      <c r="A4555" s="45">
        <v>44852</v>
      </c>
      <c r="B4555" s="399" t="s">
        <v>118</v>
      </c>
      <c r="C4555" s="5" t="s">
        <v>9873</v>
      </c>
      <c r="D4555" s="5" t="s">
        <v>9898</v>
      </c>
      <c r="E4555" s="43">
        <v>6655</v>
      </c>
      <c r="F4555" s="43"/>
      <c r="G4555" s="364">
        <f t="shared" si="124"/>
        <v>102420</v>
      </c>
      <c r="H4555" s="391" t="s">
        <v>9568</v>
      </c>
    </row>
    <row r="4556" spans="1:8" x14ac:dyDescent="0.3">
      <c r="A4556" s="45">
        <v>44853</v>
      </c>
      <c r="B4556" s="399" t="s">
        <v>10615</v>
      </c>
      <c r="C4556" s="5" t="s">
        <v>6430</v>
      </c>
      <c r="D4556" s="5" t="s">
        <v>9946</v>
      </c>
      <c r="E4556" s="43">
        <v>9900</v>
      </c>
      <c r="F4556" s="43"/>
      <c r="G4556" s="364">
        <f t="shared" si="124"/>
        <v>92520</v>
      </c>
      <c r="H4556" s="391" t="s">
        <v>9568</v>
      </c>
    </row>
    <row r="4557" spans="1:8" x14ac:dyDescent="0.3">
      <c r="A4557" s="45">
        <v>44853</v>
      </c>
      <c r="B4557" s="399" t="s">
        <v>10615</v>
      </c>
      <c r="C4557" s="5" t="s">
        <v>6430</v>
      </c>
      <c r="D4557" s="5" t="s">
        <v>3183</v>
      </c>
      <c r="E4557" s="43">
        <v>3000</v>
      </c>
      <c r="F4557" s="43"/>
      <c r="G4557" s="364">
        <f t="shared" si="124"/>
        <v>89520</v>
      </c>
      <c r="H4557" s="391" t="s">
        <v>9568</v>
      </c>
    </row>
    <row r="4558" spans="1:8" x14ac:dyDescent="0.3">
      <c r="A4558" s="45">
        <v>44853</v>
      </c>
      <c r="B4558" s="399" t="s">
        <v>9860</v>
      </c>
      <c r="C4558" s="5" t="s">
        <v>68</v>
      </c>
      <c r="D4558" s="5" t="s">
        <v>3557</v>
      </c>
      <c r="E4558" s="43">
        <v>10000</v>
      </c>
      <c r="F4558" s="43"/>
      <c r="G4558" s="364">
        <f t="shared" si="124"/>
        <v>79520</v>
      </c>
      <c r="H4558" s="391" t="s">
        <v>9568</v>
      </c>
    </row>
    <row r="4559" spans="1:8" x14ac:dyDescent="0.3">
      <c r="A4559" s="45">
        <v>44853</v>
      </c>
      <c r="B4559" s="399" t="s">
        <v>9857</v>
      </c>
      <c r="C4559" s="5" t="s">
        <v>9947</v>
      </c>
      <c r="D4559" s="5" t="s">
        <v>9948</v>
      </c>
      <c r="E4559" s="43">
        <v>50000</v>
      </c>
      <c r="F4559" s="43"/>
      <c r="G4559" s="364">
        <f t="shared" si="124"/>
        <v>29520</v>
      </c>
      <c r="H4559" s="391" t="s">
        <v>9568</v>
      </c>
    </row>
    <row r="4560" spans="1:8" x14ac:dyDescent="0.3">
      <c r="A4560" s="45">
        <v>44853</v>
      </c>
      <c r="B4560" s="399" t="s">
        <v>9863</v>
      </c>
      <c r="C4560" s="5" t="s">
        <v>9756</v>
      </c>
      <c r="D4560" s="5" t="s">
        <v>9965</v>
      </c>
      <c r="E4560" s="43">
        <v>16000</v>
      </c>
      <c r="F4560" s="43"/>
      <c r="G4560" s="364">
        <f t="shared" si="124"/>
        <v>13520</v>
      </c>
      <c r="H4560" s="391" t="s">
        <v>9568</v>
      </c>
    </row>
    <row r="4561" spans="1:8" x14ac:dyDescent="0.3">
      <c r="A4561" s="45">
        <v>44854</v>
      </c>
      <c r="B4561" s="399" t="s">
        <v>5793</v>
      </c>
      <c r="C4561" s="5" t="s">
        <v>9044</v>
      </c>
      <c r="D4561" s="5" t="s">
        <v>40</v>
      </c>
      <c r="E4561" s="43">
        <v>500</v>
      </c>
      <c r="F4561" s="43"/>
      <c r="G4561" s="364">
        <f t="shared" si="124"/>
        <v>13020</v>
      </c>
      <c r="H4561" s="391" t="s">
        <v>9568</v>
      </c>
    </row>
    <row r="4562" spans="1:8" x14ac:dyDescent="0.3">
      <c r="A4562" s="45">
        <v>44854</v>
      </c>
      <c r="B4562" s="399" t="s">
        <v>12190</v>
      </c>
      <c r="C4562" s="5" t="s">
        <v>1616</v>
      </c>
      <c r="D4562" s="5" t="s">
        <v>9951</v>
      </c>
      <c r="E4562" s="43">
        <v>3000</v>
      </c>
      <c r="F4562" s="43"/>
      <c r="G4562" s="364">
        <f t="shared" si="124"/>
        <v>10020</v>
      </c>
      <c r="H4562" s="391" t="s">
        <v>9568</v>
      </c>
    </row>
    <row r="4563" spans="1:8" x14ac:dyDescent="0.3">
      <c r="A4563" s="45">
        <v>44854</v>
      </c>
      <c r="B4563" s="399" t="s">
        <v>12190</v>
      </c>
      <c r="C4563" s="5" t="s">
        <v>1616</v>
      </c>
      <c r="D4563" s="5" t="s">
        <v>5250</v>
      </c>
      <c r="E4563" s="43">
        <v>700</v>
      </c>
      <c r="F4563" s="43"/>
      <c r="G4563" s="364">
        <f t="shared" si="124"/>
        <v>9320</v>
      </c>
      <c r="H4563" s="391" t="s">
        <v>9568</v>
      </c>
    </row>
    <row r="4564" spans="1:8" x14ac:dyDescent="0.3">
      <c r="A4564" s="45">
        <v>44854</v>
      </c>
      <c r="B4564" s="399" t="s">
        <v>5793</v>
      </c>
      <c r="C4564" s="5" t="s">
        <v>9756</v>
      </c>
      <c r="D4564" s="5" t="s">
        <v>9952</v>
      </c>
      <c r="E4564" s="43">
        <v>500</v>
      </c>
      <c r="F4564" s="43"/>
      <c r="G4564" s="364">
        <f t="shared" si="124"/>
        <v>8820</v>
      </c>
      <c r="H4564" s="391" t="s">
        <v>9568</v>
      </c>
    </row>
    <row r="4565" spans="1:8" x14ac:dyDescent="0.3">
      <c r="A4565" s="45">
        <v>44854</v>
      </c>
      <c r="B4565" s="586"/>
      <c r="C4565" s="486" t="s">
        <v>9830</v>
      </c>
      <c r="D4565" s="486"/>
      <c r="E4565" s="486"/>
      <c r="F4565" s="43">
        <v>480000</v>
      </c>
      <c r="G4565" s="364">
        <f t="shared" si="124"/>
        <v>488820</v>
      </c>
      <c r="H4565" s="391" t="s">
        <v>9568</v>
      </c>
    </row>
    <row r="4566" spans="1:8" x14ac:dyDescent="0.3">
      <c r="A4566" s="45">
        <v>44854</v>
      </c>
      <c r="B4566" s="399" t="s">
        <v>9878</v>
      </c>
      <c r="C4566" s="5" t="s">
        <v>9954</v>
      </c>
      <c r="D4566" s="5" t="s">
        <v>9955</v>
      </c>
      <c r="E4566" s="43">
        <v>30000</v>
      </c>
      <c r="F4566" s="43"/>
      <c r="G4566" s="364">
        <f t="shared" si="124"/>
        <v>458820</v>
      </c>
      <c r="H4566" s="391" t="s">
        <v>9568</v>
      </c>
    </row>
    <row r="4567" spans="1:8" x14ac:dyDescent="0.3">
      <c r="A4567" s="45">
        <v>44854</v>
      </c>
      <c r="B4567" s="399" t="s">
        <v>9863</v>
      </c>
      <c r="C4567" s="5" t="s">
        <v>9602</v>
      </c>
      <c r="D4567" s="5" t="s">
        <v>9953</v>
      </c>
      <c r="E4567" s="43">
        <v>50000</v>
      </c>
      <c r="F4567" s="43"/>
      <c r="G4567" s="364">
        <f t="shared" si="124"/>
        <v>408820</v>
      </c>
      <c r="H4567" s="391" t="s">
        <v>9568</v>
      </c>
    </row>
    <row r="4568" spans="1:8" x14ac:dyDescent="0.3">
      <c r="A4568" s="45">
        <v>44854</v>
      </c>
      <c r="B4568" s="399" t="s">
        <v>9860</v>
      </c>
      <c r="C4568" s="5" t="s">
        <v>7744</v>
      </c>
      <c r="D4568" s="5" t="s">
        <v>9956</v>
      </c>
      <c r="E4568" s="43">
        <v>48000</v>
      </c>
      <c r="F4568" s="43"/>
      <c r="G4568" s="364">
        <f t="shared" si="124"/>
        <v>360820</v>
      </c>
      <c r="H4568" s="391" t="s">
        <v>9568</v>
      </c>
    </row>
    <row r="4569" spans="1:8" x14ac:dyDescent="0.3">
      <c r="A4569" s="45">
        <v>44854</v>
      </c>
      <c r="B4569" s="399" t="s">
        <v>4935</v>
      </c>
      <c r="C4569" s="5" t="s">
        <v>84</v>
      </c>
      <c r="D4569" s="5" t="s">
        <v>9957</v>
      </c>
      <c r="E4569" s="43">
        <v>2000</v>
      </c>
      <c r="F4569" s="43"/>
      <c r="G4569" s="364">
        <f t="shared" si="124"/>
        <v>358820</v>
      </c>
      <c r="H4569" s="391" t="s">
        <v>9568</v>
      </c>
    </row>
    <row r="4570" spans="1:8" x14ac:dyDescent="0.3">
      <c r="A4570" s="45">
        <v>44854</v>
      </c>
      <c r="B4570" s="399" t="s">
        <v>4935</v>
      </c>
      <c r="C4570" s="5" t="s">
        <v>84</v>
      </c>
      <c r="D4570" s="5" t="s">
        <v>9958</v>
      </c>
      <c r="E4570" s="43">
        <v>2000</v>
      </c>
      <c r="F4570" s="43"/>
      <c r="G4570" s="364">
        <f t="shared" si="124"/>
        <v>356820</v>
      </c>
      <c r="H4570" s="391" t="s">
        <v>9568</v>
      </c>
    </row>
    <row r="4571" spans="1:8" x14ac:dyDescent="0.3">
      <c r="A4571" s="45">
        <v>44854</v>
      </c>
      <c r="B4571" s="399" t="s">
        <v>9860</v>
      </c>
      <c r="C4571" s="5" t="s">
        <v>5793</v>
      </c>
      <c r="D4571" s="5" t="s">
        <v>40</v>
      </c>
      <c r="E4571" s="43">
        <v>1500</v>
      </c>
      <c r="F4571" s="43"/>
      <c r="G4571" s="364">
        <f t="shared" si="124"/>
        <v>355320</v>
      </c>
      <c r="H4571" s="391" t="s">
        <v>9568</v>
      </c>
    </row>
    <row r="4572" spans="1:8" x14ac:dyDescent="0.3">
      <c r="A4572" s="45">
        <v>44854</v>
      </c>
      <c r="B4572" s="399" t="s">
        <v>9863</v>
      </c>
      <c r="C4572" s="5" t="s">
        <v>84</v>
      </c>
      <c r="D4572" s="5" t="s">
        <v>9960</v>
      </c>
      <c r="E4572" s="43">
        <v>30000</v>
      </c>
      <c r="F4572" s="43"/>
      <c r="G4572" s="364">
        <f t="shared" si="124"/>
        <v>325320</v>
      </c>
      <c r="H4572" s="391" t="s">
        <v>9568</v>
      </c>
    </row>
    <row r="4573" spans="1:8" x14ac:dyDescent="0.3">
      <c r="A4573" s="45">
        <v>44854</v>
      </c>
      <c r="B4573" s="399" t="s">
        <v>9860</v>
      </c>
      <c r="C4573" s="5" t="s">
        <v>2995</v>
      </c>
      <c r="D4573" s="5" t="s">
        <v>9959</v>
      </c>
      <c r="E4573" s="43">
        <v>7600</v>
      </c>
      <c r="F4573" s="43"/>
      <c r="G4573" s="364">
        <f t="shared" si="124"/>
        <v>317720</v>
      </c>
      <c r="H4573" s="391" t="s">
        <v>9568</v>
      </c>
    </row>
    <row r="4574" spans="1:8" x14ac:dyDescent="0.3">
      <c r="A4574" s="45">
        <v>44855</v>
      </c>
      <c r="B4574" s="399" t="s">
        <v>26</v>
      </c>
      <c r="C4574" s="5" t="s">
        <v>247</v>
      </c>
      <c r="D4574" s="5" t="s">
        <v>9961</v>
      </c>
      <c r="E4574" s="43">
        <v>780</v>
      </c>
      <c r="F4574" s="43"/>
      <c r="G4574" s="364">
        <f t="shared" si="124"/>
        <v>316940</v>
      </c>
      <c r="H4574" s="391" t="s">
        <v>9568</v>
      </c>
    </row>
    <row r="4575" spans="1:8" x14ac:dyDescent="0.3">
      <c r="A4575" s="45">
        <v>44855</v>
      </c>
      <c r="B4575" s="399" t="s">
        <v>9863</v>
      </c>
      <c r="C4575" s="5" t="s">
        <v>8573</v>
      </c>
      <c r="D4575" s="5" t="s">
        <v>9962</v>
      </c>
      <c r="E4575" s="43">
        <v>10000</v>
      </c>
      <c r="F4575" s="43"/>
      <c r="G4575" s="364">
        <f t="shared" si="124"/>
        <v>306940</v>
      </c>
      <c r="H4575" s="391" t="s">
        <v>9568</v>
      </c>
    </row>
    <row r="4576" spans="1:8" x14ac:dyDescent="0.3">
      <c r="A4576" s="45">
        <v>44855</v>
      </c>
      <c r="B4576" s="399" t="s">
        <v>9860</v>
      </c>
      <c r="C4576" s="5" t="s">
        <v>9525</v>
      </c>
      <c r="D4576" s="5" t="s">
        <v>9963</v>
      </c>
      <c r="E4576" s="43">
        <v>1900</v>
      </c>
      <c r="F4576" s="43"/>
      <c r="G4576" s="364">
        <f t="shared" si="124"/>
        <v>305040</v>
      </c>
      <c r="H4576" s="391" t="s">
        <v>9568</v>
      </c>
    </row>
    <row r="4577" spans="1:8" x14ac:dyDescent="0.3">
      <c r="A4577" s="45">
        <v>44855</v>
      </c>
      <c r="B4577" s="399" t="s">
        <v>9860</v>
      </c>
      <c r="C4577" s="5" t="s">
        <v>68</v>
      </c>
      <c r="D4577" s="5" t="s">
        <v>9964</v>
      </c>
      <c r="E4577" s="43">
        <v>3000</v>
      </c>
      <c r="F4577" s="43"/>
      <c r="G4577" s="364">
        <f t="shared" si="124"/>
        <v>302040</v>
      </c>
      <c r="H4577" s="391" t="s">
        <v>9568</v>
      </c>
    </row>
    <row r="4578" spans="1:8" x14ac:dyDescent="0.3">
      <c r="A4578" s="45">
        <v>44856</v>
      </c>
      <c r="B4578" s="399" t="s">
        <v>118</v>
      </c>
      <c r="C4578" s="5" t="s">
        <v>9873</v>
      </c>
      <c r="D4578" s="5" t="s">
        <v>9898</v>
      </c>
      <c r="E4578" s="43">
        <v>6755</v>
      </c>
      <c r="F4578" s="43"/>
      <c r="G4578" s="364">
        <f t="shared" si="124"/>
        <v>295285</v>
      </c>
      <c r="H4578" s="391" t="s">
        <v>9568</v>
      </c>
    </row>
    <row r="4579" spans="1:8" x14ac:dyDescent="0.3">
      <c r="A4579" s="45">
        <v>44856</v>
      </c>
      <c r="B4579" s="399" t="s">
        <v>9925</v>
      </c>
      <c r="C4579" s="5" t="s">
        <v>8708</v>
      </c>
      <c r="D4579" s="5" t="s">
        <v>9966</v>
      </c>
      <c r="E4579" s="43">
        <v>2500</v>
      </c>
      <c r="F4579" s="43"/>
      <c r="G4579" s="364">
        <f t="shared" si="124"/>
        <v>292785</v>
      </c>
      <c r="H4579" s="391" t="s">
        <v>9568</v>
      </c>
    </row>
    <row r="4580" spans="1:8" x14ac:dyDescent="0.3">
      <c r="A4580" s="45">
        <v>44856</v>
      </c>
      <c r="B4580" s="399" t="s">
        <v>9863</v>
      </c>
      <c r="C4580" s="5" t="s">
        <v>9452</v>
      </c>
      <c r="D4580" s="5" t="s">
        <v>9967</v>
      </c>
      <c r="E4580" s="43">
        <v>42000</v>
      </c>
      <c r="F4580" s="43"/>
      <c r="G4580" s="364">
        <f t="shared" si="124"/>
        <v>250785</v>
      </c>
      <c r="H4580" s="391" t="s">
        <v>9568</v>
      </c>
    </row>
    <row r="4581" spans="1:8" x14ac:dyDescent="0.3">
      <c r="A4581" s="45">
        <v>44856</v>
      </c>
      <c r="B4581" s="399" t="s">
        <v>9863</v>
      </c>
      <c r="C4581" s="5" t="s">
        <v>68</v>
      </c>
      <c r="D4581" s="5" t="s">
        <v>9968</v>
      </c>
      <c r="E4581" s="43">
        <v>20000</v>
      </c>
      <c r="F4581" s="43"/>
      <c r="G4581" s="364">
        <f t="shared" si="124"/>
        <v>230785</v>
      </c>
      <c r="H4581" s="391" t="s">
        <v>9568</v>
      </c>
    </row>
    <row r="4582" spans="1:8" x14ac:dyDescent="0.3">
      <c r="A4582" s="45">
        <v>44856</v>
      </c>
      <c r="B4582" s="399"/>
      <c r="C4582" s="5" t="s">
        <v>84</v>
      </c>
      <c r="D4582" s="5" t="s">
        <v>9969</v>
      </c>
      <c r="E4582" s="43">
        <v>5000</v>
      </c>
      <c r="F4582" s="43"/>
      <c r="G4582" s="364">
        <f t="shared" si="124"/>
        <v>225785</v>
      </c>
      <c r="H4582" s="391" t="s">
        <v>9568</v>
      </c>
    </row>
    <row r="4583" spans="1:8" x14ac:dyDescent="0.3">
      <c r="A4583" s="45">
        <v>44856</v>
      </c>
      <c r="B4583" s="399"/>
      <c r="C4583" s="5" t="s">
        <v>4400</v>
      </c>
      <c r="D4583" s="5" t="s">
        <v>9970</v>
      </c>
      <c r="E4583" s="43">
        <v>4670</v>
      </c>
      <c r="F4583" s="43"/>
      <c r="G4583" s="364">
        <f t="shared" si="124"/>
        <v>221115</v>
      </c>
      <c r="H4583" s="391" t="s">
        <v>9568</v>
      </c>
    </row>
    <row r="4584" spans="1:8" x14ac:dyDescent="0.3">
      <c r="A4584" s="45">
        <v>44856</v>
      </c>
      <c r="B4584" s="399" t="s">
        <v>9863</v>
      </c>
      <c r="C4584" s="5" t="s">
        <v>5793</v>
      </c>
      <c r="D4584" s="5" t="s">
        <v>40</v>
      </c>
      <c r="E4584" s="43">
        <v>2000</v>
      </c>
      <c r="F4584" s="43"/>
      <c r="G4584" s="364">
        <f t="shared" si="124"/>
        <v>219115</v>
      </c>
      <c r="H4584" s="391" t="s">
        <v>9568</v>
      </c>
    </row>
    <row r="4585" spans="1:8" x14ac:dyDescent="0.3">
      <c r="A4585" s="45">
        <v>44856</v>
      </c>
      <c r="B4585" s="399" t="s">
        <v>4935</v>
      </c>
      <c r="C4585" s="5" t="s">
        <v>4550</v>
      </c>
      <c r="D4585" s="5" t="s">
        <v>9327</v>
      </c>
      <c r="E4585" s="43">
        <v>3000</v>
      </c>
      <c r="F4585" s="43"/>
      <c r="G4585" s="364">
        <f t="shared" si="124"/>
        <v>216115</v>
      </c>
      <c r="H4585" s="391" t="s">
        <v>9568</v>
      </c>
    </row>
    <row r="4586" spans="1:8" x14ac:dyDescent="0.3">
      <c r="A4586" s="45">
        <v>44858</v>
      </c>
      <c r="B4586" s="399" t="s">
        <v>118</v>
      </c>
      <c r="C4586" s="5" t="s">
        <v>1074</v>
      </c>
      <c r="D4586" s="5" t="s">
        <v>9971</v>
      </c>
      <c r="E4586" s="43">
        <f>21167+2401</f>
        <v>23568</v>
      </c>
      <c r="F4586" s="43"/>
      <c r="G4586" s="364">
        <f t="shared" si="124"/>
        <v>192547</v>
      </c>
      <c r="H4586" s="391" t="s">
        <v>9568</v>
      </c>
    </row>
    <row r="4587" spans="1:8" x14ac:dyDescent="0.3">
      <c r="A4587" s="45">
        <v>44858</v>
      </c>
      <c r="B4587" s="399" t="s">
        <v>12190</v>
      </c>
      <c r="C4587" s="5" t="s">
        <v>1074</v>
      </c>
      <c r="D4587" s="5" t="s">
        <v>9971</v>
      </c>
      <c r="E4587" s="43">
        <f>24059+6004</f>
        <v>30063</v>
      </c>
      <c r="F4587" s="43"/>
      <c r="G4587" s="364">
        <f t="shared" ref="G4587:G4650" si="125">G4586+F4587-E4587</f>
        <v>162484</v>
      </c>
      <c r="H4587" s="391" t="s">
        <v>9568</v>
      </c>
    </row>
    <row r="4588" spans="1:8" x14ac:dyDescent="0.3">
      <c r="A4588" s="45">
        <v>44858</v>
      </c>
      <c r="B4588" s="399"/>
      <c r="C4588" s="5" t="s">
        <v>541</v>
      </c>
      <c r="D4588" s="5" t="s">
        <v>9973</v>
      </c>
      <c r="E4588" s="43">
        <v>3500</v>
      </c>
      <c r="F4588" s="43"/>
      <c r="G4588" s="364">
        <f t="shared" si="125"/>
        <v>158984</v>
      </c>
      <c r="H4588" s="391" t="s">
        <v>9568</v>
      </c>
    </row>
    <row r="4589" spans="1:8" x14ac:dyDescent="0.3">
      <c r="A4589" s="45">
        <v>44858</v>
      </c>
      <c r="B4589" s="399" t="s">
        <v>118</v>
      </c>
      <c r="C4589" s="5" t="s">
        <v>9974</v>
      </c>
      <c r="D4589" s="5" t="s">
        <v>9975</v>
      </c>
      <c r="E4589" s="43">
        <v>12000</v>
      </c>
      <c r="F4589" s="43"/>
      <c r="G4589" s="364">
        <f t="shared" si="125"/>
        <v>146984</v>
      </c>
      <c r="H4589" s="391" t="s">
        <v>9568</v>
      </c>
    </row>
    <row r="4590" spans="1:8" x14ac:dyDescent="0.3">
      <c r="A4590" s="45">
        <v>44858</v>
      </c>
      <c r="B4590" s="399" t="s">
        <v>9857</v>
      </c>
      <c r="C4590" s="5" t="s">
        <v>68</v>
      </c>
      <c r="D4590" s="5" t="s">
        <v>9976</v>
      </c>
      <c r="E4590" s="43">
        <v>18500</v>
      </c>
      <c r="F4590" s="43"/>
      <c r="G4590" s="364">
        <f t="shared" si="125"/>
        <v>128484</v>
      </c>
      <c r="H4590" s="391" t="s">
        <v>9568</v>
      </c>
    </row>
    <row r="4591" spans="1:8" x14ac:dyDescent="0.3">
      <c r="A4591" s="45">
        <v>44858</v>
      </c>
      <c r="B4591" s="409" t="s">
        <v>9862</v>
      </c>
      <c r="C4591" s="61" t="s">
        <v>1512</v>
      </c>
      <c r="D4591" s="61" t="s">
        <v>9977</v>
      </c>
      <c r="E4591" s="62">
        <v>11000</v>
      </c>
      <c r="F4591" s="43"/>
      <c r="G4591" s="364">
        <f t="shared" si="125"/>
        <v>117484</v>
      </c>
      <c r="H4591" s="391" t="s">
        <v>9568</v>
      </c>
    </row>
    <row r="4592" spans="1:8" ht="21" x14ac:dyDescent="0.3">
      <c r="A4592" s="45">
        <v>44858</v>
      </c>
      <c r="B4592" s="587"/>
      <c r="C4592" s="567" t="s">
        <v>9978</v>
      </c>
      <c r="D4592" s="567"/>
      <c r="E4592" s="567"/>
      <c r="F4592" s="43">
        <v>400000</v>
      </c>
      <c r="G4592" s="364">
        <f t="shared" si="125"/>
        <v>517484</v>
      </c>
      <c r="H4592" s="391" t="s">
        <v>9568</v>
      </c>
    </row>
    <row r="4593" spans="1:8" x14ac:dyDescent="0.3">
      <c r="A4593" s="45">
        <v>44858</v>
      </c>
      <c r="B4593" s="399" t="s">
        <v>9860</v>
      </c>
      <c r="C4593" s="5" t="s">
        <v>9044</v>
      </c>
      <c r="D4593" s="5" t="s">
        <v>9979</v>
      </c>
      <c r="E4593" s="43">
        <v>30000</v>
      </c>
      <c r="F4593" s="43"/>
      <c r="G4593" s="364">
        <f t="shared" si="125"/>
        <v>487484</v>
      </c>
      <c r="H4593" s="391" t="s">
        <v>9568</v>
      </c>
    </row>
    <row r="4594" spans="1:8" x14ac:dyDescent="0.3">
      <c r="A4594" s="45">
        <v>44858</v>
      </c>
      <c r="B4594" s="580"/>
      <c r="C4594" s="554" t="s">
        <v>9830</v>
      </c>
      <c r="D4594" s="554"/>
      <c r="E4594" s="554"/>
      <c r="F4594" s="43">
        <v>497000</v>
      </c>
      <c r="G4594" s="364">
        <f t="shared" si="125"/>
        <v>984484</v>
      </c>
      <c r="H4594" s="391" t="s">
        <v>9568</v>
      </c>
    </row>
    <row r="4595" spans="1:8" x14ac:dyDescent="0.3">
      <c r="A4595" s="45">
        <v>44858</v>
      </c>
      <c r="B4595" s="399" t="s">
        <v>30</v>
      </c>
      <c r="C4595" s="5" t="s">
        <v>9756</v>
      </c>
      <c r="D4595" s="5" t="s">
        <v>6312</v>
      </c>
      <c r="E4595" s="43">
        <v>1200</v>
      </c>
      <c r="F4595" s="43"/>
      <c r="G4595" s="364">
        <f t="shared" si="125"/>
        <v>983284</v>
      </c>
      <c r="H4595" s="391" t="s">
        <v>9568</v>
      </c>
    </row>
    <row r="4596" spans="1:8" x14ac:dyDescent="0.3">
      <c r="A4596" s="45">
        <v>44859</v>
      </c>
      <c r="B4596" s="399" t="s">
        <v>9879</v>
      </c>
      <c r="C4596" s="5" t="s">
        <v>57</v>
      </c>
      <c r="D4596" s="5" t="s">
        <v>3557</v>
      </c>
      <c r="E4596" s="43">
        <v>7000</v>
      </c>
      <c r="F4596" s="43"/>
      <c r="G4596" s="364">
        <f t="shared" si="125"/>
        <v>976284</v>
      </c>
      <c r="H4596" s="391" t="s">
        <v>9568</v>
      </c>
    </row>
    <row r="4597" spans="1:8" x14ac:dyDescent="0.3">
      <c r="A4597" s="45">
        <v>44859</v>
      </c>
      <c r="B4597" s="399" t="s">
        <v>118</v>
      </c>
      <c r="C4597" s="5" t="s">
        <v>9873</v>
      </c>
      <c r="D4597" s="5" t="s">
        <v>9898</v>
      </c>
      <c r="E4597" s="43">
        <v>5680</v>
      </c>
      <c r="F4597" s="43"/>
      <c r="G4597" s="364">
        <f t="shared" si="125"/>
        <v>970604</v>
      </c>
      <c r="H4597" s="391" t="s">
        <v>9568</v>
      </c>
    </row>
    <row r="4598" spans="1:8" x14ac:dyDescent="0.3">
      <c r="A4598" s="45">
        <v>44859</v>
      </c>
      <c r="B4598" s="399" t="s">
        <v>9857</v>
      </c>
      <c r="C4598" s="5" t="s">
        <v>68</v>
      </c>
      <c r="D4598" s="5" t="s">
        <v>9921</v>
      </c>
      <c r="E4598" s="43">
        <v>55000</v>
      </c>
      <c r="F4598" s="43"/>
      <c r="G4598" s="364">
        <f t="shared" si="125"/>
        <v>915604</v>
      </c>
      <c r="H4598" s="391" t="s">
        <v>9568</v>
      </c>
    </row>
    <row r="4599" spans="1:8" x14ac:dyDescent="0.3">
      <c r="A4599" s="45">
        <v>44859</v>
      </c>
      <c r="B4599" s="399" t="s">
        <v>9860</v>
      </c>
      <c r="C4599" s="5" t="s">
        <v>9679</v>
      </c>
      <c r="D4599" s="5" t="s">
        <v>9981</v>
      </c>
      <c r="E4599" s="43">
        <v>40000</v>
      </c>
      <c r="F4599" s="43"/>
      <c r="G4599" s="364">
        <f t="shared" si="125"/>
        <v>875604</v>
      </c>
      <c r="H4599" s="391" t="s">
        <v>9568</v>
      </c>
    </row>
    <row r="4600" spans="1:8" x14ac:dyDescent="0.3">
      <c r="A4600" s="45">
        <v>44859</v>
      </c>
      <c r="B4600" s="399" t="s">
        <v>9925</v>
      </c>
      <c r="C4600" s="5" t="s">
        <v>2224</v>
      </c>
      <c r="D4600" s="5" t="s">
        <v>9984</v>
      </c>
      <c r="E4600" s="43">
        <v>10000</v>
      </c>
      <c r="F4600" s="43"/>
      <c r="G4600" s="364">
        <f t="shared" si="125"/>
        <v>865604</v>
      </c>
      <c r="H4600" s="391" t="s">
        <v>9568</v>
      </c>
    </row>
    <row r="4601" spans="1:8" x14ac:dyDescent="0.3">
      <c r="A4601" s="45">
        <v>44859</v>
      </c>
      <c r="B4601" s="399" t="s">
        <v>4935</v>
      </c>
      <c r="C4601" s="5" t="s">
        <v>5979</v>
      </c>
      <c r="D4601" s="5" t="s">
        <v>9985</v>
      </c>
      <c r="E4601" s="43">
        <v>35000</v>
      </c>
      <c r="F4601" s="43"/>
      <c r="G4601" s="364">
        <f t="shared" si="125"/>
        <v>830604</v>
      </c>
      <c r="H4601" s="391" t="s">
        <v>9568</v>
      </c>
    </row>
    <row r="4602" spans="1:8" x14ac:dyDescent="0.3">
      <c r="A4602" s="45">
        <v>44859</v>
      </c>
      <c r="B4602" s="399" t="s">
        <v>9879</v>
      </c>
      <c r="C4602" s="5" t="s">
        <v>9947</v>
      </c>
      <c r="D4602" s="5" t="s">
        <v>9986</v>
      </c>
      <c r="E4602" s="43">
        <v>20000</v>
      </c>
      <c r="F4602" s="43"/>
      <c r="G4602" s="364">
        <f t="shared" si="125"/>
        <v>810604</v>
      </c>
      <c r="H4602" s="391" t="s">
        <v>9568</v>
      </c>
    </row>
    <row r="4603" spans="1:8" x14ac:dyDescent="0.3">
      <c r="A4603" s="45">
        <v>44860</v>
      </c>
      <c r="B4603" s="399"/>
      <c r="C4603" s="5" t="s">
        <v>84</v>
      </c>
      <c r="D4603" s="5" t="s">
        <v>9987</v>
      </c>
      <c r="E4603" s="43">
        <v>2000</v>
      </c>
      <c r="F4603" s="43"/>
      <c r="G4603" s="364">
        <f t="shared" si="125"/>
        <v>808604</v>
      </c>
      <c r="H4603" s="391" t="s">
        <v>9568</v>
      </c>
    </row>
    <row r="4604" spans="1:8" x14ac:dyDescent="0.3">
      <c r="A4604" s="45">
        <v>44860</v>
      </c>
      <c r="B4604" s="399" t="s">
        <v>10615</v>
      </c>
      <c r="C4604" s="5" t="s">
        <v>6430</v>
      </c>
      <c r="D4604" s="5" t="s">
        <v>5508</v>
      </c>
      <c r="E4604" s="43">
        <v>3000</v>
      </c>
      <c r="F4604" s="43"/>
      <c r="G4604" s="364">
        <f t="shared" si="125"/>
        <v>805604</v>
      </c>
      <c r="H4604" s="391" t="s">
        <v>9568</v>
      </c>
    </row>
    <row r="4605" spans="1:8" x14ac:dyDescent="0.3">
      <c r="A4605" s="45">
        <v>44860</v>
      </c>
      <c r="B4605" s="409"/>
      <c r="C4605" s="61" t="s">
        <v>14</v>
      </c>
      <c r="D4605" s="61" t="s">
        <v>5508</v>
      </c>
      <c r="E4605" s="62">
        <v>500000</v>
      </c>
      <c r="F4605" s="43"/>
      <c r="G4605" s="364">
        <f t="shared" si="125"/>
        <v>305604</v>
      </c>
      <c r="H4605" s="391" t="s">
        <v>9568</v>
      </c>
    </row>
    <row r="4606" spans="1:8" x14ac:dyDescent="0.3">
      <c r="A4606" s="45">
        <v>44860</v>
      </c>
      <c r="B4606" s="399" t="s">
        <v>9990</v>
      </c>
      <c r="C4606" s="5" t="s">
        <v>4550</v>
      </c>
      <c r="D4606" s="5" t="s">
        <v>5508</v>
      </c>
      <c r="E4606" s="43">
        <v>43500</v>
      </c>
      <c r="F4606" s="43"/>
      <c r="G4606" s="364">
        <f t="shared" si="125"/>
        <v>262104</v>
      </c>
      <c r="H4606" s="391" t="s">
        <v>9568</v>
      </c>
    </row>
    <row r="4607" spans="1:8" x14ac:dyDescent="0.3">
      <c r="A4607" s="45">
        <v>44860</v>
      </c>
      <c r="B4607" s="399" t="s">
        <v>12190</v>
      </c>
      <c r="C4607" s="5" t="s">
        <v>1616</v>
      </c>
      <c r="D4607" s="5" t="s">
        <v>9991</v>
      </c>
      <c r="E4607" s="43">
        <v>9500</v>
      </c>
      <c r="F4607" s="43"/>
      <c r="G4607" s="364">
        <f t="shared" si="125"/>
        <v>252604</v>
      </c>
      <c r="H4607" s="391" t="s">
        <v>9568</v>
      </c>
    </row>
    <row r="4608" spans="1:8" x14ac:dyDescent="0.3">
      <c r="A4608" s="45">
        <v>44860</v>
      </c>
      <c r="B4608" s="399" t="s">
        <v>9860</v>
      </c>
      <c r="C4608" s="5" t="s">
        <v>9525</v>
      </c>
      <c r="D4608" s="5" t="s">
        <v>6932</v>
      </c>
      <c r="E4608" s="43">
        <v>1000</v>
      </c>
      <c r="F4608" s="43"/>
      <c r="G4608" s="364">
        <f t="shared" si="125"/>
        <v>251604</v>
      </c>
      <c r="H4608" s="391" t="s">
        <v>9568</v>
      </c>
    </row>
    <row r="4609" spans="1:8" x14ac:dyDescent="0.3">
      <c r="A4609" s="45">
        <v>44860</v>
      </c>
      <c r="B4609" s="399" t="s">
        <v>5156</v>
      </c>
      <c r="C4609" s="5" t="s">
        <v>247</v>
      </c>
      <c r="D4609" s="5" t="s">
        <v>40</v>
      </c>
      <c r="E4609" s="43">
        <v>3000</v>
      </c>
      <c r="F4609" s="43"/>
      <c r="G4609" s="364">
        <f t="shared" si="125"/>
        <v>248604</v>
      </c>
      <c r="H4609" s="391" t="s">
        <v>9568</v>
      </c>
    </row>
    <row r="4610" spans="1:8" x14ac:dyDescent="0.3">
      <c r="A4610" s="45">
        <v>44860</v>
      </c>
      <c r="B4610" s="399" t="s">
        <v>118</v>
      </c>
      <c r="C4610" s="5" t="s">
        <v>247</v>
      </c>
      <c r="D4610" s="5" t="s">
        <v>9992</v>
      </c>
      <c r="E4610" s="43">
        <v>200</v>
      </c>
      <c r="F4610" s="43"/>
      <c r="G4610" s="364">
        <f t="shared" si="125"/>
        <v>248404</v>
      </c>
      <c r="H4610" s="391" t="s">
        <v>9568</v>
      </c>
    </row>
    <row r="4611" spans="1:8" x14ac:dyDescent="0.3">
      <c r="A4611" s="45">
        <v>44860</v>
      </c>
      <c r="B4611" s="399"/>
      <c r="C4611" s="5" t="s">
        <v>84</v>
      </c>
      <c r="D4611" s="5" t="s">
        <v>9993</v>
      </c>
      <c r="E4611" s="43">
        <v>2000</v>
      </c>
      <c r="F4611" s="43"/>
      <c r="G4611" s="364">
        <f t="shared" si="125"/>
        <v>246404</v>
      </c>
      <c r="H4611" s="391" t="s">
        <v>9568</v>
      </c>
    </row>
    <row r="4612" spans="1:8" x14ac:dyDescent="0.3">
      <c r="A4612" s="45">
        <v>44861</v>
      </c>
      <c r="B4612" s="399" t="s">
        <v>9879</v>
      </c>
      <c r="C4612" s="5" t="s">
        <v>5793</v>
      </c>
      <c r="D4612" s="5" t="s">
        <v>1787</v>
      </c>
      <c r="E4612" s="43">
        <v>2700</v>
      </c>
      <c r="F4612" s="43"/>
      <c r="G4612" s="364">
        <f t="shared" si="125"/>
        <v>243704</v>
      </c>
      <c r="H4612" s="391" t="s">
        <v>9568</v>
      </c>
    </row>
    <row r="4613" spans="1:8" x14ac:dyDescent="0.3">
      <c r="A4613" s="45">
        <v>44861</v>
      </c>
      <c r="B4613" s="399" t="s">
        <v>9860</v>
      </c>
      <c r="C4613" s="5" t="s">
        <v>5793</v>
      </c>
      <c r="D4613" s="5" t="s">
        <v>5846</v>
      </c>
      <c r="E4613" s="43">
        <v>500</v>
      </c>
      <c r="F4613" s="43"/>
      <c r="G4613" s="364">
        <f t="shared" si="125"/>
        <v>243204</v>
      </c>
      <c r="H4613" s="391" t="s">
        <v>9568</v>
      </c>
    </row>
    <row r="4614" spans="1:8" x14ac:dyDescent="0.3">
      <c r="A4614" s="45">
        <v>44861</v>
      </c>
      <c r="B4614" s="399" t="s">
        <v>9863</v>
      </c>
      <c r="C4614" s="5" t="s">
        <v>9662</v>
      </c>
      <c r="D4614" s="5" t="s">
        <v>9994</v>
      </c>
      <c r="E4614" s="43">
        <v>2130</v>
      </c>
      <c r="F4614" s="43"/>
      <c r="G4614" s="364">
        <f t="shared" si="125"/>
        <v>241074</v>
      </c>
      <c r="H4614" s="391" t="s">
        <v>9568</v>
      </c>
    </row>
    <row r="4615" spans="1:8" x14ac:dyDescent="0.3">
      <c r="A4615" s="45">
        <v>44861</v>
      </c>
      <c r="B4615" s="399" t="s">
        <v>9879</v>
      </c>
      <c r="C4615" s="5" t="s">
        <v>6430</v>
      </c>
      <c r="D4615" s="5" t="s">
        <v>3172</v>
      </c>
      <c r="E4615" s="43">
        <v>2100</v>
      </c>
      <c r="F4615" s="43"/>
      <c r="G4615" s="364">
        <f t="shared" si="125"/>
        <v>238974</v>
      </c>
      <c r="H4615" s="391" t="s">
        <v>9568</v>
      </c>
    </row>
    <row r="4616" spans="1:8" x14ac:dyDescent="0.3">
      <c r="A4616" s="45">
        <v>44861</v>
      </c>
      <c r="B4616" s="399" t="s">
        <v>9879</v>
      </c>
      <c r="C4616" s="5" t="s">
        <v>6430</v>
      </c>
      <c r="D4616" s="5" t="s">
        <v>3557</v>
      </c>
      <c r="E4616" s="43">
        <v>4000</v>
      </c>
      <c r="F4616" s="43"/>
      <c r="G4616" s="364">
        <f t="shared" si="125"/>
        <v>234974</v>
      </c>
      <c r="H4616" s="391" t="s">
        <v>9568</v>
      </c>
    </row>
    <row r="4617" spans="1:8" x14ac:dyDescent="0.3">
      <c r="A4617" s="45">
        <v>44861</v>
      </c>
      <c r="B4617" s="399" t="s">
        <v>9879</v>
      </c>
      <c r="C4617" s="5" t="s">
        <v>5518</v>
      </c>
      <c r="D4617" s="5" t="s">
        <v>9996</v>
      </c>
      <c r="E4617" s="43">
        <v>20000</v>
      </c>
      <c r="F4617" s="43"/>
      <c r="G4617" s="364">
        <f t="shared" si="125"/>
        <v>214974</v>
      </c>
      <c r="H4617" s="391" t="s">
        <v>9568</v>
      </c>
    </row>
    <row r="4618" spans="1:8" x14ac:dyDescent="0.3">
      <c r="A4618" s="45">
        <v>44861</v>
      </c>
      <c r="B4618" s="399" t="s">
        <v>9879</v>
      </c>
      <c r="C4618" s="5" t="s">
        <v>5518</v>
      </c>
      <c r="D4618" s="5" t="s">
        <v>10012</v>
      </c>
      <c r="E4618" s="43">
        <v>1000</v>
      </c>
      <c r="F4618" s="43"/>
      <c r="G4618" s="364">
        <f t="shared" si="125"/>
        <v>213974</v>
      </c>
      <c r="H4618" s="391" t="s">
        <v>9568</v>
      </c>
    </row>
    <row r="4619" spans="1:8" x14ac:dyDescent="0.3">
      <c r="A4619" s="45">
        <v>44861</v>
      </c>
      <c r="B4619" s="399" t="s">
        <v>9997</v>
      </c>
      <c r="C4619" s="5" t="s">
        <v>47</v>
      </c>
      <c r="D4619" s="5" t="s">
        <v>9998</v>
      </c>
      <c r="E4619" s="43">
        <v>6000</v>
      </c>
      <c r="F4619" s="43"/>
      <c r="G4619" s="364">
        <f t="shared" si="125"/>
        <v>207974</v>
      </c>
      <c r="H4619" s="391" t="s">
        <v>9568</v>
      </c>
    </row>
    <row r="4620" spans="1:8" x14ac:dyDescent="0.3">
      <c r="A4620" s="45">
        <v>44861</v>
      </c>
      <c r="B4620" s="429" t="s">
        <v>9860</v>
      </c>
      <c r="C4620" s="5" t="s">
        <v>10001</v>
      </c>
      <c r="D4620" s="139" t="s">
        <v>10000</v>
      </c>
      <c r="E4620" s="140">
        <v>3500</v>
      </c>
      <c r="F4620" s="43"/>
      <c r="G4620" s="364">
        <f t="shared" si="125"/>
        <v>204474</v>
      </c>
      <c r="H4620" s="391" t="s">
        <v>9568</v>
      </c>
    </row>
    <row r="4621" spans="1:8" x14ac:dyDescent="0.3">
      <c r="A4621" s="45">
        <v>44861</v>
      </c>
      <c r="B4621" s="399" t="s">
        <v>118</v>
      </c>
      <c r="C4621" s="5" t="s">
        <v>9756</v>
      </c>
      <c r="D4621" s="5" t="s">
        <v>10002</v>
      </c>
      <c r="E4621" s="43">
        <v>6000</v>
      </c>
      <c r="F4621" s="43"/>
      <c r="G4621" s="364">
        <f t="shared" si="125"/>
        <v>198474</v>
      </c>
      <c r="H4621" s="391" t="s">
        <v>9568</v>
      </c>
    </row>
    <row r="4622" spans="1:8" x14ac:dyDescent="0.3">
      <c r="A4622" s="45">
        <v>44861</v>
      </c>
      <c r="B4622" s="399"/>
      <c r="C4622" s="5" t="s">
        <v>84</v>
      </c>
      <c r="D4622" s="5" t="s">
        <v>10003</v>
      </c>
      <c r="E4622" s="43">
        <v>10000</v>
      </c>
      <c r="F4622" s="43"/>
      <c r="G4622" s="364">
        <f t="shared" si="125"/>
        <v>188474</v>
      </c>
      <c r="H4622" s="391" t="s">
        <v>9568</v>
      </c>
    </row>
    <row r="4623" spans="1:8" x14ac:dyDescent="0.3">
      <c r="A4623" s="45">
        <v>44862</v>
      </c>
      <c r="B4623" s="399" t="s">
        <v>9879</v>
      </c>
      <c r="C4623" s="5" t="s">
        <v>57</v>
      </c>
      <c r="D4623" s="5" t="s">
        <v>438</v>
      </c>
      <c r="E4623" s="43">
        <f>20000+5000</f>
        <v>25000</v>
      </c>
      <c r="F4623" s="43"/>
      <c r="G4623" s="364">
        <f t="shared" si="125"/>
        <v>163474</v>
      </c>
      <c r="H4623" s="391" t="s">
        <v>9568</v>
      </c>
    </row>
    <row r="4624" spans="1:8" x14ac:dyDescent="0.3">
      <c r="A4624" s="45">
        <v>44862</v>
      </c>
      <c r="B4624" s="399" t="s">
        <v>10615</v>
      </c>
      <c r="C4624" s="5" t="s">
        <v>6430</v>
      </c>
      <c r="D4624" s="5" t="s">
        <v>10004</v>
      </c>
      <c r="E4624" s="43">
        <v>4450</v>
      </c>
      <c r="F4624" s="43"/>
      <c r="G4624" s="364">
        <f t="shared" si="125"/>
        <v>159024</v>
      </c>
      <c r="H4624" s="391" t="s">
        <v>9568</v>
      </c>
    </row>
    <row r="4625" spans="1:8" x14ac:dyDescent="0.3">
      <c r="A4625" s="45">
        <v>44862</v>
      </c>
      <c r="B4625" s="399" t="s">
        <v>118</v>
      </c>
      <c r="C4625" s="5" t="s">
        <v>10005</v>
      </c>
      <c r="D4625" s="5" t="s">
        <v>10006</v>
      </c>
      <c r="E4625" s="43">
        <v>95000</v>
      </c>
      <c r="F4625" s="43"/>
      <c r="G4625" s="364">
        <f t="shared" si="125"/>
        <v>64024</v>
      </c>
      <c r="H4625" s="391" t="s">
        <v>9568</v>
      </c>
    </row>
    <row r="4626" spans="1:8" x14ac:dyDescent="0.3">
      <c r="A4626" s="45">
        <v>44862</v>
      </c>
      <c r="B4626" s="586"/>
      <c r="C4626" s="486" t="s">
        <v>9830</v>
      </c>
      <c r="D4626" s="486"/>
      <c r="E4626" s="486"/>
      <c r="F4626" s="43">
        <v>350000</v>
      </c>
      <c r="G4626" s="364">
        <f t="shared" si="125"/>
        <v>414024</v>
      </c>
      <c r="H4626" s="391" t="s">
        <v>9568</v>
      </c>
    </row>
    <row r="4627" spans="1:8" x14ac:dyDescent="0.3">
      <c r="A4627" s="45">
        <v>44862</v>
      </c>
      <c r="B4627" s="586"/>
      <c r="C4627" s="486" t="s">
        <v>9830</v>
      </c>
      <c r="D4627" s="486"/>
      <c r="E4627" s="486"/>
      <c r="F4627" s="43">
        <v>350000</v>
      </c>
      <c r="G4627" s="364">
        <f t="shared" si="125"/>
        <v>764024</v>
      </c>
      <c r="H4627" s="391" t="s">
        <v>9568</v>
      </c>
    </row>
    <row r="4628" spans="1:8" x14ac:dyDescent="0.3">
      <c r="A4628" s="45">
        <v>44862</v>
      </c>
      <c r="B4628" s="399" t="s">
        <v>9863</v>
      </c>
      <c r="C4628" s="5" t="s">
        <v>5793</v>
      </c>
      <c r="D4628" s="5" t="s">
        <v>10007</v>
      </c>
      <c r="E4628" s="43">
        <v>500</v>
      </c>
      <c r="F4628" s="43"/>
      <c r="G4628" s="364">
        <f t="shared" si="125"/>
        <v>763524</v>
      </c>
      <c r="H4628" s="391" t="s">
        <v>9568</v>
      </c>
    </row>
    <row r="4629" spans="1:8" x14ac:dyDescent="0.3">
      <c r="A4629" s="45">
        <v>44862</v>
      </c>
      <c r="B4629" s="399"/>
      <c r="C4629" s="5" t="s">
        <v>541</v>
      </c>
      <c r="D4629" s="5" t="s">
        <v>10052</v>
      </c>
      <c r="E4629" s="43">
        <v>36000</v>
      </c>
      <c r="F4629" s="43"/>
      <c r="G4629" s="364">
        <f t="shared" si="125"/>
        <v>727524</v>
      </c>
      <c r="H4629" s="391" t="s">
        <v>9568</v>
      </c>
    </row>
    <row r="4630" spans="1:8" x14ac:dyDescent="0.3">
      <c r="A4630" s="45">
        <v>44862</v>
      </c>
      <c r="B4630" s="399" t="s">
        <v>9879</v>
      </c>
      <c r="C4630" s="5" t="s">
        <v>68</v>
      </c>
      <c r="D4630" s="5" t="s">
        <v>8872</v>
      </c>
      <c r="E4630" s="43">
        <v>35000</v>
      </c>
      <c r="F4630" s="43"/>
      <c r="G4630" s="364">
        <f t="shared" si="125"/>
        <v>692524</v>
      </c>
      <c r="H4630" s="391" t="s">
        <v>9568</v>
      </c>
    </row>
    <row r="4631" spans="1:8" x14ac:dyDescent="0.3">
      <c r="A4631" s="45">
        <v>44862</v>
      </c>
      <c r="B4631" s="399" t="s">
        <v>9860</v>
      </c>
      <c r="C4631" s="5" t="s">
        <v>5709</v>
      </c>
      <c r="D4631" s="5" t="s">
        <v>10008</v>
      </c>
      <c r="E4631" s="43">
        <v>10000</v>
      </c>
      <c r="F4631" s="43"/>
      <c r="G4631" s="364">
        <f t="shared" si="125"/>
        <v>682524</v>
      </c>
      <c r="H4631" s="391" t="s">
        <v>9568</v>
      </c>
    </row>
    <row r="4632" spans="1:8" x14ac:dyDescent="0.3">
      <c r="A4632" s="45">
        <v>44862</v>
      </c>
      <c r="B4632" s="399" t="s">
        <v>9863</v>
      </c>
      <c r="C4632" s="5" t="s">
        <v>2995</v>
      </c>
      <c r="D4632" s="5" t="s">
        <v>10009</v>
      </c>
      <c r="E4632" s="43">
        <v>3800</v>
      </c>
      <c r="F4632" s="43"/>
      <c r="G4632" s="364">
        <f t="shared" si="125"/>
        <v>678724</v>
      </c>
      <c r="H4632" s="391" t="s">
        <v>9568</v>
      </c>
    </row>
    <row r="4633" spans="1:8" x14ac:dyDescent="0.3">
      <c r="A4633" s="45">
        <v>44862</v>
      </c>
      <c r="B4633" s="399" t="s">
        <v>118</v>
      </c>
      <c r="C4633" s="5" t="s">
        <v>9873</v>
      </c>
      <c r="D4633" s="5" t="s">
        <v>9898</v>
      </c>
      <c r="E4633" s="43">
        <v>6265</v>
      </c>
      <c r="F4633" s="43"/>
      <c r="G4633" s="364">
        <f t="shared" si="125"/>
        <v>672459</v>
      </c>
      <c r="H4633" s="391" t="s">
        <v>9568</v>
      </c>
    </row>
    <row r="4634" spans="1:8" x14ac:dyDescent="0.3">
      <c r="A4634" s="45">
        <v>44862</v>
      </c>
      <c r="B4634" s="399" t="s">
        <v>9879</v>
      </c>
      <c r="C4634" s="5" t="s">
        <v>6415</v>
      </c>
      <c r="D4634" s="5" t="s">
        <v>10010</v>
      </c>
      <c r="E4634" s="43">
        <v>55000</v>
      </c>
      <c r="F4634" s="43"/>
      <c r="G4634" s="364">
        <f t="shared" si="125"/>
        <v>617459</v>
      </c>
      <c r="H4634" s="391" t="s">
        <v>9568</v>
      </c>
    </row>
    <row r="4635" spans="1:8" x14ac:dyDescent="0.3">
      <c r="A4635" s="45">
        <v>44862</v>
      </c>
      <c r="B4635" s="586"/>
      <c r="C4635" s="486" t="s">
        <v>9830</v>
      </c>
      <c r="D4635" s="486"/>
      <c r="E4635" s="486"/>
      <c r="F4635" s="43">
        <v>400000</v>
      </c>
      <c r="G4635" s="364">
        <f t="shared" si="125"/>
        <v>1017459</v>
      </c>
      <c r="H4635" s="391" t="s">
        <v>9568</v>
      </c>
    </row>
    <row r="4636" spans="1:8" x14ac:dyDescent="0.3">
      <c r="A4636" s="45">
        <v>44862</v>
      </c>
      <c r="B4636" s="399"/>
      <c r="C4636" s="5" t="s">
        <v>84</v>
      </c>
      <c r="D4636" s="5" t="s">
        <v>10011</v>
      </c>
      <c r="E4636" s="43">
        <v>3000</v>
      </c>
      <c r="F4636" s="43"/>
      <c r="G4636" s="364">
        <f t="shared" si="125"/>
        <v>1014459</v>
      </c>
      <c r="H4636" s="391" t="s">
        <v>9568</v>
      </c>
    </row>
    <row r="4637" spans="1:8" x14ac:dyDescent="0.3">
      <c r="A4637" s="45">
        <v>44863</v>
      </c>
      <c r="B4637" s="399" t="s">
        <v>9860</v>
      </c>
      <c r="C4637" s="5" t="s">
        <v>9525</v>
      </c>
      <c r="D4637" s="5" t="s">
        <v>6932</v>
      </c>
      <c r="E4637" s="43">
        <v>2000</v>
      </c>
      <c r="F4637" s="43"/>
      <c r="G4637" s="364">
        <f t="shared" si="125"/>
        <v>1012459</v>
      </c>
      <c r="H4637" s="391" t="s">
        <v>9568</v>
      </c>
    </row>
    <row r="4638" spans="1:8" x14ac:dyDescent="0.3">
      <c r="A4638" s="45">
        <v>44863</v>
      </c>
      <c r="B4638" s="399"/>
      <c r="C4638" s="5" t="s">
        <v>10013</v>
      </c>
      <c r="D4638" s="5" t="s">
        <v>5508</v>
      </c>
      <c r="E4638" s="43">
        <v>15100</v>
      </c>
      <c r="F4638" s="43"/>
      <c r="G4638" s="364">
        <f t="shared" si="125"/>
        <v>997359</v>
      </c>
      <c r="H4638" s="391" t="s">
        <v>9568</v>
      </c>
    </row>
    <row r="4639" spans="1:8" x14ac:dyDescent="0.3">
      <c r="A4639" s="45">
        <v>44863</v>
      </c>
      <c r="B4639" s="399" t="s">
        <v>9879</v>
      </c>
      <c r="C4639" s="5" t="s">
        <v>9947</v>
      </c>
      <c r="D4639" s="5" t="s">
        <v>10014</v>
      </c>
      <c r="E4639" s="43">
        <v>10000</v>
      </c>
      <c r="F4639" s="43"/>
      <c r="G4639" s="364">
        <f t="shared" si="125"/>
        <v>987359</v>
      </c>
      <c r="H4639" s="391" t="s">
        <v>9568</v>
      </c>
    </row>
    <row r="4640" spans="1:8" x14ac:dyDescent="0.3">
      <c r="A4640" s="45">
        <v>44863</v>
      </c>
      <c r="B4640" s="399" t="s">
        <v>9925</v>
      </c>
      <c r="C4640" s="5" t="s">
        <v>8708</v>
      </c>
      <c r="D4640" s="5" t="s">
        <v>2013</v>
      </c>
      <c r="E4640" s="43">
        <v>200</v>
      </c>
      <c r="F4640" s="43"/>
      <c r="G4640" s="364">
        <f t="shared" si="125"/>
        <v>987159</v>
      </c>
      <c r="H4640" s="391" t="s">
        <v>9568</v>
      </c>
    </row>
    <row r="4641" spans="1:8" x14ac:dyDescent="0.3">
      <c r="A4641" s="45">
        <v>44863</v>
      </c>
      <c r="B4641" s="399" t="s">
        <v>9879</v>
      </c>
      <c r="C4641" s="5" t="s">
        <v>2995</v>
      </c>
      <c r="D4641" s="5" t="s">
        <v>10015</v>
      </c>
      <c r="E4641" s="43">
        <v>32600</v>
      </c>
      <c r="F4641" s="43"/>
      <c r="G4641" s="364">
        <f t="shared" si="125"/>
        <v>954559</v>
      </c>
      <c r="H4641" s="391" t="s">
        <v>9568</v>
      </c>
    </row>
    <row r="4642" spans="1:8" x14ac:dyDescent="0.3">
      <c r="A4642" s="45">
        <v>44863</v>
      </c>
      <c r="B4642" s="409" t="s">
        <v>10016</v>
      </c>
      <c r="C4642" s="61" t="s">
        <v>6931</v>
      </c>
      <c r="D4642" s="61" t="s">
        <v>3557</v>
      </c>
      <c r="E4642" s="62">
        <v>15000</v>
      </c>
      <c r="F4642" s="43"/>
      <c r="G4642" s="364">
        <f t="shared" si="125"/>
        <v>939559</v>
      </c>
      <c r="H4642" s="391" t="s">
        <v>9568</v>
      </c>
    </row>
    <row r="4643" spans="1:8" x14ac:dyDescent="0.3">
      <c r="A4643" s="45">
        <v>44863</v>
      </c>
      <c r="B4643" s="399"/>
      <c r="C4643" s="5" t="s">
        <v>84</v>
      </c>
      <c r="D4643" s="5" t="s">
        <v>10017</v>
      </c>
      <c r="E4643" s="43">
        <v>2000</v>
      </c>
      <c r="F4643" s="43"/>
      <c r="G4643" s="364">
        <f t="shared" si="125"/>
        <v>937559</v>
      </c>
      <c r="H4643" s="391" t="s">
        <v>9568</v>
      </c>
    </row>
    <row r="4644" spans="1:8" x14ac:dyDescent="0.3">
      <c r="A4644" s="45">
        <v>44863</v>
      </c>
      <c r="B4644" s="399"/>
      <c r="C4644" s="5" t="s">
        <v>14</v>
      </c>
      <c r="D4644" s="5" t="s">
        <v>640</v>
      </c>
      <c r="E4644" s="43">
        <v>1000</v>
      </c>
      <c r="F4644" s="43"/>
      <c r="G4644" s="364">
        <f t="shared" si="125"/>
        <v>936559</v>
      </c>
      <c r="H4644" s="391" t="s">
        <v>9568</v>
      </c>
    </row>
    <row r="4645" spans="1:8" x14ac:dyDescent="0.3">
      <c r="A4645" s="45">
        <v>44863</v>
      </c>
      <c r="B4645" s="409" t="s">
        <v>118</v>
      </c>
      <c r="C4645" s="61" t="s">
        <v>247</v>
      </c>
      <c r="D4645" s="61" t="s">
        <v>10018</v>
      </c>
      <c r="E4645" s="62">
        <v>3000</v>
      </c>
      <c r="F4645" s="43"/>
      <c r="G4645" s="364">
        <f t="shared" si="125"/>
        <v>933559</v>
      </c>
      <c r="H4645" s="391" t="s">
        <v>9568</v>
      </c>
    </row>
    <row r="4646" spans="1:8" x14ac:dyDescent="0.3">
      <c r="A4646" s="45">
        <v>44865</v>
      </c>
      <c r="B4646" s="399" t="s">
        <v>9863</v>
      </c>
      <c r="C4646" s="5" t="s">
        <v>8573</v>
      </c>
      <c r="D4646" s="5" t="s">
        <v>10024</v>
      </c>
      <c r="E4646" s="43">
        <v>22800</v>
      </c>
      <c r="F4646" s="43"/>
      <c r="G4646" s="364">
        <f t="shared" si="125"/>
        <v>910759</v>
      </c>
      <c r="H4646" s="391" t="s">
        <v>9568</v>
      </c>
    </row>
    <row r="4647" spans="1:8" x14ac:dyDescent="0.3">
      <c r="A4647" s="45">
        <v>44865</v>
      </c>
      <c r="B4647" s="399" t="s">
        <v>118</v>
      </c>
      <c r="C4647" s="5" t="s">
        <v>8573</v>
      </c>
      <c r="D4647" s="5" t="s">
        <v>10025</v>
      </c>
      <c r="E4647" s="43">
        <v>1000</v>
      </c>
      <c r="F4647" s="43"/>
      <c r="G4647" s="364">
        <f t="shared" si="125"/>
        <v>909759</v>
      </c>
      <c r="H4647" s="391" t="s">
        <v>9568</v>
      </c>
    </row>
    <row r="4648" spans="1:8" x14ac:dyDescent="0.3">
      <c r="A4648" s="45">
        <v>44865</v>
      </c>
      <c r="B4648" s="399" t="s">
        <v>9860</v>
      </c>
      <c r="C4648" s="5" t="s">
        <v>68</v>
      </c>
      <c r="D4648" s="5" t="s">
        <v>10026</v>
      </c>
      <c r="E4648" s="43">
        <v>2000</v>
      </c>
      <c r="F4648" s="43"/>
      <c r="G4648" s="364">
        <f t="shared" si="125"/>
        <v>907759</v>
      </c>
      <c r="H4648" s="391" t="s">
        <v>9568</v>
      </c>
    </row>
    <row r="4649" spans="1:8" x14ac:dyDescent="0.3">
      <c r="A4649" s="45">
        <v>44865</v>
      </c>
      <c r="B4649" s="399" t="s">
        <v>9860</v>
      </c>
      <c r="C4649" s="5" t="s">
        <v>9044</v>
      </c>
      <c r="D4649" s="5" t="s">
        <v>10028</v>
      </c>
      <c r="E4649" s="43">
        <v>17000</v>
      </c>
      <c r="F4649" s="43"/>
      <c r="G4649" s="364">
        <f t="shared" si="125"/>
        <v>890759</v>
      </c>
      <c r="H4649" s="391" t="s">
        <v>9568</v>
      </c>
    </row>
    <row r="4650" spans="1:8" x14ac:dyDescent="0.3">
      <c r="A4650" s="45">
        <v>44865</v>
      </c>
      <c r="B4650" s="399" t="s">
        <v>4935</v>
      </c>
      <c r="C4650" s="5" t="s">
        <v>7581</v>
      </c>
      <c r="D4650" s="5" t="s">
        <v>6140</v>
      </c>
      <c r="E4650" s="43">
        <v>50000</v>
      </c>
      <c r="F4650" s="43"/>
      <c r="G4650" s="364">
        <f t="shared" si="125"/>
        <v>840759</v>
      </c>
      <c r="H4650" s="391" t="s">
        <v>9568</v>
      </c>
    </row>
    <row r="4651" spans="1:8" x14ac:dyDescent="0.3">
      <c r="A4651" s="45">
        <v>44865</v>
      </c>
      <c r="B4651" s="399" t="s">
        <v>10016</v>
      </c>
      <c r="C4651" s="5" t="s">
        <v>10029</v>
      </c>
      <c r="D4651" s="5" t="s">
        <v>10030</v>
      </c>
      <c r="E4651" s="43">
        <v>17000</v>
      </c>
      <c r="F4651" s="43"/>
      <c r="G4651" s="364">
        <f t="shared" ref="G4651:G4677" si="126">G4650+F4651-E4651</f>
        <v>823759</v>
      </c>
      <c r="H4651" s="391" t="s">
        <v>9568</v>
      </c>
    </row>
    <row r="4652" spans="1:8" x14ac:dyDescent="0.3">
      <c r="A4652" s="45">
        <v>44865</v>
      </c>
      <c r="B4652" s="399" t="s">
        <v>9863</v>
      </c>
      <c r="C4652" s="5" t="s">
        <v>9044</v>
      </c>
      <c r="D4652" s="5" t="s">
        <v>10037</v>
      </c>
      <c r="E4652" s="43">
        <v>500</v>
      </c>
      <c r="F4652" s="43"/>
      <c r="G4652" s="364">
        <f t="shared" si="126"/>
        <v>823259</v>
      </c>
      <c r="H4652" s="391" t="s">
        <v>9568</v>
      </c>
    </row>
    <row r="4653" spans="1:8" x14ac:dyDescent="0.3">
      <c r="A4653" s="45">
        <v>44865</v>
      </c>
      <c r="B4653" s="399" t="s">
        <v>10035</v>
      </c>
      <c r="C4653" s="5" t="s">
        <v>10034</v>
      </c>
      <c r="D4653" s="5" t="s">
        <v>10036</v>
      </c>
      <c r="E4653" s="43">
        <v>1260</v>
      </c>
      <c r="F4653" s="43"/>
      <c r="G4653" s="364">
        <f t="shared" si="126"/>
        <v>821999</v>
      </c>
      <c r="H4653" s="391" t="s">
        <v>9568</v>
      </c>
    </row>
    <row r="4654" spans="1:8" x14ac:dyDescent="0.3">
      <c r="A4654" s="45">
        <v>44865</v>
      </c>
      <c r="B4654" s="409" t="s">
        <v>9863</v>
      </c>
      <c r="C4654" s="61" t="s">
        <v>1512</v>
      </c>
      <c r="D4654" s="61" t="s">
        <v>6245</v>
      </c>
      <c r="E4654" s="62">
        <v>59150</v>
      </c>
      <c r="F4654" s="43"/>
      <c r="G4654" s="364">
        <f t="shared" si="126"/>
        <v>762849</v>
      </c>
      <c r="H4654" s="391" t="s">
        <v>9568</v>
      </c>
    </row>
    <row r="4655" spans="1:8" x14ac:dyDescent="0.3">
      <c r="A4655" s="45">
        <v>44866</v>
      </c>
      <c r="B4655" s="429" t="s">
        <v>9860</v>
      </c>
      <c r="C4655" s="5" t="s">
        <v>10001</v>
      </c>
      <c r="D4655" s="139" t="s">
        <v>10031</v>
      </c>
      <c r="E4655" s="140">
        <v>3000</v>
      </c>
      <c r="F4655" s="43"/>
      <c r="G4655" s="364">
        <f t="shared" si="126"/>
        <v>759849</v>
      </c>
      <c r="H4655" s="391" t="s">
        <v>9568</v>
      </c>
    </row>
    <row r="4656" spans="1:8" x14ac:dyDescent="0.3">
      <c r="A4656" s="45">
        <v>44866</v>
      </c>
      <c r="B4656" s="399"/>
      <c r="C4656" s="5" t="s">
        <v>8594</v>
      </c>
      <c r="D4656" s="5" t="s">
        <v>10033</v>
      </c>
      <c r="E4656" s="43"/>
      <c r="F4656" s="43">
        <v>200000</v>
      </c>
      <c r="G4656" s="364">
        <f t="shared" si="126"/>
        <v>959849</v>
      </c>
      <c r="H4656" s="391" t="s">
        <v>9568</v>
      </c>
    </row>
    <row r="4657" spans="1:8" x14ac:dyDescent="0.3">
      <c r="A4657" s="45">
        <v>44866</v>
      </c>
      <c r="B4657" s="399" t="s">
        <v>12190</v>
      </c>
      <c r="C4657" s="5" t="s">
        <v>1074</v>
      </c>
      <c r="D4657" s="5" t="s">
        <v>6234</v>
      </c>
      <c r="E4657" s="43">
        <v>520</v>
      </c>
      <c r="F4657" s="43"/>
      <c r="G4657" s="364">
        <f t="shared" si="126"/>
        <v>959329</v>
      </c>
      <c r="H4657" s="391" t="s">
        <v>9568</v>
      </c>
    </row>
    <row r="4658" spans="1:8" x14ac:dyDescent="0.3">
      <c r="A4658" s="45">
        <v>44866</v>
      </c>
      <c r="B4658" s="399" t="s">
        <v>118</v>
      </c>
      <c r="C4658" s="5" t="s">
        <v>1074</v>
      </c>
      <c r="D4658" s="5" t="s">
        <v>6234</v>
      </c>
      <c r="E4658" s="43">
        <v>260</v>
      </c>
      <c r="F4658" s="43"/>
      <c r="G4658" s="364">
        <f t="shared" si="126"/>
        <v>959069</v>
      </c>
      <c r="H4658" s="391" t="s">
        <v>9568</v>
      </c>
    </row>
    <row r="4659" spans="1:8" x14ac:dyDescent="0.3">
      <c r="A4659" s="45">
        <v>44866</v>
      </c>
      <c r="B4659" s="399" t="s">
        <v>118</v>
      </c>
      <c r="C4659" s="5" t="s">
        <v>9873</v>
      </c>
      <c r="D4659" s="5" t="s">
        <v>9898</v>
      </c>
      <c r="E4659" s="43">
        <v>6015</v>
      </c>
      <c r="F4659" s="43"/>
      <c r="G4659" s="364">
        <f t="shared" si="126"/>
        <v>953054</v>
      </c>
      <c r="H4659" s="391" t="s">
        <v>9568</v>
      </c>
    </row>
    <row r="4660" spans="1:8" x14ac:dyDescent="0.3">
      <c r="A4660" s="45">
        <v>44866</v>
      </c>
      <c r="B4660" s="399" t="s">
        <v>10615</v>
      </c>
      <c r="C4660" s="5" t="s">
        <v>6430</v>
      </c>
      <c r="D4660" s="5" t="s">
        <v>10038</v>
      </c>
      <c r="E4660" s="43">
        <v>2000</v>
      </c>
      <c r="F4660" s="43"/>
      <c r="G4660" s="364">
        <f t="shared" si="126"/>
        <v>951054</v>
      </c>
      <c r="H4660" s="391" t="s">
        <v>9568</v>
      </c>
    </row>
    <row r="4661" spans="1:8" x14ac:dyDescent="0.3">
      <c r="A4661" s="45">
        <v>44866</v>
      </c>
      <c r="B4661" s="399" t="s">
        <v>10615</v>
      </c>
      <c r="C4661" s="5" t="s">
        <v>6430</v>
      </c>
      <c r="D4661" s="5" t="s">
        <v>10039</v>
      </c>
      <c r="E4661" s="43">
        <v>2000</v>
      </c>
      <c r="F4661" s="43"/>
      <c r="G4661" s="364">
        <f t="shared" si="126"/>
        <v>949054</v>
      </c>
      <c r="H4661" s="391" t="s">
        <v>9568</v>
      </c>
    </row>
    <row r="4662" spans="1:8" x14ac:dyDescent="0.3">
      <c r="A4662" s="45">
        <v>44866</v>
      </c>
      <c r="B4662" s="399" t="s">
        <v>4935</v>
      </c>
      <c r="C4662" s="5" t="s">
        <v>84</v>
      </c>
      <c r="D4662" s="5" t="s">
        <v>9957</v>
      </c>
      <c r="E4662" s="43">
        <v>1000</v>
      </c>
      <c r="F4662" s="43"/>
      <c r="G4662" s="364">
        <f t="shared" si="126"/>
        <v>948054</v>
      </c>
      <c r="H4662" s="391" t="s">
        <v>9568</v>
      </c>
    </row>
    <row r="4663" spans="1:8" x14ac:dyDescent="0.3">
      <c r="A4663" s="45">
        <v>44866</v>
      </c>
      <c r="B4663" s="399" t="s">
        <v>4935</v>
      </c>
      <c r="C4663" s="5" t="s">
        <v>84</v>
      </c>
      <c r="D4663" s="5" t="s">
        <v>9958</v>
      </c>
      <c r="E4663" s="43">
        <v>1000</v>
      </c>
      <c r="F4663" s="43"/>
      <c r="G4663" s="364">
        <f t="shared" si="126"/>
        <v>947054</v>
      </c>
      <c r="H4663" s="391" t="s">
        <v>9568</v>
      </c>
    </row>
    <row r="4664" spans="1:8" x14ac:dyDescent="0.3">
      <c r="A4664" s="45">
        <v>44866</v>
      </c>
      <c r="B4664" s="399" t="s">
        <v>9860</v>
      </c>
      <c r="C4664" s="5" t="s">
        <v>84</v>
      </c>
      <c r="D4664" s="5" t="s">
        <v>10042</v>
      </c>
      <c r="E4664" s="43">
        <v>15000</v>
      </c>
      <c r="F4664" s="43"/>
      <c r="G4664" s="364">
        <f t="shared" si="126"/>
        <v>932054</v>
      </c>
      <c r="H4664" s="391" t="s">
        <v>9568</v>
      </c>
    </row>
    <row r="4665" spans="1:8" x14ac:dyDescent="0.3">
      <c r="A4665" s="45">
        <v>44867</v>
      </c>
      <c r="B4665" s="399" t="s">
        <v>9860</v>
      </c>
      <c r="C4665" s="5" t="s">
        <v>5793</v>
      </c>
      <c r="D4665" s="5" t="s">
        <v>1787</v>
      </c>
      <c r="E4665" s="43">
        <v>1500</v>
      </c>
      <c r="F4665" s="43"/>
      <c r="G4665" s="364">
        <f t="shared" si="126"/>
        <v>930554</v>
      </c>
      <c r="H4665" s="391" t="s">
        <v>9568</v>
      </c>
    </row>
    <row r="4666" spans="1:8" x14ac:dyDescent="0.3">
      <c r="A4666" s="45">
        <v>44867</v>
      </c>
      <c r="B4666" s="429" t="s">
        <v>9860</v>
      </c>
      <c r="C4666" s="5" t="s">
        <v>9525</v>
      </c>
      <c r="D4666" s="139" t="s">
        <v>10043</v>
      </c>
      <c r="E4666" s="140">
        <v>5000</v>
      </c>
      <c r="F4666" s="43"/>
      <c r="G4666" s="364">
        <f t="shared" si="126"/>
        <v>925554</v>
      </c>
      <c r="H4666" s="391" t="s">
        <v>9568</v>
      </c>
    </row>
    <row r="4667" spans="1:8" x14ac:dyDescent="0.3">
      <c r="A4667" s="45">
        <v>44867</v>
      </c>
      <c r="B4667" s="399" t="s">
        <v>10047</v>
      </c>
      <c r="C4667" s="5" t="s">
        <v>10046</v>
      </c>
      <c r="D4667" s="5" t="s">
        <v>5508</v>
      </c>
      <c r="E4667" s="43">
        <v>495000</v>
      </c>
      <c r="F4667" s="43"/>
      <c r="G4667" s="364">
        <f t="shared" si="126"/>
        <v>430554</v>
      </c>
      <c r="H4667" s="391" t="s">
        <v>9568</v>
      </c>
    </row>
    <row r="4668" spans="1:8" x14ac:dyDescent="0.3">
      <c r="A4668" s="45">
        <v>44867</v>
      </c>
      <c r="B4668" s="429" t="s">
        <v>9857</v>
      </c>
      <c r="C4668" s="5" t="s">
        <v>247</v>
      </c>
      <c r="D4668" s="139" t="s">
        <v>7737</v>
      </c>
      <c r="E4668" s="140">
        <v>1000</v>
      </c>
      <c r="F4668" s="43"/>
      <c r="G4668" s="364">
        <f t="shared" si="126"/>
        <v>429554</v>
      </c>
      <c r="H4668" s="391" t="s">
        <v>9568</v>
      </c>
    </row>
    <row r="4669" spans="1:8" x14ac:dyDescent="0.3">
      <c r="A4669" s="45">
        <v>44867</v>
      </c>
      <c r="B4669" s="429" t="s">
        <v>9863</v>
      </c>
      <c r="C4669" s="5" t="s">
        <v>247</v>
      </c>
      <c r="D4669" s="139" t="s">
        <v>7737</v>
      </c>
      <c r="E4669" s="140">
        <v>400</v>
      </c>
      <c r="F4669" s="43"/>
      <c r="G4669" s="364">
        <f t="shared" si="126"/>
        <v>429154</v>
      </c>
      <c r="H4669" s="391" t="s">
        <v>9568</v>
      </c>
    </row>
    <row r="4670" spans="1:8" x14ac:dyDescent="0.3">
      <c r="A4670" s="45">
        <v>44867</v>
      </c>
      <c r="B4670" s="429" t="s">
        <v>118</v>
      </c>
      <c r="C4670" s="5" t="s">
        <v>247</v>
      </c>
      <c r="D4670" s="139" t="s">
        <v>10057</v>
      </c>
      <c r="E4670" s="140">
        <v>200</v>
      </c>
      <c r="F4670" s="43"/>
      <c r="G4670" s="364">
        <f t="shared" si="126"/>
        <v>428954</v>
      </c>
      <c r="H4670" s="391" t="s">
        <v>9568</v>
      </c>
    </row>
    <row r="4671" spans="1:8" x14ac:dyDescent="0.3">
      <c r="A4671" s="45">
        <v>44867</v>
      </c>
      <c r="B4671" s="399" t="s">
        <v>10048</v>
      </c>
      <c r="C4671" s="5" t="s">
        <v>68</v>
      </c>
      <c r="D4671" s="5" t="s">
        <v>10049</v>
      </c>
      <c r="E4671" s="43">
        <v>17700</v>
      </c>
      <c r="F4671" s="43"/>
      <c r="G4671" s="48">
        <f t="shared" si="126"/>
        <v>411254</v>
      </c>
      <c r="H4671" s="391" t="s">
        <v>9568</v>
      </c>
    </row>
    <row r="4672" spans="1:8" x14ac:dyDescent="0.3">
      <c r="A4672" s="45">
        <v>44868</v>
      </c>
      <c r="B4672" s="399" t="s">
        <v>9863</v>
      </c>
      <c r="C4672" s="5" t="s">
        <v>18</v>
      </c>
      <c r="D4672" s="5" t="s">
        <v>640</v>
      </c>
      <c r="E4672" s="43">
        <v>1000</v>
      </c>
      <c r="F4672" s="43"/>
      <c r="G4672" s="48">
        <f t="shared" si="126"/>
        <v>410254</v>
      </c>
      <c r="H4672" s="391" t="s">
        <v>9568</v>
      </c>
    </row>
    <row r="4673" spans="1:8" x14ac:dyDescent="0.3">
      <c r="A4673" s="45">
        <v>44868</v>
      </c>
      <c r="B4673" s="399" t="s">
        <v>9990</v>
      </c>
      <c r="C4673" s="5" t="s">
        <v>84</v>
      </c>
      <c r="D4673" s="5" t="s">
        <v>10054</v>
      </c>
      <c r="E4673" s="43">
        <v>5000</v>
      </c>
      <c r="F4673" s="43"/>
      <c r="G4673" s="48">
        <f t="shared" si="126"/>
        <v>405254</v>
      </c>
      <c r="H4673" s="391" t="s">
        <v>9568</v>
      </c>
    </row>
    <row r="4674" spans="1:8" x14ac:dyDescent="0.3">
      <c r="A4674" s="45">
        <v>44868</v>
      </c>
      <c r="B4674" s="399" t="s">
        <v>9857</v>
      </c>
      <c r="C4674" s="5" t="s">
        <v>2995</v>
      </c>
      <c r="D4674" s="5" t="s">
        <v>10055</v>
      </c>
      <c r="E4674" s="43">
        <v>7500</v>
      </c>
      <c r="F4674" s="43"/>
      <c r="G4674" s="48">
        <f t="shared" si="126"/>
        <v>397754</v>
      </c>
      <c r="H4674" s="391" t="s">
        <v>9568</v>
      </c>
    </row>
    <row r="4675" spans="1:8" x14ac:dyDescent="0.3">
      <c r="A4675" s="45">
        <v>44868</v>
      </c>
      <c r="B4675" s="399" t="s">
        <v>10016</v>
      </c>
      <c r="C4675" s="5" t="s">
        <v>5518</v>
      </c>
      <c r="D4675" s="5" t="s">
        <v>10056</v>
      </c>
      <c r="E4675" s="43">
        <v>1000</v>
      </c>
      <c r="F4675" s="43"/>
      <c r="G4675" s="48">
        <f t="shared" si="126"/>
        <v>396754</v>
      </c>
      <c r="H4675" s="391" t="s">
        <v>9568</v>
      </c>
    </row>
    <row r="4676" spans="1:8" x14ac:dyDescent="0.3">
      <c r="A4676" s="45">
        <v>44868</v>
      </c>
      <c r="B4676" s="399" t="s">
        <v>118</v>
      </c>
      <c r="C4676" s="5" t="s">
        <v>9756</v>
      </c>
      <c r="D4676" s="5" t="s">
        <v>2013</v>
      </c>
      <c r="E4676" s="43">
        <v>390</v>
      </c>
      <c r="F4676" s="43"/>
      <c r="G4676" s="48">
        <f t="shared" si="126"/>
        <v>396364</v>
      </c>
      <c r="H4676" s="391" t="s">
        <v>9568</v>
      </c>
    </row>
    <row r="4677" spans="1:8" x14ac:dyDescent="0.3">
      <c r="A4677" s="45">
        <v>44868</v>
      </c>
      <c r="B4677" s="399" t="s">
        <v>9863</v>
      </c>
      <c r="C4677" s="5" t="s">
        <v>68</v>
      </c>
      <c r="D4677" s="5" t="s">
        <v>10058</v>
      </c>
      <c r="E4677" s="43">
        <v>5000</v>
      </c>
      <c r="F4677" s="43"/>
      <c r="G4677" s="48">
        <f t="shared" si="126"/>
        <v>391364</v>
      </c>
      <c r="H4677" s="391" t="s">
        <v>9568</v>
      </c>
    </row>
    <row r="4678" spans="1:8" x14ac:dyDescent="0.3">
      <c r="A4678" s="45">
        <v>44868</v>
      </c>
      <c r="B4678" s="399" t="s">
        <v>4935</v>
      </c>
      <c r="C4678" s="5" t="s">
        <v>5162</v>
      </c>
      <c r="D4678" s="5" t="s">
        <v>9825</v>
      </c>
      <c r="E4678" s="43">
        <v>850</v>
      </c>
      <c r="F4678" s="43"/>
      <c r="G4678" s="48">
        <f t="shared" ref="G4678:G4681" si="127">G4677+F4678-E4678</f>
        <v>390514</v>
      </c>
      <c r="H4678" s="391" t="s">
        <v>9568</v>
      </c>
    </row>
    <row r="4679" spans="1:8" x14ac:dyDescent="0.3">
      <c r="A4679" s="45">
        <v>44868</v>
      </c>
      <c r="B4679" s="399" t="s">
        <v>10615</v>
      </c>
      <c r="C4679" s="5" t="s">
        <v>6430</v>
      </c>
      <c r="D4679" s="5" t="s">
        <v>10059</v>
      </c>
      <c r="E4679" s="43">
        <v>10000</v>
      </c>
      <c r="F4679" s="43"/>
      <c r="G4679" s="48">
        <f t="shared" si="127"/>
        <v>380514</v>
      </c>
      <c r="H4679" s="391" t="s">
        <v>9568</v>
      </c>
    </row>
    <row r="4680" spans="1:8" x14ac:dyDescent="0.3">
      <c r="A4680" s="45">
        <v>44868</v>
      </c>
      <c r="B4680" s="399" t="s">
        <v>10615</v>
      </c>
      <c r="C4680" s="5" t="s">
        <v>6430</v>
      </c>
      <c r="D4680" s="5" t="s">
        <v>10060</v>
      </c>
      <c r="E4680" s="43">
        <v>4000</v>
      </c>
      <c r="F4680" s="43"/>
      <c r="G4680" s="48">
        <f t="shared" si="127"/>
        <v>376514</v>
      </c>
      <c r="H4680" s="391" t="s">
        <v>9568</v>
      </c>
    </row>
    <row r="4681" spans="1:8" x14ac:dyDescent="0.3">
      <c r="A4681" s="45">
        <v>44868</v>
      </c>
      <c r="B4681" s="399"/>
      <c r="C4681" s="5" t="s">
        <v>57</v>
      </c>
      <c r="D4681" s="5" t="s">
        <v>294</v>
      </c>
      <c r="E4681" s="43">
        <v>1000</v>
      </c>
      <c r="F4681" s="43"/>
      <c r="G4681" s="48">
        <f t="shared" si="127"/>
        <v>375514</v>
      </c>
      <c r="H4681" s="391" t="s">
        <v>9568</v>
      </c>
    </row>
    <row r="4682" spans="1:8" x14ac:dyDescent="0.3">
      <c r="A4682" s="45">
        <v>44869</v>
      </c>
      <c r="B4682" s="409" t="s">
        <v>118</v>
      </c>
      <c r="C4682" s="61" t="s">
        <v>1512</v>
      </c>
      <c r="D4682" s="61" t="s">
        <v>1378</v>
      </c>
      <c r="E4682" s="62">
        <v>5000</v>
      </c>
      <c r="F4682" s="43"/>
      <c r="G4682" s="48">
        <f t="shared" ref="G4682:G4732" si="128">G4681+F4682-E4682</f>
        <v>370514</v>
      </c>
      <c r="H4682" s="391" t="s">
        <v>9568</v>
      </c>
    </row>
    <row r="4683" spans="1:8" x14ac:dyDescent="0.3">
      <c r="A4683" s="45">
        <v>44869</v>
      </c>
      <c r="B4683" s="399" t="s">
        <v>9857</v>
      </c>
      <c r="C4683" s="5" t="s">
        <v>7744</v>
      </c>
      <c r="D4683" s="5" t="s">
        <v>10062</v>
      </c>
      <c r="E4683" s="43">
        <v>50000</v>
      </c>
      <c r="F4683" s="43"/>
      <c r="G4683" s="48">
        <f t="shared" si="128"/>
        <v>320514</v>
      </c>
      <c r="H4683" s="391" t="s">
        <v>9568</v>
      </c>
    </row>
    <row r="4684" spans="1:8" x14ac:dyDescent="0.3">
      <c r="A4684" s="45">
        <v>44869</v>
      </c>
      <c r="B4684" s="399" t="s">
        <v>9857</v>
      </c>
      <c r="C4684" s="5" t="s">
        <v>10013</v>
      </c>
      <c r="D4684" s="5" t="s">
        <v>10063</v>
      </c>
      <c r="E4684" s="43">
        <v>11700</v>
      </c>
      <c r="F4684" s="43"/>
      <c r="G4684" s="48">
        <f t="shared" si="128"/>
        <v>308814</v>
      </c>
      <c r="H4684" s="391" t="s">
        <v>9568</v>
      </c>
    </row>
    <row r="4685" spans="1:8" x14ac:dyDescent="0.3">
      <c r="A4685" s="45">
        <v>44869</v>
      </c>
      <c r="B4685" s="399"/>
      <c r="C4685" s="5" t="s">
        <v>14</v>
      </c>
      <c r="D4685" s="5" t="s">
        <v>294</v>
      </c>
      <c r="E4685" s="43">
        <v>10000</v>
      </c>
      <c r="F4685" s="43"/>
      <c r="G4685" s="48">
        <f t="shared" si="128"/>
        <v>298814</v>
      </c>
      <c r="H4685" s="391" t="s">
        <v>9568</v>
      </c>
    </row>
    <row r="4686" spans="1:8" x14ac:dyDescent="0.3">
      <c r="A4686" s="45">
        <v>44870</v>
      </c>
      <c r="B4686" s="399" t="s">
        <v>10016</v>
      </c>
      <c r="C4686" s="5" t="s">
        <v>5518</v>
      </c>
      <c r="D4686" s="5" t="s">
        <v>10068</v>
      </c>
      <c r="E4686" s="43">
        <v>20000</v>
      </c>
      <c r="F4686" s="43"/>
      <c r="G4686" s="48">
        <f t="shared" si="128"/>
        <v>278814</v>
      </c>
      <c r="H4686" s="391" t="s">
        <v>9568</v>
      </c>
    </row>
    <row r="4687" spans="1:8" x14ac:dyDescent="0.3">
      <c r="A4687" s="45">
        <v>44870</v>
      </c>
      <c r="B4687" s="409" t="s">
        <v>118</v>
      </c>
      <c r="C4687" s="61" t="s">
        <v>1512</v>
      </c>
      <c r="D4687" s="61" t="s">
        <v>10069</v>
      </c>
      <c r="E4687" s="62">
        <v>19290</v>
      </c>
      <c r="F4687" s="43"/>
      <c r="G4687" s="48">
        <f t="shared" si="128"/>
        <v>259524</v>
      </c>
      <c r="H4687" s="391" t="s">
        <v>9568</v>
      </c>
    </row>
    <row r="4688" spans="1:8" x14ac:dyDescent="0.3">
      <c r="A4688" s="45">
        <v>44870</v>
      </c>
      <c r="B4688" s="399" t="s">
        <v>118</v>
      </c>
      <c r="C4688" s="5" t="s">
        <v>247</v>
      </c>
      <c r="D4688" s="5" t="s">
        <v>10018</v>
      </c>
      <c r="E4688" s="43">
        <v>1000</v>
      </c>
      <c r="F4688" s="43"/>
      <c r="G4688" s="48">
        <f t="shared" si="128"/>
        <v>258524</v>
      </c>
      <c r="H4688" s="391" t="s">
        <v>9568</v>
      </c>
    </row>
    <row r="4689" spans="1:8" x14ac:dyDescent="0.3">
      <c r="A4689" s="45">
        <v>44870</v>
      </c>
      <c r="B4689" s="399" t="s">
        <v>118</v>
      </c>
      <c r="C4689" s="5" t="s">
        <v>9873</v>
      </c>
      <c r="D4689" s="5" t="s">
        <v>7533</v>
      </c>
      <c r="E4689" s="43">
        <v>450</v>
      </c>
      <c r="F4689" s="43"/>
      <c r="G4689" s="48">
        <f t="shared" si="128"/>
        <v>258074</v>
      </c>
      <c r="H4689" s="391" t="s">
        <v>9568</v>
      </c>
    </row>
    <row r="4690" spans="1:8" x14ac:dyDescent="0.3">
      <c r="A4690" s="45">
        <v>44870</v>
      </c>
      <c r="B4690" s="399" t="s">
        <v>9878</v>
      </c>
      <c r="C4690" s="5" t="s">
        <v>5793</v>
      </c>
      <c r="D4690" s="5" t="s">
        <v>10070</v>
      </c>
      <c r="E4690" s="43">
        <v>1600</v>
      </c>
      <c r="F4690" s="43"/>
      <c r="G4690" s="48">
        <f t="shared" si="128"/>
        <v>256474</v>
      </c>
      <c r="H4690" s="391" t="s">
        <v>9568</v>
      </c>
    </row>
    <row r="4691" spans="1:8" x14ac:dyDescent="0.3">
      <c r="A4691" s="45">
        <v>44870</v>
      </c>
      <c r="B4691" s="399" t="s">
        <v>9860</v>
      </c>
      <c r="C4691" s="5" t="s">
        <v>68</v>
      </c>
      <c r="D4691" s="5" t="s">
        <v>10071</v>
      </c>
      <c r="E4691" s="43">
        <v>3000</v>
      </c>
      <c r="F4691" s="43"/>
      <c r="G4691" s="48">
        <f t="shared" si="128"/>
        <v>253474</v>
      </c>
      <c r="H4691" s="391" t="s">
        <v>9568</v>
      </c>
    </row>
    <row r="4692" spans="1:8" x14ac:dyDescent="0.3">
      <c r="A4692" s="45">
        <v>44870</v>
      </c>
      <c r="B4692" s="399" t="s">
        <v>9857</v>
      </c>
      <c r="C4692" s="5" t="s">
        <v>9525</v>
      </c>
      <c r="D4692" s="5" t="s">
        <v>10072</v>
      </c>
      <c r="E4692" s="43">
        <v>15000</v>
      </c>
      <c r="F4692" s="43"/>
      <c r="G4692" s="48">
        <f t="shared" si="128"/>
        <v>238474</v>
      </c>
      <c r="H4692" s="391" t="s">
        <v>9568</v>
      </c>
    </row>
    <row r="4693" spans="1:8" x14ac:dyDescent="0.3">
      <c r="A4693" s="45">
        <v>44870</v>
      </c>
      <c r="B4693" s="399" t="s">
        <v>9857</v>
      </c>
      <c r="C4693" s="5" t="s">
        <v>84</v>
      </c>
      <c r="D4693" s="5" t="s">
        <v>10042</v>
      </c>
      <c r="E4693" s="43">
        <v>5000</v>
      </c>
      <c r="F4693" s="43"/>
      <c r="G4693" s="48">
        <f t="shared" si="128"/>
        <v>233474</v>
      </c>
      <c r="H4693" s="391" t="s">
        <v>9568</v>
      </c>
    </row>
    <row r="4694" spans="1:8" x14ac:dyDescent="0.3">
      <c r="A4694" s="45">
        <v>44870</v>
      </c>
      <c r="B4694" s="409" t="s">
        <v>9925</v>
      </c>
      <c r="C4694" s="61" t="s">
        <v>1512</v>
      </c>
      <c r="D4694" s="61" t="s">
        <v>8646</v>
      </c>
      <c r="E4694" s="62">
        <v>95490</v>
      </c>
      <c r="F4694" s="43"/>
      <c r="G4694" s="48">
        <f t="shared" si="128"/>
        <v>137984</v>
      </c>
      <c r="H4694" s="391" t="s">
        <v>9568</v>
      </c>
    </row>
    <row r="4695" spans="1:8" x14ac:dyDescent="0.3">
      <c r="A4695" s="45">
        <v>44870</v>
      </c>
      <c r="B4695" s="399" t="s">
        <v>9879</v>
      </c>
      <c r="C4695" s="5" t="s">
        <v>9947</v>
      </c>
      <c r="D4695" s="5" t="s">
        <v>10073</v>
      </c>
      <c r="E4695" s="43">
        <v>15000</v>
      </c>
      <c r="F4695" s="43"/>
      <c r="G4695" s="48">
        <f t="shared" si="128"/>
        <v>122984</v>
      </c>
      <c r="H4695" s="391" t="s">
        <v>9568</v>
      </c>
    </row>
    <row r="4696" spans="1:8" x14ac:dyDescent="0.3">
      <c r="A4696" s="45">
        <v>44870</v>
      </c>
      <c r="B4696" s="399" t="s">
        <v>9857</v>
      </c>
      <c r="C4696" s="5" t="s">
        <v>9947</v>
      </c>
      <c r="D4696" s="5" t="s">
        <v>10074</v>
      </c>
      <c r="E4696" s="43">
        <v>5000</v>
      </c>
      <c r="F4696" s="43"/>
      <c r="G4696" s="48">
        <f t="shared" si="128"/>
        <v>117984</v>
      </c>
      <c r="H4696" s="391" t="s">
        <v>9568</v>
      </c>
    </row>
    <row r="4697" spans="1:8" x14ac:dyDescent="0.3">
      <c r="A4697" s="45">
        <v>44870</v>
      </c>
      <c r="B4697" s="399" t="s">
        <v>9863</v>
      </c>
      <c r="C4697" s="5" t="s">
        <v>9044</v>
      </c>
      <c r="D4697" s="5" t="s">
        <v>10075</v>
      </c>
      <c r="E4697" s="43">
        <v>11000</v>
      </c>
      <c r="F4697" s="43"/>
      <c r="G4697" s="48">
        <f t="shared" si="128"/>
        <v>106984</v>
      </c>
      <c r="H4697" s="391" t="s">
        <v>9568</v>
      </c>
    </row>
    <row r="4698" spans="1:8" x14ac:dyDescent="0.3">
      <c r="A4698" s="45">
        <v>44870</v>
      </c>
      <c r="B4698" s="399" t="s">
        <v>10615</v>
      </c>
      <c r="C4698" s="5" t="s">
        <v>6430</v>
      </c>
      <c r="D4698" s="5" t="s">
        <v>10076</v>
      </c>
      <c r="E4698" s="43">
        <v>2000</v>
      </c>
      <c r="F4698" s="43"/>
      <c r="G4698" s="48">
        <f t="shared" si="128"/>
        <v>104984</v>
      </c>
      <c r="H4698" s="391" t="s">
        <v>9568</v>
      </c>
    </row>
    <row r="4699" spans="1:8" x14ac:dyDescent="0.3">
      <c r="A4699" s="45">
        <v>44870</v>
      </c>
      <c r="B4699" s="399" t="s">
        <v>10615</v>
      </c>
      <c r="C4699" s="5" t="s">
        <v>6430</v>
      </c>
      <c r="D4699" s="5" t="s">
        <v>6932</v>
      </c>
      <c r="E4699" s="43">
        <v>1300</v>
      </c>
      <c r="F4699" s="43"/>
      <c r="G4699" s="48">
        <f t="shared" si="128"/>
        <v>103684</v>
      </c>
      <c r="H4699" s="391" t="s">
        <v>9568</v>
      </c>
    </row>
    <row r="4700" spans="1:8" x14ac:dyDescent="0.3">
      <c r="A4700" s="45">
        <v>44870</v>
      </c>
      <c r="B4700" s="409" t="s">
        <v>9860</v>
      </c>
      <c r="C4700" s="61" t="s">
        <v>1512</v>
      </c>
      <c r="D4700" s="61" t="s">
        <v>10077</v>
      </c>
      <c r="E4700" s="62">
        <v>31160</v>
      </c>
      <c r="F4700" s="43"/>
      <c r="G4700" s="48">
        <f t="shared" si="128"/>
        <v>72524</v>
      </c>
      <c r="H4700" s="391" t="s">
        <v>9568</v>
      </c>
    </row>
    <row r="4701" spans="1:8" x14ac:dyDescent="0.3">
      <c r="A4701" s="45">
        <v>44870</v>
      </c>
      <c r="B4701" s="399" t="s">
        <v>118</v>
      </c>
      <c r="C4701" s="5" t="s">
        <v>9873</v>
      </c>
      <c r="D4701" s="5" t="s">
        <v>4834</v>
      </c>
      <c r="E4701" s="43">
        <v>1000</v>
      </c>
      <c r="F4701" s="43"/>
      <c r="G4701" s="48">
        <f t="shared" si="128"/>
        <v>71524</v>
      </c>
      <c r="H4701" s="391" t="s">
        <v>9568</v>
      </c>
    </row>
    <row r="4702" spans="1:8" x14ac:dyDescent="0.3">
      <c r="A4702" s="45">
        <v>44870</v>
      </c>
      <c r="B4702" s="399" t="s">
        <v>118</v>
      </c>
      <c r="C4702" s="5" t="s">
        <v>9873</v>
      </c>
      <c r="D4702" s="5" t="s">
        <v>9898</v>
      </c>
      <c r="E4702" s="43">
        <v>6360</v>
      </c>
      <c r="F4702" s="43"/>
      <c r="G4702" s="48">
        <f t="shared" si="128"/>
        <v>65164</v>
      </c>
      <c r="H4702" s="391" t="s">
        <v>9568</v>
      </c>
    </row>
    <row r="4703" spans="1:8" x14ac:dyDescent="0.3">
      <c r="A4703" s="45">
        <v>44872</v>
      </c>
      <c r="B4703" s="399" t="s">
        <v>9860</v>
      </c>
      <c r="C4703" s="5" t="s">
        <v>10001</v>
      </c>
      <c r="D4703" s="5" t="s">
        <v>10079</v>
      </c>
      <c r="E4703" s="43">
        <v>5000</v>
      </c>
      <c r="F4703" s="43"/>
      <c r="G4703" s="48">
        <f t="shared" si="128"/>
        <v>60164</v>
      </c>
      <c r="H4703" s="391" t="s">
        <v>9568</v>
      </c>
    </row>
    <row r="4704" spans="1:8" x14ac:dyDescent="0.3">
      <c r="A4704" s="45">
        <v>44872</v>
      </c>
      <c r="B4704" s="399" t="s">
        <v>4935</v>
      </c>
      <c r="C4704" s="5" t="s">
        <v>10001</v>
      </c>
      <c r="D4704" s="5" t="s">
        <v>10080</v>
      </c>
      <c r="E4704" s="43">
        <v>5000</v>
      </c>
      <c r="F4704" s="43"/>
      <c r="G4704" s="48">
        <f t="shared" si="128"/>
        <v>55164</v>
      </c>
      <c r="H4704" s="391" t="s">
        <v>9568</v>
      </c>
    </row>
    <row r="4705" spans="1:8" x14ac:dyDescent="0.3">
      <c r="A4705" s="45">
        <v>44872</v>
      </c>
      <c r="B4705" s="409" t="s">
        <v>118</v>
      </c>
      <c r="C4705" s="61" t="s">
        <v>1512</v>
      </c>
      <c r="D4705" s="61" t="s">
        <v>10084</v>
      </c>
      <c r="E4705" s="62">
        <v>20520</v>
      </c>
      <c r="F4705" s="43"/>
      <c r="G4705" s="48">
        <f t="shared" si="128"/>
        <v>34644</v>
      </c>
      <c r="H4705" s="391" t="s">
        <v>9568</v>
      </c>
    </row>
    <row r="4706" spans="1:8" x14ac:dyDescent="0.3">
      <c r="A4706" s="45">
        <v>44872</v>
      </c>
      <c r="B4706" s="399"/>
      <c r="C4706" s="5" t="s">
        <v>14</v>
      </c>
      <c r="D4706" s="5" t="s">
        <v>294</v>
      </c>
      <c r="E4706" s="43">
        <v>3000</v>
      </c>
      <c r="F4706" s="43"/>
      <c r="G4706" s="48">
        <f t="shared" si="128"/>
        <v>31644</v>
      </c>
      <c r="H4706" s="391" t="s">
        <v>9568</v>
      </c>
    </row>
    <row r="4707" spans="1:8" x14ac:dyDescent="0.3">
      <c r="A4707" s="45">
        <v>44873</v>
      </c>
      <c r="B4707" s="399" t="s">
        <v>9879</v>
      </c>
      <c r="C4707" s="5" t="s">
        <v>57</v>
      </c>
      <c r="D4707" s="5" t="s">
        <v>10037</v>
      </c>
      <c r="E4707" s="43">
        <v>1000</v>
      </c>
      <c r="F4707" s="43"/>
      <c r="G4707" s="48">
        <f t="shared" si="128"/>
        <v>30644</v>
      </c>
      <c r="H4707" s="391" t="s">
        <v>9568</v>
      </c>
    </row>
    <row r="4708" spans="1:8" x14ac:dyDescent="0.3">
      <c r="A4708" s="45">
        <v>44873</v>
      </c>
      <c r="B4708" s="399" t="s">
        <v>118</v>
      </c>
      <c r="C4708" s="5" t="s">
        <v>9873</v>
      </c>
      <c r="D4708" s="5" t="s">
        <v>9898</v>
      </c>
      <c r="E4708" s="43">
        <v>5675</v>
      </c>
      <c r="F4708" s="43"/>
      <c r="G4708" s="48">
        <f t="shared" si="128"/>
        <v>24969</v>
      </c>
      <c r="H4708" s="391" t="s">
        <v>9568</v>
      </c>
    </row>
    <row r="4709" spans="1:8" x14ac:dyDescent="0.3">
      <c r="A4709" s="45">
        <v>44873</v>
      </c>
      <c r="B4709" s="399"/>
      <c r="C4709" s="5" t="s">
        <v>57</v>
      </c>
      <c r="D4709" s="5" t="s">
        <v>10086</v>
      </c>
      <c r="E4709" s="43">
        <v>300</v>
      </c>
      <c r="F4709" s="43"/>
      <c r="G4709" s="48">
        <f t="shared" si="128"/>
        <v>24669</v>
      </c>
      <c r="H4709" s="391" t="s">
        <v>9568</v>
      </c>
    </row>
    <row r="4710" spans="1:8" x14ac:dyDescent="0.3">
      <c r="A4710" s="45">
        <v>44873</v>
      </c>
      <c r="B4710" s="399" t="s">
        <v>10615</v>
      </c>
      <c r="C4710" s="5" t="s">
        <v>6430</v>
      </c>
      <c r="D4710" s="5" t="s">
        <v>294</v>
      </c>
      <c r="E4710" s="43">
        <v>6200</v>
      </c>
      <c r="F4710" s="43"/>
      <c r="G4710" s="48">
        <f t="shared" si="128"/>
        <v>18469</v>
      </c>
      <c r="H4710" s="391" t="s">
        <v>9568</v>
      </c>
    </row>
    <row r="4711" spans="1:8" x14ac:dyDescent="0.3">
      <c r="A4711" s="45">
        <v>44873</v>
      </c>
      <c r="B4711" s="399" t="s">
        <v>10615</v>
      </c>
      <c r="C4711" s="5" t="s">
        <v>6430</v>
      </c>
      <c r="D4711" s="5" t="s">
        <v>10076</v>
      </c>
      <c r="E4711" s="43">
        <v>2000</v>
      </c>
      <c r="F4711" s="43"/>
      <c r="G4711" s="48">
        <f t="shared" si="128"/>
        <v>16469</v>
      </c>
      <c r="H4711" s="391" t="s">
        <v>9568</v>
      </c>
    </row>
    <row r="4712" spans="1:8" x14ac:dyDescent="0.3">
      <c r="A4712" s="45">
        <v>44873</v>
      </c>
      <c r="B4712" s="586"/>
      <c r="C4712" s="486" t="s">
        <v>5653</v>
      </c>
      <c r="D4712" s="486"/>
      <c r="E4712" s="486"/>
      <c r="F4712" s="43">
        <v>400000</v>
      </c>
      <c r="G4712" s="48">
        <f t="shared" si="128"/>
        <v>416469</v>
      </c>
      <c r="H4712" s="391" t="s">
        <v>9568</v>
      </c>
    </row>
    <row r="4713" spans="1:8" x14ac:dyDescent="0.3">
      <c r="A4713" s="45">
        <v>44873</v>
      </c>
      <c r="B4713" s="399" t="s">
        <v>5933</v>
      </c>
      <c r="C4713" s="5" t="s">
        <v>9186</v>
      </c>
      <c r="D4713" s="5" t="s">
        <v>6932</v>
      </c>
      <c r="E4713" s="43">
        <v>3000</v>
      </c>
      <c r="F4713" s="43"/>
      <c r="G4713" s="48">
        <f t="shared" si="128"/>
        <v>413469</v>
      </c>
      <c r="H4713" s="391" t="s">
        <v>9568</v>
      </c>
    </row>
    <row r="4714" spans="1:8" x14ac:dyDescent="0.3">
      <c r="A4714" s="45">
        <v>44873</v>
      </c>
      <c r="B4714" s="399" t="s">
        <v>9990</v>
      </c>
      <c r="C4714" s="5" t="s">
        <v>84</v>
      </c>
      <c r="D4714" s="5" t="s">
        <v>10088</v>
      </c>
      <c r="E4714" s="43">
        <v>10000</v>
      </c>
      <c r="F4714" s="43"/>
      <c r="G4714" s="48">
        <f t="shared" si="128"/>
        <v>403469</v>
      </c>
      <c r="H4714" s="391" t="s">
        <v>9568</v>
      </c>
    </row>
    <row r="4715" spans="1:8" x14ac:dyDescent="0.3">
      <c r="A4715" s="45">
        <v>44873</v>
      </c>
      <c r="B4715" s="399" t="s">
        <v>9990</v>
      </c>
      <c r="C4715" s="5" t="s">
        <v>84</v>
      </c>
      <c r="D4715" s="5" t="s">
        <v>10089</v>
      </c>
      <c r="E4715" s="43">
        <v>2000</v>
      </c>
      <c r="F4715" s="43"/>
      <c r="G4715" s="48">
        <f t="shared" si="128"/>
        <v>401469</v>
      </c>
      <c r="H4715" s="391" t="s">
        <v>9568</v>
      </c>
    </row>
    <row r="4716" spans="1:8" x14ac:dyDescent="0.3">
      <c r="A4716" s="45">
        <v>44873</v>
      </c>
      <c r="B4716" s="399" t="s">
        <v>9990</v>
      </c>
      <c r="C4716" s="5" t="s">
        <v>84</v>
      </c>
      <c r="D4716" s="5" t="s">
        <v>9957</v>
      </c>
      <c r="E4716" s="43">
        <v>2000</v>
      </c>
      <c r="F4716" s="43"/>
      <c r="G4716" s="48">
        <f t="shared" si="128"/>
        <v>399469</v>
      </c>
      <c r="H4716" s="391" t="s">
        <v>9568</v>
      </c>
    </row>
    <row r="4717" spans="1:8" x14ac:dyDescent="0.3">
      <c r="A4717" s="45">
        <v>44873</v>
      </c>
      <c r="B4717" s="586"/>
      <c r="C4717" s="486" t="s">
        <v>10098</v>
      </c>
      <c r="D4717" s="486"/>
      <c r="E4717" s="486"/>
      <c r="F4717" s="43">
        <v>201000</v>
      </c>
      <c r="G4717" s="48">
        <f t="shared" si="128"/>
        <v>600469</v>
      </c>
      <c r="H4717" s="391" t="s">
        <v>9568</v>
      </c>
    </row>
    <row r="4718" spans="1:8" x14ac:dyDescent="0.3">
      <c r="A4718" s="45">
        <v>44873</v>
      </c>
      <c r="B4718" s="586"/>
      <c r="C4718" s="486" t="s">
        <v>10098</v>
      </c>
      <c r="D4718" s="486"/>
      <c r="E4718" s="486"/>
      <c r="F4718" s="43">
        <v>250000</v>
      </c>
      <c r="G4718" s="48">
        <f t="shared" si="128"/>
        <v>850469</v>
      </c>
      <c r="H4718" s="391" t="s">
        <v>9568</v>
      </c>
    </row>
    <row r="4719" spans="1:8" x14ac:dyDescent="0.3">
      <c r="A4719" s="45">
        <v>44873</v>
      </c>
      <c r="B4719" s="586"/>
      <c r="C4719" s="486" t="s">
        <v>10098</v>
      </c>
      <c r="D4719" s="486"/>
      <c r="E4719" s="486"/>
      <c r="F4719" s="43">
        <v>155000</v>
      </c>
      <c r="G4719" s="48">
        <f t="shared" si="128"/>
        <v>1005469</v>
      </c>
      <c r="H4719" s="391" t="s">
        <v>9568</v>
      </c>
    </row>
    <row r="4720" spans="1:8" x14ac:dyDescent="0.3">
      <c r="A4720" s="45">
        <v>44873</v>
      </c>
      <c r="B4720" s="409" t="s">
        <v>10615</v>
      </c>
      <c r="C4720" s="61" t="s">
        <v>1512</v>
      </c>
      <c r="D4720" s="61" t="s">
        <v>40</v>
      </c>
      <c r="E4720" s="62">
        <v>130902</v>
      </c>
      <c r="F4720" s="43"/>
      <c r="G4720" s="48">
        <f t="shared" si="128"/>
        <v>874567</v>
      </c>
      <c r="H4720" s="391" t="s">
        <v>9568</v>
      </c>
    </row>
    <row r="4721" spans="1:8" x14ac:dyDescent="0.3">
      <c r="A4721" s="45">
        <v>44873</v>
      </c>
      <c r="B4721" s="409" t="s">
        <v>5933</v>
      </c>
      <c r="C4721" s="61" t="s">
        <v>1512</v>
      </c>
      <c r="D4721" s="61" t="s">
        <v>40</v>
      </c>
      <c r="E4721" s="62">
        <v>138411</v>
      </c>
      <c r="F4721" s="43"/>
      <c r="G4721" s="48">
        <f t="shared" si="128"/>
        <v>736156</v>
      </c>
      <c r="H4721" s="391" t="s">
        <v>9568</v>
      </c>
    </row>
    <row r="4722" spans="1:8" x14ac:dyDescent="0.3">
      <c r="A4722" s="45">
        <v>44873</v>
      </c>
      <c r="B4722" s="409" t="s">
        <v>118</v>
      </c>
      <c r="C4722" s="61" t="s">
        <v>1512</v>
      </c>
      <c r="D4722" s="61" t="s">
        <v>6842</v>
      </c>
      <c r="E4722" s="62">
        <v>132774</v>
      </c>
      <c r="F4722" s="43"/>
      <c r="G4722" s="48">
        <f t="shared" si="128"/>
        <v>603382</v>
      </c>
      <c r="H4722" s="391" t="s">
        <v>9568</v>
      </c>
    </row>
    <row r="4723" spans="1:8" x14ac:dyDescent="0.3">
      <c r="A4723" s="45">
        <v>44873</v>
      </c>
      <c r="B4723" s="409" t="s">
        <v>9857</v>
      </c>
      <c r="C4723" s="61" t="s">
        <v>1512</v>
      </c>
      <c r="D4723" s="61" t="s">
        <v>9703</v>
      </c>
      <c r="E4723" s="62">
        <v>42900</v>
      </c>
      <c r="F4723" s="43"/>
      <c r="G4723" s="48">
        <f t="shared" si="128"/>
        <v>560482</v>
      </c>
      <c r="H4723" s="391" t="s">
        <v>9568</v>
      </c>
    </row>
    <row r="4724" spans="1:8" x14ac:dyDescent="0.3">
      <c r="A4724" s="45">
        <v>44875</v>
      </c>
      <c r="B4724" s="409" t="s">
        <v>9857</v>
      </c>
      <c r="C4724" s="61" t="s">
        <v>1512</v>
      </c>
      <c r="D4724" s="61" t="s">
        <v>10090</v>
      </c>
      <c r="E4724" s="62">
        <f>30140+20040</f>
        <v>50180</v>
      </c>
      <c r="F4724" s="43"/>
      <c r="G4724" s="48">
        <f t="shared" si="128"/>
        <v>510302</v>
      </c>
      <c r="H4724" s="391" t="s">
        <v>9568</v>
      </c>
    </row>
    <row r="4725" spans="1:8" x14ac:dyDescent="0.3">
      <c r="A4725" s="45">
        <v>44875</v>
      </c>
      <c r="B4725" s="409" t="s">
        <v>10091</v>
      </c>
      <c r="C4725" s="61" t="s">
        <v>1512</v>
      </c>
      <c r="D4725" s="61" t="s">
        <v>10092</v>
      </c>
      <c r="E4725" s="62">
        <v>28000</v>
      </c>
      <c r="F4725" s="43"/>
      <c r="G4725" s="48">
        <f t="shared" si="128"/>
        <v>482302</v>
      </c>
      <c r="H4725" s="391" t="s">
        <v>9568</v>
      </c>
    </row>
    <row r="4726" spans="1:8" x14ac:dyDescent="0.3">
      <c r="A4726" s="45">
        <v>44875</v>
      </c>
      <c r="B4726" s="409" t="s">
        <v>9990</v>
      </c>
      <c r="C4726" s="61" t="s">
        <v>1512</v>
      </c>
      <c r="D4726" s="61" t="s">
        <v>8645</v>
      </c>
      <c r="E4726" s="62">
        <v>286356</v>
      </c>
      <c r="F4726" s="43"/>
      <c r="G4726" s="48">
        <f t="shared" si="128"/>
        <v>195946</v>
      </c>
      <c r="H4726" s="391" t="s">
        <v>9568</v>
      </c>
    </row>
    <row r="4727" spans="1:8" x14ac:dyDescent="0.3">
      <c r="A4727" s="45">
        <v>44875</v>
      </c>
      <c r="B4727" s="409" t="s">
        <v>9925</v>
      </c>
      <c r="C4727" s="61" t="s">
        <v>1512</v>
      </c>
      <c r="D4727" s="61" t="s">
        <v>9175</v>
      </c>
      <c r="E4727" s="62">
        <v>95746</v>
      </c>
      <c r="F4727" s="43"/>
      <c r="G4727" s="48">
        <f t="shared" si="128"/>
        <v>100200</v>
      </c>
      <c r="H4727" s="391" t="s">
        <v>9568</v>
      </c>
    </row>
    <row r="4728" spans="1:8" x14ac:dyDescent="0.3">
      <c r="A4728" s="45">
        <v>44875</v>
      </c>
      <c r="B4728" s="399" t="s">
        <v>378</v>
      </c>
      <c r="C4728" s="5" t="s">
        <v>57</v>
      </c>
      <c r="D4728" s="5" t="s">
        <v>10093</v>
      </c>
      <c r="E4728" s="43">
        <v>37000</v>
      </c>
      <c r="F4728" s="43"/>
      <c r="G4728" s="48">
        <f t="shared" si="128"/>
        <v>63200</v>
      </c>
      <c r="H4728" s="391" t="s">
        <v>9568</v>
      </c>
    </row>
    <row r="4729" spans="1:8" x14ac:dyDescent="0.3">
      <c r="A4729" s="45">
        <v>44875</v>
      </c>
      <c r="B4729" s="399" t="s">
        <v>10615</v>
      </c>
      <c r="C4729" s="5" t="s">
        <v>6430</v>
      </c>
      <c r="D4729" s="5" t="s">
        <v>10094</v>
      </c>
      <c r="E4729" s="43">
        <v>2000</v>
      </c>
      <c r="F4729" s="43"/>
      <c r="G4729" s="48">
        <f t="shared" si="128"/>
        <v>61200</v>
      </c>
      <c r="H4729" s="391" t="s">
        <v>9568</v>
      </c>
    </row>
    <row r="4730" spans="1:8" x14ac:dyDescent="0.3">
      <c r="A4730" s="45">
        <v>44875</v>
      </c>
      <c r="B4730" s="399" t="s">
        <v>118</v>
      </c>
      <c r="C4730" s="5" t="s">
        <v>25</v>
      </c>
      <c r="D4730" s="5" t="s">
        <v>10095</v>
      </c>
      <c r="E4730" s="43">
        <v>500</v>
      </c>
      <c r="F4730" s="43"/>
      <c r="G4730" s="48">
        <f t="shared" si="128"/>
        <v>60700</v>
      </c>
      <c r="H4730" s="391" t="s">
        <v>9568</v>
      </c>
    </row>
    <row r="4731" spans="1:8" x14ac:dyDescent="0.3">
      <c r="A4731" s="45">
        <v>44875</v>
      </c>
      <c r="B4731" s="399"/>
      <c r="C4731" s="5" t="s">
        <v>14</v>
      </c>
      <c r="D4731" s="5" t="s">
        <v>10096</v>
      </c>
      <c r="E4731" s="43">
        <f>9367+720</f>
        <v>10087</v>
      </c>
      <c r="F4731" s="43"/>
      <c r="G4731" s="48">
        <f t="shared" si="128"/>
        <v>50613</v>
      </c>
      <c r="H4731" s="391" t="s">
        <v>9568</v>
      </c>
    </row>
    <row r="4732" spans="1:8" x14ac:dyDescent="0.3">
      <c r="A4732" s="45">
        <v>44875</v>
      </c>
      <c r="B4732" s="399"/>
      <c r="C4732" s="5" t="s">
        <v>25</v>
      </c>
      <c r="D4732" s="5" t="s">
        <v>10097</v>
      </c>
      <c r="E4732" s="43">
        <v>2300</v>
      </c>
      <c r="F4732" s="43"/>
      <c r="G4732" s="48">
        <f t="shared" si="128"/>
        <v>48313</v>
      </c>
      <c r="H4732" s="391" t="s">
        <v>9568</v>
      </c>
    </row>
    <row r="4733" spans="1:8" x14ac:dyDescent="0.3">
      <c r="A4733" s="45">
        <v>44875</v>
      </c>
      <c r="B4733" s="399"/>
      <c r="C4733" s="5" t="s">
        <v>14</v>
      </c>
      <c r="D4733" s="5" t="s">
        <v>294</v>
      </c>
      <c r="E4733" s="43">
        <v>15000</v>
      </c>
      <c r="F4733" s="43"/>
      <c r="G4733" s="48">
        <f t="shared" ref="G4733:G4786" si="129">G4732+F4733-E4733</f>
        <v>33313</v>
      </c>
      <c r="H4733" s="391" t="s">
        <v>9568</v>
      </c>
    </row>
    <row r="4734" spans="1:8" x14ac:dyDescent="0.3">
      <c r="A4734" s="45">
        <v>44875</v>
      </c>
      <c r="B4734" s="399" t="s">
        <v>118</v>
      </c>
      <c r="C4734" s="5" t="s">
        <v>3724</v>
      </c>
      <c r="D4734" s="5" t="s">
        <v>40</v>
      </c>
      <c r="E4734" s="43">
        <v>4970</v>
      </c>
      <c r="F4734" s="43"/>
      <c r="G4734" s="48">
        <f t="shared" si="129"/>
        <v>28343</v>
      </c>
      <c r="H4734" s="391" t="s">
        <v>9568</v>
      </c>
    </row>
    <row r="4735" spans="1:8" x14ac:dyDescent="0.3">
      <c r="A4735" s="45">
        <v>44875</v>
      </c>
      <c r="B4735" s="409" t="s">
        <v>9925</v>
      </c>
      <c r="C4735" s="61" t="s">
        <v>1512</v>
      </c>
      <c r="D4735" s="61" t="s">
        <v>10099</v>
      </c>
      <c r="E4735" s="62">
        <v>19920</v>
      </c>
      <c r="F4735" s="43"/>
      <c r="G4735" s="48">
        <f t="shared" si="129"/>
        <v>8423</v>
      </c>
      <c r="H4735" s="391" t="s">
        <v>9568</v>
      </c>
    </row>
    <row r="4736" spans="1:8" x14ac:dyDescent="0.3">
      <c r="A4736" s="45">
        <v>44875</v>
      </c>
      <c r="B4736" s="399" t="s">
        <v>10615</v>
      </c>
      <c r="C4736" s="5" t="s">
        <v>247</v>
      </c>
      <c r="D4736" s="5" t="s">
        <v>10100</v>
      </c>
      <c r="E4736" s="43">
        <v>4000</v>
      </c>
      <c r="F4736" s="43"/>
      <c r="G4736" s="48">
        <f t="shared" si="129"/>
        <v>4423</v>
      </c>
      <c r="H4736" s="391" t="s">
        <v>9568</v>
      </c>
    </row>
    <row r="4737" spans="1:8" x14ac:dyDescent="0.3">
      <c r="A4737" s="45">
        <v>44876</v>
      </c>
      <c r="B4737" s="586"/>
      <c r="C4737" s="486" t="s">
        <v>10098</v>
      </c>
      <c r="D4737" s="486"/>
      <c r="E4737" s="486"/>
      <c r="F4737" s="43">
        <v>300000</v>
      </c>
      <c r="G4737" s="48">
        <f t="shared" si="129"/>
        <v>304423</v>
      </c>
      <c r="H4737" s="391" t="s">
        <v>9568</v>
      </c>
    </row>
    <row r="4738" spans="1:8" x14ac:dyDescent="0.3">
      <c r="A4738" s="45">
        <v>44876</v>
      </c>
      <c r="B4738" s="399" t="s">
        <v>9860</v>
      </c>
      <c r="C4738" s="5" t="s">
        <v>9525</v>
      </c>
      <c r="D4738" s="5" t="s">
        <v>4187</v>
      </c>
      <c r="E4738" s="43">
        <v>5000</v>
      </c>
      <c r="F4738" s="43"/>
      <c r="G4738" s="48">
        <f t="shared" si="129"/>
        <v>299423</v>
      </c>
      <c r="H4738" s="391" t="s">
        <v>9568</v>
      </c>
    </row>
    <row r="4739" spans="1:8" x14ac:dyDescent="0.3">
      <c r="A4739" s="45">
        <v>44876</v>
      </c>
      <c r="B4739" s="399"/>
      <c r="C4739" s="5" t="s">
        <v>10101</v>
      </c>
      <c r="D4739" s="5" t="s">
        <v>294</v>
      </c>
      <c r="E4739" s="43">
        <v>50000</v>
      </c>
      <c r="F4739" s="43"/>
      <c r="G4739" s="48">
        <f t="shared" si="129"/>
        <v>249423</v>
      </c>
      <c r="H4739" s="391" t="s">
        <v>9568</v>
      </c>
    </row>
    <row r="4740" spans="1:8" x14ac:dyDescent="0.3">
      <c r="A4740" s="45">
        <v>44876</v>
      </c>
      <c r="B4740" s="399" t="s">
        <v>9860</v>
      </c>
      <c r="C4740" s="5" t="s">
        <v>9647</v>
      </c>
      <c r="D4740" s="5" t="s">
        <v>9528</v>
      </c>
      <c r="E4740" s="43">
        <v>2000</v>
      </c>
      <c r="F4740" s="43"/>
      <c r="G4740" s="48">
        <f t="shared" si="129"/>
        <v>247423</v>
      </c>
      <c r="H4740" s="391" t="s">
        <v>9568</v>
      </c>
    </row>
    <row r="4741" spans="1:8" x14ac:dyDescent="0.3">
      <c r="A4741" s="45">
        <v>44876</v>
      </c>
      <c r="B4741" s="399" t="s">
        <v>10615</v>
      </c>
      <c r="C4741" s="5" t="s">
        <v>247</v>
      </c>
      <c r="D4741" s="5" t="s">
        <v>10100</v>
      </c>
      <c r="E4741" s="43">
        <v>4130</v>
      </c>
      <c r="F4741" s="43"/>
      <c r="G4741" s="48">
        <f t="shared" si="129"/>
        <v>243293</v>
      </c>
      <c r="H4741" s="391" t="s">
        <v>9568</v>
      </c>
    </row>
    <row r="4742" spans="1:8" x14ac:dyDescent="0.3">
      <c r="A4742" s="45">
        <v>44877</v>
      </c>
      <c r="B4742" s="399"/>
      <c r="C4742" s="5" t="s">
        <v>10013</v>
      </c>
      <c r="D4742" s="5" t="s">
        <v>10103</v>
      </c>
      <c r="E4742" s="43">
        <v>122400</v>
      </c>
      <c r="F4742" s="43"/>
      <c r="G4742" s="48">
        <f t="shared" si="129"/>
        <v>120893</v>
      </c>
      <c r="H4742" s="391" t="s">
        <v>9568</v>
      </c>
    </row>
    <row r="4743" spans="1:8" x14ac:dyDescent="0.3">
      <c r="A4743" s="45">
        <v>44877</v>
      </c>
      <c r="B4743" s="399"/>
      <c r="C4743" s="5" t="s">
        <v>541</v>
      </c>
      <c r="D4743" s="5" t="s">
        <v>10104</v>
      </c>
      <c r="E4743" s="43">
        <v>100000</v>
      </c>
      <c r="F4743" s="43"/>
      <c r="G4743" s="48">
        <f t="shared" si="129"/>
        <v>20893</v>
      </c>
      <c r="H4743" s="391" t="s">
        <v>9568</v>
      </c>
    </row>
    <row r="4744" spans="1:8" x14ac:dyDescent="0.3">
      <c r="A4744" s="45">
        <v>44877</v>
      </c>
      <c r="B4744" s="399" t="s">
        <v>9863</v>
      </c>
      <c r="C4744" s="5" t="s">
        <v>8573</v>
      </c>
      <c r="D4744" s="5" t="s">
        <v>10105</v>
      </c>
      <c r="E4744" s="43">
        <v>13000</v>
      </c>
      <c r="F4744" s="43"/>
      <c r="G4744" s="48">
        <f t="shared" si="129"/>
        <v>7893</v>
      </c>
      <c r="H4744" s="391" t="s">
        <v>9568</v>
      </c>
    </row>
    <row r="4745" spans="1:8" x14ac:dyDescent="0.3">
      <c r="A4745" s="45">
        <v>44877</v>
      </c>
      <c r="B4745" s="399" t="s">
        <v>118</v>
      </c>
      <c r="C4745" s="5" t="s">
        <v>9873</v>
      </c>
      <c r="D4745" s="5" t="s">
        <v>9898</v>
      </c>
      <c r="E4745" s="43">
        <v>6090</v>
      </c>
      <c r="F4745" s="43"/>
      <c r="G4745" s="48">
        <f t="shared" si="129"/>
        <v>1803</v>
      </c>
      <c r="H4745" s="391" t="s">
        <v>9568</v>
      </c>
    </row>
    <row r="4746" spans="1:8" x14ac:dyDescent="0.3">
      <c r="A4746" s="45">
        <v>44879</v>
      </c>
      <c r="B4746" s="586"/>
      <c r="C4746" s="486" t="s">
        <v>4364</v>
      </c>
      <c r="D4746" s="486"/>
      <c r="E4746" s="486"/>
      <c r="F4746" s="43">
        <v>1000</v>
      </c>
      <c r="G4746" s="48">
        <f t="shared" si="129"/>
        <v>2803</v>
      </c>
      <c r="H4746" s="391" t="s">
        <v>9568</v>
      </c>
    </row>
    <row r="4747" spans="1:8" x14ac:dyDescent="0.3">
      <c r="A4747" s="45">
        <v>44879</v>
      </c>
      <c r="B4747" s="586"/>
      <c r="C4747" s="486" t="s">
        <v>10098</v>
      </c>
      <c r="D4747" s="486"/>
      <c r="E4747" s="486"/>
      <c r="F4747" s="43">
        <v>300000</v>
      </c>
      <c r="G4747" s="48">
        <f t="shared" si="129"/>
        <v>302803</v>
      </c>
      <c r="H4747" s="391" t="s">
        <v>9568</v>
      </c>
    </row>
    <row r="4748" spans="1:8" x14ac:dyDescent="0.3">
      <c r="A4748" s="45">
        <v>44879</v>
      </c>
      <c r="B4748" s="399" t="s">
        <v>9990</v>
      </c>
      <c r="C4748" s="5" t="s">
        <v>10109</v>
      </c>
      <c r="D4748" s="5" t="s">
        <v>10110</v>
      </c>
      <c r="E4748" s="43">
        <v>18000</v>
      </c>
      <c r="F4748" s="43"/>
      <c r="G4748" s="48">
        <f t="shared" si="129"/>
        <v>284803</v>
      </c>
      <c r="H4748" s="391" t="s">
        <v>9568</v>
      </c>
    </row>
    <row r="4749" spans="1:8" x14ac:dyDescent="0.3">
      <c r="A4749" s="45">
        <v>44879</v>
      </c>
      <c r="B4749" s="399" t="s">
        <v>10112</v>
      </c>
      <c r="C4749" s="5" t="s">
        <v>1787</v>
      </c>
      <c r="D4749" s="5" t="s">
        <v>1787</v>
      </c>
      <c r="E4749" s="43">
        <v>1850</v>
      </c>
      <c r="F4749" s="43"/>
      <c r="G4749" s="48">
        <f t="shared" si="129"/>
        <v>282953</v>
      </c>
      <c r="H4749" s="391" t="s">
        <v>9568</v>
      </c>
    </row>
    <row r="4750" spans="1:8" x14ac:dyDescent="0.3">
      <c r="A4750" s="45">
        <v>44879</v>
      </c>
      <c r="B4750" s="399"/>
      <c r="C4750" s="5" t="s">
        <v>14</v>
      </c>
      <c r="D4750" s="5" t="s">
        <v>294</v>
      </c>
      <c r="E4750" s="43">
        <v>20000</v>
      </c>
      <c r="F4750" s="43"/>
      <c r="G4750" s="48">
        <f t="shared" si="129"/>
        <v>262953</v>
      </c>
      <c r="H4750" s="391" t="s">
        <v>9568</v>
      </c>
    </row>
    <row r="4751" spans="1:8" x14ac:dyDescent="0.3">
      <c r="A4751" s="45">
        <v>44879</v>
      </c>
      <c r="B4751" s="399" t="s">
        <v>9879</v>
      </c>
      <c r="C4751" s="5" t="s">
        <v>57</v>
      </c>
      <c r="D4751" s="5" t="s">
        <v>10113</v>
      </c>
      <c r="E4751" s="43">
        <v>5000</v>
      </c>
      <c r="F4751" s="43"/>
      <c r="G4751" s="48">
        <f t="shared" si="129"/>
        <v>257953</v>
      </c>
      <c r="H4751" s="391" t="s">
        <v>9568</v>
      </c>
    </row>
    <row r="4752" spans="1:8" x14ac:dyDescent="0.3">
      <c r="A4752" s="45">
        <v>44879</v>
      </c>
      <c r="B4752" s="399" t="s">
        <v>9860</v>
      </c>
      <c r="C4752" s="5" t="s">
        <v>4156</v>
      </c>
      <c r="D4752" s="5" t="s">
        <v>294</v>
      </c>
      <c r="E4752" s="43">
        <v>15000</v>
      </c>
      <c r="F4752" s="43"/>
      <c r="G4752" s="48">
        <f t="shared" si="129"/>
        <v>242953</v>
      </c>
      <c r="H4752" s="391" t="s">
        <v>9568</v>
      </c>
    </row>
    <row r="4753" spans="1:8" x14ac:dyDescent="0.3">
      <c r="A4753" s="45">
        <v>44879</v>
      </c>
      <c r="B4753" s="399" t="s">
        <v>9863</v>
      </c>
      <c r="C4753" s="5" t="s">
        <v>8573</v>
      </c>
      <c r="D4753" s="5" t="s">
        <v>294</v>
      </c>
      <c r="E4753" s="43">
        <v>25000</v>
      </c>
      <c r="F4753" s="43"/>
      <c r="G4753" s="48">
        <f t="shared" si="129"/>
        <v>217953</v>
      </c>
      <c r="H4753" s="391" t="s">
        <v>9568</v>
      </c>
    </row>
    <row r="4754" spans="1:8" x14ac:dyDescent="0.3">
      <c r="A4754" s="45">
        <v>44879</v>
      </c>
      <c r="B4754" s="399" t="s">
        <v>118</v>
      </c>
      <c r="C4754" s="5" t="s">
        <v>9756</v>
      </c>
      <c r="D4754" s="5" t="s">
        <v>10115</v>
      </c>
      <c r="E4754" s="43">
        <v>1000</v>
      </c>
      <c r="F4754" s="43"/>
      <c r="G4754" s="48">
        <f t="shared" si="129"/>
        <v>216953</v>
      </c>
      <c r="H4754" s="391" t="s">
        <v>9568</v>
      </c>
    </row>
    <row r="4755" spans="1:8" x14ac:dyDescent="0.3">
      <c r="A4755" s="45">
        <v>44879</v>
      </c>
      <c r="B4755" s="586"/>
      <c r="C4755" s="486" t="s">
        <v>10116</v>
      </c>
      <c r="D4755" s="486"/>
      <c r="E4755" s="486"/>
      <c r="F4755" s="43">
        <v>4000</v>
      </c>
      <c r="G4755" s="48">
        <f t="shared" si="129"/>
        <v>220953</v>
      </c>
      <c r="H4755" s="391" t="s">
        <v>9568</v>
      </c>
    </row>
    <row r="4756" spans="1:8" x14ac:dyDescent="0.3">
      <c r="A4756" s="45">
        <v>44880</v>
      </c>
      <c r="B4756" s="399" t="s">
        <v>9857</v>
      </c>
      <c r="C4756" s="5" t="s">
        <v>9525</v>
      </c>
      <c r="D4756" s="5" t="s">
        <v>294</v>
      </c>
      <c r="E4756" s="43">
        <v>500</v>
      </c>
      <c r="F4756" s="43"/>
      <c r="G4756" s="48">
        <f t="shared" si="129"/>
        <v>220453</v>
      </c>
      <c r="H4756" s="391" t="s">
        <v>9568</v>
      </c>
    </row>
    <row r="4757" spans="1:8" x14ac:dyDescent="0.3">
      <c r="A4757" s="45">
        <v>44880</v>
      </c>
      <c r="B4757" s="399" t="s">
        <v>10112</v>
      </c>
      <c r="C4757" s="5" t="s">
        <v>9756</v>
      </c>
      <c r="D4757" s="5" t="s">
        <v>10117</v>
      </c>
      <c r="E4757" s="43">
        <v>45500</v>
      </c>
      <c r="F4757" s="43"/>
      <c r="G4757" s="48">
        <f t="shared" si="129"/>
        <v>174953</v>
      </c>
      <c r="H4757" s="391" t="s">
        <v>9568</v>
      </c>
    </row>
    <row r="4758" spans="1:8" x14ac:dyDescent="0.3">
      <c r="A4758" s="45">
        <v>44880</v>
      </c>
      <c r="B4758" s="399" t="s">
        <v>118</v>
      </c>
      <c r="C4758" s="5" t="s">
        <v>9873</v>
      </c>
      <c r="D4758" s="5" t="s">
        <v>9898</v>
      </c>
      <c r="E4758" s="43">
        <v>5105</v>
      </c>
      <c r="F4758" s="43"/>
      <c r="G4758" s="48">
        <f t="shared" si="129"/>
        <v>169848</v>
      </c>
      <c r="H4758" s="391" t="s">
        <v>9568</v>
      </c>
    </row>
    <row r="4759" spans="1:8" x14ac:dyDescent="0.3">
      <c r="A4759" s="45">
        <v>44880</v>
      </c>
      <c r="B4759" s="399" t="s">
        <v>10016</v>
      </c>
      <c r="C4759" s="5" t="s">
        <v>5518</v>
      </c>
      <c r="D4759" s="5" t="s">
        <v>10118</v>
      </c>
      <c r="E4759" s="43">
        <v>30000</v>
      </c>
      <c r="F4759" s="43"/>
      <c r="G4759" s="48">
        <f t="shared" si="129"/>
        <v>139848</v>
      </c>
      <c r="H4759" s="391" t="s">
        <v>9568</v>
      </c>
    </row>
    <row r="4760" spans="1:8" x14ac:dyDescent="0.3">
      <c r="A4760" s="45">
        <v>44880</v>
      </c>
      <c r="B4760" s="399" t="s">
        <v>10016</v>
      </c>
      <c r="C4760" s="5" t="s">
        <v>5518</v>
      </c>
      <c r="D4760" s="5" t="s">
        <v>10119</v>
      </c>
      <c r="E4760" s="43">
        <v>1000</v>
      </c>
      <c r="F4760" s="43"/>
      <c r="G4760" s="48">
        <f t="shared" si="129"/>
        <v>138848</v>
      </c>
      <c r="H4760" s="391" t="s">
        <v>9568</v>
      </c>
    </row>
    <row r="4761" spans="1:8" x14ac:dyDescent="0.3">
      <c r="A4761" s="45">
        <v>44880</v>
      </c>
      <c r="B4761" s="399"/>
      <c r="C4761" s="5" t="s">
        <v>68</v>
      </c>
      <c r="D4761" s="5" t="s">
        <v>10120</v>
      </c>
      <c r="E4761" s="43">
        <v>25000</v>
      </c>
      <c r="F4761" s="43"/>
      <c r="G4761" s="48">
        <f t="shared" si="129"/>
        <v>113848</v>
      </c>
      <c r="H4761" s="391" t="s">
        <v>9568</v>
      </c>
    </row>
    <row r="4762" spans="1:8" x14ac:dyDescent="0.3">
      <c r="A4762" s="45">
        <v>44880</v>
      </c>
      <c r="B4762" s="399"/>
      <c r="C4762" s="5" t="s">
        <v>84</v>
      </c>
      <c r="D4762" s="5" t="s">
        <v>10121</v>
      </c>
      <c r="E4762" s="43">
        <v>10000</v>
      </c>
      <c r="F4762" s="43"/>
      <c r="G4762" s="48">
        <f t="shared" si="129"/>
        <v>103848</v>
      </c>
      <c r="H4762" s="391" t="s">
        <v>9568</v>
      </c>
    </row>
    <row r="4763" spans="1:8" x14ac:dyDescent="0.3">
      <c r="A4763" s="45">
        <v>44880</v>
      </c>
      <c r="B4763" s="399" t="s">
        <v>9879</v>
      </c>
      <c r="C4763" s="5" t="s">
        <v>10001</v>
      </c>
      <c r="D4763" s="5" t="s">
        <v>10122</v>
      </c>
      <c r="E4763" s="43">
        <v>1000</v>
      </c>
      <c r="F4763" s="43"/>
      <c r="G4763" s="48">
        <f t="shared" si="129"/>
        <v>102848</v>
      </c>
      <c r="H4763" s="391" t="s">
        <v>9568</v>
      </c>
    </row>
    <row r="4764" spans="1:8" x14ac:dyDescent="0.3">
      <c r="A4764" s="45">
        <v>44880</v>
      </c>
      <c r="B4764" s="399" t="s">
        <v>12190</v>
      </c>
      <c r="C4764" s="5" t="s">
        <v>110</v>
      </c>
      <c r="D4764" s="5" t="s">
        <v>10123</v>
      </c>
      <c r="E4764" s="43">
        <v>5000</v>
      </c>
      <c r="F4764" s="43"/>
      <c r="G4764" s="48">
        <f t="shared" si="129"/>
        <v>97848</v>
      </c>
      <c r="H4764" s="391" t="s">
        <v>9568</v>
      </c>
    </row>
    <row r="4765" spans="1:8" x14ac:dyDescent="0.3">
      <c r="A4765" s="45">
        <v>44880</v>
      </c>
      <c r="B4765" s="586"/>
      <c r="C4765" s="486" t="s">
        <v>10124</v>
      </c>
      <c r="D4765" s="486"/>
      <c r="E4765" s="486"/>
      <c r="F4765" s="43">
        <v>2000</v>
      </c>
      <c r="G4765" s="48">
        <f t="shared" si="129"/>
        <v>99848</v>
      </c>
      <c r="H4765" s="391" t="s">
        <v>9568</v>
      </c>
    </row>
    <row r="4766" spans="1:8" x14ac:dyDescent="0.3">
      <c r="A4766" s="45">
        <v>44881</v>
      </c>
      <c r="B4766" s="399" t="s">
        <v>10112</v>
      </c>
      <c r="C4766" s="5" t="s">
        <v>10125</v>
      </c>
      <c r="D4766" s="5" t="s">
        <v>10126</v>
      </c>
      <c r="E4766" s="43">
        <v>31000</v>
      </c>
      <c r="F4766" s="43"/>
      <c r="G4766" s="48">
        <f t="shared" si="129"/>
        <v>68848</v>
      </c>
      <c r="H4766" s="391" t="s">
        <v>9568</v>
      </c>
    </row>
    <row r="4767" spans="1:8" x14ac:dyDescent="0.3">
      <c r="A4767" s="45">
        <v>44881</v>
      </c>
      <c r="B4767" s="399" t="s">
        <v>10112</v>
      </c>
      <c r="C4767" s="5" t="s">
        <v>5793</v>
      </c>
      <c r="D4767" s="5" t="s">
        <v>10127</v>
      </c>
      <c r="E4767" s="43">
        <v>1500</v>
      </c>
      <c r="F4767" s="43"/>
      <c r="G4767" s="48">
        <f t="shared" si="129"/>
        <v>67348</v>
      </c>
      <c r="H4767" s="391" t="s">
        <v>9568</v>
      </c>
    </row>
    <row r="4768" spans="1:8" x14ac:dyDescent="0.3">
      <c r="A4768" s="45">
        <v>44881</v>
      </c>
      <c r="B4768" s="399" t="s">
        <v>12190</v>
      </c>
      <c r="C4768" s="5" t="s">
        <v>1074</v>
      </c>
      <c r="D4768" s="5" t="s">
        <v>6280</v>
      </c>
      <c r="E4768" s="43">
        <v>6010</v>
      </c>
      <c r="F4768" s="43"/>
      <c r="G4768" s="48">
        <f t="shared" si="129"/>
        <v>61338</v>
      </c>
      <c r="H4768" s="391" t="s">
        <v>9568</v>
      </c>
    </row>
    <row r="4769" spans="1:8" x14ac:dyDescent="0.3">
      <c r="A4769" s="45">
        <v>44881</v>
      </c>
      <c r="B4769" s="399" t="s">
        <v>118</v>
      </c>
      <c r="C4769" s="5" t="s">
        <v>1074</v>
      </c>
      <c r="D4769" s="5" t="s">
        <v>6280</v>
      </c>
      <c r="E4769" s="43">
        <f>1380+1110</f>
        <v>2490</v>
      </c>
      <c r="F4769" s="43"/>
      <c r="G4769" s="48">
        <f t="shared" si="129"/>
        <v>58848</v>
      </c>
      <c r="H4769" s="391" t="s">
        <v>9568</v>
      </c>
    </row>
    <row r="4770" spans="1:8" x14ac:dyDescent="0.3">
      <c r="A4770" s="45">
        <v>44881</v>
      </c>
      <c r="B4770" s="399" t="s">
        <v>9857</v>
      </c>
      <c r="C4770" s="5" t="s">
        <v>9756</v>
      </c>
      <c r="D4770" s="5" t="s">
        <v>10128</v>
      </c>
      <c r="E4770" s="43">
        <v>10000</v>
      </c>
      <c r="F4770" s="43"/>
      <c r="G4770" s="48">
        <f t="shared" si="129"/>
        <v>48848</v>
      </c>
      <c r="H4770" s="391" t="s">
        <v>9568</v>
      </c>
    </row>
    <row r="4771" spans="1:8" x14ac:dyDescent="0.3">
      <c r="A4771" s="45">
        <v>44881</v>
      </c>
      <c r="B4771" s="399" t="s">
        <v>118</v>
      </c>
      <c r="C4771" s="5" t="s">
        <v>9756</v>
      </c>
      <c r="D4771" s="5" t="s">
        <v>10130</v>
      </c>
      <c r="E4771" s="43">
        <v>200</v>
      </c>
      <c r="F4771" s="43"/>
      <c r="G4771" s="48">
        <f t="shared" si="129"/>
        <v>48648</v>
      </c>
      <c r="H4771" s="391" t="s">
        <v>9568</v>
      </c>
    </row>
    <row r="4772" spans="1:8" x14ac:dyDescent="0.3">
      <c r="A4772" s="45">
        <v>44882</v>
      </c>
      <c r="B4772" s="399"/>
      <c r="C4772" s="5" t="s">
        <v>68</v>
      </c>
      <c r="D4772" s="5" t="s">
        <v>294</v>
      </c>
      <c r="E4772" s="43">
        <v>9000</v>
      </c>
      <c r="F4772" s="43"/>
      <c r="G4772" s="48">
        <f t="shared" si="129"/>
        <v>39648</v>
      </c>
      <c r="H4772" s="391" t="s">
        <v>9568</v>
      </c>
    </row>
    <row r="4773" spans="1:8" x14ac:dyDescent="0.3">
      <c r="A4773" s="45">
        <v>44882</v>
      </c>
      <c r="B4773" s="399" t="s">
        <v>9879</v>
      </c>
      <c r="C4773" s="5" t="s">
        <v>9756</v>
      </c>
      <c r="D4773" s="5" t="s">
        <v>10134</v>
      </c>
      <c r="E4773" s="43">
        <v>35750</v>
      </c>
      <c r="F4773" s="43"/>
      <c r="G4773" s="48">
        <f t="shared" si="129"/>
        <v>3898</v>
      </c>
      <c r="H4773" s="391" t="s">
        <v>9568</v>
      </c>
    </row>
    <row r="4774" spans="1:8" x14ac:dyDescent="0.3">
      <c r="A4774" s="45">
        <v>44882</v>
      </c>
      <c r="B4774" s="399" t="s">
        <v>12190</v>
      </c>
      <c r="C4774" s="5" t="s">
        <v>1616</v>
      </c>
      <c r="D4774" s="5" t="s">
        <v>640</v>
      </c>
      <c r="E4774" s="43">
        <v>700</v>
      </c>
      <c r="F4774" s="43"/>
      <c r="G4774" s="48">
        <f t="shared" si="129"/>
        <v>3198</v>
      </c>
      <c r="H4774" s="391" t="s">
        <v>9568</v>
      </c>
    </row>
    <row r="4775" spans="1:8" x14ac:dyDescent="0.3">
      <c r="A4775" s="45">
        <v>44882</v>
      </c>
      <c r="B4775" s="586"/>
      <c r="C4775" s="486" t="s">
        <v>4364</v>
      </c>
      <c r="D4775" s="486"/>
      <c r="E4775" s="486"/>
      <c r="F4775" s="43">
        <v>20000</v>
      </c>
      <c r="G4775" s="48">
        <f t="shared" si="129"/>
        <v>23198</v>
      </c>
      <c r="H4775" s="391" t="s">
        <v>9568</v>
      </c>
    </row>
    <row r="4776" spans="1:8" x14ac:dyDescent="0.3">
      <c r="A4776" s="45">
        <v>44882</v>
      </c>
      <c r="B4776" s="399"/>
      <c r="C4776" s="5" t="s">
        <v>68</v>
      </c>
      <c r="D4776" s="5" t="s">
        <v>294</v>
      </c>
      <c r="E4776" s="43">
        <v>10000</v>
      </c>
      <c r="F4776" s="43"/>
      <c r="G4776" s="365">
        <f t="shared" si="129"/>
        <v>13198</v>
      </c>
      <c r="H4776" s="391" t="s">
        <v>9568</v>
      </c>
    </row>
    <row r="4777" spans="1:8" x14ac:dyDescent="0.3">
      <c r="A4777" s="45">
        <v>44882</v>
      </c>
      <c r="B4777" s="409"/>
      <c r="C4777" s="61" t="s">
        <v>9525</v>
      </c>
      <c r="D4777" s="61" t="s">
        <v>10136</v>
      </c>
      <c r="E4777" s="62">
        <v>5000</v>
      </c>
      <c r="F4777" s="43"/>
      <c r="G4777" s="364">
        <f t="shared" si="129"/>
        <v>8198</v>
      </c>
      <c r="H4777" s="391" t="s">
        <v>9568</v>
      </c>
    </row>
    <row r="4778" spans="1:8" x14ac:dyDescent="0.3">
      <c r="A4778" s="45">
        <v>44883</v>
      </c>
      <c r="B4778" s="399"/>
      <c r="C4778" s="5" t="s">
        <v>68</v>
      </c>
      <c r="D4778" s="5" t="s">
        <v>294</v>
      </c>
      <c r="E4778" s="43">
        <v>5000</v>
      </c>
      <c r="F4778" s="43"/>
      <c r="G4778" s="364">
        <f t="shared" si="129"/>
        <v>3198</v>
      </c>
      <c r="H4778" s="391" t="s">
        <v>9568</v>
      </c>
    </row>
    <row r="4779" spans="1:8" x14ac:dyDescent="0.3">
      <c r="A4779" s="45">
        <v>44883</v>
      </c>
      <c r="B4779" s="586"/>
      <c r="C4779" s="486" t="s">
        <v>4364</v>
      </c>
      <c r="D4779" s="486"/>
      <c r="E4779" s="486"/>
      <c r="F4779" s="43">
        <v>10000</v>
      </c>
      <c r="G4779" s="364">
        <f t="shared" si="129"/>
        <v>13198</v>
      </c>
      <c r="H4779" s="391" t="s">
        <v>9568</v>
      </c>
    </row>
    <row r="4780" spans="1:8" x14ac:dyDescent="0.3">
      <c r="A4780" s="45">
        <v>44883</v>
      </c>
      <c r="B4780" s="399" t="s">
        <v>9860</v>
      </c>
      <c r="C4780" s="5" t="s">
        <v>68</v>
      </c>
      <c r="D4780" s="5" t="s">
        <v>10140</v>
      </c>
      <c r="E4780" s="43">
        <v>5000</v>
      </c>
      <c r="F4780" s="43"/>
      <c r="G4780" s="364">
        <f t="shared" si="129"/>
        <v>8198</v>
      </c>
      <c r="H4780" s="391" t="s">
        <v>9568</v>
      </c>
    </row>
    <row r="4781" spans="1:8" x14ac:dyDescent="0.3">
      <c r="A4781" s="45">
        <v>44883</v>
      </c>
      <c r="B4781" s="399" t="s">
        <v>118</v>
      </c>
      <c r="C4781" s="5" t="s">
        <v>9873</v>
      </c>
      <c r="D4781" s="5" t="s">
        <v>9898</v>
      </c>
      <c r="E4781" s="43">
        <v>5835</v>
      </c>
      <c r="F4781" s="43"/>
      <c r="G4781" s="364">
        <f t="shared" si="129"/>
        <v>2363</v>
      </c>
      <c r="H4781" s="391" t="s">
        <v>9568</v>
      </c>
    </row>
    <row r="4782" spans="1:8" x14ac:dyDescent="0.3">
      <c r="A4782" s="45">
        <v>44883</v>
      </c>
      <c r="B4782" s="399" t="s">
        <v>10112</v>
      </c>
      <c r="C4782" s="5" t="s">
        <v>5793</v>
      </c>
      <c r="D4782" s="5" t="s">
        <v>1787</v>
      </c>
      <c r="E4782" s="43">
        <v>2000</v>
      </c>
      <c r="F4782" s="43"/>
      <c r="G4782" s="364">
        <f t="shared" si="129"/>
        <v>363</v>
      </c>
      <c r="H4782" s="391" t="s">
        <v>9568</v>
      </c>
    </row>
    <row r="4783" spans="1:8" x14ac:dyDescent="0.3">
      <c r="A4783" s="45">
        <v>44884</v>
      </c>
      <c r="B4783" s="586"/>
      <c r="C4783" s="486" t="s">
        <v>9830</v>
      </c>
      <c r="D4783" s="486"/>
      <c r="E4783" s="486"/>
      <c r="F4783" s="43">
        <v>450000</v>
      </c>
      <c r="G4783" s="364">
        <f t="shared" si="129"/>
        <v>450363</v>
      </c>
      <c r="H4783" s="391" t="s">
        <v>9568</v>
      </c>
    </row>
    <row r="4784" spans="1:8" x14ac:dyDescent="0.3">
      <c r="A4784" s="45">
        <v>44884</v>
      </c>
      <c r="B4784" s="399"/>
      <c r="C4784" s="5" t="s">
        <v>14</v>
      </c>
      <c r="D4784" s="5" t="s">
        <v>294</v>
      </c>
      <c r="E4784" s="43">
        <v>50000</v>
      </c>
      <c r="F4784" s="43"/>
      <c r="G4784" s="364">
        <f t="shared" si="129"/>
        <v>400363</v>
      </c>
      <c r="H4784" s="391" t="s">
        <v>9568</v>
      </c>
    </row>
    <row r="4785" spans="1:14" x14ac:dyDescent="0.3">
      <c r="A4785" s="45">
        <v>44884</v>
      </c>
      <c r="B4785" s="399" t="s">
        <v>9857</v>
      </c>
      <c r="C4785" s="5" t="s">
        <v>9947</v>
      </c>
      <c r="D4785" s="5" t="s">
        <v>10147</v>
      </c>
      <c r="E4785" s="43">
        <v>25000</v>
      </c>
      <c r="F4785" s="43"/>
      <c r="G4785" s="48">
        <f t="shared" si="129"/>
        <v>375363</v>
      </c>
      <c r="H4785" s="391" t="s">
        <v>9568</v>
      </c>
    </row>
    <row r="4786" spans="1:14" x14ac:dyDescent="0.3">
      <c r="A4786" s="45">
        <v>44884</v>
      </c>
      <c r="B4786" s="399" t="s">
        <v>10112</v>
      </c>
      <c r="C4786" s="5" t="s">
        <v>9947</v>
      </c>
      <c r="D4786" s="5" t="s">
        <v>10148</v>
      </c>
      <c r="E4786" s="43">
        <v>27000</v>
      </c>
      <c r="F4786" s="43"/>
      <c r="G4786" s="48">
        <f t="shared" si="129"/>
        <v>348363</v>
      </c>
      <c r="H4786" s="391" t="s">
        <v>9568</v>
      </c>
    </row>
    <row r="4787" spans="1:14" x14ac:dyDescent="0.3">
      <c r="A4787" s="45">
        <v>44884</v>
      </c>
      <c r="B4787" s="399" t="s">
        <v>10112</v>
      </c>
      <c r="C4787" s="5" t="s">
        <v>5793</v>
      </c>
      <c r="D4787" s="5" t="s">
        <v>1787</v>
      </c>
      <c r="E4787" s="43">
        <v>1500</v>
      </c>
      <c r="F4787" s="43"/>
      <c r="G4787" s="48">
        <f t="shared" ref="G4787:G4850" si="130">G4786+F4787-E4787</f>
        <v>346863</v>
      </c>
      <c r="H4787" s="391" t="s">
        <v>9568</v>
      </c>
    </row>
    <row r="4788" spans="1:14" x14ac:dyDescent="0.3">
      <c r="A4788" s="45">
        <v>44884</v>
      </c>
      <c r="B4788" s="399" t="s">
        <v>10112</v>
      </c>
      <c r="C4788" s="5" t="s">
        <v>5741</v>
      </c>
      <c r="D4788" s="5" t="s">
        <v>10149</v>
      </c>
      <c r="E4788" s="43">
        <v>159640</v>
      </c>
      <c r="F4788" s="43"/>
      <c r="G4788" s="48">
        <f t="shared" si="130"/>
        <v>187223</v>
      </c>
      <c r="H4788" s="391" t="s">
        <v>9568</v>
      </c>
    </row>
    <row r="4789" spans="1:14" x14ac:dyDescent="0.3">
      <c r="A4789" s="45">
        <v>44884</v>
      </c>
      <c r="B4789" s="399" t="s">
        <v>9990</v>
      </c>
      <c r="C4789" s="5" t="s">
        <v>4550</v>
      </c>
      <c r="D4789" s="5" t="s">
        <v>10150</v>
      </c>
      <c r="E4789" s="43">
        <v>50000</v>
      </c>
      <c r="F4789" s="43"/>
      <c r="G4789" s="48">
        <f t="shared" si="130"/>
        <v>137223</v>
      </c>
      <c r="H4789" s="391" t="s">
        <v>9568</v>
      </c>
    </row>
    <row r="4790" spans="1:14" x14ac:dyDescent="0.3">
      <c r="A4790" s="45">
        <v>44884</v>
      </c>
      <c r="B4790" s="399" t="s">
        <v>9990</v>
      </c>
      <c r="C4790" s="5" t="s">
        <v>84</v>
      </c>
      <c r="D4790" s="5" t="s">
        <v>10151</v>
      </c>
      <c r="E4790" s="43">
        <v>10000</v>
      </c>
      <c r="F4790" s="43"/>
      <c r="G4790" s="48">
        <f t="shared" si="130"/>
        <v>127223</v>
      </c>
      <c r="H4790" s="391" t="s">
        <v>9568</v>
      </c>
    </row>
    <row r="4791" spans="1:14" x14ac:dyDescent="0.3">
      <c r="A4791" s="45">
        <v>44884</v>
      </c>
      <c r="B4791" s="399" t="s">
        <v>9857</v>
      </c>
      <c r="C4791" s="5" t="s">
        <v>2995</v>
      </c>
      <c r="D4791" s="5" t="s">
        <v>9003</v>
      </c>
      <c r="E4791" s="43">
        <v>15300</v>
      </c>
      <c r="F4791" s="43"/>
      <c r="G4791" s="48">
        <f t="shared" si="130"/>
        <v>111923</v>
      </c>
      <c r="H4791" s="391" t="s">
        <v>9568</v>
      </c>
    </row>
    <row r="4792" spans="1:14" x14ac:dyDescent="0.3">
      <c r="A4792" s="45">
        <v>44884</v>
      </c>
      <c r="B4792" s="399" t="s">
        <v>10615</v>
      </c>
      <c r="C4792" s="5" t="s">
        <v>6430</v>
      </c>
      <c r="D4792" s="5" t="s">
        <v>10152</v>
      </c>
      <c r="E4792" s="43">
        <v>7000</v>
      </c>
      <c r="F4792" s="43"/>
      <c r="G4792" s="48">
        <f t="shared" si="130"/>
        <v>104923</v>
      </c>
      <c r="H4792" s="391" t="s">
        <v>9568</v>
      </c>
    </row>
    <row r="4793" spans="1:14" x14ac:dyDescent="0.3">
      <c r="A4793" s="45">
        <v>44884</v>
      </c>
      <c r="B4793" s="399" t="s">
        <v>10112</v>
      </c>
      <c r="C4793" s="5" t="s">
        <v>14</v>
      </c>
      <c r="D4793" s="5" t="s">
        <v>10153</v>
      </c>
      <c r="E4793" s="43">
        <v>20000</v>
      </c>
      <c r="F4793" s="43"/>
      <c r="G4793" s="48">
        <f t="shared" si="130"/>
        <v>84923</v>
      </c>
      <c r="H4793" s="391" t="s">
        <v>9568</v>
      </c>
    </row>
    <row r="4794" spans="1:14" x14ac:dyDescent="0.3">
      <c r="A4794" s="45">
        <v>44886</v>
      </c>
      <c r="B4794" s="399" t="s">
        <v>9879</v>
      </c>
      <c r="C4794" s="5" t="s">
        <v>6415</v>
      </c>
      <c r="D4794" s="5" t="s">
        <v>10156</v>
      </c>
      <c r="E4794" s="43">
        <v>21500</v>
      </c>
      <c r="F4794" s="43"/>
      <c r="G4794" s="48">
        <f t="shared" si="130"/>
        <v>63423</v>
      </c>
      <c r="H4794" s="391" t="s">
        <v>9568</v>
      </c>
    </row>
    <row r="4795" spans="1:14" x14ac:dyDescent="0.3">
      <c r="A4795" s="45">
        <v>44886</v>
      </c>
      <c r="B4795" s="399" t="s">
        <v>10112</v>
      </c>
      <c r="C4795" s="5" t="s">
        <v>10013</v>
      </c>
      <c r="D4795" s="5" t="s">
        <v>10157</v>
      </c>
      <c r="E4795" s="43">
        <v>700</v>
      </c>
      <c r="F4795" s="43"/>
      <c r="G4795" s="48">
        <f t="shared" si="130"/>
        <v>62723</v>
      </c>
      <c r="H4795" s="391" t="s">
        <v>9568</v>
      </c>
    </row>
    <row r="4796" spans="1:14" x14ac:dyDescent="0.3">
      <c r="A4796" s="45">
        <v>44886</v>
      </c>
      <c r="B4796" s="399" t="s">
        <v>9860</v>
      </c>
      <c r="C4796" s="5" t="s">
        <v>10001</v>
      </c>
      <c r="D4796" s="5" t="s">
        <v>294</v>
      </c>
      <c r="E4796" s="43">
        <v>1000</v>
      </c>
      <c r="F4796" s="43"/>
      <c r="G4796" s="48">
        <f t="shared" si="130"/>
        <v>61723</v>
      </c>
      <c r="H4796" s="391" t="s">
        <v>9568</v>
      </c>
      <c r="N4796" s="459"/>
    </row>
    <row r="4797" spans="1:14" x14ac:dyDescent="0.3">
      <c r="A4797" s="45">
        <v>44886</v>
      </c>
      <c r="B4797" s="399"/>
      <c r="C4797" s="5" t="s">
        <v>9756</v>
      </c>
      <c r="D4797" s="5" t="s">
        <v>2013</v>
      </c>
      <c r="E4797" s="43">
        <v>800</v>
      </c>
      <c r="F4797" s="43"/>
      <c r="G4797" s="48">
        <f t="shared" si="130"/>
        <v>60923</v>
      </c>
      <c r="H4797" s="391" t="s">
        <v>9568</v>
      </c>
    </row>
    <row r="4798" spans="1:14" x14ac:dyDescent="0.3">
      <c r="A4798" s="45">
        <v>44886</v>
      </c>
      <c r="B4798" s="399"/>
      <c r="C4798" s="5" t="s">
        <v>84</v>
      </c>
      <c r="D4798" s="5" t="s">
        <v>10158</v>
      </c>
      <c r="E4798" s="43">
        <v>1000</v>
      </c>
      <c r="F4798" s="459"/>
      <c r="G4798" s="48">
        <f t="shared" si="130"/>
        <v>59923</v>
      </c>
      <c r="H4798" s="391" t="s">
        <v>9568</v>
      </c>
    </row>
    <row r="4799" spans="1:14" x14ac:dyDescent="0.3">
      <c r="A4799" s="45">
        <v>44887</v>
      </c>
      <c r="B4799" s="399" t="s">
        <v>118</v>
      </c>
      <c r="C4799" s="5" t="s">
        <v>9873</v>
      </c>
      <c r="D4799" s="5" t="s">
        <v>9898</v>
      </c>
      <c r="E4799" s="43">
        <v>6305</v>
      </c>
      <c r="F4799" s="43"/>
      <c r="G4799" s="48">
        <f t="shared" si="130"/>
        <v>53618</v>
      </c>
      <c r="H4799" s="391" t="s">
        <v>9568</v>
      </c>
    </row>
    <row r="4800" spans="1:14" x14ac:dyDescent="0.3">
      <c r="A4800" s="45">
        <v>44887</v>
      </c>
      <c r="B4800" s="586"/>
      <c r="C4800" s="486" t="s">
        <v>9830</v>
      </c>
      <c r="D4800" s="486"/>
      <c r="E4800" s="486"/>
      <c r="F4800" s="43">
        <v>451500</v>
      </c>
      <c r="G4800" s="48">
        <f t="shared" si="130"/>
        <v>505118</v>
      </c>
      <c r="H4800" s="391" t="s">
        <v>9568</v>
      </c>
    </row>
    <row r="4801" spans="1:8" x14ac:dyDescent="0.3">
      <c r="A4801" s="45">
        <v>44887</v>
      </c>
      <c r="B4801" s="399" t="s">
        <v>10112</v>
      </c>
      <c r="C4801" s="5" t="s">
        <v>10159</v>
      </c>
      <c r="D4801" s="5" t="s">
        <v>10160</v>
      </c>
      <c r="E4801" s="43">
        <v>850</v>
      </c>
      <c r="F4801" s="43"/>
      <c r="G4801" s="48">
        <f t="shared" si="130"/>
        <v>504268</v>
      </c>
      <c r="H4801" s="391" t="s">
        <v>9568</v>
      </c>
    </row>
    <row r="4802" spans="1:8" x14ac:dyDescent="0.3">
      <c r="A4802" s="45">
        <v>44887</v>
      </c>
      <c r="B4802" s="399" t="s">
        <v>10112</v>
      </c>
      <c r="C4802" s="5" t="s">
        <v>10161</v>
      </c>
      <c r="D4802" s="5" t="s">
        <v>10162</v>
      </c>
      <c r="E4802" s="43">
        <v>19900</v>
      </c>
      <c r="F4802" s="43"/>
      <c r="G4802" s="48">
        <f t="shared" si="130"/>
        <v>484368</v>
      </c>
      <c r="H4802" s="391" t="s">
        <v>9568</v>
      </c>
    </row>
    <row r="4803" spans="1:8" x14ac:dyDescent="0.3">
      <c r="A4803" s="45">
        <v>44887</v>
      </c>
      <c r="B4803" s="399"/>
      <c r="C4803" s="5" t="s">
        <v>541</v>
      </c>
      <c r="D4803" s="5" t="s">
        <v>7002</v>
      </c>
      <c r="E4803" s="43">
        <v>700</v>
      </c>
      <c r="F4803" s="43"/>
      <c r="G4803" s="48">
        <f t="shared" si="130"/>
        <v>483668</v>
      </c>
      <c r="H4803" s="391" t="s">
        <v>9568</v>
      </c>
    </row>
    <row r="4804" spans="1:8" x14ac:dyDescent="0.3">
      <c r="A4804" s="45">
        <v>44887</v>
      </c>
      <c r="B4804" s="399" t="s">
        <v>12190</v>
      </c>
      <c r="C4804" s="5" t="s">
        <v>1074</v>
      </c>
      <c r="D4804" s="5" t="s">
        <v>9971</v>
      </c>
      <c r="E4804" s="43">
        <v>28752</v>
      </c>
      <c r="F4804" s="43"/>
      <c r="G4804" s="48">
        <f t="shared" si="130"/>
        <v>454916</v>
      </c>
      <c r="H4804" s="391" t="s">
        <v>9568</v>
      </c>
    </row>
    <row r="4805" spans="1:8" x14ac:dyDescent="0.3">
      <c r="A4805" s="45">
        <v>44887</v>
      </c>
      <c r="B4805" s="399" t="s">
        <v>118</v>
      </c>
      <c r="C4805" s="5" t="s">
        <v>1074</v>
      </c>
      <c r="D4805" s="5" t="s">
        <v>9971</v>
      </c>
      <c r="E4805" s="43">
        <v>16976</v>
      </c>
      <c r="F4805" s="43"/>
      <c r="G4805" s="48">
        <f t="shared" si="130"/>
        <v>437940</v>
      </c>
      <c r="H4805" s="391" t="s">
        <v>9568</v>
      </c>
    </row>
    <row r="4806" spans="1:8" x14ac:dyDescent="0.3">
      <c r="A4806" s="45">
        <v>44887</v>
      </c>
      <c r="B4806" s="399" t="s">
        <v>10112</v>
      </c>
      <c r="C4806" s="5" t="s">
        <v>5793</v>
      </c>
      <c r="D4806" s="5" t="s">
        <v>2263</v>
      </c>
      <c r="E4806" s="43">
        <v>950</v>
      </c>
      <c r="F4806" s="43"/>
      <c r="G4806" s="48">
        <f t="shared" si="130"/>
        <v>436990</v>
      </c>
      <c r="H4806" s="391" t="s">
        <v>9568</v>
      </c>
    </row>
    <row r="4807" spans="1:8" x14ac:dyDescent="0.3">
      <c r="A4807" s="45">
        <v>44887</v>
      </c>
      <c r="B4807" s="399" t="s">
        <v>9860</v>
      </c>
      <c r="C4807" s="5" t="s">
        <v>5793</v>
      </c>
      <c r="D4807" s="5" t="s">
        <v>10163</v>
      </c>
      <c r="E4807" s="43">
        <v>3500</v>
      </c>
      <c r="F4807" s="43"/>
      <c r="G4807" s="48">
        <f t="shared" si="130"/>
        <v>433490</v>
      </c>
      <c r="H4807" s="391" t="s">
        <v>9568</v>
      </c>
    </row>
    <row r="4808" spans="1:8" x14ac:dyDescent="0.3">
      <c r="A4808" s="45">
        <v>44887</v>
      </c>
      <c r="B4808" s="399" t="s">
        <v>10615</v>
      </c>
      <c r="C4808" s="5" t="s">
        <v>6430</v>
      </c>
      <c r="D4808" s="5" t="s">
        <v>4512</v>
      </c>
      <c r="E4808" s="43">
        <v>1000</v>
      </c>
      <c r="F4808" s="43"/>
      <c r="G4808" s="48">
        <f t="shared" si="130"/>
        <v>432490</v>
      </c>
      <c r="H4808" s="391" t="s">
        <v>9568</v>
      </c>
    </row>
    <row r="4809" spans="1:8" x14ac:dyDescent="0.3">
      <c r="A4809" s="45">
        <v>44887</v>
      </c>
      <c r="B4809" s="399"/>
      <c r="C4809" s="5" t="s">
        <v>84</v>
      </c>
      <c r="D4809" s="5" t="s">
        <v>10164</v>
      </c>
      <c r="E4809" s="43">
        <v>2000</v>
      </c>
      <c r="F4809" s="43"/>
      <c r="G4809" s="48">
        <f t="shared" si="130"/>
        <v>430490</v>
      </c>
      <c r="H4809" s="391" t="s">
        <v>9568</v>
      </c>
    </row>
    <row r="4810" spans="1:8" x14ac:dyDescent="0.3">
      <c r="A4810" s="45">
        <v>44887</v>
      </c>
      <c r="B4810" s="399" t="s">
        <v>10615</v>
      </c>
      <c r="C4810" s="5" t="s">
        <v>6430</v>
      </c>
      <c r="D4810" s="5" t="s">
        <v>10165</v>
      </c>
      <c r="E4810" s="43">
        <v>15000</v>
      </c>
      <c r="F4810" s="43"/>
      <c r="G4810" s="48">
        <f t="shared" si="130"/>
        <v>415490</v>
      </c>
      <c r="H4810" s="391" t="s">
        <v>9568</v>
      </c>
    </row>
    <row r="4811" spans="1:8" x14ac:dyDescent="0.3">
      <c r="A4811" s="45">
        <v>44887</v>
      </c>
      <c r="B4811" s="399" t="s">
        <v>9863</v>
      </c>
      <c r="C4811" s="5" t="s">
        <v>10166</v>
      </c>
      <c r="D4811" s="5" t="s">
        <v>294</v>
      </c>
      <c r="E4811" s="43">
        <v>100000</v>
      </c>
      <c r="F4811" s="43"/>
      <c r="G4811" s="48">
        <f t="shared" si="130"/>
        <v>315490</v>
      </c>
      <c r="H4811" s="391" t="s">
        <v>9568</v>
      </c>
    </row>
    <row r="4812" spans="1:8" x14ac:dyDescent="0.3">
      <c r="A4812" s="45">
        <v>44887</v>
      </c>
      <c r="B4812" s="399" t="s">
        <v>9879</v>
      </c>
      <c r="C4812" s="5" t="s">
        <v>9947</v>
      </c>
      <c r="D4812" s="5" t="s">
        <v>10167</v>
      </c>
      <c r="E4812" s="43">
        <v>25000</v>
      </c>
      <c r="F4812" s="43"/>
      <c r="G4812" s="48">
        <f t="shared" si="130"/>
        <v>290490</v>
      </c>
      <c r="H4812" s="391" t="s">
        <v>9568</v>
      </c>
    </row>
    <row r="4813" spans="1:8" x14ac:dyDescent="0.3">
      <c r="A4813" s="45">
        <v>44887</v>
      </c>
      <c r="B4813" s="399"/>
      <c r="C4813" s="5" t="s">
        <v>7744</v>
      </c>
      <c r="D4813" s="5" t="s">
        <v>10168</v>
      </c>
      <c r="E4813" s="43">
        <v>50000</v>
      </c>
      <c r="F4813" s="43"/>
      <c r="G4813" s="48">
        <f t="shared" si="130"/>
        <v>240490</v>
      </c>
      <c r="H4813" s="391" t="s">
        <v>9568</v>
      </c>
    </row>
    <row r="4814" spans="1:8" x14ac:dyDescent="0.3">
      <c r="A4814" s="45">
        <v>44887</v>
      </c>
      <c r="B4814" s="399" t="s">
        <v>9925</v>
      </c>
      <c r="C4814" s="5" t="s">
        <v>10169</v>
      </c>
      <c r="D4814" s="5" t="s">
        <v>10170</v>
      </c>
      <c r="E4814" s="43">
        <v>6000</v>
      </c>
      <c r="F4814" s="43"/>
      <c r="G4814" s="48">
        <f t="shared" si="130"/>
        <v>234490</v>
      </c>
      <c r="H4814" s="391" t="s">
        <v>9568</v>
      </c>
    </row>
    <row r="4815" spans="1:8" x14ac:dyDescent="0.3">
      <c r="A4815" s="45">
        <v>44887</v>
      </c>
      <c r="B4815" s="399" t="s">
        <v>9925</v>
      </c>
      <c r="C4815" s="5" t="s">
        <v>10169</v>
      </c>
      <c r="D4815" s="5" t="s">
        <v>10170</v>
      </c>
      <c r="E4815" s="43">
        <v>9000</v>
      </c>
      <c r="F4815" s="43"/>
      <c r="G4815" s="48">
        <f t="shared" si="130"/>
        <v>225490</v>
      </c>
      <c r="H4815" s="391" t="s">
        <v>9568</v>
      </c>
    </row>
    <row r="4816" spans="1:8" x14ac:dyDescent="0.3">
      <c r="A4816" s="45">
        <v>44887</v>
      </c>
      <c r="B4816" s="399" t="s">
        <v>9857</v>
      </c>
      <c r="C4816" s="5" t="s">
        <v>9525</v>
      </c>
      <c r="D4816" s="5" t="s">
        <v>10127</v>
      </c>
      <c r="E4816" s="43">
        <v>3500</v>
      </c>
      <c r="F4816" s="43"/>
      <c r="G4816" s="48">
        <f t="shared" si="130"/>
        <v>221990</v>
      </c>
      <c r="H4816" s="391" t="s">
        <v>9568</v>
      </c>
    </row>
    <row r="4817" spans="1:8" x14ac:dyDescent="0.3">
      <c r="A4817" s="45">
        <v>44887</v>
      </c>
      <c r="B4817" s="399" t="s">
        <v>9857</v>
      </c>
      <c r="C4817" s="5" t="s">
        <v>9525</v>
      </c>
      <c r="D4817" s="5" t="s">
        <v>10171</v>
      </c>
      <c r="E4817" s="43">
        <v>8000</v>
      </c>
      <c r="F4817" s="43"/>
      <c r="G4817" s="48">
        <f t="shared" si="130"/>
        <v>213990</v>
      </c>
      <c r="H4817" s="391" t="s">
        <v>9568</v>
      </c>
    </row>
    <row r="4818" spans="1:8" x14ac:dyDescent="0.3">
      <c r="A4818" s="45">
        <v>44887</v>
      </c>
      <c r="B4818" s="399" t="s">
        <v>9860</v>
      </c>
      <c r="C4818" s="5" t="s">
        <v>9525</v>
      </c>
      <c r="D4818" s="5" t="s">
        <v>9859</v>
      </c>
      <c r="E4818" s="43">
        <v>1500</v>
      </c>
      <c r="F4818" s="43"/>
      <c r="G4818" s="48">
        <f t="shared" si="130"/>
        <v>212490</v>
      </c>
      <c r="H4818" s="391" t="s">
        <v>9568</v>
      </c>
    </row>
    <row r="4819" spans="1:8" x14ac:dyDescent="0.3">
      <c r="A4819" s="45">
        <v>44887</v>
      </c>
      <c r="B4819" s="399" t="s">
        <v>9860</v>
      </c>
      <c r="C4819" s="5" t="s">
        <v>10175</v>
      </c>
      <c r="D4819" s="5" t="s">
        <v>5508</v>
      </c>
      <c r="E4819" s="43">
        <v>17500</v>
      </c>
      <c r="F4819" s="43"/>
      <c r="G4819" s="48">
        <f t="shared" si="130"/>
        <v>194990</v>
      </c>
      <c r="H4819" s="391" t="s">
        <v>9568</v>
      </c>
    </row>
    <row r="4820" spans="1:8" x14ac:dyDescent="0.3">
      <c r="A4820" s="45">
        <v>44888</v>
      </c>
      <c r="B4820" s="399"/>
      <c r="C4820" s="5" t="s">
        <v>247</v>
      </c>
      <c r="D4820" s="5" t="s">
        <v>10177</v>
      </c>
      <c r="E4820" s="65">
        <v>2300</v>
      </c>
      <c r="F4820" s="43"/>
      <c r="G4820" s="48">
        <f t="shared" si="130"/>
        <v>192690</v>
      </c>
      <c r="H4820" s="391" t="s">
        <v>9568</v>
      </c>
    </row>
    <row r="4821" spans="1:8" x14ac:dyDescent="0.3">
      <c r="A4821" s="45">
        <v>44888</v>
      </c>
      <c r="B4821" s="399" t="s">
        <v>10112</v>
      </c>
      <c r="C4821" s="5" t="s">
        <v>5793</v>
      </c>
      <c r="D4821" s="5" t="s">
        <v>40</v>
      </c>
      <c r="E4821" s="43">
        <v>1800</v>
      </c>
      <c r="F4821" s="43"/>
      <c r="G4821" s="48">
        <f t="shared" si="130"/>
        <v>190890</v>
      </c>
      <c r="H4821" s="391" t="s">
        <v>9568</v>
      </c>
    </row>
    <row r="4822" spans="1:8" x14ac:dyDescent="0.3">
      <c r="A4822" s="45">
        <v>44888</v>
      </c>
      <c r="B4822" s="399" t="s">
        <v>10112</v>
      </c>
      <c r="C4822" s="5" t="s">
        <v>10178</v>
      </c>
      <c r="D4822" s="5" t="s">
        <v>10148</v>
      </c>
      <c r="E4822" s="43">
        <v>20000</v>
      </c>
      <c r="F4822" s="43"/>
      <c r="G4822" s="48">
        <f t="shared" si="130"/>
        <v>170890</v>
      </c>
      <c r="H4822" s="391" t="s">
        <v>9568</v>
      </c>
    </row>
    <row r="4823" spans="1:8" x14ac:dyDescent="0.3">
      <c r="A4823" s="45">
        <v>44888</v>
      </c>
      <c r="B4823" s="399" t="s">
        <v>9879</v>
      </c>
      <c r="C4823" s="5" t="s">
        <v>57</v>
      </c>
      <c r="D4823" s="5" t="s">
        <v>294</v>
      </c>
      <c r="E4823" s="43">
        <v>5000</v>
      </c>
      <c r="F4823" s="43"/>
      <c r="G4823" s="48">
        <f t="shared" si="130"/>
        <v>165890</v>
      </c>
      <c r="H4823" s="391" t="s">
        <v>9568</v>
      </c>
    </row>
    <row r="4824" spans="1:8" x14ac:dyDescent="0.3">
      <c r="A4824" s="45">
        <v>44889</v>
      </c>
      <c r="B4824" s="399" t="s">
        <v>118</v>
      </c>
      <c r="C4824" s="5" t="s">
        <v>9873</v>
      </c>
      <c r="D4824" s="5" t="s">
        <v>9898</v>
      </c>
      <c r="E4824" s="43">
        <v>6330</v>
      </c>
      <c r="F4824" s="43"/>
      <c r="G4824" s="48">
        <f t="shared" si="130"/>
        <v>159560</v>
      </c>
      <c r="H4824" s="391" t="s">
        <v>9568</v>
      </c>
    </row>
    <row r="4825" spans="1:8" x14ac:dyDescent="0.3">
      <c r="A4825" s="45">
        <v>44889</v>
      </c>
      <c r="B4825" s="399" t="s">
        <v>10112</v>
      </c>
      <c r="C4825" s="5" t="s">
        <v>10184</v>
      </c>
      <c r="D4825" s="5" t="s">
        <v>10185</v>
      </c>
      <c r="E4825" s="43">
        <v>3700</v>
      </c>
      <c r="F4825" s="43"/>
      <c r="G4825" s="48">
        <f t="shared" si="130"/>
        <v>155860</v>
      </c>
      <c r="H4825" s="391" t="s">
        <v>9568</v>
      </c>
    </row>
    <row r="4826" spans="1:8" x14ac:dyDescent="0.3">
      <c r="A4826" s="45">
        <v>44889</v>
      </c>
      <c r="B4826" s="399" t="s">
        <v>10016</v>
      </c>
      <c r="C4826" s="5" t="s">
        <v>6931</v>
      </c>
      <c r="D4826" s="5" t="s">
        <v>2013</v>
      </c>
      <c r="E4826" s="43">
        <v>250</v>
      </c>
      <c r="F4826" s="43"/>
      <c r="G4826" s="48">
        <f t="shared" si="130"/>
        <v>155610</v>
      </c>
      <c r="H4826" s="391" t="s">
        <v>9568</v>
      </c>
    </row>
    <row r="4827" spans="1:8" x14ac:dyDescent="0.3">
      <c r="A4827" s="45">
        <v>44889</v>
      </c>
      <c r="B4827" s="399" t="s">
        <v>10016</v>
      </c>
      <c r="C4827" s="5" t="s">
        <v>10186</v>
      </c>
      <c r="D4827" s="5" t="s">
        <v>10187</v>
      </c>
      <c r="E4827" s="43">
        <v>500</v>
      </c>
      <c r="F4827" s="43"/>
      <c r="G4827" s="48">
        <f t="shared" si="130"/>
        <v>155110</v>
      </c>
      <c r="H4827" s="391" t="s">
        <v>9568</v>
      </c>
    </row>
    <row r="4828" spans="1:8" x14ac:dyDescent="0.3">
      <c r="A4828" s="45">
        <v>44889</v>
      </c>
      <c r="B4828" s="399" t="s">
        <v>10112</v>
      </c>
      <c r="C4828" s="5" t="s">
        <v>6430</v>
      </c>
      <c r="D4828" s="5" t="s">
        <v>7659</v>
      </c>
      <c r="E4828" s="43">
        <v>3500</v>
      </c>
      <c r="F4828" s="43"/>
      <c r="G4828" s="48">
        <f t="shared" si="130"/>
        <v>151610</v>
      </c>
      <c r="H4828" s="391" t="s">
        <v>9568</v>
      </c>
    </row>
    <row r="4829" spans="1:8" x14ac:dyDescent="0.3">
      <c r="A4829" s="45">
        <v>44889</v>
      </c>
      <c r="B4829" s="399" t="s">
        <v>9860</v>
      </c>
      <c r="C4829" s="5" t="s">
        <v>10188</v>
      </c>
      <c r="D4829" s="5" t="s">
        <v>10189</v>
      </c>
      <c r="E4829" s="43">
        <v>24000</v>
      </c>
      <c r="F4829" s="43"/>
      <c r="G4829" s="48">
        <f t="shared" si="130"/>
        <v>127610</v>
      </c>
      <c r="H4829" s="391" t="s">
        <v>9568</v>
      </c>
    </row>
    <row r="4830" spans="1:8" x14ac:dyDescent="0.3">
      <c r="A4830" s="45">
        <v>44890</v>
      </c>
      <c r="B4830" s="586"/>
      <c r="C4830" s="486" t="s">
        <v>10190</v>
      </c>
      <c r="D4830" s="486"/>
      <c r="E4830" s="486"/>
      <c r="F4830" s="43">
        <v>5000</v>
      </c>
      <c r="G4830" s="48">
        <f t="shared" si="130"/>
        <v>132610</v>
      </c>
      <c r="H4830" s="391" t="s">
        <v>9568</v>
      </c>
    </row>
    <row r="4831" spans="1:8" x14ac:dyDescent="0.3">
      <c r="A4831" s="45">
        <v>44890</v>
      </c>
      <c r="B4831" s="394" t="s">
        <v>10192</v>
      </c>
      <c r="C4831" s="5" t="s">
        <v>8573</v>
      </c>
      <c r="D4831" s="5" t="s">
        <v>438</v>
      </c>
      <c r="E4831" s="43">
        <v>5000</v>
      </c>
      <c r="F4831" s="43"/>
      <c r="G4831" s="48">
        <f t="shared" si="130"/>
        <v>127610</v>
      </c>
      <c r="H4831" s="391" t="s">
        <v>9568</v>
      </c>
    </row>
    <row r="4832" spans="1:8" x14ac:dyDescent="0.3">
      <c r="A4832" s="45">
        <v>44890</v>
      </c>
      <c r="B4832" s="399" t="s">
        <v>10016</v>
      </c>
      <c r="C4832" s="5" t="s">
        <v>5518</v>
      </c>
      <c r="D4832" s="5" t="s">
        <v>10193</v>
      </c>
      <c r="E4832" s="43">
        <v>10000</v>
      </c>
      <c r="F4832" s="43"/>
      <c r="G4832" s="48">
        <f t="shared" si="130"/>
        <v>117610</v>
      </c>
      <c r="H4832" s="391" t="s">
        <v>9568</v>
      </c>
    </row>
    <row r="4833" spans="1:8" x14ac:dyDescent="0.3">
      <c r="A4833" s="45">
        <v>44890</v>
      </c>
      <c r="B4833" s="399" t="s">
        <v>10615</v>
      </c>
      <c r="C4833" s="5" t="s">
        <v>7099</v>
      </c>
      <c r="D4833" s="5" t="s">
        <v>10194</v>
      </c>
      <c r="E4833" s="43">
        <v>6000</v>
      </c>
      <c r="F4833" s="43"/>
      <c r="G4833" s="48">
        <f t="shared" si="130"/>
        <v>111610</v>
      </c>
      <c r="H4833" s="391" t="s">
        <v>9568</v>
      </c>
    </row>
    <row r="4834" spans="1:8" x14ac:dyDescent="0.3">
      <c r="A4834" s="45">
        <v>44890</v>
      </c>
      <c r="B4834" s="399" t="s">
        <v>9879</v>
      </c>
      <c r="C4834" s="5" t="s">
        <v>7040</v>
      </c>
      <c r="D4834" s="5" t="s">
        <v>438</v>
      </c>
      <c r="E4834" s="43">
        <v>10000</v>
      </c>
      <c r="F4834" s="43"/>
      <c r="G4834" s="48">
        <f t="shared" si="130"/>
        <v>101610</v>
      </c>
      <c r="H4834" s="391" t="s">
        <v>9568</v>
      </c>
    </row>
    <row r="4835" spans="1:8" x14ac:dyDescent="0.3">
      <c r="A4835" s="45">
        <v>44890</v>
      </c>
      <c r="B4835" s="399" t="s">
        <v>118</v>
      </c>
      <c r="C4835" s="5" t="s">
        <v>4400</v>
      </c>
      <c r="D4835" s="5" t="s">
        <v>40</v>
      </c>
      <c r="E4835" s="43">
        <v>4670</v>
      </c>
      <c r="F4835" s="43"/>
      <c r="G4835" s="48">
        <f t="shared" si="130"/>
        <v>96940</v>
      </c>
      <c r="H4835" s="391" t="s">
        <v>9568</v>
      </c>
    </row>
    <row r="4836" spans="1:8" x14ac:dyDescent="0.3">
      <c r="A4836" s="45">
        <v>44890</v>
      </c>
      <c r="B4836" s="399" t="s">
        <v>12190</v>
      </c>
      <c r="C4836" s="5" t="s">
        <v>91</v>
      </c>
      <c r="D4836" s="5" t="s">
        <v>10195</v>
      </c>
      <c r="E4836" s="43">
        <v>650</v>
      </c>
      <c r="F4836" s="43"/>
      <c r="G4836" s="48">
        <f t="shared" si="130"/>
        <v>96290</v>
      </c>
      <c r="H4836" s="391" t="s">
        <v>9568</v>
      </c>
    </row>
    <row r="4837" spans="1:8" x14ac:dyDescent="0.3">
      <c r="A4837" s="45">
        <v>44890</v>
      </c>
      <c r="B4837" s="399" t="s">
        <v>9879</v>
      </c>
      <c r="C4837" s="5" t="s">
        <v>14</v>
      </c>
      <c r="D4837" s="5" t="s">
        <v>10196</v>
      </c>
      <c r="E4837" s="43">
        <v>50000</v>
      </c>
      <c r="F4837" s="43"/>
      <c r="G4837" s="48">
        <f t="shared" si="130"/>
        <v>46290</v>
      </c>
      <c r="H4837" s="391" t="s">
        <v>9568</v>
      </c>
    </row>
    <row r="4838" spans="1:8" x14ac:dyDescent="0.3">
      <c r="A4838" s="45">
        <v>44890</v>
      </c>
      <c r="B4838" s="399" t="s">
        <v>9857</v>
      </c>
      <c r="C4838" s="5" t="s">
        <v>9525</v>
      </c>
      <c r="D4838" s="5" t="s">
        <v>10197</v>
      </c>
      <c r="E4838" s="43">
        <v>3915</v>
      </c>
      <c r="F4838" s="43"/>
      <c r="G4838" s="48">
        <f t="shared" si="130"/>
        <v>42375</v>
      </c>
      <c r="H4838" s="391" t="s">
        <v>9568</v>
      </c>
    </row>
    <row r="4839" spans="1:8" x14ac:dyDescent="0.3">
      <c r="A4839" s="45">
        <v>44890</v>
      </c>
      <c r="B4839" s="399" t="s">
        <v>9860</v>
      </c>
      <c r="C4839" s="5" t="s">
        <v>9525</v>
      </c>
      <c r="D4839" s="5" t="s">
        <v>10198</v>
      </c>
      <c r="E4839" s="43">
        <v>2000</v>
      </c>
      <c r="F4839" s="43"/>
      <c r="G4839" s="48">
        <f t="shared" si="130"/>
        <v>40375</v>
      </c>
      <c r="H4839" s="391" t="s">
        <v>9568</v>
      </c>
    </row>
    <row r="4840" spans="1:8" x14ac:dyDescent="0.3">
      <c r="A4840" s="45">
        <v>44890</v>
      </c>
      <c r="B4840" s="399" t="s">
        <v>9860</v>
      </c>
      <c r="C4840" s="5" t="s">
        <v>9525</v>
      </c>
      <c r="D4840" s="5" t="s">
        <v>4319</v>
      </c>
      <c r="E4840" s="43">
        <v>3000</v>
      </c>
      <c r="F4840" s="43"/>
      <c r="G4840" s="48">
        <f t="shared" si="130"/>
        <v>37375</v>
      </c>
      <c r="H4840" s="391" t="s">
        <v>9568</v>
      </c>
    </row>
    <row r="4841" spans="1:8" x14ac:dyDescent="0.3">
      <c r="A4841" s="45">
        <v>44890</v>
      </c>
      <c r="B4841" s="399"/>
      <c r="C4841" s="5" t="s">
        <v>247</v>
      </c>
      <c r="D4841" s="5" t="s">
        <v>2013</v>
      </c>
      <c r="E4841" s="43">
        <v>580</v>
      </c>
      <c r="F4841" s="43"/>
      <c r="G4841" s="48">
        <f t="shared" si="130"/>
        <v>36795</v>
      </c>
      <c r="H4841" s="391" t="s">
        <v>9568</v>
      </c>
    </row>
    <row r="4842" spans="1:8" x14ac:dyDescent="0.3">
      <c r="A4842" s="45">
        <v>44891</v>
      </c>
      <c r="B4842" s="399" t="s">
        <v>118</v>
      </c>
      <c r="C4842" s="5" t="s">
        <v>9873</v>
      </c>
      <c r="D4842" s="5" t="s">
        <v>9898</v>
      </c>
      <c r="E4842" s="43">
        <v>4105</v>
      </c>
      <c r="F4842" s="43"/>
      <c r="G4842" s="48">
        <f t="shared" si="130"/>
        <v>32690</v>
      </c>
      <c r="H4842" s="391" t="s">
        <v>9568</v>
      </c>
    </row>
    <row r="4843" spans="1:8" x14ac:dyDescent="0.3">
      <c r="A4843" s="45">
        <v>44891</v>
      </c>
      <c r="B4843" s="399" t="s">
        <v>9857</v>
      </c>
      <c r="C4843" s="5" t="s">
        <v>9947</v>
      </c>
      <c r="D4843" s="5" t="s">
        <v>5508</v>
      </c>
      <c r="E4843" s="43">
        <v>20000</v>
      </c>
      <c r="F4843" s="43"/>
      <c r="G4843" s="48">
        <f t="shared" si="130"/>
        <v>12690</v>
      </c>
      <c r="H4843" s="391" t="s">
        <v>9568</v>
      </c>
    </row>
    <row r="4844" spans="1:8" x14ac:dyDescent="0.3">
      <c r="A4844" s="45">
        <v>44891</v>
      </c>
      <c r="B4844" s="399" t="s">
        <v>9857</v>
      </c>
      <c r="C4844" s="5" t="s">
        <v>9947</v>
      </c>
      <c r="D4844" s="5" t="s">
        <v>10199</v>
      </c>
      <c r="E4844" s="43">
        <v>1000</v>
      </c>
      <c r="F4844" s="43"/>
      <c r="G4844" s="48">
        <f t="shared" si="130"/>
        <v>11690</v>
      </c>
      <c r="H4844" s="391" t="s">
        <v>9568</v>
      </c>
    </row>
    <row r="4845" spans="1:8" x14ac:dyDescent="0.3">
      <c r="A4845" s="45">
        <v>44891</v>
      </c>
      <c r="B4845" s="399"/>
      <c r="C4845" s="5" t="s">
        <v>64</v>
      </c>
      <c r="D4845" s="5" t="s">
        <v>40</v>
      </c>
      <c r="E4845" s="43">
        <v>1500</v>
      </c>
      <c r="F4845" s="43"/>
      <c r="G4845" s="48">
        <f t="shared" si="130"/>
        <v>10190</v>
      </c>
      <c r="H4845" s="391" t="s">
        <v>9568</v>
      </c>
    </row>
    <row r="4846" spans="1:8" x14ac:dyDescent="0.3">
      <c r="A4846" s="45">
        <v>44891</v>
      </c>
      <c r="B4846" s="399" t="s">
        <v>9879</v>
      </c>
      <c r="C4846" s="5" t="s">
        <v>57</v>
      </c>
      <c r="D4846" s="5" t="s">
        <v>294</v>
      </c>
      <c r="E4846" s="43">
        <v>5000</v>
      </c>
      <c r="F4846" s="43"/>
      <c r="G4846" s="48">
        <f t="shared" si="130"/>
        <v>5190</v>
      </c>
      <c r="H4846" s="391" t="s">
        <v>9568</v>
      </c>
    </row>
    <row r="4847" spans="1:8" x14ac:dyDescent="0.3">
      <c r="A4847" s="45">
        <v>44893</v>
      </c>
      <c r="B4847" s="399" t="s">
        <v>9857</v>
      </c>
      <c r="C4847" s="5" t="s">
        <v>5793</v>
      </c>
      <c r="D4847" s="5" t="s">
        <v>1787</v>
      </c>
      <c r="E4847" s="65">
        <v>2500</v>
      </c>
      <c r="F4847" s="65"/>
      <c r="G4847" s="48">
        <f t="shared" si="130"/>
        <v>2690</v>
      </c>
      <c r="H4847" s="391" t="s">
        <v>9568</v>
      </c>
    </row>
    <row r="4848" spans="1:8" x14ac:dyDescent="0.3">
      <c r="A4848" s="45">
        <v>44893</v>
      </c>
      <c r="B4848" s="586"/>
      <c r="C4848" s="486" t="s">
        <v>9830</v>
      </c>
      <c r="D4848" s="486"/>
      <c r="E4848" s="486"/>
      <c r="F4848" s="43">
        <v>499500</v>
      </c>
      <c r="G4848" s="48">
        <f t="shared" si="130"/>
        <v>502190</v>
      </c>
      <c r="H4848" s="391" t="s">
        <v>9568</v>
      </c>
    </row>
    <row r="4849" spans="1:8" x14ac:dyDescent="0.3">
      <c r="A4849" s="45">
        <v>44893</v>
      </c>
      <c r="B4849" s="399" t="s">
        <v>10615</v>
      </c>
      <c r="C4849" s="5" t="s">
        <v>84</v>
      </c>
      <c r="D4849" s="5" t="s">
        <v>10201</v>
      </c>
      <c r="E4849" s="43">
        <v>3000</v>
      </c>
      <c r="F4849" s="43"/>
      <c r="G4849" s="48">
        <f t="shared" si="130"/>
        <v>499190</v>
      </c>
      <c r="H4849" s="391" t="s">
        <v>9568</v>
      </c>
    </row>
    <row r="4850" spans="1:8" x14ac:dyDescent="0.3">
      <c r="A4850" s="45">
        <v>44893</v>
      </c>
      <c r="B4850" s="399" t="s">
        <v>10112</v>
      </c>
      <c r="C4850" s="5" t="s">
        <v>6430</v>
      </c>
      <c r="D4850" s="5" t="s">
        <v>5915</v>
      </c>
      <c r="E4850" s="43">
        <v>2170</v>
      </c>
      <c r="F4850" s="43"/>
      <c r="G4850" s="48">
        <f t="shared" si="130"/>
        <v>497020</v>
      </c>
      <c r="H4850" s="391" t="s">
        <v>9568</v>
      </c>
    </row>
    <row r="4851" spans="1:8" x14ac:dyDescent="0.3">
      <c r="A4851" s="45">
        <v>44893</v>
      </c>
      <c r="B4851" s="399" t="s">
        <v>9857</v>
      </c>
      <c r="C4851" s="5" t="s">
        <v>10001</v>
      </c>
      <c r="D4851" s="5" t="s">
        <v>10202</v>
      </c>
      <c r="E4851" s="43">
        <v>5000</v>
      </c>
      <c r="F4851" s="43"/>
      <c r="G4851" s="48">
        <f t="shared" ref="G4851:G4912" si="131">G4850+F4851-E4851</f>
        <v>492020</v>
      </c>
      <c r="H4851" s="391" t="s">
        <v>9568</v>
      </c>
    </row>
    <row r="4852" spans="1:8" x14ac:dyDescent="0.3">
      <c r="A4852" s="45">
        <v>44893</v>
      </c>
      <c r="B4852" s="399" t="s">
        <v>9857</v>
      </c>
      <c r="C4852" s="5" t="s">
        <v>6931</v>
      </c>
      <c r="D4852" s="5" t="s">
        <v>2013</v>
      </c>
      <c r="E4852" s="65">
        <v>500</v>
      </c>
      <c r="F4852" s="43"/>
      <c r="G4852" s="48">
        <f t="shared" si="131"/>
        <v>491520</v>
      </c>
      <c r="H4852" s="391" t="s">
        <v>9568</v>
      </c>
    </row>
    <row r="4853" spans="1:8" x14ac:dyDescent="0.3">
      <c r="A4853" s="45">
        <v>44894</v>
      </c>
      <c r="B4853" s="399" t="s">
        <v>9879</v>
      </c>
      <c r="C4853" s="5" t="s">
        <v>57</v>
      </c>
      <c r="D4853" s="5" t="s">
        <v>10203</v>
      </c>
      <c r="E4853" s="43">
        <v>20000</v>
      </c>
      <c r="F4853" s="43"/>
      <c r="G4853" s="48">
        <f t="shared" si="131"/>
        <v>471520</v>
      </c>
      <c r="H4853" s="391" t="s">
        <v>9568</v>
      </c>
    </row>
    <row r="4854" spans="1:8" x14ac:dyDescent="0.3">
      <c r="A4854" s="45">
        <v>44894</v>
      </c>
      <c r="B4854" s="399" t="s">
        <v>10016</v>
      </c>
      <c r="C4854" s="5" t="s">
        <v>10029</v>
      </c>
      <c r="D4854" s="5" t="s">
        <v>10204</v>
      </c>
      <c r="E4854" s="43">
        <v>20000</v>
      </c>
      <c r="F4854" s="43"/>
      <c r="G4854" s="48">
        <f t="shared" si="131"/>
        <v>451520</v>
      </c>
      <c r="H4854" s="391" t="s">
        <v>9568</v>
      </c>
    </row>
    <row r="4855" spans="1:8" x14ac:dyDescent="0.3">
      <c r="A4855" s="45">
        <v>44894</v>
      </c>
      <c r="B4855" s="399"/>
      <c r="C4855" s="5" t="s">
        <v>9756</v>
      </c>
      <c r="D4855" s="5" t="s">
        <v>2013</v>
      </c>
      <c r="E4855" s="43">
        <v>1000</v>
      </c>
      <c r="F4855" s="43"/>
      <c r="G4855" s="48">
        <f t="shared" si="131"/>
        <v>450520</v>
      </c>
      <c r="H4855" s="391" t="s">
        <v>9568</v>
      </c>
    </row>
    <row r="4856" spans="1:8" x14ac:dyDescent="0.3">
      <c r="A4856" s="45">
        <v>44894</v>
      </c>
      <c r="B4856" s="399" t="s">
        <v>9863</v>
      </c>
      <c r="C4856" s="5" t="s">
        <v>68</v>
      </c>
      <c r="D4856" s="5" t="s">
        <v>10206</v>
      </c>
      <c r="E4856" s="43">
        <v>6000</v>
      </c>
      <c r="F4856" s="43"/>
      <c r="G4856" s="48">
        <f t="shared" si="131"/>
        <v>444520</v>
      </c>
      <c r="H4856" s="391" t="s">
        <v>9568</v>
      </c>
    </row>
    <row r="4857" spans="1:8" x14ac:dyDescent="0.3">
      <c r="A4857" s="45">
        <v>44894</v>
      </c>
      <c r="B4857" s="399" t="s">
        <v>4935</v>
      </c>
      <c r="C4857" s="5" t="s">
        <v>5162</v>
      </c>
      <c r="D4857" s="5" t="s">
        <v>6932</v>
      </c>
      <c r="E4857" s="43">
        <v>2000</v>
      </c>
      <c r="F4857" s="43"/>
      <c r="G4857" s="365">
        <f t="shared" si="131"/>
        <v>442520</v>
      </c>
      <c r="H4857" s="391" t="s">
        <v>9568</v>
      </c>
    </row>
    <row r="4858" spans="1:8" x14ac:dyDescent="0.3">
      <c r="A4858" s="45">
        <v>44894</v>
      </c>
      <c r="B4858" s="399" t="s">
        <v>4935</v>
      </c>
      <c r="C4858" s="5" t="s">
        <v>5162</v>
      </c>
      <c r="D4858" s="5" t="s">
        <v>9490</v>
      </c>
      <c r="E4858" s="43">
        <v>850</v>
      </c>
      <c r="F4858" s="43"/>
      <c r="G4858" s="364">
        <f t="shared" si="131"/>
        <v>441670</v>
      </c>
      <c r="H4858" s="391" t="s">
        <v>9568</v>
      </c>
    </row>
    <row r="4859" spans="1:8" x14ac:dyDescent="0.3">
      <c r="A4859" s="45">
        <v>44894</v>
      </c>
      <c r="B4859" s="399" t="s">
        <v>4935</v>
      </c>
      <c r="C4859" s="5" t="s">
        <v>4550</v>
      </c>
      <c r="D4859" s="5" t="s">
        <v>10207</v>
      </c>
      <c r="E4859" s="43">
        <v>15000</v>
      </c>
      <c r="F4859" s="43"/>
      <c r="G4859" s="364">
        <f t="shared" si="131"/>
        <v>426670</v>
      </c>
      <c r="H4859" s="391" t="s">
        <v>9568</v>
      </c>
    </row>
    <row r="4860" spans="1:8" x14ac:dyDescent="0.3">
      <c r="A4860" s="45">
        <v>44894</v>
      </c>
      <c r="B4860" s="586"/>
      <c r="C4860" s="486" t="s">
        <v>9830</v>
      </c>
      <c r="D4860" s="486"/>
      <c r="E4860" s="486"/>
      <c r="F4860" s="43">
        <v>499000</v>
      </c>
      <c r="G4860" s="364">
        <f t="shared" si="131"/>
        <v>925670</v>
      </c>
      <c r="H4860" s="391" t="s">
        <v>9568</v>
      </c>
    </row>
    <row r="4861" spans="1:8" x14ac:dyDescent="0.3">
      <c r="A4861" s="45">
        <v>44894</v>
      </c>
      <c r="B4861" s="399" t="s">
        <v>4935</v>
      </c>
      <c r="C4861" s="5" t="s">
        <v>84</v>
      </c>
      <c r="D4861" s="5" t="s">
        <v>10208</v>
      </c>
      <c r="E4861" s="43">
        <v>1000</v>
      </c>
      <c r="F4861" s="43"/>
      <c r="G4861" s="364">
        <f t="shared" si="131"/>
        <v>924670</v>
      </c>
      <c r="H4861" s="391" t="s">
        <v>9568</v>
      </c>
    </row>
    <row r="4862" spans="1:8" x14ac:dyDescent="0.3">
      <c r="A4862" s="45">
        <v>44894</v>
      </c>
      <c r="B4862" s="399" t="s">
        <v>10112</v>
      </c>
      <c r="C4862" s="5" t="s">
        <v>9675</v>
      </c>
      <c r="D4862" s="5" t="s">
        <v>10209</v>
      </c>
      <c r="E4862" s="43">
        <v>24000</v>
      </c>
      <c r="F4862" s="43"/>
      <c r="G4862" s="364">
        <f t="shared" si="131"/>
        <v>900670</v>
      </c>
      <c r="H4862" s="391" t="s">
        <v>9568</v>
      </c>
    </row>
    <row r="4863" spans="1:8" x14ac:dyDescent="0.3">
      <c r="A4863" s="45">
        <v>44894</v>
      </c>
      <c r="B4863" s="399" t="s">
        <v>118</v>
      </c>
      <c r="C4863" s="5" t="s">
        <v>84</v>
      </c>
      <c r="D4863" s="5" t="s">
        <v>10158</v>
      </c>
      <c r="E4863" s="43">
        <v>10000</v>
      </c>
      <c r="F4863" s="43"/>
      <c r="G4863" s="364">
        <f t="shared" si="131"/>
        <v>890670</v>
      </c>
      <c r="H4863" s="391" t="s">
        <v>9568</v>
      </c>
    </row>
    <row r="4864" spans="1:8" x14ac:dyDescent="0.3">
      <c r="A4864" s="45">
        <v>44895</v>
      </c>
      <c r="B4864" s="399" t="s">
        <v>118</v>
      </c>
      <c r="C4864" s="5" t="s">
        <v>9873</v>
      </c>
      <c r="D4864" s="5" t="s">
        <v>9898</v>
      </c>
      <c r="E4864" s="43">
        <v>3590</v>
      </c>
      <c r="F4864" s="43"/>
      <c r="G4864" s="364">
        <f t="shared" si="131"/>
        <v>887080</v>
      </c>
      <c r="H4864" s="391" t="s">
        <v>9568</v>
      </c>
    </row>
    <row r="4865" spans="1:8" x14ac:dyDescent="0.3">
      <c r="A4865" s="45">
        <v>44895</v>
      </c>
      <c r="B4865" s="399" t="s">
        <v>9857</v>
      </c>
      <c r="C4865" s="5" t="s">
        <v>9525</v>
      </c>
      <c r="D4865" s="5" t="s">
        <v>10210</v>
      </c>
      <c r="E4865" s="43">
        <v>6000</v>
      </c>
      <c r="F4865" s="43"/>
      <c r="G4865" s="364">
        <f t="shared" si="131"/>
        <v>881080</v>
      </c>
      <c r="H4865" s="391" t="s">
        <v>9568</v>
      </c>
    </row>
    <row r="4866" spans="1:8" x14ac:dyDescent="0.3">
      <c r="A4866" s="45">
        <v>44895</v>
      </c>
      <c r="B4866" s="399" t="s">
        <v>9860</v>
      </c>
      <c r="C4866" s="5" t="s">
        <v>9525</v>
      </c>
      <c r="D4866" s="5" t="s">
        <v>10211</v>
      </c>
      <c r="E4866" s="43">
        <v>10000</v>
      </c>
      <c r="F4866" s="43"/>
      <c r="G4866" s="364">
        <f t="shared" si="131"/>
        <v>871080</v>
      </c>
      <c r="H4866" s="391" t="s">
        <v>9568</v>
      </c>
    </row>
    <row r="4867" spans="1:8" ht="21" x14ac:dyDescent="0.35">
      <c r="A4867" s="45">
        <v>44895</v>
      </c>
      <c r="B4867" s="466"/>
      <c r="C4867" s="465" t="s">
        <v>14</v>
      </c>
      <c r="D4867" s="465" t="s">
        <v>10212</v>
      </c>
      <c r="E4867" s="467">
        <v>250000</v>
      </c>
      <c r="F4867" s="43"/>
      <c r="G4867" s="364">
        <f t="shared" si="131"/>
        <v>621080</v>
      </c>
      <c r="H4867" s="391" t="s">
        <v>9568</v>
      </c>
    </row>
    <row r="4868" spans="1:8" x14ac:dyDescent="0.3">
      <c r="A4868" s="45">
        <v>44895</v>
      </c>
      <c r="B4868" s="399" t="s">
        <v>10112</v>
      </c>
      <c r="C4868" s="5" t="s">
        <v>10213</v>
      </c>
      <c r="D4868" s="5" t="s">
        <v>10214</v>
      </c>
      <c r="E4868" s="43">
        <v>117000</v>
      </c>
      <c r="F4868" s="43"/>
      <c r="G4868" s="364">
        <f t="shared" si="131"/>
        <v>504080</v>
      </c>
      <c r="H4868" s="391" t="s">
        <v>9568</v>
      </c>
    </row>
    <row r="4869" spans="1:8" x14ac:dyDescent="0.3">
      <c r="A4869" s="45">
        <v>44895</v>
      </c>
      <c r="B4869" s="586"/>
      <c r="C4869" s="486" t="s">
        <v>9830</v>
      </c>
      <c r="D4869" s="486"/>
      <c r="E4869" s="486"/>
      <c r="F4869" s="43">
        <v>1025000</v>
      </c>
      <c r="G4869" s="364">
        <f t="shared" si="131"/>
        <v>1529080</v>
      </c>
      <c r="H4869" s="391" t="s">
        <v>9568</v>
      </c>
    </row>
    <row r="4870" spans="1:8" x14ac:dyDescent="0.3">
      <c r="A4870" s="45">
        <v>44895</v>
      </c>
      <c r="B4870" s="399" t="s">
        <v>10112</v>
      </c>
      <c r="C4870" s="5" t="s">
        <v>10013</v>
      </c>
      <c r="D4870" s="5" t="s">
        <v>10217</v>
      </c>
      <c r="E4870" s="43">
        <v>175000</v>
      </c>
      <c r="F4870" s="43"/>
      <c r="G4870" s="364">
        <f t="shared" si="131"/>
        <v>1354080</v>
      </c>
      <c r="H4870" s="391" t="s">
        <v>9568</v>
      </c>
    </row>
    <row r="4871" spans="1:8" x14ac:dyDescent="0.3">
      <c r="A4871" s="45">
        <v>44895</v>
      </c>
      <c r="B4871" s="399" t="s">
        <v>9857</v>
      </c>
      <c r="C4871" s="5" t="s">
        <v>10001</v>
      </c>
      <c r="D4871" s="5" t="s">
        <v>3183</v>
      </c>
      <c r="E4871" s="43">
        <v>5000</v>
      </c>
      <c r="F4871" s="43"/>
      <c r="G4871" s="364">
        <f t="shared" si="131"/>
        <v>1349080</v>
      </c>
      <c r="H4871" s="391" t="s">
        <v>9568</v>
      </c>
    </row>
    <row r="4872" spans="1:8" x14ac:dyDescent="0.3">
      <c r="A4872" s="45">
        <v>44895</v>
      </c>
      <c r="B4872" s="399"/>
      <c r="C4872" s="5" t="s">
        <v>9525</v>
      </c>
      <c r="D4872" s="5" t="s">
        <v>10219</v>
      </c>
      <c r="E4872" s="43">
        <v>3000</v>
      </c>
      <c r="F4872" s="43"/>
      <c r="G4872" s="364">
        <f t="shared" si="131"/>
        <v>1346080</v>
      </c>
      <c r="H4872" s="391" t="s">
        <v>9568</v>
      </c>
    </row>
    <row r="4873" spans="1:8" x14ac:dyDescent="0.3">
      <c r="A4873" s="45">
        <v>44896</v>
      </c>
      <c r="B4873" s="399" t="s">
        <v>9857</v>
      </c>
      <c r="C4873" s="5" t="s">
        <v>9756</v>
      </c>
      <c r="D4873" s="5" t="s">
        <v>10220</v>
      </c>
      <c r="E4873" s="65">
        <v>2250</v>
      </c>
      <c r="F4873" s="43"/>
      <c r="G4873" s="364">
        <f t="shared" si="131"/>
        <v>1343830</v>
      </c>
      <c r="H4873" s="391" t="s">
        <v>9568</v>
      </c>
    </row>
    <row r="4874" spans="1:8" x14ac:dyDescent="0.3">
      <c r="A4874" s="45">
        <v>44896</v>
      </c>
      <c r="B4874" s="399" t="s">
        <v>9857</v>
      </c>
      <c r="C4874" s="5" t="s">
        <v>9947</v>
      </c>
      <c r="D4874" s="5" t="s">
        <v>10221</v>
      </c>
      <c r="E4874" s="43">
        <v>50000</v>
      </c>
      <c r="F4874" s="43"/>
      <c r="G4874" s="364">
        <f t="shared" si="131"/>
        <v>1293830</v>
      </c>
      <c r="H4874" s="391" t="s">
        <v>9568</v>
      </c>
    </row>
    <row r="4875" spans="1:8" x14ac:dyDescent="0.3">
      <c r="A4875" s="45">
        <v>44896</v>
      </c>
      <c r="B4875" s="399" t="s">
        <v>9857</v>
      </c>
      <c r="C4875" s="5" t="s">
        <v>9947</v>
      </c>
      <c r="D4875" s="5" t="s">
        <v>10222</v>
      </c>
      <c r="E4875" s="43">
        <v>25000</v>
      </c>
      <c r="F4875" s="43"/>
      <c r="G4875" s="364">
        <f t="shared" si="131"/>
        <v>1268830</v>
      </c>
      <c r="H4875" s="391" t="s">
        <v>9568</v>
      </c>
    </row>
    <row r="4876" spans="1:8" x14ac:dyDescent="0.3">
      <c r="A4876" s="45">
        <v>44896</v>
      </c>
      <c r="B4876" s="399" t="s">
        <v>10112</v>
      </c>
      <c r="C4876" s="5" t="s">
        <v>1787</v>
      </c>
      <c r="D4876" s="5" t="s">
        <v>10223</v>
      </c>
      <c r="E4876" s="43">
        <v>1200</v>
      </c>
      <c r="F4876" s="43"/>
      <c r="G4876" s="364">
        <f t="shared" si="131"/>
        <v>1267630</v>
      </c>
      <c r="H4876" s="391" t="s">
        <v>9568</v>
      </c>
    </row>
    <row r="4877" spans="1:8" x14ac:dyDescent="0.3">
      <c r="A4877" s="45">
        <v>44896</v>
      </c>
      <c r="B4877" s="399" t="s">
        <v>10112</v>
      </c>
      <c r="C4877" s="5" t="s">
        <v>1787</v>
      </c>
      <c r="D4877" s="5" t="s">
        <v>40</v>
      </c>
      <c r="E4877" s="43">
        <v>2000</v>
      </c>
      <c r="F4877" s="43"/>
      <c r="G4877" s="364">
        <f t="shared" si="131"/>
        <v>1265630</v>
      </c>
      <c r="H4877" s="391" t="s">
        <v>9568</v>
      </c>
    </row>
    <row r="4878" spans="1:8" x14ac:dyDescent="0.3">
      <c r="A4878" s="45">
        <v>44896</v>
      </c>
      <c r="B4878" s="399" t="s">
        <v>9863</v>
      </c>
      <c r="C4878" s="5" t="s">
        <v>10224</v>
      </c>
      <c r="D4878" s="5" t="s">
        <v>10248</v>
      </c>
      <c r="E4878" s="43">
        <v>5000</v>
      </c>
      <c r="F4878" s="43"/>
      <c r="G4878" s="364">
        <f t="shared" si="131"/>
        <v>1260630</v>
      </c>
      <c r="H4878" s="391" t="s">
        <v>9568</v>
      </c>
    </row>
    <row r="4879" spans="1:8" x14ac:dyDescent="0.3">
      <c r="A4879" s="45">
        <v>44896</v>
      </c>
      <c r="B4879" s="399" t="s">
        <v>9990</v>
      </c>
      <c r="C4879" s="5" t="s">
        <v>84</v>
      </c>
      <c r="D4879" s="5" t="s">
        <v>10225</v>
      </c>
      <c r="E4879" s="43">
        <v>1000</v>
      </c>
      <c r="F4879" s="43"/>
      <c r="G4879" s="364">
        <f t="shared" si="131"/>
        <v>1259630</v>
      </c>
      <c r="H4879" s="391" t="s">
        <v>9568</v>
      </c>
    </row>
    <row r="4880" spans="1:8" x14ac:dyDescent="0.3">
      <c r="A4880" s="45">
        <v>44896</v>
      </c>
      <c r="B4880" s="399" t="s">
        <v>9990</v>
      </c>
      <c r="C4880" s="5" t="s">
        <v>84</v>
      </c>
      <c r="D4880" s="5" t="s">
        <v>10226</v>
      </c>
      <c r="E4880" s="43">
        <v>1000</v>
      </c>
      <c r="F4880" s="43"/>
      <c r="G4880" s="364">
        <f t="shared" si="131"/>
        <v>1258630</v>
      </c>
      <c r="H4880" s="391" t="s">
        <v>9568</v>
      </c>
    </row>
    <row r="4881" spans="1:8" x14ac:dyDescent="0.3">
      <c r="A4881" s="45">
        <v>44896</v>
      </c>
      <c r="B4881" s="399" t="s">
        <v>118</v>
      </c>
      <c r="C4881" s="5" t="s">
        <v>84</v>
      </c>
      <c r="D4881" s="5" t="s">
        <v>10227</v>
      </c>
      <c r="E4881" s="43">
        <v>5000</v>
      </c>
      <c r="F4881" s="43"/>
      <c r="G4881" s="364">
        <f t="shared" si="131"/>
        <v>1253630</v>
      </c>
      <c r="H4881" s="391" t="s">
        <v>9568</v>
      </c>
    </row>
    <row r="4882" spans="1:8" x14ac:dyDescent="0.3">
      <c r="A4882" s="45">
        <v>44896</v>
      </c>
      <c r="B4882" s="399" t="s">
        <v>9863</v>
      </c>
      <c r="C4882" s="5" t="s">
        <v>84</v>
      </c>
      <c r="D4882" s="5" t="s">
        <v>10228</v>
      </c>
      <c r="E4882" s="43">
        <v>10000</v>
      </c>
      <c r="F4882" s="43"/>
      <c r="G4882" s="364">
        <f t="shared" si="131"/>
        <v>1243630</v>
      </c>
      <c r="H4882" s="391" t="s">
        <v>9568</v>
      </c>
    </row>
    <row r="4883" spans="1:8" x14ac:dyDescent="0.3">
      <c r="A4883" s="45">
        <v>44896</v>
      </c>
      <c r="B4883" s="399" t="s">
        <v>9863</v>
      </c>
      <c r="C4883" s="5" t="s">
        <v>68</v>
      </c>
      <c r="D4883" s="5" t="s">
        <v>10229</v>
      </c>
      <c r="E4883" s="43">
        <v>2000</v>
      </c>
      <c r="F4883" s="43"/>
      <c r="G4883" s="364">
        <f t="shared" si="131"/>
        <v>1241630</v>
      </c>
      <c r="H4883" s="391" t="s">
        <v>9568</v>
      </c>
    </row>
    <row r="4884" spans="1:8" x14ac:dyDescent="0.3">
      <c r="A4884" s="45">
        <v>44896</v>
      </c>
      <c r="B4884" s="399" t="s">
        <v>9863</v>
      </c>
      <c r="C4884" s="5" t="s">
        <v>9044</v>
      </c>
      <c r="D4884" s="5" t="s">
        <v>9872</v>
      </c>
      <c r="E4884" s="43">
        <v>10000</v>
      </c>
      <c r="F4884" s="43"/>
      <c r="G4884" s="364">
        <f t="shared" si="131"/>
        <v>1231630</v>
      </c>
      <c r="H4884" s="391" t="s">
        <v>9568</v>
      </c>
    </row>
    <row r="4885" spans="1:8" x14ac:dyDescent="0.3">
      <c r="A4885" s="45">
        <v>44897</v>
      </c>
      <c r="B4885" s="399" t="s">
        <v>118</v>
      </c>
      <c r="C4885" s="5" t="s">
        <v>9873</v>
      </c>
      <c r="D4885" s="5" t="s">
        <v>9898</v>
      </c>
      <c r="E4885" s="43">
        <v>3343</v>
      </c>
      <c r="F4885" s="43"/>
      <c r="G4885" s="48">
        <f t="shared" si="131"/>
        <v>1228287</v>
      </c>
      <c r="H4885" s="391" t="s">
        <v>9568</v>
      </c>
    </row>
    <row r="4886" spans="1:8" x14ac:dyDescent="0.3">
      <c r="A4886" s="45">
        <v>44897</v>
      </c>
      <c r="B4886" s="399" t="s">
        <v>9860</v>
      </c>
      <c r="C4886" s="5" t="s">
        <v>5793</v>
      </c>
      <c r="D4886" s="5" t="s">
        <v>10233</v>
      </c>
      <c r="E4886" s="43">
        <v>1000</v>
      </c>
      <c r="F4886" s="43"/>
      <c r="G4886" s="48">
        <f t="shared" si="131"/>
        <v>1227287</v>
      </c>
      <c r="H4886" s="391" t="s">
        <v>9568</v>
      </c>
    </row>
    <row r="4887" spans="1:8" x14ac:dyDescent="0.3">
      <c r="A4887" s="45">
        <v>44897</v>
      </c>
      <c r="B4887" s="399" t="s">
        <v>9863</v>
      </c>
      <c r="C4887" s="5" t="s">
        <v>5793</v>
      </c>
      <c r="D4887" s="5" t="s">
        <v>8082</v>
      </c>
      <c r="E4887" s="43">
        <v>1500</v>
      </c>
      <c r="F4887" s="43"/>
      <c r="G4887" s="48">
        <f t="shared" si="131"/>
        <v>1225787</v>
      </c>
      <c r="H4887" s="391" t="s">
        <v>9568</v>
      </c>
    </row>
    <row r="4888" spans="1:8" x14ac:dyDescent="0.3">
      <c r="A4888" s="45">
        <v>44897</v>
      </c>
      <c r="B4888" s="399" t="s">
        <v>10234</v>
      </c>
      <c r="C4888" s="5" t="s">
        <v>1012</v>
      </c>
      <c r="D4888" s="5" t="s">
        <v>10210</v>
      </c>
      <c r="E4888" s="43">
        <v>2000</v>
      </c>
      <c r="F4888" s="43"/>
      <c r="G4888" s="48">
        <f t="shared" si="131"/>
        <v>1223787</v>
      </c>
      <c r="H4888" s="391" t="s">
        <v>9568</v>
      </c>
    </row>
    <row r="4889" spans="1:8" x14ac:dyDescent="0.3">
      <c r="A4889" s="45">
        <v>44897</v>
      </c>
      <c r="B4889" s="399" t="s">
        <v>10615</v>
      </c>
      <c r="C4889" s="5" t="s">
        <v>7099</v>
      </c>
      <c r="D4889" s="5" t="s">
        <v>10086</v>
      </c>
      <c r="E4889" s="43">
        <v>240</v>
      </c>
      <c r="F4889" s="43"/>
      <c r="G4889" s="48">
        <f t="shared" si="131"/>
        <v>1223547</v>
      </c>
      <c r="H4889" s="391" t="s">
        <v>9568</v>
      </c>
    </row>
    <row r="4890" spans="1:8" x14ac:dyDescent="0.3">
      <c r="A4890" s="45">
        <v>44897</v>
      </c>
      <c r="B4890" s="399" t="s">
        <v>10615</v>
      </c>
      <c r="C4890" s="5" t="s">
        <v>7099</v>
      </c>
      <c r="D4890" s="5" t="s">
        <v>10235</v>
      </c>
      <c r="E4890" s="43">
        <v>10000</v>
      </c>
      <c r="F4890" s="43"/>
      <c r="G4890" s="48">
        <f t="shared" si="131"/>
        <v>1213547</v>
      </c>
      <c r="H4890" s="391" t="s">
        <v>9568</v>
      </c>
    </row>
    <row r="4891" spans="1:8" x14ac:dyDescent="0.3">
      <c r="A4891" s="45">
        <v>44897</v>
      </c>
      <c r="B4891" s="399" t="s">
        <v>10112</v>
      </c>
      <c r="C4891" s="5" t="s">
        <v>10161</v>
      </c>
      <c r="D4891" s="5" t="s">
        <v>10236</v>
      </c>
      <c r="E4891" s="43">
        <v>19800</v>
      </c>
      <c r="F4891" s="43"/>
      <c r="G4891" s="48">
        <f t="shared" si="131"/>
        <v>1193747</v>
      </c>
      <c r="H4891" s="391" t="s">
        <v>9568</v>
      </c>
    </row>
    <row r="4892" spans="1:8" x14ac:dyDescent="0.3">
      <c r="A4892" s="45">
        <v>44897</v>
      </c>
      <c r="B4892" s="399"/>
      <c r="C4892" s="5" t="s">
        <v>541</v>
      </c>
      <c r="D4892" s="5" t="s">
        <v>10237</v>
      </c>
      <c r="E4892" s="43">
        <v>380</v>
      </c>
      <c r="F4892" s="43"/>
      <c r="G4892" s="48">
        <f t="shared" si="131"/>
        <v>1193367</v>
      </c>
      <c r="H4892" s="391" t="s">
        <v>9568</v>
      </c>
    </row>
    <row r="4893" spans="1:8" x14ac:dyDescent="0.3">
      <c r="A4893" s="45">
        <v>44897</v>
      </c>
      <c r="B4893" s="409" t="s">
        <v>9863</v>
      </c>
      <c r="C4893" s="61" t="s">
        <v>1512</v>
      </c>
      <c r="D4893" s="61" t="s">
        <v>6245</v>
      </c>
      <c r="E4893" s="62">
        <v>40700</v>
      </c>
      <c r="F4893" s="43"/>
      <c r="G4893" s="48">
        <f t="shared" si="131"/>
        <v>1152667</v>
      </c>
      <c r="H4893" s="391" t="s">
        <v>9568</v>
      </c>
    </row>
    <row r="4894" spans="1:8" x14ac:dyDescent="0.3">
      <c r="A4894" s="45">
        <v>44897</v>
      </c>
      <c r="B4894" s="399" t="s">
        <v>10112</v>
      </c>
      <c r="C4894" s="5" t="s">
        <v>9052</v>
      </c>
      <c r="D4894" s="5" t="s">
        <v>10238</v>
      </c>
      <c r="E4894" s="43">
        <v>135900</v>
      </c>
      <c r="F4894" s="43"/>
      <c r="G4894" s="48">
        <f t="shared" si="131"/>
        <v>1016767</v>
      </c>
      <c r="H4894" s="391" t="s">
        <v>9568</v>
      </c>
    </row>
    <row r="4895" spans="1:8" x14ac:dyDescent="0.3">
      <c r="A4895" s="45">
        <v>44897</v>
      </c>
      <c r="B4895" s="409" t="s">
        <v>9863</v>
      </c>
      <c r="C4895" s="61" t="s">
        <v>1512</v>
      </c>
      <c r="D4895" s="61" t="s">
        <v>6245</v>
      </c>
      <c r="E4895" s="62">
        <v>24710</v>
      </c>
      <c r="F4895" s="43"/>
      <c r="G4895" s="48">
        <f t="shared" si="131"/>
        <v>992057</v>
      </c>
      <c r="H4895" s="391" t="s">
        <v>9568</v>
      </c>
    </row>
    <row r="4896" spans="1:8" x14ac:dyDescent="0.3">
      <c r="A4896" s="45">
        <v>44897</v>
      </c>
      <c r="B4896" s="409" t="s">
        <v>118</v>
      </c>
      <c r="C4896" s="61" t="s">
        <v>1512</v>
      </c>
      <c r="D4896" s="61" t="s">
        <v>6842</v>
      </c>
      <c r="E4896" s="62">
        <f>135733-15000</f>
        <v>120733</v>
      </c>
      <c r="F4896" s="43"/>
      <c r="G4896" s="48">
        <f t="shared" si="131"/>
        <v>871324</v>
      </c>
      <c r="H4896" s="391" t="s">
        <v>9568</v>
      </c>
    </row>
    <row r="4897" spans="1:13" x14ac:dyDescent="0.3">
      <c r="A4897" s="45">
        <v>44897</v>
      </c>
      <c r="B4897" s="399" t="s">
        <v>10112</v>
      </c>
      <c r="C4897" s="5" t="s">
        <v>5793</v>
      </c>
      <c r="D4897" s="5" t="s">
        <v>10240</v>
      </c>
      <c r="E4897" s="43">
        <v>2500</v>
      </c>
      <c r="F4897" s="43"/>
      <c r="G4897" s="48">
        <f t="shared" si="131"/>
        <v>868824</v>
      </c>
      <c r="H4897" s="391" t="s">
        <v>9568</v>
      </c>
    </row>
    <row r="4898" spans="1:13" x14ac:dyDescent="0.3">
      <c r="A4898" s="45">
        <v>44897</v>
      </c>
      <c r="B4898" s="399" t="s">
        <v>118</v>
      </c>
      <c r="C4898" s="5" t="s">
        <v>9873</v>
      </c>
      <c r="D4898" s="5" t="s">
        <v>10239</v>
      </c>
      <c r="E4898" s="43">
        <v>1000</v>
      </c>
      <c r="F4898" s="43"/>
      <c r="G4898" s="48">
        <f t="shared" si="131"/>
        <v>867824</v>
      </c>
      <c r="H4898" s="391" t="s">
        <v>9568</v>
      </c>
    </row>
    <row r="4899" spans="1:13" x14ac:dyDescent="0.3">
      <c r="A4899" s="45">
        <v>44897</v>
      </c>
      <c r="B4899" s="399" t="s">
        <v>9860</v>
      </c>
      <c r="C4899" s="5" t="s">
        <v>10001</v>
      </c>
      <c r="D4899" s="5" t="s">
        <v>5398</v>
      </c>
      <c r="E4899" s="43">
        <v>3000</v>
      </c>
      <c r="F4899" s="43"/>
      <c r="G4899" s="48">
        <f t="shared" si="131"/>
        <v>864824</v>
      </c>
      <c r="H4899" s="391" t="s">
        <v>9568</v>
      </c>
    </row>
    <row r="4900" spans="1:13" x14ac:dyDescent="0.3">
      <c r="A4900" s="45">
        <v>44897</v>
      </c>
      <c r="B4900" s="399" t="s">
        <v>12190</v>
      </c>
      <c r="C4900" s="5" t="s">
        <v>5938</v>
      </c>
      <c r="D4900" s="5" t="s">
        <v>10241</v>
      </c>
      <c r="E4900" s="43">
        <v>40000</v>
      </c>
      <c r="F4900" s="43"/>
      <c r="G4900" s="48">
        <f t="shared" si="131"/>
        <v>824824</v>
      </c>
      <c r="H4900" s="391" t="s">
        <v>9568</v>
      </c>
    </row>
    <row r="4901" spans="1:13" x14ac:dyDescent="0.3">
      <c r="A4901" s="45">
        <v>44898</v>
      </c>
      <c r="B4901" s="399" t="s">
        <v>9863</v>
      </c>
      <c r="C4901" s="5" t="s">
        <v>18</v>
      </c>
      <c r="D4901" s="5" t="s">
        <v>640</v>
      </c>
      <c r="E4901" s="43">
        <v>1000</v>
      </c>
      <c r="F4901" s="43"/>
      <c r="G4901" s="48">
        <f t="shared" si="131"/>
        <v>823824</v>
      </c>
      <c r="H4901" s="391" t="s">
        <v>9568</v>
      </c>
    </row>
    <row r="4902" spans="1:13" x14ac:dyDescent="0.3">
      <c r="A4902" s="45">
        <v>44898</v>
      </c>
      <c r="B4902" s="399" t="s">
        <v>9857</v>
      </c>
      <c r="C4902" s="5" t="s">
        <v>9525</v>
      </c>
      <c r="D4902" s="5" t="s">
        <v>10242</v>
      </c>
      <c r="E4902" s="43">
        <v>1385</v>
      </c>
      <c r="F4902" s="43"/>
      <c r="G4902" s="48">
        <f t="shared" si="131"/>
        <v>822439</v>
      </c>
      <c r="H4902" s="391" t="s">
        <v>9568</v>
      </c>
    </row>
    <row r="4903" spans="1:13" x14ac:dyDescent="0.3">
      <c r="A4903" s="45">
        <v>44898</v>
      </c>
      <c r="B4903" s="399" t="s">
        <v>9857</v>
      </c>
      <c r="C4903" s="5" t="s">
        <v>84</v>
      </c>
      <c r="D4903" s="5" t="s">
        <v>10243</v>
      </c>
      <c r="E4903" s="43">
        <v>3500</v>
      </c>
      <c r="F4903" s="43"/>
      <c r="G4903" s="48">
        <f t="shared" si="131"/>
        <v>818939</v>
      </c>
      <c r="H4903" s="391" t="s">
        <v>9568</v>
      </c>
    </row>
    <row r="4904" spans="1:13" x14ac:dyDescent="0.3">
      <c r="A4904" s="45">
        <v>44898</v>
      </c>
      <c r="B4904" s="399" t="s">
        <v>9857</v>
      </c>
      <c r="C4904" s="5" t="s">
        <v>9525</v>
      </c>
      <c r="D4904" s="5" t="s">
        <v>10244</v>
      </c>
      <c r="E4904" s="43">
        <v>21000</v>
      </c>
      <c r="F4904" s="43"/>
      <c r="G4904" s="48">
        <f t="shared" si="131"/>
        <v>797939</v>
      </c>
      <c r="H4904" s="391" t="s">
        <v>9568</v>
      </c>
      <c r="M4904" s="93"/>
    </row>
    <row r="4905" spans="1:13" x14ac:dyDescent="0.3">
      <c r="A4905" s="45">
        <v>44898</v>
      </c>
      <c r="B4905" s="399" t="s">
        <v>9857</v>
      </c>
      <c r="C4905" s="5" t="s">
        <v>9452</v>
      </c>
      <c r="D4905" s="5" t="s">
        <v>10245</v>
      </c>
      <c r="E4905" s="43">
        <v>7680</v>
      </c>
      <c r="F4905" s="43"/>
      <c r="G4905" s="48">
        <f t="shared" si="131"/>
        <v>790259</v>
      </c>
      <c r="H4905" s="391" t="s">
        <v>9568</v>
      </c>
    </row>
    <row r="4906" spans="1:13" x14ac:dyDescent="0.3">
      <c r="A4906" s="45">
        <v>44898</v>
      </c>
      <c r="B4906" s="399" t="s">
        <v>9857</v>
      </c>
      <c r="C4906" s="5" t="s">
        <v>5793</v>
      </c>
      <c r="D4906" s="5" t="s">
        <v>10246</v>
      </c>
      <c r="E4906" s="43">
        <v>1500</v>
      </c>
      <c r="F4906" s="43"/>
      <c r="G4906" s="48">
        <f t="shared" si="131"/>
        <v>788759</v>
      </c>
      <c r="H4906" s="391" t="s">
        <v>9568</v>
      </c>
    </row>
    <row r="4907" spans="1:13" x14ac:dyDescent="0.3">
      <c r="A4907" s="45">
        <v>44898</v>
      </c>
      <c r="B4907" s="409" t="s">
        <v>5933</v>
      </c>
      <c r="C4907" s="61" t="s">
        <v>1512</v>
      </c>
      <c r="D4907" s="61" t="s">
        <v>8636</v>
      </c>
      <c r="E4907" s="62">
        <v>148354</v>
      </c>
      <c r="F4907" s="43"/>
      <c r="G4907" s="48">
        <f t="shared" si="131"/>
        <v>640405</v>
      </c>
      <c r="H4907" s="391" t="s">
        <v>9568</v>
      </c>
    </row>
    <row r="4908" spans="1:13" x14ac:dyDescent="0.3">
      <c r="A4908" s="45">
        <v>44898</v>
      </c>
      <c r="B4908" s="409" t="s">
        <v>10615</v>
      </c>
      <c r="C4908" s="61" t="s">
        <v>1512</v>
      </c>
      <c r="D4908" s="61" t="s">
        <v>9689</v>
      </c>
      <c r="E4908" s="62">
        <v>111875</v>
      </c>
      <c r="F4908" s="43"/>
      <c r="G4908" s="48">
        <f t="shared" si="131"/>
        <v>528530</v>
      </c>
      <c r="H4908" s="391" t="s">
        <v>9568</v>
      </c>
    </row>
    <row r="4909" spans="1:13" x14ac:dyDescent="0.3">
      <c r="A4909" s="45">
        <v>44898</v>
      </c>
      <c r="B4909" s="399" t="s">
        <v>5933</v>
      </c>
      <c r="C4909" s="5" t="s">
        <v>6931</v>
      </c>
      <c r="D4909" s="5" t="s">
        <v>10247</v>
      </c>
      <c r="E4909" s="43">
        <v>400</v>
      </c>
      <c r="F4909" s="43"/>
      <c r="G4909" s="48">
        <f t="shared" si="131"/>
        <v>528130</v>
      </c>
      <c r="H4909" s="391" t="s">
        <v>9568</v>
      </c>
    </row>
    <row r="4910" spans="1:13" x14ac:dyDescent="0.3">
      <c r="A4910" s="45">
        <v>44898</v>
      </c>
      <c r="B4910" s="399" t="s">
        <v>5933</v>
      </c>
      <c r="C4910" s="5" t="s">
        <v>6931</v>
      </c>
      <c r="D4910" s="5" t="s">
        <v>5915</v>
      </c>
      <c r="E4910" s="43">
        <v>3000</v>
      </c>
      <c r="F4910" s="43"/>
      <c r="G4910" s="48">
        <f t="shared" si="131"/>
        <v>525130</v>
      </c>
      <c r="H4910" s="391" t="s">
        <v>9568</v>
      </c>
    </row>
    <row r="4911" spans="1:13" x14ac:dyDescent="0.3">
      <c r="A4911" s="45">
        <v>44898</v>
      </c>
      <c r="B4911" s="409" t="s">
        <v>10615</v>
      </c>
      <c r="C4911" s="61" t="s">
        <v>1512</v>
      </c>
      <c r="D4911" s="61" t="s">
        <v>8645</v>
      </c>
      <c r="E4911" s="62">
        <v>242283</v>
      </c>
      <c r="F4911" s="43"/>
      <c r="G4911" s="48">
        <f t="shared" si="131"/>
        <v>282847</v>
      </c>
      <c r="H4911" s="391" t="s">
        <v>9568</v>
      </c>
    </row>
    <row r="4912" spans="1:13" x14ac:dyDescent="0.3">
      <c r="A4912" s="45">
        <v>44898</v>
      </c>
      <c r="B4912" s="399" t="s">
        <v>9860</v>
      </c>
      <c r="C4912" s="5" t="s">
        <v>10001</v>
      </c>
      <c r="D4912" s="5" t="s">
        <v>10250</v>
      </c>
      <c r="E4912" s="43">
        <v>13000</v>
      </c>
      <c r="F4912" s="43"/>
      <c r="G4912" s="48">
        <f t="shared" si="131"/>
        <v>269847</v>
      </c>
      <c r="H4912" s="391" t="s">
        <v>9568</v>
      </c>
    </row>
    <row r="4913" spans="1:8" x14ac:dyDescent="0.3">
      <c r="A4913" s="45">
        <v>44900</v>
      </c>
      <c r="B4913" s="399"/>
      <c r="C4913" s="5" t="s">
        <v>14</v>
      </c>
      <c r="D4913" s="5" t="s">
        <v>294</v>
      </c>
      <c r="E4913" s="43">
        <v>2000</v>
      </c>
      <c r="F4913" s="43"/>
      <c r="G4913" s="48">
        <f t="shared" ref="G4913:G4978" si="132">G4912+F4913-E4913</f>
        <v>267847</v>
      </c>
      <c r="H4913" s="391" t="s">
        <v>9568</v>
      </c>
    </row>
    <row r="4914" spans="1:8" x14ac:dyDescent="0.3">
      <c r="A4914" s="45">
        <v>44900</v>
      </c>
      <c r="B4914" s="409" t="s">
        <v>9879</v>
      </c>
      <c r="C4914" s="61" t="s">
        <v>1512</v>
      </c>
      <c r="D4914" s="61" t="s">
        <v>10251</v>
      </c>
      <c r="E4914" s="62">
        <v>61800</v>
      </c>
      <c r="F4914" s="43"/>
      <c r="G4914" s="48">
        <f t="shared" si="132"/>
        <v>206047</v>
      </c>
      <c r="H4914" s="391" t="s">
        <v>9568</v>
      </c>
    </row>
    <row r="4915" spans="1:8" x14ac:dyDescent="0.3">
      <c r="A4915" s="45">
        <v>44900</v>
      </c>
      <c r="B4915" s="409" t="s">
        <v>118</v>
      </c>
      <c r="C4915" s="61" t="s">
        <v>1512</v>
      </c>
      <c r="D4915" s="61" t="s">
        <v>10253</v>
      </c>
      <c r="E4915" s="62">
        <v>35000</v>
      </c>
      <c r="F4915" s="43"/>
      <c r="G4915" s="48">
        <f t="shared" si="132"/>
        <v>171047</v>
      </c>
      <c r="H4915" s="391" t="s">
        <v>9568</v>
      </c>
    </row>
    <row r="4916" spans="1:8" x14ac:dyDescent="0.3">
      <c r="A4916" s="45">
        <v>44900</v>
      </c>
      <c r="B4916" s="399" t="s">
        <v>10016</v>
      </c>
      <c r="C4916" s="5" t="s">
        <v>5518</v>
      </c>
      <c r="D4916" s="5" t="s">
        <v>438</v>
      </c>
      <c r="E4916" s="43">
        <v>5000</v>
      </c>
      <c r="F4916" s="43"/>
      <c r="G4916" s="48">
        <f t="shared" si="132"/>
        <v>166047</v>
      </c>
      <c r="H4916" s="391" t="s">
        <v>9568</v>
      </c>
    </row>
    <row r="4917" spans="1:8" x14ac:dyDescent="0.3">
      <c r="A4917" s="45">
        <v>44900</v>
      </c>
      <c r="B4917" s="399" t="s">
        <v>118</v>
      </c>
      <c r="C4917" s="5" t="s">
        <v>9756</v>
      </c>
      <c r="D4917" s="5" t="s">
        <v>10259</v>
      </c>
      <c r="E4917" s="43">
        <v>16300</v>
      </c>
      <c r="F4917" s="43"/>
      <c r="G4917" s="48">
        <f t="shared" si="132"/>
        <v>149747</v>
      </c>
      <c r="H4917" s="391" t="s">
        <v>9568</v>
      </c>
    </row>
    <row r="4918" spans="1:8" x14ac:dyDescent="0.3">
      <c r="A4918" s="45">
        <v>44900</v>
      </c>
      <c r="B4918" s="399" t="s">
        <v>10112</v>
      </c>
      <c r="C4918" s="5" t="s">
        <v>6430</v>
      </c>
      <c r="D4918" s="5" t="s">
        <v>10252</v>
      </c>
      <c r="E4918" s="43">
        <v>1250</v>
      </c>
      <c r="F4918" s="43"/>
      <c r="G4918" s="48">
        <f t="shared" si="132"/>
        <v>148497</v>
      </c>
      <c r="H4918" s="391" t="s">
        <v>9568</v>
      </c>
    </row>
    <row r="4919" spans="1:8" x14ac:dyDescent="0.3">
      <c r="A4919" s="45">
        <v>44900</v>
      </c>
      <c r="B4919" s="409" t="s">
        <v>9860</v>
      </c>
      <c r="C4919" s="61" t="s">
        <v>1512</v>
      </c>
      <c r="D4919" s="61" t="s">
        <v>10254</v>
      </c>
      <c r="E4919" s="62">
        <v>30125</v>
      </c>
      <c r="F4919" s="43"/>
      <c r="G4919" s="48">
        <f t="shared" si="132"/>
        <v>118372</v>
      </c>
      <c r="H4919" s="391" t="s">
        <v>9568</v>
      </c>
    </row>
    <row r="4920" spans="1:8" x14ac:dyDescent="0.3">
      <c r="A4920" s="45">
        <v>44901</v>
      </c>
      <c r="B4920" s="399" t="s">
        <v>118</v>
      </c>
      <c r="C4920" s="5" t="s">
        <v>9873</v>
      </c>
      <c r="D4920" s="5" t="s">
        <v>9898</v>
      </c>
      <c r="E4920" s="43">
        <v>6345</v>
      </c>
      <c r="F4920" s="43"/>
      <c r="G4920" s="48">
        <f t="shared" si="132"/>
        <v>112027</v>
      </c>
      <c r="H4920" s="391" t="s">
        <v>9568</v>
      </c>
    </row>
    <row r="4921" spans="1:8" x14ac:dyDescent="0.3">
      <c r="A4921" s="45">
        <v>44901</v>
      </c>
      <c r="B4921" s="409" t="s">
        <v>10255</v>
      </c>
      <c r="C4921" s="61" t="s">
        <v>1512</v>
      </c>
      <c r="D4921" s="61" t="s">
        <v>10256</v>
      </c>
      <c r="E4921" s="62">
        <v>28000</v>
      </c>
      <c r="F4921" s="43"/>
      <c r="G4921" s="48">
        <f t="shared" si="132"/>
        <v>84027</v>
      </c>
      <c r="H4921" s="391" t="s">
        <v>9568</v>
      </c>
    </row>
    <row r="4922" spans="1:8" x14ac:dyDescent="0.3">
      <c r="A4922" s="45">
        <v>44901</v>
      </c>
      <c r="B4922" s="399" t="s">
        <v>10234</v>
      </c>
      <c r="C4922" s="5" t="s">
        <v>68</v>
      </c>
      <c r="D4922" s="5" t="s">
        <v>10257</v>
      </c>
      <c r="E4922" s="43">
        <v>5000</v>
      </c>
      <c r="F4922" s="43"/>
      <c r="G4922" s="48">
        <f t="shared" si="132"/>
        <v>79027</v>
      </c>
      <c r="H4922" s="391" t="s">
        <v>9568</v>
      </c>
    </row>
    <row r="4923" spans="1:8" x14ac:dyDescent="0.3">
      <c r="A4923" s="45">
        <v>44901</v>
      </c>
      <c r="B4923" s="399" t="s">
        <v>9857</v>
      </c>
      <c r="C4923" s="5" t="s">
        <v>8573</v>
      </c>
      <c r="D4923" s="5" t="s">
        <v>10258</v>
      </c>
      <c r="E4923" s="43">
        <v>7000</v>
      </c>
      <c r="F4923" s="43"/>
      <c r="G4923" s="48">
        <f t="shared" si="132"/>
        <v>72027</v>
      </c>
      <c r="H4923" s="391" t="s">
        <v>9568</v>
      </c>
    </row>
    <row r="4924" spans="1:8" x14ac:dyDescent="0.3">
      <c r="A4924" s="45">
        <v>44901</v>
      </c>
      <c r="B4924" s="399" t="s">
        <v>9925</v>
      </c>
      <c r="C4924" s="5" t="s">
        <v>8708</v>
      </c>
      <c r="D4924" s="5" t="s">
        <v>2013</v>
      </c>
      <c r="E4924" s="43">
        <v>200</v>
      </c>
      <c r="F4924" s="43"/>
      <c r="G4924" s="48">
        <f t="shared" si="132"/>
        <v>71827</v>
      </c>
      <c r="H4924" s="391" t="s">
        <v>9568</v>
      </c>
    </row>
    <row r="4925" spans="1:8" x14ac:dyDescent="0.3">
      <c r="A4925" s="45">
        <v>44901</v>
      </c>
      <c r="B4925" s="399" t="s">
        <v>118</v>
      </c>
      <c r="C4925" s="5" t="s">
        <v>9044</v>
      </c>
      <c r="D4925" s="5" t="s">
        <v>2013</v>
      </c>
      <c r="E4925" s="43">
        <v>375</v>
      </c>
      <c r="F4925" s="43"/>
      <c r="G4925" s="48">
        <f t="shared" si="132"/>
        <v>71452</v>
      </c>
      <c r="H4925" s="391" t="s">
        <v>9568</v>
      </c>
    </row>
    <row r="4926" spans="1:8" x14ac:dyDescent="0.3">
      <c r="A4926" s="45">
        <v>44901</v>
      </c>
      <c r="B4926" s="399" t="s">
        <v>9857</v>
      </c>
      <c r="C4926" s="5" t="s">
        <v>9947</v>
      </c>
      <c r="D4926" s="5" t="s">
        <v>438</v>
      </c>
      <c r="E4926" s="43">
        <v>30000</v>
      </c>
      <c r="F4926" s="43"/>
      <c r="G4926" s="48">
        <f t="shared" si="132"/>
        <v>41452</v>
      </c>
      <c r="H4926" s="391" t="s">
        <v>9568</v>
      </c>
    </row>
    <row r="4927" spans="1:8" x14ac:dyDescent="0.3">
      <c r="A4927" s="45">
        <v>44901</v>
      </c>
      <c r="B4927" s="399" t="s">
        <v>10112</v>
      </c>
      <c r="C4927" s="5" t="s">
        <v>9947</v>
      </c>
      <c r="D4927" s="5" t="s">
        <v>10148</v>
      </c>
      <c r="E4927" s="43">
        <v>15000</v>
      </c>
      <c r="F4927" s="43"/>
      <c r="G4927" s="48">
        <f t="shared" si="132"/>
        <v>26452</v>
      </c>
      <c r="H4927" s="391" t="s">
        <v>9568</v>
      </c>
    </row>
    <row r="4928" spans="1:8" x14ac:dyDescent="0.3">
      <c r="A4928" s="45">
        <v>44901</v>
      </c>
      <c r="B4928" s="409" t="s">
        <v>9863</v>
      </c>
      <c r="C4928" s="61" t="s">
        <v>1512</v>
      </c>
      <c r="D4928" s="61" t="s">
        <v>10260</v>
      </c>
      <c r="E4928" s="62">
        <v>3430</v>
      </c>
      <c r="F4928" s="43"/>
      <c r="G4928" s="48">
        <f t="shared" si="132"/>
        <v>23022</v>
      </c>
      <c r="H4928" s="391" t="s">
        <v>9568</v>
      </c>
    </row>
    <row r="4929" spans="1:13" x14ac:dyDescent="0.3">
      <c r="A4929" s="45">
        <v>44901</v>
      </c>
      <c r="B4929" s="399" t="s">
        <v>10615</v>
      </c>
      <c r="C4929" s="5" t="s">
        <v>6430</v>
      </c>
      <c r="D4929" s="5" t="s">
        <v>294</v>
      </c>
      <c r="E4929" s="43">
        <v>4500</v>
      </c>
      <c r="F4929" s="43"/>
      <c r="G4929" s="48">
        <f t="shared" si="132"/>
        <v>18522</v>
      </c>
      <c r="H4929" s="391" t="s">
        <v>9568</v>
      </c>
    </row>
    <row r="4930" spans="1:13" x14ac:dyDescent="0.3">
      <c r="A4930" s="45">
        <v>44902</v>
      </c>
      <c r="B4930" s="399"/>
      <c r="C4930" s="5" t="s">
        <v>14</v>
      </c>
      <c r="D4930" s="5" t="s">
        <v>640</v>
      </c>
      <c r="E4930" s="43">
        <v>1000</v>
      </c>
      <c r="F4930" s="43"/>
      <c r="G4930" s="48">
        <f t="shared" si="132"/>
        <v>17522</v>
      </c>
      <c r="H4930" s="391" t="s">
        <v>9568</v>
      </c>
    </row>
    <row r="4931" spans="1:13" x14ac:dyDescent="0.3">
      <c r="A4931" s="45">
        <v>44902</v>
      </c>
      <c r="B4931" s="586"/>
      <c r="C4931" s="486" t="s">
        <v>10272</v>
      </c>
      <c r="D4931" s="486"/>
      <c r="E4931" s="486"/>
      <c r="F4931" s="43">
        <v>230000</v>
      </c>
      <c r="G4931" s="48">
        <f t="shared" si="132"/>
        <v>247522</v>
      </c>
      <c r="H4931" s="391" t="s">
        <v>9568</v>
      </c>
    </row>
    <row r="4932" spans="1:13" x14ac:dyDescent="0.3">
      <c r="A4932" s="45">
        <v>44902</v>
      </c>
      <c r="B4932" s="399" t="s">
        <v>10016</v>
      </c>
      <c r="C4932" s="5" t="s">
        <v>10029</v>
      </c>
      <c r="D4932" s="5" t="s">
        <v>10271</v>
      </c>
      <c r="E4932" s="43">
        <v>62000</v>
      </c>
      <c r="F4932" s="43"/>
      <c r="G4932" s="48">
        <f t="shared" si="132"/>
        <v>185522</v>
      </c>
      <c r="H4932" s="391" t="s">
        <v>9568</v>
      </c>
    </row>
    <row r="4933" spans="1:13" x14ac:dyDescent="0.3">
      <c r="A4933" s="45">
        <v>44902</v>
      </c>
      <c r="B4933" s="399"/>
      <c r="C4933" s="5" t="s">
        <v>14</v>
      </c>
      <c r="D4933" s="5" t="s">
        <v>294</v>
      </c>
      <c r="E4933" s="43">
        <v>20000</v>
      </c>
      <c r="F4933" s="43"/>
      <c r="G4933" s="48">
        <f t="shared" si="132"/>
        <v>165522</v>
      </c>
      <c r="H4933" s="391" t="s">
        <v>9568</v>
      </c>
    </row>
    <row r="4934" spans="1:13" x14ac:dyDescent="0.3">
      <c r="A4934" s="45">
        <v>44902</v>
      </c>
      <c r="B4934" s="399" t="s">
        <v>10234</v>
      </c>
      <c r="C4934" s="5" t="s">
        <v>68</v>
      </c>
      <c r="D4934" s="5" t="s">
        <v>7660</v>
      </c>
      <c r="E4934" s="43">
        <v>2000</v>
      </c>
      <c r="F4934" s="43"/>
      <c r="G4934" s="48">
        <f t="shared" si="132"/>
        <v>163522</v>
      </c>
      <c r="H4934" s="391" t="s">
        <v>9568</v>
      </c>
    </row>
    <row r="4935" spans="1:13" x14ac:dyDescent="0.3">
      <c r="A4935" s="45">
        <v>44902</v>
      </c>
      <c r="B4935" s="399" t="s">
        <v>9863</v>
      </c>
      <c r="C4935" s="5" t="s">
        <v>8573</v>
      </c>
      <c r="D4935" s="5" t="s">
        <v>10273</v>
      </c>
      <c r="E4935" s="43">
        <v>7000</v>
      </c>
      <c r="F4935" s="43"/>
      <c r="G4935" s="48">
        <f t="shared" si="132"/>
        <v>156522</v>
      </c>
      <c r="H4935" s="391" t="s">
        <v>9568</v>
      </c>
    </row>
    <row r="4936" spans="1:13" x14ac:dyDescent="0.3">
      <c r="A4936" s="45">
        <v>44902</v>
      </c>
      <c r="B4936" s="399" t="s">
        <v>118</v>
      </c>
      <c r="C4936" s="5" t="s">
        <v>3724</v>
      </c>
      <c r="D4936" s="5" t="s">
        <v>40</v>
      </c>
      <c r="E4936" s="43">
        <v>4950</v>
      </c>
      <c r="F4936" s="43"/>
      <c r="G4936" s="48">
        <f t="shared" si="132"/>
        <v>151572</v>
      </c>
      <c r="H4936" s="391" t="s">
        <v>9568</v>
      </c>
    </row>
    <row r="4937" spans="1:13" x14ac:dyDescent="0.3">
      <c r="A4937" s="45">
        <v>44902</v>
      </c>
      <c r="B4937" s="586"/>
      <c r="C4937" s="486" t="s">
        <v>10274</v>
      </c>
      <c r="D4937" s="486"/>
      <c r="E4937" s="486"/>
      <c r="F4937" s="43">
        <v>200000</v>
      </c>
      <c r="G4937" s="48">
        <f t="shared" si="132"/>
        <v>351572</v>
      </c>
      <c r="H4937" s="391" t="s">
        <v>9568</v>
      </c>
    </row>
    <row r="4938" spans="1:13" x14ac:dyDescent="0.3">
      <c r="A4938" s="45">
        <v>44902</v>
      </c>
      <c r="B4938" s="399" t="s">
        <v>9860</v>
      </c>
      <c r="C4938" s="5" t="s">
        <v>10001</v>
      </c>
      <c r="D4938" s="5" t="s">
        <v>3557</v>
      </c>
      <c r="E4938" s="43">
        <v>5000</v>
      </c>
      <c r="F4938" s="43"/>
      <c r="G4938" s="48">
        <f t="shared" si="132"/>
        <v>346572</v>
      </c>
      <c r="H4938" s="391" t="s">
        <v>9568</v>
      </c>
    </row>
    <row r="4939" spans="1:13" x14ac:dyDescent="0.3">
      <c r="A4939" s="45">
        <v>44902</v>
      </c>
      <c r="B4939" s="409" t="s">
        <v>9860</v>
      </c>
      <c r="C4939" s="61" t="s">
        <v>1512</v>
      </c>
      <c r="D4939" s="61" t="s">
        <v>10275</v>
      </c>
      <c r="E4939" s="62">
        <v>34000</v>
      </c>
      <c r="F4939" s="43"/>
      <c r="G4939" s="48">
        <f t="shared" si="132"/>
        <v>312572</v>
      </c>
      <c r="H4939" s="391" t="s">
        <v>9568</v>
      </c>
      <c r="M4939" s="469"/>
    </row>
    <row r="4940" spans="1:13" x14ac:dyDescent="0.3">
      <c r="A4940" s="45">
        <v>44902</v>
      </c>
      <c r="B4940" s="409" t="s">
        <v>9860</v>
      </c>
      <c r="C4940" s="61" t="s">
        <v>1512</v>
      </c>
      <c r="D4940" s="61" t="s">
        <v>10276</v>
      </c>
      <c r="E4940" s="62">
        <v>3250</v>
      </c>
      <c r="F4940" s="43"/>
      <c r="G4940" s="48">
        <f t="shared" si="132"/>
        <v>309322</v>
      </c>
      <c r="H4940" s="391" t="s">
        <v>9568</v>
      </c>
      <c r="M4940" s="469"/>
    </row>
    <row r="4941" spans="1:13" x14ac:dyDescent="0.3">
      <c r="A4941" s="45">
        <v>44902</v>
      </c>
      <c r="B4941" s="399" t="s">
        <v>10112</v>
      </c>
      <c r="C4941" s="5" t="s">
        <v>9947</v>
      </c>
      <c r="D4941" s="5" t="s">
        <v>10148</v>
      </c>
      <c r="E4941" s="43">
        <v>17000</v>
      </c>
      <c r="F4941" s="43"/>
      <c r="G4941" s="48">
        <f t="shared" si="132"/>
        <v>292322</v>
      </c>
      <c r="H4941" s="391" t="s">
        <v>9568</v>
      </c>
      <c r="M4941" s="469"/>
    </row>
    <row r="4942" spans="1:13" x14ac:dyDescent="0.3">
      <c r="A4942" s="45">
        <v>44902</v>
      </c>
      <c r="B4942" s="399" t="s">
        <v>118</v>
      </c>
      <c r="C4942" s="5" t="s">
        <v>64</v>
      </c>
      <c r="D4942" s="5" t="s">
        <v>40</v>
      </c>
      <c r="E4942" s="43">
        <v>1000</v>
      </c>
      <c r="F4942" s="43"/>
      <c r="G4942" s="48">
        <f t="shared" si="132"/>
        <v>291322</v>
      </c>
      <c r="H4942" s="391" t="s">
        <v>9568</v>
      </c>
      <c r="M4942" s="469"/>
    </row>
    <row r="4943" spans="1:13" x14ac:dyDescent="0.3">
      <c r="A4943" s="45">
        <v>44902</v>
      </c>
      <c r="B4943" s="399" t="s">
        <v>10277</v>
      </c>
      <c r="C4943" s="5" t="s">
        <v>5518</v>
      </c>
      <c r="D4943" s="5" t="s">
        <v>10278</v>
      </c>
      <c r="E4943" s="43">
        <v>4000</v>
      </c>
      <c r="F4943" s="43"/>
      <c r="G4943" s="48">
        <f t="shared" si="132"/>
        <v>287322</v>
      </c>
      <c r="H4943" s="391" t="s">
        <v>9568</v>
      </c>
      <c r="M4943" s="470"/>
    </row>
    <row r="4944" spans="1:13" x14ac:dyDescent="0.3">
      <c r="A4944" s="45">
        <v>44902</v>
      </c>
      <c r="B4944" s="409" t="s">
        <v>9925</v>
      </c>
      <c r="C4944" s="61" t="s">
        <v>1512</v>
      </c>
      <c r="D4944" s="61" t="s">
        <v>9175</v>
      </c>
      <c r="E4944" s="62">
        <v>99125</v>
      </c>
      <c r="F4944" s="43"/>
      <c r="G4944" s="48">
        <f t="shared" si="132"/>
        <v>188197</v>
      </c>
      <c r="H4944" s="391" t="s">
        <v>9568</v>
      </c>
    </row>
    <row r="4945" spans="1:13" x14ac:dyDescent="0.3">
      <c r="A4945" s="45">
        <v>44902</v>
      </c>
      <c r="B4945" s="399"/>
      <c r="C4945" s="5" t="s">
        <v>14</v>
      </c>
      <c r="D4945" s="5" t="s">
        <v>294</v>
      </c>
      <c r="E4945" s="43">
        <v>15000</v>
      </c>
      <c r="F4945" s="43"/>
      <c r="G4945" s="48">
        <f t="shared" si="132"/>
        <v>173197</v>
      </c>
      <c r="H4945" s="391" t="s">
        <v>9568</v>
      </c>
    </row>
    <row r="4946" spans="1:13" x14ac:dyDescent="0.3">
      <c r="A4946" s="45">
        <v>44902</v>
      </c>
      <c r="B4946" s="409" t="s">
        <v>9925</v>
      </c>
      <c r="C4946" s="61" t="s">
        <v>1512</v>
      </c>
      <c r="D4946" s="61" t="s">
        <v>8646</v>
      </c>
      <c r="E4946" s="62">
        <v>119663</v>
      </c>
      <c r="F4946" s="43"/>
      <c r="G4946" s="48">
        <f t="shared" si="132"/>
        <v>53534</v>
      </c>
      <c r="H4946" s="391" t="s">
        <v>9568</v>
      </c>
      <c r="M4946" s="93"/>
    </row>
    <row r="4947" spans="1:13" x14ac:dyDescent="0.3">
      <c r="A4947" s="45">
        <v>44902</v>
      </c>
      <c r="B4947" s="399" t="s">
        <v>118</v>
      </c>
      <c r="C4947" s="5" t="s">
        <v>14</v>
      </c>
      <c r="D4947" s="5" t="s">
        <v>10279</v>
      </c>
      <c r="E4947" s="43">
        <v>9500</v>
      </c>
      <c r="F4947" s="43"/>
      <c r="G4947" s="48">
        <f t="shared" si="132"/>
        <v>44034</v>
      </c>
      <c r="H4947" s="391" t="s">
        <v>9568</v>
      </c>
    </row>
    <row r="4948" spans="1:13" x14ac:dyDescent="0.3">
      <c r="A4948" s="45">
        <v>44902</v>
      </c>
      <c r="B4948" s="399" t="s">
        <v>9860</v>
      </c>
      <c r="C4948" s="5" t="s">
        <v>9044</v>
      </c>
      <c r="D4948" s="5" t="s">
        <v>10280</v>
      </c>
      <c r="E4948" s="43">
        <v>10000</v>
      </c>
      <c r="F4948" s="43"/>
      <c r="G4948" s="48">
        <f t="shared" si="132"/>
        <v>34034</v>
      </c>
      <c r="H4948" s="391" t="s">
        <v>9568</v>
      </c>
      <c r="M4948" s="93">
        <f>J5371-K5371</f>
        <v>0</v>
      </c>
    </row>
    <row r="4949" spans="1:13" x14ac:dyDescent="0.3">
      <c r="A4949" s="45">
        <v>44903</v>
      </c>
      <c r="B4949" s="399"/>
      <c r="C4949" s="5" t="s">
        <v>14</v>
      </c>
      <c r="D4949" s="5" t="s">
        <v>294</v>
      </c>
      <c r="E4949" s="43">
        <v>25000</v>
      </c>
      <c r="F4949" s="43"/>
      <c r="G4949" s="48">
        <f t="shared" si="132"/>
        <v>9034</v>
      </c>
      <c r="H4949" s="391" t="s">
        <v>9568</v>
      </c>
    </row>
    <row r="4950" spans="1:13" x14ac:dyDescent="0.3">
      <c r="A4950" s="45">
        <v>44903</v>
      </c>
      <c r="B4950" s="399" t="s">
        <v>10112</v>
      </c>
      <c r="C4950" s="5" t="s">
        <v>5793</v>
      </c>
      <c r="D4950" s="5" t="s">
        <v>10281</v>
      </c>
      <c r="E4950" s="43">
        <v>1500</v>
      </c>
      <c r="F4950" s="43"/>
      <c r="G4950" s="48">
        <f t="shared" si="132"/>
        <v>7534</v>
      </c>
      <c r="H4950" s="391" t="s">
        <v>9568</v>
      </c>
    </row>
    <row r="4951" spans="1:13" x14ac:dyDescent="0.3">
      <c r="A4951" s="45">
        <v>44903</v>
      </c>
      <c r="B4951" s="399"/>
      <c r="C4951" s="5" t="s">
        <v>5793</v>
      </c>
      <c r="D4951" s="5" t="s">
        <v>10282</v>
      </c>
      <c r="E4951" s="43">
        <v>1100</v>
      </c>
      <c r="F4951" s="43"/>
      <c r="G4951" s="48">
        <f t="shared" si="132"/>
        <v>6434</v>
      </c>
      <c r="H4951" s="391" t="s">
        <v>9568</v>
      </c>
    </row>
    <row r="4952" spans="1:13" x14ac:dyDescent="0.3">
      <c r="A4952" s="45">
        <v>44903</v>
      </c>
      <c r="B4952" s="586"/>
      <c r="C4952" s="486" t="s">
        <v>4106</v>
      </c>
      <c r="D4952" s="486"/>
      <c r="E4952" s="486"/>
      <c r="F4952" s="43">
        <v>100000</v>
      </c>
      <c r="G4952" s="48">
        <f t="shared" ref="G4952:G4953" si="133">G4951+F4952-E4952</f>
        <v>106434</v>
      </c>
      <c r="H4952" s="391" t="s">
        <v>9568</v>
      </c>
    </row>
    <row r="4953" spans="1:13" x14ac:dyDescent="0.3">
      <c r="A4953" s="45">
        <v>44903</v>
      </c>
      <c r="B4953" s="409" t="s">
        <v>9925</v>
      </c>
      <c r="C4953" s="61" t="s">
        <v>1512</v>
      </c>
      <c r="D4953" s="61" t="s">
        <v>10283</v>
      </c>
      <c r="E4953" s="62">
        <v>13550</v>
      </c>
      <c r="F4953" s="43"/>
      <c r="G4953" s="48">
        <f t="shared" si="133"/>
        <v>92884</v>
      </c>
      <c r="H4953" s="391" t="s">
        <v>9568</v>
      </c>
    </row>
    <row r="4954" spans="1:13" x14ac:dyDescent="0.3">
      <c r="A4954" s="45">
        <v>44903</v>
      </c>
      <c r="B4954" s="409" t="s">
        <v>9857</v>
      </c>
      <c r="C4954" s="61" t="s">
        <v>1512</v>
      </c>
      <c r="D4954" s="61" t="s">
        <v>9703</v>
      </c>
      <c r="E4954" s="62">
        <v>65000</v>
      </c>
      <c r="F4954" s="43"/>
      <c r="G4954" s="48">
        <f t="shared" si="132"/>
        <v>27884</v>
      </c>
      <c r="H4954" s="391" t="s">
        <v>9568</v>
      </c>
    </row>
    <row r="4955" spans="1:13" x14ac:dyDescent="0.3">
      <c r="A4955" s="45">
        <v>44903</v>
      </c>
      <c r="B4955" s="399" t="s">
        <v>118</v>
      </c>
      <c r="C4955" s="5" t="s">
        <v>1074</v>
      </c>
      <c r="D4955" s="5" t="s">
        <v>6234</v>
      </c>
      <c r="E4955" s="43">
        <v>270</v>
      </c>
      <c r="F4955" s="43"/>
      <c r="G4955" s="48">
        <f t="shared" si="132"/>
        <v>27614</v>
      </c>
      <c r="H4955" s="391" t="s">
        <v>9568</v>
      </c>
    </row>
    <row r="4956" spans="1:13" x14ac:dyDescent="0.3">
      <c r="A4956" s="45">
        <v>44903</v>
      </c>
      <c r="B4956" s="399" t="s">
        <v>12190</v>
      </c>
      <c r="C4956" s="5" t="s">
        <v>1074</v>
      </c>
      <c r="D4956" s="5" t="s">
        <v>6234</v>
      </c>
      <c r="E4956" s="43">
        <v>600</v>
      </c>
      <c r="F4956" s="43"/>
      <c r="G4956" s="48">
        <f t="shared" si="132"/>
        <v>27014</v>
      </c>
      <c r="H4956" s="391" t="s">
        <v>9568</v>
      </c>
    </row>
    <row r="4957" spans="1:13" x14ac:dyDescent="0.3">
      <c r="A4957" s="45">
        <v>44903</v>
      </c>
      <c r="B4957" s="399"/>
      <c r="C4957" s="5" t="s">
        <v>14</v>
      </c>
      <c r="D4957" s="5" t="s">
        <v>10293</v>
      </c>
      <c r="E4957" s="43">
        <v>8247</v>
      </c>
      <c r="F4957" s="43"/>
      <c r="G4957" s="48">
        <f t="shared" si="132"/>
        <v>18767</v>
      </c>
      <c r="H4957" s="391" t="s">
        <v>9568</v>
      </c>
    </row>
    <row r="4958" spans="1:13" x14ac:dyDescent="0.3">
      <c r="A4958" s="45">
        <v>44903</v>
      </c>
      <c r="B4958" s="399" t="s">
        <v>9925</v>
      </c>
      <c r="C4958" s="5" t="s">
        <v>10169</v>
      </c>
      <c r="D4958" s="5" t="s">
        <v>3172</v>
      </c>
      <c r="E4958" s="43">
        <v>3000</v>
      </c>
      <c r="F4958" s="43"/>
      <c r="G4958" s="48">
        <f t="shared" si="132"/>
        <v>15767</v>
      </c>
      <c r="H4958" s="391" t="s">
        <v>9568</v>
      </c>
    </row>
    <row r="4959" spans="1:13" x14ac:dyDescent="0.3">
      <c r="A4959" s="45">
        <v>44903</v>
      </c>
      <c r="B4959" s="399" t="s">
        <v>118</v>
      </c>
      <c r="C4959" s="5" t="s">
        <v>9873</v>
      </c>
      <c r="D4959" s="5" t="s">
        <v>9898</v>
      </c>
      <c r="E4959" s="43">
        <v>4906</v>
      </c>
      <c r="F4959" s="43"/>
      <c r="G4959" s="48">
        <f t="shared" si="132"/>
        <v>10861</v>
      </c>
      <c r="H4959" s="391" t="s">
        <v>9568</v>
      </c>
    </row>
    <row r="4960" spans="1:13" x14ac:dyDescent="0.3">
      <c r="A4960" s="45">
        <v>44904</v>
      </c>
      <c r="B4960" s="399" t="s">
        <v>9878</v>
      </c>
      <c r="C4960" s="5" t="s">
        <v>10224</v>
      </c>
      <c r="D4960" s="5" t="s">
        <v>10286</v>
      </c>
      <c r="E4960" s="43">
        <v>4000</v>
      </c>
      <c r="F4960" s="43"/>
      <c r="G4960" s="48">
        <f t="shared" si="132"/>
        <v>6861</v>
      </c>
      <c r="H4960" s="391" t="s">
        <v>9568</v>
      </c>
    </row>
    <row r="4961" spans="1:8" x14ac:dyDescent="0.3">
      <c r="A4961" s="45">
        <v>44907</v>
      </c>
      <c r="B4961" s="586"/>
      <c r="C4961" s="486" t="s">
        <v>10098</v>
      </c>
      <c r="D4961" s="486"/>
      <c r="E4961" s="486"/>
      <c r="F4961" s="43">
        <v>400000</v>
      </c>
      <c r="G4961" s="48">
        <f t="shared" si="132"/>
        <v>406861</v>
      </c>
      <c r="H4961" s="391" t="s">
        <v>9568</v>
      </c>
    </row>
    <row r="4962" spans="1:8" x14ac:dyDescent="0.3">
      <c r="A4962" s="45">
        <v>44907</v>
      </c>
      <c r="B4962" s="399"/>
      <c r="C4962" s="5" t="s">
        <v>9525</v>
      </c>
      <c r="D4962" s="5" t="s">
        <v>6932</v>
      </c>
      <c r="E4962" s="43">
        <v>1970</v>
      </c>
      <c r="F4962" s="43"/>
      <c r="G4962" s="48">
        <f t="shared" si="132"/>
        <v>404891</v>
      </c>
      <c r="H4962" s="391" t="s">
        <v>9568</v>
      </c>
    </row>
    <row r="4963" spans="1:8" x14ac:dyDescent="0.3">
      <c r="A4963" s="45">
        <v>44907</v>
      </c>
      <c r="B4963" s="399" t="s">
        <v>9990</v>
      </c>
      <c r="C4963" s="5" t="s">
        <v>4550</v>
      </c>
      <c r="D4963" s="5" t="s">
        <v>294</v>
      </c>
      <c r="E4963" s="43">
        <v>10000</v>
      </c>
      <c r="F4963" s="43"/>
      <c r="G4963" s="48">
        <f t="shared" si="132"/>
        <v>394891</v>
      </c>
      <c r="H4963" s="391" t="s">
        <v>9568</v>
      </c>
    </row>
    <row r="4964" spans="1:8" x14ac:dyDescent="0.3">
      <c r="A4964" s="45">
        <v>44907</v>
      </c>
      <c r="B4964" s="399" t="s">
        <v>9879</v>
      </c>
      <c r="C4964" s="5" t="s">
        <v>14</v>
      </c>
      <c r="D4964" s="5" t="s">
        <v>10148</v>
      </c>
      <c r="E4964" s="43">
        <v>30000</v>
      </c>
      <c r="F4964" s="43"/>
      <c r="G4964" s="48">
        <f t="shared" si="132"/>
        <v>364891</v>
      </c>
      <c r="H4964" s="391" t="s">
        <v>9568</v>
      </c>
    </row>
    <row r="4965" spans="1:8" x14ac:dyDescent="0.3">
      <c r="A4965" s="45">
        <v>44907</v>
      </c>
      <c r="B4965" s="409" t="s">
        <v>118</v>
      </c>
      <c r="C4965" s="61" t="s">
        <v>1512</v>
      </c>
      <c r="D4965" s="61" t="s">
        <v>10292</v>
      </c>
      <c r="E4965" s="62">
        <v>17000</v>
      </c>
      <c r="F4965" s="43"/>
      <c r="G4965" s="48">
        <f t="shared" si="132"/>
        <v>347891</v>
      </c>
      <c r="H4965" s="391" t="s">
        <v>9568</v>
      </c>
    </row>
    <row r="4966" spans="1:8" x14ac:dyDescent="0.3">
      <c r="A4966" s="45">
        <v>44907</v>
      </c>
      <c r="B4966" s="399"/>
      <c r="C4966" s="5" t="s">
        <v>84</v>
      </c>
      <c r="D4966" s="5" t="s">
        <v>10294</v>
      </c>
      <c r="E4966" s="43">
        <v>4000</v>
      </c>
      <c r="F4966" s="43"/>
      <c r="G4966" s="48">
        <f t="shared" si="132"/>
        <v>343891</v>
      </c>
      <c r="H4966" s="391" t="s">
        <v>9568</v>
      </c>
    </row>
    <row r="4967" spans="1:8" x14ac:dyDescent="0.3">
      <c r="A4967" s="45">
        <v>44907</v>
      </c>
      <c r="B4967" s="399" t="s">
        <v>9925</v>
      </c>
      <c r="C4967" s="5" t="s">
        <v>10295</v>
      </c>
      <c r="D4967" s="5" t="s">
        <v>10296</v>
      </c>
      <c r="E4967" s="43">
        <v>21600</v>
      </c>
      <c r="F4967" s="43"/>
      <c r="G4967" s="48">
        <f t="shared" si="132"/>
        <v>322291</v>
      </c>
      <c r="H4967" s="391" t="s">
        <v>9568</v>
      </c>
    </row>
    <row r="4968" spans="1:8" x14ac:dyDescent="0.3">
      <c r="A4968" s="45">
        <v>44907</v>
      </c>
      <c r="B4968" s="399" t="s">
        <v>9863</v>
      </c>
      <c r="C4968" s="5" t="s">
        <v>9044</v>
      </c>
      <c r="D4968" s="5" t="s">
        <v>10297</v>
      </c>
      <c r="E4968" s="43">
        <v>15000</v>
      </c>
      <c r="F4968" s="43"/>
      <c r="G4968" s="48">
        <f t="shared" si="132"/>
        <v>307291</v>
      </c>
      <c r="H4968" s="391" t="s">
        <v>9568</v>
      </c>
    </row>
    <row r="4969" spans="1:8" x14ac:dyDescent="0.3">
      <c r="A4969" s="45">
        <v>44907</v>
      </c>
      <c r="B4969" s="399"/>
      <c r="C4969" s="5" t="s">
        <v>9044</v>
      </c>
      <c r="D4969" s="5" t="s">
        <v>10298</v>
      </c>
      <c r="E4969" s="43">
        <v>1000</v>
      </c>
      <c r="F4969" s="43"/>
      <c r="G4969" s="48">
        <f t="shared" si="132"/>
        <v>306291</v>
      </c>
      <c r="H4969" s="391" t="s">
        <v>9568</v>
      </c>
    </row>
    <row r="4970" spans="1:8" x14ac:dyDescent="0.3">
      <c r="A4970" s="45">
        <v>44907</v>
      </c>
      <c r="B4970" s="399" t="s">
        <v>5933</v>
      </c>
      <c r="C4970" s="5" t="s">
        <v>84</v>
      </c>
      <c r="D4970" s="5" t="s">
        <v>10299</v>
      </c>
      <c r="E4970" s="43">
        <v>15000</v>
      </c>
      <c r="F4970" s="43"/>
      <c r="G4970" s="48">
        <f t="shared" si="132"/>
        <v>291291</v>
      </c>
      <c r="H4970" s="391" t="s">
        <v>9568</v>
      </c>
    </row>
    <row r="4971" spans="1:8" x14ac:dyDescent="0.3">
      <c r="A4971" s="45">
        <v>44907</v>
      </c>
      <c r="B4971" s="399" t="s">
        <v>118</v>
      </c>
      <c r="C4971" s="5" t="s">
        <v>9873</v>
      </c>
      <c r="D4971" s="5" t="s">
        <v>9898</v>
      </c>
      <c r="E4971" s="43">
        <v>5950</v>
      </c>
      <c r="F4971" s="43"/>
      <c r="G4971" s="48">
        <f t="shared" si="132"/>
        <v>285341</v>
      </c>
      <c r="H4971" s="391" t="s">
        <v>9568</v>
      </c>
    </row>
    <row r="4972" spans="1:8" x14ac:dyDescent="0.3">
      <c r="A4972" s="45">
        <v>44908</v>
      </c>
      <c r="B4972" s="399" t="s">
        <v>9860</v>
      </c>
      <c r="C4972" s="5" t="s">
        <v>68</v>
      </c>
      <c r="D4972" s="5" t="s">
        <v>294</v>
      </c>
      <c r="E4972" s="43">
        <v>5000</v>
      </c>
      <c r="F4972" s="43"/>
      <c r="G4972" s="48">
        <f t="shared" si="132"/>
        <v>280341</v>
      </c>
      <c r="H4972" s="391" t="s">
        <v>9568</v>
      </c>
    </row>
    <row r="4973" spans="1:8" x14ac:dyDescent="0.3">
      <c r="A4973" s="45">
        <v>44908</v>
      </c>
      <c r="B4973" s="399" t="s">
        <v>10112</v>
      </c>
      <c r="C4973" s="5" t="s">
        <v>9756</v>
      </c>
      <c r="D4973" s="5" t="s">
        <v>10300</v>
      </c>
      <c r="E4973" s="43">
        <v>13000</v>
      </c>
      <c r="F4973" s="43"/>
      <c r="G4973" s="48">
        <f t="shared" si="132"/>
        <v>267341</v>
      </c>
      <c r="H4973" s="391" t="s">
        <v>9568</v>
      </c>
    </row>
    <row r="4974" spans="1:8" x14ac:dyDescent="0.3">
      <c r="A4974" s="45">
        <v>44908</v>
      </c>
      <c r="B4974" s="472"/>
      <c r="C4974" s="471" t="s">
        <v>16</v>
      </c>
      <c r="D4974" s="471" t="s">
        <v>10301</v>
      </c>
      <c r="E4974" s="473">
        <v>254000</v>
      </c>
      <c r="F4974" s="43"/>
      <c r="G4974" s="48">
        <f t="shared" si="132"/>
        <v>13341</v>
      </c>
      <c r="H4974" s="391" t="s">
        <v>9568</v>
      </c>
    </row>
    <row r="4975" spans="1:8" x14ac:dyDescent="0.3">
      <c r="A4975" s="45">
        <v>44908</v>
      </c>
      <c r="B4975" s="399" t="s">
        <v>9925</v>
      </c>
      <c r="C4975" s="5" t="s">
        <v>10302</v>
      </c>
      <c r="D4975" s="5" t="s">
        <v>10303</v>
      </c>
      <c r="E4975" s="43">
        <v>8000</v>
      </c>
      <c r="F4975" s="43"/>
      <c r="G4975" s="48">
        <f t="shared" si="132"/>
        <v>5341</v>
      </c>
      <c r="H4975" s="391" t="s">
        <v>9568</v>
      </c>
    </row>
    <row r="4976" spans="1:8" x14ac:dyDescent="0.3">
      <c r="A4976" s="45">
        <v>44909</v>
      </c>
      <c r="B4976" s="399" t="s">
        <v>118</v>
      </c>
      <c r="C4976" s="5" t="s">
        <v>9873</v>
      </c>
      <c r="D4976" s="5" t="s">
        <v>9898</v>
      </c>
      <c r="E4976" s="43">
        <v>4271</v>
      </c>
      <c r="F4976" s="43"/>
      <c r="G4976" s="48">
        <f t="shared" si="132"/>
        <v>1070</v>
      </c>
      <c r="H4976" s="391" t="s">
        <v>9568</v>
      </c>
    </row>
    <row r="4977" spans="1:8" x14ac:dyDescent="0.3">
      <c r="A4977" s="45">
        <v>44909</v>
      </c>
      <c r="B4977" s="586"/>
      <c r="C4977" s="486" t="s">
        <v>10308</v>
      </c>
      <c r="D4977" s="486"/>
      <c r="E4977" s="486"/>
      <c r="F4977" s="43">
        <v>158000</v>
      </c>
      <c r="G4977" s="48">
        <f t="shared" si="132"/>
        <v>159070</v>
      </c>
      <c r="H4977" s="391" t="s">
        <v>9568</v>
      </c>
    </row>
    <row r="4978" spans="1:8" x14ac:dyDescent="0.3">
      <c r="A4978" s="45">
        <v>44909</v>
      </c>
      <c r="B4978" s="399" t="s">
        <v>9857</v>
      </c>
      <c r="C4978" s="5" t="s">
        <v>14</v>
      </c>
      <c r="D4978" s="5" t="s">
        <v>294</v>
      </c>
      <c r="E4978" s="43">
        <v>58000</v>
      </c>
      <c r="F4978" s="43"/>
      <c r="G4978" s="48">
        <f t="shared" si="132"/>
        <v>101070</v>
      </c>
      <c r="H4978" s="391" t="s">
        <v>9568</v>
      </c>
    </row>
    <row r="4979" spans="1:8" x14ac:dyDescent="0.3">
      <c r="A4979" s="45">
        <v>44909</v>
      </c>
      <c r="B4979" s="399" t="s">
        <v>9857</v>
      </c>
      <c r="C4979" s="5" t="s">
        <v>9525</v>
      </c>
      <c r="D4979" s="5" t="s">
        <v>10219</v>
      </c>
      <c r="E4979" s="43">
        <v>2000</v>
      </c>
      <c r="F4979" s="43"/>
      <c r="G4979" s="48">
        <f t="shared" ref="G4979:G5044" si="134">G4978+F4979-E4979</f>
        <v>99070</v>
      </c>
      <c r="H4979" s="391" t="s">
        <v>9568</v>
      </c>
    </row>
    <row r="4980" spans="1:8" x14ac:dyDescent="0.3">
      <c r="A4980" s="45">
        <v>44909</v>
      </c>
      <c r="B4980" s="399" t="s">
        <v>9857</v>
      </c>
      <c r="C4980" s="5" t="s">
        <v>10001</v>
      </c>
      <c r="D4980" s="5" t="s">
        <v>10219</v>
      </c>
      <c r="E4980" s="43">
        <v>5000</v>
      </c>
      <c r="F4980" s="43"/>
      <c r="G4980" s="48">
        <f t="shared" si="134"/>
        <v>94070</v>
      </c>
      <c r="H4980" s="391" t="s">
        <v>9568</v>
      </c>
    </row>
    <row r="4981" spans="1:8" x14ac:dyDescent="0.3">
      <c r="A4981" s="45">
        <v>44910</v>
      </c>
      <c r="B4981" s="399" t="s">
        <v>10112</v>
      </c>
      <c r="C4981" s="5" t="s">
        <v>10309</v>
      </c>
      <c r="D4981" s="5" t="s">
        <v>10310</v>
      </c>
      <c r="E4981" s="65">
        <v>19000</v>
      </c>
      <c r="F4981" s="65"/>
      <c r="G4981" s="48">
        <f t="shared" si="134"/>
        <v>75070</v>
      </c>
      <c r="H4981" s="391" t="s">
        <v>9568</v>
      </c>
    </row>
    <row r="4982" spans="1:8" x14ac:dyDescent="0.3">
      <c r="A4982" s="45">
        <v>44910</v>
      </c>
      <c r="B4982" s="399" t="s">
        <v>10615</v>
      </c>
      <c r="C4982" s="73" t="s">
        <v>7099</v>
      </c>
      <c r="D4982" s="5" t="s">
        <v>10311</v>
      </c>
      <c r="E4982" s="65">
        <v>5000</v>
      </c>
      <c r="F4982" s="65"/>
      <c r="G4982" s="48">
        <f t="shared" si="134"/>
        <v>70070</v>
      </c>
      <c r="H4982" s="391" t="s">
        <v>9568</v>
      </c>
    </row>
    <row r="4983" spans="1:8" x14ac:dyDescent="0.3">
      <c r="A4983" s="45">
        <v>44910</v>
      </c>
      <c r="B4983" s="345" t="s">
        <v>12096</v>
      </c>
      <c r="C4983" s="5" t="s">
        <v>9756</v>
      </c>
      <c r="D4983" s="5" t="s">
        <v>9880</v>
      </c>
      <c r="E4983" s="65">
        <v>3430</v>
      </c>
      <c r="F4983" s="43"/>
      <c r="G4983" s="48">
        <f t="shared" si="134"/>
        <v>66640</v>
      </c>
      <c r="H4983" s="391" t="s">
        <v>9568</v>
      </c>
    </row>
    <row r="4984" spans="1:8" x14ac:dyDescent="0.3">
      <c r="A4984" s="45">
        <v>44910</v>
      </c>
      <c r="B4984" s="399" t="s">
        <v>12091</v>
      </c>
      <c r="C4984" s="5" t="s">
        <v>9756</v>
      </c>
      <c r="D4984" s="5" t="s">
        <v>9880</v>
      </c>
      <c r="E4984" s="43">
        <v>1865</v>
      </c>
      <c r="F4984" s="43"/>
      <c r="G4984" s="48">
        <f t="shared" si="134"/>
        <v>64775</v>
      </c>
      <c r="H4984" s="391" t="s">
        <v>9568</v>
      </c>
    </row>
    <row r="4985" spans="1:8" x14ac:dyDescent="0.3">
      <c r="A4985" s="45">
        <v>44910</v>
      </c>
      <c r="B4985" s="399" t="s">
        <v>10016</v>
      </c>
      <c r="C4985" s="5" t="s">
        <v>5518</v>
      </c>
      <c r="D4985" s="5" t="s">
        <v>10312</v>
      </c>
      <c r="E4985" s="43">
        <v>40000</v>
      </c>
      <c r="F4985" s="43"/>
      <c r="G4985" s="48">
        <f t="shared" si="134"/>
        <v>24775</v>
      </c>
      <c r="H4985" s="391" t="s">
        <v>9568</v>
      </c>
    </row>
    <row r="4986" spans="1:8" x14ac:dyDescent="0.3">
      <c r="A4986" s="45">
        <v>44910</v>
      </c>
      <c r="B4986" s="399" t="s">
        <v>10112</v>
      </c>
      <c r="C4986" s="5" t="s">
        <v>5793</v>
      </c>
      <c r="D4986" s="5" t="s">
        <v>10313</v>
      </c>
      <c r="E4986" s="43">
        <v>2000</v>
      </c>
      <c r="F4986" s="43"/>
      <c r="G4986" s="48">
        <f t="shared" si="134"/>
        <v>22775</v>
      </c>
      <c r="H4986" s="391" t="s">
        <v>9568</v>
      </c>
    </row>
    <row r="4987" spans="1:8" x14ac:dyDescent="0.3">
      <c r="A4987" s="45">
        <v>44910</v>
      </c>
      <c r="B4987" s="399" t="s">
        <v>10112</v>
      </c>
      <c r="C4987" s="5" t="s">
        <v>5793</v>
      </c>
      <c r="D4987" s="5" t="s">
        <v>10314</v>
      </c>
      <c r="E4987" s="43">
        <v>300</v>
      </c>
      <c r="F4987" s="43"/>
      <c r="G4987" s="48">
        <f t="shared" si="134"/>
        <v>22475</v>
      </c>
      <c r="H4987" s="391" t="s">
        <v>9568</v>
      </c>
    </row>
    <row r="4988" spans="1:8" x14ac:dyDescent="0.3">
      <c r="A4988" s="45">
        <v>44910</v>
      </c>
      <c r="B4988" s="586"/>
      <c r="C4988" s="486" t="s">
        <v>10308</v>
      </c>
      <c r="D4988" s="486"/>
      <c r="E4988" s="486"/>
      <c r="F4988" s="43">
        <v>92700</v>
      </c>
      <c r="G4988" s="48">
        <f t="shared" si="134"/>
        <v>115175</v>
      </c>
      <c r="H4988" s="391" t="s">
        <v>9568</v>
      </c>
    </row>
    <row r="4989" spans="1:8" x14ac:dyDescent="0.3">
      <c r="A4989" s="45">
        <v>44910</v>
      </c>
      <c r="B4989" s="399" t="s">
        <v>10112</v>
      </c>
      <c r="C4989" s="5" t="s">
        <v>10161</v>
      </c>
      <c r="D4989" s="5" t="s">
        <v>10323</v>
      </c>
      <c r="E4989" s="43">
        <v>20000</v>
      </c>
      <c r="F4989" s="43"/>
      <c r="G4989" s="48">
        <f t="shared" si="134"/>
        <v>95175</v>
      </c>
      <c r="H4989" s="391" t="s">
        <v>9568</v>
      </c>
    </row>
    <row r="4990" spans="1:8" x14ac:dyDescent="0.3">
      <c r="A4990" s="45">
        <v>44910</v>
      </c>
      <c r="B4990" s="399" t="s">
        <v>10112</v>
      </c>
      <c r="C4990" s="5" t="s">
        <v>10315</v>
      </c>
      <c r="D4990" s="5" t="s">
        <v>10316</v>
      </c>
      <c r="E4990" s="43">
        <v>35800</v>
      </c>
      <c r="F4990" s="43"/>
      <c r="G4990" s="48">
        <f t="shared" si="134"/>
        <v>59375</v>
      </c>
      <c r="H4990" s="391" t="s">
        <v>9568</v>
      </c>
    </row>
    <row r="4991" spans="1:8" x14ac:dyDescent="0.3">
      <c r="A4991" s="45">
        <v>44910</v>
      </c>
      <c r="B4991" s="399" t="s">
        <v>9990</v>
      </c>
      <c r="C4991" s="5" t="s">
        <v>84</v>
      </c>
      <c r="D4991" s="5" t="s">
        <v>10317</v>
      </c>
      <c r="E4991" s="43">
        <v>15000</v>
      </c>
      <c r="F4991" s="43"/>
      <c r="G4991" s="48">
        <f t="shared" si="134"/>
        <v>44375</v>
      </c>
      <c r="H4991" s="391" t="s">
        <v>9568</v>
      </c>
    </row>
    <row r="4992" spans="1:8" x14ac:dyDescent="0.3">
      <c r="A4992" s="45">
        <v>44910</v>
      </c>
      <c r="B4992" s="399" t="s">
        <v>9990</v>
      </c>
      <c r="C4992" s="5" t="s">
        <v>84</v>
      </c>
      <c r="D4992" s="5" t="s">
        <v>10318</v>
      </c>
      <c r="E4992" s="43">
        <v>3000</v>
      </c>
      <c r="F4992" s="43"/>
      <c r="G4992" s="48">
        <f t="shared" si="134"/>
        <v>41375</v>
      </c>
      <c r="H4992" s="391" t="s">
        <v>9568</v>
      </c>
    </row>
    <row r="4993" spans="1:8" x14ac:dyDescent="0.3">
      <c r="A4993" s="45">
        <v>44910</v>
      </c>
      <c r="B4993" s="399" t="s">
        <v>10615</v>
      </c>
      <c r="C4993" s="5" t="s">
        <v>6430</v>
      </c>
      <c r="D4993" s="5" t="s">
        <v>10319</v>
      </c>
      <c r="E4993" s="43">
        <v>12000</v>
      </c>
      <c r="F4993" s="43"/>
      <c r="G4993" s="48">
        <f t="shared" si="134"/>
        <v>29375</v>
      </c>
      <c r="H4993" s="391" t="s">
        <v>9568</v>
      </c>
    </row>
    <row r="4994" spans="1:8" x14ac:dyDescent="0.3">
      <c r="A4994" s="45">
        <v>44910</v>
      </c>
      <c r="B4994" s="399" t="s">
        <v>9863</v>
      </c>
      <c r="C4994" s="5" t="s">
        <v>18</v>
      </c>
      <c r="D4994" s="5" t="s">
        <v>2013</v>
      </c>
      <c r="E4994" s="43">
        <v>500</v>
      </c>
      <c r="F4994" s="43"/>
      <c r="G4994" s="48">
        <f t="shared" si="134"/>
        <v>28875</v>
      </c>
      <c r="H4994" s="391" t="s">
        <v>9568</v>
      </c>
    </row>
    <row r="4995" spans="1:8" x14ac:dyDescent="0.3">
      <c r="A4995" s="45">
        <v>44910</v>
      </c>
      <c r="B4995" s="399" t="s">
        <v>9863</v>
      </c>
      <c r="C4995" s="5" t="s">
        <v>18</v>
      </c>
      <c r="D4995" s="5" t="s">
        <v>10210</v>
      </c>
      <c r="E4995" s="43">
        <v>500</v>
      </c>
      <c r="F4995" s="43"/>
      <c r="G4995" s="48">
        <f t="shared" si="134"/>
        <v>28375</v>
      </c>
      <c r="H4995" s="391" t="s">
        <v>9568</v>
      </c>
    </row>
    <row r="4996" spans="1:8" x14ac:dyDescent="0.3">
      <c r="A4996" s="45">
        <v>44910</v>
      </c>
      <c r="B4996" s="399"/>
      <c r="C4996" s="5" t="s">
        <v>14</v>
      </c>
      <c r="D4996" s="5" t="s">
        <v>294</v>
      </c>
      <c r="E4996" s="43">
        <v>1000</v>
      </c>
      <c r="F4996" s="43"/>
      <c r="G4996" s="48">
        <f t="shared" si="134"/>
        <v>27375</v>
      </c>
      <c r="H4996" s="391" t="s">
        <v>9568</v>
      </c>
    </row>
    <row r="4997" spans="1:8" x14ac:dyDescent="0.3">
      <c r="A4997" s="45">
        <v>44910</v>
      </c>
      <c r="B4997" s="399" t="s">
        <v>118</v>
      </c>
      <c r="C4997" s="5" t="s">
        <v>247</v>
      </c>
      <c r="D4997" s="5" t="s">
        <v>2013</v>
      </c>
      <c r="E4997" s="43">
        <v>600</v>
      </c>
      <c r="F4997" s="43"/>
      <c r="G4997" s="48">
        <f t="shared" si="134"/>
        <v>26775</v>
      </c>
      <c r="H4997" s="391" t="s">
        <v>9568</v>
      </c>
    </row>
    <row r="4998" spans="1:8" x14ac:dyDescent="0.3">
      <c r="A4998" s="45">
        <v>44911</v>
      </c>
      <c r="B4998" s="399" t="s">
        <v>118</v>
      </c>
      <c r="C4998" s="5" t="s">
        <v>9947</v>
      </c>
      <c r="D4998" s="5" t="s">
        <v>10320</v>
      </c>
      <c r="E4998" s="43">
        <v>5500</v>
      </c>
      <c r="F4998" s="43"/>
      <c r="G4998" s="48">
        <f t="shared" si="134"/>
        <v>21275</v>
      </c>
      <c r="H4998" s="391" t="s">
        <v>9568</v>
      </c>
    </row>
    <row r="4999" spans="1:8" x14ac:dyDescent="0.3">
      <c r="A4999" s="45">
        <v>44911</v>
      </c>
      <c r="B4999" s="399" t="s">
        <v>118</v>
      </c>
      <c r="C4999" s="5" t="s">
        <v>4400</v>
      </c>
      <c r="D4999" s="5"/>
      <c r="E4999" s="43">
        <v>4670</v>
      </c>
      <c r="F4999" s="43"/>
      <c r="G4999" s="48">
        <f t="shared" si="134"/>
        <v>16605</v>
      </c>
      <c r="H4999" s="391" t="s">
        <v>9568</v>
      </c>
    </row>
    <row r="5000" spans="1:8" x14ac:dyDescent="0.3">
      <c r="A5000" s="45">
        <v>44911</v>
      </c>
      <c r="B5000" s="399" t="s">
        <v>12190</v>
      </c>
      <c r="C5000" s="5" t="s">
        <v>1074</v>
      </c>
      <c r="D5000" s="5" t="s">
        <v>6280</v>
      </c>
      <c r="E5000" s="43">
        <f>4670+1330</f>
        <v>6000</v>
      </c>
      <c r="F5000" s="43"/>
      <c r="G5000" s="48">
        <f t="shared" si="134"/>
        <v>10605</v>
      </c>
      <c r="H5000" s="391" t="s">
        <v>9568</v>
      </c>
    </row>
    <row r="5001" spans="1:8" x14ac:dyDescent="0.3">
      <c r="A5001" s="45">
        <v>44911</v>
      </c>
      <c r="B5001" s="399" t="s">
        <v>118</v>
      </c>
      <c r="C5001" s="5" t="s">
        <v>1074</v>
      </c>
      <c r="D5001" s="5" t="s">
        <v>6280</v>
      </c>
      <c r="E5001" s="43">
        <f>1550+1000</f>
        <v>2550</v>
      </c>
      <c r="F5001" s="43"/>
      <c r="G5001" s="48">
        <f t="shared" si="134"/>
        <v>8055</v>
      </c>
      <c r="H5001" s="391" t="s">
        <v>9568</v>
      </c>
    </row>
    <row r="5002" spans="1:8" x14ac:dyDescent="0.3">
      <c r="A5002" s="45">
        <v>44912</v>
      </c>
      <c r="B5002" s="399" t="s">
        <v>118</v>
      </c>
      <c r="C5002" s="5" t="s">
        <v>9873</v>
      </c>
      <c r="D5002" s="5" t="s">
        <v>9898</v>
      </c>
      <c r="E5002" s="43">
        <v>5266</v>
      </c>
      <c r="F5002" s="43"/>
      <c r="G5002" s="48">
        <f t="shared" si="134"/>
        <v>2789</v>
      </c>
      <c r="H5002" s="391" t="s">
        <v>9568</v>
      </c>
    </row>
    <row r="5003" spans="1:8" x14ac:dyDescent="0.3">
      <c r="A5003" s="45">
        <v>44912</v>
      </c>
      <c r="B5003" s="399" t="s">
        <v>10112</v>
      </c>
      <c r="C5003" s="5" t="s">
        <v>5793</v>
      </c>
      <c r="D5003" s="5" t="s">
        <v>10324</v>
      </c>
      <c r="E5003" s="43">
        <v>800</v>
      </c>
      <c r="F5003" s="43"/>
      <c r="G5003" s="48">
        <f t="shared" si="134"/>
        <v>1989</v>
      </c>
      <c r="H5003" s="391" t="s">
        <v>9568</v>
      </c>
    </row>
    <row r="5004" spans="1:8" x14ac:dyDescent="0.3">
      <c r="A5004" s="45">
        <v>44914</v>
      </c>
      <c r="B5004" s="586"/>
      <c r="C5004" s="486" t="s">
        <v>10308</v>
      </c>
      <c r="D5004" s="486"/>
      <c r="E5004" s="486"/>
      <c r="F5004" s="43">
        <v>219300</v>
      </c>
      <c r="G5004" s="48">
        <f t="shared" si="134"/>
        <v>221289</v>
      </c>
      <c r="H5004" s="391" t="s">
        <v>9568</v>
      </c>
    </row>
    <row r="5005" spans="1:8" x14ac:dyDescent="0.3">
      <c r="A5005" s="45">
        <v>44914</v>
      </c>
      <c r="B5005" s="399" t="s">
        <v>9879</v>
      </c>
      <c r="C5005" s="5" t="s">
        <v>6430</v>
      </c>
      <c r="D5005" s="5" t="s">
        <v>10113</v>
      </c>
      <c r="E5005" s="43">
        <v>10000</v>
      </c>
      <c r="F5005" s="43"/>
      <c r="G5005" s="48">
        <f t="shared" si="134"/>
        <v>211289</v>
      </c>
      <c r="H5005" s="391" t="s">
        <v>9568</v>
      </c>
    </row>
    <row r="5006" spans="1:8" x14ac:dyDescent="0.3">
      <c r="A5006" s="45">
        <v>44914</v>
      </c>
      <c r="B5006" s="399" t="s">
        <v>10615</v>
      </c>
      <c r="C5006" s="5" t="s">
        <v>6430</v>
      </c>
      <c r="D5006" s="5" t="s">
        <v>10325</v>
      </c>
      <c r="E5006" s="43">
        <v>6000</v>
      </c>
      <c r="F5006" s="43"/>
      <c r="G5006" s="48">
        <f t="shared" si="134"/>
        <v>205289</v>
      </c>
      <c r="H5006" s="391" t="s">
        <v>9568</v>
      </c>
    </row>
    <row r="5007" spans="1:8" x14ac:dyDescent="0.3">
      <c r="A5007" s="45">
        <v>44914</v>
      </c>
      <c r="B5007" s="399" t="s">
        <v>10615</v>
      </c>
      <c r="C5007" s="5" t="s">
        <v>84</v>
      </c>
      <c r="D5007" s="5" t="s">
        <v>10326</v>
      </c>
      <c r="E5007" s="43">
        <v>3000</v>
      </c>
      <c r="F5007" s="43"/>
      <c r="G5007" s="48">
        <f t="shared" si="134"/>
        <v>202289</v>
      </c>
      <c r="H5007" s="391" t="s">
        <v>9568</v>
      </c>
    </row>
    <row r="5008" spans="1:8" x14ac:dyDescent="0.3">
      <c r="A5008" s="45">
        <v>44914</v>
      </c>
      <c r="B5008" s="399" t="s">
        <v>9879</v>
      </c>
      <c r="C5008" s="5" t="s">
        <v>5793</v>
      </c>
      <c r="D5008" s="5" t="s">
        <v>9528</v>
      </c>
      <c r="E5008" s="43">
        <v>1700</v>
      </c>
      <c r="F5008" s="43"/>
      <c r="G5008" s="48">
        <f t="shared" si="134"/>
        <v>200589</v>
      </c>
      <c r="H5008" s="391" t="s">
        <v>9568</v>
      </c>
    </row>
    <row r="5009" spans="1:8" x14ac:dyDescent="0.3">
      <c r="A5009" s="45">
        <v>44914</v>
      </c>
      <c r="B5009" s="399"/>
      <c r="C5009" s="5" t="s">
        <v>10001</v>
      </c>
      <c r="D5009" s="5" t="s">
        <v>3557</v>
      </c>
      <c r="E5009" s="43">
        <v>2000</v>
      </c>
      <c r="F5009" s="43"/>
      <c r="G5009" s="48">
        <f t="shared" si="134"/>
        <v>198589</v>
      </c>
      <c r="H5009" s="391" t="s">
        <v>9568</v>
      </c>
    </row>
    <row r="5010" spans="1:8" x14ac:dyDescent="0.3">
      <c r="A5010" s="45">
        <v>44914</v>
      </c>
      <c r="B5010" s="399"/>
      <c r="C5010" s="5" t="s">
        <v>9947</v>
      </c>
      <c r="D5010" s="5" t="s">
        <v>10327</v>
      </c>
      <c r="E5010" s="43">
        <v>30380</v>
      </c>
      <c r="F5010" s="43"/>
      <c r="G5010" s="48">
        <f t="shared" si="134"/>
        <v>168209</v>
      </c>
      <c r="H5010" s="391" t="s">
        <v>9568</v>
      </c>
    </row>
    <row r="5011" spans="1:8" x14ac:dyDescent="0.3">
      <c r="A5011" s="45">
        <v>44914</v>
      </c>
      <c r="B5011" s="435"/>
      <c r="C5011" s="217" t="s">
        <v>10328</v>
      </c>
      <c r="D5011" s="217" t="s">
        <v>10329</v>
      </c>
      <c r="E5011" s="222">
        <v>5000</v>
      </c>
      <c r="F5011" s="43"/>
      <c r="G5011" s="48">
        <f t="shared" si="134"/>
        <v>163209</v>
      </c>
      <c r="H5011" s="391" t="s">
        <v>9568</v>
      </c>
    </row>
    <row r="5012" spans="1:8" x14ac:dyDescent="0.3">
      <c r="A5012" s="45">
        <v>44914</v>
      </c>
      <c r="B5012" s="399" t="s">
        <v>10615</v>
      </c>
      <c r="C5012" s="5" t="s">
        <v>84</v>
      </c>
      <c r="D5012" s="5" t="s">
        <v>10330</v>
      </c>
      <c r="E5012" s="43">
        <v>2000</v>
      </c>
      <c r="F5012" s="43"/>
      <c r="G5012" s="48">
        <f t="shared" si="134"/>
        <v>161209</v>
      </c>
      <c r="H5012" s="391" t="s">
        <v>9568</v>
      </c>
    </row>
    <row r="5013" spans="1:8" x14ac:dyDescent="0.3">
      <c r="A5013" s="45">
        <v>44914</v>
      </c>
      <c r="B5013" s="399" t="s">
        <v>12091</v>
      </c>
      <c r="C5013" s="5" t="s">
        <v>9756</v>
      </c>
      <c r="D5013" s="5" t="s">
        <v>10336</v>
      </c>
      <c r="E5013" s="43">
        <v>11320</v>
      </c>
      <c r="F5013" s="43"/>
      <c r="G5013" s="48">
        <f t="shared" si="134"/>
        <v>149889</v>
      </c>
      <c r="H5013" s="391" t="s">
        <v>9568</v>
      </c>
    </row>
    <row r="5014" spans="1:8" x14ac:dyDescent="0.3">
      <c r="A5014" s="45">
        <v>44914</v>
      </c>
      <c r="B5014" s="399" t="s">
        <v>12091</v>
      </c>
      <c r="C5014" s="5" t="s">
        <v>9756</v>
      </c>
      <c r="D5014" s="5" t="s">
        <v>10335</v>
      </c>
      <c r="E5014" s="43">
        <v>10600</v>
      </c>
      <c r="F5014" s="43"/>
      <c r="G5014" s="48">
        <f t="shared" si="134"/>
        <v>139289</v>
      </c>
      <c r="H5014" s="391" t="s">
        <v>9568</v>
      </c>
    </row>
    <row r="5015" spans="1:8" x14ac:dyDescent="0.3">
      <c r="A5015" s="45">
        <v>44914</v>
      </c>
      <c r="B5015" s="399" t="s">
        <v>1049</v>
      </c>
      <c r="C5015" s="5" t="s">
        <v>541</v>
      </c>
      <c r="D5015" s="5" t="s">
        <v>294</v>
      </c>
      <c r="E5015" s="43">
        <v>15000</v>
      </c>
      <c r="F5015" s="43"/>
      <c r="G5015" s="48">
        <f t="shared" si="134"/>
        <v>124289</v>
      </c>
      <c r="H5015" s="391" t="s">
        <v>9568</v>
      </c>
    </row>
    <row r="5016" spans="1:8" x14ac:dyDescent="0.3">
      <c r="A5016" s="45">
        <v>44915</v>
      </c>
      <c r="B5016" s="399" t="s">
        <v>10112</v>
      </c>
      <c r="C5016" s="5" t="s">
        <v>5793</v>
      </c>
      <c r="D5016" s="5" t="s">
        <v>10331</v>
      </c>
      <c r="E5016" s="43">
        <v>1500</v>
      </c>
      <c r="F5016" s="43"/>
      <c r="G5016" s="48">
        <f t="shared" si="134"/>
        <v>122789</v>
      </c>
      <c r="H5016" s="391" t="s">
        <v>9568</v>
      </c>
    </row>
    <row r="5017" spans="1:8" x14ac:dyDescent="0.3">
      <c r="A5017" s="45">
        <v>44915</v>
      </c>
      <c r="B5017" s="399" t="s">
        <v>10333</v>
      </c>
      <c r="C5017" s="5" t="s">
        <v>7737</v>
      </c>
      <c r="D5017" s="5" t="s">
        <v>10334</v>
      </c>
      <c r="E5017" s="43">
        <v>7000</v>
      </c>
      <c r="F5017" s="43"/>
      <c r="G5017" s="48">
        <f t="shared" si="134"/>
        <v>115789</v>
      </c>
      <c r="H5017" s="391" t="s">
        <v>9568</v>
      </c>
    </row>
    <row r="5018" spans="1:8" x14ac:dyDescent="0.3">
      <c r="A5018" s="45">
        <v>44915</v>
      </c>
      <c r="B5018" s="399"/>
      <c r="C5018" s="5" t="s">
        <v>9044</v>
      </c>
      <c r="D5018" s="5" t="s">
        <v>2013</v>
      </c>
      <c r="E5018" s="43">
        <v>1000</v>
      </c>
      <c r="F5018" s="43"/>
      <c r="G5018" s="48">
        <f t="shared" si="134"/>
        <v>114789</v>
      </c>
      <c r="H5018" s="391" t="s">
        <v>9568</v>
      </c>
    </row>
    <row r="5019" spans="1:8" x14ac:dyDescent="0.3">
      <c r="A5019" s="45">
        <v>44915</v>
      </c>
      <c r="B5019" s="408"/>
      <c r="C5019" s="218" t="s">
        <v>14</v>
      </c>
      <c r="D5019" s="218" t="s">
        <v>10337</v>
      </c>
      <c r="E5019" s="211">
        <v>30000</v>
      </c>
      <c r="F5019" s="43"/>
      <c r="G5019" s="48">
        <f t="shared" si="134"/>
        <v>84789</v>
      </c>
      <c r="H5019" s="391" t="s">
        <v>9568</v>
      </c>
    </row>
    <row r="5020" spans="1:8" x14ac:dyDescent="0.3">
      <c r="A5020" s="45">
        <v>44915</v>
      </c>
      <c r="B5020" s="399" t="s">
        <v>118</v>
      </c>
      <c r="C5020" s="5" t="s">
        <v>9873</v>
      </c>
      <c r="D5020" s="5" t="s">
        <v>9898</v>
      </c>
      <c r="E5020" s="43">
        <v>5635</v>
      </c>
      <c r="F5020" s="43"/>
      <c r="G5020" s="48">
        <f t="shared" si="134"/>
        <v>79154</v>
      </c>
      <c r="H5020" s="391" t="s">
        <v>9568</v>
      </c>
    </row>
    <row r="5021" spans="1:8" x14ac:dyDescent="0.3">
      <c r="A5021" s="45">
        <v>44915</v>
      </c>
      <c r="B5021" s="399" t="s">
        <v>10341</v>
      </c>
      <c r="C5021" s="5" t="s">
        <v>9525</v>
      </c>
      <c r="D5021" s="5" t="s">
        <v>10340</v>
      </c>
      <c r="E5021" s="43">
        <v>5000</v>
      </c>
      <c r="F5021" s="43"/>
      <c r="G5021" s="48">
        <f t="shared" si="134"/>
        <v>74154</v>
      </c>
      <c r="H5021" s="391" t="s">
        <v>9568</v>
      </c>
    </row>
    <row r="5022" spans="1:8" x14ac:dyDescent="0.3">
      <c r="A5022" s="45">
        <v>44916</v>
      </c>
      <c r="B5022" s="399" t="s">
        <v>9997</v>
      </c>
      <c r="C5022" s="5" t="s">
        <v>68</v>
      </c>
      <c r="D5022" s="5" t="s">
        <v>10342</v>
      </c>
      <c r="E5022" s="43">
        <v>15000</v>
      </c>
      <c r="F5022" s="43"/>
      <c r="G5022" s="48">
        <f t="shared" si="134"/>
        <v>59154</v>
      </c>
      <c r="H5022" s="391" t="s">
        <v>9568</v>
      </c>
    </row>
    <row r="5023" spans="1:8" x14ac:dyDescent="0.3">
      <c r="A5023" s="45">
        <v>44916</v>
      </c>
      <c r="B5023" s="399" t="s">
        <v>12091</v>
      </c>
      <c r="C5023" s="5" t="s">
        <v>7737</v>
      </c>
      <c r="D5023" s="5" t="s">
        <v>10343</v>
      </c>
      <c r="E5023" s="43">
        <v>600</v>
      </c>
      <c r="F5023" s="43"/>
      <c r="G5023" s="48">
        <f t="shared" si="134"/>
        <v>58554</v>
      </c>
      <c r="H5023" s="391" t="s">
        <v>9568</v>
      </c>
    </row>
    <row r="5024" spans="1:8" x14ac:dyDescent="0.3">
      <c r="A5024" s="45">
        <v>44916</v>
      </c>
      <c r="B5024" s="399" t="s">
        <v>118</v>
      </c>
      <c r="C5024" s="5" t="s">
        <v>9873</v>
      </c>
      <c r="D5024" s="5" t="s">
        <v>9898</v>
      </c>
      <c r="E5024" s="43">
        <v>5200</v>
      </c>
      <c r="F5024" s="43"/>
      <c r="G5024" s="48">
        <f t="shared" si="134"/>
        <v>53354</v>
      </c>
      <c r="H5024" s="391" t="s">
        <v>9568</v>
      </c>
    </row>
    <row r="5025" spans="1:8" x14ac:dyDescent="0.3">
      <c r="A5025" s="45">
        <v>44916</v>
      </c>
      <c r="B5025" s="399" t="s">
        <v>10112</v>
      </c>
      <c r="C5025" s="5" t="s">
        <v>5793</v>
      </c>
      <c r="D5025" s="5" t="s">
        <v>10346</v>
      </c>
      <c r="E5025" s="43">
        <v>1500</v>
      </c>
      <c r="F5025" s="43"/>
      <c r="G5025" s="48">
        <f t="shared" si="134"/>
        <v>51854</v>
      </c>
      <c r="H5025" s="391" t="s">
        <v>9568</v>
      </c>
    </row>
    <row r="5026" spans="1:8" x14ac:dyDescent="0.3">
      <c r="A5026" s="45">
        <v>44916</v>
      </c>
      <c r="B5026" s="399" t="s">
        <v>12091</v>
      </c>
      <c r="C5026" s="5" t="s">
        <v>5793</v>
      </c>
      <c r="D5026" s="5" t="s">
        <v>10345</v>
      </c>
      <c r="E5026" s="43">
        <v>5000</v>
      </c>
      <c r="F5026" s="43"/>
      <c r="G5026" s="48">
        <f t="shared" si="134"/>
        <v>46854</v>
      </c>
      <c r="H5026" s="391" t="s">
        <v>9568</v>
      </c>
    </row>
    <row r="5027" spans="1:8" x14ac:dyDescent="0.3">
      <c r="A5027" s="45">
        <v>44916</v>
      </c>
      <c r="B5027" s="399" t="s">
        <v>9879</v>
      </c>
      <c r="C5027" s="5" t="s">
        <v>6430</v>
      </c>
      <c r="D5027" s="5" t="s">
        <v>8872</v>
      </c>
      <c r="E5027" s="43">
        <v>5000</v>
      </c>
      <c r="F5027" s="43"/>
      <c r="G5027" s="48">
        <f t="shared" si="134"/>
        <v>41854</v>
      </c>
      <c r="H5027" s="391" t="s">
        <v>9568</v>
      </c>
    </row>
    <row r="5028" spans="1:8" x14ac:dyDescent="0.3">
      <c r="A5028" s="45">
        <v>44916</v>
      </c>
      <c r="B5028" s="399" t="s">
        <v>9879</v>
      </c>
      <c r="C5028" s="5" t="s">
        <v>10360</v>
      </c>
      <c r="D5028" s="5" t="s">
        <v>10361</v>
      </c>
      <c r="E5028" s="43">
        <v>15000</v>
      </c>
      <c r="F5028" s="43"/>
      <c r="G5028" s="48">
        <f t="shared" si="134"/>
        <v>26854</v>
      </c>
      <c r="H5028" s="391" t="s">
        <v>9568</v>
      </c>
    </row>
    <row r="5029" spans="1:8" x14ac:dyDescent="0.3">
      <c r="A5029" s="45">
        <v>44917</v>
      </c>
      <c r="B5029" s="399" t="s">
        <v>9857</v>
      </c>
      <c r="C5029" s="5" t="s">
        <v>10347</v>
      </c>
      <c r="D5029" s="5" t="s">
        <v>10348</v>
      </c>
      <c r="E5029" s="43">
        <v>25280</v>
      </c>
      <c r="F5029" s="43"/>
      <c r="G5029" s="48">
        <f t="shared" si="134"/>
        <v>1574</v>
      </c>
      <c r="H5029" s="391" t="s">
        <v>9568</v>
      </c>
    </row>
    <row r="5030" spans="1:8" x14ac:dyDescent="0.3">
      <c r="A5030" s="45">
        <v>44917</v>
      </c>
      <c r="B5030" s="399" t="s">
        <v>9857</v>
      </c>
      <c r="C5030" s="5" t="s">
        <v>5793</v>
      </c>
      <c r="D5030" s="5" t="s">
        <v>10349</v>
      </c>
      <c r="E5030" s="43">
        <v>1500</v>
      </c>
      <c r="F5030" s="43"/>
      <c r="G5030" s="48">
        <f t="shared" si="134"/>
        <v>74</v>
      </c>
      <c r="H5030" s="391" t="s">
        <v>9568</v>
      </c>
    </row>
    <row r="5031" spans="1:8" x14ac:dyDescent="0.3">
      <c r="A5031" s="45">
        <v>44917</v>
      </c>
      <c r="B5031" s="586"/>
      <c r="C5031" s="486" t="s">
        <v>8290</v>
      </c>
      <c r="D5031" s="486"/>
      <c r="E5031" s="486"/>
      <c r="F5031" s="43">
        <v>100000</v>
      </c>
      <c r="G5031" s="48">
        <f t="shared" si="134"/>
        <v>100074</v>
      </c>
      <c r="H5031" s="391" t="s">
        <v>9568</v>
      </c>
    </row>
    <row r="5032" spans="1:8" x14ac:dyDescent="0.3">
      <c r="A5032" s="45">
        <v>44917</v>
      </c>
      <c r="B5032" s="399" t="s">
        <v>9857</v>
      </c>
      <c r="C5032" s="5" t="s">
        <v>10001</v>
      </c>
      <c r="D5032" s="5" t="s">
        <v>10350</v>
      </c>
      <c r="E5032" s="43">
        <v>8000</v>
      </c>
      <c r="F5032" s="43"/>
      <c r="G5032" s="48">
        <f t="shared" si="134"/>
        <v>92074</v>
      </c>
      <c r="H5032" s="391" t="s">
        <v>9568</v>
      </c>
    </row>
    <row r="5033" spans="1:8" x14ac:dyDescent="0.3">
      <c r="A5033" s="45">
        <v>44917</v>
      </c>
      <c r="B5033" s="399"/>
      <c r="C5033" s="5" t="s">
        <v>9756</v>
      </c>
      <c r="D5033" s="5" t="s">
        <v>2013</v>
      </c>
      <c r="E5033" s="43">
        <v>500</v>
      </c>
      <c r="F5033" s="43"/>
      <c r="G5033" s="48">
        <f t="shared" si="134"/>
        <v>91574</v>
      </c>
      <c r="H5033" s="391" t="s">
        <v>9568</v>
      </c>
    </row>
    <row r="5034" spans="1:8" x14ac:dyDescent="0.3">
      <c r="A5034" s="45">
        <v>44917</v>
      </c>
      <c r="B5034" s="399" t="s">
        <v>9879</v>
      </c>
      <c r="C5034" s="5" t="s">
        <v>9947</v>
      </c>
      <c r="D5034" s="5" t="s">
        <v>10351</v>
      </c>
      <c r="E5034" s="43">
        <v>60000</v>
      </c>
      <c r="F5034" s="43"/>
      <c r="G5034" s="48">
        <f t="shared" si="134"/>
        <v>31574</v>
      </c>
      <c r="H5034" s="391" t="s">
        <v>9568</v>
      </c>
    </row>
    <row r="5035" spans="1:8" x14ac:dyDescent="0.3">
      <c r="A5035" s="45">
        <v>44919</v>
      </c>
      <c r="B5035" s="586"/>
      <c r="C5035" s="486" t="s">
        <v>10308</v>
      </c>
      <c r="D5035" s="486"/>
      <c r="E5035" s="486"/>
      <c r="F5035" s="43">
        <v>300000</v>
      </c>
      <c r="G5035" s="48">
        <f t="shared" si="134"/>
        <v>331574</v>
      </c>
      <c r="H5035" s="391" t="s">
        <v>9568</v>
      </c>
    </row>
    <row r="5036" spans="1:8" x14ac:dyDescent="0.3">
      <c r="A5036" s="45">
        <v>44918</v>
      </c>
      <c r="B5036" s="475" t="s">
        <v>9997</v>
      </c>
      <c r="C5036" s="474" t="s">
        <v>6686</v>
      </c>
      <c r="D5036" s="474" t="s">
        <v>10354</v>
      </c>
      <c r="E5036" s="476">
        <v>25000</v>
      </c>
      <c r="F5036" s="43"/>
      <c r="G5036" s="48">
        <f t="shared" si="134"/>
        <v>306574</v>
      </c>
      <c r="H5036" s="391" t="s">
        <v>9568</v>
      </c>
    </row>
    <row r="5037" spans="1:8" x14ac:dyDescent="0.3">
      <c r="A5037" s="45">
        <v>44918</v>
      </c>
      <c r="B5037" s="399" t="s">
        <v>9997</v>
      </c>
      <c r="C5037" s="5" t="s">
        <v>10352</v>
      </c>
      <c r="D5037" s="5" t="s">
        <v>10353</v>
      </c>
      <c r="E5037" s="43">
        <v>85000</v>
      </c>
      <c r="F5037" s="43"/>
      <c r="G5037" s="48">
        <f t="shared" si="134"/>
        <v>221574</v>
      </c>
      <c r="H5037" s="391" t="s">
        <v>9568</v>
      </c>
    </row>
    <row r="5038" spans="1:8" x14ac:dyDescent="0.3">
      <c r="A5038" s="45">
        <v>44918</v>
      </c>
      <c r="B5038" s="399" t="s">
        <v>9997</v>
      </c>
      <c r="C5038" s="5" t="s">
        <v>14</v>
      </c>
      <c r="D5038" s="5" t="s">
        <v>10355</v>
      </c>
      <c r="E5038" s="43">
        <v>2000</v>
      </c>
      <c r="F5038" s="43"/>
      <c r="G5038" s="48">
        <f t="shared" si="134"/>
        <v>219574</v>
      </c>
      <c r="H5038" s="391" t="s">
        <v>9568</v>
      </c>
    </row>
    <row r="5039" spans="1:8" x14ac:dyDescent="0.3">
      <c r="A5039" s="45">
        <v>44918</v>
      </c>
      <c r="B5039" s="399"/>
      <c r="C5039" s="5" t="s">
        <v>14</v>
      </c>
      <c r="D5039" s="5" t="s">
        <v>294</v>
      </c>
      <c r="E5039" s="43">
        <v>88000</v>
      </c>
      <c r="F5039" s="43"/>
      <c r="G5039" s="48">
        <f t="shared" si="134"/>
        <v>131574</v>
      </c>
      <c r="H5039" s="391" t="s">
        <v>9568</v>
      </c>
    </row>
    <row r="5040" spans="1:8" x14ac:dyDescent="0.3">
      <c r="A5040" s="45">
        <v>44918</v>
      </c>
      <c r="B5040" s="399" t="s">
        <v>118</v>
      </c>
      <c r="C5040" s="5" t="s">
        <v>9873</v>
      </c>
      <c r="D5040" s="5" t="s">
        <v>9898</v>
      </c>
      <c r="E5040" s="43">
        <v>5910</v>
      </c>
      <c r="F5040" s="43"/>
      <c r="G5040" s="48">
        <f t="shared" si="134"/>
        <v>125664</v>
      </c>
      <c r="H5040" s="391" t="s">
        <v>9568</v>
      </c>
    </row>
    <row r="5041" spans="1:8" x14ac:dyDescent="0.3">
      <c r="A5041" s="45">
        <v>44918</v>
      </c>
      <c r="B5041" s="399" t="s">
        <v>12091</v>
      </c>
      <c r="C5041" s="5" t="s">
        <v>5793</v>
      </c>
      <c r="D5041" s="5" t="s">
        <v>10359</v>
      </c>
      <c r="E5041" s="43">
        <v>5000</v>
      </c>
      <c r="F5041" s="43"/>
      <c r="G5041" s="48">
        <f t="shared" si="134"/>
        <v>120664</v>
      </c>
      <c r="H5041" s="391" t="s">
        <v>9568</v>
      </c>
    </row>
    <row r="5042" spans="1:8" x14ac:dyDescent="0.3">
      <c r="A5042" s="45">
        <v>44918</v>
      </c>
      <c r="B5042" s="399" t="s">
        <v>10112</v>
      </c>
      <c r="C5042" s="5" t="s">
        <v>10315</v>
      </c>
      <c r="D5042" s="5" t="s">
        <v>10362</v>
      </c>
      <c r="E5042" s="43">
        <v>53400</v>
      </c>
      <c r="F5042" s="43"/>
      <c r="G5042" s="48">
        <f t="shared" si="134"/>
        <v>67264</v>
      </c>
      <c r="H5042" s="391" t="s">
        <v>9568</v>
      </c>
    </row>
    <row r="5043" spans="1:8" x14ac:dyDescent="0.3">
      <c r="A5043" s="45">
        <v>44918</v>
      </c>
      <c r="B5043" s="399" t="s">
        <v>10112</v>
      </c>
      <c r="C5043" s="5" t="s">
        <v>10161</v>
      </c>
      <c r="D5043" s="5" t="s">
        <v>10363</v>
      </c>
      <c r="E5043" s="43">
        <v>20000</v>
      </c>
      <c r="F5043" s="43"/>
      <c r="G5043" s="48">
        <f t="shared" si="134"/>
        <v>47264</v>
      </c>
      <c r="H5043" s="391" t="s">
        <v>9568</v>
      </c>
    </row>
    <row r="5044" spans="1:8" x14ac:dyDescent="0.3">
      <c r="A5044" s="45">
        <v>44918</v>
      </c>
      <c r="B5044" s="399" t="s">
        <v>12091</v>
      </c>
      <c r="C5044" s="5" t="s">
        <v>10364</v>
      </c>
      <c r="D5044" s="5" t="s">
        <v>10367</v>
      </c>
      <c r="E5044" s="43">
        <v>28000</v>
      </c>
      <c r="F5044" s="43"/>
      <c r="G5044" s="48">
        <f t="shared" si="134"/>
        <v>19264</v>
      </c>
      <c r="H5044" s="391" t="s">
        <v>9568</v>
      </c>
    </row>
    <row r="5045" spans="1:8" x14ac:dyDescent="0.3">
      <c r="A5045" s="45">
        <v>44919</v>
      </c>
      <c r="B5045" s="399" t="s">
        <v>9860</v>
      </c>
      <c r="C5045" s="5" t="s">
        <v>5793</v>
      </c>
      <c r="D5045" s="5" t="s">
        <v>10365</v>
      </c>
      <c r="E5045" s="43">
        <v>1500</v>
      </c>
      <c r="F5045" s="43"/>
      <c r="G5045" s="48">
        <f t="shared" ref="G5045:G5108" si="135">G5044+F5045-E5045</f>
        <v>17764</v>
      </c>
      <c r="H5045" s="391" t="s">
        <v>9568</v>
      </c>
    </row>
    <row r="5046" spans="1:8" x14ac:dyDescent="0.3">
      <c r="A5046" s="45">
        <v>44919</v>
      </c>
      <c r="B5046" s="399"/>
      <c r="C5046" s="5" t="s">
        <v>541</v>
      </c>
      <c r="D5046" s="5" t="s">
        <v>7002</v>
      </c>
      <c r="E5046" s="43">
        <v>700</v>
      </c>
      <c r="F5046" s="43"/>
      <c r="G5046" s="48">
        <f t="shared" si="135"/>
        <v>17064</v>
      </c>
      <c r="H5046" s="391" t="s">
        <v>9568</v>
      </c>
    </row>
    <row r="5047" spans="1:8" x14ac:dyDescent="0.3">
      <c r="A5047" s="45">
        <v>44919</v>
      </c>
      <c r="B5047" s="399" t="s">
        <v>9990</v>
      </c>
      <c r="C5047" s="5" t="s">
        <v>84</v>
      </c>
      <c r="D5047" s="5" t="s">
        <v>10366</v>
      </c>
      <c r="E5047" s="43">
        <v>10000</v>
      </c>
      <c r="F5047" s="43"/>
      <c r="G5047" s="48">
        <f t="shared" si="135"/>
        <v>7064</v>
      </c>
      <c r="H5047" s="391" t="s">
        <v>9568</v>
      </c>
    </row>
    <row r="5048" spans="1:8" x14ac:dyDescent="0.3">
      <c r="A5048" s="45">
        <v>44919</v>
      </c>
      <c r="B5048" s="399" t="s">
        <v>5793</v>
      </c>
      <c r="C5048" s="5" t="s">
        <v>5793</v>
      </c>
      <c r="D5048" s="5" t="s">
        <v>10368</v>
      </c>
      <c r="E5048" s="43">
        <v>2000</v>
      </c>
      <c r="F5048" s="43"/>
      <c r="G5048" s="48">
        <f t="shared" si="135"/>
        <v>5064</v>
      </c>
      <c r="H5048" s="391" t="s">
        <v>9568</v>
      </c>
    </row>
    <row r="5049" spans="1:8" x14ac:dyDescent="0.3">
      <c r="A5049" s="45">
        <v>44921</v>
      </c>
      <c r="B5049" s="586"/>
      <c r="C5049" s="486" t="s">
        <v>10308</v>
      </c>
      <c r="D5049" s="486"/>
      <c r="E5049" s="486"/>
      <c r="F5049" s="43">
        <v>200000</v>
      </c>
      <c r="G5049" s="48">
        <f t="shared" si="135"/>
        <v>205064</v>
      </c>
      <c r="H5049" s="391" t="s">
        <v>9568</v>
      </c>
    </row>
    <row r="5050" spans="1:8" x14ac:dyDescent="0.3">
      <c r="A5050" s="45">
        <v>44921</v>
      </c>
      <c r="B5050" s="399" t="s">
        <v>12190</v>
      </c>
      <c r="C5050" s="5" t="s">
        <v>1074</v>
      </c>
      <c r="D5050" s="5" t="s">
        <v>9971</v>
      </c>
      <c r="E5050" s="43">
        <v>21163</v>
      </c>
      <c r="F5050" s="43"/>
      <c r="G5050" s="48">
        <f t="shared" si="135"/>
        <v>183901</v>
      </c>
      <c r="H5050" s="391" t="s">
        <v>9568</v>
      </c>
    </row>
    <row r="5051" spans="1:8" x14ac:dyDescent="0.3">
      <c r="A5051" s="45">
        <v>44921</v>
      </c>
      <c r="B5051" s="399" t="s">
        <v>118</v>
      </c>
      <c r="C5051" s="5" t="s">
        <v>1074</v>
      </c>
      <c r="D5051" s="5" t="s">
        <v>9971</v>
      </c>
      <c r="E5051" s="43">
        <v>11642</v>
      </c>
      <c r="F5051" s="43"/>
      <c r="G5051" s="48">
        <f t="shared" si="135"/>
        <v>172259</v>
      </c>
      <c r="H5051" s="391" t="s">
        <v>9568</v>
      </c>
    </row>
    <row r="5052" spans="1:8" x14ac:dyDescent="0.3">
      <c r="A5052" s="45">
        <v>44921</v>
      </c>
      <c r="B5052" s="399" t="s">
        <v>10615</v>
      </c>
      <c r="C5052" s="5" t="s">
        <v>84</v>
      </c>
      <c r="D5052" s="5" t="s">
        <v>10370</v>
      </c>
      <c r="E5052" s="43">
        <v>3000</v>
      </c>
      <c r="F5052" s="43"/>
      <c r="G5052" s="48">
        <f t="shared" si="135"/>
        <v>169259</v>
      </c>
      <c r="H5052" s="391" t="s">
        <v>9568</v>
      </c>
    </row>
    <row r="5053" spans="1:8" x14ac:dyDescent="0.3">
      <c r="A5053" s="45">
        <v>44921</v>
      </c>
      <c r="B5053" s="399" t="s">
        <v>10615</v>
      </c>
      <c r="C5053" s="5" t="s">
        <v>7099</v>
      </c>
      <c r="D5053" s="5" t="s">
        <v>6932</v>
      </c>
      <c r="E5053" s="43">
        <v>1170</v>
      </c>
      <c r="F5053" s="43"/>
      <c r="G5053" s="48">
        <f t="shared" si="135"/>
        <v>168089</v>
      </c>
      <c r="H5053" s="391" t="s">
        <v>9568</v>
      </c>
    </row>
    <row r="5054" spans="1:8" x14ac:dyDescent="0.3">
      <c r="A5054" s="45">
        <v>44921</v>
      </c>
      <c r="B5054" s="399" t="s">
        <v>10615</v>
      </c>
      <c r="C5054" s="5" t="s">
        <v>7099</v>
      </c>
      <c r="D5054" s="5" t="s">
        <v>3557</v>
      </c>
      <c r="E5054" s="43">
        <v>1000</v>
      </c>
      <c r="F5054" s="43"/>
      <c r="G5054" s="48">
        <f t="shared" si="135"/>
        <v>167089</v>
      </c>
      <c r="H5054" s="391" t="s">
        <v>9568</v>
      </c>
    </row>
    <row r="5055" spans="1:8" x14ac:dyDescent="0.3">
      <c r="A5055" s="45">
        <v>44921</v>
      </c>
      <c r="B5055" s="399" t="s">
        <v>12091</v>
      </c>
      <c r="C5055" s="5" t="s">
        <v>5793</v>
      </c>
      <c r="D5055" s="5" t="s">
        <v>10371</v>
      </c>
      <c r="E5055" s="43">
        <v>2000</v>
      </c>
      <c r="F5055" s="43"/>
      <c r="G5055" s="48">
        <f t="shared" si="135"/>
        <v>165089</v>
      </c>
      <c r="H5055" s="391" t="s">
        <v>9568</v>
      </c>
    </row>
    <row r="5056" spans="1:8" x14ac:dyDescent="0.3">
      <c r="A5056" s="45">
        <v>44921</v>
      </c>
      <c r="B5056" s="399" t="s">
        <v>9857</v>
      </c>
      <c r="C5056" s="5" t="s">
        <v>18</v>
      </c>
      <c r="D5056" s="5" t="s">
        <v>2013</v>
      </c>
      <c r="E5056" s="43">
        <v>500</v>
      </c>
      <c r="F5056" s="43"/>
      <c r="G5056" s="48">
        <f t="shared" si="135"/>
        <v>164589</v>
      </c>
      <c r="H5056" s="391" t="s">
        <v>9568</v>
      </c>
    </row>
    <row r="5057" spans="1:8" x14ac:dyDescent="0.3">
      <c r="A5057" s="45">
        <v>44921</v>
      </c>
      <c r="B5057" s="399" t="s">
        <v>10333</v>
      </c>
      <c r="C5057" s="5" t="s">
        <v>9525</v>
      </c>
      <c r="D5057" s="5" t="s">
        <v>6932</v>
      </c>
      <c r="E5057" s="43">
        <v>2500</v>
      </c>
      <c r="F5057" s="43"/>
      <c r="G5057" s="48">
        <f t="shared" si="135"/>
        <v>162089</v>
      </c>
      <c r="H5057" s="391" t="s">
        <v>9568</v>
      </c>
    </row>
    <row r="5058" spans="1:8" x14ac:dyDescent="0.3">
      <c r="A5058" s="45">
        <v>44921</v>
      </c>
      <c r="B5058" s="399" t="s">
        <v>9857</v>
      </c>
      <c r="C5058" s="5" t="s">
        <v>9756</v>
      </c>
      <c r="D5058" s="5" t="s">
        <v>10375</v>
      </c>
      <c r="E5058" s="43">
        <v>2560</v>
      </c>
      <c r="F5058" s="43"/>
      <c r="G5058" s="48">
        <f t="shared" si="135"/>
        <v>159529</v>
      </c>
      <c r="H5058" s="391" t="s">
        <v>9568</v>
      </c>
    </row>
    <row r="5059" spans="1:8" x14ac:dyDescent="0.3">
      <c r="A5059" s="45">
        <v>44921</v>
      </c>
      <c r="B5059" s="399" t="s">
        <v>9857</v>
      </c>
      <c r="C5059" s="5" t="s">
        <v>10001</v>
      </c>
      <c r="D5059" s="5" t="s">
        <v>10140</v>
      </c>
      <c r="E5059" s="43">
        <v>4500</v>
      </c>
      <c r="F5059" s="43"/>
      <c r="G5059" s="48">
        <f t="shared" si="135"/>
        <v>155029</v>
      </c>
      <c r="H5059" s="391" t="s">
        <v>9568</v>
      </c>
    </row>
    <row r="5060" spans="1:8" x14ac:dyDescent="0.3">
      <c r="A5060" s="45">
        <v>44921</v>
      </c>
      <c r="B5060" s="399" t="s">
        <v>9990</v>
      </c>
      <c r="C5060" s="5" t="s">
        <v>4550</v>
      </c>
      <c r="D5060" s="5" t="s">
        <v>10150</v>
      </c>
      <c r="E5060" s="43">
        <v>10000</v>
      </c>
      <c r="F5060" s="43"/>
      <c r="G5060" s="48">
        <f t="shared" si="135"/>
        <v>145029</v>
      </c>
      <c r="H5060" s="391" t="s">
        <v>9568</v>
      </c>
    </row>
    <row r="5061" spans="1:8" x14ac:dyDescent="0.3">
      <c r="A5061" s="45">
        <v>44921</v>
      </c>
      <c r="B5061" s="399"/>
      <c r="C5061" s="5" t="s">
        <v>5162</v>
      </c>
      <c r="D5061" s="5" t="s">
        <v>3008</v>
      </c>
      <c r="E5061" s="43">
        <v>900</v>
      </c>
      <c r="F5061" s="43"/>
      <c r="G5061" s="48">
        <f t="shared" si="135"/>
        <v>144129</v>
      </c>
      <c r="H5061" s="391" t="s">
        <v>9568</v>
      </c>
    </row>
    <row r="5062" spans="1:8" x14ac:dyDescent="0.3">
      <c r="A5062" s="45">
        <v>44922</v>
      </c>
      <c r="B5062" s="399" t="s">
        <v>9879</v>
      </c>
      <c r="C5062" s="5" t="s">
        <v>10029</v>
      </c>
      <c r="D5062" s="5" t="s">
        <v>10073</v>
      </c>
      <c r="E5062" s="43">
        <v>20000</v>
      </c>
      <c r="F5062" s="43"/>
      <c r="G5062" s="48">
        <f t="shared" si="135"/>
        <v>124129</v>
      </c>
      <c r="H5062" s="391" t="s">
        <v>9568</v>
      </c>
    </row>
    <row r="5063" spans="1:8" x14ac:dyDescent="0.3">
      <c r="A5063" s="45">
        <v>44922</v>
      </c>
      <c r="B5063" s="586"/>
      <c r="C5063" s="486" t="s">
        <v>10376</v>
      </c>
      <c r="D5063" s="486"/>
      <c r="E5063" s="486"/>
      <c r="F5063" s="43">
        <v>3000</v>
      </c>
      <c r="G5063" s="48">
        <f t="shared" si="135"/>
        <v>127129</v>
      </c>
      <c r="H5063" s="391" t="s">
        <v>9568</v>
      </c>
    </row>
    <row r="5064" spans="1:8" x14ac:dyDescent="0.3">
      <c r="A5064" s="45">
        <v>44922</v>
      </c>
      <c r="B5064" s="399" t="s">
        <v>10112</v>
      </c>
      <c r="C5064" s="5" t="s">
        <v>10309</v>
      </c>
      <c r="D5064" s="5" t="s">
        <v>10377</v>
      </c>
      <c r="E5064" s="43">
        <v>59000</v>
      </c>
      <c r="F5064" s="43"/>
      <c r="G5064" s="48">
        <f t="shared" si="135"/>
        <v>68129</v>
      </c>
      <c r="H5064" s="391" t="s">
        <v>9568</v>
      </c>
    </row>
    <row r="5065" spans="1:8" x14ac:dyDescent="0.3">
      <c r="A5065" s="45">
        <v>44922</v>
      </c>
      <c r="B5065" s="399" t="s">
        <v>10112</v>
      </c>
      <c r="C5065" s="5" t="s">
        <v>10378</v>
      </c>
      <c r="D5065" s="5" t="s">
        <v>10379</v>
      </c>
      <c r="E5065" s="43">
        <v>29000</v>
      </c>
      <c r="F5065" s="43"/>
      <c r="G5065" s="48">
        <f t="shared" si="135"/>
        <v>39129</v>
      </c>
      <c r="H5065" s="391" t="s">
        <v>9568</v>
      </c>
    </row>
    <row r="5066" spans="1:8" x14ac:dyDescent="0.3">
      <c r="A5066" s="45">
        <v>44922</v>
      </c>
      <c r="B5066" s="399" t="s">
        <v>9857</v>
      </c>
      <c r="C5066" s="5" t="s">
        <v>10001</v>
      </c>
      <c r="D5066" s="5" t="s">
        <v>10383</v>
      </c>
      <c r="E5066" s="43">
        <v>5000</v>
      </c>
      <c r="F5066" s="43"/>
      <c r="G5066" s="48">
        <f t="shared" si="135"/>
        <v>34129</v>
      </c>
      <c r="H5066" s="391" t="s">
        <v>9568</v>
      </c>
    </row>
    <row r="5067" spans="1:8" x14ac:dyDescent="0.3">
      <c r="A5067" s="45">
        <v>44923</v>
      </c>
      <c r="B5067" s="399" t="s">
        <v>118</v>
      </c>
      <c r="C5067" s="5" t="s">
        <v>9873</v>
      </c>
      <c r="D5067" s="5" t="s">
        <v>9898</v>
      </c>
      <c r="E5067" s="43">
        <v>5910</v>
      </c>
      <c r="F5067" s="43"/>
      <c r="G5067" s="48">
        <f t="shared" si="135"/>
        <v>28219</v>
      </c>
      <c r="H5067" s="391" t="s">
        <v>9568</v>
      </c>
    </row>
    <row r="5068" spans="1:8" x14ac:dyDescent="0.3">
      <c r="A5068" s="45">
        <v>44923</v>
      </c>
      <c r="B5068" s="399" t="s">
        <v>9879</v>
      </c>
      <c r="C5068" s="5" t="s">
        <v>57</v>
      </c>
      <c r="D5068" s="5" t="s">
        <v>10384</v>
      </c>
      <c r="E5068" s="43">
        <v>2000</v>
      </c>
      <c r="F5068" s="43"/>
      <c r="G5068" s="48">
        <f t="shared" si="135"/>
        <v>26219</v>
      </c>
      <c r="H5068" s="391" t="s">
        <v>9568</v>
      </c>
    </row>
    <row r="5069" spans="1:8" x14ac:dyDescent="0.3">
      <c r="A5069" s="45">
        <v>44923</v>
      </c>
      <c r="B5069" s="399" t="s">
        <v>10112</v>
      </c>
      <c r="C5069" s="5" t="s">
        <v>5793</v>
      </c>
      <c r="D5069" s="5" t="s">
        <v>10385</v>
      </c>
      <c r="E5069" s="43">
        <v>1800</v>
      </c>
      <c r="F5069" s="43"/>
      <c r="G5069" s="48">
        <f t="shared" si="135"/>
        <v>24419</v>
      </c>
      <c r="H5069" s="391" t="s">
        <v>9568</v>
      </c>
    </row>
    <row r="5070" spans="1:8" x14ac:dyDescent="0.3">
      <c r="A5070" s="45">
        <v>44923</v>
      </c>
      <c r="B5070" s="399" t="s">
        <v>9857</v>
      </c>
      <c r="C5070" s="5" t="s">
        <v>84</v>
      </c>
      <c r="D5070" s="5" t="s">
        <v>10386</v>
      </c>
      <c r="E5070" s="43">
        <v>1000</v>
      </c>
      <c r="F5070" s="43"/>
      <c r="G5070" s="48">
        <f t="shared" si="135"/>
        <v>23419</v>
      </c>
      <c r="H5070" s="391" t="s">
        <v>9568</v>
      </c>
    </row>
    <row r="5071" spans="1:8" x14ac:dyDescent="0.3">
      <c r="A5071" s="45">
        <v>44923</v>
      </c>
      <c r="B5071" s="399" t="s">
        <v>9857</v>
      </c>
      <c r="C5071" s="5" t="s">
        <v>9525</v>
      </c>
      <c r="D5071" s="5" t="s">
        <v>10387</v>
      </c>
      <c r="E5071" s="43">
        <v>700</v>
      </c>
      <c r="F5071" s="43"/>
      <c r="G5071" s="48">
        <f t="shared" si="135"/>
        <v>22719</v>
      </c>
      <c r="H5071" s="391" t="s">
        <v>9568</v>
      </c>
    </row>
    <row r="5072" spans="1:8" x14ac:dyDescent="0.3">
      <c r="A5072" s="45">
        <v>44923</v>
      </c>
      <c r="B5072" s="399" t="s">
        <v>118</v>
      </c>
      <c r="C5072" s="5" t="s">
        <v>10388</v>
      </c>
      <c r="D5072" s="5" t="s">
        <v>10389</v>
      </c>
      <c r="E5072" s="43">
        <v>320</v>
      </c>
      <c r="F5072" s="43"/>
      <c r="G5072" s="48">
        <f t="shared" si="135"/>
        <v>22399</v>
      </c>
      <c r="H5072" s="391" t="s">
        <v>9568</v>
      </c>
    </row>
    <row r="5073" spans="1:8" x14ac:dyDescent="0.3">
      <c r="A5073" s="45">
        <v>44923</v>
      </c>
      <c r="B5073" s="399" t="s">
        <v>118</v>
      </c>
      <c r="C5073" s="5" t="s">
        <v>9756</v>
      </c>
      <c r="D5073" s="5" t="s">
        <v>10390</v>
      </c>
      <c r="E5073" s="43">
        <v>600</v>
      </c>
      <c r="F5073" s="43"/>
      <c r="G5073" s="48">
        <f t="shared" si="135"/>
        <v>21799</v>
      </c>
      <c r="H5073" s="391" t="s">
        <v>9568</v>
      </c>
    </row>
    <row r="5074" spans="1:8" x14ac:dyDescent="0.3">
      <c r="A5074" s="45">
        <v>44923</v>
      </c>
      <c r="B5074" s="399" t="s">
        <v>10333</v>
      </c>
      <c r="C5074" s="5" t="s">
        <v>9756</v>
      </c>
      <c r="D5074" s="5" t="s">
        <v>2013</v>
      </c>
      <c r="E5074" s="43">
        <v>750</v>
      </c>
      <c r="F5074" s="43"/>
      <c r="G5074" s="48">
        <f t="shared" si="135"/>
        <v>21049</v>
      </c>
      <c r="H5074" s="391" t="s">
        <v>9568</v>
      </c>
    </row>
    <row r="5075" spans="1:8" x14ac:dyDescent="0.3">
      <c r="A5075" s="45">
        <v>44923</v>
      </c>
      <c r="B5075" s="399" t="s">
        <v>10016</v>
      </c>
      <c r="C5075" s="5" t="s">
        <v>5518</v>
      </c>
      <c r="D5075" s="5" t="s">
        <v>10391</v>
      </c>
      <c r="E5075" s="43">
        <v>5900</v>
      </c>
      <c r="F5075" s="43"/>
      <c r="G5075" s="48">
        <f t="shared" si="135"/>
        <v>15149</v>
      </c>
      <c r="H5075" s="391" t="s">
        <v>9568</v>
      </c>
    </row>
    <row r="5076" spans="1:8" x14ac:dyDescent="0.3">
      <c r="A5076" s="45">
        <v>44923</v>
      </c>
      <c r="B5076" s="399" t="s">
        <v>9997</v>
      </c>
      <c r="C5076" s="5" t="s">
        <v>68</v>
      </c>
      <c r="D5076" s="5" t="s">
        <v>294</v>
      </c>
      <c r="E5076" s="43">
        <v>1000</v>
      </c>
      <c r="F5076" s="43"/>
      <c r="G5076" s="48">
        <f t="shared" si="135"/>
        <v>14149</v>
      </c>
      <c r="H5076" s="391" t="s">
        <v>9568</v>
      </c>
    </row>
    <row r="5077" spans="1:8" x14ac:dyDescent="0.3">
      <c r="A5077" s="45">
        <v>44923</v>
      </c>
      <c r="B5077" s="399" t="s">
        <v>10394</v>
      </c>
      <c r="C5077" s="5" t="s">
        <v>5793</v>
      </c>
      <c r="D5077" s="5" t="s">
        <v>10393</v>
      </c>
      <c r="E5077" s="43">
        <v>500</v>
      </c>
      <c r="F5077" s="43"/>
      <c r="G5077" s="48">
        <f t="shared" si="135"/>
        <v>13649</v>
      </c>
      <c r="H5077" s="391" t="s">
        <v>9568</v>
      </c>
    </row>
    <row r="5078" spans="1:8" x14ac:dyDescent="0.3">
      <c r="A5078" s="45">
        <v>44923</v>
      </c>
      <c r="B5078" s="399" t="s">
        <v>10394</v>
      </c>
      <c r="C5078" s="5" t="s">
        <v>6154</v>
      </c>
      <c r="D5078" s="5" t="s">
        <v>10392</v>
      </c>
      <c r="E5078" s="43">
        <v>4000</v>
      </c>
      <c r="F5078" s="43"/>
      <c r="G5078" s="48">
        <f t="shared" si="135"/>
        <v>9649</v>
      </c>
      <c r="H5078" s="391" t="s">
        <v>9568</v>
      </c>
    </row>
    <row r="5079" spans="1:8" x14ac:dyDescent="0.3">
      <c r="A5079" s="45">
        <v>44924</v>
      </c>
      <c r="B5079" s="345" t="s">
        <v>12096</v>
      </c>
      <c r="C5079" s="5" t="s">
        <v>10397</v>
      </c>
      <c r="D5079" s="5" t="s">
        <v>10396</v>
      </c>
      <c r="E5079" s="43">
        <v>200</v>
      </c>
      <c r="F5079" s="43"/>
      <c r="G5079" s="48">
        <f t="shared" si="135"/>
        <v>9449</v>
      </c>
      <c r="H5079" s="391" t="s">
        <v>9568</v>
      </c>
    </row>
    <row r="5080" spans="1:8" x14ac:dyDescent="0.3">
      <c r="A5080" s="45">
        <v>44924</v>
      </c>
      <c r="B5080" s="399" t="s">
        <v>9990</v>
      </c>
      <c r="C5080" s="5" t="s">
        <v>5162</v>
      </c>
      <c r="D5080" s="5" t="s">
        <v>2013</v>
      </c>
      <c r="E5080" s="43">
        <v>200</v>
      </c>
      <c r="F5080" s="43"/>
      <c r="G5080" s="48">
        <f t="shared" si="135"/>
        <v>9249</v>
      </c>
      <c r="H5080" s="391" t="s">
        <v>9568</v>
      </c>
    </row>
    <row r="5081" spans="1:8" x14ac:dyDescent="0.3">
      <c r="A5081" s="45">
        <v>44925</v>
      </c>
      <c r="B5081" s="586"/>
      <c r="C5081" s="486" t="s">
        <v>4106</v>
      </c>
      <c r="D5081" s="486"/>
      <c r="E5081" s="486"/>
      <c r="F5081" s="43">
        <v>200000</v>
      </c>
      <c r="G5081" s="48">
        <f t="shared" si="135"/>
        <v>209249</v>
      </c>
      <c r="H5081" s="391" t="s">
        <v>9568</v>
      </c>
    </row>
    <row r="5082" spans="1:8" x14ac:dyDescent="0.3">
      <c r="A5082" s="45">
        <v>44925</v>
      </c>
      <c r="B5082" s="399" t="s">
        <v>10400</v>
      </c>
      <c r="C5082" s="5" t="s">
        <v>7571</v>
      </c>
      <c r="D5082" s="5" t="s">
        <v>10401</v>
      </c>
      <c r="E5082" s="43">
        <v>100000</v>
      </c>
      <c r="F5082" s="43"/>
      <c r="G5082" s="48">
        <f t="shared" si="135"/>
        <v>109249</v>
      </c>
      <c r="H5082" s="391" t="s">
        <v>9568</v>
      </c>
    </row>
    <row r="5083" spans="1:8" x14ac:dyDescent="0.3">
      <c r="A5083" s="45">
        <v>44925</v>
      </c>
      <c r="B5083" s="345" t="s">
        <v>12096</v>
      </c>
      <c r="C5083" s="61" t="s">
        <v>9756</v>
      </c>
      <c r="D5083" s="61" t="s">
        <v>10402</v>
      </c>
      <c r="E5083" s="62">
        <v>3700</v>
      </c>
      <c r="F5083" s="43"/>
      <c r="G5083" s="48">
        <f t="shared" si="135"/>
        <v>105549</v>
      </c>
      <c r="H5083" s="391" t="s">
        <v>9568</v>
      </c>
    </row>
    <row r="5084" spans="1:8" x14ac:dyDescent="0.3">
      <c r="A5084" s="45">
        <v>44925</v>
      </c>
      <c r="B5084" s="399" t="s">
        <v>118</v>
      </c>
      <c r="C5084" s="5" t="s">
        <v>9873</v>
      </c>
      <c r="D5084" s="5" t="s">
        <v>9898</v>
      </c>
      <c r="E5084" s="43">
        <v>5320</v>
      </c>
      <c r="F5084" s="43"/>
      <c r="G5084" s="48">
        <f t="shared" si="135"/>
        <v>100229</v>
      </c>
      <c r="H5084" s="391" t="s">
        <v>9568</v>
      </c>
    </row>
    <row r="5085" spans="1:8" x14ac:dyDescent="0.3">
      <c r="A5085" s="45">
        <v>44926</v>
      </c>
      <c r="B5085" s="399" t="s">
        <v>118</v>
      </c>
      <c r="C5085" s="5" t="s">
        <v>84</v>
      </c>
      <c r="D5085" s="5" t="s">
        <v>10403</v>
      </c>
      <c r="E5085" s="43">
        <v>5000</v>
      </c>
      <c r="F5085" s="43"/>
      <c r="G5085" s="48">
        <f t="shared" si="135"/>
        <v>95229</v>
      </c>
      <c r="H5085" s="391" t="s">
        <v>9568</v>
      </c>
    </row>
    <row r="5086" spans="1:8" x14ac:dyDescent="0.3">
      <c r="A5086" s="45">
        <v>44926</v>
      </c>
      <c r="B5086" s="399" t="s">
        <v>9857</v>
      </c>
      <c r="C5086" s="5" t="s">
        <v>9525</v>
      </c>
      <c r="D5086" s="5" t="s">
        <v>7462</v>
      </c>
      <c r="E5086" s="43">
        <v>2000</v>
      </c>
      <c r="F5086" s="43"/>
      <c r="G5086" s="48">
        <f t="shared" si="135"/>
        <v>93229</v>
      </c>
      <c r="H5086" s="391" t="s">
        <v>9568</v>
      </c>
    </row>
    <row r="5087" spans="1:8" x14ac:dyDescent="0.3">
      <c r="A5087" s="45">
        <v>44926</v>
      </c>
      <c r="B5087" s="399" t="s">
        <v>12091</v>
      </c>
      <c r="C5087" s="5" t="s">
        <v>9947</v>
      </c>
      <c r="D5087" s="5" t="s">
        <v>10404</v>
      </c>
      <c r="E5087" s="43">
        <v>20000</v>
      </c>
      <c r="F5087" s="43"/>
      <c r="G5087" s="48">
        <f t="shared" si="135"/>
        <v>73229</v>
      </c>
      <c r="H5087" s="391" t="s">
        <v>9568</v>
      </c>
    </row>
    <row r="5088" spans="1:8" x14ac:dyDescent="0.3">
      <c r="A5088" s="45">
        <v>44926</v>
      </c>
      <c r="B5088" s="399" t="s">
        <v>12091</v>
      </c>
      <c r="C5088" s="5" t="s">
        <v>9947</v>
      </c>
      <c r="D5088" s="5" t="s">
        <v>3557</v>
      </c>
      <c r="E5088" s="43">
        <v>5000</v>
      </c>
      <c r="F5088" s="43"/>
      <c r="G5088" s="48">
        <f t="shared" si="135"/>
        <v>68229</v>
      </c>
      <c r="H5088" s="391" t="s">
        <v>9568</v>
      </c>
    </row>
    <row r="5089" spans="1:8" x14ac:dyDescent="0.3">
      <c r="A5089" s="45">
        <v>44926</v>
      </c>
      <c r="B5089" s="399"/>
      <c r="C5089" s="5" t="s">
        <v>9947</v>
      </c>
      <c r="D5089" s="5" t="s">
        <v>10405</v>
      </c>
      <c r="E5089" s="43">
        <v>15000</v>
      </c>
      <c r="F5089" s="43"/>
      <c r="G5089" s="48">
        <f t="shared" si="135"/>
        <v>53229</v>
      </c>
      <c r="H5089" s="391" t="s">
        <v>9568</v>
      </c>
    </row>
    <row r="5090" spans="1:8" x14ac:dyDescent="0.3">
      <c r="A5090" s="45">
        <v>44926</v>
      </c>
      <c r="B5090" s="399" t="s">
        <v>12190</v>
      </c>
      <c r="C5090" s="5" t="s">
        <v>1074</v>
      </c>
      <c r="D5090" s="5" t="s">
        <v>6234</v>
      </c>
      <c r="E5090" s="43">
        <v>1360</v>
      </c>
      <c r="F5090" s="43"/>
      <c r="G5090" s="48">
        <f t="shared" si="135"/>
        <v>51869</v>
      </c>
      <c r="H5090" s="391" t="s">
        <v>9568</v>
      </c>
    </row>
    <row r="5091" spans="1:8" x14ac:dyDescent="0.3">
      <c r="A5091" s="45">
        <v>44926</v>
      </c>
      <c r="B5091" s="399" t="s">
        <v>118</v>
      </c>
      <c r="C5091" s="5" t="s">
        <v>1074</v>
      </c>
      <c r="D5091" s="5" t="s">
        <v>6234</v>
      </c>
      <c r="E5091" s="43">
        <v>250</v>
      </c>
      <c r="F5091" s="43"/>
      <c r="G5091" s="48">
        <f t="shared" si="135"/>
        <v>51619</v>
      </c>
      <c r="H5091" s="391" t="s">
        <v>9568</v>
      </c>
    </row>
    <row r="5092" spans="1:8" x14ac:dyDescent="0.3">
      <c r="A5092" s="45">
        <v>44926</v>
      </c>
      <c r="B5092" s="399" t="s">
        <v>9997</v>
      </c>
      <c r="C5092" s="5" t="s">
        <v>68</v>
      </c>
      <c r="D5092" s="5" t="s">
        <v>3183</v>
      </c>
      <c r="E5092" s="43">
        <v>4000</v>
      </c>
      <c r="F5092" s="43"/>
      <c r="G5092" s="48">
        <f t="shared" si="135"/>
        <v>47619</v>
      </c>
      <c r="H5092" s="391" t="s">
        <v>9568</v>
      </c>
    </row>
    <row r="5093" spans="1:8" x14ac:dyDescent="0.3">
      <c r="A5093" s="45">
        <v>44926</v>
      </c>
      <c r="B5093" s="399" t="s">
        <v>10112</v>
      </c>
      <c r="C5093" s="5" t="s">
        <v>9756</v>
      </c>
      <c r="D5093" s="5" t="s">
        <v>10406</v>
      </c>
      <c r="E5093" s="43">
        <v>10000</v>
      </c>
      <c r="F5093" s="43"/>
      <c r="G5093" s="48">
        <f t="shared" si="135"/>
        <v>37619</v>
      </c>
      <c r="H5093" s="391" t="s">
        <v>9568</v>
      </c>
    </row>
    <row r="5094" spans="1:8" x14ac:dyDescent="0.3">
      <c r="A5094" s="45">
        <v>44926</v>
      </c>
      <c r="B5094" s="399" t="s">
        <v>118</v>
      </c>
      <c r="C5094" s="5" t="s">
        <v>84</v>
      </c>
      <c r="D5094" s="5" t="s">
        <v>10407</v>
      </c>
      <c r="E5094" s="43">
        <v>10000</v>
      </c>
      <c r="F5094" s="43"/>
      <c r="G5094" s="48">
        <f t="shared" si="135"/>
        <v>27619</v>
      </c>
      <c r="H5094" s="391" t="s">
        <v>9568</v>
      </c>
    </row>
    <row r="5095" spans="1:8" x14ac:dyDescent="0.3">
      <c r="A5095" s="45">
        <v>44928</v>
      </c>
      <c r="B5095" s="399" t="s">
        <v>9879</v>
      </c>
      <c r="C5095" s="5" t="s">
        <v>57</v>
      </c>
      <c r="D5095" s="5" t="s">
        <v>10408</v>
      </c>
      <c r="E5095" s="43">
        <v>1000</v>
      </c>
      <c r="F5095" s="43"/>
      <c r="G5095" s="48">
        <f t="shared" si="135"/>
        <v>26619</v>
      </c>
      <c r="H5095" s="391" t="s">
        <v>9568</v>
      </c>
    </row>
    <row r="5096" spans="1:8" x14ac:dyDescent="0.3">
      <c r="A5096" s="45">
        <v>44928</v>
      </c>
      <c r="B5096" s="399" t="s">
        <v>9863</v>
      </c>
      <c r="C5096" s="5" t="s">
        <v>18</v>
      </c>
      <c r="D5096" s="5" t="s">
        <v>10409</v>
      </c>
      <c r="E5096" s="43">
        <v>1000</v>
      </c>
      <c r="F5096" s="43"/>
      <c r="G5096" s="48">
        <f t="shared" si="135"/>
        <v>25619</v>
      </c>
      <c r="H5096" s="391" t="s">
        <v>9568</v>
      </c>
    </row>
    <row r="5097" spans="1:8" x14ac:dyDescent="0.3">
      <c r="A5097" s="45">
        <v>44928</v>
      </c>
      <c r="B5097" s="399" t="s">
        <v>10112</v>
      </c>
      <c r="C5097" s="5" t="s">
        <v>5793</v>
      </c>
      <c r="D5097" s="5" t="s">
        <v>10410</v>
      </c>
      <c r="E5097" s="43">
        <v>1500</v>
      </c>
      <c r="F5097" s="43"/>
      <c r="G5097" s="48">
        <f t="shared" si="135"/>
        <v>24119</v>
      </c>
      <c r="H5097" s="391" t="s">
        <v>9568</v>
      </c>
    </row>
    <row r="5098" spans="1:8" x14ac:dyDescent="0.3">
      <c r="A5098" s="45">
        <v>44928</v>
      </c>
      <c r="B5098" s="399" t="s">
        <v>10615</v>
      </c>
      <c r="C5098" s="5" t="s">
        <v>6430</v>
      </c>
      <c r="D5098" s="5" t="s">
        <v>6932</v>
      </c>
      <c r="E5098" s="43">
        <v>3960</v>
      </c>
      <c r="F5098" s="43"/>
      <c r="G5098" s="48">
        <f t="shared" si="135"/>
        <v>20159</v>
      </c>
      <c r="H5098" s="391" t="s">
        <v>9568</v>
      </c>
    </row>
    <row r="5099" spans="1:8" x14ac:dyDescent="0.3">
      <c r="A5099" s="45">
        <v>44928</v>
      </c>
      <c r="B5099" s="399" t="s">
        <v>9857</v>
      </c>
      <c r="C5099" s="5" t="s">
        <v>10001</v>
      </c>
      <c r="D5099" s="5" t="s">
        <v>3557</v>
      </c>
      <c r="E5099" s="43">
        <v>3500</v>
      </c>
      <c r="F5099" s="43"/>
      <c r="G5099" s="48">
        <f t="shared" si="135"/>
        <v>16659</v>
      </c>
      <c r="H5099" s="391" t="s">
        <v>9568</v>
      </c>
    </row>
    <row r="5100" spans="1:8" x14ac:dyDescent="0.3">
      <c r="A5100" s="45">
        <v>44928</v>
      </c>
      <c r="B5100" s="399" t="s">
        <v>9857</v>
      </c>
      <c r="C5100" s="5" t="s">
        <v>84</v>
      </c>
      <c r="D5100" s="5" t="s">
        <v>10414</v>
      </c>
      <c r="E5100" s="43">
        <v>1000</v>
      </c>
      <c r="F5100" s="43"/>
      <c r="G5100" s="48">
        <f t="shared" si="135"/>
        <v>15659</v>
      </c>
      <c r="H5100" s="391" t="s">
        <v>9568</v>
      </c>
    </row>
    <row r="5101" spans="1:8" x14ac:dyDescent="0.3">
      <c r="A5101" s="45">
        <v>44929</v>
      </c>
      <c r="B5101" s="399" t="s">
        <v>9857</v>
      </c>
      <c r="C5101" s="5" t="s">
        <v>10001</v>
      </c>
      <c r="D5101" s="5" t="s">
        <v>3557</v>
      </c>
      <c r="E5101" s="43">
        <v>5000</v>
      </c>
      <c r="F5101" s="43"/>
      <c r="G5101" s="48">
        <f t="shared" si="135"/>
        <v>10659</v>
      </c>
      <c r="H5101" s="391" t="s">
        <v>9568</v>
      </c>
    </row>
    <row r="5102" spans="1:8" x14ac:dyDescent="0.3">
      <c r="A5102" s="45">
        <v>44929</v>
      </c>
      <c r="B5102" s="399" t="s">
        <v>10615</v>
      </c>
      <c r="C5102" s="5" t="s">
        <v>7099</v>
      </c>
      <c r="D5102" s="5" t="s">
        <v>10415</v>
      </c>
      <c r="E5102" s="43">
        <v>1070</v>
      </c>
      <c r="F5102" s="43"/>
      <c r="G5102" s="48">
        <f t="shared" si="135"/>
        <v>9589</v>
      </c>
      <c r="H5102" s="391" t="s">
        <v>9568</v>
      </c>
    </row>
    <row r="5103" spans="1:8" x14ac:dyDescent="0.3">
      <c r="A5103" s="45">
        <v>44932</v>
      </c>
      <c r="B5103" s="586"/>
      <c r="C5103" s="486" t="s">
        <v>4106</v>
      </c>
      <c r="D5103" s="486"/>
      <c r="E5103" s="486"/>
      <c r="F5103" s="43">
        <v>150000</v>
      </c>
      <c r="G5103" s="48">
        <f t="shared" si="135"/>
        <v>159589</v>
      </c>
      <c r="H5103" s="391" t="s">
        <v>9568</v>
      </c>
    </row>
    <row r="5104" spans="1:8" x14ac:dyDescent="0.3">
      <c r="A5104" s="45">
        <v>44932</v>
      </c>
      <c r="B5104" s="399" t="s">
        <v>9925</v>
      </c>
      <c r="C5104" s="5" t="s">
        <v>10302</v>
      </c>
      <c r="D5104" s="5" t="s">
        <v>10303</v>
      </c>
      <c r="E5104" s="43">
        <v>5000</v>
      </c>
      <c r="F5104" s="43"/>
      <c r="G5104" s="48">
        <f t="shared" si="135"/>
        <v>154589</v>
      </c>
      <c r="H5104" s="391" t="s">
        <v>9568</v>
      </c>
    </row>
    <row r="5105" spans="1:8" x14ac:dyDescent="0.3">
      <c r="A5105" s="45">
        <v>44932</v>
      </c>
      <c r="B5105" s="399" t="s">
        <v>10615</v>
      </c>
      <c r="C5105" s="5" t="s">
        <v>6430</v>
      </c>
      <c r="D5105" s="5" t="s">
        <v>10416</v>
      </c>
      <c r="E5105" s="43">
        <v>7000</v>
      </c>
      <c r="F5105" s="43"/>
      <c r="G5105" s="48">
        <f t="shared" si="135"/>
        <v>147589</v>
      </c>
      <c r="H5105" s="391" t="s">
        <v>9568</v>
      </c>
    </row>
    <row r="5106" spans="1:8" x14ac:dyDescent="0.3">
      <c r="A5106" s="45">
        <v>44932</v>
      </c>
      <c r="B5106" s="399" t="s">
        <v>118</v>
      </c>
      <c r="C5106" s="5" t="s">
        <v>9873</v>
      </c>
      <c r="D5106" s="5" t="s">
        <v>9898</v>
      </c>
      <c r="E5106" s="43">
        <v>9330</v>
      </c>
      <c r="F5106" s="43"/>
      <c r="G5106" s="48">
        <f t="shared" si="135"/>
        <v>138259</v>
      </c>
      <c r="H5106" s="391" t="s">
        <v>9568</v>
      </c>
    </row>
    <row r="5107" spans="1:8" x14ac:dyDescent="0.3">
      <c r="A5107" s="45">
        <v>44932</v>
      </c>
      <c r="B5107" s="586"/>
      <c r="C5107" s="486" t="s">
        <v>10433</v>
      </c>
      <c r="D5107" s="486"/>
      <c r="E5107" s="486"/>
      <c r="F5107" s="43">
        <v>100000</v>
      </c>
      <c r="G5107" s="48">
        <f t="shared" si="135"/>
        <v>238259</v>
      </c>
      <c r="H5107" s="391" t="s">
        <v>9568</v>
      </c>
    </row>
    <row r="5108" spans="1:8" x14ac:dyDescent="0.3">
      <c r="A5108" s="45">
        <v>44932</v>
      </c>
      <c r="B5108" s="399" t="s">
        <v>9879</v>
      </c>
      <c r="C5108" s="5" t="s">
        <v>68</v>
      </c>
      <c r="D5108" s="5" t="s">
        <v>294</v>
      </c>
      <c r="E5108" s="43">
        <v>15000</v>
      </c>
      <c r="F5108" s="43"/>
      <c r="G5108" s="48">
        <f t="shared" si="135"/>
        <v>223259</v>
      </c>
      <c r="H5108" s="391" t="s">
        <v>9568</v>
      </c>
    </row>
    <row r="5109" spans="1:8" x14ac:dyDescent="0.3">
      <c r="A5109" s="45">
        <v>44932</v>
      </c>
      <c r="B5109" s="399" t="s">
        <v>9879</v>
      </c>
      <c r="C5109" s="5" t="s">
        <v>57</v>
      </c>
      <c r="D5109" s="5" t="s">
        <v>294</v>
      </c>
      <c r="E5109" s="43">
        <v>15000</v>
      </c>
      <c r="F5109" s="43"/>
      <c r="G5109" s="48">
        <f t="shared" ref="G5109:G5172" si="136">G5108+F5109-E5109</f>
        <v>208259</v>
      </c>
      <c r="H5109" s="391" t="s">
        <v>9568</v>
      </c>
    </row>
    <row r="5110" spans="1:8" x14ac:dyDescent="0.3">
      <c r="A5110" s="45">
        <v>44932</v>
      </c>
      <c r="B5110" s="399" t="s">
        <v>9879</v>
      </c>
      <c r="C5110" s="5" t="s">
        <v>10417</v>
      </c>
      <c r="D5110" s="5" t="s">
        <v>10418</v>
      </c>
      <c r="E5110" s="43">
        <v>20000</v>
      </c>
      <c r="F5110" s="43"/>
      <c r="G5110" s="48">
        <f t="shared" si="136"/>
        <v>188259</v>
      </c>
      <c r="H5110" s="391" t="s">
        <v>9568</v>
      </c>
    </row>
    <row r="5111" spans="1:8" x14ac:dyDescent="0.3">
      <c r="A5111" s="45">
        <v>44932</v>
      </c>
      <c r="B5111" s="399"/>
      <c r="C5111" s="5" t="s">
        <v>5793</v>
      </c>
      <c r="D5111" s="5" t="s">
        <v>10419</v>
      </c>
      <c r="E5111" s="43">
        <v>1000</v>
      </c>
      <c r="F5111" s="43"/>
      <c r="G5111" s="48">
        <f t="shared" si="136"/>
        <v>187259</v>
      </c>
      <c r="H5111" s="391" t="s">
        <v>9568</v>
      </c>
    </row>
    <row r="5112" spans="1:8" x14ac:dyDescent="0.3">
      <c r="A5112" s="45">
        <v>44932</v>
      </c>
      <c r="B5112" s="399"/>
      <c r="C5112" s="5" t="s">
        <v>9756</v>
      </c>
      <c r="D5112" s="5" t="s">
        <v>2013</v>
      </c>
      <c r="E5112" s="43">
        <v>1000</v>
      </c>
      <c r="F5112" s="43"/>
      <c r="G5112" s="48">
        <f t="shared" si="136"/>
        <v>186259</v>
      </c>
      <c r="H5112" s="391" t="s">
        <v>9568</v>
      </c>
    </row>
    <row r="5113" spans="1:8" x14ac:dyDescent="0.3">
      <c r="A5113" s="45">
        <v>44932</v>
      </c>
      <c r="B5113" s="399" t="s">
        <v>118</v>
      </c>
      <c r="C5113" s="5" t="s">
        <v>84</v>
      </c>
      <c r="D5113" s="5" t="s">
        <v>10420</v>
      </c>
      <c r="E5113" s="43">
        <v>2000</v>
      </c>
      <c r="F5113" s="43"/>
      <c r="G5113" s="48">
        <f t="shared" si="136"/>
        <v>184259</v>
      </c>
      <c r="H5113" s="391" t="s">
        <v>9568</v>
      </c>
    </row>
    <row r="5114" spans="1:8" x14ac:dyDescent="0.3">
      <c r="A5114" s="45">
        <v>44932</v>
      </c>
      <c r="B5114" s="399" t="s">
        <v>118</v>
      </c>
      <c r="C5114" s="5" t="s">
        <v>84</v>
      </c>
      <c r="D5114" s="5" t="s">
        <v>10421</v>
      </c>
      <c r="E5114" s="43">
        <v>2000</v>
      </c>
      <c r="F5114" s="43"/>
      <c r="G5114" s="48">
        <f t="shared" si="136"/>
        <v>182259</v>
      </c>
      <c r="H5114" s="391" t="s">
        <v>9568</v>
      </c>
    </row>
    <row r="5115" spans="1:8" x14ac:dyDescent="0.3">
      <c r="A5115" s="45">
        <v>44932</v>
      </c>
      <c r="B5115" s="586"/>
      <c r="C5115" s="486" t="s">
        <v>4106</v>
      </c>
      <c r="D5115" s="486"/>
      <c r="E5115" s="486"/>
      <c r="F5115" s="43">
        <v>500000</v>
      </c>
      <c r="G5115" s="48">
        <f t="shared" si="136"/>
        <v>682259</v>
      </c>
      <c r="H5115" s="391" t="s">
        <v>9568</v>
      </c>
    </row>
    <row r="5116" spans="1:8" x14ac:dyDescent="0.3">
      <c r="A5116" s="45">
        <v>44932</v>
      </c>
      <c r="B5116" s="399"/>
      <c r="C5116" s="5" t="s">
        <v>541</v>
      </c>
      <c r="D5116" s="5" t="s">
        <v>438</v>
      </c>
      <c r="E5116" s="43">
        <v>15000</v>
      </c>
      <c r="F5116" s="43"/>
      <c r="G5116" s="48">
        <f t="shared" si="136"/>
        <v>667259</v>
      </c>
      <c r="H5116" s="391" t="s">
        <v>9568</v>
      </c>
    </row>
    <row r="5117" spans="1:8" x14ac:dyDescent="0.3">
      <c r="A5117" s="45">
        <v>44933</v>
      </c>
      <c r="B5117" s="409" t="s">
        <v>10615</v>
      </c>
      <c r="C5117" s="61" t="s">
        <v>1512</v>
      </c>
      <c r="D5117" s="61" t="s">
        <v>9689</v>
      </c>
      <c r="E5117" s="62">
        <v>124063</v>
      </c>
      <c r="F5117" s="43"/>
      <c r="G5117" s="48">
        <f t="shared" si="136"/>
        <v>543196</v>
      </c>
      <c r="H5117" s="391" t="s">
        <v>9568</v>
      </c>
    </row>
    <row r="5118" spans="1:8" x14ac:dyDescent="0.3">
      <c r="A5118" s="45">
        <v>44933</v>
      </c>
      <c r="B5118" s="409" t="s">
        <v>5933</v>
      </c>
      <c r="C5118" s="61" t="s">
        <v>1512</v>
      </c>
      <c r="D5118" s="61" t="s">
        <v>8636</v>
      </c>
      <c r="E5118" s="62">
        <v>149531</v>
      </c>
      <c r="F5118" s="43"/>
      <c r="G5118" s="48">
        <f t="shared" si="136"/>
        <v>393665</v>
      </c>
      <c r="H5118" s="391" t="s">
        <v>9568</v>
      </c>
    </row>
    <row r="5119" spans="1:8" x14ac:dyDescent="0.3">
      <c r="A5119" s="45">
        <v>44933</v>
      </c>
      <c r="B5119" s="409" t="s">
        <v>9990</v>
      </c>
      <c r="C5119" s="61" t="s">
        <v>1512</v>
      </c>
      <c r="D5119" s="480" t="s">
        <v>10431</v>
      </c>
      <c r="E5119" s="62">
        <v>185839</v>
      </c>
      <c r="F5119" s="43"/>
      <c r="G5119" s="48">
        <f t="shared" si="136"/>
        <v>207826</v>
      </c>
      <c r="H5119" s="391" t="s">
        <v>9568</v>
      </c>
    </row>
    <row r="5120" spans="1:8" x14ac:dyDescent="0.3">
      <c r="A5120" s="45">
        <v>44933</v>
      </c>
      <c r="B5120" s="409" t="s">
        <v>9990</v>
      </c>
      <c r="C5120" s="61" t="s">
        <v>1512</v>
      </c>
      <c r="D5120" s="61" t="s">
        <v>9512</v>
      </c>
      <c r="E5120" s="62">
        <v>32016</v>
      </c>
      <c r="F5120" s="43"/>
      <c r="G5120" s="48">
        <f t="shared" si="136"/>
        <v>175810</v>
      </c>
      <c r="H5120" s="391" t="s">
        <v>9568</v>
      </c>
    </row>
    <row r="5121" spans="1:8" x14ac:dyDescent="0.3">
      <c r="A5121" s="45">
        <v>44933</v>
      </c>
      <c r="B5121" s="345" t="s">
        <v>12096</v>
      </c>
      <c r="C5121" s="5" t="s">
        <v>68</v>
      </c>
      <c r="D5121" s="5" t="s">
        <v>10423</v>
      </c>
      <c r="E5121" s="43">
        <v>60000</v>
      </c>
      <c r="F5121" s="43"/>
      <c r="G5121" s="48">
        <f t="shared" si="136"/>
        <v>115810</v>
      </c>
      <c r="H5121" s="391" t="s">
        <v>9568</v>
      </c>
    </row>
    <row r="5122" spans="1:8" x14ac:dyDescent="0.3">
      <c r="A5122" s="45">
        <v>44933</v>
      </c>
      <c r="B5122" s="399" t="s">
        <v>5933</v>
      </c>
      <c r="C5122" s="5" t="s">
        <v>6931</v>
      </c>
      <c r="D5122" s="5" t="s">
        <v>6932</v>
      </c>
      <c r="E5122" s="43">
        <v>3000</v>
      </c>
      <c r="F5122" s="43"/>
      <c r="G5122" s="48">
        <f t="shared" si="136"/>
        <v>112810</v>
      </c>
      <c r="H5122" s="391" t="s">
        <v>9568</v>
      </c>
    </row>
    <row r="5123" spans="1:8" x14ac:dyDescent="0.3">
      <c r="A5123" s="45">
        <v>44933</v>
      </c>
      <c r="B5123" s="399" t="s">
        <v>5933</v>
      </c>
      <c r="C5123" s="5" t="s">
        <v>6931</v>
      </c>
      <c r="D5123" s="5" t="s">
        <v>9895</v>
      </c>
      <c r="E5123" s="43">
        <v>2000</v>
      </c>
      <c r="F5123" s="43"/>
      <c r="G5123" s="48">
        <f t="shared" si="136"/>
        <v>110810</v>
      </c>
      <c r="H5123" s="391" t="s">
        <v>9568</v>
      </c>
    </row>
    <row r="5124" spans="1:8" x14ac:dyDescent="0.3">
      <c r="A5124" s="45">
        <v>44933</v>
      </c>
      <c r="B5124" s="399" t="s">
        <v>5933</v>
      </c>
      <c r="C5124" s="5" t="s">
        <v>6931</v>
      </c>
      <c r="D5124" s="5" t="s">
        <v>2013</v>
      </c>
      <c r="E5124" s="43">
        <v>250</v>
      </c>
      <c r="F5124" s="43"/>
      <c r="G5124" s="48">
        <f t="shared" si="136"/>
        <v>110560</v>
      </c>
      <c r="H5124" s="391" t="s">
        <v>9568</v>
      </c>
    </row>
    <row r="5125" spans="1:8" x14ac:dyDescent="0.3">
      <c r="A5125" s="45">
        <v>44933</v>
      </c>
      <c r="B5125" s="399" t="s">
        <v>9857</v>
      </c>
      <c r="C5125" s="5" t="s">
        <v>9525</v>
      </c>
      <c r="D5125" s="5" t="s">
        <v>10424</v>
      </c>
      <c r="E5125" s="43">
        <v>1100</v>
      </c>
      <c r="F5125" s="43"/>
      <c r="G5125" s="48">
        <f t="shared" si="136"/>
        <v>109460</v>
      </c>
      <c r="H5125" s="391" t="s">
        <v>9568</v>
      </c>
    </row>
    <row r="5126" spans="1:8" x14ac:dyDescent="0.3">
      <c r="A5126" s="45">
        <v>44933</v>
      </c>
      <c r="B5126" s="399" t="s">
        <v>9857</v>
      </c>
      <c r="C5126" s="5" t="s">
        <v>9525</v>
      </c>
      <c r="D5126" s="5" t="s">
        <v>10425</v>
      </c>
      <c r="E5126" s="43">
        <v>1100</v>
      </c>
      <c r="F5126" s="43"/>
      <c r="G5126" s="48">
        <f t="shared" si="136"/>
        <v>108360</v>
      </c>
      <c r="H5126" s="391" t="s">
        <v>9568</v>
      </c>
    </row>
    <row r="5127" spans="1:8" x14ac:dyDescent="0.3">
      <c r="A5127" s="45">
        <v>44933</v>
      </c>
      <c r="B5127" s="399"/>
      <c r="C5127" s="5" t="s">
        <v>84</v>
      </c>
      <c r="D5127" s="5" t="s">
        <v>10426</v>
      </c>
      <c r="E5127" s="65">
        <v>1000</v>
      </c>
      <c r="F5127" s="43"/>
      <c r="G5127" s="48">
        <f t="shared" si="136"/>
        <v>107360</v>
      </c>
      <c r="H5127" s="391" t="s">
        <v>9568</v>
      </c>
    </row>
    <row r="5128" spans="1:8" x14ac:dyDescent="0.3">
      <c r="A5128" s="45">
        <v>44933</v>
      </c>
      <c r="B5128" s="399"/>
      <c r="C5128" s="5" t="s">
        <v>84</v>
      </c>
      <c r="D5128" s="5" t="s">
        <v>10427</v>
      </c>
      <c r="E5128" s="65">
        <v>1000</v>
      </c>
      <c r="F5128" s="43"/>
      <c r="G5128" s="48">
        <f t="shared" si="136"/>
        <v>106360</v>
      </c>
      <c r="H5128" s="391" t="s">
        <v>9568</v>
      </c>
    </row>
    <row r="5129" spans="1:8" x14ac:dyDescent="0.3">
      <c r="A5129" s="45">
        <v>44933</v>
      </c>
      <c r="B5129" s="399"/>
      <c r="C5129" s="5" t="s">
        <v>84</v>
      </c>
      <c r="D5129" s="5" t="s">
        <v>10428</v>
      </c>
      <c r="E5129" s="65">
        <v>1000</v>
      </c>
      <c r="F5129" s="43"/>
      <c r="G5129" s="48">
        <f t="shared" si="136"/>
        <v>105360</v>
      </c>
      <c r="H5129" s="391" t="s">
        <v>9568</v>
      </c>
    </row>
    <row r="5130" spans="1:8" x14ac:dyDescent="0.3">
      <c r="A5130" s="45">
        <v>44933</v>
      </c>
      <c r="B5130" s="345" t="s">
        <v>12096</v>
      </c>
      <c r="C5130" s="5" t="s">
        <v>7744</v>
      </c>
      <c r="D5130" s="5" t="s">
        <v>10429</v>
      </c>
      <c r="E5130" s="43">
        <v>45000</v>
      </c>
      <c r="F5130" s="43"/>
      <c r="G5130" s="48">
        <f t="shared" si="136"/>
        <v>60360</v>
      </c>
      <c r="H5130" s="391" t="s">
        <v>9568</v>
      </c>
    </row>
    <row r="5131" spans="1:8" x14ac:dyDescent="0.3">
      <c r="A5131" s="45">
        <v>44933</v>
      </c>
      <c r="B5131" s="409" t="s">
        <v>118</v>
      </c>
      <c r="C5131" s="61" t="s">
        <v>1512</v>
      </c>
      <c r="D5131" s="61" t="s">
        <v>10430</v>
      </c>
      <c r="E5131" s="62">
        <v>20000</v>
      </c>
      <c r="F5131" s="43"/>
      <c r="G5131" s="48">
        <f t="shared" si="136"/>
        <v>40360</v>
      </c>
      <c r="H5131" s="391" t="s">
        <v>9568</v>
      </c>
    </row>
    <row r="5132" spans="1:8" x14ac:dyDescent="0.3">
      <c r="A5132" s="45">
        <v>44933</v>
      </c>
      <c r="B5132" s="399" t="s">
        <v>118</v>
      </c>
      <c r="C5132" s="5" t="s">
        <v>9873</v>
      </c>
      <c r="D5132" s="5" t="s">
        <v>10239</v>
      </c>
      <c r="E5132" s="43">
        <v>1000</v>
      </c>
      <c r="F5132" s="43"/>
      <c r="G5132" s="48">
        <f t="shared" si="136"/>
        <v>39360</v>
      </c>
      <c r="H5132" s="391" t="s">
        <v>9568</v>
      </c>
    </row>
    <row r="5133" spans="1:8" x14ac:dyDescent="0.3">
      <c r="A5133" s="45">
        <v>44933</v>
      </c>
      <c r="B5133" s="399"/>
      <c r="C5133" s="5" t="s">
        <v>84</v>
      </c>
      <c r="D5133" s="5" t="s">
        <v>10432</v>
      </c>
      <c r="E5133" s="65">
        <v>3000</v>
      </c>
      <c r="F5133" s="43"/>
      <c r="G5133" s="48">
        <f t="shared" si="136"/>
        <v>36360</v>
      </c>
      <c r="H5133" s="391" t="s">
        <v>9568</v>
      </c>
    </row>
    <row r="5134" spans="1:8" x14ac:dyDescent="0.3">
      <c r="A5134" s="45">
        <v>44935</v>
      </c>
      <c r="B5134" s="345" t="s">
        <v>12096</v>
      </c>
      <c r="C5134" s="5" t="s">
        <v>18</v>
      </c>
      <c r="D5134" s="5" t="s">
        <v>2013</v>
      </c>
      <c r="E5134" s="43">
        <v>500</v>
      </c>
      <c r="F5134" s="43"/>
      <c r="G5134" s="48">
        <f t="shared" si="136"/>
        <v>35860</v>
      </c>
      <c r="H5134" s="391" t="s">
        <v>9568</v>
      </c>
    </row>
    <row r="5135" spans="1:8" x14ac:dyDescent="0.3">
      <c r="A5135" s="45">
        <v>44935</v>
      </c>
      <c r="B5135" s="586"/>
      <c r="C5135" s="486" t="s">
        <v>10433</v>
      </c>
      <c r="D5135" s="486"/>
      <c r="E5135" s="486"/>
      <c r="F5135" s="43">
        <v>33000</v>
      </c>
      <c r="G5135" s="48">
        <f t="shared" si="136"/>
        <v>68860</v>
      </c>
      <c r="H5135" s="391" t="s">
        <v>9568</v>
      </c>
    </row>
    <row r="5136" spans="1:8" x14ac:dyDescent="0.3">
      <c r="A5136" s="45">
        <v>44935</v>
      </c>
      <c r="B5136" s="586"/>
      <c r="C5136" s="486" t="s">
        <v>10433</v>
      </c>
      <c r="D5136" s="486"/>
      <c r="E5136" s="486"/>
      <c r="F5136" s="43">
        <v>100000</v>
      </c>
      <c r="G5136" s="48">
        <f t="shared" si="136"/>
        <v>168860</v>
      </c>
      <c r="H5136" s="391" t="s">
        <v>9568</v>
      </c>
    </row>
    <row r="5137" spans="1:12" x14ac:dyDescent="0.3">
      <c r="A5137" s="45">
        <v>44935</v>
      </c>
      <c r="B5137" s="399" t="s">
        <v>12091</v>
      </c>
      <c r="C5137" s="5" t="s">
        <v>10175</v>
      </c>
      <c r="D5137" s="5" t="s">
        <v>10434</v>
      </c>
      <c r="E5137" s="43">
        <v>31200</v>
      </c>
      <c r="F5137" s="43"/>
      <c r="G5137" s="48">
        <f t="shared" si="136"/>
        <v>137660</v>
      </c>
      <c r="H5137" s="391" t="s">
        <v>9568</v>
      </c>
    </row>
    <row r="5138" spans="1:12" x14ac:dyDescent="0.3">
      <c r="A5138" s="45">
        <v>44935</v>
      </c>
      <c r="B5138" s="399" t="s">
        <v>10112</v>
      </c>
      <c r="C5138" s="5" t="s">
        <v>10435</v>
      </c>
      <c r="D5138" s="5" t="s">
        <v>10436</v>
      </c>
      <c r="E5138" s="43">
        <v>53200</v>
      </c>
      <c r="F5138" s="43"/>
      <c r="G5138" s="48">
        <f t="shared" si="136"/>
        <v>84460</v>
      </c>
      <c r="H5138" s="391" t="s">
        <v>9568</v>
      </c>
    </row>
    <row r="5139" spans="1:12" x14ac:dyDescent="0.3">
      <c r="A5139" s="45">
        <v>44935</v>
      </c>
      <c r="B5139" s="399" t="s">
        <v>9863</v>
      </c>
      <c r="C5139" s="5" t="s">
        <v>9756</v>
      </c>
      <c r="D5139" s="5" t="s">
        <v>5429</v>
      </c>
      <c r="E5139" s="43">
        <v>7712</v>
      </c>
      <c r="F5139" s="43"/>
      <c r="G5139" s="48">
        <f t="shared" si="136"/>
        <v>76748</v>
      </c>
      <c r="H5139" s="391" t="s">
        <v>9568</v>
      </c>
    </row>
    <row r="5140" spans="1:12" x14ac:dyDescent="0.3">
      <c r="A5140" s="45">
        <v>44935</v>
      </c>
      <c r="B5140" s="399"/>
      <c r="C5140" s="5" t="s">
        <v>14</v>
      </c>
      <c r="D5140" s="5" t="s">
        <v>294</v>
      </c>
      <c r="E5140" s="43">
        <v>7000</v>
      </c>
      <c r="F5140" s="43"/>
      <c r="G5140" s="48">
        <f t="shared" si="136"/>
        <v>69748</v>
      </c>
      <c r="H5140" s="391" t="s">
        <v>9568</v>
      </c>
    </row>
    <row r="5141" spans="1:12" x14ac:dyDescent="0.3">
      <c r="A5141" s="45">
        <v>44935</v>
      </c>
      <c r="B5141" s="399"/>
      <c r="C5141" s="5" t="s">
        <v>14</v>
      </c>
      <c r="D5141" s="5" t="s">
        <v>10437</v>
      </c>
      <c r="E5141" s="43">
        <v>5332</v>
      </c>
      <c r="F5141" s="43"/>
      <c r="G5141" s="48">
        <f t="shared" si="136"/>
        <v>64416</v>
      </c>
      <c r="H5141" s="391" t="s">
        <v>9568</v>
      </c>
    </row>
    <row r="5142" spans="1:12" x14ac:dyDescent="0.3">
      <c r="A5142" s="45">
        <v>44935</v>
      </c>
      <c r="B5142" s="586"/>
      <c r="C5142" s="486" t="s">
        <v>10433</v>
      </c>
      <c r="D5142" s="486"/>
      <c r="E5142" s="486"/>
      <c r="F5142" s="43">
        <v>224000</v>
      </c>
      <c r="G5142" s="48">
        <f t="shared" si="136"/>
        <v>288416</v>
      </c>
      <c r="H5142" s="391" t="s">
        <v>9568</v>
      </c>
    </row>
    <row r="5143" spans="1:12" x14ac:dyDescent="0.3">
      <c r="A5143" s="45">
        <v>44935</v>
      </c>
      <c r="B5143" s="409" t="s">
        <v>118</v>
      </c>
      <c r="C5143" s="61" t="s">
        <v>1512</v>
      </c>
      <c r="D5143" s="61" t="s">
        <v>6842</v>
      </c>
      <c r="E5143" s="62">
        <v>126774</v>
      </c>
      <c r="F5143" s="43"/>
      <c r="G5143" s="48">
        <f t="shared" si="136"/>
        <v>161642</v>
      </c>
      <c r="H5143" s="391" t="s">
        <v>9568</v>
      </c>
    </row>
    <row r="5144" spans="1:12" x14ac:dyDescent="0.3">
      <c r="A5144" s="45">
        <v>44935</v>
      </c>
      <c r="B5144" s="409" t="s">
        <v>9863</v>
      </c>
      <c r="C5144" s="61" t="s">
        <v>1512</v>
      </c>
      <c r="D5144" s="61" t="s">
        <v>6245</v>
      </c>
      <c r="E5144" s="62">
        <v>48790</v>
      </c>
      <c r="F5144" s="43"/>
      <c r="G5144" s="48">
        <f t="shared" si="136"/>
        <v>112852</v>
      </c>
      <c r="H5144" s="391" t="s">
        <v>9568</v>
      </c>
      <c r="K5144" s="441"/>
    </row>
    <row r="5145" spans="1:12" x14ac:dyDescent="0.3">
      <c r="A5145" s="45">
        <v>44935</v>
      </c>
      <c r="B5145" s="409" t="s">
        <v>9990</v>
      </c>
      <c r="C5145" s="61" t="s">
        <v>1512</v>
      </c>
      <c r="D5145" s="61" t="s">
        <v>10253</v>
      </c>
      <c r="E5145" s="62">
        <v>33000</v>
      </c>
      <c r="F5145" s="43"/>
      <c r="G5145" s="48">
        <f t="shared" si="136"/>
        <v>79852</v>
      </c>
      <c r="H5145" s="391" t="s">
        <v>9568</v>
      </c>
      <c r="K5145" s="442"/>
    </row>
    <row r="5146" spans="1:12" x14ac:dyDescent="0.3">
      <c r="A5146" s="45">
        <v>44935</v>
      </c>
      <c r="B5146" s="586"/>
      <c r="C5146" s="486" t="s">
        <v>4106</v>
      </c>
      <c r="D5146" s="486"/>
      <c r="E5146" s="486"/>
      <c r="F5146" s="43">
        <v>200000</v>
      </c>
      <c r="G5146" s="48">
        <f t="shared" si="136"/>
        <v>279852</v>
      </c>
      <c r="H5146" s="391" t="s">
        <v>9568</v>
      </c>
      <c r="K5146" s="442"/>
    </row>
    <row r="5147" spans="1:12" x14ac:dyDescent="0.3">
      <c r="A5147" s="45">
        <v>44936</v>
      </c>
      <c r="B5147" s="409" t="s">
        <v>9857</v>
      </c>
      <c r="C5147" s="61" t="s">
        <v>1512</v>
      </c>
      <c r="D5147" s="61" t="s">
        <v>10438</v>
      </c>
      <c r="E5147" s="62">
        <v>77685</v>
      </c>
      <c r="F5147" s="43"/>
      <c r="G5147" s="48">
        <f t="shared" si="136"/>
        <v>202167</v>
      </c>
      <c r="H5147" s="391" t="s">
        <v>9568</v>
      </c>
    </row>
    <row r="5148" spans="1:12" x14ac:dyDescent="0.3">
      <c r="A5148" s="45">
        <v>44936</v>
      </c>
      <c r="B5148" s="409" t="s">
        <v>9925</v>
      </c>
      <c r="C5148" s="61" t="s">
        <v>1512</v>
      </c>
      <c r="D5148" s="61" t="s">
        <v>10439</v>
      </c>
      <c r="E5148" s="62">
        <v>121274</v>
      </c>
      <c r="F5148" s="43"/>
      <c r="G5148" s="48">
        <f t="shared" si="136"/>
        <v>80893</v>
      </c>
      <c r="H5148" s="391" t="s">
        <v>9568</v>
      </c>
    </row>
    <row r="5149" spans="1:12" x14ac:dyDescent="0.3">
      <c r="A5149" s="45">
        <v>44936</v>
      </c>
      <c r="B5149" s="409" t="s">
        <v>9990</v>
      </c>
      <c r="C5149" s="61" t="s">
        <v>1512</v>
      </c>
      <c r="D5149" s="61" t="s">
        <v>10440</v>
      </c>
      <c r="E5149" s="62">
        <v>49218</v>
      </c>
      <c r="F5149" s="43"/>
      <c r="G5149" s="48">
        <f t="shared" si="136"/>
        <v>31675</v>
      </c>
      <c r="H5149" s="391" t="s">
        <v>9568</v>
      </c>
    </row>
    <row r="5150" spans="1:12" x14ac:dyDescent="0.3">
      <c r="A5150" s="45">
        <v>44936</v>
      </c>
      <c r="B5150" s="399" t="s">
        <v>9860</v>
      </c>
      <c r="C5150" s="5" t="s">
        <v>9044</v>
      </c>
      <c r="D5150" s="5" t="s">
        <v>10443</v>
      </c>
      <c r="E5150" s="43">
        <v>13000</v>
      </c>
      <c r="F5150" s="43"/>
      <c r="G5150" s="48">
        <f t="shared" si="136"/>
        <v>18675</v>
      </c>
      <c r="H5150" s="391" t="s">
        <v>9568</v>
      </c>
      <c r="I5150" s="155"/>
      <c r="J5150" s="155"/>
      <c r="K5150" s="155"/>
      <c r="L5150" s="390"/>
    </row>
    <row r="5151" spans="1:12" x14ac:dyDescent="0.3">
      <c r="A5151" s="45">
        <v>44936</v>
      </c>
      <c r="B5151" s="345" t="s">
        <v>12096</v>
      </c>
      <c r="C5151" s="5" t="s">
        <v>5793</v>
      </c>
      <c r="D5151" s="5" t="s">
        <v>10444</v>
      </c>
      <c r="E5151" s="43">
        <v>2000</v>
      </c>
      <c r="F5151" s="43"/>
      <c r="G5151" s="48">
        <f t="shared" si="136"/>
        <v>16675</v>
      </c>
      <c r="H5151" s="391" t="s">
        <v>9568</v>
      </c>
    </row>
    <row r="5152" spans="1:12" x14ac:dyDescent="0.3">
      <c r="A5152" s="45">
        <v>44936</v>
      </c>
      <c r="B5152" s="586"/>
      <c r="C5152" s="486" t="s">
        <v>4106</v>
      </c>
      <c r="D5152" s="486"/>
      <c r="E5152" s="486"/>
      <c r="F5152" s="43">
        <v>100000</v>
      </c>
      <c r="G5152" s="48">
        <f t="shared" si="136"/>
        <v>116675</v>
      </c>
      <c r="H5152" s="391" t="s">
        <v>9568</v>
      </c>
    </row>
    <row r="5153" spans="1:14" x14ac:dyDescent="0.3">
      <c r="A5153" s="45">
        <v>44936</v>
      </c>
      <c r="B5153" s="399"/>
      <c r="C5153" s="5" t="s">
        <v>3724</v>
      </c>
      <c r="D5153" s="5"/>
      <c r="E5153" s="43">
        <v>4970</v>
      </c>
      <c r="F5153" s="43"/>
      <c r="G5153" s="48">
        <f t="shared" si="136"/>
        <v>111705</v>
      </c>
      <c r="H5153" s="391" t="s">
        <v>9568</v>
      </c>
    </row>
    <row r="5154" spans="1:14" x14ac:dyDescent="0.3">
      <c r="A5154" s="45">
        <v>44936</v>
      </c>
      <c r="B5154" s="399" t="s">
        <v>118</v>
      </c>
      <c r="C5154" s="5" t="s">
        <v>9873</v>
      </c>
      <c r="D5154" s="5" t="s">
        <v>9898</v>
      </c>
      <c r="E5154" s="43">
        <v>6920</v>
      </c>
      <c r="F5154" s="43"/>
      <c r="G5154" s="48">
        <f t="shared" si="136"/>
        <v>104785</v>
      </c>
      <c r="H5154" s="391" t="s">
        <v>9568</v>
      </c>
    </row>
    <row r="5155" spans="1:14" x14ac:dyDescent="0.3">
      <c r="A5155" s="45">
        <v>44936</v>
      </c>
      <c r="B5155" s="409" t="s">
        <v>9879</v>
      </c>
      <c r="C5155" s="61" t="s">
        <v>1512</v>
      </c>
      <c r="D5155" s="61" t="s">
        <v>10445</v>
      </c>
      <c r="E5155" s="62">
        <v>47363</v>
      </c>
      <c r="F5155" s="43"/>
      <c r="G5155" s="48">
        <f t="shared" si="136"/>
        <v>57422</v>
      </c>
      <c r="H5155" s="391" t="s">
        <v>9568</v>
      </c>
    </row>
    <row r="5156" spans="1:14" x14ac:dyDescent="0.3">
      <c r="A5156" s="45">
        <v>44937</v>
      </c>
      <c r="B5156" s="399"/>
      <c r="C5156" s="5" t="s">
        <v>14</v>
      </c>
      <c r="D5156" s="5" t="s">
        <v>294</v>
      </c>
      <c r="E5156" s="43">
        <v>6000</v>
      </c>
      <c r="F5156" s="43"/>
      <c r="G5156" s="48">
        <f t="shared" si="136"/>
        <v>51422</v>
      </c>
      <c r="H5156" s="391" t="s">
        <v>9568</v>
      </c>
    </row>
    <row r="5157" spans="1:14" x14ac:dyDescent="0.3">
      <c r="A5157" s="45">
        <v>44937</v>
      </c>
      <c r="B5157" s="399"/>
      <c r="C5157" s="5" t="s">
        <v>247</v>
      </c>
      <c r="D5157" s="5" t="s">
        <v>10446</v>
      </c>
      <c r="E5157" s="43">
        <v>5000</v>
      </c>
      <c r="F5157" s="43"/>
      <c r="G5157" s="48">
        <f t="shared" si="136"/>
        <v>46422</v>
      </c>
      <c r="H5157" s="391" t="s">
        <v>9568</v>
      </c>
      <c r="J5157" s="441"/>
    </row>
    <row r="5158" spans="1:14" s="390" customFormat="1" ht="37.5" x14ac:dyDescent="0.3">
      <c r="A5158" s="45">
        <v>44937</v>
      </c>
      <c r="B5158" s="322"/>
      <c r="C5158" s="44" t="s">
        <v>10309</v>
      </c>
      <c r="D5158" s="124" t="s">
        <v>10450</v>
      </c>
      <c r="E5158" s="28">
        <v>9000</v>
      </c>
      <c r="F5158" s="28"/>
      <c r="G5158" s="48">
        <f t="shared" si="136"/>
        <v>37422</v>
      </c>
      <c r="H5158" s="400" t="s">
        <v>9568</v>
      </c>
      <c r="I5158" s="52"/>
      <c r="J5158" s="52"/>
      <c r="K5158" s="52"/>
      <c r="L5158" s="4"/>
      <c r="N5158" s="155"/>
    </row>
    <row r="5159" spans="1:14" x14ac:dyDescent="0.3">
      <c r="A5159" s="45">
        <v>44937</v>
      </c>
      <c r="B5159" s="322" t="s">
        <v>9879</v>
      </c>
      <c r="C5159" s="44" t="s">
        <v>10360</v>
      </c>
      <c r="D5159" s="124" t="s">
        <v>10459</v>
      </c>
      <c r="E5159" s="28">
        <v>20000</v>
      </c>
      <c r="F5159" s="28"/>
      <c r="G5159" s="48">
        <f t="shared" si="136"/>
        <v>17422</v>
      </c>
      <c r="H5159" s="391" t="s">
        <v>9568</v>
      </c>
    </row>
    <row r="5160" spans="1:14" x14ac:dyDescent="0.3">
      <c r="A5160" s="45">
        <v>44937</v>
      </c>
      <c r="B5160" s="586"/>
      <c r="C5160" s="486" t="s">
        <v>4106</v>
      </c>
      <c r="D5160" s="486"/>
      <c r="E5160" s="486"/>
      <c r="F5160" s="43">
        <v>100000</v>
      </c>
      <c r="G5160" s="48">
        <f t="shared" si="136"/>
        <v>117422</v>
      </c>
      <c r="H5160" s="391" t="s">
        <v>9568</v>
      </c>
    </row>
    <row r="5161" spans="1:14" x14ac:dyDescent="0.3">
      <c r="A5161" s="45">
        <v>44937</v>
      </c>
      <c r="B5161" s="399"/>
      <c r="C5161" s="5" t="s">
        <v>541</v>
      </c>
      <c r="D5161" s="5" t="s">
        <v>10453</v>
      </c>
      <c r="E5161" s="43">
        <v>30000</v>
      </c>
      <c r="F5161" s="43"/>
      <c r="G5161" s="48">
        <f t="shared" si="136"/>
        <v>87422</v>
      </c>
      <c r="H5161" s="391" t="s">
        <v>9568</v>
      </c>
    </row>
    <row r="5162" spans="1:14" x14ac:dyDescent="0.3">
      <c r="A5162" s="45">
        <v>44937</v>
      </c>
      <c r="B5162" s="399" t="s">
        <v>10112</v>
      </c>
      <c r="C5162" s="5" t="s">
        <v>10463</v>
      </c>
      <c r="D5162" s="5" t="s">
        <v>10464</v>
      </c>
      <c r="E5162" s="43">
        <v>20000</v>
      </c>
      <c r="F5162" s="43"/>
      <c r="G5162" s="48">
        <f t="shared" si="136"/>
        <v>67422</v>
      </c>
      <c r="H5162" s="391" t="s">
        <v>9568</v>
      </c>
      <c r="M5162" s="93"/>
    </row>
    <row r="5163" spans="1:14" x14ac:dyDescent="0.3">
      <c r="A5163" s="45">
        <v>44937</v>
      </c>
      <c r="B5163" s="399" t="s">
        <v>10112</v>
      </c>
      <c r="C5163" s="5" t="s">
        <v>5793</v>
      </c>
      <c r="D5163" s="5" t="s">
        <v>10455</v>
      </c>
      <c r="E5163" s="43">
        <v>2000</v>
      </c>
      <c r="F5163" s="43"/>
      <c r="G5163" s="48">
        <f t="shared" si="136"/>
        <v>65422</v>
      </c>
      <c r="H5163" s="391" t="s">
        <v>9568</v>
      </c>
    </row>
    <row r="5164" spans="1:14" x14ac:dyDescent="0.3">
      <c r="A5164" s="45">
        <v>44937</v>
      </c>
      <c r="B5164" s="345" t="s">
        <v>12096</v>
      </c>
      <c r="C5164" s="5" t="s">
        <v>5793</v>
      </c>
      <c r="D5164" s="5" t="s">
        <v>10456</v>
      </c>
      <c r="E5164" s="43">
        <v>2500</v>
      </c>
      <c r="F5164" s="43"/>
      <c r="G5164" s="48">
        <f t="shared" si="136"/>
        <v>62922</v>
      </c>
      <c r="H5164" s="391" t="s">
        <v>9568</v>
      </c>
    </row>
    <row r="5165" spans="1:14" x14ac:dyDescent="0.3">
      <c r="A5165" s="45">
        <v>44937</v>
      </c>
      <c r="B5165" s="345" t="s">
        <v>12096</v>
      </c>
      <c r="C5165" s="5" t="s">
        <v>10001</v>
      </c>
      <c r="D5165" s="5" t="s">
        <v>10457</v>
      </c>
      <c r="E5165" s="43">
        <v>2000</v>
      </c>
      <c r="F5165" s="43"/>
      <c r="G5165" s="48">
        <f t="shared" si="136"/>
        <v>60922</v>
      </c>
      <c r="H5165" s="391" t="s">
        <v>9568</v>
      </c>
    </row>
    <row r="5166" spans="1:14" x14ac:dyDescent="0.3">
      <c r="A5166" s="45">
        <v>44937</v>
      </c>
      <c r="B5166" s="345" t="s">
        <v>12096</v>
      </c>
      <c r="C5166" s="5" t="s">
        <v>10001</v>
      </c>
      <c r="D5166" s="5" t="s">
        <v>6932</v>
      </c>
      <c r="E5166" s="43">
        <v>7000</v>
      </c>
      <c r="F5166" s="43"/>
      <c r="G5166" s="48">
        <f t="shared" si="136"/>
        <v>53922</v>
      </c>
      <c r="H5166" s="391" t="s">
        <v>9568</v>
      </c>
    </row>
    <row r="5167" spans="1:14" x14ac:dyDescent="0.3">
      <c r="A5167" s="45">
        <v>44937</v>
      </c>
      <c r="B5167" s="586"/>
      <c r="C5167" s="486" t="s">
        <v>10433</v>
      </c>
      <c r="D5167" s="486"/>
      <c r="E5167" s="486"/>
      <c r="F5167" s="43">
        <v>975000</v>
      </c>
      <c r="G5167" s="48">
        <f t="shared" si="136"/>
        <v>1028922</v>
      </c>
      <c r="H5167" s="391" t="s">
        <v>9568</v>
      </c>
    </row>
    <row r="5168" spans="1:14" x14ac:dyDescent="0.3">
      <c r="A5168" s="45">
        <v>44937</v>
      </c>
      <c r="B5168" s="409" t="s">
        <v>9925</v>
      </c>
      <c r="C5168" s="61" t="s">
        <v>54</v>
      </c>
      <c r="D5168" s="61" t="s">
        <v>10458</v>
      </c>
      <c r="E5168" s="62">
        <v>104090</v>
      </c>
      <c r="F5168" s="43"/>
      <c r="G5168" s="48">
        <f t="shared" si="136"/>
        <v>924832</v>
      </c>
      <c r="H5168" s="391" t="s">
        <v>9568</v>
      </c>
    </row>
    <row r="5169" spans="1:8" x14ac:dyDescent="0.3">
      <c r="A5169" s="45">
        <v>44937</v>
      </c>
      <c r="B5169" s="409" t="s">
        <v>10255</v>
      </c>
      <c r="C5169" s="61" t="s">
        <v>54</v>
      </c>
      <c r="D5169" s="61" t="s">
        <v>10256</v>
      </c>
      <c r="E5169" s="62">
        <v>28000</v>
      </c>
      <c r="F5169" s="43"/>
      <c r="G5169" s="48">
        <f t="shared" si="136"/>
        <v>896832</v>
      </c>
      <c r="H5169" s="391" t="s">
        <v>9568</v>
      </c>
    </row>
    <row r="5170" spans="1:8" x14ac:dyDescent="0.3">
      <c r="A5170" s="45">
        <v>44937</v>
      </c>
      <c r="B5170" s="409" t="s">
        <v>9857</v>
      </c>
      <c r="C5170" s="61" t="s">
        <v>54</v>
      </c>
      <c r="D5170" s="61" t="s">
        <v>9703</v>
      </c>
      <c r="E5170" s="62">
        <v>65000</v>
      </c>
      <c r="F5170" s="43"/>
      <c r="G5170" s="48">
        <f t="shared" si="136"/>
        <v>831832</v>
      </c>
      <c r="H5170" s="391" t="s">
        <v>9568</v>
      </c>
    </row>
    <row r="5171" spans="1:8" ht="21" x14ac:dyDescent="0.35">
      <c r="A5171" s="45">
        <v>44937</v>
      </c>
      <c r="B5171" s="482" t="s">
        <v>10461</v>
      </c>
      <c r="C5171" s="481" t="s">
        <v>14</v>
      </c>
      <c r="D5171" s="481" t="s">
        <v>10460</v>
      </c>
      <c r="E5171" s="483">
        <v>725000</v>
      </c>
      <c r="F5171" s="43"/>
      <c r="G5171" s="48">
        <f t="shared" si="136"/>
        <v>106832</v>
      </c>
      <c r="H5171" s="391" t="s">
        <v>9568</v>
      </c>
    </row>
    <row r="5172" spans="1:8" x14ac:dyDescent="0.3">
      <c r="A5172" s="45">
        <v>44938</v>
      </c>
      <c r="B5172" s="399" t="s">
        <v>118</v>
      </c>
      <c r="C5172" s="5" t="s">
        <v>9873</v>
      </c>
      <c r="D5172" s="5" t="s">
        <v>9898</v>
      </c>
      <c r="E5172" s="43">
        <v>7640</v>
      </c>
      <c r="F5172" s="43"/>
      <c r="G5172" s="48">
        <f t="shared" si="136"/>
        <v>99192</v>
      </c>
      <c r="H5172" s="391" t="s">
        <v>9568</v>
      </c>
    </row>
    <row r="5173" spans="1:8" x14ac:dyDescent="0.3">
      <c r="A5173" s="45">
        <v>44938</v>
      </c>
      <c r="B5173" s="399" t="s">
        <v>10615</v>
      </c>
      <c r="C5173" s="5" t="s">
        <v>6430</v>
      </c>
      <c r="D5173" s="5" t="s">
        <v>3910</v>
      </c>
      <c r="E5173" s="65">
        <v>3000</v>
      </c>
      <c r="F5173" s="43"/>
      <c r="G5173" s="48">
        <f t="shared" ref="G5173:G5236" si="137">G5172+F5173-E5173</f>
        <v>96192</v>
      </c>
      <c r="H5173" s="391" t="s">
        <v>9568</v>
      </c>
    </row>
    <row r="5174" spans="1:8" x14ac:dyDescent="0.3">
      <c r="A5174" s="45">
        <v>44938</v>
      </c>
      <c r="B5174" s="399" t="s">
        <v>118</v>
      </c>
      <c r="C5174" s="5" t="s">
        <v>64</v>
      </c>
      <c r="D5174" s="5" t="s">
        <v>40</v>
      </c>
      <c r="E5174" s="43">
        <v>1200</v>
      </c>
      <c r="F5174" s="43"/>
      <c r="G5174" s="48">
        <f t="shared" si="137"/>
        <v>94992</v>
      </c>
      <c r="H5174" s="391" t="s">
        <v>9568</v>
      </c>
    </row>
    <row r="5175" spans="1:8" x14ac:dyDescent="0.3">
      <c r="A5175" s="45">
        <v>44938</v>
      </c>
      <c r="B5175" s="399" t="s">
        <v>9879</v>
      </c>
      <c r="C5175" s="5" t="s">
        <v>9947</v>
      </c>
      <c r="D5175" s="5" t="s">
        <v>10462</v>
      </c>
      <c r="E5175" s="43">
        <v>10000</v>
      </c>
      <c r="F5175" s="43"/>
      <c r="G5175" s="48">
        <f t="shared" si="137"/>
        <v>84992</v>
      </c>
      <c r="H5175" s="391" t="s">
        <v>9568</v>
      </c>
    </row>
    <row r="5176" spans="1:8" x14ac:dyDescent="0.3">
      <c r="A5176" s="45">
        <v>44938</v>
      </c>
      <c r="B5176" s="399" t="s">
        <v>12190</v>
      </c>
      <c r="C5176" s="5" t="s">
        <v>1074</v>
      </c>
      <c r="D5176" s="5" t="s">
        <v>6280</v>
      </c>
      <c r="E5176" s="43">
        <f>4670+1330</f>
        <v>6000</v>
      </c>
      <c r="F5176" s="43"/>
      <c r="G5176" s="48">
        <f t="shared" si="137"/>
        <v>78992</v>
      </c>
      <c r="H5176" s="391" t="s">
        <v>9568</v>
      </c>
    </row>
    <row r="5177" spans="1:8" x14ac:dyDescent="0.3">
      <c r="A5177" s="45">
        <v>44938</v>
      </c>
      <c r="B5177" s="399" t="s">
        <v>118</v>
      </c>
      <c r="C5177" s="5" t="s">
        <v>1074</v>
      </c>
      <c r="D5177" s="5" t="s">
        <v>6280</v>
      </c>
      <c r="E5177" s="43">
        <f>680+1380</f>
        <v>2060</v>
      </c>
      <c r="F5177" s="43"/>
      <c r="G5177" s="48">
        <f t="shared" si="137"/>
        <v>76932</v>
      </c>
      <c r="H5177" s="391" t="s">
        <v>9568</v>
      </c>
    </row>
    <row r="5178" spans="1:8" x14ac:dyDescent="0.3">
      <c r="A5178" s="45">
        <v>44938</v>
      </c>
      <c r="B5178" s="399" t="s">
        <v>9857</v>
      </c>
      <c r="C5178" s="5" t="s">
        <v>10001</v>
      </c>
      <c r="D5178" s="5" t="s">
        <v>10465</v>
      </c>
      <c r="E5178" s="43">
        <v>6000</v>
      </c>
      <c r="F5178" s="43"/>
      <c r="G5178" s="48">
        <f t="shared" si="137"/>
        <v>70932</v>
      </c>
      <c r="H5178" s="391" t="s">
        <v>9568</v>
      </c>
    </row>
    <row r="5179" spans="1:8" x14ac:dyDescent="0.3">
      <c r="A5179" s="45">
        <v>44938</v>
      </c>
      <c r="B5179" s="399" t="s">
        <v>12091</v>
      </c>
      <c r="C5179" s="5" t="s">
        <v>9947</v>
      </c>
      <c r="D5179" s="5" t="s">
        <v>10466</v>
      </c>
      <c r="E5179" s="43">
        <v>7500</v>
      </c>
      <c r="F5179" s="43"/>
      <c r="G5179" s="48">
        <f t="shared" si="137"/>
        <v>63432</v>
      </c>
      <c r="H5179" s="391" t="s">
        <v>9568</v>
      </c>
    </row>
    <row r="5180" spans="1:8" x14ac:dyDescent="0.3">
      <c r="A5180" s="45">
        <v>44939</v>
      </c>
      <c r="B5180" s="399"/>
      <c r="C5180" s="5" t="s">
        <v>14</v>
      </c>
      <c r="D5180" s="5" t="s">
        <v>10409</v>
      </c>
      <c r="E5180" s="43">
        <v>1000</v>
      </c>
      <c r="F5180" s="43"/>
      <c r="G5180" s="48">
        <f t="shared" si="137"/>
        <v>62432</v>
      </c>
      <c r="H5180" s="391" t="s">
        <v>9568</v>
      </c>
    </row>
    <row r="5181" spans="1:8" x14ac:dyDescent="0.3">
      <c r="A5181" s="45">
        <v>44939</v>
      </c>
      <c r="B5181" s="399" t="s">
        <v>9857</v>
      </c>
      <c r="C5181" s="5" t="s">
        <v>9525</v>
      </c>
      <c r="D5181" s="5" t="s">
        <v>10467</v>
      </c>
      <c r="E5181" s="43">
        <v>1300</v>
      </c>
      <c r="F5181" s="43"/>
      <c r="G5181" s="48">
        <f t="shared" si="137"/>
        <v>61132</v>
      </c>
      <c r="H5181" s="391" t="s">
        <v>9568</v>
      </c>
    </row>
    <row r="5182" spans="1:8" x14ac:dyDescent="0.3">
      <c r="A5182" s="45">
        <v>44939</v>
      </c>
      <c r="B5182" s="399" t="s">
        <v>9857</v>
      </c>
      <c r="C5182" s="5" t="s">
        <v>9525</v>
      </c>
      <c r="D5182" s="5" t="s">
        <v>7286</v>
      </c>
      <c r="E5182" s="43">
        <v>600</v>
      </c>
      <c r="F5182" s="43"/>
      <c r="G5182" s="48">
        <f t="shared" si="137"/>
        <v>60532</v>
      </c>
      <c r="H5182" s="391" t="s">
        <v>9568</v>
      </c>
    </row>
    <row r="5183" spans="1:8" x14ac:dyDescent="0.3">
      <c r="A5183" s="45">
        <v>44939</v>
      </c>
      <c r="B5183" s="399" t="s">
        <v>9857</v>
      </c>
      <c r="C5183" s="5" t="s">
        <v>9525</v>
      </c>
      <c r="D5183" s="5" t="s">
        <v>10468</v>
      </c>
      <c r="E5183" s="43">
        <v>500</v>
      </c>
      <c r="F5183" s="43"/>
      <c r="G5183" s="48">
        <f t="shared" si="137"/>
        <v>60032</v>
      </c>
      <c r="H5183" s="391" t="s">
        <v>9568</v>
      </c>
    </row>
    <row r="5184" spans="1:8" x14ac:dyDescent="0.3">
      <c r="A5184" s="45">
        <v>44939</v>
      </c>
      <c r="B5184" s="399" t="s">
        <v>9879</v>
      </c>
      <c r="C5184" s="5" t="s">
        <v>57</v>
      </c>
      <c r="D5184" s="5" t="s">
        <v>10469</v>
      </c>
      <c r="E5184" s="43">
        <v>6000</v>
      </c>
      <c r="F5184" s="43"/>
      <c r="G5184" s="48">
        <f t="shared" si="137"/>
        <v>54032</v>
      </c>
      <c r="H5184" s="391" t="s">
        <v>9568</v>
      </c>
    </row>
    <row r="5185" spans="1:9" x14ac:dyDescent="0.3">
      <c r="A5185" s="45">
        <v>44939</v>
      </c>
      <c r="B5185" s="399" t="s">
        <v>9857</v>
      </c>
      <c r="C5185" s="5" t="s">
        <v>9756</v>
      </c>
      <c r="D5185" s="5" t="s">
        <v>2013</v>
      </c>
      <c r="E5185" s="43">
        <v>500</v>
      </c>
      <c r="F5185" s="43"/>
      <c r="G5185" s="48">
        <f t="shared" si="137"/>
        <v>53532</v>
      </c>
      <c r="H5185" s="391" t="s">
        <v>9568</v>
      </c>
    </row>
    <row r="5186" spans="1:9" x14ac:dyDescent="0.3">
      <c r="A5186" s="45">
        <v>44939</v>
      </c>
      <c r="B5186" s="399" t="s">
        <v>12091</v>
      </c>
      <c r="C5186" s="5" t="s">
        <v>9756</v>
      </c>
      <c r="D5186" s="5" t="s">
        <v>10470</v>
      </c>
      <c r="E5186" s="43">
        <v>21200</v>
      </c>
      <c r="F5186" s="43"/>
      <c r="G5186" s="48">
        <f t="shared" si="137"/>
        <v>32332</v>
      </c>
      <c r="H5186" s="391" t="s">
        <v>9568</v>
      </c>
    </row>
    <row r="5187" spans="1:9" x14ac:dyDescent="0.3">
      <c r="A5187" s="45">
        <v>44940</v>
      </c>
      <c r="B5187" s="399"/>
      <c r="C5187" s="5" t="s">
        <v>18</v>
      </c>
      <c r="D5187" s="5" t="s">
        <v>10471</v>
      </c>
      <c r="E5187" s="43">
        <v>10000</v>
      </c>
      <c r="F5187" s="43"/>
      <c r="G5187" s="48">
        <f t="shared" si="137"/>
        <v>22332</v>
      </c>
      <c r="H5187" s="391" t="s">
        <v>9568</v>
      </c>
    </row>
    <row r="5188" spans="1:9" x14ac:dyDescent="0.3">
      <c r="A5188" s="45">
        <v>44940</v>
      </c>
      <c r="B5188" s="399"/>
      <c r="C5188" s="5" t="s">
        <v>68</v>
      </c>
      <c r="D5188" s="5" t="s">
        <v>3183</v>
      </c>
      <c r="E5188" s="43">
        <v>2000</v>
      </c>
      <c r="F5188" s="43"/>
      <c r="G5188" s="48">
        <f t="shared" si="137"/>
        <v>20332</v>
      </c>
      <c r="H5188" s="391" t="s">
        <v>9568</v>
      </c>
    </row>
    <row r="5189" spans="1:9" x14ac:dyDescent="0.3">
      <c r="A5189" s="45">
        <v>44940</v>
      </c>
      <c r="B5189" s="399"/>
      <c r="C5189" s="5" t="s">
        <v>541</v>
      </c>
      <c r="D5189" s="5" t="s">
        <v>10472</v>
      </c>
      <c r="E5189" s="43">
        <v>5000</v>
      </c>
      <c r="F5189" s="43"/>
      <c r="G5189" s="48">
        <f t="shared" si="137"/>
        <v>15332</v>
      </c>
      <c r="H5189" s="391" t="s">
        <v>9568</v>
      </c>
    </row>
    <row r="5190" spans="1:9" x14ac:dyDescent="0.3">
      <c r="A5190" s="45">
        <v>44940</v>
      </c>
      <c r="B5190" s="399" t="s">
        <v>12091</v>
      </c>
      <c r="C5190" s="5" t="s">
        <v>9947</v>
      </c>
      <c r="D5190" s="5" t="s">
        <v>294</v>
      </c>
      <c r="E5190" s="43">
        <v>7000</v>
      </c>
      <c r="F5190" s="43"/>
      <c r="G5190" s="48">
        <f t="shared" si="137"/>
        <v>8332</v>
      </c>
      <c r="H5190" s="391" t="s">
        <v>9568</v>
      </c>
    </row>
    <row r="5191" spans="1:9" x14ac:dyDescent="0.3">
      <c r="A5191" s="45">
        <v>44940</v>
      </c>
      <c r="B5191" s="586"/>
      <c r="C5191" s="486" t="s">
        <v>4364</v>
      </c>
      <c r="D5191" s="486"/>
      <c r="E5191" s="486"/>
      <c r="F5191" s="43">
        <v>300000</v>
      </c>
      <c r="G5191" s="48">
        <f t="shared" si="137"/>
        <v>308332</v>
      </c>
      <c r="H5191" s="391" t="s">
        <v>9568</v>
      </c>
    </row>
    <row r="5192" spans="1:9" x14ac:dyDescent="0.3">
      <c r="A5192" s="45">
        <v>44940</v>
      </c>
      <c r="B5192" s="399" t="s">
        <v>12091</v>
      </c>
      <c r="C5192" s="5" t="s">
        <v>9947</v>
      </c>
      <c r="D5192" s="5" t="s">
        <v>10473</v>
      </c>
      <c r="E5192" s="43">
        <v>71500</v>
      </c>
      <c r="F5192" s="43"/>
      <c r="G5192" s="48">
        <f t="shared" si="137"/>
        <v>236832</v>
      </c>
      <c r="H5192" s="391" t="s">
        <v>9568</v>
      </c>
    </row>
    <row r="5193" spans="1:9" x14ac:dyDescent="0.3">
      <c r="A5193" s="45">
        <v>44940</v>
      </c>
      <c r="B5193" s="399"/>
      <c r="C5193" s="5" t="s">
        <v>4550</v>
      </c>
      <c r="D5193" s="5" t="s">
        <v>294</v>
      </c>
      <c r="E5193" s="43">
        <f>13000+5000</f>
        <v>18000</v>
      </c>
      <c r="F5193" s="43"/>
      <c r="G5193" s="48">
        <f t="shared" si="137"/>
        <v>218832</v>
      </c>
      <c r="H5193" s="391" t="s">
        <v>9568</v>
      </c>
    </row>
    <row r="5194" spans="1:9" x14ac:dyDescent="0.3">
      <c r="A5194" s="45">
        <v>44940</v>
      </c>
      <c r="B5194" s="399" t="s">
        <v>118</v>
      </c>
      <c r="C5194" s="5" t="s">
        <v>9873</v>
      </c>
      <c r="D5194" s="5" t="s">
        <v>9898</v>
      </c>
      <c r="E5194" s="43">
        <v>5440</v>
      </c>
      <c r="F5194" s="43"/>
      <c r="G5194" s="48">
        <f t="shared" si="137"/>
        <v>213392</v>
      </c>
      <c r="H5194" s="391" t="s">
        <v>9568</v>
      </c>
    </row>
    <row r="5195" spans="1:9" x14ac:dyDescent="0.3">
      <c r="A5195" s="45">
        <v>44942</v>
      </c>
      <c r="B5195" s="399" t="s">
        <v>12190</v>
      </c>
      <c r="C5195" s="5" t="s">
        <v>1616</v>
      </c>
      <c r="D5195" s="5" t="s">
        <v>10482</v>
      </c>
      <c r="E5195" s="43">
        <v>2250</v>
      </c>
      <c r="F5195" s="43"/>
      <c r="G5195" s="48">
        <f t="shared" si="137"/>
        <v>211142</v>
      </c>
      <c r="H5195" s="391" t="s">
        <v>9568</v>
      </c>
    </row>
    <row r="5196" spans="1:9" x14ac:dyDescent="0.3">
      <c r="A5196" s="45">
        <v>44942</v>
      </c>
      <c r="B5196" s="399" t="s">
        <v>9860</v>
      </c>
      <c r="C5196" s="5" t="s">
        <v>9525</v>
      </c>
      <c r="D5196" s="5" t="s">
        <v>10483</v>
      </c>
      <c r="E5196" s="43">
        <v>5000</v>
      </c>
      <c r="F5196" s="43"/>
      <c r="G5196" s="48">
        <f t="shared" si="137"/>
        <v>206142</v>
      </c>
      <c r="H5196" s="391" t="s">
        <v>9568</v>
      </c>
    </row>
    <row r="5197" spans="1:9" x14ac:dyDescent="0.3">
      <c r="A5197" s="45">
        <v>44942</v>
      </c>
      <c r="B5197" s="399" t="s">
        <v>9860</v>
      </c>
      <c r="C5197" s="5" t="s">
        <v>9525</v>
      </c>
      <c r="D5197" s="5" t="s">
        <v>7286</v>
      </c>
      <c r="E5197" s="43">
        <v>500</v>
      </c>
      <c r="F5197" s="43"/>
      <c r="G5197" s="48">
        <f t="shared" si="137"/>
        <v>205642</v>
      </c>
      <c r="H5197" s="391" t="s">
        <v>9568</v>
      </c>
    </row>
    <row r="5198" spans="1:9" x14ac:dyDescent="0.3">
      <c r="A5198" s="45">
        <v>44942</v>
      </c>
      <c r="B5198" s="399" t="s">
        <v>9879</v>
      </c>
      <c r="C5198" s="5" t="s">
        <v>10029</v>
      </c>
      <c r="D5198" s="5" t="s">
        <v>5398</v>
      </c>
      <c r="E5198" s="43">
        <v>9000</v>
      </c>
      <c r="F5198" s="43"/>
      <c r="G5198" s="48">
        <f t="shared" si="137"/>
        <v>196642</v>
      </c>
      <c r="H5198" s="391" t="s">
        <v>9568</v>
      </c>
    </row>
    <row r="5199" spans="1:9" x14ac:dyDescent="0.3">
      <c r="A5199" s="45">
        <v>44942</v>
      </c>
      <c r="B5199" s="345" t="s">
        <v>12096</v>
      </c>
      <c r="C5199" s="5" t="s">
        <v>5793</v>
      </c>
      <c r="D5199" s="5" t="s">
        <v>10484</v>
      </c>
      <c r="E5199" s="43">
        <v>5000</v>
      </c>
      <c r="F5199" s="43"/>
      <c r="G5199" s="48">
        <f t="shared" si="137"/>
        <v>191642</v>
      </c>
      <c r="H5199" s="391" t="s">
        <v>9568</v>
      </c>
    </row>
    <row r="5200" spans="1:9" x14ac:dyDescent="0.3">
      <c r="A5200" s="45">
        <v>44942</v>
      </c>
      <c r="B5200" s="399" t="s">
        <v>10112</v>
      </c>
      <c r="C5200" s="5" t="s">
        <v>5793</v>
      </c>
      <c r="D5200" s="5" t="s">
        <v>10486</v>
      </c>
      <c r="E5200" s="43">
        <v>1800</v>
      </c>
      <c r="F5200" s="43"/>
      <c r="G5200" s="48">
        <f t="shared" si="137"/>
        <v>189842</v>
      </c>
      <c r="H5200" s="391" t="s">
        <v>9568</v>
      </c>
      <c r="I5200" s="169"/>
    </row>
    <row r="5201" spans="1:12" x14ac:dyDescent="0.3">
      <c r="A5201" s="45">
        <v>44942</v>
      </c>
      <c r="B5201" s="399" t="s">
        <v>10112</v>
      </c>
      <c r="C5201" s="5" t="s">
        <v>10488</v>
      </c>
      <c r="D5201" s="5" t="s">
        <v>5398</v>
      </c>
      <c r="E5201" s="43">
        <v>187000</v>
      </c>
      <c r="F5201" s="43"/>
      <c r="G5201" s="48">
        <f t="shared" si="137"/>
        <v>2842</v>
      </c>
      <c r="H5201" s="391" t="s">
        <v>9568</v>
      </c>
    </row>
    <row r="5202" spans="1:12" x14ac:dyDescent="0.3">
      <c r="A5202" s="45">
        <v>44943</v>
      </c>
      <c r="B5202" s="399" t="s">
        <v>118</v>
      </c>
      <c r="C5202" s="5" t="s">
        <v>9873</v>
      </c>
      <c r="D5202" s="5" t="s">
        <v>9898</v>
      </c>
      <c r="E5202" s="43">
        <v>2620</v>
      </c>
      <c r="F5202" s="43"/>
      <c r="G5202" s="48">
        <f t="shared" si="137"/>
        <v>222</v>
      </c>
      <c r="H5202" s="391" t="s">
        <v>9568</v>
      </c>
    </row>
    <row r="5203" spans="1:12" x14ac:dyDescent="0.3">
      <c r="A5203" s="45">
        <v>44944</v>
      </c>
      <c r="B5203" s="586"/>
      <c r="C5203" s="486" t="s">
        <v>8290</v>
      </c>
      <c r="D5203" s="486"/>
      <c r="E5203" s="486"/>
      <c r="F5203" s="43">
        <v>10000</v>
      </c>
      <c r="G5203" s="48">
        <f t="shared" si="137"/>
        <v>10222</v>
      </c>
      <c r="H5203" s="391" t="s">
        <v>9568</v>
      </c>
    </row>
    <row r="5204" spans="1:12" x14ac:dyDescent="0.3">
      <c r="A5204" s="45">
        <v>44944</v>
      </c>
      <c r="B5204" s="399"/>
      <c r="C5204" s="5" t="s">
        <v>18</v>
      </c>
      <c r="D5204" s="5" t="s">
        <v>294</v>
      </c>
      <c r="E5204" s="43">
        <v>1000</v>
      </c>
      <c r="F5204" s="43"/>
      <c r="G5204" s="48">
        <f t="shared" si="137"/>
        <v>9222</v>
      </c>
      <c r="H5204" s="391" t="s">
        <v>9568</v>
      </c>
      <c r="I5204" s="169"/>
    </row>
    <row r="5205" spans="1:12" x14ac:dyDescent="0.3">
      <c r="A5205" s="45">
        <v>44944</v>
      </c>
      <c r="B5205" s="399"/>
      <c r="C5205" s="5" t="s">
        <v>14</v>
      </c>
      <c r="D5205" s="5" t="s">
        <v>294</v>
      </c>
      <c r="E5205" s="43">
        <v>1000</v>
      </c>
      <c r="F5205" s="43"/>
      <c r="G5205" s="48">
        <f t="shared" si="137"/>
        <v>8222</v>
      </c>
      <c r="H5205" s="391" t="s">
        <v>9568</v>
      </c>
    </row>
    <row r="5206" spans="1:12" x14ac:dyDescent="0.3">
      <c r="A5206" s="45">
        <v>44944</v>
      </c>
      <c r="B5206" s="399" t="s">
        <v>118</v>
      </c>
      <c r="C5206" s="5" t="s">
        <v>9873</v>
      </c>
      <c r="D5206" s="5" t="s">
        <v>9898</v>
      </c>
      <c r="E5206" s="43">
        <v>3900</v>
      </c>
      <c r="F5206" s="43"/>
      <c r="G5206" s="48">
        <f t="shared" si="137"/>
        <v>4322</v>
      </c>
      <c r="H5206" s="391" t="s">
        <v>9568</v>
      </c>
    </row>
    <row r="5207" spans="1:12" x14ac:dyDescent="0.3">
      <c r="A5207" s="45">
        <v>44944</v>
      </c>
      <c r="B5207" s="409" t="s">
        <v>9879</v>
      </c>
      <c r="C5207" s="5" t="s">
        <v>5793</v>
      </c>
      <c r="D5207" s="61" t="s">
        <v>10493</v>
      </c>
      <c r="E5207" s="62">
        <v>2000</v>
      </c>
      <c r="F5207" s="43"/>
      <c r="G5207" s="48">
        <f t="shared" si="137"/>
        <v>2322</v>
      </c>
      <c r="H5207" s="391" t="s">
        <v>9568</v>
      </c>
    </row>
    <row r="5208" spans="1:12" x14ac:dyDescent="0.3">
      <c r="A5208" s="45">
        <v>44944</v>
      </c>
      <c r="B5208" s="399" t="s">
        <v>9990</v>
      </c>
      <c r="C5208" s="5" t="s">
        <v>84</v>
      </c>
      <c r="D5208" s="5" t="s">
        <v>10494</v>
      </c>
      <c r="E5208" s="43">
        <v>1000</v>
      </c>
      <c r="F5208" s="43"/>
      <c r="G5208" s="48">
        <f t="shared" si="137"/>
        <v>1322</v>
      </c>
      <c r="H5208" s="391" t="s">
        <v>9568</v>
      </c>
    </row>
    <row r="5209" spans="1:12" x14ac:dyDescent="0.3">
      <c r="A5209" s="45">
        <v>44945</v>
      </c>
      <c r="B5209" s="586"/>
      <c r="C5209" s="486" t="s">
        <v>6069</v>
      </c>
      <c r="D5209" s="486"/>
      <c r="E5209" s="486"/>
      <c r="F5209" s="43">
        <v>100000</v>
      </c>
      <c r="G5209" s="48">
        <f t="shared" si="137"/>
        <v>101322</v>
      </c>
      <c r="H5209" s="391" t="s">
        <v>9568</v>
      </c>
    </row>
    <row r="5210" spans="1:12" x14ac:dyDescent="0.3">
      <c r="A5210" s="45">
        <v>44945</v>
      </c>
      <c r="B5210" s="399" t="s">
        <v>12091</v>
      </c>
      <c r="C5210" s="5" t="s">
        <v>9947</v>
      </c>
      <c r="D5210" s="5" t="s">
        <v>10495</v>
      </c>
      <c r="E5210" s="43">
        <v>42500</v>
      </c>
      <c r="F5210" s="43"/>
      <c r="G5210" s="48">
        <f t="shared" si="137"/>
        <v>58822</v>
      </c>
      <c r="H5210" s="391" t="s">
        <v>9568</v>
      </c>
      <c r="I5210" s="169"/>
    </row>
    <row r="5211" spans="1:12" x14ac:dyDescent="0.3">
      <c r="A5211" s="45">
        <v>44945</v>
      </c>
      <c r="B5211" s="399"/>
      <c r="C5211" s="5" t="s">
        <v>8573</v>
      </c>
      <c r="D5211" s="5" t="s">
        <v>10496</v>
      </c>
      <c r="E5211" s="43">
        <v>3000</v>
      </c>
      <c r="F5211" s="43"/>
      <c r="G5211" s="48">
        <f t="shared" si="137"/>
        <v>55822</v>
      </c>
      <c r="H5211" s="391" t="s">
        <v>9568</v>
      </c>
    </row>
    <row r="5212" spans="1:12" x14ac:dyDescent="0.3">
      <c r="A5212" s="45">
        <v>44945</v>
      </c>
      <c r="B5212" s="399"/>
      <c r="C5212" s="5" t="s">
        <v>10498</v>
      </c>
      <c r="D5212" s="5" t="s">
        <v>3611</v>
      </c>
      <c r="E5212" s="43">
        <v>2000</v>
      </c>
      <c r="F5212" s="43"/>
      <c r="G5212" s="48">
        <f t="shared" si="137"/>
        <v>53822</v>
      </c>
      <c r="H5212" s="391" t="s">
        <v>9568</v>
      </c>
    </row>
    <row r="5213" spans="1:12" x14ac:dyDescent="0.3">
      <c r="A5213" s="45">
        <v>44945</v>
      </c>
      <c r="B5213" s="399" t="s">
        <v>10016</v>
      </c>
      <c r="C5213" s="5" t="s">
        <v>5518</v>
      </c>
      <c r="D5213" s="5" t="s">
        <v>10499</v>
      </c>
      <c r="E5213" s="43">
        <v>1000</v>
      </c>
      <c r="F5213" s="43"/>
      <c r="G5213" s="48">
        <f t="shared" si="137"/>
        <v>52822</v>
      </c>
      <c r="H5213" s="391" t="s">
        <v>9568</v>
      </c>
    </row>
    <row r="5214" spans="1:12" x14ac:dyDescent="0.3">
      <c r="A5214" s="45">
        <v>44946</v>
      </c>
      <c r="B5214" s="399"/>
      <c r="C5214" s="5" t="s">
        <v>10001</v>
      </c>
      <c r="D5214" s="5" t="s">
        <v>10502</v>
      </c>
      <c r="E5214" s="43">
        <v>4000</v>
      </c>
      <c r="F5214" s="43"/>
      <c r="G5214" s="48">
        <f t="shared" si="137"/>
        <v>48822</v>
      </c>
      <c r="H5214" s="391" t="s">
        <v>9568</v>
      </c>
      <c r="I5214" s="169"/>
    </row>
    <row r="5215" spans="1:12" x14ac:dyDescent="0.3">
      <c r="A5215" s="45">
        <v>44946</v>
      </c>
      <c r="B5215" s="399" t="s">
        <v>9857</v>
      </c>
      <c r="C5215" s="5" t="s">
        <v>9525</v>
      </c>
      <c r="D5215" s="5" t="s">
        <v>10500</v>
      </c>
      <c r="E5215" s="43">
        <v>1000</v>
      </c>
      <c r="F5215" s="43"/>
      <c r="G5215" s="48">
        <f t="shared" si="137"/>
        <v>47822</v>
      </c>
      <c r="H5215" s="391" t="s">
        <v>9568</v>
      </c>
    </row>
    <row r="5216" spans="1:12" x14ac:dyDescent="0.3">
      <c r="A5216" s="45">
        <v>44946</v>
      </c>
      <c r="B5216" s="399" t="s">
        <v>9857</v>
      </c>
      <c r="C5216" s="5" t="s">
        <v>9525</v>
      </c>
      <c r="D5216" s="5" t="s">
        <v>7286</v>
      </c>
      <c r="E5216" s="43">
        <v>2000</v>
      </c>
      <c r="F5216" s="43"/>
      <c r="G5216" s="48">
        <f t="shared" si="137"/>
        <v>45822</v>
      </c>
      <c r="H5216" s="391" t="s">
        <v>9568</v>
      </c>
      <c r="K5216" s="468"/>
      <c r="L5216" s="469"/>
    </row>
    <row r="5217" spans="1:12" x14ac:dyDescent="0.3">
      <c r="A5217" s="45">
        <v>44946</v>
      </c>
      <c r="B5217" s="399"/>
      <c r="C5217" s="5" t="s">
        <v>541</v>
      </c>
      <c r="D5217" s="5" t="s">
        <v>294</v>
      </c>
      <c r="E5217" s="43">
        <v>15000</v>
      </c>
      <c r="F5217" s="43"/>
      <c r="G5217" s="48">
        <f t="shared" si="137"/>
        <v>30822</v>
      </c>
      <c r="H5217" s="391" t="s">
        <v>9568</v>
      </c>
      <c r="K5217" s="468"/>
      <c r="L5217" s="469"/>
    </row>
    <row r="5218" spans="1:12" x14ac:dyDescent="0.3">
      <c r="A5218" s="45">
        <v>44946</v>
      </c>
      <c r="B5218" s="399" t="s">
        <v>10333</v>
      </c>
      <c r="C5218" s="5" t="s">
        <v>247</v>
      </c>
      <c r="D5218" s="5" t="s">
        <v>10446</v>
      </c>
      <c r="E5218" s="43">
        <v>8000</v>
      </c>
      <c r="F5218" s="43"/>
      <c r="G5218" s="48">
        <f t="shared" si="137"/>
        <v>22822</v>
      </c>
      <c r="H5218" s="391" t="s">
        <v>9568</v>
      </c>
      <c r="K5218" s="468"/>
      <c r="L5218" s="469"/>
    </row>
    <row r="5219" spans="1:12" x14ac:dyDescent="0.3">
      <c r="A5219" s="45">
        <v>44946</v>
      </c>
      <c r="B5219" s="399" t="s">
        <v>9990</v>
      </c>
      <c r="C5219" s="5" t="s">
        <v>84</v>
      </c>
      <c r="D5219" s="5" t="s">
        <v>10501</v>
      </c>
      <c r="E5219" s="43">
        <v>2000</v>
      </c>
      <c r="F5219" s="43"/>
      <c r="G5219" s="48">
        <f t="shared" si="137"/>
        <v>20822</v>
      </c>
      <c r="H5219" s="391" t="s">
        <v>9568</v>
      </c>
      <c r="K5219" s="468"/>
      <c r="L5219" s="469"/>
    </row>
    <row r="5220" spans="1:12" x14ac:dyDescent="0.3">
      <c r="A5220" s="45">
        <v>44947</v>
      </c>
      <c r="B5220" s="345" t="s">
        <v>12096</v>
      </c>
      <c r="C5220" s="5" t="s">
        <v>18</v>
      </c>
      <c r="D5220" s="5" t="s">
        <v>294</v>
      </c>
      <c r="E5220" s="43">
        <v>10000</v>
      </c>
      <c r="F5220" s="43"/>
      <c r="G5220" s="48">
        <f t="shared" si="137"/>
        <v>10822</v>
      </c>
      <c r="H5220" s="391" t="s">
        <v>9568</v>
      </c>
      <c r="I5220" s="169"/>
      <c r="K5220" s="167"/>
    </row>
    <row r="5221" spans="1:12" x14ac:dyDescent="0.3">
      <c r="A5221" s="45">
        <v>44947</v>
      </c>
      <c r="B5221" s="399" t="s">
        <v>118</v>
      </c>
      <c r="C5221" s="5" t="s">
        <v>9873</v>
      </c>
      <c r="D5221" s="5" t="s">
        <v>9898</v>
      </c>
      <c r="E5221" s="43">
        <v>4930</v>
      </c>
      <c r="F5221" s="43"/>
      <c r="G5221" s="48">
        <f t="shared" si="137"/>
        <v>5892</v>
      </c>
      <c r="H5221" s="391" t="s">
        <v>9568</v>
      </c>
      <c r="K5221" s="167"/>
    </row>
    <row r="5222" spans="1:12" x14ac:dyDescent="0.3">
      <c r="A5222" s="45">
        <v>44947</v>
      </c>
      <c r="B5222" s="399" t="s">
        <v>9990</v>
      </c>
      <c r="C5222" s="5" t="s">
        <v>84</v>
      </c>
      <c r="D5222" s="5" t="s">
        <v>10494</v>
      </c>
      <c r="E5222" s="43">
        <v>1000</v>
      </c>
      <c r="F5222" s="43"/>
      <c r="G5222" s="48">
        <f t="shared" si="137"/>
        <v>4892</v>
      </c>
      <c r="H5222" s="391" t="s">
        <v>9568</v>
      </c>
      <c r="K5222" s="167"/>
    </row>
    <row r="5223" spans="1:12" x14ac:dyDescent="0.3">
      <c r="A5223" s="45">
        <v>44949</v>
      </c>
      <c r="B5223" s="586"/>
      <c r="C5223" s="486" t="s">
        <v>6069</v>
      </c>
      <c r="D5223" s="486"/>
      <c r="E5223" s="486"/>
      <c r="F5223" s="43">
        <v>100000</v>
      </c>
      <c r="G5223" s="48">
        <f t="shared" si="137"/>
        <v>104892</v>
      </c>
      <c r="H5223" s="391" t="s">
        <v>9568</v>
      </c>
      <c r="K5223" s="167"/>
    </row>
    <row r="5224" spans="1:12" x14ac:dyDescent="0.3">
      <c r="A5224" s="45">
        <v>44949</v>
      </c>
      <c r="B5224" s="399" t="s">
        <v>118</v>
      </c>
      <c r="C5224" s="5" t="s">
        <v>10498</v>
      </c>
      <c r="D5224" s="5" t="s">
        <v>10503</v>
      </c>
      <c r="E5224" s="43">
        <v>13000</v>
      </c>
      <c r="F5224" s="43"/>
      <c r="G5224" s="48">
        <f t="shared" si="137"/>
        <v>91892</v>
      </c>
      <c r="H5224" s="391" t="s">
        <v>9568</v>
      </c>
      <c r="I5224" s="169"/>
      <c r="K5224" s="167"/>
    </row>
    <row r="5225" spans="1:12" x14ac:dyDescent="0.3">
      <c r="A5225" s="45">
        <v>44949</v>
      </c>
      <c r="B5225" s="399" t="s">
        <v>10016</v>
      </c>
      <c r="C5225" s="5" t="s">
        <v>5518</v>
      </c>
      <c r="D5225" s="5" t="s">
        <v>294</v>
      </c>
      <c r="E5225" s="43">
        <v>14000</v>
      </c>
      <c r="F5225" s="43"/>
      <c r="G5225" s="48">
        <f t="shared" si="137"/>
        <v>77892</v>
      </c>
      <c r="H5225" s="391" t="s">
        <v>9568</v>
      </c>
      <c r="K5225" s="167"/>
    </row>
    <row r="5226" spans="1:12" x14ac:dyDescent="0.3">
      <c r="A5226" s="45">
        <v>44949</v>
      </c>
      <c r="B5226" s="399"/>
      <c r="C5226" s="5" t="s">
        <v>68</v>
      </c>
      <c r="D5226" s="5" t="s">
        <v>3183</v>
      </c>
      <c r="E5226" s="43">
        <v>9000</v>
      </c>
      <c r="F5226" s="43"/>
      <c r="G5226" s="48">
        <f t="shared" si="137"/>
        <v>68892</v>
      </c>
      <c r="H5226" s="391" t="s">
        <v>9568</v>
      </c>
      <c r="K5226" s="167"/>
    </row>
    <row r="5227" spans="1:12" x14ac:dyDescent="0.3">
      <c r="A5227" s="45">
        <v>44949</v>
      </c>
      <c r="B5227" s="399"/>
      <c r="C5227" s="5" t="s">
        <v>247</v>
      </c>
      <c r="D5227" s="5" t="s">
        <v>2013</v>
      </c>
      <c r="E5227" s="43">
        <v>500</v>
      </c>
      <c r="F5227" s="43"/>
      <c r="G5227" s="48">
        <f t="shared" si="137"/>
        <v>68392</v>
      </c>
      <c r="H5227" s="391" t="s">
        <v>9568</v>
      </c>
      <c r="K5227" s="167"/>
    </row>
    <row r="5228" spans="1:12" x14ac:dyDescent="0.3">
      <c r="A5228" s="45">
        <v>44949</v>
      </c>
      <c r="B5228" s="399"/>
      <c r="C5228" s="5" t="s">
        <v>8573</v>
      </c>
      <c r="D5228" s="5" t="s">
        <v>10505</v>
      </c>
      <c r="E5228" s="43">
        <v>3000</v>
      </c>
      <c r="F5228" s="43"/>
      <c r="G5228" s="48">
        <f t="shared" si="137"/>
        <v>65392</v>
      </c>
      <c r="H5228" s="391" t="s">
        <v>9568</v>
      </c>
      <c r="K5228" s="167"/>
    </row>
    <row r="5229" spans="1:12" x14ac:dyDescent="0.3">
      <c r="A5229" s="45">
        <v>44950</v>
      </c>
      <c r="B5229" s="399"/>
      <c r="C5229" s="5" t="s">
        <v>10507</v>
      </c>
      <c r="D5229" s="5" t="s">
        <v>10506</v>
      </c>
      <c r="E5229" s="43">
        <v>48000</v>
      </c>
      <c r="F5229" s="43"/>
      <c r="G5229" s="48">
        <f t="shared" si="137"/>
        <v>17392</v>
      </c>
      <c r="H5229" s="391" t="s">
        <v>9568</v>
      </c>
      <c r="K5229" s="167"/>
    </row>
    <row r="5230" spans="1:12" x14ac:dyDescent="0.3">
      <c r="A5230" s="45">
        <v>44950</v>
      </c>
      <c r="B5230" s="399" t="s">
        <v>118</v>
      </c>
      <c r="C5230" s="5" t="s">
        <v>10508</v>
      </c>
      <c r="D5230" s="5" t="s">
        <v>10518</v>
      </c>
      <c r="E5230" s="43">
        <v>2650</v>
      </c>
      <c r="F5230" s="43"/>
      <c r="G5230" s="48">
        <f t="shared" si="137"/>
        <v>14742</v>
      </c>
      <c r="H5230" s="391" t="s">
        <v>9568</v>
      </c>
      <c r="I5230" s="169"/>
      <c r="K5230" s="167"/>
    </row>
    <row r="5231" spans="1:12" x14ac:dyDescent="0.3">
      <c r="A5231" s="45">
        <v>44950</v>
      </c>
      <c r="B5231" s="399"/>
      <c r="C5231" s="5" t="s">
        <v>9756</v>
      </c>
      <c r="D5231" s="5" t="s">
        <v>9253</v>
      </c>
      <c r="E5231" s="43">
        <v>7860</v>
      </c>
      <c r="F5231" s="43"/>
      <c r="G5231" s="48">
        <f t="shared" si="137"/>
        <v>6882</v>
      </c>
      <c r="H5231" s="391" t="s">
        <v>9568</v>
      </c>
      <c r="K5231" s="167"/>
    </row>
    <row r="5232" spans="1:12" x14ac:dyDescent="0.3">
      <c r="A5232" s="45">
        <v>44950</v>
      </c>
      <c r="B5232" s="586"/>
      <c r="C5232" s="486" t="s">
        <v>6069</v>
      </c>
      <c r="D5232" s="486"/>
      <c r="E5232" s="486"/>
      <c r="F5232" s="43">
        <v>200000</v>
      </c>
      <c r="G5232" s="48">
        <f t="shared" si="137"/>
        <v>206882</v>
      </c>
      <c r="H5232" s="391" t="s">
        <v>9568</v>
      </c>
      <c r="K5232" s="167"/>
    </row>
    <row r="5233" spans="1:11" x14ac:dyDescent="0.3">
      <c r="A5233" s="45">
        <v>44950</v>
      </c>
      <c r="B5233" s="399"/>
      <c r="C5233" s="5" t="s">
        <v>541</v>
      </c>
      <c r="D5233" s="5" t="s">
        <v>294</v>
      </c>
      <c r="E5233" s="43">
        <v>6000</v>
      </c>
      <c r="F5233" s="43"/>
      <c r="G5233" s="48">
        <f t="shared" si="137"/>
        <v>200882</v>
      </c>
      <c r="H5233" s="391" t="s">
        <v>9568</v>
      </c>
      <c r="K5233" s="167"/>
    </row>
    <row r="5234" spans="1:11" x14ac:dyDescent="0.3">
      <c r="A5234" s="45">
        <v>44950</v>
      </c>
      <c r="B5234" s="345" t="s">
        <v>12096</v>
      </c>
      <c r="C5234" s="5" t="s">
        <v>10509</v>
      </c>
      <c r="D5234" s="5" t="s">
        <v>10510</v>
      </c>
      <c r="E5234" s="43">
        <v>145000</v>
      </c>
      <c r="F5234" s="43"/>
      <c r="G5234" s="48">
        <f t="shared" si="137"/>
        <v>55882</v>
      </c>
      <c r="H5234" s="391" t="s">
        <v>9568</v>
      </c>
      <c r="K5234" s="167"/>
    </row>
    <row r="5235" spans="1:11" x14ac:dyDescent="0.3">
      <c r="A5235" s="45">
        <v>44950</v>
      </c>
      <c r="B5235" s="345" t="s">
        <v>12096</v>
      </c>
      <c r="C5235" s="5" t="s">
        <v>7744</v>
      </c>
      <c r="D5235" s="5" t="s">
        <v>10511</v>
      </c>
      <c r="E5235" s="43">
        <v>40000</v>
      </c>
      <c r="F5235" s="43"/>
      <c r="G5235" s="48">
        <f t="shared" si="137"/>
        <v>15882</v>
      </c>
      <c r="H5235" s="391" t="s">
        <v>9568</v>
      </c>
      <c r="I5235" s="169"/>
      <c r="K5235" s="167"/>
    </row>
    <row r="5236" spans="1:11" x14ac:dyDescent="0.3">
      <c r="A5236" s="45">
        <v>44950</v>
      </c>
      <c r="B5236" s="399" t="s">
        <v>118</v>
      </c>
      <c r="C5236" s="5" t="s">
        <v>10498</v>
      </c>
      <c r="D5236" s="5" t="s">
        <v>10512</v>
      </c>
      <c r="E5236" s="43">
        <v>1000</v>
      </c>
      <c r="F5236" s="43"/>
      <c r="G5236" s="48">
        <f t="shared" si="137"/>
        <v>14882</v>
      </c>
      <c r="H5236" s="391" t="s">
        <v>9568</v>
      </c>
      <c r="K5236" s="167"/>
    </row>
    <row r="5237" spans="1:11" x14ac:dyDescent="0.3">
      <c r="A5237" s="45">
        <v>44950</v>
      </c>
      <c r="B5237" s="345" t="s">
        <v>12096</v>
      </c>
      <c r="C5237" s="5" t="s">
        <v>9756</v>
      </c>
      <c r="D5237" s="5" t="s">
        <v>2013</v>
      </c>
      <c r="E5237" s="43">
        <v>300</v>
      </c>
      <c r="F5237" s="43"/>
      <c r="G5237" s="48">
        <f t="shared" ref="G5237:G5301" si="138">G5236+F5237-E5237</f>
        <v>14582</v>
      </c>
      <c r="H5237" s="391" t="s">
        <v>9568</v>
      </c>
      <c r="K5237" s="167"/>
    </row>
    <row r="5238" spans="1:11" x14ac:dyDescent="0.3">
      <c r="A5238" s="45">
        <v>44950</v>
      </c>
      <c r="B5238" s="399" t="s">
        <v>9857</v>
      </c>
      <c r="C5238" s="5" t="s">
        <v>9756</v>
      </c>
      <c r="D5238" s="5" t="s">
        <v>10517</v>
      </c>
      <c r="E5238" s="43">
        <v>7000</v>
      </c>
      <c r="F5238" s="43"/>
      <c r="G5238" s="48">
        <f t="shared" si="138"/>
        <v>7582</v>
      </c>
      <c r="H5238" s="391" t="s">
        <v>9568</v>
      </c>
      <c r="I5238" s="169"/>
      <c r="K5238" s="167"/>
    </row>
    <row r="5239" spans="1:11" x14ac:dyDescent="0.3">
      <c r="A5239" s="45">
        <v>44951</v>
      </c>
      <c r="B5239" s="586"/>
      <c r="C5239" s="486" t="s">
        <v>4364</v>
      </c>
      <c r="D5239" s="486"/>
      <c r="E5239" s="486"/>
      <c r="F5239" s="43">
        <v>20000</v>
      </c>
      <c r="G5239" s="48">
        <f t="shared" si="138"/>
        <v>27582</v>
      </c>
      <c r="H5239" s="391" t="s">
        <v>9568</v>
      </c>
      <c r="K5239" s="167"/>
    </row>
    <row r="5240" spans="1:11" x14ac:dyDescent="0.3">
      <c r="A5240" s="45">
        <v>44951</v>
      </c>
      <c r="B5240" s="399" t="s">
        <v>9990</v>
      </c>
      <c r="C5240" s="5" t="s">
        <v>84</v>
      </c>
      <c r="D5240" s="5" t="s">
        <v>10494</v>
      </c>
      <c r="E5240" s="43">
        <v>3000</v>
      </c>
      <c r="F5240" s="43"/>
      <c r="G5240" s="48">
        <f t="shared" si="138"/>
        <v>24582</v>
      </c>
      <c r="H5240" s="391" t="s">
        <v>9568</v>
      </c>
      <c r="K5240" s="167"/>
    </row>
    <row r="5241" spans="1:11" x14ac:dyDescent="0.3">
      <c r="A5241" s="45">
        <v>44951</v>
      </c>
      <c r="B5241" s="399" t="s">
        <v>9990</v>
      </c>
      <c r="C5241" s="5" t="s">
        <v>84</v>
      </c>
      <c r="D5241" s="5" t="s">
        <v>10523</v>
      </c>
      <c r="E5241" s="43">
        <v>2000</v>
      </c>
      <c r="F5241" s="43"/>
      <c r="G5241" s="48">
        <f t="shared" si="138"/>
        <v>22582</v>
      </c>
      <c r="H5241" s="391" t="s">
        <v>9568</v>
      </c>
      <c r="K5241" s="167"/>
    </row>
    <row r="5242" spans="1:11" x14ac:dyDescent="0.3">
      <c r="A5242" s="45">
        <v>44951</v>
      </c>
      <c r="B5242" s="399" t="s">
        <v>10615</v>
      </c>
      <c r="C5242" s="5" t="s">
        <v>6430</v>
      </c>
      <c r="D5242" s="5" t="s">
        <v>7286</v>
      </c>
      <c r="E5242" s="43">
        <v>2460</v>
      </c>
      <c r="F5242" s="43"/>
      <c r="G5242" s="48">
        <f t="shared" si="138"/>
        <v>20122</v>
      </c>
      <c r="H5242" s="391" t="s">
        <v>9568</v>
      </c>
      <c r="I5242" s="169"/>
      <c r="K5242" s="167"/>
    </row>
    <row r="5243" spans="1:11" x14ac:dyDescent="0.3">
      <c r="A5243" s="45">
        <v>44951</v>
      </c>
      <c r="B5243" s="345" t="s">
        <v>12096</v>
      </c>
      <c r="C5243" s="5" t="s">
        <v>5793</v>
      </c>
      <c r="D5243" s="5" t="s">
        <v>10525</v>
      </c>
      <c r="E5243" s="43">
        <v>1500</v>
      </c>
      <c r="F5243" s="43"/>
      <c r="G5243" s="48">
        <f t="shared" si="138"/>
        <v>18622</v>
      </c>
      <c r="H5243" s="391" t="s">
        <v>9568</v>
      </c>
      <c r="K5243" s="167"/>
    </row>
    <row r="5244" spans="1:11" x14ac:dyDescent="0.3">
      <c r="A5244" s="45">
        <v>44951</v>
      </c>
      <c r="B5244" s="399" t="s">
        <v>10112</v>
      </c>
      <c r="C5244" s="5" t="s">
        <v>5793</v>
      </c>
      <c r="D5244" s="5" t="s">
        <v>10524</v>
      </c>
      <c r="E5244" s="43">
        <v>1000</v>
      </c>
      <c r="F5244" s="43"/>
      <c r="G5244" s="48">
        <f t="shared" si="138"/>
        <v>17622</v>
      </c>
      <c r="H5244" s="391" t="s">
        <v>9568</v>
      </c>
      <c r="K5244" s="167"/>
    </row>
    <row r="5245" spans="1:11" x14ac:dyDescent="0.3">
      <c r="A5245" s="45">
        <v>44951</v>
      </c>
      <c r="B5245" s="399" t="s">
        <v>118</v>
      </c>
      <c r="C5245" s="5" t="s">
        <v>9873</v>
      </c>
      <c r="D5245" s="5" t="s">
        <v>9898</v>
      </c>
      <c r="E5245" s="43">
        <v>7855</v>
      </c>
      <c r="F5245" s="43"/>
      <c r="G5245" s="48">
        <f t="shared" si="138"/>
        <v>9767</v>
      </c>
      <c r="H5245" s="391" t="s">
        <v>9568</v>
      </c>
      <c r="K5245" s="167"/>
    </row>
    <row r="5246" spans="1:11" x14ac:dyDescent="0.3">
      <c r="A5246" s="45">
        <v>44952</v>
      </c>
      <c r="B5246" s="586"/>
      <c r="C5246" s="486" t="s">
        <v>6069</v>
      </c>
      <c r="D5246" s="486"/>
      <c r="E5246" s="486"/>
      <c r="F5246" s="43">
        <v>100000</v>
      </c>
      <c r="G5246" s="48">
        <f t="shared" si="138"/>
        <v>109767</v>
      </c>
      <c r="H5246" s="391" t="s">
        <v>9568</v>
      </c>
      <c r="K5246" s="167"/>
    </row>
    <row r="5247" spans="1:11" x14ac:dyDescent="0.3">
      <c r="A5247" s="45">
        <v>44952</v>
      </c>
      <c r="B5247" s="399" t="s">
        <v>12190</v>
      </c>
      <c r="C5247" s="5" t="s">
        <v>1074</v>
      </c>
      <c r="D5247" s="5" t="s">
        <v>9971</v>
      </c>
      <c r="E5247" s="43">
        <v>23682</v>
      </c>
      <c r="F5247" s="43"/>
      <c r="G5247" s="48">
        <f t="shared" si="138"/>
        <v>86085</v>
      </c>
      <c r="H5247" s="391" t="s">
        <v>9568</v>
      </c>
      <c r="K5247" s="167"/>
    </row>
    <row r="5248" spans="1:11" x14ac:dyDescent="0.3">
      <c r="A5248" s="45">
        <v>44952</v>
      </c>
      <c r="B5248" s="399" t="s">
        <v>118</v>
      </c>
      <c r="C5248" s="5" t="s">
        <v>1074</v>
      </c>
      <c r="D5248" s="5" t="s">
        <v>9971</v>
      </c>
      <c r="E5248" s="43">
        <v>10398</v>
      </c>
      <c r="F5248" s="43"/>
      <c r="G5248" s="48">
        <f t="shared" si="138"/>
        <v>75687</v>
      </c>
      <c r="H5248" s="391" t="s">
        <v>9568</v>
      </c>
      <c r="K5248" s="167"/>
    </row>
    <row r="5249" spans="1:11" x14ac:dyDescent="0.3">
      <c r="A5249" s="45">
        <v>44952</v>
      </c>
      <c r="B5249" s="399" t="s">
        <v>9857</v>
      </c>
      <c r="C5249" s="5" t="s">
        <v>9756</v>
      </c>
      <c r="D5249" s="5" t="s">
        <v>10526</v>
      </c>
      <c r="E5249" s="43">
        <v>800</v>
      </c>
      <c r="F5249" s="43"/>
      <c r="G5249" s="48">
        <f t="shared" si="138"/>
        <v>74887</v>
      </c>
      <c r="H5249" s="391" t="s">
        <v>9568</v>
      </c>
      <c r="K5249" s="167"/>
    </row>
    <row r="5250" spans="1:11" x14ac:dyDescent="0.3">
      <c r="A5250" s="45">
        <v>44952</v>
      </c>
      <c r="B5250" s="399"/>
      <c r="C5250" s="5" t="s">
        <v>4550</v>
      </c>
      <c r="D5250" s="5" t="s">
        <v>10527</v>
      </c>
      <c r="E5250" s="43">
        <v>5000</v>
      </c>
      <c r="F5250" s="43"/>
      <c r="G5250" s="48">
        <f t="shared" si="138"/>
        <v>69887</v>
      </c>
      <c r="H5250" s="391" t="s">
        <v>9568</v>
      </c>
      <c r="K5250" s="167"/>
    </row>
    <row r="5251" spans="1:11" x14ac:dyDescent="0.3">
      <c r="A5251" s="45">
        <v>44952</v>
      </c>
      <c r="B5251" s="399" t="s">
        <v>118</v>
      </c>
      <c r="C5251" s="5" t="s">
        <v>8573</v>
      </c>
      <c r="D5251" s="5" t="s">
        <v>9931</v>
      </c>
      <c r="E5251" s="43">
        <v>1000</v>
      </c>
      <c r="F5251" s="43"/>
      <c r="G5251" s="48">
        <f t="shared" si="138"/>
        <v>68887</v>
      </c>
      <c r="H5251" s="391" t="s">
        <v>9568</v>
      </c>
      <c r="I5251" s="169"/>
      <c r="K5251" s="167"/>
    </row>
    <row r="5252" spans="1:11" x14ac:dyDescent="0.3">
      <c r="A5252" s="45">
        <v>44952</v>
      </c>
      <c r="B5252" s="399" t="s">
        <v>118</v>
      </c>
      <c r="C5252" s="5" t="s">
        <v>9756</v>
      </c>
      <c r="D5252" s="5" t="s">
        <v>10528</v>
      </c>
      <c r="E5252" s="43">
        <v>6000</v>
      </c>
      <c r="F5252" s="43"/>
      <c r="G5252" s="48">
        <f t="shared" si="138"/>
        <v>62887</v>
      </c>
      <c r="H5252" s="391" t="s">
        <v>9568</v>
      </c>
      <c r="K5252" s="167"/>
    </row>
    <row r="5253" spans="1:11" x14ac:dyDescent="0.3">
      <c r="A5253" s="45">
        <v>44952</v>
      </c>
      <c r="B5253" s="399" t="s">
        <v>9860</v>
      </c>
      <c r="C5253" s="5" t="s">
        <v>9525</v>
      </c>
      <c r="D5253" s="5" t="s">
        <v>4187</v>
      </c>
      <c r="E5253" s="43">
        <v>5000</v>
      </c>
      <c r="F5253" s="43"/>
      <c r="G5253" s="48">
        <f t="shared" si="138"/>
        <v>57887</v>
      </c>
      <c r="H5253" s="391" t="s">
        <v>9568</v>
      </c>
      <c r="K5253" s="167"/>
    </row>
    <row r="5254" spans="1:11" x14ac:dyDescent="0.3">
      <c r="A5254" s="45">
        <v>44952</v>
      </c>
      <c r="B5254" s="399" t="s">
        <v>9860</v>
      </c>
      <c r="C5254" s="5" t="s">
        <v>84</v>
      </c>
      <c r="D5254" s="5" t="s">
        <v>10529</v>
      </c>
      <c r="E5254" s="43">
        <v>1000</v>
      </c>
      <c r="F5254" s="43"/>
      <c r="G5254" s="48">
        <f t="shared" si="138"/>
        <v>56887</v>
      </c>
      <c r="H5254" s="391" t="s">
        <v>9568</v>
      </c>
    </row>
    <row r="5255" spans="1:11" x14ac:dyDescent="0.3">
      <c r="A5255" s="45">
        <v>44952</v>
      </c>
      <c r="B5255" s="399" t="s">
        <v>10531</v>
      </c>
      <c r="C5255" s="5" t="s">
        <v>7571</v>
      </c>
      <c r="D5255" s="5" t="s">
        <v>10530</v>
      </c>
      <c r="E5255" s="43">
        <v>10000</v>
      </c>
      <c r="F5255" s="43"/>
      <c r="G5255" s="48">
        <f t="shared" si="138"/>
        <v>46887</v>
      </c>
      <c r="H5255" s="391" t="s">
        <v>9568</v>
      </c>
    </row>
    <row r="5256" spans="1:11" x14ac:dyDescent="0.3">
      <c r="A5256" s="45">
        <v>44952</v>
      </c>
      <c r="B5256" s="399" t="s">
        <v>118</v>
      </c>
      <c r="C5256" s="5" t="s">
        <v>4400</v>
      </c>
      <c r="D5256" s="5" t="s">
        <v>7736</v>
      </c>
      <c r="E5256" s="43">
        <v>9300</v>
      </c>
      <c r="F5256" s="43"/>
      <c r="G5256" s="48">
        <f t="shared" si="138"/>
        <v>37587</v>
      </c>
      <c r="H5256" s="391" t="s">
        <v>9568</v>
      </c>
    </row>
    <row r="5257" spans="1:11" x14ac:dyDescent="0.3">
      <c r="A5257" s="45">
        <v>44952</v>
      </c>
      <c r="B5257" s="399" t="s">
        <v>9990</v>
      </c>
      <c r="C5257" s="5" t="s">
        <v>84</v>
      </c>
      <c r="D5257" s="5" t="s">
        <v>10532</v>
      </c>
      <c r="E5257" s="43">
        <v>10000</v>
      </c>
      <c r="F5257" s="43"/>
      <c r="G5257" s="48">
        <f t="shared" si="138"/>
        <v>27587</v>
      </c>
      <c r="H5257" s="391" t="s">
        <v>9568</v>
      </c>
      <c r="I5257" s="169"/>
    </row>
    <row r="5258" spans="1:11" x14ac:dyDescent="0.3">
      <c r="A5258" s="45">
        <v>44952</v>
      </c>
      <c r="B5258" s="399" t="s">
        <v>10112</v>
      </c>
      <c r="C5258" s="5" t="s">
        <v>5793</v>
      </c>
      <c r="D5258" s="5" t="s">
        <v>10410</v>
      </c>
      <c r="E5258" s="43">
        <v>1500</v>
      </c>
      <c r="F5258" s="43"/>
      <c r="G5258" s="48">
        <f t="shared" si="138"/>
        <v>26087</v>
      </c>
      <c r="H5258" s="391" t="s">
        <v>9568</v>
      </c>
    </row>
    <row r="5259" spans="1:11" x14ac:dyDescent="0.3">
      <c r="A5259" s="45">
        <v>44953</v>
      </c>
      <c r="B5259" s="399" t="s">
        <v>118</v>
      </c>
      <c r="C5259" s="5" t="s">
        <v>541</v>
      </c>
      <c r="D5259" s="5" t="s">
        <v>10537</v>
      </c>
      <c r="E5259" s="43">
        <v>300</v>
      </c>
      <c r="F5259" s="43"/>
      <c r="G5259" s="48">
        <f t="shared" si="138"/>
        <v>25787</v>
      </c>
      <c r="H5259" s="391" t="s">
        <v>9568</v>
      </c>
    </row>
    <row r="5260" spans="1:11" x14ac:dyDescent="0.3">
      <c r="A5260" s="45">
        <v>44953</v>
      </c>
      <c r="B5260" s="586"/>
      <c r="C5260" s="486" t="s">
        <v>8290</v>
      </c>
      <c r="D5260" s="486"/>
      <c r="E5260" s="486"/>
      <c r="F5260" s="43">
        <v>20000</v>
      </c>
      <c r="G5260" s="48">
        <f t="shared" si="138"/>
        <v>45787</v>
      </c>
      <c r="H5260" s="391" t="s">
        <v>9568</v>
      </c>
    </row>
    <row r="5261" spans="1:11" x14ac:dyDescent="0.3">
      <c r="A5261" s="45">
        <v>44953</v>
      </c>
      <c r="B5261" s="399" t="s">
        <v>4504</v>
      </c>
      <c r="C5261" s="5" t="s">
        <v>7214</v>
      </c>
      <c r="D5261" s="5" t="s">
        <v>10533</v>
      </c>
      <c r="E5261" s="43">
        <v>10000</v>
      </c>
      <c r="F5261" s="43"/>
      <c r="G5261" s="48">
        <f t="shared" si="138"/>
        <v>35787</v>
      </c>
      <c r="H5261" s="391" t="s">
        <v>9568</v>
      </c>
    </row>
    <row r="5262" spans="1:11" x14ac:dyDescent="0.3">
      <c r="A5262" s="45">
        <v>44953</v>
      </c>
      <c r="B5262" s="399" t="s">
        <v>118</v>
      </c>
      <c r="C5262" s="5" t="s">
        <v>9873</v>
      </c>
      <c r="D5262" s="5" t="s">
        <v>9898</v>
      </c>
      <c r="E5262" s="43">
        <v>6125</v>
      </c>
      <c r="F5262" s="43"/>
      <c r="G5262" s="48">
        <f t="shared" si="138"/>
        <v>29662</v>
      </c>
      <c r="H5262" s="391" t="s">
        <v>9568</v>
      </c>
    </row>
    <row r="5263" spans="1:11" x14ac:dyDescent="0.3">
      <c r="A5263" s="45">
        <v>44953</v>
      </c>
      <c r="B5263" s="399" t="s">
        <v>118</v>
      </c>
      <c r="C5263" s="5" t="s">
        <v>8573</v>
      </c>
      <c r="D5263" s="5" t="s">
        <v>10534</v>
      </c>
      <c r="E5263" s="43">
        <v>6000</v>
      </c>
      <c r="F5263" s="43"/>
      <c r="G5263" s="48">
        <f t="shared" si="138"/>
        <v>23662</v>
      </c>
      <c r="H5263" s="391" t="s">
        <v>9568</v>
      </c>
      <c r="I5263" s="169"/>
    </row>
    <row r="5264" spans="1:11" x14ac:dyDescent="0.3">
      <c r="A5264" s="45">
        <v>44953</v>
      </c>
      <c r="B5264" s="399" t="s">
        <v>10615</v>
      </c>
      <c r="C5264" s="5" t="s">
        <v>6430</v>
      </c>
      <c r="D5264" s="5" t="s">
        <v>10536</v>
      </c>
      <c r="E5264" s="43">
        <v>5000</v>
      </c>
      <c r="F5264" s="43"/>
      <c r="G5264" s="48">
        <f t="shared" si="138"/>
        <v>18662</v>
      </c>
      <c r="H5264" s="391" t="s">
        <v>9568</v>
      </c>
      <c r="I5264" s="102"/>
    </row>
    <row r="5265" spans="1:14" x14ac:dyDescent="0.3">
      <c r="A5265" s="45">
        <v>44954</v>
      </c>
      <c r="B5265" s="399" t="s">
        <v>118</v>
      </c>
      <c r="C5265" s="5" t="s">
        <v>9873</v>
      </c>
      <c r="D5265" s="5" t="s">
        <v>9898</v>
      </c>
      <c r="E5265" s="43">
        <v>7455</v>
      </c>
      <c r="F5265" s="43"/>
      <c r="G5265" s="48">
        <f t="shared" si="138"/>
        <v>11207</v>
      </c>
      <c r="H5265" s="391" t="s">
        <v>9568</v>
      </c>
    </row>
    <row r="5266" spans="1:14" x14ac:dyDescent="0.3">
      <c r="A5266" s="45">
        <v>44956</v>
      </c>
      <c r="B5266" s="586"/>
      <c r="C5266" s="486" t="s">
        <v>6069</v>
      </c>
      <c r="D5266" s="486"/>
      <c r="E5266" s="486"/>
      <c r="F5266" s="43">
        <v>100000</v>
      </c>
      <c r="G5266" s="48">
        <f t="shared" si="138"/>
        <v>111207</v>
      </c>
      <c r="H5266" s="391" t="s">
        <v>9568</v>
      </c>
    </row>
    <row r="5267" spans="1:14" x14ac:dyDescent="0.3">
      <c r="A5267" s="45">
        <v>44956</v>
      </c>
      <c r="B5267" s="399" t="s">
        <v>118</v>
      </c>
      <c r="C5267" s="5" t="s">
        <v>10498</v>
      </c>
      <c r="D5267" s="5" t="s">
        <v>10544</v>
      </c>
      <c r="E5267" s="43">
        <v>5000</v>
      </c>
      <c r="F5267" s="43"/>
      <c r="G5267" s="48">
        <f t="shared" si="138"/>
        <v>106207</v>
      </c>
      <c r="H5267" s="391" t="s">
        <v>9568</v>
      </c>
    </row>
    <row r="5268" spans="1:14" x14ac:dyDescent="0.3">
      <c r="A5268" s="45">
        <v>44956</v>
      </c>
      <c r="B5268" s="399"/>
      <c r="C5268" s="5" t="s">
        <v>14</v>
      </c>
      <c r="D5268" s="5" t="s">
        <v>294</v>
      </c>
      <c r="E5268" s="43">
        <v>5000</v>
      </c>
      <c r="F5268" s="43"/>
      <c r="G5268" s="48">
        <f t="shared" si="138"/>
        <v>101207</v>
      </c>
      <c r="H5268" s="391" t="s">
        <v>9568</v>
      </c>
    </row>
    <row r="5269" spans="1:14" x14ac:dyDescent="0.3">
      <c r="A5269" s="45">
        <v>44956</v>
      </c>
      <c r="B5269" s="345" t="s">
        <v>12096</v>
      </c>
      <c r="C5269" s="5" t="s">
        <v>9756</v>
      </c>
      <c r="D5269" s="5" t="s">
        <v>10545</v>
      </c>
      <c r="E5269" s="43">
        <v>800</v>
      </c>
      <c r="F5269" s="43"/>
      <c r="G5269" s="48">
        <f t="shared" si="138"/>
        <v>100407</v>
      </c>
      <c r="H5269" s="391" t="s">
        <v>9568</v>
      </c>
    </row>
    <row r="5270" spans="1:14" x14ac:dyDescent="0.3">
      <c r="A5270" s="45">
        <v>44956</v>
      </c>
      <c r="B5270" s="399" t="s">
        <v>12190</v>
      </c>
      <c r="C5270" s="5" t="s">
        <v>8573</v>
      </c>
      <c r="D5270" s="5" t="s">
        <v>10547</v>
      </c>
      <c r="E5270" s="43">
        <v>2200</v>
      </c>
      <c r="F5270" s="43"/>
      <c r="G5270" s="48">
        <f t="shared" si="138"/>
        <v>98207</v>
      </c>
      <c r="H5270" s="391" t="s">
        <v>9568</v>
      </c>
    </row>
    <row r="5271" spans="1:14" x14ac:dyDescent="0.3">
      <c r="A5271" s="45">
        <v>44956</v>
      </c>
      <c r="B5271" s="399" t="s">
        <v>118</v>
      </c>
      <c r="C5271" s="5" t="s">
        <v>8573</v>
      </c>
      <c r="D5271" s="5" t="s">
        <v>10548</v>
      </c>
      <c r="E5271" s="43">
        <v>900</v>
      </c>
      <c r="F5271" s="43"/>
      <c r="G5271" s="48">
        <f t="shared" si="138"/>
        <v>97307</v>
      </c>
      <c r="H5271" s="391" t="s">
        <v>9568</v>
      </c>
      <c r="I5271" s="169"/>
    </row>
    <row r="5272" spans="1:14" x14ac:dyDescent="0.3">
      <c r="A5272" s="45">
        <v>44956</v>
      </c>
      <c r="B5272" s="399" t="s">
        <v>10112</v>
      </c>
      <c r="C5272" s="5" t="s">
        <v>10463</v>
      </c>
      <c r="D5272" s="5" t="s">
        <v>10549</v>
      </c>
      <c r="E5272" s="43">
        <v>31000</v>
      </c>
      <c r="F5272" s="43"/>
      <c r="G5272" s="48">
        <f t="shared" si="138"/>
        <v>66307</v>
      </c>
      <c r="H5272" s="391" t="s">
        <v>9568</v>
      </c>
    </row>
    <row r="5273" spans="1:14" x14ac:dyDescent="0.3">
      <c r="A5273" s="45">
        <v>44957</v>
      </c>
      <c r="B5273" s="586"/>
      <c r="C5273" s="486" t="s">
        <v>10550</v>
      </c>
      <c r="D5273" s="486"/>
      <c r="E5273" s="486"/>
      <c r="F5273" s="43">
        <v>350000</v>
      </c>
      <c r="G5273" s="48">
        <f t="shared" si="138"/>
        <v>416307</v>
      </c>
      <c r="H5273" s="391" t="s">
        <v>9568</v>
      </c>
      <c r="M5273" s="52"/>
    </row>
    <row r="5274" spans="1:14" x14ac:dyDescent="0.3">
      <c r="A5274" s="45">
        <v>44957</v>
      </c>
      <c r="B5274" s="345" t="s">
        <v>12096</v>
      </c>
      <c r="C5274" s="5" t="s">
        <v>9947</v>
      </c>
      <c r="D5274" s="5" t="s">
        <v>10551</v>
      </c>
      <c r="E5274" s="43">
        <v>17000</v>
      </c>
      <c r="F5274" s="43"/>
      <c r="G5274" s="48">
        <f t="shared" si="138"/>
        <v>399307</v>
      </c>
      <c r="H5274" s="391" t="s">
        <v>9568</v>
      </c>
      <c r="M5274" s="52"/>
    </row>
    <row r="5275" spans="1:14" x14ac:dyDescent="0.3">
      <c r="A5275" s="45">
        <v>44957</v>
      </c>
      <c r="B5275" s="399" t="s">
        <v>9990</v>
      </c>
      <c r="C5275" s="5" t="s">
        <v>10552</v>
      </c>
      <c r="D5275" s="5" t="s">
        <v>10553</v>
      </c>
      <c r="E5275" s="43">
        <v>72000</v>
      </c>
      <c r="F5275" s="43"/>
      <c r="G5275" s="48">
        <f t="shared" si="138"/>
        <v>327307</v>
      </c>
      <c r="H5275" s="391" t="s">
        <v>9568</v>
      </c>
      <c r="M5275" s="52"/>
    </row>
    <row r="5276" spans="1:14" x14ac:dyDescent="0.3">
      <c r="A5276" s="45">
        <v>44957</v>
      </c>
      <c r="B5276" s="399"/>
      <c r="C5276" s="5" t="s">
        <v>9756</v>
      </c>
      <c r="D5276" s="5" t="s">
        <v>10561</v>
      </c>
      <c r="E5276" s="43">
        <v>1900</v>
      </c>
      <c r="F5276" s="43"/>
      <c r="G5276" s="48">
        <f t="shared" si="138"/>
        <v>325407</v>
      </c>
      <c r="H5276" s="391" t="s">
        <v>9568</v>
      </c>
    </row>
    <row r="5277" spans="1:14" s="390" customFormat="1" x14ac:dyDescent="0.3">
      <c r="A5277" s="45">
        <v>44957</v>
      </c>
      <c r="B5277" s="399" t="s">
        <v>10112</v>
      </c>
      <c r="C5277" s="5" t="s">
        <v>10309</v>
      </c>
      <c r="D5277" s="5" t="s">
        <v>10554</v>
      </c>
      <c r="E5277" s="43">
        <v>68000</v>
      </c>
      <c r="F5277" s="43"/>
      <c r="G5277" s="48">
        <f t="shared" si="138"/>
        <v>257407</v>
      </c>
      <c r="H5277" s="391" t="s">
        <v>9568</v>
      </c>
      <c r="I5277" s="52"/>
      <c r="J5277" s="52"/>
      <c r="K5277" s="52"/>
      <c r="L5277" s="4"/>
      <c r="N5277" s="155"/>
    </row>
    <row r="5278" spans="1:14" ht="56.25" x14ac:dyDescent="0.3">
      <c r="A5278" s="45">
        <v>44957</v>
      </c>
      <c r="B5278" s="322" t="s">
        <v>9863</v>
      </c>
      <c r="C5278" s="44" t="s">
        <v>10555</v>
      </c>
      <c r="D5278" s="124" t="s">
        <v>10557</v>
      </c>
      <c r="E5278" s="28">
        <v>20000</v>
      </c>
      <c r="F5278" s="28"/>
      <c r="G5278" s="48">
        <f t="shared" si="138"/>
        <v>237407</v>
      </c>
      <c r="H5278" s="391" t="s">
        <v>9568</v>
      </c>
    </row>
    <row r="5279" spans="1:14" x14ac:dyDescent="0.3">
      <c r="A5279" s="45">
        <v>44957</v>
      </c>
      <c r="B5279" s="399" t="s">
        <v>12190</v>
      </c>
      <c r="C5279" s="5" t="s">
        <v>1616</v>
      </c>
      <c r="D5279" s="5" t="s">
        <v>7002</v>
      </c>
      <c r="E5279" s="43">
        <v>750</v>
      </c>
      <c r="F5279" s="43"/>
      <c r="G5279" s="48">
        <f t="shared" si="138"/>
        <v>236657</v>
      </c>
      <c r="H5279" s="391" t="s">
        <v>9568</v>
      </c>
      <c r="I5279" s="169"/>
    </row>
    <row r="5280" spans="1:14" x14ac:dyDescent="0.3">
      <c r="A5280" s="45">
        <v>44957</v>
      </c>
      <c r="B5280" s="399" t="s">
        <v>9990</v>
      </c>
      <c r="C5280" s="5" t="s">
        <v>5162</v>
      </c>
      <c r="D5280" s="5" t="s">
        <v>10556</v>
      </c>
      <c r="E5280" s="43">
        <v>850</v>
      </c>
      <c r="F5280" s="43"/>
      <c r="G5280" s="48">
        <f t="shared" si="138"/>
        <v>235807</v>
      </c>
      <c r="H5280" s="391" t="s">
        <v>9568</v>
      </c>
    </row>
    <row r="5281" spans="1:13" x14ac:dyDescent="0.3">
      <c r="A5281" s="45">
        <v>44957</v>
      </c>
      <c r="B5281" s="399" t="s">
        <v>9879</v>
      </c>
      <c r="C5281" s="5" t="s">
        <v>10360</v>
      </c>
      <c r="D5281" s="5" t="s">
        <v>10558</v>
      </c>
      <c r="E5281" s="43">
        <v>33000</v>
      </c>
      <c r="F5281" s="43"/>
      <c r="G5281" s="48">
        <f t="shared" si="138"/>
        <v>202807</v>
      </c>
      <c r="H5281" s="391" t="s">
        <v>9568</v>
      </c>
    </row>
    <row r="5282" spans="1:13" x14ac:dyDescent="0.3">
      <c r="A5282" s="45">
        <v>44957</v>
      </c>
      <c r="B5282" s="399" t="s">
        <v>9879</v>
      </c>
      <c r="C5282" s="5" t="s">
        <v>57</v>
      </c>
      <c r="D5282" s="5" t="s">
        <v>10384</v>
      </c>
      <c r="E5282" s="43">
        <v>2000</v>
      </c>
      <c r="F5282" s="43"/>
      <c r="G5282" s="48">
        <f t="shared" si="138"/>
        <v>200807</v>
      </c>
      <c r="H5282" s="391" t="s">
        <v>9568</v>
      </c>
    </row>
    <row r="5283" spans="1:13" x14ac:dyDescent="0.3">
      <c r="A5283" s="45">
        <v>44958</v>
      </c>
      <c r="B5283" s="345" t="s">
        <v>12096</v>
      </c>
      <c r="C5283" s="5" t="s">
        <v>84</v>
      </c>
      <c r="D5283" s="5" t="s">
        <v>10559</v>
      </c>
      <c r="E5283" s="43">
        <v>5000</v>
      </c>
      <c r="F5283" s="43"/>
      <c r="G5283" s="48">
        <f t="shared" si="138"/>
        <v>195807</v>
      </c>
      <c r="H5283" s="391" t="s">
        <v>9568</v>
      </c>
    </row>
    <row r="5284" spans="1:13" x14ac:dyDescent="0.3">
      <c r="A5284" s="45">
        <v>44958</v>
      </c>
      <c r="B5284" s="345" t="s">
        <v>12096</v>
      </c>
      <c r="C5284" s="5" t="s">
        <v>18</v>
      </c>
      <c r="D5284" s="5" t="s">
        <v>10409</v>
      </c>
      <c r="E5284" s="43">
        <v>1000</v>
      </c>
      <c r="F5284" s="43"/>
      <c r="G5284" s="48">
        <f t="shared" si="138"/>
        <v>194807</v>
      </c>
      <c r="H5284" s="391" t="s">
        <v>9568</v>
      </c>
    </row>
    <row r="5285" spans="1:13" x14ac:dyDescent="0.3">
      <c r="A5285" s="45">
        <v>44958</v>
      </c>
      <c r="B5285" s="399"/>
      <c r="C5285" s="5" t="s">
        <v>14</v>
      </c>
      <c r="D5285" s="5" t="s">
        <v>10409</v>
      </c>
      <c r="E5285" s="43">
        <v>1000</v>
      </c>
      <c r="F5285" s="43"/>
      <c r="G5285" s="48">
        <f t="shared" si="138"/>
        <v>193807</v>
      </c>
      <c r="H5285" s="391" t="s">
        <v>9568</v>
      </c>
      <c r="I5285" s="169"/>
    </row>
    <row r="5286" spans="1:13" x14ac:dyDescent="0.3">
      <c r="A5286" s="45">
        <v>44958</v>
      </c>
      <c r="B5286" s="399"/>
      <c r="C5286" s="5" t="s">
        <v>14</v>
      </c>
      <c r="D5286" s="5" t="s">
        <v>10560</v>
      </c>
      <c r="E5286" s="43">
        <v>1500</v>
      </c>
      <c r="F5286" s="43"/>
      <c r="G5286" s="48">
        <f t="shared" si="138"/>
        <v>192307</v>
      </c>
      <c r="H5286" s="391" t="s">
        <v>9568</v>
      </c>
    </row>
    <row r="5287" spans="1:13" x14ac:dyDescent="0.3">
      <c r="A5287" s="45">
        <v>44959</v>
      </c>
      <c r="B5287" s="345" t="s">
        <v>12096</v>
      </c>
      <c r="C5287" s="5" t="s">
        <v>68</v>
      </c>
      <c r="D5287" s="5" t="s">
        <v>4402</v>
      </c>
      <c r="E5287" s="43">
        <v>5000</v>
      </c>
      <c r="F5287" s="43"/>
      <c r="G5287" s="48">
        <f t="shared" si="138"/>
        <v>187307</v>
      </c>
      <c r="H5287" s="391" t="s">
        <v>9568</v>
      </c>
    </row>
    <row r="5288" spans="1:13" x14ac:dyDescent="0.3">
      <c r="A5288" s="45">
        <v>44959</v>
      </c>
      <c r="B5288" s="399" t="s">
        <v>9863</v>
      </c>
      <c r="C5288" s="5" t="s">
        <v>10563</v>
      </c>
      <c r="D5288" s="5" t="s">
        <v>10564</v>
      </c>
      <c r="E5288" s="43">
        <v>34500</v>
      </c>
      <c r="F5288" s="43"/>
      <c r="G5288" s="48">
        <f t="shared" si="138"/>
        <v>152807</v>
      </c>
      <c r="H5288" s="391" t="s">
        <v>9568</v>
      </c>
    </row>
    <row r="5289" spans="1:13" x14ac:dyDescent="0.3">
      <c r="A5289" s="45">
        <v>44959</v>
      </c>
      <c r="B5289" s="586"/>
      <c r="C5289" s="486" t="s">
        <v>10550</v>
      </c>
      <c r="D5289" s="486"/>
      <c r="E5289" s="486"/>
      <c r="F5289" s="43">
        <v>340000</v>
      </c>
      <c r="G5289" s="48">
        <f t="shared" si="138"/>
        <v>492807</v>
      </c>
      <c r="H5289" s="391" t="s">
        <v>9568</v>
      </c>
    </row>
    <row r="5290" spans="1:13" x14ac:dyDescent="0.3">
      <c r="A5290" s="45">
        <v>44959</v>
      </c>
      <c r="B5290" s="409" t="s">
        <v>118</v>
      </c>
      <c r="C5290" s="61" t="s">
        <v>1512</v>
      </c>
      <c r="D5290" s="61" t="s">
        <v>6842</v>
      </c>
      <c r="E5290" s="62">
        <v>149774</v>
      </c>
      <c r="F5290" s="43"/>
      <c r="G5290" s="48">
        <f t="shared" si="138"/>
        <v>343033</v>
      </c>
      <c r="H5290" s="391" t="s">
        <v>9568</v>
      </c>
    </row>
    <row r="5291" spans="1:13" x14ac:dyDescent="0.3">
      <c r="A5291" s="45">
        <v>44959</v>
      </c>
      <c r="B5291" s="409" t="s">
        <v>9990</v>
      </c>
      <c r="C5291" s="61" t="s">
        <v>1512</v>
      </c>
      <c r="D5291" s="61" t="s">
        <v>10253</v>
      </c>
      <c r="E5291" s="62">
        <v>35000</v>
      </c>
      <c r="F5291" s="43"/>
      <c r="G5291" s="48">
        <f t="shared" si="138"/>
        <v>308033</v>
      </c>
      <c r="H5291" s="391" t="s">
        <v>9568</v>
      </c>
      <c r="I5291" s="169"/>
    </row>
    <row r="5292" spans="1:13" x14ac:dyDescent="0.3">
      <c r="A5292" s="45">
        <v>44959</v>
      </c>
      <c r="B5292" s="409" t="s">
        <v>5933</v>
      </c>
      <c r="C5292" s="61" t="s">
        <v>1512</v>
      </c>
      <c r="D5292" s="61" t="s">
        <v>8636</v>
      </c>
      <c r="E5292" s="62">
        <v>150851</v>
      </c>
      <c r="F5292" s="43"/>
      <c r="G5292" s="48">
        <f t="shared" si="138"/>
        <v>157182</v>
      </c>
      <c r="H5292" s="391" t="s">
        <v>9568</v>
      </c>
    </row>
    <row r="5293" spans="1:13" x14ac:dyDescent="0.3">
      <c r="A5293" s="45">
        <v>44960</v>
      </c>
      <c r="B5293" s="399" t="s">
        <v>9997</v>
      </c>
      <c r="C5293" s="5" t="s">
        <v>10565</v>
      </c>
      <c r="D5293" s="5" t="s">
        <v>10566</v>
      </c>
      <c r="E5293" s="43">
        <v>18000</v>
      </c>
      <c r="F5293" s="43"/>
      <c r="G5293" s="48">
        <f t="shared" si="138"/>
        <v>139182</v>
      </c>
      <c r="H5293" s="391" t="s">
        <v>9568</v>
      </c>
      <c r="I5293" s="169"/>
      <c r="M5293" s="248"/>
    </row>
    <row r="5294" spans="1:13" x14ac:dyDescent="0.3">
      <c r="A5294" s="45">
        <v>44960</v>
      </c>
      <c r="B5294" s="399" t="s">
        <v>118</v>
      </c>
      <c r="C5294" s="5" t="s">
        <v>9873</v>
      </c>
      <c r="D5294" s="5" t="s">
        <v>650</v>
      </c>
      <c r="E5294" s="43">
        <v>1000</v>
      </c>
      <c r="F5294" s="43"/>
      <c r="G5294" s="48">
        <f t="shared" si="138"/>
        <v>138182</v>
      </c>
      <c r="H5294" s="391" t="s">
        <v>9568</v>
      </c>
    </row>
    <row r="5295" spans="1:13" x14ac:dyDescent="0.3">
      <c r="A5295" s="45">
        <v>44960</v>
      </c>
      <c r="B5295" s="399"/>
      <c r="C5295" s="5" t="s">
        <v>10567</v>
      </c>
      <c r="D5295" s="5" t="s">
        <v>10568</v>
      </c>
      <c r="E5295" s="43">
        <v>63200</v>
      </c>
      <c r="F5295" s="43"/>
      <c r="G5295" s="48">
        <f t="shared" si="138"/>
        <v>74982</v>
      </c>
      <c r="H5295" s="391" t="s">
        <v>9568</v>
      </c>
    </row>
    <row r="5296" spans="1:13" x14ac:dyDescent="0.3">
      <c r="A5296" s="45">
        <v>44960</v>
      </c>
      <c r="B5296" s="399"/>
      <c r="C5296" s="5" t="s">
        <v>14</v>
      </c>
      <c r="D5296" s="5" t="s">
        <v>10569</v>
      </c>
      <c r="E5296" s="43">
        <f>2323+400</f>
        <v>2723</v>
      </c>
      <c r="F5296" s="43"/>
      <c r="G5296" s="48">
        <f t="shared" si="138"/>
        <v>72259</v>
      </c>
      <c r="H5296" s="391" t="s">
        <v>9568</v>
      </c>
    </row>
    <row r="5297" spans="1:13" x14ac:dyDescent="0.3">
      <c r="A5297" s="45">
        <v>44960</v>
      </c>
      <c r="B5297" s="399" t="s">
        <v>12190</v>
      </c>
      <c r="C5297" s="5" t="s">
        <v>1074</v>
      </c>
      <c r="D5297" s="5" t="s">
        <v>10570</v>
      </c>
      <c r="E5297" s="43">
        <v>250</v>
      </c>
      <c r="F5297" s="43"/>
      <c r="G5297" s="48">
        <f t="shared" si="138"/>
        <v>72009</v>
      </c>
      <c r="H5297" s="391" t="s">
        <v>9568</v>
      </c>
      <c r="I5297" s="169"/>
      <c r="M5297" s="248"/>
    </row>
    <row r="5298" spans="1:13" x14ac:dyDescent="0.3">
      <c r="A5298" s="45">
        <v>44960</v>
      </c>
      <c r="B5298" s="399" t="s">
        <v>118</v>
      </c>
      <c r="C5298" s="5" t="s">
        <v>1074</v>
      </c>
      <c r="D5298" s="5" t="s">
        <v>10570</v>
      </c>
      <c r="E5298" s="43">
        <v>250</v>
      </c>
      <c r="F5298" s="43"/>
      <c r="G5298" s="48">
        <f t="shared" si="138"/>
        <v>71759</v>
      </c>
      <c r="H5298" s="391" t="s">
        <v>9568</v>
      </c>
    </row>
    <row r="5299" spans="1:13" x14ac:dyDescent="0.3">
      <c r="A5299" s="45">
        <v>44960</v>
      </c>
      <c r="B5299" s="399" t="s">
        <v>12091</v>
      </c>
      <c r="C5299" s="5" t="s">
        <v>5793</v>
      </c>
      <c r="D5299" s="5" t="s">
        <v>10571</v>
      </c>
      <c r="E5299" s="43">
        <v>2000</v>
      </c>
      <c r="F5299" s="43"/>
      <c r="G5299" s="48">
        <f t="shared" si="138"/>
        <v>69759</v>
      </c>
      <c r="H5299" s="391" t="s">
        <v>9568</v>
      </c>
    </row>
    <row r="5300" spans="1:13" x14ac:dyDescent="0.3">
      <c r="A5300" s="45">
        <v>44960</v>
      </c>
      <c r="B5300" s="399" t="s">
        <v>10615</v>
      </c>
      <c r="C5300" s="5" t="s">
        <v>7099</v>
      </c>
      <c r="D5300" s="5" t="s">
        <v>10572</v>
      </c>
      <c r="E5300" s="43">
        <v>2550</v>
      </c>
      <c r="F5300" s="43"/>
      <c r="G5300" s="48">
        <f t="shared" si="138"/>
        <v>67209</v>
      </c>
      <c r="H5300" s="391" t="s">
        <v>9568</v>
      </c>
      <c r="M5300" s="248"/>
    </row>
    <row r="5301" spans="1:13" x14ac:dyDescent="0.3">
      <c r="A5301" s="45">
        <v>44960</v>
      </c>
      <c r="B5301" s="399" t="s">
        <v>9879</v>
      </c>
      <c r="C5301" s="5" t="s">
        <v>6430</v>
      </c>
      <c r="D5301" s="5" t="s">
        <v>10573</v>
      </c>
      <c r="E5301" s="43">
        <v>200</v>
      </c>
      <c r="F5301" s="43"/>
      <c r="G5301" s="48">
        <f t="shared" si="138"/>
        <v>67009</v>
      </c>
      <c r="H5301" s="391" t="s">
        <v>9568</v>
      </c>
    </row>
    <row r="5302" spans="1:13" x14ac:dyDescent="0.3">
      <c r="A5302" s="45">
        <v>44960</v>
      </c>
      <c r="B5302" s="399"/>
      <c r="C5302" s="5" t="s">
        <v>14</v>
      </c>
      <c r="D5302" s="5" t="s">
        <v>10581</v>
      </c>
      <c r="E5302" s="43">
        <v>10000</v>
      </c>
      <c r="F5302" s="43"/>
      <c r="G5302" s="48">
        <f t="shared" ref="G5302:G5365" si="139">G5301+F5302-E5302</f>
        <v>57009</v>
      </c>
      <c r="H5302" s="391" t="s">
        <v>9568</v>
      </c>
    </row>
    <row r="5303" spans="1:13" x14ac:dyDescent="0.3">
      <c r="A5303" s="45">
        <v>44960</v>
      </c>
      <c r="B5303" s="586"/>
      <c r="C5303" s="486" t="s">
        <v>10550</v>
      </c>
      <c r="D5303" s="486"/>
      <c r="E5303" s="486"/>
      <c r="F5303" s="43">
        <v>320000</v>
      </c>
      <c r="G5303" s="48">
        <f t="shared" si="139"/>
        <v>377009</v>
      </c>
      <c r="H5303" s="391" t="s">
        <v>9568</v>
      </c>
    </row>
    <row r="5304" spans="1:13" x14ac:dyDescent="0.3">
      <c r="A5304" s="45">
        <v>44960</v>
      </c>
      <c r="B5304" s="345" t="s">
        <v>12096</v>
      </c>
      <c r="C5304" s="5" t="s">
        <v>247</v>
      </c>
      <c r="D5304" s="5" t="s">
        <v>2013</v>
      </c>
      <c r="E5304" s="43">
        <v>500</v>
      </c>
      <c r="F5304" s="43"/>
      <c r="G5304" s="48">
        <f t="shared" si="139"/>
        <v>376509</v>
      </c>
      <c r="H5304" s="391" t="s">
        <v>9568</v>
      </c>
    </row>
    <row r="5305" spans="1:13" x14ac:dyDescent="0.3">
      <c r="A5305" s="45">
        <v>44960</v>
      </c>
      <c r="B5305" s="345" t="s">
        <v>12096</v>
      </c>
      <c r="C5305" s="484" t="s">
        <v>247</v>
      </c>
      <c r="D5305" s="484" t="s">
        <v>10575</v>
      </c>
      <c r="E5305" s="334">
        <v>5000</v>
      </c>
      <c r="F5305" s="43"/>
      <c r="G5305" s="48">
        <f t="shared" si="139"/>
        <v>371509</v>
      </c>
      <c r="H5305" s="391" t="s">
        <v>9568</v>
      </c>
    </row>
    <row r="5306" spans="1:13" x14ac:dyDescent="0.3">
      <c r="A5306" s="45">
        <v>44960</v>
      </c>
      <c r="B5306" s="345" t="s">
        <v>12096</v>
      </c>
      <c r="C5306" s="61" t="s">
        <v>1512</v>
      </c>
      <c r="D5306" s="61" t="s">
        <v>10576</v>
      </c>
      <c r="E5306" s="62">
        <v>138952</v>
      </c>
      <c r="F5306" s="43"/>
      <c r="G5306" s="48">
        <f t="shared" si="139"/>
        <v>232557</v>
      </c>
      <c r="H5306" s="391" t="s">
        <v>9568</v>
      </c>
    </row>
    <row r="5307" spans="1:13" x14ac:dyDescent="0.3">
      <c r="A5307" s="45">
        <v>44960</v>
      </c>
      <c r="B5307" s="409" t="s">
        <v>10615</v>
      </c>
      <c r="C5307" s="61" t="s">
        <v>1512</v>
      </c>
      <c r="D5307" s="61" t="s">
        <v>10577</v>
      </c>
      <c r="E5307" s="62">
        <v>121269</v>
      </c>
      <c r="F5307" s="43"/>
      <c r="G5307" s="48">
        <f t="shared" si="139"/>
        <v>111288</v>
      </c>
      <c r="H5307" s="391" t="s">
        <v>9568</v>
      </c>
    </row>
    <row r="5308" spans="1:13" x14ac:dyDescent="0.3">
      <c r="A5308" s="45">
        <v>44960</v>
      </c>
      <c r="B5308" s="399" t="s">
        <v>118</v>
      </c>
      <c r="C5308" s="5" t="s">
        <v>9873</v>
      </c>
      <c r="D5308" s="5" t="s">
        <v>9898</v>
      </c>
      <c r="E5308" s="43">
        <v>6800</v>
      </c>
      <c r="F5308" s="43"/>
      <c r="G5308" s="48">
        <f t="shared" si="139"/>
        <v>104488</v>
      </c>
      <c r="H5308" s="391" t="s">
        <v>9568</v>
      </c>
    </row>
    <row r="5309" spans="1:13" x14ac:dyDescent="0.3">
      <c r="A5309" s="45">
        <v>44961</v>
      </c>
      <c r="B5309" s="399"/>
      <c r="C5309" s="5" t="s">
        <v>8924</v>
      </c>
      <c r="D5309" s="5" t="s">
        <v>10579</v>
      </c>
      <c r="E5309" s="43">
        <v>230</v>
      </c>
      <c r="F5309" s="43"/>
      <c r="G5309" s="48">
        <f t="shared" si="139"/>
        <v>104258</v>
      </c>
      <c r="H5309" s="391" t="s">
        <v>9568</v>
      </c>
    </row>
    <row r="5310" spans="1:13" x14ac:dyDescent="0.3">
      <c r="A5310" s="45">
        <v>44961</v>
      </c>
      <c r="B5310" s="399" t="s">
        <v>9860</v>
      </c>
      <c r="C5310" s="5" t="s">
        <v>9525</v>
      </c>
      <c r="D5310" s="5" t="s">
        <v>10580</v>
      </c>
      <c r="E5310" s="43">
        <v>970</v>
      </c>
      <c r="F5310" s="43"/>
      <c r="G5310" s="48">
        <f t="shared" si="139"/>
        <v>103288</v>
      </c>
      <c r="H5310" s="391" t="s">
        <v>9568</v>
      </c>
    </row>
    <row r="5311" spans="1:13" x14ac:dyDescent="0.3">
      <c r="A5311" s="45">
        <v>44961</v>
      </c>
      <c r="B5311" s="399" t="s">
        <v>9860</v>
      </c>
      <c r="C5311" s="5" t="s">
        <v>9525</v>
      </c>
      <c r="D5311" s="5" t="s">
        <v>4319</v>
      </c>
      <c r="E5311" s="43">
        <v>5000</v>
      </c>
      <c r="F5311" s="43"/>
      <c r="G5311" s="48">
        <f t="shared" si="139"/>
        <v>98288</v>
      </c>
      <c r="H5311" s="391" t="s">
        <v>9568</v>
      </c>
    </row>
    <row r="5312" spans="1:13" x14ac:dyDescent="0.3">
      <c r="A5312" s="45">
        <v>44961</v>
      </c>
      <c r="B5312" s="399"/>
      <c r="C5312" s="5" t="s">
        <v>14</v>
      </c>
      <c r="D5312" s="5" t="s">
        <v>294</v>
      </c>
      <c r="E5312" s="43">
        <v>10000</v>
      </c>
      <c r="F5312" s="43"/>
      <c r="G5312" s="48">
        <f t="shared" si="139"/>
        <v>88288</v>
      </c>
      <c r="H5312" s="391" t="s">
        <v>9568</v>
      </c>
    </row>
    <row r="5313" spans="1:9" x14ac:dyDescent="0.3">
      <c r="A5313" s="45">
        <v>44961</v>
      </c>
      <c r="B5313" s="345" t="s">
        <v>12096</v>
      </c>
      <c r="C5313" s="5" t="s">
        <v>9756</v>
      </c>
      <c r="D5313" s="5" t="s">
        <v>10585</v>
      </c>
      <c r="E5313" s="43">
        <v>650</v>
      </c>
      <c r="F5313" s="43"/>
      <c r="G5313" s="48">
        <f t="shared" si="139"/>
        <v>87638</v>
      </c>
      <c r="H5313" s="391" t="s">
        <v>9568</v>
      </c>
    </row>
    <row r="5314" spans="1:9" x14ac:dyDescent="0.3">
      <c r="A5314" s="45">
        <v>44961</v>
      </c>
      <c r="B5314" s="399" t="s">
        <v>9860</v>
      </c>
      <c r="C5314" s="5" t="s">
        <v>9756</v>
      </c>
      <c r="D5314" s="5" t="s">
        <v>10586</v>
      </c>
      <c r="E5314" s="43">
        <v>9460</v>
      </c>
      <c r="F5314" s="43"/>
      <c r="G5314" s="48">
        <f t="shared" si="139"/>
        <v>78178</v>
      </c>
      <c r="H5314" s="391" t="s">
        <v>9568</v>
      </c>
    </row>
    <row r="5315" spans="1:9" x14ac:dyDescent="0.3">
      <c r="A5315" s="45">
        <v>44961</v>
      </c>
      <c r="B5315" s="399" t="s">
        <v>5933</v>
      </c>
      <c r="C5315" s="5" t="s">
        <v>6931</v>
      </c>
      <c r="D5315" s="5" t="s">
        <v>4319</v>
      </c>
      <c r="E5315" s="43">
        <v>3000</v>
      </c>
      <c r="F5315" s="43"/>
      <c r="G5315" s="48">
        <f t="shared" si="139"/>
        <v>75178</v>
      </c>
      <c r="H5315" s="391" t="s">
        <v>9568</v>
      </c>
      <c r="I5315" s="169"/>
    </row>
    <row r="5316" spans="1:9" x14ac:dyDescent="0.3">
      <c r="A5316" s="45">
        <v>44961</v>
      </c>
      <c r="B5316" s="399"/>
      <c r="C5316" s="5" t="s">
        <v>541</v>
      </c>
      <c r="D5316" s="5" t="s">
        <v>10587</v>
      </c>
      <c r="E5316" s="43">
        <v>7600</v>
      </c>
      <c r="F5316" s="43"/>
      <c r="G5316" s="48">
        <f t="shared" si="139"/>
        <v>67578</v>
      </c>
      <c r="H5316" s="391" t="s">
        <v>9568</v>
      </c>
    </row>
    <row r="5317" spans="1:9" x14ac:dyDescent="0.3">
      <c r="A5317" s="45">
        <v>44963</v>
      </c>
      <c r="B5317" s="399"/>
      <c r="C5317" s="5" t="s">
        <v>541</v>
      </c>
      <c r="D5317" s="5" t="s">
        <v>10588</v>
      </c>
      <c r="E5317" s="43">
        <v>15000</v>
      </c>
      <c r="F5317" s="43"/>
      <c r="G5317" s="48">
        <f t="shared" si="139"/>
        <v>52578</v>
      </c>
      <c r="H5317" s="391" t="s">
        <v>9568</v>
      </c>
    </row>
    <row r="5318" spans="1:9" x14ac:dyDescent="0.3">
      <c r="A5318" s="45">
        <v>44963</v>
      </c>
      <c r="B5318" s="399" t="s">
        <v>118</v>
      </c>
      <c r="C5318" s="5" t="s">
        <v>9873</v>
      </c>
      <c r="D5318" s="5" t="s">
        <v>9898</v>
      </c>
      <c r="E5318" s="43">
        <v>7120</v>
      </c>
      <c r="F5318" s="43"/>
      <c r="G5318" s="48">
        <f t="shared" si="139"/>
        <v>45458</v>
      </c>
      <c r="H5318" s="391" t="s">
        <v>9568</v>
      </c>
    </row>
    <row r="5319" spans="1:9" x14ac:dyDescent="0.3">
      <c r="A5319" s="45">
        <v>44963</v>
      </c>
      <c r="B5319" s="345" t="s">
        <v>12096</v>
      </c>
      <c r="C5319" s="5" t="s">
        <v>5793</v>
      </c>
      <c r="D5319" s="5" t="s">
        <v>10593</v>
      </c>
      <c r="E5319" s="43">
        <v>2500</v>
      </c>
      <c r="F5319" s="43"/>
      <c r="G5319" s="48">
        <f t="shared" si="139"/>
        <v>42958</v>
      </c>
      <c r="H5319" s="391" t="s">
        <v>9568</v>
      </c>
    </row>
    <row r="5320" spans="1:9" x14ac:dyDescent="0.3">
      <c r="A5320" s="45">
        <v>44963</v>
      </c>
      <c r="B5320" s="399" t="s">
        <v>118</v>
      </c>
      <c r="C5320" s="5" t="s">
        <v>4400</v>
      </c>
      <c r="D5320" s="5" t="s">
        <v>40</v>
      </c>
      <c r="E5320" s="43">
        <v>1100</v>
      </c>
      <c r="F5320" s="43"/>
      <c r="G5320" s="48">
        <f t="shared" si="139"/>
        <v>41858</v>
      </c>
      <c r="H5320" s="391" t="s">
        <v>9568</v>
      </c>
    </row>
    <row r="5321" spans="1:9" x14ac:dyDescent="0.3">
      <c r="A5321" s="45">
        <v>44963</v>
      </c>
      <c r="B5321" s="586"/>
      <c r="C5321" s="486" t="s">
        <v>10550</v>
      </c>
      <c r="D5321" s="486"/>
      <c r="E5321" s="486"/>
      <c r="F5321" s="43">
        <v>280360</v>
      </c>
      <c r="G5321" s="48">
        <f t="shared" si="139"/>
        <v>322218</v>
      </c>
      <c r="H5321" s="391" t="s">
        <v>9568</v>
      </c>
    </row>
    <row r="5322" spans="1:9" x14ac:dyDescent="0.3">
      <c r="A5322" s="45">
        <v>44963</v>
      </c>
      <c r="B5322" s="409" t="s">
        <v>9925</v>
      </c>
      <c r="C5322" s="61" t="s">
        <v>1512</v>
      </c>
      <c r="D5322" s="61" t="s">
        <v>10590</v>
      </c>
      <c r="E5322" s="62">
        <v>121883</v>
      </c>
      <c r="F5322" s="43"/>
      <c r="G5322" s="48">
        <f t="shared" si="139"/>
        <v>200335</v>
      </c>
      <c r="H5322" s="391" t="s">
        <v>9568</v>
      </c>
    </row>
    <row r="5323" spans="1:9" x14ac:dyDescent="0.3">
      <c r="A5323" s="45">
        <v>44963</v>
      </c>
      <c r="B5323" s="409" t="s">
        <v>9860</v>
      </c>
      <c r="C5323" s="61" t="s">
        <v>1512</v>
      </c>
      <c r="D5323" s="61" t="s">
        <v>9703</v>
      </c>
      <c r="E5323" s="62">
        <v>65000</v>
      </c>
      <c r="F5323" s="43"/>
      <c r="G5323" s="48">
        <f t="shared" si="139"/>
        <v>135335</v>
      </c>
      <c r="H5323" s="391" t="s">
        <v>9568</v>
      </c>
    </row>
    <row r="5324" spans="1:9" x14ac:dyDescent="0.3">
      <c r="A5324" s="45">
        <v>44963</v>
      </c>
      <c r="B5324" s="409" t="s">
        <v>9879</v>
      </c>
      <c r="C5324" s="61" t="s">
        <v>1512</v>
      </c>
      <c r="D5324" s="61" t="s">
        <v>10591</v>
      </c>
      <c r="E5324" s="62">
        <v>96145</v>
      </c>
      <c r="F5324" s="43"/>
      <c r="G5324" s="48">
        <f t="shared" si="139"/>
        <v>39190</v>
      </c>
      <c r="H5324" s="391" t="s">
        <v>9568</v>
      </c>
    </row>
    <row r="5325" spans="1:9" x14ac:dyDescent="0.3">
      <c r="A5325" s="45">
        <v>44964</v>
      </c>
      <c r="B5325" s="399" t="s">
        <v>10531</v>
      </c>
      <c r="C5325" s="5" t="s">
        <v>7571</v>
      </c>
      <c r="D5325" s="5" t="s">
        <v>10530</v>
      </c>
      <c r="E5325" s="43">
        <v>20000</v>
      </c>
      <c r="F5325" s="43"/>
      <c r="G5325" s="48">
        <f t="shared" si="139"/>
        <v>19190</v>
      </c>
      <c r="H5325" s="391" t="s">
        <v>9568</v>
      </c>
    </row>
    <row r="5326" spans="1:9" x14ac:dyDescent="0.3">
      <c r="A5326" s="45">
        <v>44964</v>
      </c>
      <c r="B5326" s="399"/>
      <c r="C5326" s="5" t="s">
        <v>3724</v>
      </c>
      <c r="D5326" s="5" t="s">
        <v>40</v>
      </c>
      <c r="E5326" s="43">
        <v>5000</v>
      </c>
      <c r="F5326" s="43"/>
      <c r="G5326" s="48">
        <f t="shared" si="139"/>
        <v>14190</v>
      </c>
      <c r="H5326" s="391" t="s">
        <v>9568</v>
      </c>
    </row>
    <row r="5327" spans="1:9" x14ac:dyDescent="0.3">
      <c r="A5327" s="45">
        <v>44964</v>
      </c>
      <c r="B5327" s="345" t="s">
        <v>12096</v>
      </c>
      <c r="C5327" s="5" t="s">
        <v>9756</v>
      </c>
      <c r="D5327" s="5" t="s">
        <v>2013</v>
      </c>
      <c r="E5327" s="43">
        <v>1100</v>
      </c>
      <c r="F5327" s="43"/>
      <c r="G5327" s="48">
        <f t="shared" si="139"/>
        <v>13090</v>
      </c>
      <c r="H5327" s="391" t="s">
        <v>9568</v>
      </c>
    </row>
    <row r="5328" spans="1:9" x14ac:dyDescent="0.3">
      <c r="A5328" s="45">
        <v>44965</v>
      </c>
      <c r="B5328" s="586"/>
      <c r="C5328" s="486" t="s">
        <v>8290</v>
      </c>
      <c r="D5328" s="486"/>
      <c r="E5328" s="486"/>
      <c r="F5328" s="43">
        <v>20000</v>
      </c>
      <c r="G5328" s="48">
        <f t="shared" si="139"/>
        <v>33090</v>
      </c>
      <c r="H5328" s="391" t="s">
        <v>9568</v>
      </c>
    </row>
    <row r="5329" spans="1:9" x14ac:dyDescent="0.3">
      <c r="A5329" s="45">
        <v>44965</v>
      </c>
      <c r="B5329" s="399" t="s">
        <v>9860</v>
      </c>
      <c r="C5329" s="5" t="s">
        <v>9756</v>
      </c>
      <c r="D5329" s="5" t="s">
        <v>10592</v>
      </c>
      <c r="E5329" s="43">
        <v>5000</v>
      </c>
      <c r="F5329" s="43"/>
      <c r="G5329" s="48">
        <f t="shared" si="139"/>
        <v>28090</v>
      </c>
      <c r="H5329" s="391" t="s">
        <v>9568</v>
      </c>
      <c r="I5329" s="169"/>
    </row>
    <row r="5330" spans="1:9" x14ac:dyDescent="0.3">
      <c r="A5330" s="45">
        <v>44965</v>
      </c>
      <c r="B5330" s="399" t="s">
        <v>10112</v>
      </c>
      <c r="C5330" s="5" t="s">
        <v>5793</v>
      </c>
      <c r="D5330" s="5" t="s">
        <v>10595</v>
      </c>
      <c r="E5330" s="43">
        <v>2000</v>
      </c>
      <c r="F5330" s="43"/>
      <c r="G5330" s="48">
        <f t="shared" si="139"/>
        <v>26090</v>
      </c>
      <c r="H5330" s="391" t="s">
        <v>9568</v>
      </c>
    </row>
    <row r="5331" spans="1:9" x14ac:dyDescent="0.3">
      <c r="A5331" s="45">
        <v>44965</v>
      </c>
      <c r="B5331" s="586"/>
      <c r="C5331" s="486" t="s">
        <v>6069</v>
      </c>
      <c r="D5331" s="486"/>
      <c r="E5331" s="486"/>
      <c r="F5331" s="43">
        <v>350000</v>
      </c>
      <c r="G5331" s="48">
        <f t="shared" si="139"/>
        <v>376090</v>
      </c>
      <c r="H5331" s="391" t="s">
        <v>9568</v>
      </c>
    </row>
    <row r="5332" spans="1:9" x14ac:dyDescent="0.3">
      <c r="A5332" s="45">
        <v>44965</v>
      </c>
      <c r="B5332" s="409" t="s">
        <v>9925</v>
      </c>
      <c r="C5332" s="61" t="s">
        <v>1512</v>
      </c>
      <c r="D5332" s="61" t="s">
        <v>10458</v>
      </c>
      <c r="E5332" s="62">
        <v>95454</v>
      </c>
      <c r="F5332" s="43"/>
      <c r="G5332" s="48">
        <f t="shared" si="139"/>
        <v>280636</v>
      </c>
      <c r="H5332" s="391" t="s">
        <v>9568</v>
      </c>
    </row>
    <row r="5333" spans="1:9" x14ac:dyDescent="0.3">
      <c r="A5333" s="45">
        <v>44965</v>
      </c>
      <c r="B5333" s="409" t="s">
        <v>10255</v>
      </c>
      <c r="C5333" s="61" t="s">
        <v>1512</v>
      </c>
      <c r="D5333" s="61" t="s">
        <v>10256</v>
      </c>
      <c r="E5333" s="62">
        <v>28000</v>
      </c>
      <c r="F5333" s="43"/>
      <c r="G5333" s="48">
        <f t="shared" si="139"/>
        <v>252636</v>
      </c>
      <c r="H5333" s="391" t="s">
        <v>9568</v>
      </c>
    </row>
    <row r="5334" spans="1:9" x14ac:dyDescent="0.3">
      <c r="A5334" s="45">
        <v>44965</v>
      </c>
      <c r="B5334" s="409" t="s">
        <v>9990</v>
      </c>
      <c r="C5334" s="61" t="s">
        <v>1512</v>
      </c>
      <c r="D5334" s="61" t="s">
        <v>5256</v>
      </c>
      <c r="E5334" s="62">
        <v>220524</v>
      </c>
      <c r="F5334" s="43"/>
      <c r="G5334" s="48">
        <f t="shared" si="139"/>
        <v>32112</v>
      </c>
      <c r="H5334" s="391" t="s">
        <v>9568</v>
      </c>
    </row>
    <row r="5335" spans="1:9" x14ac:dyDescent="0.3">
      <c r="A5335" s="45">
        <v>44965</v>
      </c>
      <c r="B5335" s="345" t="s">
        <v>12096</v>
      </c>
      <c r="C5335" s="5" t="s">
        <v>5793</v>
      </c>
      <c r="D5335" s="5" t="s">
        <v>10596</v>
      </c>
      <c r="E5335" s="43">
        <v>5000</v>
      </c>
      <c r="F5335" s="43"/>
      <c r="G5335" s="48">
        <f t="shared" si="139"/>
        <v>27112</v>
      </c>
      <c r="H5335" s="391" t="s">
        <v>9568</v>
      </c>
      <c r="I5335" s="169"/>
    </row>
    <row r="5336" spans="1:9" x14ac:dyDescent="0.3">
      <c r="A5336" s="45">
        <v>44966</v>
      </c>
      <c r="B5336" s="399"/>
      <c r="C5336" s="5" t="s">
        <v>14</v>
      </c>
      <c r="D5336" s="5" t="s">
        <v>294</v>
      </c>
      <c r="E5336" s="43">
        <v>15000</v>
      </c>
      <c r="F5336" s="43"/>
      <c r="G5336" s="48">
        <f t="shared" si="139"/>
        <v>12112</v>
      </c>
      <c r="H5336" s="391" t="s">
        <v>9568</v>
      </c>
    </row>
    <row r="5337" spans="1:9" x14ac:dyDescent="0.3">
      <c r="A5337" s="45">
        <v>44966</v>
      </c>
      <c r="B5337" s="586"/>
      <c r="C5337" s="486"/>
      <c r="D5337" s="486" t="s">
        <v>6069</v>
      </c>
      <c r="E5337" s="486"/>
      <c r="F5337" s="43">
        <v>200000</v>
      </c>
      <c r="G5337" s="48">
        <f t="shared" si="139"/>
        <v>212112</v>
      </c>
      <c r="H5337" s="391" t="s">
        <v>9568</v>
      </c>
    </row>
    <row r="5338" spans="1:9" x14ac:dyDescent="0.3">
      <c r="A5338" s="45">
        <v>44966</v>
      </c>
      <c r="B5338" s="399" t="s">
        <v>9990</v>
      </c>
      <c r="C5338" s="5" t="s">
        <v>4550</v>
      </c>
      <c r="D5338" s="5" t="s">
        <v>10600</v>
      </c>
      <c r="E5338" s="43">
        <v>100000</v>
      </c>
      <c r="F5338" s="43"/>
      <c r="G5338" s="48">
        <f t="shared" si="139"/>
        <v>112112</v>
      </c>
      <c r="H5338" s="391" t="s">
        <v>9568</v>
      </c>
    </row>
    <row r="5339" spans="1:9" x14ac:dyDescent="0.3">
      <c r="A5339" s="45">
        <v>44966</v>
      </c>
      <c r="B5339" s="399"/>
      <c r="C5339" s="5" t="s">
        <v>541</v>
      </c>
      <c r="D5339" s="5" t="s">
        <v>294</v>
      </c>
      <c r="E5339" s="43">
        <v>10000</v>
      </c>
      <c r="F5339" s="43"/>
      <c r="G5339" s="48">
        <f t="shared" si="139"/>
        <v>102112</v>
      </c>
      <c r="H5339" s="391" t="s">
        <v>9568</v>
      </c>
    </row>
    <row r="5340" spans="1:9" x14ac:dyDescent="0.3">
      <c r="A5340" s="45">
        <v>44967</v>
      </c>
      <c r="B5340" s="399" t="s">
        <v>118</v>
      </c>
      <c r="C5340" s="5" t="s">
        <v>9873</v>
      </c>
      <c r="D5340" s="5" t="s">
        <v>9898</v>
      </c>
      <c r="E5340" s="43">
        <v>7325</v>
      </c>
      <c r="F5340" s="43"/>
      <c r="G5340" s="48">
        <f t="shared" si="139"/>
        <v>94787</v>
      </c>
      <c r="H5340" s="391" t="s">
        <v>9568</v>
      </c>
    </row>
    <row r="5341" spans="1:9" x14ac:dyDescent="0.3">
      <c r="A5341" s="45">
        <v>44967</v>
      </c>
      <c r="B5341" s="399" t="s">
        <v>10615</v>
      </c>
      <c r="C5341" s="5" t="s">
        <v>9801</v>
      </c>
      <c r="D5341" s="5" t="s">
        <v>10605</v>
      </c>
      <c r="E5341" s="43">
        <v>765</v>
      </c>
      <c r="F5341" s="43"/>
      <c r="G5341" s="48">
        <f t="shared" si="139"/>
        <v>94022</v>
      </c>
      <c r="H5341" s="391" t="s">
        <v>9568</v>
      </c>
      <c r="I5341" s="169"/>
    </row>
    <row r="5342" spans="1:9" x14ac:dyDescent="0.3">
      <c r="A5342" s="45">
        <v>44967</v>
      </c>
      <c r="B5342" s="399" t="s">
        <v>10615</v>
      </c>
      <c r="C5342" s="5" t="s">
        <v>6430</v>
      </c>
      <c r="D5342" s="5" t="s">
        <v>294</v>
      </c>
      <c r="E5342" s="43">
        <v>5000</v>
      </c>
      <c r="F5342" s="43"/>
      <c r="G5342" s="48">
        <f t="shared" si="139"/>
        <v>89022</v>
      </c>
      <c r="H5342" s="391" t="s">
        <v>9568</v>
      </c>
    </row>
    <row r="5343" spans="1:9" x14ac:dyDescent="0.3">
      <c r="A5343" s="45">
        <v>44967</v>
      </c>
      <c r="B5343" s="399" t="s">
        <v>10615</v>
      </c>
      <c r="C5343" s="5" t="s">
        <v>10607</v>
      </c>
      <c r="D5343" s="5" t="s">
        <v>10606</v>
      </c>
      <c r="E5343" s="43">
        <v>59613</v>
      </c>
      <c r="F5343" s="43"/>
      <c r="G5343" s="48">
        <f t="shared" si="139"/>
        <v>29409</v>
      </c>
      <c r="H5343" s="391" t="s">
        <v>9568</v>
      </c>
    </row>
    <row r="5344" spans="1:9" x14ac:dyDescent="0.3">
      <c r="A5344" s="45">
        <v>44967</v>
      </c>
      <c r="B5344" s="399"/>
      <c r="C5344" s="5" t="s">
        <v>541</v>
      </c>
      <c r="D5344" s="5" t="s">
        <v>294</v>
      </c>
      <c r="E5344" s="43">
        <v>10000</v>
      </c>
      <c r="F5344" s="43"/>
      <c r="G5344" s="48">
        <f t="shared" si="139"/>
        <v>19409</v>
      </c>
      <c r="H5344" s="391" t="s">
        <v>9568</v>
      </c>
    </row>
    <row r="5345" spans="1:12" x14ac:dyDescent="0.3">
      <c r="A5345" s="45">
        <v>44967</v>
      </c>
      <c r="B5345" s="399" t="s">
        <v>10615</v>
      </c>
      <c r="C5345" s="5" t="s">
        <v>6430</v>
      </c>
      <c r="D5345" s="5" t="s">
        <v>294</v>
      </c>
      <c r="E5345" s="43">
        <v>3000</v>
      </c>
      <c r="F5345" s="43"/>
      <c r="G5345" s="48">
        <f t="shared" si="139"/>
        <v>16409</v>
      </c>
      <c r="H5345" s="391" t="s">
        <v>9568</v>
      </c>
    </row>
    <row r="5346" spans="1:12" x14ac:dyDescent="0.3">
      <c r="A5346" s="45">
        <v>44967</v>
      </c>
      <c r="B5346" s="399" t="s">
        <v>9879</v>
      </c>
      <c r="C5346" s="5" t="s">
        <v>57</v>
      </c>
      <c r="D5346" s="5" t="s">
        <v>10384</v>
      </c>
      <c r="E5346" s="43">
        <v>5000</v>
      </c>
      <c r="F5346" s="43"/>
      <c r="G5346" s="48">
        <f t="shared" si="139"/>
        <v>11409</v>
      </c>
      <c r="H5346" s="391" t="s">
        <v>9568</v>
      </c>
    </row>
    <row r="5347" spans="1:12" x14ac:dyDescent="0.3">
      <c r="A5347" s="45">
        <v>44967</v>
      </c>
      <c r="B5347" s="345" t="s">
        <v>12096</v>
      </c>
      <c r="C5347" s="5" t="s">
        <v>18</v>
      </c>
      <c r="D5347" s="5" t="s">
        <v>294</v>
      </c>
      <c r="E5347" s="43">
        <v>3000</v>
      </c>
      <c r="F5347" s="43"/>
      <c r="G5347" s="48">
        <f t="shared" si="139"/>
        <v>8409</v>
      </c>
      <c r="H5347" s="391" t="s">
        <v>9568</v>
      </c>
    </row>
    <row r="5348" spans="1:12" x14ac:dyDescent="0.3">
      <c r="A5348" s="45">
        <v>44968</v>
      </c>
      <c r="B5348" s="345" t="s">
        <v>12096</v>
      </c>
      <c r="C5348" s="5" t="s">
        <v>9756</v>
      </c>
      <c r="D5348" s="5" t="s">
        <v>2013</v>
      </c>
      <c r="E5348" s="43">
        <v>1050</v>
      </c>
      <c r="F5348" s="43"/>
      <c r="G5348" s="48">
        <f t="shared" si="139"/>
        <v>7359</v>
      </c>
      <c r="H5348" s="391" t="s">
        <v>9568</v>
      </c>
    </row>
    <row r="5349" spans="1:12" x14ac:dyDescent="0.3">
      <c r="A5349" s="45">
        <v>44968</v>
      </c>
      <c r="B5349" s="399" t="s">
        <v>9925</v>
      </c>
      <c r="C5349" s="5" t="s">
        <v>9756</v>
      </c>
      <c r="D5349" s="5" t="s">
        <v>10610</v>
      </c>
      <c r="E5349" s="43">
        <v>1050</v>
      </c>
      <c r="F5349" s="43"/>
      <c r="G5349" s="48">
        <f t="shared" si="139"/>
        <v>6309</v>
      </c>
      <c r="H5349" s="391" t="s">
        <v>9568</v>
      </c>
      <c r="I5349" s="569"/>
      <c r="J5349" s="569"/>
      <c r="K5349" s="569"/>
      <c r="L5349" s="569"/>
    </row>
    <row r="5350" spans="1:12" x14ac:dyDescent="0.3">
      <c r="A5350" s="45">
        <v>44968</v>
      </c>
      <c r="B5350" s="345" t="s">
        <v>12096</v>
      </c>
      <c r="C5350" s="5" t="s">
        <v>5793</v>
      </c>
      <c r="D5350" s="5" t="s">
        <v>10611</v>
      </c>
      <c r="E5350" s="43">
        <v>800</v>
      </c>
      <c r="F5350" s="43"/>
      <c r="G5350" s="48">
        <f t="shared" si="139"/>
        <v>5509</v>
      </c>
      <c r="H5350" s="391" t="s">
        <v>9568</v>
      </c>
      <c r="I5350" s="444"/>
      <c r="J5350" s="444"/>
      <c r="K5350" s="444"/>
      <c r="L5350" s="444"/>
    </row>
    <row r="5351" spans="1:12" x14ac:dyDescent="0.3">
      <c r="A5351" s="45">
        <v>44968</v>
      </c>
      <c r="B5351" s="399"/>
      <c r="C5351" s="5" t="s">
        <v>541</v>
      </c>
      <c r="D5351" s="5" t="s">
        <v>294</v>
      </c>
      <c r="E5351" s="43">
        <v>500</v>
      </c>
      <c r="F5351" s="43"/>
      <c r="G5351" s="48">
        <f t="shared" si="139"/>
        <v>5009</v>
      </c>
      <c r="H5351" s="391" t="s">
        <v>9568</v>
      </c>
      <c r="I5351" s="43"/>
      <c r="J5351" s="43"/>
      <c r="K5351" s="43"/>
      <c r="L5351" s="43"/>
    </row>
    <row r="5352" spans="1:12" x14ac:dyDescent="0.3">
      <c r="A5352" s="45">
        <v>44968</v>
      </c>
      <c r="B5352" s="399" t="s">
        <v>118</v>
      </c>
      <c r="C5352" s="5" t="s">
        <v>25</v>
      </c>
      <c r="D5352" s="5" t="s">
        <v>10613</v>
      </c>
      <c r="E5352" s="43">
        <v>1280</v>
      </c>
      <c r="F5352" s="43"/>
      <c r="G5352" s="48">
        <f t="shared" si="139"/>
        <v>3729</v>
      </c>
      <c r="H5352" s="391" t="s">
        <v>9568</v>
      </c>
      <c r="I5352" s="43"/>
      <c r="J5352" s="43"/>
      <c r="K5352" s="43"/>
      <c r="L5352" s="43"/>
    </row>
    <row r="5353" spans="1:12" x14ac:dyDescent="0.3">
      <c r="A5353" s="45">
        <v>44968</v>
      </c>
      <c r="B5353" s="399" t="s">
        <v>118</v>
      </c>
      <c r="C5353" s="5" t="s">
        <v>9873</v>
      </c>
      <c r="D5353" s="5" t="s">
        <v>9898</v>
      </c>
      <c r="E5353" s="43">
        <v>3529</v>
      </c>
      <c r="F5353" s="43"/>
      <c r="G5353" s="48">
        <f t="shared" si="139"/>
        <v>200</v>
      </c>
      <c r="H5353" s="391" t="s">
        <v>9568</v>
      </c>
      <c r="I5353" s="43"/>
      <c r="J5353" s="43"/>
      <c r="K5353" s="43"/>
      <c r="L5353" s="43"/>
    </row>
    <row r="5354" spans="1:12" x14ac:dyDescent="0.3">
      <c r="A5354" s="45">
        <v>44971</v>
      </c>
      <c r="B5354" s="586"/>
      <c r="C5354" s="486"/>
      <c r="D5354" s="486" t="s">
        <v>10625</v>
      </c>
      <c r="E5354" s="486"/>
      <c r="F5354" s="43">
        <v>150000</v>
      </c>
      <c r="G5354" s="48">
        <f t="shared" si="139"/>
        <v>150200</v>
      </c>
      <c r="H5354" s="391" t="s">
        <v>9568</v>
      </c>
      <c r="I5354" s="43"/>
      <c r="J5354" s="43"/>
      <c r="K5354" s="43"/>
      <c r="L5354" s="43"/>
    </row>
    <row r="5355" spans="1:12" x14ac:dyDescent="0.3">
      <c r="A5355" s="45">
        <v>44971</v>
      </c>
      <c r="B5355" s="345" t="s">
        <v>12096</v>
      </c>
      <c r="C5355" s="5" t="s">
        <v>18</v>
      </c>
      <c r="D5355" s="5" t="s">
        <v>10623</v>
      </c>
      <c r="E5355" s="43">
        <v>5000</v>
      </c>
      <c r="F5355" s="43"/>
      <c r="G5355" s="48">
        <f t="shared" si="139"/>
        <v>145200</v>
      </c>
      <c r="H5355" s="391" t="s">
        <v>9568</v>
      </c>
      <c r="I5355" s="43"/>
      <c r="J5355" s="43"/>
      <c r="K5355" s="43"/>
      <c r="L5355" s="43"/>
    </row>
    <row r="5356" spans="1:12" x14ac:dyDescent="0.3">
      <c r="A5356" s="45">
        <v>44971</v>
      </c>
      <c r="B5356" s="399" t="s">
        <v>9990</v>
      </c>
      <c r="C5356" s="5" t="s">
        <v>4550</v>
      </c>
      <c r="D5356" s="5" t="s">
        <v>10624</v>
      </c>
      <c r="E5356" s="43">
        <v>75000</v>
      </c>
      <c r="F5356" s="43"/>
      <c r="G5356" s="48">
        <f t="shared" si="139"/>
        <v>70200</v>
      </c>
      <c r="H5356" s="391" t="s">
        <v>9568</v>
      </c>
      <c r="I5356" s="43"/>
      <c r="J5356" s="43"/>
      <c r="K5356" s="43"/>
      <c r="L5356" s="43"/>
    </row>
    <row r="5357" spans="1:12" x14ac:dyDescent="0.3">
      <c r="A5357" s="45">
        <v>44971</v>
      </c>
      <c r="B5357" s="586"/>
      <c r="C5357" s="486"/>
      <c r="D5357" s="486" t="s">
        <v>10625</v>
      </c>
      <c r="E5357" s="486"/>
      <c r="F5357" s="43">
        <v>200000</v>
      </c>
      <c r="G5357" s="48">
        <f t="shared" si="139"/>
        <v>270200</v>
      </c>
      <c r="H5357" s="391" t="s">
        <v>9568</v>
      </c>
      <c r="I5357" s="43"/>
      <c r="J5357" s="43"/>
      <c r="K5357" s="43"/>
      <c r="L5357" s="43"/>
    </row>
    <row r="5358" spans="1:12" x14ac:dyDescent="0.3">
      <c r="A5358" s="45">
        <v>44971</v>
      </c>
      <c r="B5358" s="399" t="s">
        <v>10615</v>
      </c>
      <c r="C5358" s="5" t="s">
        <v>6430</v>
      </c>
      <c r="D5358" s="5" t="s">
        <v>10626</v>
      </c>
      <c r="E5358" s="43">
        <v>3600</v>
      </c>
      <c r="F5358" s="43"/>
      <c r="G5358" s="48">
        <f t="shared" si="139"/>
        <v>266600</v>
      </c>
      <c r="H5358" s="391" t="s">
        <v>9568</v>
      </c>
      <c r="I5358" s="43"/>
      <c r="J5358" s="43"/>
      <c r="K5358" s="43"/>
      <c r="L5358" s="43"/>
    </row>
    <row r="5359" spans="1:12" x14ac:dyDescent="0.3">
      <c r="A5359" s="45">
        <v>44971</v>
      </c>
      <c r="B5359" s="399"/>
      <c r="C5359" s="5" t="s">
        <v>9052</v>
      </c>
      <c r="D5359" s="5" t="s">
        <v>10627</v>
      </c>
      <c r="E5359" s="43">
        <v>100000</v>
      </c>
      <c r="F5359" s="43"/>
      <c r="G5359" s="48">
        <f t="shared" si="139"/>
        <v>166600</v>
      </c>
      <c r="H5359" s="391" t="s">
        <v>9568</v>
      </c>
      <c r="I5359" s="43"/>
      <c r="J5359" s="43"/>
      <c r="K5359" s="43"/>
      <c r="L5359" s="43"/>
    </row>
    <row r="5360" spans="1:12" x14ac:dyDescent="0.3">
      <c r="A5360" s="45">
        <v>44971</v>
      </c>
      <c r="B5360" s="399" t="s">
        <v>118</v>
      </c>
      <c r="C5360" s="5" t="s">
        <v>9873</v>
      </c>
      <c r="D5360" s="5" t="s">
        <v>10628</v>
      </c>
      <c r="E5360" s="43">
        <v>5500</v>
      </c>
      <c r="F5360" s="43"/>
      <c r="G5360" s="48">
        <f t="shared" si="139"/>
        <v>161100</v>
      </c>
      <c r="H5360" s="391" t="s">
        <v>9568</v>
      </c>
      <c r="I5360" s="43"/>
      <c r="J5360" s="43"/>
      <c r="K5360" s="43"/>
      <c r="L5360" s="43"/>
    </row>
    <row r="5361" spans="1:12" x14ac:dyDescent="0.3">
      <c r="A5361" s="45">
        <v>44971</v>
      </c>
      <c r="B5361" s="345" t="s">
        <v>12096</v>
      </c>
      <c r="C5361" s="5" t="s">
        <v>9756</v>
      </c>
      <c r="D5361" s="5" t="s">
        <v>10629</v>
      </c>
      <c r="E5361" s="43">
        <v>9000</v>
      </c>
      <c r="F5361" s="43"/>
      <c r="G5361" s="48">
        <f t="shared" si="139"/>
        <v>152100</v>
      </c>
      <c r="H5361" s="391" t="s">
        <v>9568</v>
      </c>
      <c r="I5361" s="43"/>
      <c r="J5361" s="43"/>
      <c r="K5361" s="43"/>
      <c r="L5361" s="43"/>
    </row>
    <row r="5362" spans="1:12" x14ac:dyDescent="0.3">
      <c r="A5362" s="45">
        <v>44971</v>
      </c>
      <c r="B5362" s="399"/>
      <c r="C5362" s="5" t="s">
        <v>5482</v>
      </c>
      <c r="D5362" s="5" t="s">
        <v>10630</v>
      </c>
      <c r="E5362" s="43">
        <v>15000</v>
      </c>
      <c r="F5362" s="43"/>
      <c r="G5362" s="48">
        <f t="shared" si="139"/>
        <v>137100</v>
      </c>
      <c r="H5362" s="391" t="s">
        <v>9568</v>
      </c>
      <c r="I5362" s="43"/>
      <c r="J5362" s="43"/>
      <c r="K5362" s="43"/>
      <c r="L5362" s="43"/>
    </row>
    <row r="5363" spans="1:12" x14ac:dyDescent="0.3">
      <c r="A5363" s="45">
        <v>44971</v>
      </c>
      <c r="B5363" s="399" t="s">
        <v>9860</v>
      </c>
      <c r="C5363" s="5" t="s">
        <v>9525</v>
      </c>
      <c r="D5363" s="5" t="s">
        <v>3910</v>
      </c>
      <c r="E5363" s="43">
        <v>2000</v>
      </c>
      <c r="F5363" s="43"/>
      <c r="G5363" s="48">
        <f t="shared" si="139"/>
        <v>135100</v>
      </c>
      <c r="H5363" s="391" t="s">
        <v>9568</v>
      </c>
      <c r="I5363" s="43"/>
      <c r="J5363" s="43"/>
      <c r="K5363" s="43"/>
      <c r="L5363" s="43"/>
    </row>
    <row r="5364" spans="1:12" x14ac:dyDescent="0.3">
      <c r="A5364" s="45">
        <v>44971</v>
      </c>
      <c r="B5364" s="399" t="s">
        <v>10333</v>
      </c>
      <c r="C5364" s="5" t="s">
        <v>1073</v>
      </c>
      <c r="D5364" s="5" t="s">
        <v>7561</v>
      </c>
      <c r="E5364" s="43">
        <v>400</v>
      </c>
      <c r="F5364" s="43"/>
      <c r="G5364" s="48">
        <f t="shared" si="139"/>
        <v>134700</v>
      </c>
      <c r="H5364" s="391" t="s">
        <v>9568</v>
      </c>
      <c r="I5364" s="43"/>
      <c r="J5364" s="43"/>
      <c r="K5364" s="43"/>
      <c r="L5364" s="43"/>
    </row>
    <row r="5365" spans="1:12" x14ac:dyDescent="0.3">
      <c r="A5365" s="45">
        <v>44971</v>
      </c>
      <c r="B5365" s="399"/>
      <c r="C5365" s="5" t="s">
        <v>5938</v>
      </c>
      <c r="D5365" s="5" t="s">
        <v>10632</v>
      </c>
      <c r="E5365" s="43">
        <v>40000</v>
      </c>
      <c r="F5365" s="43"/>
      <c r="G5365" s="48">
        <f t="shared" si="139"/>
        <v>94700</v>
      </c>
      <c r="H5365" s="391" t="s">
        <v>9568</v>
      </c>
      <c r="I5365" s="43"/>
      <c r="J5365" s="43"/>
      <c r="K5365" s="43"/>
      <c r="L5365" s="43"/>
    </row>
    <row r="5366" spans="1:12" x14ac:dyDescent="0.3">
      <c r="A5366" s="45">
        <v>44972</v>
      </c>
      <c r="B5366" s="399" t="s">
        <v>118</v>
      </c>
      <c r="C5366" s="5" t="s">
        <v>57</v>
      </c>
      <c r="D5366" s="5" t="s">
        <v>10633</v>
      </c>
      <c r="E5366" s="43">
        <v>10000</v>
      </c>
      <c r="F5366" s="43"/>
      <c r="G5366" s="48">
        <f t="shared" ref="G5366:G5429" si="140">G5365+F5366-E5366</f>
        <v>84700</v>
      </c>
      <c r="H5366" s="391" t="s">
        <v>9568</v>
      </c>
      <c r="I5366" s="476"/>
      <c r="J5366" s="476"/>
      <c r="K5366" s="476"/>
      <c r="L5366" s="476"/>
    </row>
    <row r="5367" spans="1:12" x14ac:dyDescent="0.3">
      <c r="A5367" s="45">
        <v>44972</v>
      </c>
      <c r="B5367" s="399" t="s">
        <v>10112</v>
      </c>
      <c r="C5367" s="5" t="s">
        <v>10463</v>
      </c>
      <c r="D5367" s="5" t="s">
        <v>10634</v>
      </c>
      <c r="E5367" s="43">
        <v>41200</v>
      </c>
      <c r="F5367" s="43"/>
      <c r="G5367" s="48">
        <f t="shared" si="140"/>
        <v>43500</v>
      </c>
      <c r="H5367" s="391" t="s">
        <v>9568</v>
      </c>
      <c r="I5367" s="43"/>
      <c r="J5367" s="43"/>
      <c r="K5367" s="43"/>
      <c r="L5367" s="43"/>
    </row>
    <row r="5368" spans="1:12" x14ac:dyDescent="0.3">
      <c r="A5368" s="45">
        <v>44972</v>
      </c>
      <c r="B5368" s="586"/>
      <c r="C5368" s="486"/>
      <c r="D5368" s="486" t="s">
        <v>10625</v>
      </c>
      <c r="E5368" s="486"/>
      <c r="F5368" s="43">
        <v>250000</v>
      </c>
      <c r="G5368" s="48">
        <f t="shared" si="140"/>
        <v>293500</v>
      </c>
      <c r="H5368" s="391" t="s">
        <v>9568</v>
      </c>
      <c r="I5368" s="43"/>
      <c r="J5368" s="43"/>
      <c r="K5368" s="43"/>
      <c r="L5368" s="43"/>
    </row>
    <row r="5369" spans="1:12" x14ac:dyDescent="0.3">
      <c r="A5369" s="45">
        <v>44972</v>
      </c>
      <c r="B5369" s="399" t="s">
        <v>118</v>
      </c>
      <c r="C5369" s="5" t="s">
        <v>9873</v>
      </c>
      <c r="D5369" s="5" t="s">
        <v>10628</v>
      </c>
      <c r="E5369" s="43">
        <f>4000+330</f>
        <v>4330</v>
      </c>
      <c r="F5369" s="43"/>
      <c r="G5369" s="48">
        <f t="shared" si="140"/>
        <v>289170</v>
      </c>
      <c r="H5369" s="391" t="s">
        <v>9568</v>
      </c>
      <c r="I5369" s="43"/>
      <c r="J5369" s="43"/>
      <c r="K5369" s="43"/>
      <c r="L5369" s="43"/>
    </row>
    <row r="5370" spans="1:12" x14ac:dyDescent="0.3">
      <c r="A5370" s="45">
        <v>44972</v>
      </c>
      <c r="B5370" s="399" t="s">
        <v>9857</v>
      </c>
      <c r="C5370" s="5" t="s">
        <v>7522</v>
      </c>
      <c r="D5370" s="5" t="s">
        <v>10635</v>
      </c>
      <c r="E5370" s="43">
        <v>30000</v>
      </c>
      <c r="F5370" s="43"/>
      <c r="G5370" s="48">
        <f t="shared" si="140"/>
        <v>259170</v>
      </c>
      <c r="H5370" s="391" t="s">
        <v>9568</v>
      </c>
      <c r="I5370" s="43"/>
      <c r="J5370" s="43"/>
      <c r="K5370" s="43"/>
      <c r="L5370" s="43"/>
    </row>
    <row r="5371" spans="1:12" x14ac:dyDescent="0.3">
      <c r="A5371" s="45">
        <v>44972</v>
      </c>
      <c r="B5371" s="399" t="s">
        <v>9990</v>
      </c>
      <c r="C5371" s="5" t="s">
        <v>4550</v>
      </c>
      <c r="D5371" s="5" t="s">
        <v>294</v>
      </c>
      <c r="E5371" s="43">
        <v>12670</v>
      </c>
      <c r="F5371" s="43"/>
      <c r="G5371" s="48">
        <f t="shared" si="140"/>
        <v>246500</v>
      </c>
      <c r="H5371" s="391" t="s">
        <v>9568</v>
      </c>
      <c r="I5371" s="43"/>
      <c r="J5371" s="43"/>
      <c r="K5371" s="43"/>
      <c r="L5371" s="43"/>
    </row>
    <row r="5372" spans="1:12" x14ac:dyDescent="0.3">
      <c r="A5372" s="45">
        <v>44972</v>
      </c>
      <c r="B5372" s="399" t="s">
        <v>118</v>
      </c>
      <c r="C5372" s="5" t="s">
        <v>1074</v>
      </c>
      <c r="D5372" s="5" t="s">
        <v>6280</v>
      </c>
      <c r="E5372" s="43">
        <f>4670+1340</f>
        <v>6010</v>
      </c>
      <c r="F5372" s="43"/>
      <c r="G5372" s="48">
        <f t="shared" si="140"/>
        <v>240490</v>
      </c>
      <c r="H5372" s="391" t="s">
        <v>9568</v>
      </c>
      <c r="I5372" s="43"/>
      <c r="J5372" s="43"/>
      <c r="K5372" s="43"/>
      <c r="L5372" s="43"/>
    </row>
    <row r="5373" spans="1:12" x14ac:dyDescent="0.3">
      <c r="A5373" s="45">
        <v>44972</v>
      </c>
      <c r="B5373" s="399" t="s">
        <v>12190</v>
      </c>
      <c r="C5373" s="5" t="s">
        <v>1074</v>
      </c>
      <c r="D5373" s="5" t="s">
        <v>6280</v>
      </c>
      <c r="E5373" s="43">
        <f>990+1150</f>
        <v>2140</v>
      </c>
      <c r="F5373" s="43"/>
      <c r="G5373" s="48">
        <f t="shared" si="140"/>
        <v>238350</v>
      </c>
      <c r="H5373" s="391" t="s">
        <v>9568</v>
      </c>
      <c r="I5373" s="43"/>
      <c r="J5373" s="43"/>
      <c r="K5373" s="43"/>
      <c r="L5373" s="43"/>
    </row>
    <row r="5374" spans="1:12" x14ac:dyDescent="0.3">
      <c r="A5374" s="45">
        <v>44973</v>
      </c>
      <c r="B5374" s="399" t="s">
        <v>118</v>
      </c>
      <c r="C5374" s="5" t="s">
        <v>9873</v>
      </c>
      <c r="D5374" s="5" t="s">
        <v>10628</v>
      </c>
      <c r="E5374" s="43">
        <v>3000</v>
      </c>
      <c r="F5374" s="43"/>
      <c r="G5374" s="48">
        <f t="shared" si="140"/>
        <v>235350</v>
      </c>
      <c r="H5374" s="391" t="s">
        <v>9568</v>
      </c>
      <c r="I5374" s="43"/>
      <c r="J5374" s="43"/>
      <c r="K5374" s="43"/>
      <c r="L5374" s="43"/>
    </row>
    <row r="5375" spans="1:12" x14ac:dyDescent="0.3">
      <c r="A5375" s="45">
        <v>44973</v>
      </c>
      <c r="B5375" s="399" t="s">
        <v>9925</v>
      </c>
      <c r="C5375" s="5" t="s">
        <v>84</v>
      </c>
      <c r="D5375" s="5" t="s">
        <v>10636</v>
      </c>
      <c r="E5375" s="43">
        <v>15000</v>
      </c>
      <c r="F5375" s="43"/>
      <c r="G5375" s="48">
        <f t="shared" si="140"/>
        <v>220350</v>
      </c>
      <c r="H5375" s="391" t="s">
        <v>9568</v>
      </c>
      <c r="I5375" s="43"/>
      <c r="J5375" s="43"/>
      <c r="K5375" s="43"/>
      <c r="L5375" s="43"/>
    </row>
    <row r="5376" spans="1:12" x14ac:dyDescent="0.3">
      <c r="A5376" s="45">
        <v>44973</v>
      </c>
      <c r="B5376" s="399" t="s">
        <v>9990</v>
      </c>
      <c r="C5376" s="5" t="s">
        <v>84</v>
      </c>
      <c r="D5376" s="5" t="s">
        <v>10637</v>
      </c>
      <c r="E5376" s="43">
        <v>5000</v>
      </c>
      <c r="F5376" s="43"/>
      <c r="G5376" s="48">
        <f t="shared" si="140"/>
        <v>215350</v>
      </c>
      <c r="H5376" s="391" t="s">
        <v>9568</v>
      </c>
      <c r="I5376" s="43"/>
      <c r="J5376" s="43"/>
      <c r="K5376" s="43"/>
      <c r="L5376" s="43"/>
    </row>
    <row r="5377" spans="1:12" x14ac:dyDescent="0.3">
      <c r="A5377" s="45">
        <v>44974</v>
      </c>
      <c r="B5377" s="345" t="s">
        <v>12096</v>
      </c>
      <c r="C5377" s="5" t="s">
        <v>1073</v>
      </c>
      <c r="D5377" s="5" t="s">
        <v>10643</v>
      </c>
      <c r="E5377" s="43">
        <v>200</v>
      </c>
      <c r="F5377" s="43"/>
      <c r="G5377" s="48">
        <f t="shared" si="140"/>
        <v>215150</v>
      </c>
      <c r="H5377" s="391" t="s">
        <v>9568</v>
      </c>
      <c r="I5377" s="43"/>
      <c r="J5377" s="43"/>
      <c r="K5377" s="43"/>
      <c r="L5377" s="43"/>
    </row>
    <row r="5378" spans="1:12" x14ac:dyDescent="0.3">
      <c r="A5378" s="45">
        <v>44975</v>
      </c>
      <c r="B5378" s="399" t="s">
        <v>10615</v>
      </c>
      <c r="C5378" s="5" t="s">
        <v>84</v>
      </c>
      <c r="D5378" s="5" t="s">
        <v>10645</v>
      </c>
      <c r="E5378" s="43">
        <v>2000</v>
      </c>
      <c r="F5378" s="43"/>
      <c r="G5378" s="48">
        <f t="shared" si="140"/>
        <v>213150</v>
      </c>
      <c r="H5378" s="391" t="s">
        <v>9568</v>
      </c>
      <c r="I5378" s="43"/>
      <c r="J5378" s="43"/>
      <c r="K5378" s="43"/>
      <c r="L5378" s="43"/>
    </row>
    <row r="5379" spans="1:12" x14ac:dyDescent="0.3">
      <c r="A5379" s="45">
        <v>44975</v>
      </c>
      <c r="B5379" s="399" t="s">
        <v>9860</v>
      </c>
      <c r="C5379" s="5" t="s">
        <v>9525</v>
      </c>
      <c r="D5379" s="5" t="s">
        <v>10646</v>
      </c>
      <c r="E5379" s="43">
        <v>1100</v>
      </c>
      <c r="F5379" s="43"/>
      <c r="G5379" s="48">
        <f t="shared" si="140"/>
        <v>212050</v>
      </c>
      <c r="H5379" s="391" t="s">
        <v>9568</v>
      </c>
      <c r="I5379" s="43"/>
      <c r="J5379" s="43"/>
      <c r="K5379" s="43"/>
      <c r="L5379" s="43"/>
    </row>
    <row r="5380" spans="1:12" x14ac:dyDescent="0.3">
      <c r="A5380" s="45">
        <v>44975</v>
      </c>
      <c r="B5380" s="399" t="s">
        <v>9860</v>
      </c>
      <c r="C5380" s="5" t="s">
        <v>9525</v>
      </c>
      <c r="D5380" s="5" t="s">
        <v>10647</v>
      </c>
      <c r="E5380" s="43">
        <v>1000</v>
      </c>
      <c r="F5380" s="43"/>
      <c r="G5380" s="48">
        <f t="shared" si="140"/>
        <v>211050</v>
      </c>
      <c r="H5380" s="391" t="s">
        <v>9568</v>
      </c>
      <c r="I5380" s="28"/>
      <c r="J5380" s="28"/>
      <c r="K5380" s="28"/>
      <c r="L5380" s="28"/>
    </row>
    <row r="5381" spans="1:12" x14ac:dyDescent="0.3">
      <c r="A5381" s="45">
        <v>44975</v>
      </c>
      <c r="B5381" s="399" t="s">
        <v>118</v>
      </c>
      <c r="C5381" s="5" t="s">
        <v>9873</v>
      </c>
      <c r="D5381" s="5" t="s">
        <v>10628</v>
      </c>
      <c r="E5381" s="43">
        <v>5000</v>
      </c>
      <c r="F5381" s="43"/>
      <c r="G5381" s="48">
        <f t="shared" si="140"/>
        <v>206050</v>
      </c>
      <c r="H5381" s="391" t="s">
        <v>9568</v>
      </c>
      <c r="I5381" s="43"/>
      <c r="J5381" s="43"/>
      <c r="K5381" s="43"/>
      <c r="L5381" s="43"/>
    </row>
    <row r="5382" spans="1:12" x14ac:dyDescent="0.3">
      <c r="A5382" s="45">
        <v>44975</v>
      </c>
      <c r="B5382" s="399" t="s">
        <v>118</v>
      </c>
      <c r="C5382" s="5" t="s">
        <v>10649</v>
      </c>
      <c r="D5382" s="5" t="s">
        <v>10648</v>
      </c>
      <c r="E5382" s="43">
        <v>520</v>
      </c>
      <c r="F5382" s="43"/>
      <c r="G5382" s="48">
        <f t="shared" si="140"/>
        <v>205530</v>
      </c>
      <c r="H5382" s="391" t="s">
        <v>9568</v>
      </c>
      <c r="I5382" s="43"/>
      <c r="J5382" s="43"/>
      <c r="K5382" s="43"/>
      <c r="L5382" s="43"/>
    </row>
    <row r="5383" spans="1:12" x14ac:dyDescent="0.3">
      <c r="A5383" s="45">
        <v>44975</v>
      </c>
      <c r="B5383" s="586"/>
      <c r="C5383" s="486"/>
      <c r="D5383" s="486" t="s">
        <v>10625</v>
      </c>
      <c r="E5383" s="486"/>
      <c r="F5383" s="43">
        <v>550000</v>
      </c>
      <c r="G5383" s="48">
        <f t="shared" si="140"/>
        <v>755530</v>
      </c>
      <c r="H5383" s="391" t="s">
        <v>9568</v>
      </c>
      <c r="I5383" s="43"/>
      <c r="J5383" s="43"/>
      <c r="K5383" s="43"/>
      <c r="L5383" s="43"/>
    </row>
    <row r="5384" spans="1:12" x14ac:dyDescent="0.3">
      <c r="A5384" s="45">
        <v>44975</v>
      </c>
      <c r="B5384" s="399" t="s">
        <v>9860</v>
      </c>
      <c r="C5384" s="5" t="s">
        <v>5793</v>
      </c>
      <c r="D5384" s="5" t="s">
        <v>10650</v>
      </c>
      <c r="E5384" s="43">
        <v>500</v>
      </c>
      <c r="F5384" s="43"/>
      <c r="G5384" s="48">
        <f t="shared" si="140"/>
        <v>755030</v>
      </c>
      <c r="H5384" s="391" t="s">
        <v>9568</v>
      </c>
      <c r="I5384" s="43"/>
      <c r="J5384" s="43"/>
      <c r="K5384" s="43"/>
      <c r="L5384" s="43"/>
    </row>
    <row r="5385" spans="1:12" x14ac:dyDescent="0.3">
      <c r="A5385" s="45">
        <v>44975</v>
      </c>
      <c r="B5385" s="345" t="s">
        <v>12096</v>
      </c>
      <c r="C5385" s="5" t="s">
        <v>1073</v>
      </c>
      <c r="D5385" s="5" t="s">
        <v>10651</v>
      </c>
      <c r="E5385" s="43">
        <v>1050</v>
      </c>
      <c r="F5385" s="43"/>
      <c r="G5385" s="48">
        <f t="shared" si="140"/>
        <v>753980</v>
      </c>
      <c r="H5385" s="391" t="s">
        <v>9568</v>
      </c>
      <c r="I5385" s="43"/>
      <c r="J5385" s="43"/>
      <c r="K5385" s="43"/>
      <c r="L5385" s="43"/>
    </row>
    <row r="5386" spans="1:12" x14ac:dyDescent="0.3">
      <c r="A5386" s="45">
        <v>44975</v>
      </c>
      <c r="B5386" s="399"/>
      <c r="C5386" s="5" t="s">
        <v>14</v>
      </c>
      <c r="D5386" s="5" t="s">
        <v>294</v>
      </c>
      <c r="E5386" s="43">
        <v>5000</v>
      </c>
      <c r="F5386" s="43"/>
      <c r="G5386" s="48">
        <f t="shared" si="140"/>
        <v>748980</v>
      </c>
      <c r="H5386" s="391" t="s">
        <v>9568</v>
      </c>
      <c r="I5386" s="43"/>
      <c r="J5386" s="43"/>
      <c r="K5386" s="43"/>
      <c r="L5386" s="43"/>
    </row>
    <row r="5387" spans="1:12" x14ac:dyDescent="0.3">
      <c r="A5387" s="45">
        <v>44977</v>
      </c>
      <c r="B5387" s="399"/>
      <c r="C5387" s="5" t="s">
        <v>107</v>
      </c>
      <c r="D5387" s="5" t="s">
        <v>10652</v>
      </c>
      <c r="E5387" s="43">
        <v>100</v>
      </c>
      <c r="F5387" s="43"/>
      <c r="G5387" s="48">
        <f t="shared" si="140"/>
        <v>748880</v>
      </c>
      <c r="H5387" s="391" t="s">
        <v>9568</v>
      </c>
      <c r="I5387" s="43"/>
      <c r="J5387" s="43"/>
      <c r="K5387" s="43"/>
      <c r="L5387" s="43"/>
    </row>
    <row r="5388" spans="1:12" x14ac:dyDescent="0.3">
      <c r="A5388" s="45">
        <v>44977</v>
      </c>
      <c r="B5388" s="399"/>
      <c r="C5388" s="5" t="s">
        <v>7214</v>
      </c>
      <c r="D5388" s="5" t="s">
        <v>10653</v>
      </c>
      <c r="E5388" s="43">
        <v>10000</v>
      </c>
      <c r="F5388" s="43"/>
      <c r="G5388" s="48">
        <f t="shared" si="140"/>
        <v>738880</v>
      </c>
      <c r="H5388" s="391" t="s">
        <v>9568</v>
      </c>
      <c r="I5388" s="43"/>
      <c r="J5388" s="43"/>
      <c r="K5388" s="43"/>
      <c r="L5388" s="43"/>
    </row>
    <row r="5389" spans="1:12" x14ac:dyDescent="0.3">
      <c r="A5389" s="45">
        <v>44977</v>
      </c>
      <c r="B5389" s="399" t="s">
        <v>9990</v>
      </c>
      <c r="C5389" s="5" t="s">
        <v>84</v>
      </c>
      <c r="D5389" s="5" t="s">
        <v>10654</v>
      </c>
      <c r="E5389" s="43">
        <v>2000</v>
      </c>
      <c r="F5389" s="43"/>
      <c r="G5389" s="48">
        <f t="shared" si="140"/>
        <v>736880</v>
      </c>
      <c r="H5389" s="391" t="s">
        <v>9568</v>
      </c>
      <c r="I5389" s="43"/>
      <c r="J5389" s="43"/>
      <c r="K5389" s="43"/>
      <c r="L5389" s="43"/>
    </row>
    <row r="5390" spans="1:12" x14ac:dyDescent="0.3">
      <c r="A5390" s="45">
        <v>44977</v>
      </c>
      <c r="B5390" s="345" t="s">
        <v>12096</v>
      </c>
      <c r="C5390" s="5" t="s">
        <v>18</v>
      </c>
      <c r="D5390" s="5" t="s">
        <v>3183</v>
      </c>
      <c r="E5390" s="43">
        <v>4000</v>
      </c>
      <c r="F5390" s="43"/>
      <c r="G5390" s="48">
        <f t="shared" si="140"/>
        <v>732880</v>
      </c>
      <c r="H5390" s="391" t="s">
        <v>9568</v>
      </c>
      <c r="I5390" s="43"/>
      <c r="J5390" s="43"/>
      <c r="K5390" s="43"/>
      <c r="L5390" s="43"/>
    </row>
    <row r="5391" spans="1:12" x14ac:dyDescent="0.3">
      <c r="A5391" s="45">
        <v>44977</v>
      </c>
      <c r="B5391" s="399"/>
      <c r="C5391" s="5" t="s">
        <v>5482</v>
      </c>
      <c r="D5391" s="5" t="s">
        <v>10657</v>
      </c>
      <c r="E5391" s="43">
        <v>20000</v>
      </c>
      <c r="F5391" s="43"/>
      <c r="G5391" s="48">
        <f t="shared" si="140"/>
        <v>712880</v>
      </c>
      <c r="H5391" s="391" t="s">
        <v>9568</v>
      </c>
      <c r="I5391" s="43"/>
      <c r="J5391" s="43"/>
      <c r="K5391" s="43"/>
      <c r="L5391" s="43"/>
    </row>
    <row r="5392" spans="1:12" x14ac:dyDescent="0.3">
      <c r="A5392" s="45">
        <v>44978</v>
      </c>
      <c r="B5392" s="399"/>
      <c r="C5392" s="5" t="s">
        <v>14</v>
      </c>
      <c r="D5392" s="5" t="s">
        <v>640</v>
      </c>
      <c r="E5392" s="43">
        <v>1000</v>
      </c>
      <c r="F5392" s="43"/>
      <c r="G5392" s="48">
        <f t="shared" si="140"/>
        <v>711880</v>
      </c>
      <c r="H5392" s="391" t="s">
        <v>9568</v>
      </c>
      <c r="I5392" s="43"/>
      <c r="J5392" s="43"/>
      <c r="K5392" s="43"/>
      <c r="L5392" s="43"/>
    </row>
    <row r="5393" spans="1:12" x14ac:dyDescent="0.3">
      <c r="A5393" s="45">
        <v>44978</v>
      </c>
      <c r="B5393" s="399" t="s">
        <v>9860</v>
      </c>
      <c r="C5393" s="5" t="s">
        <v>8573</v>
      </c>
      <c r="D5393" s="5" t="s">
        <v>10658</v>
      </c>
      <c r="E5393" s="43">
        <v>26000</v>
      </c>
      <c r="F5393" s="43"/>
      <c r="G5393" s="48">
        <f t="shared" si="140"/>
        <v>685880</v>
      </c>
      <c r="H5393" s="391" t="s">
        <v>9568</v>
      </c>
      <c r="I5393" s="43"/>
      <c r="J5393" s="43"/>
      <c r="K5393" s="43"/>
      <c r="L5393" s="43"/>
    </row>
    <row r="5394" spans="1:12" x14ac:dyDescent="0.3">
      <c r="A5394" s="45">
        <v>44978</v>
      </c>
      <c r="B5394" s="399" t="s">
        <v>9879</v>
      </c>
      <c r="C5394" s="5" t="s">
        <v>84</v>
      </c>
      <c r="D5394" s="5" t="s">
        <v>10662</v>
      </c>
      <c r="E5394" s="43">
        <v>2000</v>
      </c>
      <c r="F5394" s="43"/>
      <c r="G5394" s="48">
        <f t="shared" si="140"/>
        <v>683880</v>
      </c>
      <c r="H5394" s="391" t="s">
        <v>9568</v>
      </c>
      <c r="I5394" s="43"/>
      <c r="J5394" s="43"/>
      <c r="K5394" s="43"/>
      <c r="L5394" s="43"/>
    </row>
    <row r="5395" spans="1:12" x14ac:dyDescent="0.3">
      <c r="A5395" s="45">
        <v>44978</v>
      </c>
      <c r="B5395" s="399" t="s">
        <v>10615</v>
      </c>
      <c r="C5395" s="5" t="s">
        <v>84</v>
      </c>
      <c r="D5395" s="5" t="s">
        <v>10663</v>
      </c>
      <c r="E5395" s="43">
        <v>3000</v>
      </c>
      <c r="F5395" s="43"/>
      <c r="G5395" s="48">
        <f t="shared" si="140"/>
        <v>680880</v>
      </c>
      <c r="H5395" s="391" t="s">
        <v>9568</v>
      </c>
      <c r="I5395" s="43"/>
      <c r="J5395" s="43"/>
      <c r="K5395" s="43"/>
      <c r="L5395" s="43"/>
    </row>
    <row r="5396" spans="1:12" x14ac:dyDescent="0.3">
      <c r="A5396" s="45">
        <v>44978</v>
      </c>
      <c r="B5396" s="399" t="s">
        <v>10615</v>
      </c>
      <c r="C5396" s="5" t="s">
        <v>84</v>
      </c>
      <c r="D5396" s="5" t="s">
        <v>10664</v>
      </c>
      <c r="E5396" s="43">
        <v>2000</v>
      </c>
      <c r="F5396" s="43"/>
      <c r="G5396" s="48">
        <f t="shared" si="140"/>
        <v>678880</v>
      </c>
      <c r="H5396" s="391" t="s">
        <v>9568</v>
      </c>
      <c r="I5396" s="43"/>
      <c r="J5396" s="43"/>
      <c r="K5396" s="43"/>
      <c r="L5396" s="43"/>
    </row>
    <row r="5397" spans="1:12" x14ac:dyDescent="0.3">
      <c r="A5397" s="45">
        <v>44978</v>
      </c>
      <c r="B5397" s="399"/>
      <c r="C5397" s="5" t="s">
        <v>14</v>
      </c>
      <c r="D5397" s="5" t="s">
        <v>294</v>
      </c>
      <c r="E5397" s="43">
        <v>12000</v>
      </c>
      <c r="F5397" s="43"/>
      <c r="G5397" s="48">
        <f t="shared" si="140"/>
        <v>666880</v>
      </c>
      <c r="H5397" s="391" t="s">
        <v>9568</v>
      </c>
      <c r="I5397" s="43"/>
      <c r="J5397" s="43"/>
      <c r="K5397" s="43"/>
      <c r="L5397" s="43"/>
    </row>
    <row r="5398" spans="1:12" x14ac:dyDescent="0.3">
      <c r="A5398" s="45">
        <v>44978</v>
      </c>
      <c r="B5398" s="399" t="s">
        <v>10333</v>
      </c>
      <c r="C5398" s="5" t="s">
        <v>68</v>
      </c>
      <c r="D5398" s="5" t="s">
        <v>10665</v>
      </c>
      <c r="E5398" s="43">
        <v>36350</v>
      </c>
      <c r="F5398" s="43"/>
      <c r="G5398" s="48">
        <f t="shared" si="140"/>
        <v>630530</v>
      </c>
      <c r="H5398" s="391" t="s">
        <v>9568</v>
      </c>
      <c r="I5398" s="43"/>
      <c r="J5398" s="43"/>
      <c r="K5398" s="43"/>
      <c r="L5398" s="43"/>
    </row>
    <row r="5399" spans="1:12" x14ac:dyDescent="0.3">
      <c r="A5399" s="45">
        <v>44978</v>
      </c>
      <c r="B5399" s="345" t="s">
        <v>12096</v>
      </c>
      <c r="C5399" s="5" t="s">
        <v>84</v>
      </c>
      <c r="D5399" s="5" t="s">
        <v>10666</v>
      </c>
      <c r="E5399" s="43">
        <v>3000</v>
      </c>
      <c r="F5399" s="43"/>
      <c r="G5399" s="48">
        <f t="shared" si="140"/>
        <v>627530</v>
      </c>
      <c r="H5399" s="391" t="s">
        <v>9568</v>
      </c>
      <c r="I5399" s="43"/>
      <c r="J5399" s="43"/>
      <c r="K5399" s="43"/>
      <c r="L5399" s="43"/>
    </row>
    <row r="5400" spans="1:12" x14ac:dyDescent="0.3">
      <c r="A5400" s="45">
        <v>44979</v>
      </c>
      <c r="B5400" s="399" t="s">
        <v>12190</v>
      </c>
      <c r="C5400" s="5" t="s">
        <v>1616</v>
      </c>
      <c r="D5400" s="5" t="s">
        <v>8849</v>
      </c>
      <c r="E5400" s="43">
        <v>1500</v>
      </c>
      <c r="F5400" s="43"/>
      <c r="G5400" s="48">
        <f t="shared" si="140"/>
        <v>626030</v>
      </c>
      <c r="H5400" s="391" t="s">
        <v>9568</v>
      </c>
      <c r="I5400" s="43"/>
      <c r="J5400" s="43"/>
      <c r="K5400" s="43"/>
      <c r="L5400" s="43"/>
    </row>
    <row r="5401" spans="1:12" x14ac:dyDescent="0.3">
      <c r="A5401" s="45">
        <v>44979</v>
      </c>
      <c r="B5401" s="399" t="s">
        <v>118</v>
      </c>
      <c r="C5401" s="5" t="s">
        <v>9873</v>
      </c>
      <c r="D5401" s="5" t="s">
        <v>10628</v>
      </c>
      <c r="E5401" s="43">
        <v>4000</v>
      </c>
      <c r="F5401" s="43"/>
      <c r="G5401" s="48">
        <f t="shared" si="140"/>
        <v>622030</v>
      </c>
      <c r="H5401" s="391" t="s">
        <v>9568</v>
      </c>
      <c r="I5401" s="43"/>
      <c r="J5401" s="43"/>
      <c r="K5401" s="43"/>
      <c r="L5401" s="43"/>
    </row>
    <row r="5402" spans="1:12" x14ac:dyDescent="0.3">
      <c r="A5402" s="45">
        <v>44979</v>
      </c>
      <c r="B5402" s="399"/>
      <c r="C5402" s="5" t="s">
        <v>14</v>
      </c>
      <c r="D5402" s="5" t="s">
        <v>294</v>
      </c>
      <c r="E5402" s="43">
        <v>10000</v>
      </c>
      <c r="F5402" s="43"/>
      <c r="G5402" s="48">
        <f t="shared" si="140"/>
        <v>612030</v>
      </c>
      <c r="H5402" s="391" t="s">
        <v>9568</v>
      </c>
      <c r="I5402" s="43"/>
      <c r="J5402" s="43"/>
      <c r="K5402" s="43"/>
      <c r="L5402" s="43"/>
    </row>
    <row r="5403" spans="1:12" x14ac:dyDescent="0.3">
      <c r="A5403" s="45">
        <v>44979</v>
      </c>
      <c r="B5403" s="399" t="s">
        <v>10112</v>
      </c>
      <c r="C5403" s="5" t="s">
        <v>5741</v>
      </c>
      <c r="D5403" s="5" t="s">
        <v>10667</v>
      </c>
      <c r="E5403" s="43">
        <v>65250</v>
      </c>
      <c r="F5403" s="43"/>
      <c r="G5403" s="48">
        <f t="shared" si="140"/>
        <v>546780</v>
      </c>
      <c r="H5403" s="391" t="s">
        <v>9568</v>
      </c>
      <c r="I5403" s="43"/>
      <c r="J5403" s="43"/>
      <c r="K5403" s="43"/>
      <c r="L5403" s="43"/>
    </row>
    <row r="5404" spans="1:12" x14ac:dyDescent="0.3">
      <c r="A5404" s="45">
        <v>44979</v>
      </c>
      <c r="B5404" s="399" t="s">
        <v>12190</v>
      </c>
      <c r="C5404" s="5" t="s">
        <v>1074</v>
      </c>
      <c r="D5404" s="5" t="s">
        <v>10668</v>
      </c>
      <c r="E5404" s="43">
        <v>36216</v>
      </c>
      <c r="F5404" s="43"/>
      <c r="G5404" s="48">
        <f t="shared" si="140"/>
        <v>510564</v>
      </c>
      <c r="H5404" s="391" t="s">
        <v>9568</v>
      </c>
      <c r="I5404" s="485"/>
      <c r="J5404" s="485"/>
      <c r="K5404" s="28"/>
      <c r="L5404" s="28"/>
    </row>
    <row r="5405" spans="1:12" x14ac:dyDescent="0.3">
      <c r="A5405" s="45">
        <v>44979</v>
      </c>
      <c r="B5405" s="399" t="s">
        <v>118</v>
      </c>
      <c r="C5405" s="5" t="s">
        <v>1074</v>
      </c>
      <c r="D5405" s="5" t="s">
        <v>10668</v>
      </c>
      <c r="E5405" s="43">
        <v>9419</v>
      </c>
      <c r="F5405" s="43"/>
      <c r="G5405" s="48">
        <f t="shared" si="140"/>
        <v>501145</v>
      </c>
      <c r="H5405" s="391" t="s">
        <v>9568</v>
      </c>
      <c r="K5405" s="43"/>
      <c r="L5405" s="43"/>
    </row>
    <row r="5406" spans="1:12" x14ac:dyDescent="0.3">
      <c r="A5406" s="45">
        <v>44979</v>
      </c>
      <c r="B5406" s="399" t="s">
        <v>9860</v>
      </c>
      <c r="C5406" s="5" t="s">
        <v>5793</v>
      </c>
      <c r="D5406" s="5" t="s">
        <v>10650</v>
      </c>
      <c r="E5406" s="43">
        <v>500</v>
      </c>
      <c r="F5406" s="43"/>
      <c r="G5406" s="48">
        <f t="shared" si="140"/>
        <v>500645</v>
      </c>
      <c r="H5406" s="391" t="s">
        <v>9568</v>
      </c>
      <c r="K5406" s="43"/>
      <c r="L5406" s="43"/>
    </row>
    <row r="5407" spans="1:12" x14ac:dyDescent="0.3">
      <c r="A5407" s="45">
        <v>44979</v>
      </c>
      <c r="B5407" s="399" t="s">
        <v>9860</v>
      </c>
      <c r="C5407" s="5" t="s">
        <v>9525</v>
      </c>
      <c r="D5407" s="5" t="s">
        <v>6932</v>
      </c>
      <c r="E5407" s="43">
        <v>1500</v>
      </c>
      <c r="F5407" s="43"/>
      <c r="G5407" s="48">
        <f t="shared" si="140"/>
        <v>499145</v>
      </c>
      <c r="H5407" s="391" t="s">
        <v>9568</v>
      </c>
      <c r="K5407" s="43"/>
      <c r="L5407" s="43"/>
    </row>
    <row r="5408" spans="1:12" x14ac:dyDescent="0.3">
      <c r="A5408" s="45">
        <v>44980</v>
      </c>
      <c r="B5408" s="399" t="s">
        <v>10035</v>
      </c>
      <c r="C5408" s="5" t="s">
        <v>5793</v>
      </c>
      <c r="D5408" s="5" t="s">
        <v>10669</v>
      </c>
      <c r="E5408" s="43">
        <v>1000</v>
      </c>
      <c r="F5408" s="43"/>
      <c r="G5408" s="48">
        <f t="shared" si="140"/>
        <v>498145</v>
      </c>
      <c r="H5408" s="391" t="s">
        <v>9568</v>
      </c>
      <c r="K5408" s="43"/>
      <c r="L5408" s="43"/>
    </row>
    <row r="5409" spans="1:12" x14ac:dyDescent="0.3">
      <c r="A5409" s="45">
        <v>44980</v>
      </c>
      <c r="B5409" s="345" t="s">
        <v>12096</v>
      </c>
      <c r="C5409" s="5" t="s">
        <v>10670</v>
      </c>
      <c r="D5409" s="5" t="s">
        <v>10671</v>
      </c>
      <c r="E5409" s="43">
        <v>500</v>
      </c>
      <c r="F5409" s="43"/>
      <c r="G5409" s="48">
        <f t="shared" si="140"/>
        <v>497645</v>
      </c>
      <c r="H5409" s="391" t="s">
        <v>9568</v>
      </c>
      <c r="K5409" s="43"/>
      <c r="L5409" s="43"/>
    </row>
    <row r="5410" spans="1:12" x14ac:dyDescent="0.3">
      <c r="A5410" s="45">
        <v>44980</v>
      </c>
      <c r="B5410" s="399"/>
      <c r="C5410" s="5" t="s">
        <v>541</v>
      </c>
      <c r="D5410" s="5" t="s">
        <v>1252</v>
      </c>
      <c r="E5410" s="43">
        <v>750</v>
      </c>
      <c r="F5410" s="43"/>
      <c r="G5410" s="48">
        <f t="shared" si="140"/>
        <v>496895</v>
      </c>
      <c r="H5410" s="391" t="s">
        <v>9568</v>
      </c>
      <c r="K5410" s="43"/>
      <c r="L5410" s="43"/>
    </row>
    <row r="5411" spans="1:12" x14ac:dyDescent="0.3">
      <c r="A5411" s="45">
        <v>44980</v>
      </c>
      <c r="B5411" s="399" t="s">
        <v>10333</v>
      </c>
      <c r="C5411" s="5" t="s">
        <v>247</v>
      </c>
      <c r="D5411" s="5" t="s">
        <v>10446</v>
      </c>
      <c r="E5411" s="43">
        <v>7000</v>
      </c>
      <c r="F5411" s="43"/>
      <c r="G5411" s="48">
        <f t="shared" si="140"/>
        <v>489895</v>
      </c>
      <c r="H5411" s="391" t="s">
        <v>9568</v>
      </c>
      <c r="I5411" s="43"/>
      <c r="J5411" s="43"/>
      <c r="K5411" s="43"/>
      <c r="L5411" s="43"/>
    </row>
    <row r="5412" spans="1:12" x14ac:dyDescent="0.3">
      <c r="A5412" s="45">
        <v>44981</v>
      </c>
      <c r="B5412" s="399"/>
      <c r="C5412" s="5" t="s">
        <v>4550</v>
      </c>
      <c r="D5412" s="5" t="s">
        <v>294</v>
      </c>
      <c r="E5412" s="43">
        <v>50000</v>
      </c>
      <c r="F5412" s="43"/>
      <c r="G5412" s="48">
        <f t="shared" si="140"/>
        <v>439895</v>
      </c>
      <c r="H5412" s="391" t="s">
        <v>9568</v>
      </c>
      <c r="K5412" s="43"/>
      <c r="L5412" s="43"/>
    </row>
    <row r="5413" spans="1:12" x14ac:dyDescent="0.3">
      <c r="A5413" s="45">
        <v>44981</v>
      </c>
      <c r="B5413" s="399" t="s">
        <v>9990</v>
      </c>
      <c r="C5413" s="5" t="s">
        <v>84</v>
      </c>
      <c r="D5413" s="5" t="s">
        <v>10672</v>
      </c>
      <c r="E5413" s="43">
        <v>10000</v>
      </c>
      <c r="F5413" s="43"/>
      <c r="G5413" s="48">
        <f t="shared" si="140"/>
        <v>429895</v>
      </c>
      <c r="H5413" s="391" t="s">
        <v>9568</v>
      </c>
      <c r="K5413" s="43"/>
      <c r="L5413" s="43"/>
    </row>
    <row r="5414" spans="1:12" x14ac:dyDescent="0.3">
      <c r="A5414" s="45">
        <v>44981</v>
      </c>
      <c r="B5414" s="399" t="s">
        <v>118</v>
      </c>
      <c r="C5414" s="5" t="s">
        <v>9873</v>
      </c>
      <c r="D5414" s="5" t="s">
        <v>10628</v>
      </c>
      <c r="E5414" s="43">
        <v>2700</v>
      </c>
      <c r="F5414" s="43"/>
      <c r="G5414" s="48">
        <f t="shared" si="140"/>
        <v>427195</v>
      </c>
      <c r="H5414" s="391" t="s">
        <v>9568</v>
      </c>
      <c r="K5414" s="43"/>
      <c r="L5414" s="43"/>
    </row>
    <row r="5415" spans="1:12" x14ac:dyDescent="0.3">
      <c r="A5415" s="45">
        <v>44981</v>
      </c>
      <c r="B5415" s="399" t="s">
        <v>10461</v>
      </c>
      <c r="C5415" s="5" t="s">
        <v>14</v>
      </c>
      <c r="D5415" s="5" t="s">
        <v>10673</v>
      </c>
      <c r="E5415" s="43">
        <v>100000</v>
      </c>
      <c r="F5415" s="43"/>
      <c r="G5415" s="48">
        <f t="shared" si="140"/>
        <v>327195</v>
      </c>
      <c r="H5415" s="391" t="s">
        <v>9568</v>
      </c>
      <c r="K5415" s="43"/>
      <c r="L5415" s="43"/>
    </row>
    <row r="5416" spans="1:12" x14ac:dyDescent="0.3">
      <c r="A5416" s="45">
        <v>44981</v>
      </c>
      <c r="B5416" s="399" t="s">
        <v>10531</v>
      </c>
      <c r="C5416" s="5" t="s">
        <v>7571</v>
      </c>
      <c r="D5416" s="5" t="s">
        <v>10530</v>
      </c>
      <c r="E5416" s="43">
        <v>20000</v>
      </c>
      <c r="F5416" s="43"/>
      <c r="G5416" s="48">
        <f t="shared" si="140"/>
        <v>307195</v>
      </c>
      <c r="H5416" s="391" t="s">
        <v>9568</v>
      </c>
      <c r="K5416" s="43"/>
      <c r="L5416" s="43"/>
    </row>
    <row r="5417" spans="1:12" x14ac:dyDescent="0.3">
      <c r="A5417" s="45">
        <v>44981</v>
      </c>
      <c r="B5417" s="399" t="s">
        <v>118</v>
      </c>
      <c r="C5417" s="5" t="s">
        <v>4400</v>
      </c>
      <c r="D5417" s="5" t="s">
        <v>10674</v>
      </c>
      <c r="E5417" s="43">
        <v>4650</v>
      </c>
      <c r="F5417" s="43"/>
      <c r="G5417" s="48">
        <f t="shared" si="140"/>
        <v>302545</v>
      </c>
      <c r="H5417" s="391" t="s">
        <v>9568</v>
      </c>
      <c r="K5417" s="43"/>
      <c r="L5417" s="43"/>
    </row>
    <row r="5418" spans="1:12" x14ac:dyDescent="0.3">
      <c r="A5418" s="45">
        <v>44981</v>
      </c>
      <c r="B5418" s="399" t="s">
        <v>118</v>
      </c>
      <c r="C5418" s="5" t="s">
        <v>4400</v>
      </c>
      <c r="D5418" s="5" t="s">
        <v>10677</v>
      </c>
      <c r="E5418" s="43">
        <v>4650</v>
      </c>
      <c r="F5418" s="43"/>
      <c r="G5418" s="48">
        <f t="shared" si="140"/>
        <v>297895</v>
      </c>
      <c r="H5418" s="391" t="s">
        <v>9568</v>
      </c>
      <c r="I5418" s="43"/>
      <c r="J5418" s="43"/>
      <c r="K5418" s="43"/>
      <c r="L5418" s="43"/>
    </row>
    <row r="5419" spans="1:12" x14ac:dyDescent="0.3">
      <c r="A5419" s="45">
        <v>44981</v>
      </c>
      <c r="B5419" s="399" t="s">
        <v>10333</v>
      </c>
      <c r="C5419" s="5" t="s">
        <v>1073</v>
      </c>
      <c r="D5419" s="5" t="s">
        <v>10676</v>
      </c>
      <c r="E5419" s="43">
        <v>1550</v>
      </c>
      <c r="F5419" s="43"/>
      <c r="G5419" s="48">
        <f t="shared" si="140"/>
        <v>296345</v>
      </c>
      <c r="H5419" s="391" t="s">
        <v>9568</v>
      </c>
      <c r="I5419" s="43"/>
      <c r="J5419" s="43"/>
      <c r="K5419" s="43"/>
      <c r="L5419" s="43"/>
    </row>
    <row r="5420" spans="1:12" x14ac:dyDescent="0.3">
      <c r="A5420" s="45">
        <v>44981</v>
      </c>
      <c r="B5420" s="399" t="s">
        <v>9990</v>
      </c>
      <c r="C5420" s="5" t="s">
        <v>5793</v>
      </c>
      <c r="D5420" s="5" t="s">
        <v>10678</v>
      </c>
      <c r="E5420" s="43">
        <v>300</v>
      </c>
      <c r="F5420" s="43"/>
      <c r="G5420" s="48">
        <f t="shared" si="140"/>
        <v>296045</v>
      </c>
      <c r="H5420" s="391" t="s">
        <v>9568</v>
      </c>
      <c r="I5420" s="43"/>
      <c r="J5420" s="43"/>
      <c r="K5420" s="43"/>
      <c r="L5420" s="43"/>
    </row>
    <row r="5421" spans="1:12" x14ac:dyDescent="0.3">
      <c r="A5421" s="45">
        <v>44981</v>
      </c>
      <c r="B5421" s="399" t="s">
        <v>9990</v>
      </c>
      <c r="C5421" s="5" t="s">
        <v>5162</v>
      </c>
      <c r="D5421" s="5" t="s">
        <v>9825</v>
      </c>
      <c r="E5421" s="43">
        <v>850</v>
      </c>
      <c r="F5421" s="43"/>
      <c r="G5421" s="48">
        <f t="shared" si="140"/>
        <v>295195</v>
      </c>
      <c r="H5421" s="391" t="s">
        <v>9568</v>
      </c>
      <c r="I5421" s="43"/>
      <c r="J5421" s="43"/>
      <c r="K5421" s="43"/>
      <c r="L5421" s="43"/>
    </row>
    <row r="5422" spans="1:12" x14ac:dyDescent="0.3">
      <c r="A5422" s="45">
        <v>44982</v>
      </c>
      <c r="B5422" s="399" t="s">
        <v>9990</v>
      </c>
      <c r="C5422" s="5" t="s">
        <v>4550</v>
      </c>
      <c r="D5422" s="5" t="s">
        <v>9327</v>
      </c>
      <c r="E5422" s="43">
        <v>20000</v>
      </c>
      <c r="F5422" s="43"/>
      <c r="G5422" s="48">
        <f t="shared" si="140"/>
        <v>275195</v>
      </c>
      <c r="H5422" s="391" t="s">
        <v>9568</v>
      </c>
      <c r="I5422" s="43"/>
      <c r="J5422" s="43"/>
      <c r="K5422" s="43"/>
      <c r="L5422" s="43"/>
    </row>
    <row r="5423" spans="1:12" x14ac:dyDescent="0.3">
      <c r="A5423" s="45">
        <v>44982</v>
      </c>
      <c r="B5423" s="399" t="s">
        <v>118</v>
      </c>
      <c r="C5423" s="5" t="s">
        <v>9873</v>
      </c>
      <c r="D5423" s="5" t="s">
        <v>10628</v>
      </c>
      <c r="E5423" s="43">
        <v>4000</v>
      </c>
      <c r="F5423" s="43"/>
      <c r="G5423" s="48">
        <f t="shared" si="140"/>
        <v>271195</v>
      </c>
      <c r="H5423" s="391" t="s">
        <v>9568</v>
      </c>
      <c r="I5423" s="43"/>
      <c r="J5423" s="43"/>
      <c r="K5423" s="43"/>
      <c r="L5423" s="43"/>
    </row>
    <row r="5424" spans="1:12" x14ac:dyDescent="0.3">
      <c r="A5424" s="45">
        <v>44982</v>
      </c>
      <c r="B5424" s="399" t="s">
        <v>118</v>
      </c>
      <c r="C5424" s="5" t="s">
        <v>84</v>
      </c>
      <c r="D5424" s="5" t="s">
        <v>10679</v>
      </c>
      <c r="E5424" s="43">
        <v>5000</v>
      </c>
      <c r="F5424" s="43"/>
      <c r="G5424" s="48">
        <f t="shared" si="140"/>
        <v>266195</v>
      </c>
      <c r="H5424" s="391" t="s">
        <v>9568</v>
      </c>
      <c r="I5424" s="43"/>
      <c r="J5424" s="43"/>
      <c r="K5424" s="43"/>
      <c r="L5424" s="43"/>
    </row>
    <row r="5425" spans="1:12" x14ac:dyDescent="0.3">
      <c r="A5425" s="45">
        <v>44982</v>
      </c>
      <c r="B5425" s="399" t="s">
        <v>118</v>
      </c>
      <c r="C5425" s="5" t="s">
        <v>84</v>
      </c>
      <c r="D5425" s="5" t="s">
        <v>10680</v>
      </c>
      <c r="E5425" s="43">
        <v>10000</v>
      </c>
      <c r="F5425" s="43"/>
      <c r="G5425" s="48">
        <f t="shared" si="140"/>
        <v>256195</v>
      </c>
      <c r="H5425" s="391" t="s">
        <v>9568</v>
      </c>
      <c r="I5425" s="43"/>
      <c r="J5425" s="43"/>
      <c r="K5425" s="43"/>
      <c r="L5425" s="43"/>
    </row>
    <row r="5426" spans="1:12" x14ac:dyDescent="0.3">
      <c r="A5426" s="45">
        <v>44984</v>
      </c>
      <c r="B5426" s="399" t="s">
        <v>10112</v>
      </c>
      <c r="C5426" s="5" t="s">
        <v>5793</v>
      </c>
      <c r="D5426" s="5" t="s">
        <v>10681</v>
      </c>
      <c r="E5426" s="43">
        <v>2200</v>
      </c>
      <c r="F5426" s="43"/>
      <c r="G5426" s="48">
        <f t="shared" si="140"/>
        <v>253995</v>
      </c>
      <c r="H5426" s="391" t="s">
        <v>9568</v>
      </c>
      <c r="I5426" s="43"/>
      <c r="J5426" s="43"/>
      <c r="K5426" s="43"/>
      <c r="L5426" s="43"/>
    </row>
    <row r="5427" spans="1:12" x14ac:dyDescent="0.3">
      <c r="A5427" s="45">
        <v>44984</v>
      </c>
      <c r="B5427" s="399" t="s">
        <v>12089</v>
      </c>
      <c r="C5427" s="5" t="s">
        <v>9801</v>
      </c>
      <c r="D5427" s="5" t="s">
        <v>9802</v>
      </c>
      <c r="E5427" s="43">
        <v>3500</v>
      </c>
      <c r="F5427" s="43"/>
      <c r="G5427" s="48">
        <f t="shared" si="140"/>
        <v>250495</v>
      </c>
      <c r="H5427" s="391" t="s">
        <v>9568</v>
      </c>
      <c r="I5427" s="43"/>
      <c r="J5427" s="43"/>
      <c r="K5427" s="43"/>
      <c r="L5427" s="43"/>
    </row>
    <row r="5428" spans="1:12" x14ac:dyDescent="0.3">
      <c r="A5428" s="45">
        <v>44984</v>
      </c>
      <c r="B5428" s="399" t="s">
        <v>9860</v>
      </c>
      <c r="C5428" s="5" t="s">
        <v>1073</v>
      </c>
      <c r="D5428" s="5" t="s">
        <v>10682</v>
      </c>
      <c r="E5428" s="43">
        <v>1000</v>
      </c>
      <c r="F5428" s="43"/>
      <c r="G5428" s="48">
        <f t="shared" si="140"/>
        <v>249495</v>
      </c>
      <c r="H5428" s="391" t="s">
        <v>9568</v>
      </c>
      <c r="I5428" s="43"/>
      <c r="J5428" s="43"/>
      <c r="K5428" s="43"/>
      <c r="L5428" s="43"/>
    </row>
    <row r="5429" spans="1:12" x14ac:dyDescent="0.3">
      <c r="A5429" s="45">
        <v>44985</v>
      </c>
      <c r="B5429" s="399" t="s">
        <v>10035</v>
      </c>
      <c r="C5429" s="5" t="s">
        <v>10684</v>
      </c>
      <c r="D5429" s="5" t="s">
        <v>10683</v>
      </c>
      <c r="E5429" s="43">
        <v>13000</v>
      </c>
      <c r="F5429" s="43"/>
      <c r="G5429" s="48">
        <f t="shared" si="140"/>
        <v>236495</v>
      </c>
      <c r="H5429" s="391" t="s">
        <v>9568</v>
      </c>
      <c r="I5429" s="43"/>
      <c r="J5429" s="43"/>
      <c r="K5429" s="43"/>
      <c r="L5429" s="43"/>
    </row>
    <row r="5430" spans="1:12" x14ac:dyDescent="0.3">
      <c r="A5430" s="45">
        <v>44985</v>
      </c>
      <c r="B5430" s="399" t="s">
        <v>10615</v>
      </c>
      <c r="C5430" s="5" t="s">
        <v>6430</v>
      </c>
      <c r="D5430" s="5" t="s">
        <v>10685</v>
      </c>
      <c r="E5430" s="43">
        <v>3000</v>
      </c>
      <c r="F5430" s="43"/>
      <c r="G5430" s="48">
        <f t="shared" ref="G5430:G5493" si="141">G5429+F5430-E5430</f>
        <v>233495</v>
      </c>
      <c r="H5430" s="391" t="s">
        <v>9568</v>
      </c>
      <c r="I5430" s="43"/>
      <c r="J5430" s="43"/>
      <c r="K5430" s="43"/>
      <c r="L5430" s="43"/>
    </row>
    <row r="5431" spans="1:12" x14ac:dyDescent="0.3">
      <c r="A5431" s="45">
        <v>44985</v>
      </c>
      <c r="B5431" s="399" t="s">
        <v>10112</v>
      </c>
      <c r="C5431" s="5" t="s">
        <v>5793</v>
      </c>
      <c r="D5431" s="5" t="s">
        <v>10686</v>
      </c>
      <c r="E5431" s="43">
        <v>1000</v>
      </c>
      <c r="F5431" s="43"/>
      <c r="G5431" s="48">
        <f t="shared" si="141"/>
        <v>232495</v>
      </c>
      <c r="H5431" s="391" t="s">
        <v>9568</v>
      </c>
      <c r="I5431" s="43"/>
      <c r="J5431" s="43"/>
      <c r="K5431" s="43"/>
      <c r="L5431" s="43"/>
    </row>
    <row r="5432" spans="1:12" x14ac:dyDescent="0.3">
      <c r="A5432" s="45">
        <v>44985</v>
      </c>
      <c r="B5432" s="399" t="s">
        <v>10112</v>
      </c>
      <c r="C5432" s="5" t="s">
        <v>5793</v>
      </c>
      <c r="D5432" s="5" t="s">
        <v>10687</v>
      </c>
      <c r="E5432" s="43">
        <v>300</v>
      </c>
      <c r="F5432" s="43"/>
      <c r="G5432" s="48">
        <f t="shared" si="141"/>
        <v>232195</v>
      </c>
      <c r="H5432" s="391" t="s">
        <v>9568</v>
      </c>
      <c r="I5432" s="43"/>
      <c r="J5432" s="43"/>
      <c r="K5432" s="43"/>
      <c r="L5432" s="43"/>
    </row>
    <row r="5433" spans="1:12" x14ac:dyDescent="0.3">
      <c r="A5433" s="45">
        <v>44986</v>
      </c>
      <c r="B5433" s="399" t="s">
        <v>118</v>
      </c>
      <c r="C5433" s="5" t="s">
        <v>9873</v>
      </c>
      <c r="D5433" s="5" t="s">
        <v>294</v>
      </c>
      <c r="E5433" s="43">
        <v>4000</v>
      </c>
      <c r="F5433" s="43"/>
      <c r="G5433" s="48">
        <f t="shared" si="141"/>
        <v>228195</v>
      </c>
      <c r="H5433" s="391" t="s">
        <v>9568</v>
      </c>
      <c r="I5433" s="43"/>
      <c r="J5433" s="43"/>
      <c r="K5433" s="43"/>
      <c r="L5433" s="43"/>
    </row>
    <row r="5434" spans="1:12" x14ac:dyDescent="0.3">
      <c r="A5434" s="45">
        <v>44986</v>
      </c>
      <c r="B5434" s="399" t="s">
        <v>12190</v>
      </c>
      <c r="C5434" s="5" t="s">
        <v>1616</v>
      </c>
      <c r="D5434" s="5" t="s">
        <v>2435</v>
      </c>
      <c r="E5434" s="43">
        <v>750</v>
      </c>
      <c r="F5434" s="43"/>
      <c r="G5434" s="48">
        <f t="shared" si="141"/>
        <v>227445</v>
      </c>
      <c r="H5434" s="391" t="s">
        <v>9568</v>
      </c>
      <c r="I5434" s="43"/>
      <c r="J5434" s="43"/>
      <c r="K5434" s="43"/>
      <c r="L5434" s="43"/>
    </row>
    <row r="5435" spans="1:12" x14ac:dyDescent="0.3">
      <c r="A5435" s="45">
        <v>44986</v>
      </c>
      <c r="B5435" s="399" t="s">
        <v>10112</v>
      </c>
      <c r="C5435" s="5" t="s">
        <v>9756</v>
      </c>
      <c r="D5435" s="5" t="s">
        <v>10688</v>
      </c>
      <c r="E5435" s="43">
        <v>17000</v>
      </c>
      <c r="F5435" s="43"/>
      <c r="G5435" s="48">
        <f t="shared" si="141"/>
        <v>210445</v>
      </c>
      <c r="H5435" s="391" t="s">
        <v>9568</v>
      </c>
      <c r="I5435" s="43"/>
      <c r="J5435" s="43"/>
      <c r="K5435" s="43"/>
      <c r="L5435" s="43"/>
    </row>
    <row r="5436" spans="1:12" x14ac:dyDescent="0.3">
      <c r="A5436" s="45">
        <v>44986</v>
      </c>
      <c r="B5436" s="399" t="s">
        <v>10333</v>
      </c>
      <c r="C5436" s="5" t="s">
        <v>9756</v>
      </c>
      <c r="D5436" s="5" t="s">
        <v>2013</v>
      </c>
      <c r="E5436" s="43">
        <v>900</v>
      </c>
      <c r="F5436" s="43"/>
      <c r="G5436" s="48">
        <f t="shared" si="141"/>
        <v>209545</v>
      </c>
      <c r="H5436" s="391" t="s">
        <v>9568</v>
      </c>
      <c r="I5436" s="43"/>
      <c r="J5436" s="43"/>
      <c r="K5436" s="43"/>
      <c r="L5436" s="43"/>
    </row>
    <row r="5437" spans="1:12" x14ac:dyDescent="0.3">
      <c r="A5437" s="45">
        <v>44986</v>
      </c>
      <c r="B5437" s="399" t="s">
        <v>10112</v>
      </c>
      <c r="C5437" s="5" t="s">
        <v>10488</v>
      </c>
      <c r="D5437" s="5" t="s">
        <v>10690</v>
      </c>
      <c r="E5437" s="43">
        <v>2100</v>
      </c>
      <c r="F5437" s="43"/>
      <c r="G5437" s="48">
        <f t="shared" si="141"/>
        <v>207445</v>
      </c>
      <c r="H5437" s="391" t="s">
        <v>9568</v>
      </c>
      <c r="I5437" s="43"/>
      <c r="J5437" s="43"/>
      <c r="K5437" s="43"/>
      <c r="L5437" s="43"/>
    </row>
    <row r="5438" spans="1:12" x14ac:dyDescent="0.3">
      <c r="A5438" s="45">
        <v>44986</v>
      </c>
      <c r="B5438" s="399" t="s">
        <v>9990</v>
      </c>
      <c r="C5438" s="5" t="s">
        <v>84</v>
      </c>
      <c r="D5438" s="5" t="s">
        <v>10691</v>
      </c>
      <c r="E5438" s="43">
        <v>3000</v>
      </c>
      <c r="F5438" s="43"/>
      <c r="G5438" s="48">
        <f t="shared" si="141"/>
        <v>204445</v>
      </c>
      <c r="H5438" s="391" t="s">
        <v>9568</v>
      </c>
      <c r="I5438" s="43"/>
      <c r="J5438" s="43"/>
      <c r="K5438" s="43"/>
      <c r="L5438" s="43"/>
    </row>
    <row r="5439" spans="1:12" x14ac:dyDescent="0.3">
      <c r="A5439" s="45">
        <v>44986</v>
      </c>
      <c r="B5439" s="399" t="s">
        <v>118</v>
      </c>
      <c r="C5439" s="5" t="s">
        <v>84</v>
      </c>
      <c r="D5439" s="5" t="s">
        <v>10692</v>
      </c>
      <c r="E5439" s="43">
        <v>5000</v>
      </c>
      <c r="F5439" s="43"/>
      <c r="G5439" s="48">
        <f t="shared" si="141"/>
        <v>199445</v>
      </c>
      <c r="H5439" s="391" t="s">
        <v>9568</v>
      </c>
      <c r="I5439" s="43"/>
      <c r="J5439" s="43"/>
      <c r="K5439" s="43"/>
      <c r="L5439" s="43"/>
    </row>
    <row r="5440" spans="1:12" x14ac:dyDescent="0.3">
      <c r="A5440" s="45">
        <v>44986</v>
      </c>
      <c r="B5440" s="399" t="s">
        <v>12089</v>
      </c>
      <c r="C5440" s="5" t="s">
        <v>84</v>
      </c>
      <c r="D5440" s="5" t="s">
        <v>10693</v>
      </c>
      <c r="E5440" s="43">
        <v>3000</v>
      </c>
      <c r="F5440" s="43"/>
      <c r="G5440" s="48">
        <f t="shared" si="141"/>
        <v>196445</v>
      </c>
      <c r="H5440" s="391" t="s">
        <v>9568</v>
      </c>
      <c r="I5440" s="43"/>
      <c r="J5440" s="43"/>
      <c r="K5440" s="43"/>
      <c r="L5440" s="43"/>
    </row>
    <row r="5441" spans="1:12" x14ac:dyDescent="0.3">
      <c r="A5441" s="45">
        <v>44986</v>
      </c>
      <c r="B5441" s="399" t="s">
        <v>9879</v>
      </c>
      <c r="C5441" s="5" t="s">
        <v>84</v>
      </c>
      <c r="D5441" s="5" t="s">
        <v>10694</v>
      </c>
      <c r="E5441" s="43">
        <v>5000</v>
      </c>
      <c r="F5441" s="43"/>
      <c r="G5441" s="48">
        <f t="shared" si="141"/>
        <v>191445</v>
      </c>
      <c r="H5441" s="391" t="s">
        <v>9568</v>
      </c>
      <c r="I5441" s="43"/>
      <c r="J5441" s="43"/>
      <c r="K5441" s="43"/>
      <c r="L5441" s="43"/>
    </row>
    <row r="5442" spans="1:12" x14ac:dyDescent="0.3">
      <c r="A5442" s="45">
        <v>44986</v>
      </c>
      <c r="B5442" s="399" t="s">
        <v>9860</v>
      </c>
      <c r="C5442" s="5" t="s">
        <v>9525</v>
      </c>
      <c r="D5442" s="5" t="s">
        <v>6932</v>
      </c>
      <c r="E5442" s="43">
        <v>1630</v>
      </c>
      <c r="F5442" s="43"/>
      <c r="G5442" s="48">
        <f t="shared" si="141"/>
        <v>189815</v>
      </c>
      <c r="H5442" s="391" t="s">
        <v>9568</v>
      </c>
      <c r="I5442" s="43"/>
      <c r="J5442" s="43"/>
      <c r="K5442" s="43"/>
      <c r="L5442" s="43"/>
    </row>
    <row r="5443" spans="1:12" x14ac:dyDescent="0.3">
      <c r="A5443" s="45">
        <v>44986</v>
      </c>
      <c r="B5443" s="399" t="s">
        <v>9860</v>
      </c>
      <c r="C5443" s="5" t="s">
        <v>9525</v>
      </c>
      <c r="D5443" s="5" t="s">
        <v>4187</v>
      </c>
      <c r="E5443" s="43">
        <v>5000</v>
      </c>
      <c r="F5443" s="43"/>
      <c r="G5443" s="48">
        <f t="shared" si="141"/>
        <v>184815</v>
      </c>
      <c r="H5443" s="391" t="s">
        <v>9568</v>
      </c>
      <c r="I5443" s="43"/>
      <c r="J5443" s="43"/>
      <c r="K5443" s="43"/>
      <c r="L5443" s="43"/>
    </row>
    <row r="5444" spans="1:12" x14ac:dyDescent="0.3">
      <c r="A5444" s="45">
        <v>44987</v>
      </c>
      <c r="B5444" s="399" t="s">
        <v>118</v>
      </c>
      <c r="C5444" s="5" t="s">
        <v>9873</v>
      </c>
      <c r="D5444" s="5" t="s">
        <v>294</v>
      </c>
      <c r="E5444" s="43">
        <v>4500</v>
      </c>
      <c r="F5444" s="43"/>
      <c r="G5444" s="48">
        <f t="shared" si="141"/>
        <v>180315</v>
      </c>
      <c r="H5444" s="391" t="s">
        <v>9568</v>
      </c>
      <c r="I5444" s="43"/>
      <c r="J5444" s="43"/>
      <c r="K5444" s="43"/>
      <c r="L5444" s="43"/>
    </row>
    <row r="5445" spans="1:12" x14ac:dyDescent="0.3">
      <c r="A5445" s="45">
        <v>44987</v>
      </c>
      <c r="B5445" s="399" t="s">
        <v>11772</v>
      </c>
      <c r="C5445" s="5" t="s">
        <v>68</v>
      </c>
      <c r="D5445" s="5" t="s">
        <v>3183</v>
      </c>
      <c r="E5445" s="43">
        <v>65000</v>
      </c>
      <c r="F5445" s="43"/>
      <c r="G5445" s="48">
        <f t="shared" si="141"/>
        <v>115315</v>
      </c>
      <c r="H5445" s="391" t="s">
        <v>9568</v>
      </c>
      <c r="I5445" s="43"/>
      <c r="J5445" s="43"/>
      <c r="K5445" s="43"/>
      <c r="L5445" s="43"/>
    </row>
    <row r="5446" spans="1:12" x14ac:dyDescent="0.3">
      <c r="A5446" s="45">
        <v>44987</v>
      </c>
      <c r="B5446" s="399" t="s">
        <v>118</v>
      </c>
      <c r="C5446" s="5" t="s">
        <v>84</v>
      </c>
      <c r="D5446" s="5" t="s">
        <v>10695</v>
      </c>
      <c r="E5446" s="43">
        <v>5000</v>
      </c>
      <c r="F5446" s="43"/>
      <c r="G5446" s="48">
        <f t="shared" si="141"/>
        <v>110315</v>
      </c>
      <c r="H5446" s="391" t="s">
        <v>9568</v>
      </c>
      <c r="I5446" s="43"/>
      <c r="J5446" s="43"/>
      <c r="K5446" s="43"/>
      <c r="L5446" s="43"/>
    </row>
    <row r="5447" spans="1:12" x14ac:dyDescent="0.3">
      <c r="A5447" s="45">
        <v>44987</v>
      </c>
      <c r="B5447" s="399" t="s">
        <v>118</v>
      </c>
      <c r="C5447" s="5" t="s">
        <v>25</v>
      </c>
      <c r="D5447" s="5" t="s">
        <v>10696</v>
      </c>
      <c r="E5447" s="43">
        <v>600</v>
      </c>
      <c r="F5447" s="43"/>
      <c r="G5447" s="48">
        <f t="shared" si="141"/>
        <v>109715</v>
      </c>
      <c r="H5447" s="391" t="s">
        <v>9568</v>
      </c>
      <c r="I5447" s="43"/>
      <c r="J5447" s="43"/>
      <c r="K5447" s="43"/>
      <c r="L5447" s="43"/>
    </row>
    <row r="5448" spans="1:12" x14ac:dyDescent="0.3">
      <c r="A5448" s="45">
        <v>44987</v>
      </c>
      <c r="B5448" s="399" t="s">
        <v>1458</v>
      </c>
      <c r="C5448" s="5" t="s">
        <v>25</v>
      </c>
      <c r="D5448" s="5" t="s">
        <v>4834</v>
      </c>
      <c r="E5448" s="43">
        <v>1000</v>
      </c>
      <c r="F5448" s="43"/>
      <c r="G5448" s="48">
        <f t="shared" si="141"/>
        <v>108715</v>
      </c>
      <c r="H5448" s="391" t="s">
        <v>9568</v>
      </c>
      <c r="I5448" s="43"/>
      <c r="J5448" s="43"/>
      <c r="K5448" s="43"/>
      <c r="L5448" s="43"/>
    </row>
    <row r="5449" spans="1:12" x14ac:dyDescent="0.3">
      <c r="A5449" s="45">
        <v>44987</v>
      </c>
      <c r="B5449" s="399" t="s">
        <v>118</v>
      </c>
      <c r="C5449" s="5" t="s">
        <v>84</v>
      </c>
      <c r="D5449" s="5" t="s">
        <v>10697</v>
      </c>
      <c r="E5449" s="43">
        <v>10000</v>
      </c>
      <c r="F5449" s="43"/>
      <c r="G5449" s="48">
        <f t="shared" si="141"/>
        <v>98715</v>
      </c>
      <c r="H5449" s="391" t="s">
        <v>9568</v>
      </c>
      <c r="I5449" s="43"/>
      <c r="J5449" s="43"/>
      <c r="K5449" s="43"/>
      <c r="L5449" s="43"/>
    </row>
    <row r="5450" spans="1:12" x14ac:dyDescent="0.3">
      <c r="A5450" s="45">
        <v>44987</v>
      </c>
      <c r="B5450" s="399" t="s">
        <v>10035</v>
      </c>
      <c r="C5450" s="5" t="s">
        <v>6154</v>
      </c>
      <c r="D5450" s="5" t="s">
        <v>10698</v>
      </c>
      <c r="E5450" s="43">
        <v>1000</v>
      </c>
      <c r="F5450" s="43"/>
      <c r="G5450" s="48">
        <f t="shared" si="141"/>
        <v>97715</v>
      </c>
      <c r="H5450" s="391" t="s">
        <v>9568</v>
      </c>
      <c r="I5450" s="43"/>
      <c r="J5450" s="43"/>
      <c r="K5450" s="43"/>
      <c r="L5450" s="43"/>
    </row>
    <row r="5451" spans="1:12" x14ac:dyDescent="0.3">
      <c r="A5451" s="45">
        <v>44987</v>
      </c>
      <c r="B5451" s="399" t="s">
        <v>11772</v>
      </c>
      <c r="C5451" s="5" t="s">
        <v>9756</v>
      </c>
      <c r="D5451" s="5" t="s">
        <v>10699</v>
      </c>
      <c r="E5451" s="43">
        <v>10000</v>
      </c>
      <c r="F5451" s="43"/>
      <c r="G5451" s="48">
        <f t="shared" si="141"/>
        <v>87715</v>
      </c>
      <c r="H5451" s="391" t="s">
        <v>9568</v>
      </c>
      <c r="I5451" s="43"/>
      <c r="J5451" s="43"/>
      <c r="K5451" s="43"/>
      <c r="L5451" s="43"/>
    </row>
    <row r="5452" spans="1:12" x14ac:dyDescent="0.3">
      <c r="A5452" s="45">
        <v>44988</v>
      </c>
      <c r="B5452" s="399" t="s">
        <v>10615</v>
      </c>
      <c r="C5452" s="5" t="s">
        <v>6430</v>
      </c>
      <c r="D5452" s="5" t="s">
        <v>4319</v>
      </c>
      <c r="E5452" s="43">
        <v>2000</v>
      </c>
      <c r="F5452" s="43"/>
      <c r="G5452" s="48">
        <f t="shared" si="141"/>
        <v>85715</v>
      </c>
      <c r="H5452" s="391" t="s">
        <v>9568</v>
      </c>
      <c r="I5452" s="43"/>
      <c r="J5452" s="43"/>
      <c r="K5452" s="43"/>
      <c r="L5452" s="43"/>
    </row>
    <row r="5453" spans="1:12" x14ac:dyDescent="0.3">
      <c r="A5453" s="45">
        <v>44988</v>
      </c>
      <c r="B5453" s="399" t="s">
        <v>11772</v>
      </c>
      <c r="C5453" s="5" t="s">
        <v>68</v>
      </c>
      <c r="D5453" s="5" t="s">
        <v>3183</v>
      </c>
      <c r="E5453" s="43">
        <v>2000</v>
      </c>
      <c r="F5453" s="43"/>
      <c r="G5453" s="48">
        <f t="shared" si="141"/>
        <v>83715</v>
      </c>
      <c r="H5453" s="391" t="s">
        <v>9568</v>
      </c>
      <c r="I5453" s="43"/>
      <c r="J5453" s="43"/>
      <c r="K5453" s="43"/>
      <c r="L5453" s="43"/>
    </row>
    <row r="5454" spans="1:12" x14ac:dyDescent="0.3">
      <c r="A5454" s="45">
        <v>44988</v>
      </c>
      <c r="B5454" s="399" t="s">
        <v>12190</v>
      </c>
      <c r="C5454" s="5" t="s">
        <v>1074</v>
      </c>
      <c r="D5454" s="5" t="s">
        <v>10570</v>
      </c>
      <c r="E5454" s="43">
        <v>250</v>
      </c>
      <c r="F5454" s="43"/>
      <c r="G5454" s="48">
        <f t="shared" si="141"/>
        <v>83465</v>
      </c>
      <c r="H5454" s="391" t="s">
        <v>9568</v>
      </c>
      <c r="I5454" s="43"/>
      <c r="J5454" s="43"/>
      <c r="K5454" s="43"/>
      <c r="L5454" s="43"/>
    </row>
    <row r="5455" spans="1:12" x14ac:dyDescent="0.3">
      <c r="A5455" s="45">
        <v>44988</v>
      </c>
      <c r="B5455" s="399" t="s">
        <v>12190</v>
      </c>
      <c r="C5455" s="5" t="s">
        <v>1074</v>
      </c>
      <c r="D5455" s="5" t="s">
        <v>10570</v>
      </c>
      <c r="E5455" s="43">
        <v>250</v>
      </c>
      <c r="F5455" s="43"/>
      <c r="G5455" s="48">
        <f t="shared" si="141"/>
        <v>83215</v>
      </c>
      <c r="H5455" s="391" t="s">
        <v>9568</v>
      </c>
      <c r="I5455" s="43"/>
      <c r="J5455" s="43"/>
      <c r="K5455" s="43"/>
      <c r="L5455" s="43"/>
    </row>
    <row r="5456" spans="1:12" x14ac:dyDescent="0.3">
      <c r="A5456" s="45">
        <v>44988</v>
      </c>
      <c r="B5456" s="399"/>
      <c r="C5456" s="5" t="s">
        <v>14</v>
      </c>
      <c r="D5456" s="5" t="s">
        <v>8704</v>
      </c>
      <c r="E5456" s="43">
        <v>3874</v>
      </c>
      <c r="F5456" s="43"/>
      <c r="G5456" s="48">
        <f t="shared" si="141"/>
        <v>79341</v>
      </c>
      <c r="H5456" s="391" t="s">
        <v>9568</v>
      </c>
      <c r="I5456" s="43"/>
      <c r="J5456" s="43"/>
      <c r="K5456" s="43"/>
      <c r="L5456" s="43"/>
    </row>
    <row r="5457" spans="1:12" x14ac:dyDescent="0.3">
      <c r="A5457" s="45">
        <v>44988</v>
      </c>
      <c r="B5457" s="399" t="s">
        <v>118</v>
      </c>
      <c r="C5457" s="5" t="s">
        <v>3724</v>
      </c>
      <c r="D5457" s="5" t="s">
        <v>40</v>
      </c>
      <c r="E5457" s="43">
        <v>4960</v>
      </c>
      <c r="F5457" s="43"/>
      <c r="G5457" s="48">
        <f t="shared" si="141"/>
        <v>74381</v>
      </c>
      <c r="H5457" s="391" t="s">
        <v>9568</v>
      </c>
      <c r="I5457" s="43"/>
      <c r="J5457" s="43"/>
      <c r="K5457" s="43"/>
      <c r="L5457" s="43"/>
    </row>
    <row r="5458" spans="1:12" x14ac:dyDescent="0.3">
      <c r="A5458" s="45">
        <v>44988</v>
      </c>
      <c r="B5458" s="399" t="s">
        <v>11772</v>
      </c>
      <c r="C5458" s="5" t="s">
        <v>7744</v>
      </c>
      <c r="D5458" s="5" t="s">
        <v>10702</v>
      </c>
      <c r="E5458" s="43">
        <v>69000</v>
      </c>
      <c r="F5458" s="43"/>
      <c r="G5458" s="48">
        <f t="shared" si="141"/>
        <v>5381</v>
      </c>
      <c r="H5458" s="391" t="s">
        <v>9568</v>
      </c>
      <c r="I5458" s="43"/>
      <c r="J5458" s="43"/>
      <c r="K5458" s="43"/>
      <c r="L5458" s="43"/>
    </row>
    <row r="5459" spans="1:12" x14ac:dyDescent="0.3">
      <c r="A5459" s="45">
        <v>44988</v>
      </c>
      <c r="B5459" s="586"/>
      <c r="C5459" s="486"/>
      <c r="D5459" s="497" t="s">
        <v>4106</v>
      </c>
      <c r="E5459" s="486"/>
      <c r="F5459" s="43">
        <v>200000</v>
      </c>
      <c r="G5459" s="48">
        <f t="shared" si="141"/>
        <v>205381</v>
      </c>
      <c r="H5459" s="391" t="s">
        <v>9568</v>
      </c>
      <c r="I5459" s="43"/>
      <c r="J5459" s="43"/>
      <c r="K5459" s="43"/>
      <c r="L5459" s="43"/>
    </row>
    <row r="5460" spans="1:12" x14ac:dyDescent="0.3">
      <c r="A5460" s="45">
        <v>44988</v>
      </c>
      <c r="B5460" s="399" t="s">
        <v>11772</v>
      </c>
      <c r="C5460" s="5" t="s">
        <v>68</v>
      </c>
      <c r="D5460" s="5" t="s">
        <v>3557</v>
      </c>
      <c r="E5460" s="43">
        <v>25000</v>
      </c>
      <c r="F5460" s="43"/>
      <c r="G5460" s="48">
        <f t="shared" si="141"/>
        <v>180381</v>
      </c>
      <c r="H5460" s="391" t="s">
        <v>9568</v>
      </c>
      <c r="I5460" s="43"/>
      <c r="J5460" s="43"/>
      <c r="K5460" s="43"/>
      <c r="L5460" s="43"/>
    </row>
    <row r="5461" spans="1:12" x14ac:dyDescent="0.3">
      <c r="A5461" s="45">
        <v>44989</v>
      </c>
      <c r="B5461" s="345" t="s">
        <v>12096</v>
      </c>
      <c r="C5461" s="5" t="s">
        <v>10703</v>
      </c>
      <c r="D5461" s="5" t="s">
        <v>10705</v>
      </c>
      <c r="E5461" s="43">
        <v>101500</v>
      </c>
      <c r="F5461" s="43"/>
      <c r="G5461" s="48">
        <f t="shared" si="141"/>
        <v>78881</v>
      </c>
      <c r="H5461" s="391" t="s">
        <v>9568</v>
      </c>
      <c r="I5461" s="43"/>
      <c r="J5461" s="43"/>
      <c r="K5461" s="43"/>
      <c r="L5461" s="43"/>
    </row>
    <row r="5462" spans="1:12" x14ac:dyDescent="0.3">
      <c r="A5462" s="45">
        <v>44989</v>
      </c>
      <c r="B5462" s="399" t="s">
        <v>1458</v>
      </c>
      <c r="C5462" s="5" t="s">
        <v>9873</v>
      </c>
      <c r="D5462" s="5" t="s">
        <v>8503</v>
      </c>
      <c r="E5462" s="43">
        <v>1500</v>
      </c>
      <c r="F5462" s="43"/>
      <c r="G5462" s="48">
        <f t="shared" si="141"/>
        <v>77381</v>
      </c>
      <c r="H5462" s="391" t="s">
        <v>9568</v>
      </c>
      <c r="I5462" s="43"/>
      <c r="J5462" s="43"/>
      <c r="K5462" s="43"/>
      <c r="L5462" s="43"/>
    </row>
    <row r="5463" spans="1:12" x14ac:dyDescent="0.3">
      <c r="A5463" s="45">
        <v>44991</v>
      </c>
      <c r="B5463" s="399"/>
      <c r="C5463" s="5" t="s">
        <v>4550</v>
      </c>
      <c r="D5463" s="5" t="s">
        <v>294</v>
      </c>
      <c r="E5463" s="43">
        <v>3200</v>
      </c>
      <c r="F5463" s="43"/>
      <c r="G5463" s="48">
        <f t="shared" si="141"/>
        <v>74181</v>
      </c>
      <c r="H5463" s="391" t="s">
        <v>9568</v>
      </c>
      <c r="I5463" s="43"/>
      <c r="J5463" s="43"/>
      <c r="K5463" s="43"/>
      <c r="L5463" s="43"/>
    </row>
    <row r="5464" spans="1:12" x14ac:dyDescent="0.3">
      <c r="A5464" s="45">
        <v>44991</v>
      </c>
      <c r="B5464" s="399" t="s">
        <v>9990</v>
      </c>
      <c r="C5464" s="5" t="s">
        <v>84</v>
      </c>
      <c r="D5464" s="5" t="s">
        <v>10706</v>
      </c>
      <c r="E5464" s="43">
        <v>2000</v>
      </c>
      <c r="F5464" s="43"/>
      <c r="G5464" s="48">
        <f t="shared" si="141"/>
        <v>72181</v>
      </c>
      <c r="H5464" s="391" t="s">
        <v>9568</v>
      </c>
      <c r="I5464" s="43"/>
      <c r="J5464" s="43"/>
      <c r="K5464" s="43"/>
      <c r="L5464" s="43"/>
    </row>
    <row r="5465" spans="1:12" x14ac:dyDescent="0.3">
      <c r="A5465" s="45">
        <v>44991</v>
      </c>
      <c r="B5465" s="586"/>
      <c r="C5465" s="486"/>
      <c r="D5465" s="497" t="s">
        <v>4106</v>
      </c>
      <c r="E5465" s="486"/>
      <c r="F5465" s="43">
        <v>500000</v>
      </c>
      <c r="G5465" s="48">
        <f t="shared" si="141"/>
        <v>572181</v>
      </c>
      <c r="H5465" s="391" t="s">
        <v>9568</v>
      </c>
      <c r="I5465" s="43"/>
      <c r="J5465" s="43"/>
      <c r="K5465" s="43"/>
      <c r="L5465" s="43"/>
    </row>
    <row r="5466" spans="1:12" x14ac:dyDescent="0.3">
      <c r="A5466" s="45">
        <v>44991</v>
      </c>
      <c r="B5466" s="345" t="s">
        <v>12096</v>
      </c>
      <c r="C5466" s="5" t="s">
        <v>8573</v>
      </c>
      <c r="D5466" s="5" t="s">
        <v>10708</v>
      </c>
      <c r="E5466" s="65">
        <v>19900</v>
      </c>
      <c r="F5466" s="43"/>
      <c r="G5466" s="48">
        <f t="shared" si="141"/>
        <v>552281</v>
      </c>
      <c r="H5466" s="391" t="s">
        <v>9568</v>
      </c>
      <c r="I5466" s="43"/>
      <c r="J5466" s="43"/>
      <c r="K5466" s="43"/>
      <c r="L5466" s="43"/>
    </row>
    <row r="5467" spans="1:12" x14ac:dyDescent="0.3">
      <c r="A5467" s="45">
        <v>44991</v>
      </c>
      <c r="B5467" s="399" t="s">
        <v>11772</v>
      </c>
      <c r="C5467" s="5" t="s">
        <v>10709</v>
      </c>
      <c r="D5467" s="5" t="s">
        <v>10710</v>
      </c>
      <c r="E5467" s="43">
        <v>72500</v>
      </c>
      <c r="F5467" s="43"/>
      <c r="G5467" s="48">
        <f t="shared" si="141"/>
        <v>479781</v>
      </c>
      <c r="H5467" s="391" t="s">
        <v>9568</v>
      </c>
      <c r="I5467" s="43"/>
      <c r="J5467" s="43"/>
      <c r="K5467" s="43"/>
      <c r="L5467" s="43"/>
    </row>
    <row r="5468" spans="1:12" x14ac:dyDescent="0.3">
      <c r="A5468" s="45">
        <v>44991</v>
      </c>
      <c r="B5468" s="409" t="s">
        <v>5933</v>
      </c>
      <c r="C5468" s="61" t="s">
        <v>1512</v>
      </c>
      <c r="D5468" s="61" t="s">
        <v>8636</v>
      </c>
      <c r="E5468" s="62">
        <v>149397</v>
      </c>
      <c r="F5468" s="43"/>
      <c r="G5468" s="48">
        <f t="shared" si="141"/>
        <v>330384</v>
      </c>
      <c r="H5468" s="391" t="s">
        <v>9568</v>
      </c>
      <c r="I5468" s="43"/>
      <c r="J5468" s="43"/>
      <c r="K5468" s="43"/>
      <c r="L5468" s="43"/>
    </row>
    <row r="5469" spans="1:12" x14ac:dyDescent="0.3">
      <c r="A5469" s="45">
        <v>44991</v>
      </c>
      <c r="B5469" s="399" t="s">
        <v>11772</v>
      </c>
      <c r="C5469" s="5" t="s">
        <v>9756</v>
      </c>
      <c r="D5469" s="5" t="s">
        <v>2013</v>
      </c>
      <c r="E5469" s="43">
        <v>1000</v>
      </c>
      <c r="F5469" s="43"/>
      <c r="G5469" s="48">
        <f t="shared" si="141"/>
        <v>329384</v>
      </c>
      <c r="H5469" s="391" t="s">
        <v>9568</v>
      </c>
      <c r="I5469" s="43"/>
      <c r="J5469" s="43"/>
      <c r="K5469" s="43"/>
      <c r="L5469" s="43"/>
    </row>
    <row r="5470" spans="1:12" x14ac:dyDescent="0.3">
      <c r="A5470" s="45">
        <v>44991</v>
      </c>
      <c r="B5470" s="399" t="s">
        <v>1458</v>
      </c>
      <c r="C5470" s="5" t="s">
        <v>9873</v>
      </c>
      <c r="D5470" s="5" t="s">
        <v>8503</v>
      </c>
      <c r="E5470" s="43">
        <v>3000</v>
      </c>
      <c r="F5470" s="43"/>
      <c r="G5470" s="48">
        <f t="shared" si="141"/>
        <v>326384</v>
      </c>
      <c r="H5470" s="391" t="s">
        <v>9568</v>
      </c>
      <c r="I5470" s="43"/>
      <c r="J5470" s="43"/>
      <c r="K5470" s="43"/>
      <c r="L5470" s="43"/>
    </row>
    <row r="5471" spans="1:12" x14ac:dyDescent="0.3">
      <c r="A5471" s="45">
        <v>44991</v>
      </c>
      <c r="B5471" s="409" t="s">
        <v>9925</v>
      </c>
      <c r="C5471" s="61" t="s">
        <v>1512</v>
      </c>
      <c r="D5471" s="61" t="s">
        <v>10712</v>
      </c>
      <c r="E5471" s="62">
        <v>117074</v>
      </c>
      <c r="F5471" s="43"/>
      <c r="G5471" s="48">
        <f t="shared" si="141"/>
        <v>209310</v>
      </c>
      <c r="H5471" s="391" t="s">
        <v>9568</v>
      </c>
      <c r="I5471" s="43"/>
      <c r="J5471" s="43"/>
      <c r="K5471" s="43"/>
      <c r="L5471" s="43"/>
    </row>
    <row r="5472" spans="1:12" x14ac:dyDescent="0.3">
      <c r="A5472" s="45">
        <v>44991</v>
      </c>
      <c r="B5472" s="399" t="s">
        <v>9990</v>
      </c>
      <c r="C5472" s="5" t="s">
        <v>84</v>
      </c>
      <c r="D5472" s="5" t="s">
        <v>10716</v>
      </c>
      <c r="E5472" s="43">
        <v>1000</v>
      </c>
      <c r="F5472" s="43"/>
      <c r="G5472" s="48">
        <f t="shared" si="141"/>
        <v>208310</v>
      </c>
      <c r="H5472" s="391" t="s">
        <v>9568</v>
      </c>
      <c r="I5472" s="43"/>
      <c r="J5472" s="43"/>
      <c r="K5472" s="43"/>
      <c r="L5472" s="43"/>
    </row>
    <row r="5473" spans="1:12" x14ac:dyDescent="0.3">
      <c r="A5473" s="45">
        <v>44992</v>
      </c>
      <c r="B5473" s="399"/>
      <c r="C5473" s="5" t="s">
        <v>541</v>
      </c>
      <c r="D5473" s="5" t="s">
        <v>294</v>
      </c>
      <c r="E5473" s="43">
        <v>1000</v>
      </c>
      <c r="F5473" s="43"/>
      <c r="G5473" s="48">
        <f t="shared" si="141"/>
        <v>207310</v>
      </c>
      <c r="H5473" s="391" t="s">
        <v>9568</v>
      </c>
      <c r="I5473" s="43"/>
      <c r="J5473" s="43"/>
      <c r="K5473" s="43"/>
      <c r="L5473" s="43"/>
    </row>
    <row r="5474" spans="1:12" x14ac:dyDescent="0.3">
      <c r="A5474" s="45">
        <v>44992</v>
      </c>
      <c r="B5474" s="399"/>
      <c r="C5474" s="5" t="s">
        <v>14</v>
      </c>
      <c r="D5474" s="5" t="s">
        <v>294</v>
      </c>
      <c r="E5474" s="43">
        <v>35000</v>
      </c>
      <c r="F5474" s="43"/>
      <c r="G5474" s="48">
        <f t="shared" si="141"/>
        <v>172310</v>
      </c>
      <c r="H5474" s="391" t="s">
        <v>9568</v>
      </c>
      <c r="I5474" s="43"/>
      <c r="J5474" s="43"/>
      <c r="K5474" s="43"/>
      <c r="L5474" s="43"/>
    </row>
    <row r="5475" spans="1:12" x14ac:dyDescent="0.3">
      <c r="A5475" s="45">
        <v>44992</v>
      </c>
      <c r="B5475" s="345" t="s">
        <v>12096</v>
      </c>
      <c r="C5475" s="5" t="s">
        <v>10718</v>
      </c>
      <c r="D5475" s="5" t="s">
        <v>10719</v>
      </c>
      <c r="E5475" s="43">
        <v>4000</v>
      </c>
      <c r="F5475" s="43"/>
      <c r="G5475" s="48">
        <f t="shared" si="141"/>
        <v>168310</v>
      </c>
      <c r="H5475" s="391" t="s">
        <v>9568</v>
      </c>
      <c r="I5475" s="43"/>
      <c r="J5475" s="43"/>
      <c r="K5475" s="43"/>
      <c r="L5475" s="43"/>
    </row>
    <row r="5476" spans="1:12" x14ac:dyDescent="0.3">
      <c r="A5476" s="45">
        <v>44992</v>
      </c>
      <c r="B5476" s="345" t="s">
        <v>12096</v>
      </c>
      <c r="C5476" s="5" t="s">
        <v>5793</v>
      </c>
      <c r="D5476" s="5" t="s">
        <v>10720</v>
      </c>
      <c r="E5476" s="43">
        <v>1500</v>
      </c>
      <c r="F5476" s="43"/>
      <c r="G5476" s="48">
        <f t="shared" si="141"/>
        <v>166810</v>
      </c>
      <c r="H5476" s="391" t="s">
        <v>9568</v>
      </c>
      <c r="I5476" s="43"/>
      <c r="J5476" s="43"/>
      <c r="K5476" s="43"/>
      <c r="L5476" s="43"/>
    </row>
    <row r="5477" spans="1:12" x14ac:dyDescent="0.3">
      <c r="A5477" s="45">
        <v>44992</v>
      </c>
      <c r="B5477" s="399" t="s">
        <v>5933</v>
      </c>
      <c r="C5477" s="5" t="s">
        <v>10721</v>
      </c>
      <c r="D5477" s="5" t="s">
        <v>10722</v>
      </c>
      <c r="E5477" s="43">
        <v>3000</v>
      </c>
      <c r="F5477" s="43"/>
      <c r="G5477" s="48">
        <f t="shared" si="141"/>
        <v>163810</v>
      </c>
      <c r="H5477" s="391" t="s">
        <v>9568</v>
      </c>
      <c r="I5477" s="43"/>
      <c r="J5477" s="43"/>
      <c r="K5477" s="43"/>
      <c r="L5477" s="43"/>
    </row>
    <row r="5478" spans="1:12" x14ac:dyDescent="0.3">
      <c r="A5478" s="45">
        <v>44992</v>
      </c>
      <c r="B5478" s="399" t="s">
        <v>11772</v>
      </c>
      <c r="C5478" s="5" t="s">
        <v>9756</v>
      </c>
      <c r="D5478" s="5" t="s">
        <v>2013</v>
      </c>
      <c r="E5478" s="43">
        <v>1000</v>
      </c>
      <c r="F5478" s="43"/>
      <c r="G5478" s="48">
        <f t="shared" si="141"/>
        <v>162810</v>
      </c>
      <c r="H5478" s="391" t="s">
        <v>9568</v>
      </c>
      <c r="I5478" s="43"/>
      <c r="J5478" s="43"/>
      <c r="K5478" s="43"/>
      <c r="L5478" s="43"/>
    </row>
    <row r="5479" spans="1:12" x14ac:dyDescent="0.3">
      <c r="A5479" s="45">
        <v>44992</v>
      </c>
      <c r="B5479" s="399" t="s">
        <v>12089</v>
      </c>
      <c r="C5479" s="5" t="s">
        <v>9756</v>
      </c>
      <c r="D5479" s="5" t="s">
        <v>10723</v>
      </c>
      <c r="E5479" s="43">
        <v>20000</v>
      </c>
      <c r="F5479" s="43"/>
      <c r="G5479" s="48">
        <f t="shared" si="141"/>
        <v>142810</v>
      </c>
      <c r="H5479" s="391" t="s">
        <v>9568</v>
      </c>
      <c r="I5479" s="43"/>
      <c r="J5479" s="43"/>
      <c r="K5479" s="43"/>
      <c r="L5479" s="43"/>
    </row>
    <row r="5480" spans="1:12" x14ac:dyDescent="0.3">
      <c r="A5480" s="45">
        <v>44992</v>
      </c>
      <c r="B5480" s="399" t="s">
        <v>1458</v>
      </c>
      <c r="C5480" s="5" t="s">
        <v>25</v>
      </c>
      <c r="D5480" s="5" t="s">
        <v>10724</v>
      </c>
      <c r="E5480" s="43">
        <v>880</v>
      </c>
      <c r="F5480" s="43"/>
      <c r="G5480" s="48">
        <f t="shared" si="141"/>
        <v>141930</v>
      </c>
      <c r="H5480" s="391" t="s">
        <v>9568</v>
      </c>
      <c r="I5480" s="43"/>
      <c r="J5480" s="43"/>
      <c r="K5480" s="43"/>
      <c r="L5480" s="5"/>
    </row>
    <row r="5481" spans="1:12" x14ac:dyDescent="0.3">
      <c r="A5481" s="45">
        <v>44992</v>
      </c>
      <c r="B5481" s="399" t="s">
        <v>5933</v>
      </c>
      <c r="C5481" s="5" t="s">
        <v>6931</v>
      </c>
      <c r="D5481" s="5" t="s">
        <v>2013</v>
      </c>
      <c r="E5481" s="43">
        <v>550</v>
      </c>
      <c r="F5481" s="43"/>
      <c r="G5481" s="48">
        <f t="shared" si="141"/>
        <v>141380</v>
      </c>
      <c r="H5481" s="391" t="s">
        <v>9568</v>
      </c>
      <c r="I5481" s="43"/>
      <c r="J5481" s="43"/>
      <c r="K5481" s="43"/>
      <c r="L5481" s="5"/>
    </row>
    <row r="5482" spans="1:12" x14ac:dyDescent="0.3">
      <c r="A5482" s="45">
        <v>44992</v>
      </c>
      <c r="B5482" s="586"/>
      <c r="C5482" s="486"/>
      <c r="D5482" s="497" t="s">
        <v>4106</v>
      </c>
      <c r="E5482" s="486"/>
      <c r="F5482" s="43">
        <v>500000</v>
      </c>
      <c r="G5482" s="48">
        <f t="shared" si="141"/>
        <v>641380</v>
      </c>
      <c r="H5482" s="391" t="s">
        <v>9568</v>
      </c>
      <c r="I5482" s="43"/>
      <c r="J5482" s="43"/>
      <c r="K5482" s="43"/>
      <c r="L5482" s="43"/>
    </row>
    <row r="5483" spans="1:12" x14ac:dyDescent="0.3">
      <c r="A5483" s="45">
        <v>44992</v>
      </c>
      <c r="B5483" s="399" t="s">
        <v>6481</v>
      </c>
      <c r="C5483" s="5" t="s">
        <v>7330</v>
      </c>
      <c r="D5483" s="5" t="s">
        <v>2013</v>
      </c>
      <c r="E5483" s="43">
        <v>250</v>
      </c>
      <c r="F5483" s="43"/>
      <c r="G5483" s="48">
        <f t="shared" si="141"/>
        <v>641130</v>
      </c>
      <c r="H5483" s="391" t="s">
        <v>9568</v>
      </c>
      <c r="I5483" s="43"/>
      <c r="J5483" s="43"/>
      <c r="K5483" s="43"/>
      <c r="L5483" s="5"/>
    </row>
    <row r="5484" spans="1:12" x14ac:dyDescent="0.3">
      <c r="A5484" s="45">
        <v>44992</v>
      </c>
      <c r="B5484" s="399"/>
      <c r="C5484" s="5" t="s">
        <v>18</v>
      </c>
      <c r="D5484" s="5" t="s">
        <v>10726</v>
      </c>
      <c r="E5484" s="43">
        <v>12600</v>
      </c>
      <c r="F5484" s="43"/>
      <c r="G5484" s="48">
        <f t="shared" si="141"/>
        <v>628530</v>
      </c>
      <c r="H5484" s="391" t="s">
        <v>9568</v>
      </c>
      <c r="I5484" s="43"/>
      <c r="J5484" s="43"/>
      <c r="K5484" s="43"/>
      <c r="L5484" s="5"/>
    </row>
    <row r="5485" spans="1:12" x14ac:dyDescent="0.3">
      <c r="A5485" s="45">
        <v>44992</v>
      </c>
      <c r="B5485" s="409"/>
      <c r="C5485" s="61" t="s">
        <v>1512</v>
      </c>
      <c r="D5485" s="315" t="s">
        <v>10727</v>
      </c>
      <c r="E5485" s="62">
        <f>199942-36250</f>
        <v>163692</v>
      </c>
      <c r="F5485" s="43"/>
      <c r="G5485" s="48">
        <f t="shared" si="141"/>
        <v>464838</v>
      </c>
      <c r="H5485" s="391" t="s">
        <v>9568</v>
      </c>
      <c r="I5485" s="43"/>
      <c r="J5485" s="43"/>
      <c r="K5485" s="43"/>
      <c r="L5485" s="5"/>
    </row>
    <row r="5486" spans="1:12" x14ac:dyDescent="0.3">
      <c r="A5486" s="45">
        <v>44992</v>
      </c>
      <c r="B5486" s="409"/>
      <c r="C5486" s="61" t="s">
        <v>1512</v>
      </c>
      <c r="D5486" s="61" t="s">
        <v>9703</v>
      </c>
      <c r="E5486" s="62">
        <v>65000</v>
      </c>
      <c r="F5486" s="43"/>
      <c r="G5486" s="48">
        <f t="shared" si="141"/>
        <v>399838</v>
      </c>
      <c r="H5486" s="391" t="s">
        <v>9568</v>
      </c>
      <c r="I5486" s="43"/>
      <c r="J5486" s="43"/>
      <c r="K5486" s="43"/>
      <c r="L5486" s="5"/>
    </row>
    <row r="5487" spans="1:12" x14ac:dyDescent="0.3">
      <c r="A5487" s="45">
        <v>44992</v>
      </c>
      <c r="B5487" s="409"/>
      <c r="C5487" s="61" t="s">
        <v>1512</v>
      </c>
      <c r="D5487" s="61" t="s">
        <v>10256</v>
      </c>
      <c r="E5487" s="62">
        <v>28000</v>
      </c>
      <c r="F5487" s="43"/>
      <c r="G5487" s="48">
        <f t="shared" si="141"/>
        <v>371838</v>
      </c>
      <c r="H5487" s="391" t="s">
        <v>9568</v>
      </c>
      <c r="I5487" s="43"/>
      <c r="J5487" s="43"/>
      <c r="K5487" s="43"/>
      <c r="L5487" s="5"/>
    </row>
    <row r="5488" spans="1:12" x14ac:dyDescent="0.3">
      <c r="A5488" s="45">
        <v>44992</v>
      </c>
      <c r="B5488" s="409"/>
      <c r="C5488" s="61" t="s">
        <v>1512</v>
      </c>
      <c r="D5488" s="61" t="s">
        <v>10725</v>
      </c>
      <c r="E5488" s="62">
        <v>280884</v>
      </c>
      <c r="F5488" s="43"/>
      <c r="G5488" s="48">
        <f t="shared" si="141"/>
        <v>90954</v>
      </c>
      <c r="H5488" s="391" t="s">
        <v>9568</v>
      </c>
      <c r="I5488" s="43"/>
      <c r="J5488" s="43"/>
      <c r="K5488" s="43"/>
      <c r="L5488" s="5"/>
    </row>
    <row r="5489" spans="1:12" x14ac:dyDescent="0.3">
      <c r="A5489" s="45">
        <v>44992</v>
      </c>
      <c r="B5489" s="409"/>
      <c r="C5489" s="61" t="s">
        <v>1512</v>
      </c>
      <c r="D5489" s="61" t="s">
        <v>6952</v>
      </c>
      <c r="E5489" s="62">
        <v>36250</v>
      </c>
      <c r="F5489" s="43"/>
      <c r="G5489" s="48">
        <f t="shared" si="141"/>
        <v>54704</v>
      </c>
      <c r="H5489" s="391" t="s">
        <v>9568</v>
      </c>
      <c r="I5489" s="43"/>
      <c r="J5489" s="43"/>
      <c r="K5489" s="43"/>
      <c r="L5489" s="5"/>
    </row>
    <row r="5490" spans="1:12" x14ac:dyDescent="0.3">
      <c r="A5490" s="45">
        <v>44992</v>
      </c>
      <c r="B5490" s="399" t="s">
        <v>12089</v>
      </c>
      <c r="C5490" s="5" t="s">
        <v>10001</v>
      </c>
      <c r="D5490" s="5" t="s">
        <v>10741</v>
      </c>
      <c r="E5490" s="43">
        <v>1000</v>
      </c>
      <c r="F5490" s="43"/>
      <c r="G5490" s="48">
        <f t="shared" si="141"/>
        <v>53704</v>
      </c>
      <c r="H5490" s="391" t="s">
        <v>9568</v>
      </c>
      <c r="I5490" s="43"/>
      <c r="J5490" s="43"/>
      <c r="K5490" s="43"/>
      <c r="L5490" s="5"/>
    </row>
    <row r="5491" spans="1:12" x14ac:dyDescent="0.3">
      <c r="A5491" s="45">
        <v>44992</v>
      </c>
      <c r="B5491" s="399" t="s">
        <v>118</v>
      </c>
      <c r="C5491" s="5" t="s">
        <v>9756</v>
      </c>
      <c r="D5491" s="5" t="s">
        <v>10115</v>
      </c>
      <c r="E5491" s="43">
        <v>1000</v>
      </c>
      <c r="F5491" s="43"/>
      <c r="G5491" s="48">
        <f t="shared" si="141"/>
        <v>52704</v>
      </c>
      <c r="H5491" s="391" t="s">
        <v>9568</v>
      </c>
      <c r="I5491" s="43"/>
      <c r="J5491" s="43"/>
      <c r="K5491" s="43"/>
      <c r="L5491" s="5"/>
    </row>
    <row r="5492" spans="1:12" x14ac:dyDescent="0.3">
      <c r="A5492" s="45">
        <v>44992</v>
      </c>
      <c r="B5492" s="399" t="s">
        <v>1458</v>
      </c>
      <c r="C5492" s="5" t="s">
        <v>9873</v>
      </c>
      <c r="D5492" s="5" t="s">
        <v>8503</v>
      </c>
      <c r="E5492" s="43">
        <v>2500</v>
      </c>
      <c r="F5492" s="43"/>
      <c r="G5492" s="48">
        <f t="shared" si="141"/>
        <v>50204</v>
      </c>
      <c r="H5492" s="391" t="s">
        <v>9568</v>
      </c>
      <c r="I5492" s="43"/>
      <c r="J5492" s="43"/>
      <c r="K5492" s="43"/>
      <c r="L5492" s="5"/>
    </row>
    <row r="5493" spans="1:12" x14ac:dyDescent="0.3">
      <c r="A5493" s="45">
        <v>44993</v>
      </c>
      <c r="B5493" s="399" t="s">
        <v>118</v>
      </c>
      <c r="C5493" s="5" t="s">
        <v>84</v>
      </c>
      <c r="D5493" s="61" t="s">
        <v>10780</v>
      </c>
      <c r="E5493" s="43">
        <v>8000</v>
      </c>
      <c r="F5493" s="43"/>
      <c r="G5493" s="48">
        <f t="shared" si="141"/>
        <v>42204</v>
      </c>
      <c r="H5493" s="391" t="s">
        <v>9568</v>
      </c>
      <c r="I5493" s="43"/>
      <c r="J5493" s="43"/>
      <c r="K5493" s="43"/>
      <c r="L5493" s="5"/>
    </row>
    <row r="5494" spans="1:12" x14ac:dyDescent="0.3">
      <c r="A5494" s="45">
        <v>44993</v>
      </c>
      <c r="B5494" s="399" t="s">
        <v>1458</v>
      </c>
      <c r="C5494" s="5" t="s">
        <v>9873</v>
      </c>
      <c r="D5494" s="5" t="s">
        <v>10739</v>
      </c>
      <c r="E5494" s="43">
        <v>4500</v>
      </c>
      <c r="F5494" s="43"/>
      <c r="G5494" s="48">
        <f t="shared" ref="G5494:G5557" si="142">G5493+F5494-E5494</f>
        <v>37704</v>
      </c>
      <c r="H5494" s="391" t="s">
        <v>9568</v>
      </c>
      <c r="I5494" s="43"/>
      <c r="J5494" s="43"/>
      <c r="K5494" s="43"/>
      <c r="L5494" s="5"/>
    </row>
    <row r="5495" spans="1:12" x14ac:dyDescent="0.3">
      <c r="A5495" s="45">
        <v>44993</v>
      </c>
      <c r="B5495" s="399" t="s">
        <v>6481</v>
      </c>
      <c r="C5495" s="5" t="s">
        <v>4550</v>
      </c>
      <c r="D5495" s="5" t="s">
        <v>10734</v>
      </c>
      <c r="E5495" s="43">
        <v>4000</v>
      </c>
      <c r="F5495" s="43"/>
      <c r="G5495" s="48">
        <f t="shared" si="142"/>
        <v>33704</v>
      </c>
      <c r="H5495" s="391" t="s">
        <v>9568</v>
      </c>
      <c r="I5495" s="43"/>
      <c r="J5495" s="43"/>
      <c r="K5495" s="43"/>
      <c r="L5495" s="5"/>
    </row>
    <row r="5496" spans="1:12" x14ac:dyDescent="0.3">
      <c r="A5496" s="45">
        <v>44994</v>
      </c>
      <c r="B5496" s="399" t="s">
        <v>10112</v>
      </c>
      <c r="C5496" s="5" t="s">
        <v>5793</v>
      </c>
      <c r="D5496" s="5" t="s">
        <v>10735</v>
      </c>
      <c r="E5496" s="43">
        <v>900</v>
      </c>
      <c r="F5496" s="43"/>
      <c r="G5496" s="48">
        <f t="shared" si="142"/>
        <v>32804</v>
      </c>
      <c r="H5496" s="391" t="s">
        <v>9568</v>
      </c>
      <c r="I5496" s="43"/>
      <c r="J5496" s="43"/>
      <c r="K5496" s="43"/>
      <c r="L5496" s="5"/>
    </row>
    <row r="5497" spans="1:12" x14ac:dyDescent="0.3">
      <c r="A5497" s="45">
        <v>44994</v>
      </c>
      <c r="B5497" s="399" t="s">
        <v>12089</v>
      </c>
      <c r="C5497" s="5" t="s">
        <v>5162</v>
      </c>
      <c r="D5497" s="5" t="s">
        <v>6932</v>
      </c>
      <c r="E5497" s="43">
        <v>500</v>
      </c>
      <c r="F5497" s="43"/>
      <c r="G5497" s="48">
        <f t="shared" si="142"/>
        <v>32304</v>
      </c>
      <c r="H5497" s="391" t="s">
        <v>9568</v>
      </c>
      <c r="I5497" s="43"/>
      <c r="J5497" s="43"/>
      <c r="K5497" s="43"/>
      <c r="L5497" s="5"/>
    </row>
    <row r="5498" spans="1:12" x14ac:dyDescent="0.3">
      <c r="A5498" s="45">
        <v>44994</v>
      </c>
      <c r="B5498" s="586"/>
      <c r="C5498" s="486"/>
      <c r="D5498" s="497" t="s">
        <v>4106</v>
      </c>
      <c r="E5498" s="486"/>
      <c r="F5498" s="43">
        <v>350000</v>
      </c>
      <c r="G5498" s="48">
        <f t="shared" si="142"/>
        <v>382304</v>
      </c>
      <c r="H5498" s="391" t="s">
        <v>9568</v>
      </c>
      <c r="I5498" s="43"/>
      <c r="J5498" s="43"/>
      <c r="K5498" s="43"/>
      <c r="L5498" s="5"/>
    </row>
    <row r="5499" spans="1:12" x14ac:dyDescent="0.3">
      <c r="A5499" s="45">
        <v>44994</v>
      </c>
      <c r="B5499" s="399" t="s">
        <v>6481</v>
      </c>
      <c r="C5499" s="5" t="s">
        <v>4550</v>
      </c>
      <c r="D5499" s="5" t="s">
        <v>10736</v>
      </c>
      <c r="E5499" s="43">
        <v>20000</v>
      </c>
      <c r="F5499" s="43"/>
      <c r="G5499" s="48">
        <f t="shared" si="142"/>
        <v>362304</v>
      </c>
      <c r="H5499" s="391" t="s">
        <v>9568</v>
      </c>
      <c r="I5499" s="43"/>
      <c r="J5499" s="43"/>
      <c r="K5499" s="43"/>
      <c r="L5499" s="5"/>
    </row>
    <row r="5500" spans="1:12" x14ac:dyDescent="0.3">
      <c r="A5500" s="45">
        <v>44994</v>
      </c>
      <c r="B5500" s="409"/>
      <c r="C5500" s="61" t="s">
        <v>1512</v>
      </c>
      <c r="D5500" s="61" t="s">
        <v>10577</v>
      </c>
      <c r="E5500" s="62">
        <v>106604</v>
      </c>
      <c r="F5500" s="43"/>
      <c r="G5500" s="48">
        <f t="shared" si="142"/>
        <v>255700</v>
      </c>
      <c r="H5500" s="391" t="s">
        <v>9568</v>
      </c>
      <c r="I5500" s="43"/>
      <c r="J5500" s="43"/>
      <c r="K5500" s="43"/>
      <c r="L5500" s="5"/>
    </row>
    <row r="5501" spans="1:12" x14ac:dyDescent="0.3">
      <c r="A5501" s="45">
        <v>44994</v>
      </c>
      <c r="B5501" s="409"/>
      <c r="C5501" s="61" t="s">
        <v>1512</v>
      </c>
      <c r="D5501" s="61" t="s">
        <v>9175</v>
      </c>
      <c r="E5501" s="62">
        <v>86384</v>
      </c>
      <c r="F5501" s="43"/>
      <c r="G5501" s="48">
        <f t="shared" si="142"/>
        <v>169316</v>
      </c>
      <c r="H5501" s="391" t="s">
        <v>9568</v>
      </c>
      <c r="I5501" s="43"/>
      <c r="J5501" s="43"/>
      <c r="K5501" s="43"/>
      <c r="L5501" s="5"/>
    </row>
    <row r="5502" spans="1:12" x14ac:dyDescent="0.3">
      <c r="A5502" s="45">
        <v>44994</v>
      </c>
      <c r="B5502" s="399" t="s">
        <v>11772</v>
      </c>
      <c r="C5502" s="5" t="s">
        <v>9801</v>
      </c>
      <c r="D5502" s="5" t="s">
        <v>9801</v>
      </c>
      <c r="E5502" s="43">
        <v>2000</v>
      </c>
      <c r="F5502" s="43"/>
      <c r="G5502" s="48">
        <f t="shared" si="142"/>
        <v>167316</v>
      </c>
      <c r="H5502" s="391" t="s">
        <v>9568</v>
      </c>
      <c r="I5502" s="43"/>
      <c r="J5502" s="43"/>
      <c r="K5502" s="43"/>
      <c r="L5502" s="5"/>
    </row>
    <row r="5503" spans="1:12" x14ac:dyDescent="0.3">
      <c r="A5503" s="45">
        <v>44994</v>
      </c>
      <c r="B5503" s="399" t="s">
        <v>12089</v>
      </c>
      <c r="C5503" s="5" t="s">
        <v>5793</v>
      </c>
      <c r="D5503" s="5" t="s">
        <v>10737</v>
      </c>
      <c r="E5503" s="43">
        <v>300</v>
      </c>
      <c r="F5503" s="43"/>
      <c r="G5503" s="48">
        <f t="shared" si="142"/>
        <v>167016</v>
      </c>
      <c r="H5503" s="391" t="s">
        <v>9568</v>
      </c>
      <c r="I5503" s="43"/>
      <c r="J5503" s="43"/>
      <c r="K5503" s="43"/>
      <c r="L5503" s="5"/>
    </row>
    <row r="5504" spans="1:12" x14ac:dyDescent="0.3">
      <c r="A5504" s="45">
        <v>44994</v>
      </c>
      <c r="B5504" s="399" t="s">
        <v>12089</v>
      </c>
      <c r="C5504" s="5" t="s">
        <v>9756</v>
      </c>
      <c r="D5504" s="5" t="s">
        <v>10738</v>
      </c>
      <c r="E5504" s="43">
        <v>5500</v>
      </c>
      <c r="F5504" s="43"/>
      <c r="G5504" s="48">
        <f t="shared" si="142"/>
        <v>161516</v>
      </c>
      <c r="H5504" s="391" t="s">
        <v>9568</v>
      </c>
      <c r="I5504" s="43"/>
      <c r="J5504" s="43"/>
      <c r="K5504" s="43"/>
      <c r="L5504" s="5"/>
    </row>
    <row r="5505" spans="1:12" x14ac:dyDescent="0.3">
      <c r="A5505" s="45">
        <v>44994</v>
      </c>
      <c r="B5505" s="409"/>
      <c r="C5505" s="61" t="s">
        <v>1512</v>
      </c>
      <c r="D5505" s="61" t="s">
        <v>10739</v>
      </c>
      <c r="E5505" s="62">
        <v>98000</v>
      </c>
      <c r="F5505" s="43"/>
      <c r="G5505" s="48">
        <f t="shared" si="142"/>
        <v>63516</v>
      </c>
      <c r="H5505" s="391" t="s">
        <v>9568</v>
      </c>
      <c r="I5505" s="43"/>
      <c r="J5505" s="43"/>
      <c r="K5505" s="43"/>
      <c r="L5505" s="5"/>
    </row>
    <row r="5506" spans="1:12" x14ac:dyDescent="0.3">
      <c r="A5506" s="45">
        <v>44994</v>
      </c>
      <c r="B5506" s="399" t="s">
        <v>9925</v>
      </c>
      <c r="C5506" s="5" t="s">
        <v>113</v>
      </c>
      <c r="D5506" s="5" t="s">
        <v>10740</v>
      </c>
      <c r="E5506" s="43">
        <v>1300</v>
      </c>
      <c r="F5506" s="43"/>
      <c r="G5506" s="48">
        <f t="shared" si="142"/>
        <v>62216</v>
      </c>
      <c r="H5506" s="391" t="s">
        <v>9568</v>
      </c>
      <c r="I5506" s="43"/>
      <c r="J5506" s="43"/>
      <c r="K5506" s="43"/>
      <c r="L5506" s="5"/>
    </row>
    <row r="5507" spans="1:12" x14ac:dyDescent="0.3">
      <c r="A5507" s="45">
        <v>44995</v>
      </c>
      <c r="B5507" s="399"/>
      <c r="C5507" s="5" t="s">
        <v>14</v>
      </c>
      <c r="D5507" s="5" t="s">
        <v>640</v>
      </c>
      <c r="E5507" s="43">
        <v>1000</v>
      </c>
      <c r="F5507" s="43"/>
      <c r="G5507" s="48">
        <f t="shared" si="142"/>
        <v>61216</v>
      </c>
      <c r="H5507" s="391" t="s">
        <v>9568</v>
      </c>
      <c r="I5507" s="43"/>
      <c r="J5507" s="43"/>
      <c r="K5507" s="43"/>
      <c r="L5507" s="5"/>
    </row>
    <row r="5508" spans="1:12" x14ac:dyDescent="0.3">
      <c r="A5508" s="45">
        <v>44995</v>
      </c>
      <c r="B5508" s="399" t="s">
        <v>118</v>
      </c>
      <c r="C5508" s="5" t="s">
        <v>9555</v>
      </c>
      <c r="D5508" s="5" t="s">
        <v>40</v>
      </c>
      <c r="E5508" s="43">
        <v>500</v>
      </c>
      <c r="F5508" s="43"/>
      <c r="G5508" s="48">
        <f t="shared" si="142"/>
        <v>60716</v>
      </c>
      <c r="H5508" s="391" t="s">
        <v>9568</v>
      </c>
      <c r="I5508" s="43"/>
      <c r="J5508" s="43"/>
      <c r="K5508" s="43"/>
      <c r="L5508" s="5"/>
    </row>
    <row r="5509" spans="1:12" x14ac:dyDescent="0.3">
      <c r="A5509" s="45">
        <v>44996</v>
      </c>
      <c r="B5509" s="399" t="s">
        <v>1458</v>
      </c>
      <c r="C5509" s="5" t="s">
        <v>9873</v>
      </c>
      <c r="D5509" s="5" t="s">
        <v>8503</v>
      </c>
      <c r="E5509" s="43">
        <v>3500</v>
      </c>
      <c r="F5509" s="43"/>
      <c r="G5509" s="48">
        <f t="shared" si="142"/>
        <v>57216</v>
      </c>
      <c r="H5509" s="391" t="s">
        <v>9568</v>
      </c>
      <c r="I5509" s="43"/>
      <c r="J5509" s="43"/>
      <c r="K5509" s="43"/>
      <c r="L5509" s="5"/>
    </row>
    <row r="5510" spans="1:12" x14ac:dyDescent="0.3">
      <c r="A5510" s="45">
        <v>44996</v>
      </c>
      <c r="B5510" s="399" t="s">
        <v>9860</v>
      </c>
      <c r="C5510" s="5" t="s">
        <v>9044</v>
      </c>
      <c r="D5510" s="5" t="s">
        <v>10746</v>
      </c>
      <c r="E5510" s="43">
        <v>1600</v>
      </c>
      <c r="F5510" s="43"/>
      <c r="G5510" s="48">
        <f t="shared" si="142"/>
        <v>55616</v>
      </c>
      <c r="H5510" s="391" t="s">
        <v>9568</v>
      </c>
      <c r="I5510" s="43"/>
      <c r="J5510" s="43"/>
      <c r="K5510" s="43"/>
      <c r="L5510" s="5"/>
    </row>
    <row r="5511" spans="1:12" x14ac:dyDescent="0.3">
      <c r="A5511" s="45">
        <v>44996</v>
      </c>
      <c r="B5511" s="399" t="s">
        <v>118</v>
      </c>
      <c r="C5511" s="5" t="s">
        <v>64</v>
      </c>
      <c r="D5511" s="5" t="s">
        <v>10747</v>
      </c>
      <c r="E5511" s="43">
        <v>1000</v>
      </c>
      <c r="F5511" s="43"/>
      <c r="G5511" s="48">
        <f t="shared" si="142"/>
        <v>54616</v>
      </c>
      <c r="H5511" s="391" t="s">
        <v>9568</v>
      </c>
      <c r="I5511" s="43"/>
      <c r="J5511" s="43"/>
      <c r="K5511" s="43"/>
      <c r="L5511" s="5"/>
    </row>
    <row r="5512" spans="1:12" x14ac:dyDescent="0.3">
      <c r="A5512" s="45">
        <v>44996</v>
      </c>
      <c r="B5512" s="399" t="s">
        <v>12089</v>
      </c>
      <c r="C5512" s="5" t="s">
        <v>10001</v>
      </c>
      <c r="D5512" s="5" t="s">
        <v>10749</v>
      </c>
      <c r="E5512" s="43">
        <v>1000</v>
      </c>
      <c r="F5512" s="43"/>
      <c r="G5512" s="48">
        <f t="shared" si="142"/>
        <v>53616</v>
      </c>
      <c r="H5512" s="391" t="s">
        <v>9568</v>
      </c>
      <c r="I5512" s="43"/>
      <c r="J5512" s="43"/>
      <c r="K5512" s="43"/>
      <c r="L5512" s="5"/>
    </row>
    <row r="5513" spans="1:12" x14ac:dyDescent="0.3">
      <c r="A5513" s="45">
        <v>44998</v>
      </c>
      <c r="B5513" s="399" t="s">
        <v>10035</v>
      </c>
      <c r="C5513" s="5" t="s">
        <v>10684</v>
      </c>
      <c r="D5513" s="5" t="s">
        <v>10320</v>
      </c>
      <c r="E5513" s="43">
        <v>7000</v>
      </c>
      <c r="F5513" s="43"/>
      <c r="G5513" s="48">
        <f t="shared" si="142"/>
        <v>46616</v>
      </c>
      <c r="H5513" s="391" t="s">
        <v>9568</v>
      </c>
      <c r="I5513" s="43"/>
      <c r="J5513" s="43"/>
      <c r="K5513" s="43"/>
      <c r="L5513" s="5"/>
    </row>
    <row r="5514" spans="1:12" x14ac:dyDescent="0.3">
      <c r="A5514" s="45">
        <v>44998</v>
      </c>
      <c r="B5514" s="399" t="s">
        <v>10035</v>
      </c>
      <c r="C5514" s="5" t="s">
        <v>1073</v>
      </c>
      <c r="D5514" s="5" t="s">
        <v>10752</v>
      </c>
      <c r="E5514" s="43">
        <v>500</v>
      </c>
      <c r="F5514" s="43"/>
      <c r="G5514" s="48">
        <f t="shared" si="142"/>
        <v>46116</v>
      </c>
      <c r="H5514" s="391" t="s">
        <v>9568</v>
      </c>
      <c r="I5514" s="43"/>
      <c r="J5514" s="43"/>
      <c r="K5514" s="43"/>
      <c r="L5514" s="5"/>
    </row>
    <row r="5515" spans="1:12" x14ac:dyDescent="0.3">
      <c r="A5515" s="45">
        <v>44998</v>
      </c>
      <c r="B5515" s="399"/>
      <c r="C5515" s="5" t="s">
        <v>4550</v>
      </c>
      <c r="D5515" s="5" t="s">
        <v>3910</v>
      </c>
      <c r="E5515" s="43">
        <v>5000</v>
      </c>
      <c r="F5515" s="43"/>
      <c r="G5515" s="48">
        <f t="shared" si="142"/>
        <v>41116</v>
      </c>
      <c r="H5515" s="391" t="s">
        <v>9568</v>
      </c>
      <c r="I5515" s="43"/>
      <c r="J5515" s="43"/>
      <c r="K5515" s="43"/>
      <c r="L5515" s="5"/>
    </row>
    <row r="5516" spans="1:12" x14ac:dyDescent="0.3">
      <c r="A5516" s="45">
        <v>44998</v>
      </c>
      <c r="B5516" s="399" t="s">
        <v>9990</v>
      </c>
      <c r="C5516" s="5" t="s">
        <v>10753</v>
      </c>
      <c r="D5516" s="5" t="s">
        <v>10754</v>
      </c>
      <c r="E5516" s="43">
        <v>25000</v>
      </c>
      <c r="F5516" s="43"/>
      <c r="G5516" s="48">
        <f t="shared" si="142"/>
        <v>16116</v>
      </c>
      <c r="H5516" s="391" t="s">
        <v>9568</v>
      </c>
      <c r="I5516" s="43"/>
      <c r="J5516" s="43"/>
      <c r="K5516" s="43"/>
      <c r="L5516" s="5"/>
    </row>
    <row r="5517" spans="1:12" x14ac:dyDescent="0.3">
      <c r="A5517" s="45">
        <v>44998</v>
      </c>
      <c r="B5517" s="399" t="s">
        <v>12089</v>
      </c>
      <c r="C5517" s="5" t="s">
        <v>9756</v>
      </c>
      <c r="D5517" s="5" t="s">
        <v>2013</v>
      </c>
      <c r="E5517" s="43">
        <v>1000</v>
      </c>
      <c r="F5517" s="43"/>
      <c r="G5517" s="48">
        <f t="shared" si="142"/>
        <v>15116</v>
      </c>
      <c r="H5517" s="391" t="s">
        <v>9568</v>
      </c>
      <c r="I5517" s="43"/>
      <c r="J5517" s="43"/>
      <c r="K5517" s="43"/>
      <c r="L5517" s="5"/>
    </row>
    <row r="5518" spans="1:12" x14ac:dyDescent="0.3">
      <c r="A5518" s="45">
        <v>44998</v>
      </c>
      <c r="B5518" s="409"/>
      <c r="C5518" s="61" t="s">
        <v>1512</v>
      </c>
      <c r="D5518" s="61" t="s">
        <v>10759</v>
      </c>
      <c r="E5518" s="62">
        <v>15000</v>
      </c>
      <c r="F5518" s="43"/>
      <c r="G5518" s="48">
        <f t="shared" si="142"/>
        <v>116</v>
      </c>
      <c r="H5518" s="391" t="s">
        <v>9568</v>
      </c>
      <c r="I5518" s="43"/>
      <c r="J5518" s="43"/>
      <c r="K5518" s="43"/>
      <c r="L5518" s="5"/>
    </row>
    <row r="5519" spans="1:12" x14ac:dyDescent="0.3">
      <c r="A5519" s="45">
        <v>45000</v>
      </c>
      <c r="B5519" s="586"/>
      <c r="C5519" s="486"/>
      <c r="D5519" s="497" t="s">
        <v>4364</v>
      </c>
      <c r="E5519" s="486"/>
      <c r="F5519" s="43">
        <v>10000</v>
      </c>
      <c r="G5519" s="48">
        <f t="shared" si="142"/>
        <v>10116</v>
      </c>
      <c r="H5519" s="391" t="s">
        <v>9568</v>
      </c>
      <c r="I5519" s="43"/>
      <c r="J5519" s="43"/>
      <c r="K5519" s="43"/>
      <c r="L5519" s="5"/>
    </row>
    <row r="5520" spans="1:12" x14ac:dyDescent="0.3">
      <c r="A5520" s="45">
        <v>45000</v>
      </c>
      <c r="B5520" s="399"/>
      <c r="C5520" s="5" t="s">
        <v>9873</v>
      </c>
      <c r="D5520" s="5" t="s">
        <v>294</v>
      </c>
      <c r="E5520" s="43">
        <v>4500</v>
      </c>
      <c r="F5520" s="43"/>
      <c r="G5520" s="48">
        <f t="shared" si="142"/>
        <v>5616</v>
      </c>
      <c r="H5520" s="391" t="s">
        <v>9568</v>
      </c>
      <c r="I5520" s="43"/>
      <c r="J5520" s="43"/>
      <c r="K5520" s="43"/>
      <c r="L5520" s="5"/>
    </row>
    <row r="5521" spans="1:12" x14ac:dyDescent="0.3">
      <c r="A5521" s="45">
        <v>45000</v>
      </c>
      <c r="B5521" s="345" t="s">
        <v>12096</v>
      </c>
      <c r="C5521" s="5" t="s">
        <v>9756</v>
      </c>
      <c r="D5521" s="5" t="s">
        <v>10778</v>
      </c>
      <c r="E5521" s="43">
        <v>5100</v>
      </c>
      <c r="F5521" s="43"/>
      <c r="G5521" s="48">
        <f t="shared" si="142"/>
        <v>516</v>
      </c>
      <c r="H5521" s="391" t="s">
        <v>9568</v>
      </c>
      <c r="I5521" s="43"/>
      <c r="J5521" s="43"/>
      <c r="K5521" s="43"/>
      <c r="L5521" s="5"/>
    </row>
    <row r="5522" spans="1:12" x14ac:dyDescent="0.3">
      <c r="A5522" s="45">
        <v>45001</v>
      </c>
      <c r="B5522" s="586"/>
      <c r="C5522" s="486"/>
      <c r="D5522" s="497" t="s">
        <v>10763</v>
      </c>
      <c r="E5522" s="486"/>
      <c r="F5522" s="43">
        <v>900000</v>
      </c>
      <c r="G5522" s="48">
        <f t="shared" si="142"/>
        <v>900516</v>
      </c>
      <c r="H5522" s="391" t="s">
        <v>9568</v>
      </c>
      <c r="I5522" s="43"/>
      <c r="J5522" s="43"/>
      <c r="K5522" s="43"/>
      <c r="L5522" s="5"/>
    </row>
    <row r="5523" spans="1:12" x14ac:dyDescent="0.3">
      <c r="A5523" s="45">
        <v>45001</v>
      </c>
      <c r="B5523" s="399" t="s">
        <v>10615</v>
      </c>
      <c r="C5523" s="5" t="s">
        <v>7099</v>
      </c>
      <c r="D5523" s="5" t="s">
        <v>5429</v>
      </c>
      <c r="E5523" s="43">
        <v>4000</v>
      </c>
      <c r="F5523" s="43"/>
      <c r="G5523" s="48">
        <f t="shared" si="142"/>
        <v>896516</v>
      </c>
      <c r="H5523" s="391" t="s">
        <v>9568</v>
      </c>
      <c r="I5523" s="43"/>
      <c r="J5523" s="43"/>
      <c r="K5523" s="43"/>
      <c r="L5523" s="5"/>
    </row>
    <row r="5524" spans="1:12" x14ac:dyDescent="0.3">
      <c r="A5524" s="45">
        <v>45001</v>
      </c>
      <c r="B5524" s="399" t="s">
        <v>12089</v>
      </c>
      <c r="C5524" s="5" t="s">
        <v>5793</v>
      </c>
      <c r="D5524" s="5" t="s">
        <v>10764</v>
      </c>
      <c r="E5524" s="43">
        <v>10000</v>
      </c>
      <c r="F5524" s="43"/>
      <c r="G5524" s="48">
        <f t="shared" si="142"/>
        <v>886516</v>
      </c>
      <c r="H5524" s="391" t="s">
        <v>9568</v>
      </c>
      <c r="I5524" s="43"/>
      <c r="J5524" s="43"/>
      <c r="K5524" s="43"/>
      <c r="L5524" s="5"/>
    </row>
    <row r="5525" spans="1:12" x14ac:dyDescent="0.3">
      <c r="A5525" s="45">
        <v>45001</v>
      </c>
      <c r="B5525" s="399" t="s">
        <v>9860</v>
      </c>
      <c r="C5525" s="5" t="s">
        <v>9756</v>
      </c>
      <c r="D5525" s="5" t="s">
        <v>10779</v>
      </c>
      <c r="E5525" s="43">
        <v>5000</v>
      </c>
      <c r="F5525" s="43"/>
      <c r="G5525" s="48">
        <f t="shared" si="142"/>
        <v>881516</v>
      </c>
      <c r="H5525" s="391" t="s">
        <v>9568</v>
      </c>
      <c r="I5525" s="43"/>
      <c r="J5525" s="43"/>
      <c r="K5525" s="43"/>
      <c r="L5525" s="5"/>
    </row>
    <row r="5526" spans="1:12" x14ac:dyDescent="0.3">
      <c r="A5526" s="45">
        <v>45001</v>
      </c>
      <c r="B5526" s="399"/>
      <c r="C5526" s="5" t="s">
        <v>4550</v>
      </c>
      <c r="D5526" s="5" t="s">
        <v>3910</v>
      </c>
      <c r="E5526" s="43">
        <v>100000</v>
      </c>
      <c r="F5526" s="43"/>
      <c r="G5526" s="48">
        <f t="shared" si="142"/>
        <v>781516</v>
      </c>
      <c r="H5526" s="391" t="s">
        <v>9568</v>
      </c>
      <c r="I5526" s="43"/>
      <c r="J5526" s="43"/>
      <c r="K5526" s="43"/>
      <c r="L5526" s="5"/>
    </row>
    <row r="5527" spans="1:12" x14ac:dyDescent="0.3">
      <c r="A5527" s="45">
        <v>45001</v>
      </c>
      <c r="B5527" s="399"/>
      <c r="C5527" s="5" t="s">
        <v>9873</v>
      </c>
      <c r="D5527" s="5" t="s">
        <v>294</v>
      </c>
      <c r="E5527" s="43">
        <v>5000</v>
      </c>
      <c r="F5527" s="43"/>
      <c r="G5527" s="48">
        <f t="shared" si="142"/>
        <v>776516</v>
      </c>
      <c r="H5527" s="391" t="s">
        <v>9568</v>
      </c>
      <c r="I5527" s="43"/>
      <c r="J5527" s="43"/>
      <c r="K5527" s="43"/>
      <c r="L5527" s="5"/>
    </row>
    <row r="5528" spans="1:12" x14ac:dyDescent="0.3">
      <c r="A5528" s="45">
        <v>45001</v>
      </c>
      <c r="B5528" s="399" t="s">
        <v>5958</v>
      </c>
      <c r="C5528" s="5" t="s">
        <v>10760</v>
      </c>
      <c r="D5528" s="5" t="s">
        <v>5508</v>
      </c>
      <c r="E5528" s="43">
        <v>7000</v>
      </c>
      <c r="F5528" s="43"/>
      <c r="G5528" s="48">
        <f t="shared" si="142"/>
        <v>769516</v>
      </c>
      <c r="H5528" s="391" t="s">
        <v>9568</v>
      </c>
      <c r="I5528" s="43"/>
      <c r="J5528" s="43"/>
      <c r="K5528" s="43"/>
      <c r="L5528" s="5"/>
    </row>
    <row r="5529" spans="1:12" x14ac:dyDescent="0.3">
      <c r="A5529" s="45">
        <v>45001</v>
      </c>
      <c r="B5529" s="409"/>
      <c r="C5529" s="61" t="s">
        <v>1512</v>
      </c>
      <c r="D5529" s="61" t="s">
        <v>10759</v>
      </c>
      <c r="E5529" s="62">
        <v>23000</v>
      </c>
      <c r="F5529" s="43"/>
      <c r="G5529" s="48">
        <f t="shared" si="142"/>
        <v>746516</v>
      </c>
      <c r="H5529" s="391" t="s">
        <v>9568</v>
      </c>
      <c r="I5529" s="43"/>
      <c r="J5529" s="43"/>
      <c r="K5529" s="43"/>
      <c r="L5529" s="5"/>
    </row>
    <row r="5530" spans="1:12" x14ac:dyDescent="0.3">
      <c r="A5530" s="45">
        <v>45001</v>
      </c>
      <c r="B5530" s="399" t="s">
        <v>9990</v>
      </c>
      <c r="C5530" s="5" t="s">
        <v>5979</v>
      </c>
      <c r="D5530" s="5" t="s">
        <v>10767</v>
      </c>
      <c r="E5530" s="43">
        <v>6000</v>
      </c>
      <c r="F5530" s="43"/>
      <c r="G5530" s="48">
        <f t="shared" si="142"/>
        <v>740516</v>
      </c>
      <c r="H5530" s="391" t="s">
        <v>9568</v>
      </c>
      <c r="I5530" s="43"/>
      <c r="J5530" s="43"/>
      <c r="K5530" s="43"/>
      <c r="L5530" s="5"/>
    </row>
    <row r="5531" spans="1:12" x14ac:dyDescent="0.3">
      <c r="A5531" s="45">
        <v>45001</v>
      </c>
      <c r="B5531" s="399" t="s">
        <v>10766</v>
      </c>
      <c r="C5531" s="5" t="s">
        <v>5979</v>
      </c>
      <c r="D5531" s="5" t="s">
        <v>10767</v>
      </c>
      <c r="E5531" s="43">
        <v>5000</v>
      </c>
      <c r="F5531" s="43"/>
      <c r="G5531" s="48">
        <f t="shared" si="142"/>
        <v>735516</v>
      </c>
      <c r="H5531" s="391" t="s">
        <v>9568</v>
      </c>
      <c r="I5531" s="43"/>
      <c r="J5531" s="43"/>
      <c r="K5531" s="43"/>
      <c r="L5531" s="5"/>
    </row>
    <row r="5532" spans="1:12" x14ac:dyDescent="0.3">
      <c r="A5532" s="45">
        <v>45001</v>
      </c>
      <c r="B5532" s="399" t="s">
        <v>9860</v>
      </c>
      <c r="C5532" s="5" t="s">
        <v>10001</v>
      </c>
      <c r="D5532" s="5" t="s">
        <v>10768</v>
      </c>
      <c r="E5532" s="43">
        <v>950</v>
      </c>
      <c r="F5532" s="43"/>
      <c r="G5532" s="48">
        <f t="shared" si="142"/>
        <v>734566</v>
      </c>
      <c r="H5532" s="391" t="s">
        <v>9568</v>
      </c>
      <c r="I5532" s="43"/>
      <c r="J5532" s="43"/>
      <c r="K5532" s="43"/>
      <c r="L5532" s="5"/>
    </row>
    <row r="5533" spans="1:12" x14ac:dyDescent="0.3">
      <c r="A5533" s="45">
        <v>45001</v>
      </c>
      <c r="B5533" s="399" t="s">
        <v>12089</v>
      </c>
      <c r="C5533" s="5" t="s">
        <v>10001</v>
      </c>
      <c r="D5533" s="5" t="s">
        <v>2013</v>
      </c>
      <c r="E5533" s="43">
        <v>550</v>
      </c>
      <c r="F5533" s="43"/>
      <c r="G5533" s="48">
        <f t="shared" si="142"/>
        <v>734016</v>
      </c>
      <c r="H5533" s="391" t="s">
        <v>9568</v>
      </c>
      <c r="I5533" s="43"/>
      <c r="J5533" s="43"/>
      <c r="K5533" s="43"/>
      <c r="L5533" s="5"/>
    </row>
    <row r="5534" spans="1:12" x14ac:dyDescent="0.3">
      <c r="A5534" s="45">
        <v>45001</v>
      </c>
      <c r="B5534" s="399" t="s">
        <v>12089</v>
      </c>
      <c r="C5534" s="5" t="s">
        <v>5162</v>
      </c>
      <c r="D5534" s="5" t="s">
        <v>10769</v>
      </c>
      <c r="E5534" s="43">
        <v>1000</v>
      </c>
      <c r="F5534" s="43"/>
      <c r="G5534" s="48">
        <f t="shared" si="142"/>
        <v>733016</v>
      </c>
      <c r="H5534" s="391" t="s">
        <v>9568</v>
      </c>
      <c r="I5534" s="43"/>
      <c r="J5534" s="43"/>
      <c r="K5534" s="43"/>
      <c r="L5534" s="5"/>
    </row>
    <row r="5535" spans="1:12" x14ac:dyDescent="0.3">
      <c r="A5535" s="45">
        <v>45001</v>
      </c>
      <c r="B5535" s="399" t="s">
        <v>6481</v>
      </c>
      <c r="C5535" s="5" t="s">
        <v>14</v>
      </c>
      <c r="D5535" s="5" t="s">
        <v>3910</v>
      </c>
      <c r="E5535" s="43">
        <v>5000</v>
      </c>
      <c r="F5535" s="43"/>
      <c r="G5535" s="48">
        <f t="shared" si="142"/>
        <v>728016</v>
      </c>
      <c r="H5535" s="391" t="s">
        <v>9568</v>
      </c>
      <c r="I5535" s="43"/>
      <c r="J5535" s="43"/>
      <c r="K5535" s="43"/>
      <c r="L5535" s="5"/>
    </row>
    <row r="5536" spans="1:12" x14ac:dyDescent="0.3">
      <c r="A5536" s="45">
        <v>45001</v>
      </c>
      <c r="B5536" s="399" t="s">
        <v>9990</v>
      </c>
      <c r="C5536" s="5" t="s">
        <v>6600</v>
      </c>
      <c r="D5536" s="5" t="s">
        <v>10773</v>
      </c>
      <c r="E5536" s="43">
        <v>40000</v>
      </c>
      <c r="F5536" s="43"/>
      <c r="G5536" s="48">
        <f t="shared" si="142"/>
        <v>688016</v>
      </c>
      <c r="H5536" s="391" t="s">
        <v>9568</v>
      </c>
      <c r="I5536" s="43"/>
      <c r="J5536" s="43"/>
      <c r="K5536" s="43"/>
      <c r="L5536" s="5"/>
    </row>
    <row r="5537" spans="1:12" x14ac:dyDescent="0.3">
      <c r="A5537" s="45">
        <v>45001</v>
      </c>
      <c r="B5537" s="399"/>
      <c r="C5537" s="5" t="s">
        <v>541</v>
      </c>
      <c r="D5537" s="5" t="s">
        <v>294</v>
      </c>
      <c r="E5537" s="43">
        <v>400000</v>
      </c>
      <c r="F5537" s="43"/>
      <c r="G5537" s="48">
        <f t="shared" si="142"/>
        <v>288016</v>
      </c>
      <c r="H5537" s="391" t="s">
        <v>9568</v>
      </c>
      <c r="I5537" s="43"/>
      <c r="J5537" s="43"/>
      <c r="K5537" s="43"/>
      <c r="L5537" s="5"/>
    </row>
    <row r="5538" spans="1:12" x14ac:dyDescent="0.3">
      <c r="A5538" s="45">
        <v>45001</v>
      </c>
      <c r="B5538" s="399" t="s">
        <v>10112</v>
      </c>
      <c r="C5538" s="5" t="s">
        <v>10774</v>
      </c>
      <c r="D5538" s="5" t="s">
        <v>10775</v>
      </c>
      <c r="E5538" s="43">
        <v>77500</v>
      </c>
      <c r="F5538" s="43"/>
      <c r="G5538" s="48">
        <f t="shared" si="142"/>
        <v>210516</v>
      </c>
      <c r="H5538" s="391" t="s">
        <v>9568</v>
      </c>
      <c r="I5538" s="43"/>
      <c r="J5538" s="43"/>
      <c r="K5538" s="43"/>
      <c r="L5538" s="5"/>
    </row>
    <row r="5539" spans="1:12" x14ac:dyDescent="0.3">
      <c r="A5539" s="45">
        <v>45002</v>
      </c>
      <c r="B5539" s="399" t="s">
        <v>6481</v>
      </c>
      <c r="C5539" s="5" t="s">
        <v>14</v>
      </c>
      <c r="D5539" s="5" t="s">
        <v>3910</v>
      </c>
      <c r="E5539" s="43">
        <v>50000</v>
      </c>
      <c r="F5539" s="43"/>
      <c r="G5539" s="48">
        <f t="shared" si="142"/>
        <v>160516</v>
      </c>
      <c r="H5539" s="391" t="s">
        <v>9568</v>
      </c>
      <c r="I5539" s="43"/>
      <c r="J5539" s="43"/>
      <c r="K5539" s="43"/>
      <c r="L5539" s="5"/>
    </row>
    <row r="5540" spans="1:12" x14ac:dyDescent="0.3">
      <c r="A5540" s="45">
        <v>45002</v>
      </c>
      <c r="B5540" s="399" t="s">
        <v>118</v>
      </c>
      <c r="C5540" s="5" t="s">
        <v>84</v>
      </c>
      <c r="D5540" s="61" t="s">
        <v>10781</v>
      </c>
      <c r="E5540" s="43">
        <v>1000</v>
      </c>
      <c r="F5540" s="43"/>
      <c r="G5540" s="48">
        <f t="shared" si="142"/>
        <v>159516</v>
      </c>
      <c r="H5540" s="391" t="s">
        <v>9568</v>
      </c>
      <c r="I5540" s="43"/>
      <c r="J5540" s="43"/>
      <c r="K5540" s="43"/>
      <c r="L5540" s="5"/>
    </row>
    <row r="5541" spans="1:12" x14ac:dyDescent="0.3">
      <c r="A5541" s="45">
        <v>45002</v>
      </c>
      <c r="B5541" s="399" t="s">
        <v>12089</v>
      </c>
      <c r="C5541" s="5" t="s">
        <v>9756</v>
      </c>
      <c r="D5541" s="5" t="s">
        <v>10719</v>
      </c>
      <c r="E5541" s="43">
        <v>1000</v>
      </c>
      <c r="F5541" s="43"/>
      <c r="G5541" s="48">
        <f t="shared" si="142"/>
        <v>158516</v>
      </c>
      <c r="H5541" s="391" t="s">
        <v>9568</v>
      </c>
      <c r="I5541" s="43"/>
      <c r="J5541" s="43"/>
      <c r="K5541" s="43"/>
      <c r="L5541" s="5"/>
    </row>
    <row r="5542" spans="1:12" x14ac:dyDescent="0.3">
      <c r="A5542" s="45">
        <v>45002</v>
      </c>
      <c r="B5542" s="399" t="s">
        <v>10809</v>
      </c>
      <c r="C5542" s="5" t="s">
        <v>10760</v>
      </c>
      <c r="D5542" s="5" t="s">
        <v>10787</v>
      </c>
      <c r="E5542" s="43">
        <v>48000</v>
      </c>
      <c r="F5542" s="43"/>
      <c r="G5542" s="48">
        <f t="shared" si="142"/>
        <v>110516</v>
      </c>
      <c r="H5542" s="391" t="s">
        <v>9568</v>
      </c>
      <c r="I5542" s="43"/>
      <c r="J5542" s="43"/>
      <c r="K5542" s="43"/>
      <c r="L5542" s="5"/>
    </row>
    <row r="5543" spans="1:12" x14ac:dyDescent="0.3">
      <c r="A5543" s="45">
        <v>45002</v>
      </c>
      <c r="B5543" s="399" t="s">
        <v>12089</v>
      </c>
      <c r="C5543" s="5" t="s">
        <v>10001</v>
      </c>
      <c r="D5543" s="5" t="s">
        <v>10782</v>
      </c>
      <c r="E5543" s="43">
        <v>6000</v>
      </c>
      <c r="F5543" s="43"/>
      <c r="G5543" s="48">
        <f t="shared" si="142"/>
        <v>104516</v>
      </c>
      <c r="H5543" s="391" t="s">
        <v>9568</v>
      </c>
      <c r="I5543" s="43"/>
      <c r="J5543" s="43"/>
      <c r="K5543" s="43"/>
      <c r="L5543" s="5"/>
    </row>
    <row r="5544" spans="1:12" x14ac:dyDescent="0.3">
      <c r="A5544" s="45">
        <v>45002</v>
      </c>
      <c r="B5544" s="399" t="s">
        <v>12091</v>
      </c>
      <c r="C5544" s="5" t="s">
        <v>5793</v>
      </c>
      <c r="D5544" s="5" t="s">
        <v>10783</v>
      </c>
      <c r="E5544" s="43">
        <v>1400</v>
      </c>
      <c r="F5544" s="43"/>
      <c r="G5544" s="48">
        <f t="shared" si="142"/>
        <v>103116</v>
      </c>
      <c r="H5544" s="391" t="s">
        <v>9568</v>
      </c>
      <c r="I5544" s="43"/>
      <c r="J5544" s="43"/>
      <c r="K5544" s="43"/>
      <c r="L5544" s="5"/>
    </row>
    <row r="5545" spans="1:12" x14ac:dyDescent="0.3">
      <c r="A5545" s="45">
        <v>45002</v>
      </c>
      <c r="B5545" s="399"/>
      <c r="C5545" s="5" t="s">
        <v>9873</v>
      </c>
      <c r="D5545" s="5" t="s">
        <v>294</v>
      </c>
      <c r="E5545" s="43">
        <f>5000-E5544</f>
        <v>3600</v>
      </c>
      <c r="F5545" s="43"/>
      <c r="G5545" s="48">
        <f t="shared" si="142"/>
        <v>99516</v>
      </c>
      <c r="H5545" s="391" t="s">
        <v>9568</v>
      </c>
      <c r="I5545" s="43"/>
      <c r="J5545" s="43"/>
      <c r="K5545" s="43"/>
      <c r="L5545" s="5"/>
    </row>
    <row r="5546" spans="1:12" x14ac:dyDescent="0.3">
      <c r="A5546" s="45">
        <v>45002</v>
      </c>
      <c r="B5546" s="399" t="s">
        <v>10333</v>
      </c>
      <c r="C5546" s="5" t="s">
        <v>247</v>
      </c>
      <c r="D5546" s="5" t="s">
        <v>10446</v>
      </c>
      <c r="E5546" s="43">
        <v>7000</v>
      </c>
      <c r="F5546" s="43"/>
      <c r="G5546" s="48">
        <f t="shared" si="142"/>
        <v>92516</v>
      </c>
      <c r="H5546" s="391" t="s">
        <v>9568</v>
      </c>
      <c r="I5546" s="43"/>
      <c r="J5546" s="43"/>
      <c r="K5546" s="43"/>
      <c r="L5546" s="5"/>
    </row>
    <row r="5547" spans="1:12" x14ac:dyDescent="0.3">
      <c r="A5547" s="45">
        <v>45002</v>
      </c>
      <c r="B5547" s="345" t="s">
        <v>12096</v>
      </c>
      <c r="C5547" s="5" t="s">
        <v>68</v>
      </c>
      <c r="D5547" s="5" t="s">
        <v>10784</v>
      </c>
      <c r="E5547" s="43">
        <v>4000</v>
      </c>
      <c r="F5547" s="43"/>
      <c r="G5547" s="48">
        <f t="shared" si="142"/>
        <v>88516</v>
      </c>
      <c r="H5547" s="391" t="s">
        <v>9568</v>
      </c>
      <c r="I5547" s="43"/>
      <c r="J5547" s="43"/>
      <c r="K5547" s="43"/>
      <c r="L5547" s="5"/>
    </row>
    <row r="5548" spans="1:12" x14ac:dyDescent="0.3">
      <c r="A5548" s="45">
        <v>45002</v>
      </c>
      <c r="B5548" s="399" t="s">
        <v>10112</v>
      </c>
      <c r="C5548" s="5" t="s">
        <v>10507</v>
      </c>
      <c r="D5548" s="5" t="s">
        <v>10785</v>
      </c>
      <c r="E5548" s="43">
        <v>44400</v>
      </c>
      <c r="F5548" s="43"/>
      <c r="G5548" s="48">
        <f t="shared" si="142"/>
        <v>44116</v>
      </c>
      <c r="H5548" s="391" t="s">
        <v>9568</v>
      </c>
      <c r="I5548" s="43"/>
      <c r="J5548" s="43"/>
      <c r="K5548" s="43"/>
      <c r="L5548" s="5"/>
    </row>
    <row r="5549" spans="1:12" x14ac:dyDescent="0.3">
      <c r="A5549" s="45">
        <v>45003</v>
      </c>
      <c r="B5549" s="399" t="s">
        <v>12089</v>
      </c>
      <c r="C5549" s="5" t="s">
        <v>5793</v>
      </c>
      <c r="D5549" s="5" t="s">
        <v>10786</v>
      </c>
      <c r="E5549" s="43">
        <v>2000</v>
      </c>
      <c r="F5549" s="43"/>
      <c r="G5549" s="48">
        <f t="shared" si="142"/>
        <v>42116</v>
      </c>
      <c r="H5549" s="391" t="s">
        <v>9568</v>
      </c>
      <c r="I5549" s="43"/>
      <c r="J5549" s="43"/>
      <c r="K5549" s="43"/>
      <c r="L5549" s="5"/>
    </row>
    <row r="5550" spans="1:12" x14ac:dyDescent="0.3">
      <c r="A5550" s="45">
        <v>45003</v>
      </c>
      <c r="B5550" s="399" t="s">
        <v>12190</v>
      </c>
      <c r="C5550" s="5" t="s">
        <v>1074</v>
      </c>
      <c r="D5550" s="5" t="s">
        <v>6280</v>
      </c>
      <c r="E5550" s="43">
        <v>2340</v>
      </c>
      <c r="F5550" s="43"/>
      <c r="G5550" s="48">
        <f t="shared" si="142"/>
        <v>39776</v>
      </c>
      <c r="H5550" s="391" t="s">
        <v>9568</v>
      </c>
      <c r="I5550" s="43"/>
      <c r="J5550" s="43"/>
      <c r="K5550" s="43"/>
      <c r="L5550" s="5"/>
    </row>
    <row r="5551" spans="1:12" x14ac:dyDescent="0.3">
      <c r="A5551" s="45">
        <v>45003</v>
      </c>
      <c r="B5551" s="399" t="s">
        <v>118</v>
      </c>
      <c r="C5551" s="5" t="s">
        <v>1074</v>
      </c>
      <c r="D5551" s="5" t="s">
        <v>6280</v>
      </c>
      <c r="E5551" s="43">
        <v>6340</v>
      </c>
      <c r="F5551" s="43"/>
      <c r="G5551" s="48">
        <f t="shared" si="142"/>
        <v>33436</v>
      </c>
      <c r="H5551" s="391" t="s">
        <v>9568</v>
      </c>
      <c r="I5551" s="43"/>
      <c r="J5551" s="43"/>
      <c r="K5551" s="43"/>
      <c r="L5551" s="5"/>
    </row>
    <row r="5552" spans="1:12" x14ac:dyDescent="0.3">
      <c r="A5552" s="45">
        <v>45003</v>
      </c>
      <c r="B5552" s="399" t="s">
        <v>6481</v>
      </c>
      <c r="C5552" s="5" t="s">
        <v>10788</v>
      </c>
      <c r="D5552" s="5" t="s">
        <v>10746</v>
      </c>
      <c r="E5552" s="43">
        <v>5000</v>
      </c>
      <c r="F5552" s="43"/>
      <c r="G5552" s="48">
        <f t="shared" si="142"/>
        <v>28436</v>
      </c>
      <c r="H5552" s="391" t="s">
        <v>9568</v>
      </c>
      <c r="I5552" s="43"/>
      <c r="J5552" s="43"/>
      <c r="K5552" s="43"/>
      <c r="L5552" s="5"/>
    </row>
    <row r="5553" spans="1:12" x14ac:dyDescent="0.3">
      <c r="A5553" s="45">
        <v>45003</v>
      </c>
      <c r="B5553" s="399" t="s">
        <v>6481</v>
      </c>
      <c r="C5553" s="5" t="s">
        <v>5793</v>
      </c>
      <c r="D5553" s="5" t="s">
        <v>10789</v>
      </c>
      <c r="E5553" s="43">
        <v>500</v>
      </c>
      <c r="F5553" s="43"/>
      <c r="G5553" s="48">
        <f t="shared" si="142"/>
        <v>27936</v>
      </c>
      <c r="H5553" s="391" t="s">
        <v>9568</v>
      </c>
      <c r="I5553" s="43"/>
      <c r="J5553" s="43"/>
      <c r="K5553" s="43"/>
      <c r="L5553" s="5"/>
    </row>
    <row r="5554" spans="1:12" x14ac:dyDescent="0.3">
      <c r="A5554" s="45">
        <v>45003</v>
      </c>
      <c r="B5554" s="399" t="s">
        <v>10615</v>
      </c>
      <c r="C5554" s="5" t="s">
        <v>84</v>
      </c>
      <c r="D5554" s="61" t="s">
        <v>10790</v>
      </c>
      <c r="E5554" s="43">
        <v>2000</v>
      </c>
      <c r="F5554" s="43"/>
      <c r="G5554" s="48">
        <f t="shared" si="142"/>
        <v>25936</v>
      </c>
      <c r="H5554" s="391" t="s">
        <v>9568</v>
      </c>
      <c r="I5554" s="43"/>
      <c r="J5554" s="43"/>
      <c r="K5554" s="43"/>
      <c r="L5554" s="5"/>
    </row>
    <row r="5555" spans="1:12" x14ac:dyDescent="0.3">
      <c r="A5555" s="45">
        <v>45003</v>
      </c>
      <c r="B5555" s="399" t="s">
        <v>10615</v>
      </c>
      <c r="C5555" s="5" t="s">
        <v>84</v>
      </c>
      <c r="D5555" s="61" t="s">
        <v>10791</v>
      </c>
      <c r="E5555" s="43">
        <v>2000</v>
      </c>
      <c r="F5555" s="43"/>
      <c r="G5555" s="48">
        <f t="shared" si="142"/>
        <v>23936</v>
      </c>
      <c r="H5555" s="391" t="s">
        <v>9568</v>
      </c>
      <c r="I5555" s="43"/>
      <c r="J5555" s="43"/>
      <c r="K5555" s="43"/>
      <c r="L5555" s="5"/>
    </row>
    <row r="5556" spans="1:12" x14ac:dyDescent="0.3">
      <c r="A5556" s="45">
        <v>45003</v>
      </c>
      <c r="B5556" s="399" t="s">
        <v>10615</v>
      </c>
      <c r="C5556" s="5" t="s">
        <v>1073</v>
      </c>
      <c r="D5556" s="5" t="s">
        <v>10792</v>
      </c>
      <c r="E5556" s="43">
        <v>700</v>
      </c>
      <c r="F5556" s="43"/>
      <c r="G5556" s="48">
        <f t="shared" si="142"/>
        <v>23236</v>
      </c>
      <c r="H5556" s="391" t="s">
        <v>9568</v>
      </c>
      <c r="I5556" s="43"/>
      <c r="J5556" s="43"/>
      <c r="K5556" s="43"/>
      <c r="L5556" s="5"/>
    </row>
    <row r="5557" spans="1:12" x14ac:dyDescent="0.3">
      <c r="A5557" s="45">
        <v>45003</v>
      </c>
      <c r="B5557" s="399"/>
      <c r="C5557" s="5" t="s">
        <v>14</v>
      </c>
      <c r="D5557" s="5" t="s">
        <v>294</v>
      </c>
      <c r="E5557" s="43">
        <v>500</v>
      </c>
      <c r="F5557" s="43"/>
      <c r="G5557" s="48">
        <f t="shared" si="142"/>
        <v>22736</v>
      </c>
      <c r="H5557" s="391" t="s">
        <v>9568</v>
      </c>
      <c r="I5557" s="43"/>
      <c r="J5557" s="43"/>
      <c r="K5557" s="43"/>
      <c r="L5557" s="5"/>
    </row>
    <row r="5558" spans="1:12" x14ac:dyDescent="0.3">
      <c r="A5558" s="45">
        <v>45003</v>
      </c>
      <c r="B5558" s="399" t="s">
        <v>10333</v>
      </c>
      <c r="C5558" s="5" t="s">
        <v>9756</v>
      </c>
      <c r="D5558" s="5" t="s">
        <v>2013</v>
      </c>
      <c r="E5558" s="43">
        <v>1000</v>
      </c>
      <c r="F5558" s="43"/>
      <c r="G5558" s="48">
        <f t="shared" ref="G5558:G5624" si="143">G5557+F5558-E5558</f>
        <v>21736</v>
      </c>
      <c r="H5558" s="391" t="s">
        <v>9568</v>
      </c>
      <c r="I5558" s="43"/>
      <c r="J5558" s="43"/>
      <c r="K5558" s="43"/>
      <c r="L5558" s="5"/>
    </row>
    <row r="5559" spans="1:12" x14ac:dyDescent="0.3">
      <c r="A5559" s="45">
        <v>45003</v>
      </c>
      <c r="B5559" s="399" t="s">
        <v>118</v>
      </c>
      <c r="C5559" s="5" t="s">
        <v>10793</v>
      </c>
      <c r="D5559" s="5" t="s">
        <v>10794</v>
      </c>
      <c r="E5559" s="43">
        <v>4100</v>
      </c>
      <c r="F5559" s="43"/>
      <c r="G5559" s="48">
        <f t="shared" si="143"/>
        <v>17636</v>
      </c>
      <c r="H5559" s="391" t="s">
        <v>9568</v>
      </c>
      <c r="I5559" s="43"/>
      <c r="J5559" s="43"/>
      <c r="K5559" s="43"/>
      <c r="L5559" s="5"/>
    </row>
    <row r="5560" spans="1:12" x14ac:dyDescent="0.3">
      <c r="A5560" s="45">
        <v>45005</v>
      </c>
      <c r="B5560" s="345" t="s">
        <v>12096</v>
      </c>
      <c r="C5560" s="5" t="s">
        <v>18</v>
      </c>
      <c r="D5560" s="5" t="s">
        <v>294</v>
      </c>
      <c r="E5560" s="43">
        <v>3000</v>
      </c>
      <c r="F5560" s="43"/>
      <c r="G5560" s="48">
        <f t="shared" si="143"/>
        <v>14636</v>
      </c>
      <c r="H5560" s="391" t="s">
        <v>9568</v>
      </c>
      <c r="I5560" s="43"/>
      <c r="J5560" s="43"/>
      <c r="K5560" s="43"/>
      <c r="L5560" s="5"/>
    </row>
    <row r="5561" spans="1:12" x14ac:dyDescent="0.3">
      <c r="A5561" s="45">
        <v>45005</v>
      </c>
      <c r="B5561" s="345" t="s">
        <v>12096</v>
      </c>
      <c r="C5561" s="5" t="s">
        <v>5793</v>
      </c>
      <c r="D5561" s="5" t="s">
        <v>10795</v>
      </c>
      <c r="E5561" s="43">
        <v>500</v>
      </c>
      <c r="F5561" s="43"/>
      <c r="G5561" s="48">
        <f t="shared" si="143"/>
        <v>14136</v>
      </c>
      <c r="H5561" s="391" t="s">
        <v>9568</v>
      </c>
      <c r="I5561" s="43"/>
      <c r="J5561" s="43"/>
      <c r="K5561" s="43"/>
      <c r="L5561" s="5"/>
    </row>
    <row r="5562" spans="1:12" x14ac:dyDescent="0.3">
      <c r="A5562" s="45">
        <v>45005</v>
      </c>
      <c r="B5562" s="345" t="s">
        <v>12096</v>
      </c>
      <c r="C5562" s="5" t="s">
        <v>10797</v>
      </c>
      <c r="D5562" s="5" t="s">
        <v>10796</v>
      </c>
      <c r="E5562" s="43">
        <v>4560</v>
      </c>
      <c r="F5562" s="43"/>
      <c r="G5562" s="48">
        <f t="shared" si="143"/>
        <v>9576</v>
      </c>
      <c r="H5562" s="391" t="s">
        <v>9568</v>
      </c>
      <c r="I5562" s="43"/>
      <c r="J5562" s="43"/>
      <c r="K5562" s="43"/>
      <c r="L5562" s="5"/>
    </row>
    <row r="5563" spans="1:12" x14ac:dyDescent="0.3">
      <c r="A5563" s="45">
        <v>45005</v>
      </c>
      <c r="B5563" s="399" t="s">
        <v>10333</v>
      </c>
      <c r="C5563" s="5" t="s">
        <v>9756</v>
      </c>
      <c r="D5563" s="5" t="s">
        <v>2013</v>
      </c>
      <c r="E5563" s="43">
        <v>500</v>
      </c>
      <c r="F5563" s="43"/>
      <c r="G5563" s="48">
        <f t="shared" si="143"/>
        <v>9076</v>
      </c>
      <c r="H5563" s="391" t="s">
        <v>9568</v>
      </c>
      <c r="I5563" s="43"/>
      <c r="J5563" s="43"/>
      <c r="K5563" s="43"/>
      <c r="L5563" s="5"/>
    </row>
    <row r="5564" spans="1:12" x14ac:dyDescent="0.3">
      <c r="A5564" s="45">
        <v>45005</v>
      </c>
      <c r="B5564" s="399" t="s">
        <v>10112</v>
      </c>
      <c r="C5564" s="5" t="s">
        <v>5793</v>
      </c>
      <c r="D5564" s="5" t="s">
        <v>10798</v>
      </c>
      <c r="E5564" s="43">
        <v>700</v>
      </c>
      <c r="F5564" s="43"/>
      <c r="G5564" s="48">
        <f t="shared" si="143"/>
        <v>8376</v>
      </c>
      <c r="H5564" s="391" t="s">
        <v>9568</v>
      </c>
      <c r="I5564" s="43"/>
      <c r="J5564" s="43"/>
      <c r="K5564" s="43"/>
      <c r="L5564" s="5"/>
    </row>
    <row r="5565" spans="1:12" x14ac:dyDescent="0.3">
      <c r="A5565" s="45">
        <v>45005</v>
      </c>
      <c r="B5565" s="586"/>
      <c r="C5565" s="486"/>
      <c r="D5565" s="497" t="s">
        <v>10799</v>
      </c>
      <c r="E5565" s="486"/>
      <c r="F5565" s="43">
        <v>50000</v>
      </c>
      <c r="G5565" s="48">
        <f t="shared" si="143"/>
        <v>58376</v>
      </c>
      <c r="H5565" s="391" t="s">
        <v>9568</v>
      </c>
      <c r="I5565" s="43"/>
      <c r="J5565" s="43"/>
      <c r="K5565" s="43"/>
      <c r="L5565" s="5"/>
    </row>
    <row r="5566" spans="1:12" x14ac:dyDescent="0.3">
      <c r="A5566" s="45">
        <v>45005</v>
      </c>
      <c r="B5566" s="399" t="s">
        <v>10809</v>
      </c>
      <c r="C5566" s="5" t="s">
        <v>10760</v>
      </c>
      <c r="D5566" s="5" t="s">
        <v>10787</v>
      </c>
      <c r="E5566" s="43">
        <v>42500</v>
      </c>
      <c r="F5566" s="43"/>
      <c r="G5566" s="48">
        <f t="shared" si="143"/>
        <v>15876</v>
      </c>
      <c r="H5566" s="391" t="s">
        <v>9568</v>
      </c>
      <c r="I5566" s="43"/>
      <c r="J5566" s="43"/>
      <c r="K5566" s="43"/>
      <c r="L5566" s="5"/>
    </row>
    <row r="5567" spans="1:12" x14ac:dyDescent="0.3">
      <c r="A5567" s="45">
        <v>45005</v>
      </c>
      <c r="B5567" s="399" t="s">
        <v>9925</v>
      </c>
      <c r="C5567" s="5" t="s">
        <v>1073</v>
      </c>
      <c r="D5567" s="5" t="s">
        <v>10800</v>
      </c>
      <c r="E5567" s="43">
        <v>1500</v>
      </c>
      <c r="F5567" s="43"/>
      <c r="G5567" s="48">
        <f t="shared" si="143"/>
        <v>14376</v>
      </c>
      <c r="H5567" s="391" t="s">
        <v>9568</v>
      </c>
      <c r="I5567" s="43"/>
      <c r="J5567" s="43"/>
      <c r="K5567" s="43"/>
      <c r="L5567" s="5"/>
    </row>
    <row r="5568" spans="1:12" x14ac:dyDescent="0.3">
      <c r="A5568" s="45">
        <v>45005</v>
      </c>
      <c r="B5568" s="399" t="s">
        <v>12089</v>
      </c>
      <c r="C5568" s="5" t="s">
        <v>5162</v>
      </c>
      <c r="D5568" s="5" t="s">
        <v>10801</v>
      </c>
      <c r="E5568" s="43">
        <v>1000</v>
      </c>
      <c r="F5568" s="43"/>
      <c r="G5568" s="48">
        <f t="shared" si="143"/>
        <v>13376</v>
      </c>
      <c r="H5568" s="391" t="s">
        <v>9568</v>
      </c>
      <c r="I5568" s="43"/>
      <c r="J5568" s="43"/>
      <c r="K5568" s="43"/>
      <c r="L5568" s="5"/>
    </row>
    <row r="5569" spans="1:12" x14ac:dyDescent="0.3">
      <c r="A5569" s="45">
        <v>45005</v>
      </c>
      <c r="B5569" s="399" t="s">
        <v>12089</v>
      </c>
      <c r="C5569" s="5" t="s">
        <v>5162</v>
      </c>
      <c r="D5569" s="5" t="s">
        <v>9825</v>
      </c>
      <c r="E5569" s="43">
        <v>900</v>
      </c>
      <c r="F5569" s="43"/>
      <c r="G5569" s="48">
        <f t="shared" si="143"/>
        <v>12476</v>
      </c>
      <c r="H5569" s="391" t="s">
        <v>9568</v>
      </c>
      <c r="I5569" s="43"/>
      <c r="J5569" s="43"/>
      <c r="K5569" s="43"/>
      <c r="L5569" s="5"/>
    </row>
    <row r="5570" spans="1:12" x14ac:dyDescent="0.3">
      <c r="A5570" s="45">
        <v>45005</v>
      </c>
      <c r="B5570" s="586"/>
      <c r="C5570" s="486"/>
      <c r="D5570" s="497" t="s">
        <v>10803</v>
      </c>
      <c r="E5570" s="486"/>
      <c r="F5570" s="43">
        <v>1207180</v>
      </c>
      <c r="G5570" s="48">
        <f t="shared" si="143"/>
        <v>1219656</v>
      </c>
      <c r="H5570" s="391" t="s">
        <v>9568</v>
      </c>
      <c r="I5570" s="43"/>
      <c r="J5570" s="43"/>
      <c r="K5570" s="43"/>
      <c r="L5570" s="5"/>
    </row>
    <row r="5571" spans="1:12" x14ac:dyDescent="0.3">
      <c r="A5571" s="45">
        <v>45005</v>
      </c>
      <c r="B5571" s="399" t="s">
        <v>10804</v>
      </c>
      <c r="C5571" s="5" t="s">
        <v>4156</v>
      </c>
      <c r="D5571" s="5" t="s">
        <v>10805</v>
      </c>
      <c r="E5571" s="43">
        <v>370000</v>
      </c>
      <c r="F5571" s="43"/>
      <c r="G5571" s="48">
        <f t="shared" si="143"/>
        <v>849656</v>
      </c>
      <c r="H5571" s="391" t="s">
        <v>9568</v>
      </c>
      <c r="I5571" s="43"/>
    </row>
    <row r="5572" spans="1:12" x14ac:dyDescent="0.3">
      <c r="A5572" s="45">
        <v>45005</v>
      </c>
      <c r="B5572" s="399" t="s">
        <v>10804</v>
      </c>
      <c r="C5572" s="5" t="s">
        <v>4156</v>
      </c>
      <c r="D5572" s="5" t="s">
        <v>10806</v>
      </c>
      <c r="E5572" s="43">
        <v>100000</v>
      </c>
      <c r="F5572" s="43"/>
      <c r="G5572" s="48">
        <f t="shared" si="143"/>
        <v>749656</v>
      </c>
      <c r="H5572" s="391" t="s">
        <v>9568</v>
      </c>
      <c r="I5572" s="43"/>
    </row>
    <row r="5573" spans="1:12" x14ac:dyDescent="0.3">
      <c r="A5573" s="45">
        <v>45005</v>
      </c>
      <c r="B5573" s="399" t="s">
        <v>118</v>
      </c>
      <c r="C5573" s="5" t="s">
        <v>9765</v>
      </c>
      <c r="D5573" s="5" t="s">
        <v>10811</v>
      </c>
      <c r="E5573" s="43">
        <v>5000</v>
      </c>
      <c r="F5573" s="43"/>
      <c r="G5573" s="48">
        <f t="shared" si="143"/>
        <v>744656</v>
      </c>
      <c r="H5573" s="391" t="s">
        <v>9568</v>
      </c>
      <c r="I5573" s="43"/>
    </row>
    <row r="5574" spans="1:12" x14ac:dyDescent="0.3">
      <c r="A5574" s="45">
        <v>45006</v>
      </c>
      <c r="B5574" s="345" t="s">
        <v>12096</v>
      </c>
      <c r="C5574" s="5" t="s">
        <v>18</v>
      </c>
      <c r="D5574" s="5" t="s">
        <v>10807</v>
      </c>
      <c r="E5574" s="43">
        <v>10000</v>
      </c>
      <c r="F5574" s="43"/>
      <c r="G5574" s="48">
        <f t="shared" si="143"/>
        <v>734656</v>
      </c>
      <c r="H5574" s="391" t="s">
        <v>9568</v>
      </c>
      <c r="I5574" s="43"/>
    </row>
    <row r="5575" spans="1:12" x14ac:dyDescent="0.3">
      <c r="A5575" s="45">
        <v>45006</v>
      </c>
      <c r="B5575" s="345" t="s">
        <v>12096</v>
      </c>
      <c r="C5575" s="5" t="s">
        <v>68</v>
      </c>
      <c r="D5575" s="5" t="s">
        <v>10807</v>
      </c>
      <c r="E5575" s="43">
        <v>10000</v>
      </c>
      <c r="F5575" s="43"/>
      <c r="G5575" s="48">
        <f t="shared" si="143"/>
        <v>724656</v>
      </c>
      <c r="H5575" s="391" t="s">
        <v>9568</v>
      </c>
    </row>
    <row r="5576" spans="1:12" x14ac:dyDescent="0.3">
      <c r="A5576" s="45">
        <v>45006</v>
      </c>
      <c r="B5576" s="399" t="s">
        <v>9860</v>
      </c>
      <c r="C5576" s="5" t="s">
        <v>9525</v>
      </c>
      <c r="D5576" s="5" t="s">
        <v>10808</v>
      </c>
      <c r="E5576" s="43">
        <v>1160</v>
      </c>
      <c r="F5576" s="43"/>
      <c r="G5576" s="48">
        <f t="shared" si="143"/>
        <v>723496</v>
      </c>
      <c r="H5576" s="391" t="s">
        <v>9568</v>
      </c>
    </row>
    <row r="5577" spans="1:12" x14ac:dyDescent="0.3">
      <c r="A5577" s="45">
        <v>45006</v>
      </c>
      <c r="B5577" s="399"/>
      <c r="C5577" s="5" t="s">
        <v>9873</v>
      </c>
      <c r="D5577" s="5" t="s">
        <v>294</v>
      </c>
      <c r="E5577" s="43">
        <v>3500</v>
      </c>
      <c r="F5577" s="43"/>
      <c r="G5577" s="48">
        <f t="shared" si="143"/>
        <v>719996</v>
      </c>
      <c r="H5577" s="391" t="s">
        <v>9568</v>
      </c>
    </row>
    <row r="5578" spans="1:12" x14ac:dyDescent="0.3">
      <c r="A5578" s="45">
        <v>45006</v>
      </c>
      <c r="B5578" s="399" t="s">
        <v>10804</v>
      </c>
      <c r="C5578" s="5" t="s">
        <v>9756</v>
      </c>
      <c r="D5578" s="5" t="s">
        <v>10813</v>
      </c>
      <c r="E5578" s="43">
        <v>57950</v>
      </c>
      <c r="F5578" s="43"/>
      <c r="G5578" s="48">
        <f t="shared" si="143"/>
        <v>662046</v>
      </c>
      <c r="H5578" s="391" t="s">
        <v>9568</v>
      </c>
      <c r="K5578" s="52">
        <v>48000</v>
      </c>
      <c r="L5578" s="4">
        <v>45500</v>
      </c>
    </row>
    <row r="5579" spans="1:12" x14ac:dyDescent="0.3">
      <c r="A5579" s="45">
        <v>45006</v>
      </c>
      <c r="B5579" s="399" t="s">
        <v>10809</v>
      </c>
      <c r="C5579" s="5" t="s">
        <v>10760</v>
      </c>
      <c r="D5579" s="5"/>
      <c r="E5579" s="43">
        <v>40000</v>
      </c>
      <c r="F5579" s="43"/>
      <c r="G5579" s="48">
        <f t="shared" si="143"/>
        <v>622046</v>
      </c>
      <c r="H5579" s="391" t="s">
        <v>9568</v>
      </c>
      <c r="I5579" s="52">
        <v>628496</v>
      </c>
      <c r="K5579" s="52">
        <v>45000</v>
      </c>
      <c r="L5579" s="4">
        <v>45000</v>
      </c>
    </row>
    <row r="5580" spans="1:12" x14ac:dyDescent="0.3">
      <c r="A5580" s="45">
        <v>45006</v>
      </c>
      <c r="B5580" s="399" t="s">
        <v>118</v>
      </c>
      <c r="C5580" s="5" t="s">
        <v>84</v>
      </c>
      <c r="D5580" s="85" t="s">
        <v>10810</v>
      </c>
      <c r="E5580" s="43">
        <v>20000</v>
      </c>
      <c r="F5580" s="43"/>
      <c r="G5580" s="48">
        <f t="shared" si="143"/>
        <v>602046</v>
      </c>
      <c r="H5580" s="391" t="s">
        <v>9568</v>
      </c>
      <c r="K5580" s="52">
        <v>37500</v>
      </c>
      <c r="L5580" s="4">
        <v>40000</v>
      </c>
    </row>
    <row r="5581" spans="1:12" x14ac:dyDescent="0.3">
      <c r="A5581" s="45">
        <v>45006</v>
      </c>
      <c r="B5581" s="399" t="s">
        <v>118</v>
      </c>
      <c r="C5581" s="5" t="s">
        <v>84</v>
      </c>
      <c r="D5581" s="61" t="s">
        <v>10812</v>
      </c>
      <c r="E5581" s="43">
        <v>1000</v>
      </c>
      <c r="F5581" s="43"/>
      <c r="G5581" s="48">
        <f t="shared" si="143"/>
        <v>601046</v>
      </c>
      <c r="H5581" s="391" t="s">
        <v>9568</v>
      </c>
      <c r="K5581" s="52">
        <f>SUM(K5578:K5580)</f>
        <v>130500</v>
      </c>
      <c r="L5581" s="4">
        <f>SUM(L5578:L5580)</f>
        <v>130500</v>
      </c>
    </row>
    <row r="5582" spans="1:12" x14ac:dyDescent="0.3">
      <c r="A5582" s="45">
        <v>45007</v>
      </c>
      <c r="B5582" s="399" t="s">
        <v>10804</v>
      </c>
      <c r="C5582" s="5" t="s">
        <v>9756</v>
      </c>
      <c r="D5582" s="5" t="s">
        <v>10814</v>
      </c>
      <c r="E5582" s="43">
        <v>1000</v>
      </c>
      <c r="F5582" s="43"/>
      <c r="G5582" s="48">
        <f t="shared" si="143"/>
        <v>600046</v>
      </c>
      <c r="H5582" s="391" t="s">
        <v>9568</v>
      </c>
    </row>
    <row r="5583" spans="1:12" x14ac:dyDescent="0.3">
      <c r="A5583" s="45">
        <v>45007</v>
      </c>
      <c r="B5583" s="399" t="s">
        <v>10804</v>
      </c>
      <c r="C5583" s="5" t="s">
        <v>10815</v>
      </c>
      <c r="D5583" s="5" t="s">
        <v>10816</v>
      </c>
      <c r="E5583" s="43">
        <v>16440</v>
      </c>
      <c r="F5583" s="43"/>
      <c r="G5583" s="48">
        <f t="shared" si="143"/>
        <v>583606</v>
      </c>
      <c r="H5583" s="391" t="s">
        <v>9568</v>
      </c>
    </row>
    <row r="5584" spans="1:12" x14ac:dyDescent="0.3">
      <c r="A5584" s="45">
        <v>45007</v>
      </c>
      <c r="B5584" s="399" t="s">
        <v>10615</v>
      </c>
      <c r="C5584" s="5" t="s">
        <v>7099</v>
      </c>
      <c r="D5584" s="5" t="s">
        <v>4876</v>
      </c>
      <c r="E5584" s="43">
        <v>2000</v>
      </c>
      <c r="F5584" s="43"/>
      <c r="G5584" s="48">
        <f t="shared" si="143"/>
        <v>581606</v>
      </c>
      <c r="H5584" s="391" t="s">
        <v>9568</v>
      </c>
    </row>
    <row r="5585" spans="1:8" x14ac:dyDescent="0.3">
      <c r="A5585" s="45">
        <v>45007</v>
      </c>
      <c r="B5585" s="399"/>
      <c r="C5585" s="5" t="s">
        <v>9873</v>
      </c>
      <c r="D5585" s="5" t="s">
        <v>294</v>
      </c>
      <c r="E5585" s="43">
        <v>4000</v>
      </c>
      <c r="F5585" s="43"/>
      <c r="G5585" s="48">
        <f t="shared" si="143"/>
        <v>577606</v>
      </c>
      <c r="H5585" s="391" t="s">
        <v>9568</v>
      </c>
    </row>
    <row r="5586" spans="1:8" x14ac:dyDescent="0.3">
      <c r="A5586" s="45">
        <v>45007</v>
      </c>
      <c r="B5586" s="399" t="s">
        <v>10809</v>
      </c>
      <c r="C5586" s="5" t="s">
        <v>10760</v>
      </c>
      <c r="D5586" s="5" t="s">
        <v>10817</v>
      </c>
      <c r="E5586" s="43">
        <v>136000</v>
      </c>
      <c r="F5586" s="43"/>
      <c r="G5586" s="48">
        <f t="shared" si="143"/>
        <v>441606</v>
      </c>
      <c r="H5586" s="391" t="s">
        <v>9568</v>
      </c>
    </row>
    <row r="5587" spans="1:8" x14ac:dyDescent="0.3">
      <c r="A5587" s="45">
        <v>45007</v>
      </c>
      <c r="B5587" s="409" t="s">
        <v>5933</v>
      </c>
      <c r="C5587" s="61" t="s">
        <v>54</v>
      </c>
      <c r="D5587" s="61" t="s">
        <v>10818</v>
      </c>
      <c r="E5587" s="62">
        <v>31050</v>
      </c>
      <c r="F5587" s="43"/>
      <c r="G5587" s="48">
        <f t="shared" si="143"/>
        <v>410556</v>
      </c>
      <c r="H5587" s="391" t="s">
        <v>9568</v>
      </c>
    </row>
    <row r="5588" spans="1:8" x14ac:dyDescent="0.3">
      <c r="A5588" s="45">
        <v>45007</v>
      </c>
      <c r="B5588" s="399" t="s">
        <v>10809</v>
      </c>
      <c r="C5588" s="5" t="s">
        <v>10760</v>
      </c>
      <c r="D5588" s="5" t="s">
        <v>10819</v>
      </c>
      <c r="E5588" s="43">
        <v>42000</v>
      </c>
      <c r="F5588" s="43"/>
      <c r="G5588" s="48">
        <f t="shared" si="143"/>
        <v>368556</v>
      </c>
      <c r="H5588" s="391" t="s">
        <v>9568</v>
      </c>
    </row>
    <row r="5589" spans="1:8" x14ac:dyDescent="0.3">
      <c r="A5589" s="45">
        <v>45007</v>
      </c>
      <c r="B5589" s="399" t="s">
        <v>10804</v>
      </c>
      <c r="C5589" s="5" t="s">
        <v>5793</v>
      </c>
      <c r="D5589" s="5" t="s">
        <v>10827</v>
      </c>
      <c r="E5589" s="43">
        <v>300</v>
      </c>
      <c r="F5589" s="43"/>
      <c r="G5589" s="48">
        <f t="shared" si="143"/>
        <v>368256</v>
      </c>
      <c r="H5589" s="391" t="s">
        <v>9568</v>
      </c>
    </row>
    <row r="5590" spans="1:8" x14ac:dyDescent="0.3">
      <c r="A5590" s="45">
        <v>45007</v>
      </c>
      <c r="B5590" s="399" t="s">
        <v>10804</v>
      </c>
      <c r="C5590" s="5" t="s">
        <v>4156</v>
      </c>
      <c r="D5590" s="5" t="s">
        <v>10820</v>
      </c>
      <c r="E5590" s="43">
        <v>100000</v>
      </c>
      <c r="F5590" s="43"/>
      <c r="G5590" s="48">
        <f t="shared" si="143"/>
        <v>268256</v>
      </c>
      <c r="H5590" s="391" t="s">
        <v>9568</v>
      </c>
    </row>
    <row r="5591" spans="1:8" x14ac:dyDescent="0.3">
      <c r="A5591" s="45">
        <v>45007</v>
      </c>
      <c r="B5591" s="399" t="s">
        <v>9860</v>
      </c>
      <c r="C5591" s="5" t="s">
        <v>10821</v>
      </c>
      <c r="D5591" s="5" t="s">
        <v>10820</v>
      </c>
      <c r="E5591" s="43">
        <v>100000</v>
      </c>
      <c r="F5591" s="43"/>
      <c r="G5591" s="48">
        <f t="shared" si="143"/>
        <v>168256</v>
      </c>
      <c r="H5591" s="391" t="s">
        <v>9568</v>
      </c>
    </row>
    <row r="5592" spans="1:8" x14ac:dyDescent="0.3">
      <c r="A5592" s="45">
        <v>45007</v>
      </c>
      <c r="B5592" s="399" t="s">
        <v>12089</v>
      </c>
      <c r="C5592" s="5" t="s">
        <v>5162</v>
      </c>
      <c r="D5592" s="5" t="s">
        <v>2013</v>
      </c>
      <c r="E5592" s="43">
        <v>5000</v>
      </c>
      <c r="F5592" s="43"/>
      <c r="G5592" s="48">
        <f t="shared" si="143"/>
        <v>163256</v>
      </c>
      <c r="H5592" s="391" t="s">
        <v>9568</v>
      </c>
    </row>
    <row r="5593" spans="1:8" x14ac:dyDescent="0.3">
      <c r="A5593" s="45">
        <v>45009</v>
      </c>
      <c r="B5593" s="399" t="s">
        <v>10035</v>
      </c>
      <c r="C5593" s="5" t="s">
        <v>10823</v>
      </c>
      <c r="D5593" s="5" t="s">
        <v>10824</v>
      </c>
      <c r="E5593" s="43">
        <v>5000</v>
      </c>
      <c r="F5593" s="43"/>
      <c r="G5593" s="48">
        <f t="shared" si="143"/>
        <v>158256</v>
      </c>
      <c r="H5593" s="391" t="s">
        <v>9568</v>
      </c>
    </row>
    <row r="5594" spans="1:8" x14ac:dyDescent="0.3">
      <c r="A5594" s="45">
        <v>45009</v>
      </c>
      <c r="B5594" s="399" t="s">
        <v>12190</v>
      </c>
      <c r="C5594" s="5" t="s">
        <v>1074</v>
      </c>
      <c r="D5594" s="5" t="s">
        <v>10825</v>
      </c>
      <c r="E5594" s="43">
        <v>49804</v>
      </c>
      <c r="F5594" s="43"/>
      <c r="G5594" s="48">
        <f t="shared" si="143"/>
        <v>108452</v>
      </c>
      <c r="H5594" s="391" t="s">
        <v>9568</v>
      </c>
    </row>
    <row r="5595" spans="1:8" x14ac:dyDescent="0.3">
      <c r="A5595" s="45">
        <v>45009</v>
      </c>
      <c r="B5595" s="399" t="s">
        <v>118</v>
      </c>
      <c r="C5595" s="5" t="s">
        <v>1074</v>
      </c>
      <c r="D5595" s="5" t="s">
        <v>10825</v>
      </c>
      <c r="E5595" s="43">
        <v>15613</v>
      </c>
      <c r="F5595" s="43"/>
      <c r="G5595" s="48">
        <f t="shared" si="143"/>
        <v>92839</v>
      </c>
      <c r="H5595" s="391" t="s">
        <v>9568</v>
      </c>
    </row>
    <row r="5596" spans="1:8" x14ac:dyDescent="0.3">
      <c r="A5596" s="45">
        <v>45009</v>
      </c>
      <c r="B5596" s="399"/>
      <c r="C5596" s="5" t="s">
        <v>1074</v>
      </c>
      <c r="D5596" s="5" t="s">
        <v>10864</v>
      </c>
      <c r="E5596" s="43">
        <v>500</v>
      </c>
      <c r="F5596" s="43"/>
      <c r="G5596" s="48">
        <f t="shared" si="143"/>
        <v>92339</v>
      </c>
      <c r="H5596" s="391" t="s">
        <v>9568</v>
      </c>
    </row>
    <row r="5597" spans="1:8" x14ac:dyDescent="0.3">
      <c r="A5597" s="45">
        <v>45009</v>
      </c>
      <c r="B5597" s="399" t="s">
        <v>10804</v>
      </c>
      <c r="C5597" s="5" t="s">
        <v>10815</v>
      </c>
      <c r="D5597" s="5" t="s">
        <v>10828</v>
      </c>
      <c r="E5597" s="43">
        <v>6000</v>
      </c>
      <c r="F5597" s="43"/>
      <c r="G5597" s="48">
        <f t="shared" si="143"/>
        <v>86339</v>
      </c>
      <c r="H5597" s="391" t="s">
        <v>9568</v>
      </c>
    </row>
    <row r="5598" spans="1:8" x14ac:dyDescent="0.3">
      <c r="A5598" s="45">
        <v>45009</v>
      </c>
      <c r="B5598" s="399" t="s">
        <v>10333</v>
      </c>
      <c r="C5598" s="5" t="s">
        <v>9756</v>
      </c>
      <c r="D5598" s="5" t="s">
        <v>10829</v>
      </c>
      <c r="E5598" s="43">
        <v>1200</v>
      </c>
      <c r="F5598" s="43"/>
      <c r="G5598" s="48">
        <f t="shared" si="143"/>
        <v>85139</v>
      </c>
      <c r="H5598" s="391" t="s">
        <v>9568</v>
      </c>
    </row>
    <row r="5599" spans="1:8" x14ac:dyDescent="0.3">
      <c r="A5599" s="45">
        <v>45009</v>
      </c>
      <c r="B5599" s="399" t="s">
        <v>12089</v>
      </c>
      <c r="C5599" s="5" t="s">
        <v>9452</v>
      </c>
      <c r="D5599" s="5" t="s">
        <v>10830</v>
      </c>
      <c r="E5599" s="43">
        <v>11000</v>
      </c>
      <c r="F5599" s="43"/>
      <c r="G5599" s="48">
        <f t="shared" si="143"/>
        <v>74139</v>
      </c>
      <c r="H5599" s="391" t="s">
        <v>9568</v>
      </c>
    </row>
    <row r="5600" spans="1:8" x14ac:dyDescent="0.3">
      <c r="A5600" s="45">
        <v>45009</v>
      </c>
      <c r="B5600" s="399" t="s">
        <v>12089</v>
      </c>
      <c r="C5600" s="5" t="s">
        <v>5793</v>
      </c>
      <c r="D5600" s="5" t="s">
        <v>10831</v>
      </c>
      <c r="E5600" s="43">
        <v>2500</v>
      </c>
      <c r="F5600" s="43"/>
      <c r="G5600" s="48">
        <f t="shared" si="143"/>
        <v>71639</v>
      </c>
      <c r="H5600" s="391" t="s">
        <v>9568</v>
      </c>
    </row>
    <row r="5601" spans="1:8" x14ac:dyDescent="0.3">
      <c r="A5601" s="45">
        <v>45009</v>
      </c>
      <c r="B5601" s="399" t="s">
        <v>10832</v>
      </c>
      <c r="C5601" s="5" t="s">
        <v>84</v>
      </c>
      <c r="D5601" s="85" t="s">
        <v>10791</v>
      </c>
      <c r="E5601" s="43">
        <v>2000</v>
      </c>
      <c r="F5601" s="43"/>
      <c r="G5601" s="48">
        <f t="shared" si="143"/>
        <v>69639</v>
      </c>
      <c r="H5601" s="391" t="s">
        <v>9568</v>
      </c>
    </row>
    <row r="5602" spans="1:8" x14ac:dyDescent="0.3">
      <c r="A5602" s="45">
        <v>45009</v>
      </c>
      <c r="B5602" s="399" t="s">
        <v>10804</v>
      </c>
      <c r="C5602" s="5" t="s">
        <v>10844</v>
      </c>
      <c r="D5602" s="5" t="s">
        <v>10845</v>
      </c>
      <c r="E5602" s="43">
        <v>9000</v>
      </c>
      <c r="F5602" s="43"/>
      <c r="G5602" s="48">
        <f t="shared" si="143"/>
        <v>60639</v>
      </c>
      <c r="H5602" s="391" t="s">
        <v>9568</v>
      </c>
    </row>
    <row r="5603" spans="1:8" x14ac:dyDescent="0.3">
      <c r="A5603" s="45">
        <v>45009</v>
      </c>
      <c r="B5603" s="399" t="s">
        <v>118</v>
      </c>
      <c r="C5603" s="5" t="s">
        <v>541</v>
      </c>
      <c r="D5603" s="5" t="s">
        <v>10835</v>
      </c>
      <c r="E5603" s="43">
        <v>8000</v>
      </c>
      <c r="F5603" s="43"/>
      <c r="G5603" s="48">
        <f t="shared" si="143"/>
        <v>52639</v>
      </c>
      <c r="H5603" s="391" t="s">
        <v>9568</v>
      </c>
    </row>
    <row r="5604" spans="1:8" x14ac:dyDescent="0.3">
      <c r="A5604" s="45">
        <v>45010</v>
      </c>
      <c r="B5604" s="399"/>
      <c r="C5604" s="5" t="s">
        <v>8573</v>
      </c>
      <c r="D5604" s="5" t="s">
        <v>10833</v>
      </c>
      <c r="E5604" s="43">
        <v>2000</v>
      </c>
      <c r="F5604" s="43"/>
      <c r="G5604" s="48">
        <f t="shared" si="143"/>
        <v>50639</v>
      </c>
      <c r="H5604" s="391" t="s">
        <v>9568</v>
      </c>
    </row>
    <row r="5605" spans="1:8" x14ac:dyDescent="0.3">
      <c r="A5605" s="45">
        <v>45010</v>
      </c>
      <c r="B5605" s="399" t="s">
        <v>10804</v>
      </c>
      <c r="C5605" s="5" t="s">
        <v>9756</v>
      </c>
      <c r="D5605" s="5" t="s">
        <v>10834</v>
      </c>
      <c r="E5605" s="43">
        <v>5800</v>
      </c>
      <c r="F5605" s="43"/>
      <c r="G5605" s="48">
        <f t="shared" si="143"/>
        <v>44839</v>
      </c>
      <c r="H5605" s="391" t="s">
        <v>9568</v>
      </c>
    </row>
    <row r="5606" spans="1:8" x14ac:dyDescent="0.3">
      <c r="A5606" s="45">
        <v>45010</v>
      </c>
      <c r="B5606" s="399" t="s">
        <v>10832</v>
      </c>
      <c r="C5606" s="5" t="s">
        <v>4550</v>
      </c>
      <c r="D5606" s="5" t="s">
        <v>10150</v>
      </c>
      <c r="E5606" s="43">
        <v>30000</v>
      </c>
      <c r="F5606" s="43"/>
      <c r="G5606" s="48">
        <f t="shared" si="143"/>
        <v>14839</v>
      </c>
      <c r="H5606" s="391" t="s">
        <v>9568</v>
      </c>
    </row>
    <row r="5607" spans="1:8" x14ac:dyDescent="0.3">
      <c r="A5607" s="45">
        <v>45010</v>
      </c>
      <c r="B5607" s="399" t="s">
        <v>10804</v>
      </c>
      <c r="C5607" s="5" t="s">
        <v>10709</v>
      </c>
      <c r="D5607" s="61" t="s">
        <v>10836</v>
      </c>
      <c r="E5607" s="43">
        <v>1000</v>
      </c>
      <c r="F5607" s="43"/>
      <c r="G5607" s="48">
        <f t="shared" si="143"/>
        <v>13839</v>
      </c>
      <c r="H5607" s="391" t="s">
        <v>9568</v>
      </c>
    </row>
    <row r="5608" spans="1:8" x14ac:dyDescent="0.3">
      <c r="A5608" s="45">
        <v>45012</v>
      </c>
      <c r="B5608" s="586"/>
      <c r="C5608" s="486"/>
      <c r="D5608" s="497" t="s">
        <v>10803</v>
      </c>
      <c r="E5608" s="486"/>
      <c r="F5608" s="43">
        <v>1000000</v>
      </c>
      <c r="G5608" s="48">
        <f t="shared" si="143"/>
        <v>1013839</v>
      </c>
      <c r="H5608" s="391" t="s">
        <v>9568</v>
      </c>
    </row>
    <row r="5609" spans="1:8" x14ac:dyDescent="0.3">
      <c r="A5609" s="45">
        <v>45012</v>
      </c>
      <c r="B5609" s="345" t="s">
        <v>12096</v>
      </c>
      <c r="C5609" s="5" t="s">
        <v>9756</v>
      </c>
      <c r="D5609" s="5" t="s">
        <v>10837</v>
      </c>
      <c r="E5609" s="43">
        <v>14975</v>
      </c>
      <c r="F5609" s="43"/>
      <c r="G5609" s="48">
        <f t="shared" si="143"/>
        <v>998864</v>
      </c>
      <c r="H5609" s="391" t="s">
        <v>9568</v>
      </c>
    </row>
    <row r="5610" spans="1:8" x14ac:dyDescent="0.3">
      <c r="A5610" s="45">
        <v>45012</v>
      </c>
      <c r="B5610" s="345" t="s">
        <v>12096</v>
      </c>
      <c r="C5610" s="5" t="s">
        <v>9756</v>
      </c>
      <c r="D5610" s="5" t="s">
        <v>10852</v>
      </c>
      <c r="E5610" s="43">
        <v>37000</v>
      </c>
      <c r="F5610" s="43"/>
      <c r="G5610" s="48">
        <f t="shared" si="143"/>
        <v>961864</v>
      </c>
      <c r="H5610" s="391" t="s">
        <v>9568</v>
      </c>
    </row>
    <row r="5611" spans="1:8" x14ac:dyDescent="0.3">
      <c r="A5611" s="45">
        <v>45012</v>
      </c>
      <c r="B5611" s="399" t="s">
        <v>12091</v>
      </c>
      <c r="C5611" s="5" t="s">
        <v>9756</v>
      </c>
      <c r="D5611" s="5" t="s">
        <v>10838</v>
      </c>
      <c r="E5611" s="43">
        <v>880</v>
      </c>
      <c r="F5611" s="43"/>
      <c r="G5611" s="48">
        <f t="shared" si="143"/>
        <v>960984</v>
      </c>
      <c r="H5611" s="391" t="s">
        <v>9568</v>
      </c>
    </row>
    <row r="5612" spans="1:8" x14ac:dyDescent="0.3">
      <c r="A5612" s="45">
        <v>45012</v>
      </c>
      <c r="B5612" s="399" t="s">
        <v>10804</v>
      </c>
      <c r="C5612" s="5" t="s">
        <v>10709</v>
      </c>
      <c r="D5612" s="5" t="s">
        <v>10820</v>
      </c>
      <c r="E5612" s="43">
        <v>5000</v>
      </c>
      <c r="F5612" s="43"/>
      <c r="G5612" s="48">
        <f t="shared" si="143"/>
        <v>955984</v>
      </c>
      <c r="H5612" s="391" t="s">
        <v>9568</v>
      </c>
    </row>
    <row r="5613" spans="1:8" x14ac:dyDescent="0.3">
      <c r="A5613" s="45">
        <v>45012</v>
      </c>
      <c r="B5613" s="399" t="s">
        <v>10840</v>
      </c>
      <c r="C5613" s="5" t="s">
        <v>10839</v>
      </c>
      <c r="D5613" s="5" t="s">
        <v>10841</v>
      </c>
      <c r="E5613" s="43">
        <v>300000</v>
      </c>
      <c r="F5613" s="43"/>
      <c r="G5613" s="48">
        <f t="shared" si="143"/>
        <v>655984</v>
      </c>
      <c r="H5613" s="391" t="s">
        <v>9568</v>
      </c>
    </row>
    <row r="5614" spans="1:8" x14ac:dyDescent="0.3">
      <c r="A5614" s="45">
        <v>45012</v>
      </c>
      <c r="B5614" s="399" t="s">
        <v>4989</v>
      </c>
      <c r="C5614" s="5" t="s">
        <v>10842</v>
      </c>
      <c r="D5614" s="5" t="s">
        <v>10843</v>
      </c>
      <c r="E5614" s="43">
        <v>250000</v>
      </c>
      <c r="F5614" s="43"/>
      <c r="G5614" s="48">
        <f t="shared" si="143"/>
        <v>405984</v>
      </c>
      <c r="H5614" s="391" t="s">
        <v>9568</v>
      </c>
    </row>
    <row r="5615" spans="1:8" x14ac:dyDescent="0.3">
      <c r="A5615" s="45">
        <v>45012</v>
      </c>
      <c r="B5615" s="399"/>
      <c r="C5615" s="5" t="s">
        <v>4470</v>
      </c>
      <c r="D5615" s="5" t="s">
        <v>10848</v>
      </c>
      <c r="E5615" s="43">
        <v>760</v>
      </c>
      <c r="F5615" s="43"/>
      <c r="G5615" s="48">
        <f t="shared" si="143"/>
        <v>405224</v>
      </c>
      <c r="H5615" s="391" t="s">
        <v>9568</v>
      </c>
    </row>
    <row r="5616" spans="1:8" x14ac:dyDescent="0.3">
      <c r="A5616" s="45">
        <v>45012</v>
      </c>
      <c r="B5616" s="399" t="s">
        <v>10832</v>
      </c>
      <c r="C5616" s="5" t="s">
        <v>84</v>
      </c>
      <c r="D5616" s="5" t="s">
        <v>10847</v>
      </c>
      <c r="E5616" s="43">
        <v>3000</v>
      </c>
      <c r="F5616" s="43"/>
      <c r="G5616" s="48">
        <f t="shared" si="143"/>
        <v>402224</v>
      </c>
      <c r="H5616" s="391" t="s">
        <v>9568</v>
      </c>
    </row>
    <row r="5617" spans="1:8" x14ac:dyDescent="0.3">
      <c r="A5617" s="45">
        <v>45012</v>
      </c>
      <c r="B5617" s="399"/>
      <c r="C5617" s="5" t="s">
        <v>84</v>
      </c>
      <c r="D5617" s="5" t="s">
        <v>10849</v>
      </c>
      <c r="E5617" s="43">
        <v>40000</v>
      </c>
      <c r="F5617" s="43"/>
      <c r="G5617" s="48">
        <f t="shared" si="143"/>
        <v>362224</v>
      </c>
      <c r="H5617" s="391" t="s">
        <v>9568</v>
      </c>
    </row>
    <row r="5618" spans="1:8" x14ac:dyDescent="0.3">
      <c r="A5618" s="45">
        <v>45012</v>
      </c>
      <c r="B5618" s="399" t="s">
        <v>9925</v>
      </c>
      <c r="C5618" s="5" t="s">
        <v>8009</v>
      </c>
      <c r="D5618" s="5" t="s">
        <v>10858</v>
      </c>
      <c r="E5618" s="43">
        <v>72000</v>
      </c>
      <c r="F5618" s="43"/>
      <c r="G5618" s="48">
        <f t="shared" si="143"/>
        <v>290224</v>
      </c>
      <c r="H5618" s="391" t="s">
        <v>9568</v>
      </c>
    </row>
    <row r="5619" spans="1:8" x14ac:dyDescent="0.3">
      <c r="A5619" s="45">
        <v>45012</v>
      </c>
      <c r="B5619" s="399" t="s">
        <v>10804</v>
      </c>
      <c r="C5619" s="5" t="s">
        <v>4156</v>
      </c>
      <c r="D5619" s="5" t="s">
        <v>10850</v>
      </c>
      <c r="E5619" s="43">
        <v>78000</v>
      </c>
      <c r="F5619" s="43"/>
      <c r="G5619" s="48">
        <f t="shared" si="143"/>
        <v>212224</v>
      </c>
      <c r="H5619" s="391" t="s">
        <v>9568</v>
      </c>
    </row>
    <row r="5620" spans="1:8" x14ac:dyDescent="0.3">
      <c r="A5620" s="45">
        <v>45012</v>
      </c>
      <c r="B5620" s="399" t="s">
        <v>10832</v>
      </c>
      <c r="C5620" s="5" t="s">
        <v>84</v>
      </c>
      <c r="D5620" s="5" t="s">
        <v>10853</v>
      </c>
      <c r="E5620" s="43">
        <v>2000</v>
      </c>
      <c r="F5620" s="43"/>
      <c r="G5620" s="48">
        <f t="shared" si="143"/>
        <v>210224</v>
      </c>
      <c r="H5620" s="391" t="s">
        <v>9568</v>
      </c>
    </row>
    <row r="5621" spans="1:8" x14ac:dyDescent="0.3">
      <c r="A5621" s="45">
        <v>45012</v>
      </c>
      <c r="B5621" s="399" t="s">
        <v>10832</v>
      </c>
      <c r="C5621" s="5" t="s">
        <v>4550</v>
      </c>
      <c r="D5621" s="5" t="s">
        <v>3557</v>
      </c>
      <c r="E5621" s="43">
        <v>100000</v>
      </c>
      <c r="F5621" s="43"/>
      <c r="G5621" s="48">
        <f t="shared" si="143"/>
        <v>110224</v>
      </c>
      <c r="H5621" s="391" t="s">
        <v>9568</v>
      </c>
    </row>
    <row r="5622" spans="1:8" x14ac:dyDescent="0.3">
      <c r="A5622" s="45">
        <v>45013</v>
      </c>
      <c r="B5622" s="586"/>
      <c r="C5622" s="486"/>
      <c r="D5622" s="497" t="s">
        <v>10854</v>
      </c>
      <c r="E5622" s="486"/>
      <c r="F5622" s="43">
        <v>105000</v>
      </c>
      <c r="G5622" s="48">
        <f t="shared" si="143"/>
        <v>215224</v>
      </c>
      <c r="H5622" s="391" t="s">
        <v>9568</v>
      </c>
    </row>
    <row r="5623" spans="1:8" x14ac:dyDescent="0.3">
      <c r="A5623" s="45">
        <v>45013</v>
      </c>
      <c r="B5623" s="399" t="s">
        <v>9925</v>
      </c>
      <c r="C5623" s="5" t="s">
        <v>8009</v>
      </c>
      <c r="D5623" s="5" t="s">
        <v>2013</v>
      </c>
      <c r="E5623" s="43">
        <v>1000</v>
      </c>
      <c r="F5623" s="43"/>
      <c r="G5623" s="48">
        <f t="shared" si="143"/>
        <v>214224</v>
      </c>
      <c r="H5623" s="391" t="s">
        <v>9568</v>
      </c>
    </row>
    <row r="5624" spans="1:8" x14ac:dyDescent="0.3">
      <c r="A5624" s="45">
        <v>45013</v>
      </c>
      <c r="B5624" s="399" t="s">
        <v>9925</v>
      </c>
      <c r="C5624" s="5" t="s">
        <v>5793</v>
      </c>
      <c r="D5624" s="5" t="s">
        <v>40</v>
      </c>
      <c r="E5624" s="43">
        <v>500</v>
      </c>
      <c r="F5624" s="43"/>
      <c r="G5624" s="48">
        <f t="shared" si="143"/>
        <v>213724</v>
      </c>
      <c r="H5624" s="391" t="s">
        <v>9568</v>
      </c>
    </row>
    <row r="5625" spans="1:8" x14ac:dyDescent="0.3">
      <c r="A5625" s="45">
        <v>45013</v>
      </c>
      <c r="B5625" s="399" t="s">
        <v>11772</v>
      </c>
      <c r="C5625" s="5" t="s">
        <v>9452</v>
      </c>
      <c r="D5625" s="5" t="s">
        <v>10855</v>
      </c>
      <c r="E5625" s="43">
        <v>1280</v>
      </c>
      <c r="F5625" s="43"/>
      <c r="G5625" s="48">
        <f t="shared" ref="G5625:G5688" si="144">G5624+F5625-E5625</f>
        <v>212444</v>
      </c>
      <c r="H5625" s="391" t="s">
        <v>9568</v>
      </c>
    </row>
    <row r="5626" spans="1:8" x14ac:dyDescent="0.3">
      <c r="A5626" s="45">
        <v>45013</v>
      </c>
      <c r="B5626" s="399" t="s">
        <v>10766</v>
      </c>
      <c r="C5626" s="5" t="s">
        <v>9801</v>
      </c>
      <c r="D5626" s="5" t="s">
        <v>9802</v>
      </c>
      <c r="E5626" s="43">
        <v>1900</v>
      </c>
      <c r="F5626" s="43"/>
      <c r="G5626" s="48">
        <f t="shared" si="144"/>
        <v>210544</v>
      </c>
      <c r="H5626" s="391" t="s">
        <v>9568</v>
      </c>
    </row>
    <row r="5627" spans="1:8" x14ac:dyDescent="0.3">
      <c r="A5627" s="45">
        <v>45013</v>
      </c>
      <c r="B5627" s="345" t="s">
        <v>12096</v>
      </c>
      <c r="C5627" s="5" t="s">
        <v>18</v>
      </c>
      <c r="D5627" s="5" t="s">
        <v>10856</v>
      </c>
      <c r="E5627" s="43">
        <v>150000</v>
      </c>
      <c r="F5627" s="43"/>
      <c r="G5627" s="48">
        <f t="shared" si="144"/>
        <v>60544</v>
      </c>
      <c r="H5627" s="391" t="s">
        <v>9568</v>
      </c>
    </row>
    <row r="5628" spans="1:8" x14ac:dyDescent="0.3">
      <c r="A5628" s="45">
        <v>45013</v>
      </c>
      <c r="B5628" s="399"/>
      <c r="C5628" s="5" t="s">
        <v>84</v>
      </c>
      <c r="D5628" s="5" t="s">
        <v>10857</v>
      </c>
      <c r="E5628" s="43">
        <v>10000</v>
      </c>
      <c r="F5628" s="43"/>
      <c r="G5628" s="48">
        <f t="shared" si="144"/>
        <v>50544</v>
      </c>
      <c r="H5628" s="391" t="s">
        <v>9568</v>
      </c>
    </row>
    <row r="5629" spans="1:8" x14ac:dyDescent="0.3">
      <c r="A5629" s="45">
        <v>45013</v>
      </c>
      <c r="B5629" s="399" t="s">
        <v>9925</v>
      </c>
      <c r="C5629" s="5" t="s">
        <v>10859</v>
      </c>
      <c r="D5629" s="5" t="s">
        <v>5508</v>
      </c>
      <c r="E5629" s="43">
        <v>30000</v>
      </c>
      <c r="F5629" s="43"/>
      <c r="G5629" s="48">
        <f t="shared" si="144"/>
        <v>20544</v>
      </c>
      <c r="H5629" s="391" t="s">
        <v>9568</v>
      </c>
    </row>
    <row r="5630" spans="1:8" x14ac:dyDescent="0.3">
      <c r="A5630" s="45">
        <v>45013</v>
      </c>
      <c r="B5630" s="399" t="s">
        <v>10615</v>
      </c>
      <c r="C5630" s="5" t="s">
        <v>84</v>
      </c>
      <c r="D5630" s="5" t="s">
        <v>10860</v>
      </c>
      <c r="E5630" s="43">
        <v>2000</v>
      </c>
      <c r="F5630" s="43"/>
      <c r="G5630" s="48">
        <f t="shared" si="144"/>
        <v>18544</v>
      </c>
      <c r="H5630" s="391" t="s">
        <v>9568</v>
      </c>
    </row>
    <row r="5631" spans="1:8" x14ac:dyDescent="0.3">
      <c r="A5631" s="45">
        <v>45013</v>
      </c>
      <c r="B5631" s="399" t="s">
        <v>118</v>
      </c>
      <c r="C5631" s="5" t="s">
        <v>10861</v>
      </c>
      <c r="D5631" s="5" t="s">
        <v>10862</v>
      </c>
      <c r="E5631" s="43">
        <v>2000</v>
      </c>
      <c r="F5631" s="43"/>
      <c r="G5631" s="48">
        <f t="shared" si="144"/>
        <v>16544</v>
      </c>
      <c r="H5631" s="391" t="s">
        <v>9568</v>
      </c>
    </row>
    <row r="5632" spans="1:8" x14ac:dyDescent="0.3">
      <c r="A5632" s="45">
        <v>45013</v>
      </c>
      <c r="B5632" s="399"/>
      <c r="C5632" s="5" t="s">
        <v>9873</v>
      </c>
      <c r="D5632" s="5" t="s">
        <v>294</v>
      </c>
      <c r="E5632" s="43">
        <v>2000</v>
      </c>
      <c r="F5632" s="43"/>
      <c r="G5632" s="48">
        <f t="shared" si="144"/>
        <v>14544</v>
      </c>
      <c r="H5632" s="391" t="s">
        <v>9568</v>
      </c>
    </row>
    <row r="5633" spans="1:8" x14ac:dyDescent="0.3">
      <c r="A5633" s="45">
        <v>45013</v>
      </c>
      <c r="B5633" s="399"/>
      <c r="C5633" s="5" t="s">
        <v>1073</v>
      </c>
      <c r="D5633" s="5" t="s">
        <v>10863</v>
      </c>
      <c r="E5633" s="43">
        <v>300</v>
      </c>
      <c r="F5633" s="43"/>
      <c r="G5633" s="48">
        <f t="shared" si="144"/>
        <v>14244</v>
      </c>
      <c r="H5633" s="391" t="s">
        <v>9568</v>
      </c>
    </row>
    <row r="5634" spans="1:8" x14ac:dyDescent="0.3">
      <c r="A5634" s="184">
        <v>45013</v>
      </c>
      <c r="B5634" s="588"/>
      <c r="C5634" s="503"/>
      <c r="D5634" s="504" t="s">
        <v>10803</v>
      </c>
      <c r="E5634" s="503"/>
      <c r="F5634" s="67">
        <v>500000</v>
      </c>
      <c r="G5634" s="48">
        <f t="shared" si="144"/>
        <v>514244</v>
      </c>
      <c r="H5634" s="391" t="s">
        <v>9568</v>
      </c>
    </row>
    <row r="5635" spans="1:8" x14ac:dyDescent="0.3">
      <c r="A5635" s="45">
        <v>45014</v>
      </c>
      <c r="B5635" s="399"/>
      <c r="C5635" s="5" t="s">
        <v>10872</v>
      </c>
      <c r="D5635" s="5" t="s">
        <v>294</v>
      </c>
      <c r="E5635" s="43">
        <v>100000</v>
      </c>
      <c r="F5635" s="43"/>
      <c r="G5635" s="48">
        <f t="shared" si="144"/>
        <v>414244</v>
      </c>
      <c r="H5635" s="391" t="s">
        <v>9568</v>
      </c>
    </row>
    <row r="5636" spans="1:8" x14ac:dyDescent="0.3">
      <c r="A5636" s="45">
        <v>45014</v>
      </c>
      <c r="B5636" s="399" t="s">
        <v>10867</v>
      </c>
      <c r="C5636" s="5" t="s">
        <v>10866</v>
      </c>
      <c r="D5636" s="5" t="s">
        <v>10865</v>
      </c>
      <c r="E5636" s="43">
        <v>4000</v>
      </c>
      <c r="F5636" s="43"/>
      <c r="G5636" s="48">
        <f t="shared" si="144"/>
        <v>410244</v>
      </c>
      <c r="H5636" s="391" t="s">
        <v>9568</v>
      </c>
    </row>
    <row r="5637" spans="1:8" x14ac:dyDescent="0.3">
      <c r="A5637" s="45">
        <v>45014</v>
      </c>
      <c r="B5637" s="399" t="s">
        <v>118</v>
      </c>
      <c r="C5637" s="5" t="s">
        <v>10868</v>
      </c>
      <c r="D5637" s="5" t="s">
        <v>10869</v>
      </c>
      <c r="E5637" s="43">
        <v>1980</v>
      </c>
      <c r="F5637" s="43"/>
      <c r="G5637" s="48">
        <f t="shared" si="144"/>
        <v>408264</v>
      </c>
      <c r="H5637" s="391" t="s">
        <v>9568</v>
      </c>
    </row>
    <row r="5638" spans="1:8" x14ac:dyDescent="0.3">
      <c r="A5638" s="45">
        <v>45014</v>
      </c>
      <c r="B5638" s="399" t="s">
        <v>118</v>
      </c>
      <c r="C5638" s="5" t="s">
        <v>4400</v>
      </c>
      <c r="D5638" s="5" t="s">
        <v>40</v>
      </c>
      <c r="E5638" s="43">
        <v>4600</v>
      </c>
      <c r="F5638" s="43"/>
      <c r="G5638" s="48">
        <f t="shared" si="144"/>
        <v>403664</v>
      </c>
      <c r="H5638" s="391" t="s">
        <v>9568</v>
      </c>
    </row>
    <row r="5639" spans="1:8" x14ac:dyDescent="0.3">
      <c r="A5639" s="45">
        <v>45014</v>
      </c>
      <c r="B5639" s="399" t="s">
        <v>10615</v>
      </c>
      <c r="C5639" s="5" t="s">
        <v>84</v>
      </c>
      <c r="D5639" s="5" t="s">
        <v>10870</v>
      </c>
      <c r="E5639" s="43">
        <v>2000</v>
      </c>
      <c r="F5639" s="43"/>
      <c r="G5639" s="48">
        <f t="shared" si="144"/>
        <v>401664</v>
      </c>
      <c r="H5639" s="391" t="s">
        <v>9568</v>
      </c>
    </row>
    <row r="5640" spans="1:8" x14ac:dyDescent="0.3">
      <c r="A5640" s="45">
        <v>45014</v>
      </c>
      <c r="B5640" s="399" t="s">
        <v>10615</v>
      </c>
      <c r="C5640" s="5" t="s">
        <v>84</v>
      </c>
      <c r="D5640" s="5" t="s">
        <v>10881</v>
      </c>
      <c r="E5640" s="43">
        <v>2000</v>
      </c>
      <c r="F5640" s="43"/>
      <c r="G5640" s="48">
        <f t="shared" si="144"/>
        <v>399664</v>
      </c>
      <c r="H5640" s="391" t="s">
        <v>9568</v>
      </c>
    </row>
    <row r="5641" spans="1:8" x14ac:dyDescent="0.3">
      <c r="A5641" s="45">
        <v>45014</v>
      </c>
      <c r="B5641" s="399" t="s">
        <v>10867</v>
      </c>
      <c r="C5641" s="5" t="s">
        <v>10871</v>
      </c>
      <c r="D5641" s="5" t="s">
        <v>10873</v>
      </c>
      <c r="E5641" s="43">
        <v>8000</v>
      </c>
      <c r="F5641" s="43"/>
      <c r="G5641" s="48">
        <f t="shared" si="144"/>
        <v>391664</v>
      </c>
      <c r="H5641" s="391" t="s">
        <v>9568</v>
      </c>
    </row>
    <row r="5642" spans="1:8" x14ac:dyDescent="0.3">
      <c r="A5642" s="45">
        <v>45014</v>
      </c>
      <c r="B5642" s="399" t="s">
        <v>118</v>
      </c>
      <c r="C5642" s="5" t="s">
        <v>10861</v>
      </c>
      <c r="D5642" s="5" t="s">
        <v>10875</v>
      </c>
      <c r="E5642" s="43">
        <v>1000</v>
      </c>
      <c r="F5642" s="43"/>
      <c r="G5642" s="48">
        <f t="shared" si="144"/>
        <v>390664</v>
      </c>
      <c r="H5642" s="391" t="s">
        <v>9568</v>
      </c>
    </row>
    <row r="5643" spans="1:8" x14ac:dyDescent="0.3">
      <c r="A5643" s="45">
        <v>45014</v>
      </c>
      <c r="B5643" s="399" t="s">
        <v>12091</v>
      </c>
      <c r="C5643" s="5" t="s">
        <v>8573</v>
      </c>
      <c r="D5643" s="5" t="s">
        <v>10874</v>
      </c>
      <c r="E5643" s="43">
        <v>48000</v>
      </c>
      <c r="F5643" s="43"/>
      <c r="G5643" s="48">
        <f t="shared" si="144"/>
        <v>342664</v>
      </c>
      <c r="H5643" s="391" t="s">
        <v>9568</v>
      </c>
    </row>
    <row r="5644" spans="1:8" x14ac:dyDescent="0.3">
      <c r="A5644" s="45">
        <v>45015</v>
      </c>
      <c r="B5644" s="588"/>
      <c r="C5644" s="503"/>
      <c r="D5644" s="504" t="s">
        <v>10803</v>
      </c>
      <c r="E5644" s="503"/>
      <c r="F5644" s="67">
        <v>540000</v>
      </c>
      <c r="G5644" s="48">
        <f t="shared" si="144"/>
        <v>882664</v>
      </c>
      <c r="H5644" s="391" t="s">
        <v>9568</v>
      </c>
    </row>
    <row r="5645" spans="1:8" x14ac:dyDescent="0.3">
      <c r="A5645" s="45">
        <v>45015</v>
      </c>
      <c r="B5645" s="399" t="s">
        <v>6481</v>
      </c>
      <c r="C5645" s="5" t="s">
        <v>10788</v>
      </c>
      <c r="D5645" s="5" t="s">
        <v>10876</v>
      </c>
      <c r="E5645" s="43">
        <v>20000</v>
      </c>
      <c r="F5645" s="43"/>
      <c r="G5645" s="48">
        <f t="shared" si="144"/>
        <v>862664</v>
      </c>
      <c r="H5645" s="391" t="s">
        <v>9568</v>
      </c>
    </row>
    <row r="5646" spans="1:8" x14ac:dyDescent="0.3">
      <c r="A5646" s="45">
        <v>45015</v>
      </c>
      <c r="B5646" s="399" t="s">
        <v>6481</v>
      </c>
      <c r="C5646" s="5" t="s">
        <v>2059</v>
      </c>
      <c r="D5646" s="5" t="s">
        <v>10877</v>
      </c>
      <c r="E5646" s="43">
        <v>512000</v>
      </c>
      <c r="F5646" s="43"/>
      <c r="G5646" s="48">
        <f t="shared" si="144"/>
        <v>350664</v>
      </c>
      <c r="H5646" s="391" t="s">
        <v>9568</v>
      </c>
    </row>
    <row r="5647" spans="1:8" x14ac:dyDescent="0.3">
      <c r="A5647" s="45">
        <v>45015</v>
      </c>
      <c r="B5647" s="399" t="s">
        <v>12190</v>
      </c>
      <c r="C5647" s="5" t="s">
        <v>1616</v>
      </c>
      <c r="D5647" s="5" t="s">
        <v>2435</v>
      </c>
      <c r="E5647" s="43">
        <v>750</v>
      </c>
      <c r="F5647" s="43"/>
      <c r="G5647" s="48">
        <f t="shared" si="144"/>
        <v>349914</v>
      </c>
      <c r="H5647" s="391" t="s">
        <v>9568</v>
      </c>
    </row>
    <row r="5648" spans="1:8" x14ac:dyDescent="0.3">
      <c r="A5648" s="45">
        <v>45015</v>
      </c>
      <c r="B5648" s="399" t="s">
        <v>5958</v>
      </c>
      <c r="C5648" s="5" t="s">
        <v>10760</v>
      </c>
      <c r="D5648" s="5" t="s">
        <v>10878</v>
      </c>
      <c r="E5648" s="43">
        <v>8000</v>
      </c>
      <c r="F5648" s="43"/>
      <c r="G5648" s="48">
        <f t="shared" si="144"/>
        <v>341914</v>
      </c>
      <c r="H5648" s="391" t="s">
        <v>9568</v>
      </c>
    </row>
    <row r="5649" spans="1:8" x14ac:dyDescent="0.3">
      <c r="A5649" s="45">
        <v>45015</v>
      </c>
      <c r="B5649" s="399" t="s">
        <v>10804</v>
      </c>
      <c r="C5649" s="5" t="s">
        <v>9756</v>
      </c>
      <c r="D5649" s="5" t="s">
        <v>10880</v>
      </c>
      <c r="E5649" s="43">
        <v>1200</v>
      </c>
      <c r="F5649" s="43"/>
      <c r="G5649" s="48">
        <f t="shared" si="144"/>
        <v>340714</v>
      </c>
      <c r="H5649" s="391" t="s">
        <v>9568</v>
      </c>
    </row>
    <row r="5650" spans="1:8" x14ac:dyDescent="0.3">
      <c r="A5650" s="45">
        <v>45015</v>
      </c>
      <c r="B5650" s="399" t="s">
        <v>118</v>
      </c>
      <c r="C5650" s="5" t="s">
        <v>10868</v>
      </c>
      <c r="D5650" s="5" t="s">
        <v>10884</v>
      </c>
      <c r="E5650" s="43">
        <v>30000</v>
      </c>
      <c r="F5650" s="43"/>
      <c r="G5650" s="48">
        <f t="shared" si="144"/>
        <v>310714</v>
      </c>
      <c r="H5650" s="391" t="s">
        <v>9568</v>
      </c>
    </row>
    <row r="5651" spans="1:8" x14ac:dyDescent="0.3">
      <c r="A5651" s="45">
        <v>45015</v>
      </c>
      <c r="B5651" s="399"/>
      <c r="C5651" s="5" t="s">
        <v>10861</v>
      </c>
      <c r="D5651" s="5" t="s">
        <v>10882</v>
      </c>
      <c r="E5651" s="43">
        <v>1000</v>
      </c>
      <c r="F5651" s="43"/>
      <c r="G5651" s="48">
        <f t="shared" si="144"/>
        <v>309714</v>
      </c>
      <c r="H5651" s="391" t="s">
        <v>9568</v>
      </c>
    </row>
    <row r="5652" spans="1:8" x14ac:dyDescent="0.3">
      <c r="A5652" s="45">
        <v>45015</v>
      </c>
      <c r="B5652" s="399" t="s">
        <v>10867</v>
      </c>
      <c r="C5652" s="5" t="s">
        <v>10885</v>
      </c>
      <c r="D5652" s="5" t="s">
        <v>6516</v>
      </c>
      <c r="E5652" s="43">
        <v>144000</v>
      </c>
      <c r="F5652" s="43"/>
      <c r="G5652" s="48">
        <f t="shared" si="144"/>
        <v>165714</v>
      </c>
      <c r="H5652" s="391" t="s">
        <v>9568</v>
      </c>
    </row>
    <row r="5653" spans="1:8" x14ac:dyDescent="0.3">
      <c r="A5653" s="45">
        <v>45015</v>
      </c>
      <c r="B5653" s="588"/>
      <c r="C5653" s="503"/>
      <c r="D5653" s="504" t="s">
        <v>10803</v>
      </c>
      <c r="E5653" s="503"/>
      <c r="F5653" s="67">
        <v>400000</v>
      </c>
      <c r="G5653" s="48">
        <f t="shared" si="144"/>
        <v>565714</v>
      </c>
      <c r="H5653" s="391" t="s">
        <v>9568</v>
      </c>
    </row>
    <row r="5654" spans="1:8" x14ac:dyDescent="0.3">
      <c r="A5654" s="45">
        <v>45015</v>
      </c>
      <c r="B5654" s="399" t="s">
        <v>118</v>
      </c>
      <c r="C5654" s="5" t="s">
        <v>10868</v>
      </c>
      <c r="D5654" s="5" t="s">
        <v>10886</v>
      </c>
      <c r="E5654" s="43">
        <v>750</v>
      </c>
      <c r="F5654" s="43"/>
      <c r="G5654" s="48">
        <f t="shared" si="144"/>
        <v>564964</v>
      </c>
      <c r="H5654" s="391" t="s">
        <v>9568</v>
      </c>
    </row>
    <row r="5655" spans="1:8" x14ac:dyDescent="0.3">
      <c r="A5655" s="45">
        <v>45015</v>
      </c>
      <c r="B5655" s="399" t="s">
        <v>30</v>
      </c>
      <c r="C5655" s="5" t="s">
        <v>10815</v>
      </c>
      <c r="D5655" s="5" t="s">
        <v>6312</v>
      </c>
      <c r="E5655" s="43">
        <v>300</v>
      </c>
      <c r="F5655" s="43"/>
      <c r="G5655" s="48">
        <f t="shared" si="144"/>
        <v>564664</v>
      </c>
      <c r="H5655" s="391" t="s">
        <v>9568</v>
      </c>
    </row>
    <row r="5656" spans="1:8" x14ac:dyDescent="0.3">
      <c r="A5656" s="45">
        <v>45016</v>
      </c>
      <c r="B5656" s="399" t="s">
        <v>118</v>
      </c>
      <c r="C5656" s="5" t="s">
        <v>5793</v>
      </c>
      <c r="D5656" s="5" t="s">
        <v>10890</v>
      </c>
      <c r="E5656" s="43">
        <v>1000</v>
      </c>
      <c r="F5656" s="43"/>
      <c r="G5656" s="48">
        <f t="shared" si="144"/>
        <v>563664</v>
      </c>
      <c r="H5656" s="391" t="s">
        <v>9568</v>
      </c>
    </row>
    <row r="5657" spans="1:8" x14ac:dyDescent="0.3">
      <c r="A5657" s="45">
        <v>45016</v>
      </c>
      <c r="B5657" s="399" t="s">
        <v>118</v>
      </c>
      <c r="C5657" s="5" t="s">
        <v>10868</v>
      </c>
      <c r="D5657" s="5" t="s">
        <v>10887</v>
      </c>
      <c r="E5657" s="43">
        <v>550</v>
      </c>
      <c r="F5657" s="43"/>
      <c r="G5657" s="48">
        <f t="shared" si="144"/>
        <v>563114</v>
      </c>
      <c r="H5657" s="391" t="s">
        <v>9568</v>
      </c>
    </row>
    <row r="5658" spans="1:8" x14ac:dyDescent="0.3">
      <c r="A5658" s="45">
        <v>45016</v>
      </c>
      <c r="B5658" s="399" t="s">
        <v>30</v>
      </c>
      <c r="C5658" s="5" t="s">
        <v>9756</v>
      </c>
      <c r="D5658" s="5" t="s">
        <v>6312</v>
      </c>
      <c r="E5658" s="43">
        <v>500</v>
      </c>
      <c r="F5658" s="43"/>
      <c r="G5658" s="48">
        <f t="shared" si="144"/>
        <v>562614</v>
      </c>
      <c r="H5658" s="391" t="s">
        <v>9568</v>
      </c>
    </row>
    <row r="5659" spans="1:8" x14ac:dyDescent="0.3">
      <c r="A5659" s="45">
        <v>45016</v>
      </c>
      <c r="B5659" s="399" t="s">
        <v>10112</v>
      </c>
      <c r="C5659" s="5" t="s">
        <v>10823</v>
      </c>
      <c r="D5659" s="5" t="s">
        <v>10377</v>
      </c>
      <c r="E5659" s="43">
        <v>74000</v>
      </c>
      <c r="F5659" s="43"/>
      <c r="G5659" s="48">
        <f t="shared" si="144"/>
        <v>488614</v>
      </c>
      <c r="H5659" s="391" t="s">
        <v>9568</v>
      </c>
    </row>
    <row r="5660" spans="1:8" x14ac:dyDescent="0.3">
      <c r="A5660" s="45">
        <v>45016</v>
      </c>
      <c r="B5660" s="399" t="s">
        <v>10804</v>
      </c>
      <c r="C5660" s="5" t="s">
        <v>5793</v>
      </c>
      <c r="D5660" s="5" t="s">
        <v>10888</v>
      </c>
      <c r="E5660" s="43">
        <v>500</v>
      </c>
      <c r="F5660" s="43"/>
      <c r="G5660" s="48">
        <f t="shared" si="144"/>
        <v>488114</v>
      </c>
      <c r="H5660" s="391" t="s">
        <v>9568</v>
      </c>
    </row>
    <row r="5661" spans="1:8" x14ac:dyDescent="0.3">
      <c r="A5661" s="45">
        <v>45016</v>
      </c>
      <c r="B5661" s="399"/>
      <c r="C5661" s="5" t="s">
        <v>9873</v>
      </c>
      <c r="D5661" s="5" t="s">
        <v>294</v>
      </c>
      <c r="E5661" s="43">
        <v>2250</v>
      </c>
      <c r="F5661" s="43"/>
      <c r="G5661" s="48">
        <f t="shared" si="144"/>
        <v>485864</v>
      </c>
      <c r="H5661" s="391" t="s">
        <v>9568</v>
      </c>
    </row>
    <row r="5662" spans="1:8" x14ac:dyDescent="0.3">
      <c r="A5662" s="45">
        <v>45016</v>
      </c>
      <c r="B5662" s="588"/>
      <c r="C5662" s="503"/>
      <c r="D5662" s="504" t="s">
        <v>10803</v>
      </c>
      <c r="E5662" s="503"/>
      <c r="F5662" s="67">
        <v>300000</v>
      </c>
      <c r="G5662" s="48">
        <f t="shared" si="144"/>
        <v>785864</v>
      </c>
      <c r="H5662" s="391" t="s">
        <v>9568</v>
      </c>
    </row>
    <row r="5663" spans="1:8" x14ac:dyDescent="0.3">
      <c r="A5663" s="45">
        <v>45016</v>
      </c>
      <c r="B5663" s="399" t="s">
        <v>30</v>
      </c>
      <c r="C5663" s="5" t="s">
        <v>10815</v>
      </c>
      <c r="D5663" s="5" t="s">
        <v>6312</v>
      </c>
      <c r="E5663" s="43">
        <v>300</v>
      </c>
      <c r="F5663" s="43"/>
      <c r="G5663" s="48">
        <f t="shared" si="144"/>
        <v>785564</v>
      </c>
      <c r="H5663" s="391" t="s">
        <v>9568</v>
      </c>
    </row>
    <row r="5664" spans="1:8" x14ac:dyDescent="0.3">
      <c r="A5664" s="45">
        <v>45016</v>
      </c>
      <c r="B5664" s="399"/>
      <c r="C5664" s="5" t="s">
        <v>10861</v>
      </c>
      <c r="D5664" s="5" t="s">
        <v>10902</v>
      </c>
      <c r="E5664" s="43">
        <v>1000</v>
      </c>
      <c r="F5664" s="43"/>
      <c r="G5664" s="48">
        <f t="shared" si="144"/>
        <v>784564</v>
      </c>
      <c r="H5664" s="391" t="s">
        <v>9568</v>
      </c>
    </row>
    <row r="5665" spans="1:12" x14ac:dyDescent="0.3">
      <c r="A5665" s="45">
        <v>45017</v>
      </c>
      <c r="B5665" s="399" t="s">
        <v>10867</v>
      </c>
      <c r="C5665" s="5" t="s">
        <v>8573</v>
      </c>
      <c r="D5665" s="5" t="s">
        <v>10889</v>
      </c>
      <c r="E5665" s="43">
        <v>10000</v>
      </c>
      <c r="F5665" s="43"/>
      <c r="G5665" s="48">
        <f t="shared" si="144"/>
        <v>774564</v>
      </c>
      <c r="H5665" s="391" t="s">
        <v>9568</v>
      </c>
    </row>
    <row r="5666" spans="1:12" x14ac:dyDescent="0.3">
      <c r="A5666" s="45">
        <v>45017</v>
      </c>
      <c r="B5666" s="345" t="s">
        <v>12096</v>
      </c>
      <c r="C5666" s="5" t="s">
        <v>10001</v>
      </c>
      <c r="D5666" s="5" t="s">
        <v>10891</v>
      </c>
      <c r="E5666" s="43">
        <v>3500</v>
      </c>
      <c r="F5666" s="43"/>
      <c r="G5666" s="48">
        <f t="shared" si="144"/>
        <v>771064</v>
      </c>
      <c r="H5666" s="391" t="s">
        <v>9568</v>
      </c>
    </row>
    <row r="5667" spans="1:12" x14ac:dyDescent="0.3">
      <c r="A5667" s="45">
        <v>45017</v>
      </c>
      <c r="B5667" s="345" t="s">
        <v>12096</v>
      </c>
      <c r="C5667" s="5" t="s">
        <v>10001</v>
      </c>
      <c r="D5667" s="5" t="s">
        <v>10892</v>
      </c>
      <c r="E5667" s="43">
        <v>2260</v>
      </c>
      <c r="F5667" s="43"/>
      <c r="G5667" s="48">
        <f t="shared" si="144"/>
        <v>768804</v>
      </c>
      <c r="H5667" s="391" t="s">
        <v>9568</v>
      </c>
    </row>
    <row r="5668" spans="1:12" x14ac:dyDescent="0.3">
      <c r="A5668" s="45">
        <v>45017</v>
      </c>
      <c r="B5668" s="345" t="s">
        <v>12096</v>
      </c>
      <c r="C5668" s="5" t="s">
        <v>84</v>
      </c>
      <c r="D5668" s="5" t="s">
        <v>10895</v>
      </c>
      <c r="E5668" s="43">
        <v>6000</v>
      </c>
      <c r="F5668" s="43"/>
      <c r="G5668" s="48">
        <f t="shared" si="144"/>
        <v>762804</v>
      </c>
      <c r="H5668" s="391" t="s">
        <v>9568</v>
      </c>
    </row>
    <row r="5669" spans="1:12" x14ac:dyDescent="0.3">
      <c r="A5669" s="45">
        <v>45017</v>
      </c>
      <c r="B5669" s="399" t="s">
        <v>12089</v>
      </c>
      <c r="C5669" s="5" t="s">
        <v>9452</v>
      </c>
      <c r="D5669" s="5" t="s">
        <v>10896</v>
      </c>
      <c r="E5669" s="43">
        <v>13000</v>
      </c>
      <c r="F5669" s="43"/>
      <c r="G5669" s="48">
        <f t="shared" si="144"/>
        <v>749804</v>
      </c>
      <c r="H5669" s="391" t="s">
        <v>9568</v>
      </c>
    </row>
    <row r="5670" spans="1:12" x14ac:dyDescent="0.3">
      <c r="A5670" s="45">
        <v>45017</v>
      </c>
      <c r="B5670" s="399"/>
      <c r="C5670" s="5" t="s">
        <v>541</v>
      </c>
      <c r="D5670" s="5" t="s">
        <v>10897</v>
      </c>
      <c r="E5670" s="43">
        <v>38500</v>
      </c>
      <c r="F5670" s="43"/>
      <c r="G5670" s="48">
        <f t="shared" si="144"/>
        <v>711304</v>
      </c>
      <c r="H5670" s="391" t="s">
        <v>9568</v>
      </c>
    </row>
    <row r="5671" spans="1:12" x14ac:dyDescent="0.3">
      <c r="A5671" s="45">
        <v>45017</v>
      </c>
      <c r="B5671" s="399"/>
      <c r="C5671" s="5" t="s">
        <v>5482</v>
      </c>
      <c r="D5671" s="5" t="s">
        <v>10898</v>
      </c>
      <c r="E5671" s="43">
        <v>96500</v>
      </c>
      <c r="F5671" s="43"/>
      <c r="G5671" s="48">
        <f t="shared" si="144"/>
        <v>614804</v>
      </c>
      <c r="H5671" s="391" t="s">
        <v>9568</v>
      </c>
    </row>
    <row r="5672" spans="1:12" x14ac:dyDescent="0.3">
      <c r="A5672" s="45">
        <v>45017</v>
      </c>
      <c r="B5672" s="345" t="s">
        <v>12096</v>
      </c>
      <c r="C5672" s="5" t="s">
        <v>84</v>
      </c>
      <c r="D5672" s="5" t="s">
        <v>10899</v>
      </c>
      <c r="E5672" s="43">
        <v>1000</v>
      </c>
      <c r="F5672" s="43"/>
      <c r="G5672" s="48">
        <f t="shared" si="144"/>
        <v>613804</v>
      </c>
      <c r="H5672" s="391" t="s">
        <v>9568</v>
      </c>
    </row>
    <row r="5673" spans="1:12" x14ac:dyDescent="0.3">
      <c r="A5673" s="45">
        <v>45017</v>
      </c>
      <c r="B5673" s="435" t="s">
        <v>118</v>
      </c>
      <c r="C5673" s="217" t="s">
        <v>54</v>
      </c>
      <c r="D5673" s="217" t="s">
        <v>1378</v>
      </c>
      <c r="E5673" s="222">
        <v>5000</v>
      </c>
      <c r="F5673" s="43"/>
      <c r="G5673" s="48">
        <f t="shared" si="144"/>
        <v>608804</v>
      </c>
      <c r="H5673" s="391" t="s">
        <v>9568</v>
      </c>
    </row>
    <row r="5674" spans="1:12" x14ac:dyDescent="0.3">
      <c r="A5674" s="45">
        <v>45017</v>
      </c>
      <c r="B5674" s="399"/>
      <c r="C5674" s="5" t="s">
        <v>9555</v>
      </c>
      <c r="D5674" s="5" t="s">
        <v>294</v>
      </c>
      <c r="E5674" s="43">
        <v>2000</v>
      </c>
      <c r="F5674" s="43"/>
      <c r="G5674" s="48">
        <f t="shared" si="144"/>
        <v>606804</v>
      </c>
      <c r="H5674" s="391" t="s">
        <v>9568</v>
      </c>
    </row>
    <row r="5675" spans="1:12" x14ac:dyDescent="0.3">
      <c r="A5675" s="45">
        <v>45017</v>
      </c>
      <c r="B5675" s="345" t="s">
        <v>12096</v>
      </c>
      <c r="C5675" s="5" t="s">
        <v>10900</v>
      </c>
      <c r="D5675" s="5" t="s">
        <v>10901</v>
      </c>
      <c r="E5675" s="43">
        <v>30000</v>
      </c>
      <c r="F5675" s="43"/>
      <c r="G5675" s="48">
        <f t="shared" si="144"/>
        <v>576804</v>
      </c>
      <c r="H5675" s="391" t="s">
        <v>9568</v>
      </c>
      <c r="J5675" s="52">
        <f>E5673+E5679+E5687+E5689+E5702+E5710+E5712+E5717+E5718+E5719+E5720+E5722+E5760+E5726</f>
        <v>1244083</v>
      </c>
    </row>
    <row r="5676" spans="1:12" x14ac:dyDescent="0.3">
      <c r="A5676" s="45">
        <v>45017</v>
      </c>
      <c r="B5676" s="399"/>
      <c r="C5676" s="5" t="s">
        <v>10861</v>
      </c>
      <c r="D5676" s="5" t="s">
        <v>10903</v>
      </c>
      <c r="E5676" s="43">
        <v>1000</v>
      </c>
      <c r="F5676" s="43"/>
      <c r="G5676" s="48">
        <f t="shared" si="144"/>
        <v>575804</v>
      </c>
      <c r="H5676" s="391" t="s">
        <v>9568</v>
      </c>
      <c r="J5676" s="52">
        <v>180000</v>
      </c>
      <c r="L5676" s="93"/>
    </row>
    <row r="5677" spans="1:12" x14ac:dyDescent="0.3">
      <c r="A5677" s="45">
        <v>45017</v>
      </c>
      <c r="B5677" s="586"/>
      <c r="C5677" s="486"/>
      <c r="D5677" s="497" t="s">
        <v>10803</v>
      </c>
      <c r="E5677" s="486"/>
      <c r="F5677" s="43">
        <v>387261</v>
      </c>
      <c r="G5677" s="48">
        <f t="shared" si="144"/>
        <v>963065</v>
      </c>
      <c r="H5677" s="391" t="s">
        <v>9568</v>
      </c>
      <c r="J5677" s="52">
        <v>21290</v>
      </c>
    </row>
    <row r="5678" spans="1:12" x14ac:dyDescent="0.3">
      <c r="A5678" s="45">
        <v>45019</v>
      </c>
      <c r="B5678" s="399" t="s">
        <v>6481</v>
      </c>
      <c r="C5678" s="5" t="s">
        <v>4550</v>
      </c>
      <c r="D5678" s="5" t="s">
        <v>40</v>
      </c>
      <c r="E5678" s="43">
        <v>87261</v>
      </c>
      <c r="F5678" s="43"/>
      <c r="G5678" s="48">
        <f t="shared" si="144"/>
        <v>875804</v>
      </c>
      <c r="H5678" s="391" t="s">
        <v>9568</v>
      </c>
      <c r="J5678" s="52">
        <v>5000</v>
      </c>
    </row>
    <row r="5679" spans="1:12" x14ac:dyDescent="0.3">
      <c r="A5679" s="45">
        <v>45019</v>
      </c>
      <c r="B5679" s="435"/>
      <c r="C5679" s="217" t="s">
        <v>54</v>
      </c>
      <c r="D5679" s="217" t="s">
        <v>6245</v>
      </c>
      <c r="E5679" s="222">
        <v>59330</v>
      </c>
      <c r="F5679" s="43"/>
      <c r="G5679" s="48">
        <f t="shared" si="144"/>
        <v>816474</v>
      </c>
      <c r="H5679" s="391" t="s">
        <v>9568</v>
      </c>
      <c r="J5679" s="52">
        <f>SUM(J5675:J5678)</f>
        <v>1450373</v>
      </c>
    </row>
    <row r="5680" spans="1:12" x14ac:dyDescent="0.3">
      <c r="A5680" s="45">
        <v>45019</v>
      </c>
      <c r="B5680" s="399" t="s">
        <v>6481</v>
      </c>
      <c r="C5680" s="5" t="s">
        <v>2059</v>
      </c>
      <c r="D5680" s="5" t="s">
        <v>10907</v>
      </c>
      <c r="E5680" s="43">
        <v>149000</v>
      </c>
      <c r="F5680" s="43"/>
      <c r="G5680" s="48">
        <f t="shared" si="144"/>
        <v>667474</v>
      </c>
      <c r="H5680" s="391" t="s">
        <v>9568</v>
      </c>
    </row>
    <row r="5681" spans="1:12" x14ac:dyDescent="0.3">
      <c r="A5681" s="45">
        <v>45019</v>
      </c>
      <c r="B5681" s="399"/>
      <c r="C5681" s="5" t="s">
        <v>10868</v>
      </c>
      <c r="D5681" s="5" t="s">
        <v>10908</v>
      </c>
      <c r="E5681" s="43">
        <v>520</v>
      </c>
      <c r="F5681" s="43"/>
      <c r="G5681" s="48">
        <f t="shared" si="144"/>
        <v>666954</v>
      </c>
      <c r="H5681" s="391" t="s">
        <v>9568</v>
      </c>
      <c r="L5681" s="93"/>
    </row>
    <row r="5682" spans="1:12" x14ac:dyDescent="0.3">
      <c r="A5682" s="45">
        <v>45019</v>
      </c>
      <c r="B5682" s="345" t="s">
        <v>12096</v>
      </c>
      <c r="C5682" s="5" t="s">
        <v>5793</v>
      </c>
      <c r="D5682" s="5" t="s">
        <v>10909</v>
      </c>
      <c r="E5682" s="43">
        <v>500</v>
      </c>
      <c r="F5682" s="43"/>
      <c r="G5682" s="48">
        <f t="shared" si="144"/>
        <v>666454</v>
      </c>
      <c r="H5682" s="391" t="s">
        <v>9568</v>
      </c>
    </row>
    <row r="5683" spans="1:12" x14ac:dyDescent="0.3">
      <c r="A5683" s="45">
        <v>45019</v>
      </c>
      <c r="B5683" s="399"/>
      <c r="C5683" s="5" t="s">
        <v>84</v>
      </c>
      <c r="D5683" s="5" t="s">
        <v>10853</v>
      </c>
      <c r="E5683" s="43">
        <v>1000</v>
      </c>
      <c r="F5683" s="43"/>
      <c r="G5683" s="48">
        <f t="shared" si="144"/>
        <v>665454</v>
      </c>
      <c r="H5683" s="391" t="s">
        <v>9568</v>
      </c>
    </row>
    <row r="5684" spans="1:12" x14ac:dyDescent="0.3">
      <c r="A5684" s="45">
        <v>45019</v>
      </c>
      <c r="B5684" s="345" t="s">
        <v>12096</v>
      </c>
      <c r="C5684" s="5" t="s">
        <v>10910</v>
      </c>
      <c r="D5684" s="5" t="s">
        <v>10911</v>
      </c>
      <c r="E5684" s="43">
        <v>2000</v>
      </c>
      <c r="F5684" s="43"/>
      <c r="G5684" s="48">
        <f t="shared" si="144"/>
        <v>663454</v>
      </c>
      <c r="H5684" s="391" t="s">
        <v>9568</v>
      </c>
    </row>
    <row r="5685" spans="1:12" x14ac:dyDescent="0.3">
      <c r="A5685" s="45">
        <v>45019</v>
      </c>
      <c r="B5685" s="399"/>
      <c r="C5685" s="5" t="s">
        <v>10001</v>
      </c>
      <c r="D5685" s="5" t="s">
        <v>5508</v>
      </c>
      <c r="E5685" s="43">
        <v>1000</v>
      </c>
      <c r="F5685" s="43"/>
      <c r="G5685" s="48">
        <f t="shared" si="144"/>
        <v>662454</v>
      </c>
      <c r="H5685" s="391" t="s">
        <v>9568</v>
      </c>
    </row>
    <row r="5686" spans="1:12" x14ac:dyDescent="0.3">
      <c r="A5686" s="45">
        <v>45019</v>
      </c>
      <c r="B5686" s="399"/>
      <c r="C5686" s="5" t="s">
        <v>10861</v>
      </c>
      <c r="D5686" s="5" t="s">
        <v>10912</v>
      </c>
      <c r="E5686" s="43">
        <v>1500</v>
      </c>
      <c r="F5686" s="43"/>
      <c r="G5686" s="48">
        <f t="shared" si="144"/>
        <v>660954</v>
      </c>
      <c r="H5686" s="391" t="s">
        <v>9568</v>
      </c>
    </row>
    <row r="5687" spans="1:12" x14ac:dyDescent="0.3">
      <c r="A5687" s="45">
        <v>45020</v>
      </c>
      <c r="B5687" s="435"/>
      <c r="C5687" s="217" t="s">
        <v>54</v>
      </c>
      <c r="D5687" s="217" t="s">
        <v>3317</v>
      </c>
      <c r="E5687" s="222">
        <f>18000+36770+60000</f>
        <v>114770</v>
      </c>
      <c r="F5687" s="43"/>
      <c r="G5687" s="48">
        <f t="shared" si="144"/>
        <v>546184</v>
      </c>
      <c r="H5687" s="391" t="s">
        <v>9568</v>
      </c>
    </row>
    <row r="5688" spans="1:12" x14ac:dyDescent="0.3">
      <c r="A5688" s="45">
        <v>45020</v>
      </c>
      <c r="B5688" s="399" t="s">
        <v>118</v>
      </c>
      <c r="C5688" s="5" t="s">
        <v>25</v>
      </c>
      <c r="D5688" s="5" t="s">
        <v>10913</v>
      </c>
      <c r="E5688" s="43">
        <v>1000</v>
      </c>
      <c r="F5688" s="43"/>
      <c r="G5688" s="48">
        <f t="shared" si="144"/>
        <v>545184</v>
      </c>
      <c r="H5688" s="391" t="s">
        <v>9568</v>
      </c>
    </row>
    <row r="5689" spans="1:12" x14ac:dyDescent="0.3">
      <c r="A5689" s="45">
        <v>45020</v>
      </c>
      <c r="B5689" s="435"/>
      <c r="C5689" s="217" t="s">
        <v>54</v>
      </c>
      <c r="D5689" s="217" t="s">
        <v>9703</v>
      </c>
      <c r="E5689" s="222">
        <v>65000</v>
      </c>
      <c r="F5689" s="43"/>
      <c r="G5689" s="48">
        <f t="shared" ref="G5689:G5753" si="145">G5688+F5689-E5689</f>
        <v>480184</v>
      </c>
      <c r="H5689" s="391" t="s">
        <v>9568</v>
      </c>
    </row>
    <row r="5690" spans="1:12" x14ac:dyDescent="0.3">
      <c r="A5690" s="45">
        <v>45020</v>
      </c>
      <c r="B5690" s="345" t="s">
        <v>12096</v>
      </c>
      <c r="C5690" s="5" t="s">
        <v>10703</v>
      </c>
      <c r="D5690" s="5" t="s">
        <v>10915</v>
      </c>
      <c r="E5690" s="43">
        <v>146000</v>
      </c>
      <c r="F5690" s="43"/>
      <c r="G5690" s="48">
        <f t="shared" si="145"/>
        <v>334184</v>
      </c>
      <c r="H5690" s="391" t="s">
        <v>9568</v>
      </c>
    </row>
    <row r="5691" spans="1:12" x14ac:dyDescent="0.3">
      <c r="A5691" s="45">
        <v>45020</v>
      </c>
      <c r="B5691" s="399" t="s">
        <v>10804</v>
      </c>
      <c r="C5691" s="5" t="s">
        <v>9756</v>
      </c>
      <c r="D5691" s="5" t="s">
        <v>10918</v>
      </c>
      <c r="E5691" s="43">
        <v>800</v>
      </c>
      <c r="F5691" s="43"/>
      <c r="G5691" s="48">
        <f t="shared" si="145"/>
        <v>333384</v>
      </c>
      <c r="H5691" s="391" t="s">
        <v>9568</v>
      </c>
    </row>
    <row r="5692" spans="1:12" x14ac:dyDescent="0.3">
      <c r="A5692" s="45">
        <v>45020</v>
      </c>
      <c r="B5692" s="399"/>
      <c r="C5692" s="5" t="s">
        <v>9873</v>
      </c>
      <c r="D5692" s="5" t="s">
        <v>294</v>
      </c>
      <c r="E5692" s="43">
        <v>2000</v>
      </c>
      <c r="F5692" s="43"/>
      <c r="G5692" s="48">
        <f t="shared" si="145"/>
        <v>331384</v>
      </c>
      <c r="H5692" s="391" t="s">
        <v>9568</v>
      </c>
    </row>
    <row r="5693" spans="1:12" x14ac:dyDescent="0.3">
      <c r="A5693" s="45">
        <v>45020</v>
      </c>
      <c r="B5693" s="399" t="s">
        <v>6481</v>
      </c>
      <c r="C5693" s="5" t="s">
        <v>47</v>
      </c>
      <c r="D5693" s="5" t="s">
        <v>10916</v>
      </c>
      <c r="E5693" s="43">
        <v>30000</v>
      </c>
      <c r="F5693" s="43"/>
      <c r="G5693" s="48">
        <f t="shared" si="145"/>
        <v>301384</v>
      </c>
      <c r="H5693" s="391" t="s">
        <v>9568</v>
      </c>
    </row>
    <row r="5694" spans="1:12" x14ac:dyDescent="0.3">
      <c r="A5694" s="45">
        <v>45020</v>
      </c>
      <c r="B5694" s="399" t="s">
        <v>10804</v>
      </c>
      <c r="C5694" s="5" t="s">
        <v>6430</v>
      </c>
      <c r="D5694" s="5" t="s">
        <v>10917</v>
      </c>
      <c r="E5694" s="43">
        <v>10000</v>
      </c>
      <c r="F5694" s="43"/>
      <c r="G5694" s="48">
        <f t="shared" si="145"/>
        <v>291384</v>
      </c>
      <c r="H5694" s="391" t="s">
        <v>9568</v>
      </c>
    </row>
    <row r="5695" spans="1:12" x14ac:dyDescent="0.3">
      <c r="A5695" s="45">
        <v>45020</v>
      </c>
      <c r="B5695" s="399"/>
      <c r="C5695" s="5" t="s">
        <v>84</v>
      </c>
      <c r="D5695" s="5" t="s">
        <v>10919</v>
      </c>
      <c r="E5695" s="43">
        <v>1500</v>
      </c>
      <c r="F5695" s="43"/>
      <c r="G5695" s="48">
        <f t="shared" si="145"/>
        <v>289884</v>
      </c>
      <c r="H5695" s="391" t="s">
        <v>9568</v>
      </c>
    </row>
    <row r="5696" spans="1:12" x14ac:dyDescent="0.3">
      <c r="A5696" s="45">
        <v>45020</v>
      </c>
      <c r="B5696" s="399" t="s">
        <v>10615</v>
      </c>
      <c r="C5696" s="5" t="s">
        <v>9801</v>
      </c>
      <c r="D5696" s="5" t="s">
        <v>9801</v>
      </c>
      <c r="E5696" s="43">
        <v>2200</v>
      </c>
      <c r="F5696" s="43"/>
      <c r="G5696" s="48">
        <f t="shared" si="145"/>
        <v>287684</v>
      </c>
      <c r="H5696" s="391" t="s">
        <v>9568</v>
      </c>
    </row>
    <row r="5697" spans="1:8" x14ac:dyDescent="0.3">
      <c r="A5697" s="45">
        <v>45020</v>
      </c>
      <c r="B5697" s="399" t="s">
        <v>118</v>
      </c>
      <c r="C5697" s="5" t="s">
        <v>10868</v>
      </c>
      <c r="D5697" s="5" t="s">
        <v>10908</v>
      </c>
      <c r="E5697" s="43">
        <v>300</v>
      </c>
      <c r="F5697" s="43"/>
      <c r="G5697" s="48">
        <f t="shared" si="145"/>
        <v>287384</v>
      </c>
      <c r="H5697" s="391" t="s">
        <v>9568</v>
      </c>
    </row>
    <row r="5698" spans="1:8" x14ac:dyDescent="0.3">
      <c r="A5698" s="45">
        <v>45020</v>
      </c>
      <c r="B5698" s="399" t="s">
        <v>118</v>
      </c>
      <c r="C5698" s="5" t="s">
        <v>5482</v>
      </c>
      <c r="D5698" s="5" t="s">
        <v>10920</v>
      </c>
      <c r="E5698" s="43">
        <v>500</v>
      </c>
      <c r="F5698" s="43"/>
      <c r="G5698" s="48">
        <f t="shared" si="145"/>
        <v>286884</v>
      </c>
      <c r="H5698" s="391" t="s">
        <v>9568</v>
      </c>
    </row>
    <row r="5699" spans="1:8" x14ac:dyDescent="0.3">
      <c r="A5699" s="45">
        <v>45020</v>
      </c>
      <c r="B5699" s="399"/>
      <c r="C5699" s="5" t="s">
        <v>84</v>
      </c>
      <c r="D5699" s="5" t="s">
        <v>10921</v>
      </c>
      <c r="E5699" s="43">
        <v>1000</v>
      </c>
      <c r="F5699" s="43"/>
      <c r="G5699" s="48">
        <f t="shared" si="145"/>
        <v>285884</v>
      </c>
      <c r="H5699" s="391" t="s">
        <v>9568</v>
      </c>
    </row>
    <row r="5700" spans="1:8" x14ac:dyDescent="0.3">
      <c r="A5700" s="45">
        <v>45020</v>
      </c>
      <c r="B5700" s="399" t="s">
        <v>10112</v>
      </c>
      <c r="C5700" s="5" t="s">
        <v>5793</v>
      </c>
      <c r="D5700" s="5" t="s">
        <v>10922</v>
      </c>
      <c r="E5700" s="43">
        <v>1600</v>
      </c>
      <c r="F5700" s="43"/>
      <c r="G5700" s="48">
        <f t="shared" si="145"/>
        <v>284284</v>
      </c>
      <c r="H5700" s="391" t="s">
        <v>9568</v>
      </c>
    </row>
    <row r="5701" spans="1:8" x14ac:dyDescent="0.3">
      <c r="A5701" s="45">
        <v>45020</v>
      </c>
      <c r="B5701" s="399" t="s">
        <v>10923</v>
      </c>
      <c r="C5701" s="5" t="s">
        <v>25</v>
      </c>
      <c r="D5701" s="5" t="s">
        <v>6516</v>
      </c>
      <c r="E5701" s="43">
        <v>160</v>
      </c>
      <c r="F5701" s="43"/>
      <c r="G5701" s="48">
        <f t="shared" si="145"/>
        <v>284124</v>
      </c>
      <c r="H5701" s="391" t="s">
        <v>9568</v>
      </c>
    </row>
    <row r="5702" spans="1:8" x14ac:dyDescent="0.3">
      <c r="A5702" s="45">
        <v>45020</v>
      </c>
      <c r="B5702" s="435"/>
      <c r="C5702" s="217" t="s">
        <v>54</v>
      </c>
      <c r="D5702" s="217" t="s">
        <v>10957</v>
      </c>
      <c r="E5702" s="222">
        <v>38710</v>
      </c>
      <c r="F5702" s="43"/>
      <c r="G5702" s="48">
        <f t="shared" si="145"/>
        <v>245414</v>
      </c>
      <c r="H5702" s="391" t="s">
        <v>9568</v>
      </c>
    </row>
    <row r="5703" spans="1:8" x14ac:dyDescent="0.3">
      <c r="A5703" s="45">
        <v>45020</v>
      </c>
      <c r="B5703" s="399"/>
      <c r="C5703" s="5" t="s">
        <v>10861</v>
      </c>
      <c r="D5703" s="5" t="s">
        <v>10924</v>
      </c>
      <c r="E5703" s="43">
        <v>1000</v>
      </c>
      <c r="F5703" s="43"/>
      <c r="G5703" s="48">
        <f t="shared" si="145"/>
        <v>244414</v>
      </c>
      <c r="H5703" s="391" t="s">
        <v>9568</v>
      </c>
    </row>
    <row r="5704" spans="1:8" x14ac:dyDescent="0.3">
      <c r="A5704" s="45">
        <v>45020</v>
      </c>
      <c r="B5704" s="399" t="s">
        <v>118</v>
      </c>
      <c r="C5704" s="5" t="s">
        <v>25</v>
      </c>
      <c r="D5704" s="5" t="s">
        <v>10925</v>
      </c>
      <c r="E5704" s="43">
        <v>360</v>
      </c>
      <c r="F5704" s="43"/>
      <c r="G5704" s="48">
        <f t="shared" si="145"/>
        <v>244054</v>
      </c>
      <c r="H5704" s="391" t="s">
        <v>9568</v>
      </c>
    </row>
    <row r="5705" spans="1:8" x14ac:dyDescent="0.3">
      <c r="A5705" s="45">
        <v>45021</v>
      </c>
      <c r="B5705" s="399"/>
      <c r="C5705" s="5" t="s">
        <v>541</v>
      </c>
      <c r="D5705" s="5" t="s">
        <v>2435</v>
      </c>
      <c r="E5705" s="43">
        <v>750</v>
      </c>
      <c r="F5705" s="43"/>
      <c r="G5705" s="48">
        <f t="shared" si="145"/>
        <v>243304</v>
      </c>
      <c r="H5705" s="391" t="s">
        <v>9568</v>
      </c>
    </row>
    <row r="5706" spans="1:8" x14ac:dyDescent="0.3">
      <c r="A5706" s="45">
        <v>45021</v>
      </c>
      <c r="B5706" s="399" t="s">
        <v>118</v>
      </c>
      <c r="C5706" s="5" t="s">
        <v>64</v>
      </c>
      <c r="D5706" s="5" t="s">
        <v>10927</v>
      </c>
      <c r="E5706" s="43">
        <v>1400</v>
      </c>
      <c r="F5706" s="43"/>
      <c r="G5706" s="48">
        <f t="shared" si="145"/>
        <v>241904</v>
      </c>
      <c r="H5706" s="391" t="s">
        <v>9568</v>
      </c>
    </row>
    <row r="5707" spans="1:8" x14ac:dyDescent="0.3">
      <c r="A5707" s="45">
        <v>45021</v>
      </c>
      <c r="B5707" s="399" t="s">
        <v>118</v>
      </c>
      <c r="C5707" s="5" t="s">
        <v>25</v>
      </c>
      <c r="D5707" s="5" t="s">
        <v>6844</v>
      </c>
      <c r="E5707" s="43">
        <v>300</v>
      </c>
      <c r="F5707" s="43"/>
      <c r="G5707" s="48">
        <f t="shared" si="145"/>
        <v>241604</v>
      </c>
      <c r="H5707" s="391" t="s">
        <v>9568</v>
      </c>
    </row>
    <row r="5708" spans="1:8" x14ac:dyDescent="0.3">
      <c r="A5708" s="45">
        <v>45021</v>
      </c>
      <c r="B5708" s="399" t="s">
        <v>11772</v>
      </c>
      <c r="C5708" s="5" t="s">
        <v>5793</v>
      </c>
      <c r="D5708" s="5" t="s">
        <v>10938</v>
      </c>
      <c r="E5708" s="43">
        <v>300</v>
      </c>
      <c r="F5708" s="43"/>
      <c r="G5708" s="48">
        <f t="shared" si="145"/>
        <v>241304</v>
      </c>
      <c r="H5708" s="391" t="s">
        <v>9568</v>
      </c>
    </row>
    <row r="5709" spans="1:8" x14ac:dyDescent="0.3">
      <c r="A5709" s="45">
        <v>45021</v>
      </c>
      <c r="B5709" s="399" t="s">
        <v>5914</v>
      </c>
      <c r="C5709" s="5" t="s">
        <v>6931</v>
      </c>
      <c r="D5709" s="5" t="s">
        <v>10721</v>
      </c>
      <c r="E5709" s="43">
        <v>3000</v>
      </c>
      <c r="F5709" s="43"/>
      <c r="G5709" s="48">
        <f t="shared" si="145"/>
        <v>238304</v>
      </c>
      <c r="H5709" s="391" t="s">
        <v>9568</v>
      </c>
    </row>
    <row r="5710" spans="1:8" x14ac:dyDescent="0.3">
      <c r="A5710" s="45">
        <v>45021</v>
      </c>
      <c r="B5710" s="435"/>
      <c r="C5710" s="217" t="s">
        <v>54</v>
      </c>
      <c r="D5710" s="217" t="s">
        <v>8636</v>
      </c>
      <c r="E5710" s="222">
        <v>119617</v>
      </c>
      <c r="F5710" s="43"/>
      <c r="G5710" s="48">
        <f t="shared" si="145"/>
        <v>118687</v>
      </c>
      <c r="H5710" s="391" t="s">
        <v>9568</v>
      </c>
    </row>
    <row r="5711" spans="1:8" x14ac:dyDescent="0.3">
      <c r="A5711" s="45">
        <v>45021</v>
      </c>
      <c r="B5711" s="399" t="s">
        <v>12190</v>
      </c>
      <c r="C5711" s="5" t="s">
        <v>1074</v>
      </c>
      <c r="D5711" s="5" t="s">
        <v>10570</v>
      </c>
      <c r="E5711" s="43">
        <v>560</v>
      </c>
      <c r="F5711" s="43"/>
      <c r="G5711" s="48">
        <f t="shared" si="145"/>
        <v>118127</v>
      </c>
      <c r="H5711" s="391" t="s">
        <v>9568</v>
      </c>
    </row>
    <row r="5712" spans="1:8" x14ac:dyDescent="0.3">
      <c r="A5712" s="45">
        <v>45021</v>
      </c>
      <c r="B5712" s="435"/>
      <c r="C5712" s="217" t="s">
        <v>54</v>
      </c>
      <c r="D5712" s="217" t="s">
        <v>10577</v>
      </c>
      <c r="E5712" s="222">
        <v>115651</v>
      </c>
      <c r="F5712" s="43"/>
      <c r="G5712" s="48">
        <f t="shared" si="145"/>
        <v>2476</v>
      </c>
      <c r="H5712" s="391" t="s">
        <v>9568</v>
      </c>
    </row>
    <row r="5713" spans="1:8" x14ac:dyDescent="0.3">
      <c r="A5713" s="45">
        <v>45021</v>
      </c>
      <c r="B5713" s="586"/>
      <c r="C5713" s="486"/>
      <c r="D5713" s="497" t="s">
        <v>4106</v>
      </c>
      <c r="E5713" s="486"/>
      <c r="F5713" s="43">
        <v>600000</v>
      </c>
      <c r="G5713" s="48">
        <f t="shared" si="145"/>
        <v>602476</v>
      </c>
      <c r="H5713" s="391" t="s">
        <v>9568</v>
      </c>
    </row>
    <row r="5714" spans="1:8" x14ac:dyDescent="0.3">
      <c r="A5714" s="45">
        <v>45021</v>
      </c>
      <c r="B5714" s="399" t="s">
        <v>10804</v>
      </c>
      <c r="C5714" s="5" t="s">
        <v>9044</v>
      </c>
      <c r="D5714" s="5" t="s">
        <v>10820</v>
      </c>
      <c r="E5714" s="43">
        <v>5000</v>
      </c>
      <c r="F5714" s="43"/>
      <c r="G5714" s="48">
        <f t="shared" si="145"/>
        <v>597476</v>
      </c>
      <c r="H5714" s="391" t="s">
        <v>9568</v>
      </c>
    </row>
    <row r="5715" spans="1:8" x14ac:dyDescent="0.3">
      <c r="A5715" s="45">
        <v>45021</v>
      </c>
      <c r="B5715" s="399" t="s">
        <v>118</v>
      </c>
      <c r="C5715" s="5" t="s">
        <v>9873</v>
      </c>
      <c r="D5715" s="5" t="s">
        <v>294</v>
      </c>
      <c r="E5715" s="43">
        <v>3000</v>
      </c>
      <c r="F5715" s="43"/>
      <c r="G5715" s="48">
        <f t="shared" si="145"/>
        <v>594476</v>
      </c>
      <c r="H5715" s="391" t="s">
        <v>9568</v>
      </c>
    </row>
    <row r="5716" spans="1:8" x14ac:dyDescent="0.3">
      <c r="A5716" s="45">
        <v>45022</v>
      </c>
      <c r="B5716" s="399" t="s">
        <v>10804</v>
      </c>
      <c r="C5716" s="5" t="s">
        <v>5793</v>
      </c>
      <c r="D5716" s="5" t="s">
        <v>10827</v>
      </c>
      <c r="E5716" s="43">
        <v>900</v>
      </c>
      <c r="F5716" s="43"/>
      <c r="G5716" s="48">
        <f t="shared" si="145"/>
        <v>593576</v>
      </c>
      <c r="H5716" s="391" t="s">
        <v>9568</v>
      </c>
    </row>
    <row r="5717" spans="1:8" x14ac:dyDescent="0.3">
      <c r="A5717" s="45">
        <v>45022</v>
      </c>
      <c r="B5717" s="435"/>
      <c r="C5717" s="217" t="s">
        <v>54</v>
      </c>
      <c r="D5717" s="217" t="s">
        <v>10725</v>
      </c>
      <c r="E5717" s="222">
        <v>315972</v>
      </c>
      <c r="F5717" s="43"/>
      <c r="G5717" s="48">
        <f t="shared" si="145"/>
        <v>277604</v>
      </c>
      <c r="H5717" s="391" t="s">
        <v>9568</v>
      </c>
    </row>
    <row r="5718" spans="1:8" x14ac:dyDescent="0.3">
      <c r="A5718" s="45">
        <v>45022</v>
      </c>
      <c r="B5718" s="435"/>
      <c r="C5718" s="217" t="s">
        <v>54</v>
      </c>
      <c r="D5718" s="217" t="s">
        <v>10590</v>
      </c>
      <c r="E5718" s="222">
        <v>119236</v>
      </c>
      <c r="F5718" s="43"/>
      <c r="G5718" s="48">
        <f t="shared" si="145"/>
        <v>158368</v>
      </c>
      <c r="H5718" s="391" t="s">
        <v>9568</v>
      </c>
    </row>
    <row r="5719" spans="1:8" x14ac:dyDescent="0.3">
      <c r="A5719" s="45">
        <v>45022</v>
      </c>
      <c r="B5719" s="435"/>
      <c r="C5719" s="217" t="s">
        <v>54</v>
      </c>
      <c r="D5719" s="217" t="s">
        <v>10256</v>
      </c>
      <c r="E5719" s="222">
        <v>28000</v>
      </c>
      <c r="F5719" s="43"/>
      <c r="G5719" s="48">
        <f t="shared" si="145"/>
        <v>130368</v>
      </c>
      <c r="H5719" s="391" t="s">
        <v>9568</v>
      </c>
    </row>
    <row r="5720" spans="1:8" x14ac:dyDescent="0.3">
      <c r="A5720" s="45">
        <v>45022</v>
      </c>
      <c r="B5720" s="435"/>
      <c r="C5720" s="217" t="s">
        <v>54</v>
      </c>
      <c r="D5720" s="217" t="s">
        <v>10928</v>
      </c>
      <c r="E5720" s="222">
        <v>93449</v>
      </c>
      <c r="F5720" s="43"/>
      <c r="G5720" s="48">
        <f t="shared" si="145"/>
        <v>36919</v>
      </c>
      <c r="H5720" s="391" t="s">
        <v>9568</v>
      </c>
    </row>
    <row r="5721" spans="1:8" x14ac:dyDescent="0.3">
      <c r="A5721" s="45">
        <v>45023</v>
      </c>
      <c r="B5721" s="586"/>
      <c r="C5721" s="486"/>
      <c r="D5721" s="497" t="s">
        <v>10931</v>
      </c>
      <c r="E5721" s="486"/>
      <c r="F5721" s="43">
        <v>63250</v>
      </c>
      <c r="G5721" s="48">
        <f t="shared" si="145"/>
        <v>100169</v>
      </c>
      <c r="H5721" s="391" t="s">
        <v>9568</v>
      </c>
    </row>
    <row r="5722" spans="1:8" x14ac:dyDescent="0.3">
      <c r="A5722" s="45">
        <v>45022</v>
      </c>
      <c r="B5722" s="435"/>
      <c r="C5722" s="217" t="s">
        <v>54</v>
      </c>
      <c r="D5722" s="217" t="s">
        <v>10759</v>
      </c>
      <c r="E5722" s="222">
        <v>38000</v>
      </c>
      <c r="F5722" s="43"/>
      <c r="G5722" s="48">
        <f t="shared" si="145"/>
        <v>62169</v>
      </c>
      <c r="H5722" s="391" t="s">
        <v>9568</v>
      </c>
    </row>
    <row r="5723" spans="1:8" x14ac:dyDescent="0.3">
      <c r="A5723" s="45">
        <v>45022</v>
      </c>
      <c r="B5723" s="399" t="s">
        <v>6481</v>
      </c>
      <c r="C5723" s="5" t="s">
        <v>10861</v>
      </c>
      <c r="D5723" s="5" t="s">
        <v>10929</v>
      </c>
      <c r="E5723" s="43">
        <v>3000</v>
      </c>
      <c r="F5723" s="43"/>
      <c r="G5723" s="48">
        <f t="shared" si="145"/>
        <v>59169</v>
      </c>
      <c r="H5723" s="391" t="s">
        <v>9568</v>
      </c>
    </row>
    <row r="5724" spans="1:8" x14ac:dyDescent="0.3">
      <c r="A5724" s="45">
        <v>45023</v>
      </c>
      <c r="B5724" s="399"/>
      <c r="C5724" s="5" t="s">
        <v>10001</v>
      </c>
      <c r="D5724" s="5" t="s">
        <v>2013</v>
      </c>
      <c r="E5724" s="43">
        <v>250</v>
      </c>
      <c r="F5724" s="43"/>
      <c r="G5724" s="48">
        <f t="shared" si="145"/>
        <v>58919</v>
      </c>
      <c r="H5724" s="391" t="s">
        <v>9568</v>
      </c>
    </row>
    <row r="5725" spans="1:8" x14ac:dyDescent="0.3">
      <c r="A5725" s="45">
        <v>45023</v>
      </c>
      <c r="B5725" s="399" t="s">
        <v>10333</v>
      </c>
      <c r="C5725" s="5" t="s">
        <v>9756</v>
      </c>
      <c r="D5725" s="5" t="s">
        <v>10930</v>
      </c>
      <c r="E5725" s="43">
        <v>2900</v>
      </c>
      <c r="F5725" s="43"/>
      <c r="G5725" s="48">
        <f t="shared" si="145"/>
        <v>56019</v>
      </c>
      <c r="H5725" s="391" t="s">
        <v>9568</v>
      </c>
    </row>
    <row r="5726" spans="1:8" x14ac:dyDescent="0.3">
      <c r="A5726" s="45">
        <v>45023</v>
      </c>
      <c r="B5726" s="435"/>
      <c r="C5726" s="217" t="s">
        <v>54</v>
      </c>
      <c r="D5726" s="217" t="s">
        <v>10932</v>
      </c>
      <c r="E5726" s="222">
        <v>37100</v>
      </c>
      <c r="F5726" s="43"/>
      <c r="G5726" s="48">
        <f t="shared" si="145"/>
        <v>18919</v>
      </c>
      <c r="H5726" s="391" t="s">
        <v>9568</v>
      </c>
    </row>
    <row r="5727" spans="1:8" x14ac:dyDescent="0.3">
      <c r="A5727" s="45">
        <v>45024</v>
      </c>
      <c r="B5727" s="399" t="s">
        <v>118</v>
      </c>
      <c r="C5727" s="5" t="s">
        <v>25</v>
      </c>
      <c r="D5727" s="5" t="s">
        <v>10935</v>
      </c>
      <c r="E5727" s="43">
        <v>700</v>
      </c>
      <c r="F5727" s="43"/>
      <c r="G5727" s="48">
        <f t="shared" si="145"/>
        <v>18219</v>
      </c>
      <c r="H5727" s="391" t="s">
        <v>9568</v>
      </c>
    </row>
    <row r="5728" spans="1:8" x14ac:dyDescent="0.3">
      <c r="A5728" s="45">
        <v>45024</v>
      </c>
      <c r="B5728" s="399" t="s">
        <v>12089</v>
      </c>
      <c r="C5728" s="5" t="s">
        <v>10933</v>
      </c>
      <c r="D5728" s="5" t="s">
        <v>40</v>
      </c>
      <c r="E5728" s="43">
        <v>250</v>
      </c>
      <c r="F5728" s="43"/>
      <c r="G5728" s="48">
        <f t="shared" si="145"/>
        <v>17969</v>
      </c>
      <c r="H5728" s="391" t="s">
        <v>9568</v>
      </c>
    </row>
    <row r="5729" spans="1:8" x14ac:dyDescent="0.3">
      <c r="A5729" s="45">
        <v>45024</v>
      </c>
      <c r="B5729" s="399" t="s">
        <v>118</v>
      </c>
      <c r="C5729" s="5" t="s">
        <v>9873</v>
      </c>
      <c r="D5729" s="5" t="s">
        <v>294</v>
      </c>
      <c r="E5729" s="43">
        <v>2000</v>
      </c>
      <c r="F5729" s="43"/>
      <c r="G5729" s="48">
        <f t="shared" si="145"/>
        <v>15969</v>
      </c>
      <c r="H5729" s="391" t="s">
        <v>9568</v>
      </c>
    </row>
    <row r="5730" spans="1:8" x14ac:dyDescent="0.3">
      <c r="A5730" s="45">
        <v>45024</v>
      </c>
      <c r="B5730" s="586"/>
      <c r="C5730" s="486"/>
      <c r="D5730" s="497" t="s">
        <v>10934</v>
      </c>
      <c r="E5730" s="486"/>
      <c r="F5730" s="43">
        <v>10000</v>
      </c>
      <c r="G5730" s="48">
        <f t="shared" si="145"/>
        <v>25969</v>
      </c>
      <c r="H5730" s="391" t="s">
        <v>9568</v>
      </c>
    </row>
    <row r="5731" spans="1:8" x14ac:dyDescent="0.3">
      <c r="A5731" s="45">
        <v>45024</v>
      </c>
      <c r="B5731" s="399" t="s">
        <v>10112</v>
      </c>
      <c r="C5731" s="5" t="s">
        <v>10936</v>
      </c>
      <c r="D5731" s="5" t="s">
        <v>10937</v>
      </c>
      <c r="E5731" s="43">
        <v>22500</v>
      </c>
      <c r="F5731" s="43"/>
      <c r="G5731" s="48">
        <f t="shared" si="145"/>
        <v>3469</v>
      </c>
      <c r="H5731" s="391" t="s">
        <v>9568</v>
      </c>
    </row>
    <row r="5732" spans="1:8" x14ac:dyDescent="0.3">
      <c r="A5732" s="45">
        <v>45024</v>
      </c>
      <c r="B5732" s="399" t="s">
        <v>30</v>
      </c>
      <c r="C5732" s="5" t="s">
        <v>9756</v>
      </c>
      <c r="D5732" s="5" t="s">
        <v>6312</v>
      </c>
      <c r="E5732" s="43">
        <v>1500</v>
      </c>
      <c r="F5732" s="43"/>
      <c r="G5732" s="48">
        <f t="shared" si="145"/>
        <v>1969</v>
      </c>
      <c r="H5732" s="391" t="s">
        <v>9568</v>
      </c>
    </row>
    <row r="5733" spans="1:8" x14ac:dyDescent="0.3">
      <c r="A5733" s="45">
        <v>45024</v>
      </c>
      <c r="B5733" s="399"/>
      <c r="C5733" s="5" t="s">
        <v>10861</v>
      </c>
      <c r="D5733" s="5" t="s">
        <v>10942</v>
      </c>
      <c r="E5733" s="43">
        <v>1000</v>
      </c>
      <c r="F5733" s="43"/>
      <c r="G5733" s="48">
        <f t="shared" si="145"/>
        <v>969</v>
      </c>
      <c r="H5733" s="391" t="s">
        <v>9568</v>
      </c>
    </row>
    <row r="5734" spans="1:8" x14ac:dyDescent="0.3">
      <c r="A5734" s="45">
        <v>45026</v>
      </c>
      <c r="B5734" s="399" t="s">
        <v>118</v>
      </c>
      <c r="C5734" s="5" t="s">
        <v>10868</v>
      </c>
      <c r="D5734" s="5" t="s">
        <v>10940</v>
      </c>
      <c r="E5734" s="43">
        <v>1990</v>
      </c>
      <c r="F5734" s="43"/>
      <c r="G5734" s="48">
        <f t="shared" si="145"/>
        <v>-1021</v>
      </c>
      <c r="H5734" s="391" t="s">
        <v>9568</v>
      </c>
    </row>
    <row r="5735" spans="1:8" x14ac:dyDescent="0.3">
      <c r="A5735" s="45">
        <v>45026</v>
      </c>
      <c r="B5735" s="586"/>
      <c r="C5735" s="486"/>
      <c r="D5735" s="497" t="s">
        <v>10934</v>
      </c>
      <c r="E5735" s="486"/>
      <c r="F5735" s="43">
        <v>20000</v>
      </c>
      <c r="G5735" s="48">
        <f t="shared" si="145"/>
        <v>18979</v>
      </c>
      <c r="H5735" s="391" t="s">
        <v>9568</v>
      </c>
    </row>
    <row r="5736" spans="1:8" x14ac:dyDescent="0.3">
      <c r="A5736" s="45">
        <v>45026</v>
      </c>
      <c r="B5736" s="399" t="s">
        <v>10804</v>
      </c>
      <c r="C5736" s="5" t="s">
        <v>9044</v>
      </c>
      <c r="D5736" s="5" t="s">
        <v>10941</v>
      </c>
      <c r="E5736" s="43">
        <v>5000</v>
      </c>
      <c r="F5736" s="43"/>
      <c r="G5736" s="48">
        <f t="shared" si="145"/>
        <v>13979</v>
      </c>
      <c r="H5736" s="391" t="s">
        <v>9568</v>
      </c>
    </row>
    <row r="5737" spans="1:8" x14ac:dyDescent="0.3">
      <c r="A5737" s="45">
        <v>45026</v>
      </c>
      <c r="B5737" s="586"/>
      <c r="C5737" s="486"/>
      <c r="D5737" s="497" t="s">
        <v>10803</v>
      </c>
      <c r="E5737" s="486"/>
      <c r="F5737" s="43">
        <v>200000</v>
      </c>
      <c r="G5737" s="48">
        <f t="shared" si="145"/>
        <v>213979</v>
      </c>
      <c r="H5737" s="391" t="s">
        <v>9568</v>
      </c>
    </row>
    <row r="5738" spans="1:8" x14ac:dyDescent="0.3">
      <c r="A5738" s="45">
        <v>45026</v>
      </c>
      <c r="B5738" s="391" t="s">
        <v>4989</v>
      </c>
      <c r="C5738" s="505" t="s">
        <v>5482</v>
      </c>
      <c r="D5738" s="505" t="s">
        <v>10944</v>
      </c>
      <c r="E5738" s="506">
        <v>50000</v>
      </c>
      <c r="F5738" s="43"/>
      <c r="G5738" s="48">
        <f t="shared" si="145"/>
        <v>163979</v>
      </c>
      <c r="H5738" s="391" t="s">
        <v>9568</v>
      </c>
    </row>
    <row r="5739" spans="1:8" x14ac:dyDescent="0.3">
      <c r="A5739" s="45">
        <v>45026</v>
      </c>
      <c r="B5739" s="399"/>
      <c r="C5739" s="5" t="s">
        <v>14</v>
      </c>
      <c r="D5739" s="5" t="s">
        <v>5813</v>
      </c>
      <c r="E5739" s="43">
        <v>10000</v>
      </c>
      <c r="F5739" s="43"/>
      <c r="G5739" s="48">
        <f t="shared" si="145"/>
        <v>153979</v>
      </c>
      <c r="H5739" s="391" t="s">
        <v>9568</v>
      </c>
    </row>
    <row r="5740" spans="1:8" x14ac:dyDescent="0.3">
      <c r="A5740" s="45">
        <v>45026</v>
      </c>
      <c r="B5740" s="399"/>
      <c r="C5740" s="5" t="s">
        <v>10861</v>
      </c>
      <c r="D5740" s="5" t="s">
        <v>10943</v>
      </c>
      <c r="E5740" s="43">
        <v>500</v>
      </c>
      <c r="F5740" s="43"/>
      <c r="G5740" s="48">
        <f t="shared" si="145"/>
        <v>153479</v>
      </c>
      <c r="H5740" s="391" t="s">
        <v>9568</v>
      </c>
    </row>
    <row r="5741" spans="1:8" x14ac:dyDescent="0.3">
      <c r="A5741" s="45">
        <v>45027</v>
      </c>
      <c r="B5741" s="399" t="s">
        <v>10804</v>
      </c>
      <c r="C5741" s="5" t="s">
        <v>10815</v>
      </c>
      <c r="D5741" s="5" t="s">
        <v>10946</v>
      </c>
      <c r="E5741" s="43">
        <v>2250</v>
      </c>
      <c r="F5741" s="43"/>
      <c r="G5741" s="48">
        <f t="shared" si="145"/>
        <v>151229</v>
      </c>
      <c r="H5741" s="391" t="s">
        <v>9568</v>
      </c>
    </row>
    <row r="5742" spans="1:8" x14ac:dyDescent="0.3">
      <c r="A5742" s="45">
        <v>45027</v>
      </c>
      <c r="B5742" s="399" t="s">
        <v>30</v>
      </c>
      <c r="C5742" s="5" t="s">
        <v>10815</v>
      </c>
      <c r="D5742" s="5" t="s">
        <v>2013</v>
      </c>
      <c r="E5742" s="43">
        <v>100</v>
      </c>
      <c r="F5742" s="43"/>
      <c r="G5742" s="48">
        <f t="shared" si="145"/>
        <v>151129</v>
      </c>
      <c r="H5742" s="391" t="s">
        <v>9568</v>
      </c>
    </row>
    <row r="5743" spans="1:8" x14ac:dyDescent="0.3">
      <c r="A5743" s="45">
        <v>45027</v>
      </c>
      <c r="B5743" s="345" t="s">
        <v>12096</v>
      </c>
      <c r="C5743" s="5" t="s">
        <v>18</v>
      </c>
      <c r="D5743" s="5" t="s">
        <v>10945</v>
      </c>
      <c r="E5743" s="43">
        <v>55000</v>
      </c>
      <c r="F5743" s="43"/>
      <c r="G5743" s="48">
        <f t="shared" si="145"/>
        <v>96129</v>
      </c>
      <c r="H5743" s="391" t="s">
        <v>9568</v>
      </c>
    </row>
    <row r="5744" spans="1:8" x14ac:dyDescent="0.3">
      <c r="A5744" s="45">
        <v>45027</v>
      </c>
      <c r="B5744" s="399"/>
      <c r="C5744" s="5" t="s">
        <v>1074</v>
      </c>
      <c r="D5744" s="5" t="s">
        <v>10293</v>
      </c>
      <c r="E5744" s="43">
        <f>13099+290</f>
        <v>13389</v>
      </c>
      <c r="F5744" s="43"/>
      <c r="G5744" s="48">
        <f t="shared" si="145"/>
        <v>82740</v>
      </c>
      <c r="H5744" s="391" t="s">
        <v>9568</v>
      </c>
    </row>
    <row r="5745" spans="1:8" x14ac:dyDescent="0.3">
      <c r="A5745" s="45">
        <v>45027</v>
      </c>
      <c r="B5745" s="399" t="s">
        <v>118</v>
      </c>
      <c r="C5745" s="5" t="s">
        <v>1074</v>
      </c>
      <c r="D5745" s="5" t="s">
        <v>10570</v>
      </c>
      <c r="E5745" s="43">
        <v>300</v>
      </c>
      <c r="F5745" s="43"/>
      <c r="G5745" s="48">
        <f t="shared" si="145"/>
        <v>82440</v>
      </c>
      <c r="H5745" s="391" t="s">
        <v>9568</v>
      </c>
    </row>
    <row r="5746" spans="1:8" x14ac:dyDescent="0.3">
      <c r="A5746" s="45">
        <v>45027</v>
      </c>
      <c r="B5746" s="399"/>
      <c r="C5746" s="5" t="s">
        <v>10868</v>
      </c>
      <c r="D5746" s="5" t="s">
        <v>10940</v>
      </c>
      <c r="E5746" s="43">
        <v>1450</v>
      </c>
      <c r="F5746" s="43"/>
      <c r="G5746" s="48">
        <f t="shared" si="145"/>
        <v>80990</v>
      </c>
      <c r="H5746" s="391" t="s">
        <v>9568</v>
      </c>
    </row>
    <row r="5747" spans="1:8" x14ac:dyDescent="0.3">
      <c r="A5747" s="45">
        <v>45027</v>
      </c>
      <c r="B5747" s="586"/>
      <c r="C5747" s="486"/>
      <c r="D5747" s="497" t="s">
        <v>4106</v>
      </c>
      <c r="E5747" s="486"/>
      <c r="F5747" s="43">
        <v>100000</v>
      </c>
      <c r="G5747" s="48">
        <f t="shared" si="145"/>
        <v>180990</v>
      </c>
      <c r="H5747" s="391" t="s">
        <v>9568</v>
      </c>
    </row>
    <row r="5748" spans="1:8" x14ac:dyDescent="0.3">
      <c r="A5748" s="45">
        <v>45027</v>
      </c>
      <c r="B5748" s="399"/>
      <c r="C5748" s="5" t="s">
        <v>9889</v>
      </c>
      <c r="D5748" s="5" t="s">
        <v>5508</v>
      </c>
      <c r="E5748" s="43">
        <v>150000</v>
      </c>
      <c r="F5748" s="43"/>
      <c r="G5748" s="48">
        <f t="shared" si="145"/>
        <v>30990</v>
      </c>
      <c r="H5748" s="391" t="s">
        <v>9568</v>
      </c>
    </row>
    <row r="5749" spans="1:8" x14ac:dyDescent="0.3">
      <c r="A5749" s="45">
        <v>45027</v>
      </c>
      <c r="B5749" s="399" t="s">
        <v>6481</v>
      </c>
      <c r="C5749" s="5" t="s">
        <v>10861</v>
      </c>
      <c r="D5749" s="5" t="s">
        <v>5508</v>
      </c>
      <c r="E5749" s="43">
        <v>2000</v>
      </c>
      <c r="F5749" s="43"/>
      <c r="G5749" s="48">
        <f t="shared" si="145"/>
        <v>28990</v>
      </c>
      <c r="H5749" s="391" t="s">
        <v>9568</v>
      </c>
    </row>
    <row r="5750" spans="1:8" x14ac:dyDescent="0.3">
      <c r="A5750" s="45">
        <v>45027</v>
      </c>
      <c r="B5750" s="399"/>
      <c r="C5750" s="5" t="s">
        <v>6154</v>
      </c>
      <c r="D5750" s="5" t="s">
        <v>10947</v>
      </c>
      <c r="E5750" s="43">
        <v>1000</v>
      </c>
      <c r="F5750" s="43"/>
      <c r="G5750" s="48">
        <f t="shared" si="145"/>
        <v>27990</v>
      </c>
      <c r="H5750" s="391" t="s">
        <v>9568</v>
      </c>
    </row>
    <row r="5751" spans="1:8" x14ac:dyDescent="0.3">
      <c r="A5751" s="45">
        <v>45027</v>
      </c>
      <c r="B5751" s="399" t="s">
        <v>9990</v>
      </c>
      <c r="C5751" s="5" t="s">
        <v>5979</v>
      </c>
      <c r="D5751" s="5" t="s">
        <v>294</v>
      </c>
      <c r="E5751" s="43">
        <v>7000</v>
      </c>
      <c r="F5751" s="43"/>
      <c r="G5751" s="48">
        <f t="shared" si="145"/>
        <v>20990</v>
      </c>
      <c r="H5751" s="391" t="s">
        <v>9568</v>
      </c>
    </row>
    <row r="5752" spans="1:8" x14ac:dyDescent="0.3">
      <c r="A5752" s="45">
        <v>45027</v>
      </c>
      <c r="B5752" s="399" t="s">
        <v>10615</v>
      </c>
      <c r="C5752" s="5" t="s">
        <v>6430</v>
      </c>
      <c r="D5752" s="5" t="s">
        <v>2013</v>
      </c>
      <c r="E5752" s="43">
        <v>700</v>
      </c>
      <c r="F5752" s="43"/>
      <c r="G5752" s="48">
        <f t="shared" si="145"/>
        <v>20290</v>
      </c>
      <c r="H5752" s="391" t="s">
        <v>9568</v>
      </c>
    </row>
    <row r="5753" spans="1:8" x14ac:dyDescent="0.3">
      <c r="A5753" s="45">
        <v>45027</v>
      </c>
      <c r="B5753" s="399" t="s">
        <v>30</v>
      </c>
      <c r="C5753" s="5" t="s">
        <v>10815</v>
      </c>
      <c r="D5753" s="5" t="s">
        <v>2013</v>
      </c>
      <c r="E5753" s="43">
        <v>250</v>
      </c>
      <c r="F5753" s="43"/>
      <c r="G5753" s="48">
        <f t="shared" si="145"/>
        <v>20040</v>
      </c>
      <c r="H5753" s="391" t="s">
        <v>9568</v>
      </c>
    </row>
    <row r="5754" spans="1:8" x14ac:dyDescent="0.3">
      <c r="A5754" s="45">
        <v>45027</v>
      </c>
      <c r="B5754" s="399" t="s">
        <v>30</v>
      </c>
      <c r="C5754" s="5" t="s">
        <v>9313</v>
      </c>
      <c r="D5754" s="5" t="s">
        <v>10948</v>
      </c>
      <c r="E5754" s="43">
        <v>1000</v>
      </c>
      <c r="F5754" s="43"/>
      <c r="G5754" s="48">
        <f t="shared" ref="G5754:G5819" si="146">G5753+F5754-E5754</f>
        <v>19040</v>
      </c>
      <c r="H5754" s="391" t="s">
        <v>9568</v>
      </c>
    </row>
    <row r="5755" spans="1:8" x14ac:dyDescent="0.3">
      <c r="A5755" s="45">
        <v>45027</v>
      </c>
      <c r="B5755" s="399" t="s">
        <v>12089</v>
      </c>
      <c r="C5755" s="5" t="s">
        <v>5162</v>
      </c>
      <c r="D5755" s="5" t="s">
        <v>10949</v>
      </c>
      <c r="E5755" s="43">
        <v>400</v>
      </c>
      <c r="F5755" s="43"/>
      <c r="G5755" s="48">
        <f t="shared" si="146"/>
        <v>18640</v>
      </c>
      <c r="H5755" s="391" t="s">
        <v>9568</v>
      </c>
    </row>
    <row r="5756" spans="1:8" x14ac:dyDescent="0.3">
      <c r="A5756" s="45">
        <v>45027</v>
      </c>
      <c r="B5756" s="399" t="s">
        <v>30</v>
      </c>
      <c r="C5756" s="5" t="s">
        <v>247</v>
      </c>
      <c r="D5756" s="5" t="s">
        <v>2013</v>
      </c>
      <c r="E5756" s="43">
        <v>300</v>
      </c>
      <c r="F5756" s="43"/>
      <c r="G5756" s="48">
        <f t="shared" si="146"/>
        <v>18340</v>
      </c>
      <c r="H5756" s="391" t="s">
        <v>9568</v>
      </c>
    </row>
    <row r="5757" spans="1:8" x14ac:dyDescent="0.3">
      <c r="A5757" s="45">
        <v>45027</v>
      </c>
      <c r="B5757" s="399" t="s">
        <v>9860</v>
      </c>
      <c r="C5757" s="5" t="s">
        <v>9044</v>
      </c>
      <c r="D5757" s="5" t="s">
        <v>10950</v>
      </c>
      <c r="E5757" s="43">
        <v>6000</v>
      </c>
      <c r="F5757" s="43"/>
      <c r="G5757" s="48">
        <f t="shared" si="146"/>
        <v>12340</v>
      </c>
      <c r="H5757" s="391" t="s">
        <v>9568</v>
      </c>
    </row>
    <row r="5758" spans="1:8" x14ac:dyDescent="0.3">
      <c r="A5758" s="45">
        <v>45027</v>
      </c>
      <c r="B5758" s="586"/>
      <c r="C5758" s="486"/>
      <c r="D5758" s="497" t="s">
        <v>10803</v>
      </c>
      <c r="E5758" s="486"/>
      <c r="F5758" s="43">
        <v>100000</v>
      </c>
      <c r="G5758" s="48">
        <f t="shared" si="146"/>
        <v>112340</v>
      </c>
      <c r="H5758" s="391" t="s">
        <v>9568</v>
      </c>
    </row>
    <row r="5759" spans="1:8" x14ac:dyDescent="0.3">
      <c r="A5759" s="45">
        <v>45028</v>
      </c>
      <c r="B5759" s="399" t="s">
        <v>12190</v>
      </c>
      <c r="C5759" s="5" t="s">
        <v>8573</v>
      </c>
      <c r="D5759" s="5" t="s">
        <v>10952</v>
      </c>
      <c r="E5759" s="43">
        <v>5000</v>
      </c>
      <c r="F5759" s="43"/>
      <c r="G5759" s="48">
        <f t="shared" si="146"/>
        <v>107340</v>
      </c>
      <c r="H5759" s="391" t="s">
        <v>9568</v>
      </c>
    </row>
    <row r="5760" spans="1:8" x14ac:dyDescent="0.3">
      <c r="A5760" s="45">
        <v>45028</v>
      </c>
      <c r="B5760" s="435"/>
      <c r="C5760" s="217" t="s">
        <v>54</v>
      </c>
      <c r="D5760" s="217" t="s">
        <v>10953</v>
      </c>
      <c r="E5760" s="222">
        <v>94248</v>
      </c>
      <c r="F5760" s="43"/>
      <c r="G5760" s="48">
        <f t="shared" si="146"/>
        <v>13092</v>
      </c>
      <c r="H5760" s="391" t="s">
        <v>9568</v>
      </c>
    </row>
    <row r="5761" spans="1:8" x14ac:dyDescent="0.3">
      <c r="A5761" s="45">
        <v>45028</v>
      </c>
      <c r="B5761" s="399" t="s">
        <v>10615</v>
      </c>
      <c r="C5761" s="5" t="s">
        <v>84</v>
      </c>
      <c r="D5761" s="5" t="s">
        <v>10954</v>
      </c>
      <c r="E5761" s="43">
        <v>5000</v>
      </c>
      <c r="F5761" s="43"/>
      <c r="G5761" s="48">
        <f t="shared" si="146"/>
        <v>8092</v>
      </c>
      <c r="H5761" s="391" t="s">
        <v>9568</v>
      </c>
    </row>
    <row r="5762" spans="1:8" x14ac:dyDescent="0.3">
      <c r="A5762" s="45">
        <v>45028</v>
      </c>
      <c r="B5762" s="399" t="s">
        <v>10615</v>
      </c>
      <c r="C5762" s="5" t="s">
        <v>84</v>
      </c>
      <c r="D5762" s="5" t="s">
        <v>10955</v>
      </c>
      <c r="E5762" s="43">
        <v>4000</v>
      </c>
      <c r="F5762" s="43"/>
      <c r="G5762" s="48">
        <f t="shared" si="146"/>
        <v>4092</v>
      </c>
      <c r="H5762" s="391" t="s">
        <v>9568</v>
      </c>
    </row>
    <row r="5763" spans="1:8" x14ac:dyDescent="0.3">
      <c r="A5763" s="45">
        <v>45028</v>
      </c>
      <c r="B5763" s="345" t="s">
        <v>12096</v>
      </c>
      <c r="C5763" s="5" t="s">
        <v>5793</v>
      </c>
      <c r="D5763" s="5" t="s">
        <v>10827</v>
      </c>
      <c r="E5763" s="43">
        <v>400</v>
      </c>
      <c r="F5763" s="43"/>
      <c r="G5763" s="48">
        <f t="shared" si="146"/>
        <v>3692</v>
      </c>
      <c r="H5763" s="391" t="s">
        <v>9568</v>
      </c>
    </row>
    <row r="5764" spans="1:8" x14ac:dyDescent="0.3">
      <c r="A5764" s="45">
        <v>45028</v>
      </c>
      <c r="B5764" s="399" t="s">
        <v>10112</v>
      </c>
      <c r="C5764" s="5" t="s">
        <v>5793</v>
      </c>
      <c r="D5764" s="5" t="s">
        <v>10827</v>
      </c>
      <c r="E5764" s="43">
        <v>900</v>
      </c>
      <c r="F5764" s="43"/>
      <c r="G5764" s="48">
        <f t="shared" si="146"/>
        <v>2792</v>
      </c>
      <c r="H5764" s="391" t="s">
        <v>9568</v>
      </c>
    </row>
    <row r="5765" spans="1:8" x14ac:dyDescent="0.3">
      <c r="A5765" s="45">
        <v>45028</v>
      </c>
      <c r="B5765" s="399"/>
      <c r="C5765" s="5" t="s">
        <v>6154</v>
      </c>
      <c r="D5765" s="5" t="s">
        <v>10947</v>
      </c>
      <c r="E5765" s="43">
        <v>1500</v>
      </c>
      <c r="F5765" s="43"/>
      <c r="G5765" s="48">
        <f t="shared" si="146"/>
        <v>1292</v>
      </c>
      <c r="H5765" s="391" t="s">
        <v>9568</v>
      </c>
    </row>
    <row r="5766" spans="1:8" x14ac:dyDescent="0.3">
      <c r="A5766" s="45">
        <v>45028</v>
      </c>
      <c r="B5766" s="586"/>
      <c r="C5766" s="486"/>
      <c r="D5766" s="497" t="s">
        <v>10934</v>
      </c>
      <c r="E5766" s="486"/>
      <c r="F5766" s="43">
        <v>20000</v>
      </c>
      <c r="G5766" s="48">
        <f t="shared" si="146"/>
        <v>21292</v>
      </c>
      <c r="H5766" s="391" t="s">
        <v>9568</v>
      </c>
    </row>
    <row r="5767" spans="1:8" x14ac:dyDescent="0.3">
      <c r="A5767" s="45">
        <v>45029</v>
      </c>
      <c r="B5767" s="399"/>
      <c r="C5767" s="5" t="s">
        <v>5482</v>
      </c>
      <c r="D5767" s="5" t="s">
        <v>10956</v>
      </c>
      <c r="E5767" s="43">
        <v>1000</v>
      </c>
      <c r="F5767" s="43"/>
      <c r="G5767" s="48">
        <f t="shared" si="146"/>
        <v>20292</v>
      </c>
      <c r="H5767" s="391" t="s">
        <v>9568</v>
      </c>
    </row>
    <row r="5768" spans="1:8" x14ac:dyDescent="0.3">
      <c r="A5768" s="45">
        <v>45029</v>
      </c>
      <c r="B5768" s="399" t="s">
        <v>10974</v>
      </c>
      <c r="C5768" s="5" t="s">
        <v>9756</v>
      </c>
      <c r="D5768" s="5" t="s">
        <v>10975</v>
      </c>
      <c r="E5768" s="43">
        <v>18030</v>
      </c>
      <c r="F5768" s="43"/>
      <c r="G5768" s="48">
        <f t="shared" si="146"/>
        <v>2262</v>
      </c>
      <c r="H5768" s="391" t="s">
        <v>9568</v>
      </c>
    </row>
    <row r="5769" spans="1:8" x14ac:dyDescent="0.3">
      <c r="A5769" s="45">
        <v>45029</v>
      </c>
      <c r="B5769" s="586"/>
      <c r="C5769" s="486"/>
      <c r="D5769" s="497" t="s">
        <v>10803</v>
      </c>
      <c r="E5769" s="486"/>
      <c r="F5769" s="43">
        <v>790000</v>
      </c>
      <c r="G5769" s="48">
        <f t="shared" si="146"/>
        <v>792262</v>
      </c>
      <c r="H5769" s="391" t="s">
        <v>9568</v>
      </c>
    </row>
    <row r="5770" spans="1:8" x14ac:dyDescent="0.3">
      <c r="A5770" s="45">
        <v>45029</v>
      </c>
      <c r="B5770" s="399"/>
      <c r="C5770" s="5" t="s">
        <v>5482</v>
      </c>
      <c r="D5770" s="5" t="s">
        <v>10960</v>
      </c>
      <c r="E5770" s="43">
        <v>10000</v>
      </c>
      <c r="F5770" s="43"/>
      <c r="G5770" s="48">
        <f t="shared" si="146"/>
        <v>782262</v>
      </c>
      <c r="H5770" s="391" t="s">
        <v>9568</v>
      </c>
    </row>
    <row r="5771" spans="1:8" x14ac:dyDescent="0.3">
      <c r="A5771" s="45">
        <v>45029</v>
      </c>
      <c r="B5771" s="399" t="s">
        <v>12089</v>
      </c>
      <c r="C5771" s="5" t="s">
        <v>10760</v>
      </c>
      <c r="D5771" s="5" t="s">
        <v>10961</v>
      </c>
      <c r="E5771" s="43">
        <v>50000</v>
      </c>
      <c r="F5771" s="43"/>
      <c r="G5771" s="48">
        <f t="shared" si="146"/>
        <v>732262</v>
      </c>
      <c r="H5771" s="391" t="s">
        <v>9568</v>
      </c>
    </row>
    <row r="5772" spans="1:8" x14ac:dyDescent="0.3">
      <c r="A5772" s="45">
        <v>45029</v>
      </c>
      <c r="B5772" s="399"/>
      <c r="C5772" s="5" t="s">
        <v>4935</v>
      </c>
      <c r="D5772" s="5" t="s">
        <v>10962</v>
      </c>
      <c r="E5772" s="43">
        <v>50000</v>
      </c>
      <c r="F5772" s="43"/>
      <c r="G5772" s="48">
        <f t="shared" si="146"/>
        <v>682262</v>
      </c>
      <c r="H5772" s="391" t="s">
        <v>9568</v>
      </c>
    </row>
    <row r="5773" spans="1:8" x14ac:dyDescent="0.3">
      <c r="A5773" s="45">
        <v>45029</v>
      </c>
      <c r="B5773" s="399"/>
      <c r="C5773" s="5" t="s">
        <v>247</v>
      </c>
      <c r="D5773" s="5" t="s">
        <v>2013</v>
      </c>
      <c r="E5773" s="43">
        <v>200</v>
      </c>
      <c r="F5773" s="43"/>
      <c r="G5773" s="48">
        <f t="shared" si="146"/>
        <v>682062</v>
      </c>
      <c r="H5773" s="391" t="s">
        <v>9568</v>
      </c>
    </row>
    <row r="5774" spans="1:8" x14ac:dyDescent="0.3">
      <c r="A5774" s="45">
        <v>45029</v>
      </c>
      <c r="B5774" s="399"/>
      <c r="C5774" s="5" t="s">
        <v>541</v>
      </c>
      <c r="D5774" s="5" t="s">
        <v>294</v>
      </c>
      <c r="E5774" s="43">
        <v>200000</v>
      </c>
      <c r="F5774" s="43"/>
      <c r="G5774" s="48">
        <f t="shared" si="146"/>
        <v>482062</v>
      </c>
      <c r="H5774" s="391" t="s">
        <v>9568</v>
      </c>
    </row>
    <row r="5775" spans="1:8" x14ac:dyDescent="0.3">
      <c r="A5775" s="45">
        <v>45030</v>
      </c>
      <c r="B5775" s="399" t="s">
        <v>10112</v>
      </c>
      <c r="C5775" s="5" t="s">
        <v>10963</v>
      </c>
      <c r="D5775" s="5" t="s">
        <v>10964</v>
      </c>
      <c r="E5775" s="43">
        <v>115500</v>
      </c>
      <c r="F5775" s="43"/>
      <c r="G5775" s="48">
        <f t="shared" si="146"/>
        <v>366562</v>
      </c>
      <c r="H5775" s="391" t="s">
        <v>9568</v>
      </c>
    </row>
    <row r="5776" spans="1:8" x14ac:dyDescent="0.3">
      <c r="A5776" s="45">
        <v>45030</v>
      </c>
      <c r="B5776" s="399" t="s">
        <v>12190</v>
      </c>
      <c r="C5776" s="5" t="s">
        <v>5938</v>
      </c>
      <c r="D5776" s="5" t="s">
        <v>10965</v>
      </c>
      <c r="E5776" s="43">
        <v>40000</v>
      </c>
      <c r="F5776" s="43"/>
      <c r="G5776" s="48">
        <f t="shared" si="146"/>
        <v>326562</v>
      </c>
      <c r="H5776" s="391" t="s">
        <v>9568</v>
      </c>
    </row>
    <row r="5777" spans="1:8" x14ac:dyDescent="0.3">
      <c r="A5777" s="45">
        <v>45030</v>
      </c>
      <c r="B5777" s="399" t="s">
        <v>12089</v>
      </c>
      <c r="C5777" s="5" t="s">
        <v>84</v>
      </c>
      <c r="D5777" s="5" t="s">
        <v>10966</v>
      </c>
      <c r="E5777" s="43">
        <v>2000</v>
      </c>
      <c r="F5777" s="43"/>
      <c r="G5777" s="48">
        <f t="shared" si="146"/>
        <v>324562</v>
      </c>
      <c r="H5777" s="391" t="s">
        <v>9568</v>
      </c>
    </row>
    <row r="5778" spans="1:8" x14ac:dyDescent="0.3">
      <c r="A5778" s="45">
        <v>45030</v>
      </c>
      <c r="B5778" s="399" t="s">
        <v>12190</v>
      </c>
      <c r="C5778" s="5" t="s">
        <v>1074</v>
      </c>
      <c r="D5778" s="5" t="s">
        <v>6280</v>
      </c>
      <c r="E5778" s="43">
        <f>1320+3880</f>
        <v>5200</v>
      </c>
      <c r="F5778" s="43"/>
      <c r="G5778" s="48">
        <f t="shared" si="146"/>
        <v>319362</v>
      </c>
      <c r="H5778" s="391" t="s">
        <v>9568</v>
      </c>
    </row>
    <row r="5779" spans="1:8" x14ac:dyDescent="0.3">
      <c r="A5779" s="45">
        <v>45030</v>
      </c>
      <c r="B5779" s="399" t="s">
        <v>118</v>
      </c>
      <c r="C5779" s="5" t="s">
        <v>1074</v>
      </c>
      <c r="D5779" s="5" t="s">
        <v>6280</v>
      </c>
      <c r="E5779" s="43">
        <f>1120+850</f>
        <v>1970</v>
      </c>
      <c r="F5779" s="43"/>
      <c r="G5779" s="48">
        <f t="shared" si="146"/>
        <v>317392</v>
      </c>
      <c r="H5779" s="391" t="s">
        <v>9568</v>
      </c>
    </row>
    <row r="5780" spans="1:8" x14ac:dyDescent="0.3">
      <c r="A5780" s="45">
        <v>45030</v>
      </c>
      <c r="B5780" s="399" t="s">
        <v>10333</v>
      </c>
      <c r="C5780" s="5" t="s">
        <v>247</v>
      </c>
      <c r="D5780" s="5" t="s">
        <v>10967</v>
      </c>
      <c r="E5780" s="43">
        <v>7500</v>
      </c>
      <c r="F5780" s="43"/>
      <c r="G5780" s="48">
        <f t="shared" si="146"/>
        <v>309892</v>
      </c>
      <c r="H5780" s="391" t="s">
        <v>9568</v>
      </c>
    </row>
    <row r="5781" spans="1:8" x14ac:dyDescent="0.3">
      <c r="A5781" s="45">
        <v>45030</v>
      </c>
      <c r="B5781" s="345" t="s">
        <v>12096</v>
      </c>
      <c r="C5781" s="5" t="s">
        <v>10001</v>
      </c>
      <c r="D5781" s="5" t="s">
        <v>10968</v>
      </c>
      <c r="E5781" s="43">
        <v>3030</v>
      </c>
      <c r="F5781" s="43"/>
      <c r="G5781" s="48">
        <f t="shared" si="146"/>
        <v>306862</v>
      </c>
      <c r="H5781" s="391" t="s">
        <v>9568</v>
      </c>
    </row>
    <row r="5782" spans="1:8" x14ac:dyDescent="0.3">
      <c r="A5782" s="45">
        <v>45030</v>
      </c>
      <c r="B5782" s="345" t="s">
        <v>12096</v>
      </c>
      <c r="C5782" s="5" t="s">
        <v>10001</v>
      </c>
      <c r="D5782" s="5" t="s">
        <v>4187</v>
      </c>
      <c r="E5782" s="43">
        <v>3000</v>
      </c>
      <c r="F5782" s="43"/>
      <c r="G5782" s="48">
        <f t="shared" si="146"/>
        <v>303862</v>
      </c>
      <c r="H5782" s="391" t="s">
        <v>9568</v>
      </c>
    </row>
    <row r="5783" spans="1:8" x14ac:dyDescent="0.3">
      <c r="A5783" s="45">
        <v>45030</v>
      </c>
      <c r="B5783" s="399" t="s">
        <v>6481</v>
      </c>
      <c r="C5783" s="5" t="s">
        <v>10788</v>
      </c>
      <c r="D5783" s="5" t="s">
        <v>10969</v>
      </c>
      <c r="E5783" s="43">
        <v>40000</v>
      </c>
      <c r="F5783" s="43"/>
      <c r="G5783" s="48">
        <f t="shared" si="146"/>
        <v>263862</v>
      </c>
      <c r="H5783" s="391" t="s">
        <v>9568</v>
      </c>
    </row>
    <row r="5784" spans="1:8" x14ac:dyDescent="0.3">
      <c r="A5784" s="45">
        <v>45030</v>
      </c>
      <c r="B5784" s="435"/>
      <c r="C5784" s="217" t="s">
        <v>54</v>
      </c>
      <c r="D5784" s="217" t="s">
        <v>10970</v>
      </c>
      <c r="E5784" s="222">
        <v>21300</v>
      </c>
      <c r="F5784" s="43"/>
      <c r="G5784" s="48">
        <f t="shared" si="146"/>
        <v>242562</v>
      </c>
      <c r="H5784" s="391" t="s">
        <v>9568</v>
      </c>
    </row>
    <row r="5785" spans="1:8" x14ac:dyDescent="0.3">
      <c r="A5785" s="45">
        <v>45030</v>
      </c>
      <c r="B5785" s="399" t="s">
        <v>6481</v>
      </c>
      <c r="C5785" s="5" t="s">
        <v>2348</v>
      </c>
      <c r="D5785" s="5" t="s">
        <v>5508</v>
      </c>
      <c r="E5785" s="43">
        <v>10000</v>
      </c>
      <c r="F5785" s="43"/>
      <c r="G5785" s="48">
        <f t="shared" si="146"/>
        <v>232562</v>
      </c>
      <c r="H5785" s="391" t="s">
        <v>9568</v>
      </c>
    </row>
    <row r="5786" spans="1:8" x14ac:dyDescent="0.3">
      <c r="A5786" s="45">
        <v>45030</v>
      </c>
      <c r="B5786" s="399" t="s">
        <v>118</v>
      </c>
      <c r="C5786" s="5" t="s">
        <v>10861</v>
      </c>
      <c r="D5786" s="5" t="s">
        <v>10971</v>
      </c>
      <c r="E5786" s="43">
        <v>5000</v>
      </c>
      <c r="F5786" s="43"/>
      <c r="G5786" s="48">
        <f t="shared" si="146"/>
        <v>227562</v>
      </c>
      <c r="H5786" s="391" t="s">
        <v>9568</v>
      </c>
    </row>
    <row r="5787" spans="1:8" x14ac:dyDescent="0.3">
      <c r="A5787" s="45">
        <v>45030</v>
      </c>
      <c r="B5787" s="399"/>
      <c r="C5787" s="5" t="s">
        <v>14</v>
      </c>
      <c r="D5787" s="5" t="s">
        <v>10212</v>
      </c>
      <c r="E5787" s="43">
        <v>100000</v>
      </c>
      <c r="F5787" s="43"/>
      <c r="G5787" s="48">
        <f t="shared" si="146"/>
        <v>127562</v>
      </c>
      <c r="H5787" s="391" t="s">
        <v>9568</v>
      </c>
    </row>
    <row r="5788" spans="1:8" x14ac:dyDescent="0.3">
      <c r="A5788" s="45">
        <v>45031</v>
      </c>
      <c r="B5788" s="399" t="s">
        <v>4989</v>
      </c>
      <c r="C5788" s="5" t="s">
        <v>7366</v>
      </c>
      <c r="D5788" s="5" t="s">
        <v>40</v>
      </c>
      <c r="E5788" s="43">
        <v>15000</v>
      </c>
      <c r="F5788" s="43"/>
      <c r="G5788" s="48">
        <f t="shared" si="146"/>
        <v>112562</v>
      </c>
      <c r="H5788" s="391" t="s">
        <v>9568</v>
      </c>
    </row>
    <row r="5789" spans="1:8" x14ac:dyDescent="0.3">
      <c r="A5789" s="45">
        <v>45031</v>
      </c>
      <c r="B5789" s="399" t="s">
        <v>10333</v>
      </c>
      <c r="C5789" s="5" t="s">
        <v>7366</v>
      </c>
      <c r="D5789" s="5" t="s">
        <v>10972</v>
      </c>
      <c r="E5789" s="43">
        <v>15000</v>
      </c>
      <c r="F5789" s="43"/>
      <c r="G5789" s="48">
        <f t="shared" si="146"/>
        <v>97562</v>
      </c>
      <c r="H5789" s="391" t="s">
        <v>9568</v>
      </c>
    </row>
    <row r="5790" spans="1:8" x14ac:dyDescent="0.3">
      <c r="A5790" s="45">
        <v>45031</v>
      </c>
      <c r="B5790" s="399" t="s">
        <v>10804</v>
      </c>
      <c r="C5790" s="5" t="s">
        <v>8573</v>
      </c>
      <c r="D5790" s="5" t="s">
        <v>10973</v>
      </c>
      <c r="E5790" s="43">
        <v>5000</v>
      </c>
      <c r="F5790" s="43"/>
      <c r="G5790" s="48">
        <f t="shared" si="146"/>
        <v>92562</v>
      </c>
      <c r="H5790" s="391" t="s">
        <v>9568</v>
      </c>
    </row>
    <row r="5791" spans="1:8" x14ac:dyDescent="0.3">
      <c r="A5791" s="45">
        <v>45031</v>
      </c>
      <c r="B5791" s="399" t="s">
        <v>12089</v>
      </c>
      <c r="C5791" s="5" t="s">
        <v>10976</v>
      </c>
      <c r="D5791" s="5" t="s">
        <v>10977</v>
      </c>
      <c r="E5791" s="43">
        <v>16500</v>
      </c>
      <c r="F5791" s="43"/>
      <c r="G5791" s="48">
        <f t="shared" si="146"/>
        <v>76062</v>
      </c>
      <c r="H5791" s="391" t="s">
        <v>9568</v>
      </c>
    </row>
    <row r="5792" spans="1:8" x14ac:dyDescent="0.3">
      <c r="A5792" s="45">
        <v>45031</v>
      </c>
      <c r="B5792" s="399" t="s">
        <v>12089</v>
      </c>
      <c r="C5792" s="5" t="s">
        <v>5793</v>
      </c>
      <c r="D5792" s="5" t="s">
        <v>40</v>
      </c>
      <c r="E5792" s="43">
        <v>500</v>
      </c>
      <c r="F5792" s="43"/>
      <c r="G5792" s="48">
        <f t="shared" si="146"/>
        <v>75562</v>
      </c>
      <c r="H5792" s="391" t="s">
        <v>9568</v>
      </c>
    </row>
    <row r="5793" spans="1:8" x14ac:dyDescent="0.3">
      <c r="A5793" s="45">
        <v>45031</v>
      </c>
      <c r="B5793" s="399" t="s">
        <v>10804</v>
      </c>
      <c r="C5793" s="5" t="s">
        <v>5793</v>
      </c>
      <c r="D5793" s="5" t="s">
        <v>10978</v>
      </c>
      <c r="E5793" s="43">
        <v>900</v>
      </c>
      <c r="F5793" s="43"/>
      <c r="G5793" s="48">
        <f t="shared" si="146"/>
        <v>74662</v>
      </c>
      <c r="H5793" s="391" t="s">
        <v>9568</v>
      </c>
    </row>
    <row r="5794" spans="1:8" x14ac:dyDescent="0.3">
      <c r="A5794" s="45">
        <v>45031</v>
      </c>
      <c r="B5794" s="399" t="s">
        <v>10974</v>
      </c>
      <c r="C5794" s="5" t="s">
        <v>10815</v>
      </c>
      <c r="D5794" s="5" t="s">
        <v>10986</v>
      </c>
      <c r="E5794" s="43">
        <v>50000</v>
      </c>
      <c r="F5794" s="43"/>
      <c r="G5794" s="48">
        <f t="shared" si="146"/>
        <v>24662</v>
      </c>
      <c r="H5794" s="391" t="s">
        <v>9568</v>
      </c>
    </row>
    <row r="5795" spans="1:8" x14ac:dyDescent="0.3">
      <c r="A5795" s="45">
        <v>45031</v>
      </c>
      <c r="B5795" s="399" t="s">
        <v>10974</v>
      </c>
      <c r="C5795" s="5" t="s">
        <v>5793</v>
      </c>
      <c r="D5795" s="5" t="s">
        <v>2263</v>
      </c>
      <c r="E5795" s="43">
        <v>1000</v>
      </c>
      <c r="F5795" s="43"/>
      <c r="G5795" s="48">
        <f t="shared" si="146"/>
        <v>23662</v>
      </c>
      <c r="H5795" s="391" t="s">
        <v>9568</v>
      </c>
    </row>
    <row r="5796" spans="1:8" x14ac:dyDescent="0.3">
      <c r="A5796" s="45">
        <v>45031</v>
      </c>
      <c r="B5796" s="399" t="s">
        <v>12189</v>
      </c>
      <c r="C5796" s="5" t="s">
        <v>5979</v>
      </c>
      <c r="D5796" s="5" t="s">
        <v>40</v>
      </c>
      <c r="E5796" s="43">
        <v>8000</v>
      </c>
      <c r="F5796" s="43"/>
      <c r="G5796" s="48">
        <f t="shared" si="146"/>
        <v>15662</v>
      </c>
      <c r="H5796" s="391" t="s">
        <v>9568</v>
      </c>
    </row>
    <row r="5797" spans="1:8" x14ac:dyDescent="0.3">
      <c r="A5797" s="45">
        <v>45031</v>
      </c>
      <c r="B5797" s="399" t="s">
        <v>10333</v>
      </c>
      <c r="C5797" s="5" t="s">
        <v>9756</v>
      </c>
      <c r="D5797" s="5" t="s">
        <v>10829</v>
      </c>
      <c r="E5797" s="43">
        <v>900</v>
      </c>
      <c r="F5797" s="43"/>
      <c r="G5797" s="48">
        <f t="shared" si="146"/>
        <v>14762</v>
      </c>
      <c r="H5797" s="391" t="s">
        <v>9568</v>
      </c>
    </row>
    <row r="5798" spans="1:8" x14ac:dyDescent="0.3">
      <c r="A5798" s="45">
        <v>45031</v>
      </c>
      <c r="B5798" s="399" t="s">
        <v>9860</v>
      </c>
      <c r="C5798" s="5" t="s">
        <v>30</v>
      </c>
      <c r="D5798" s="5" t="s">
        <v>10990</v>
      </c>
      <c r="E5798" s="43">
        <v>1100</v>
      </c>
      <c r="F5798" s="43"/>
      <c r="G5798" s="48">
        <f t="shared" si="146"/>
        <v>13662</v>
      </c>
      <c r="H5798" s="391" t="s">
        <v>9568</v>
      </c>
    </row>
    <row r="5799" spans="1:8" x14ac:dyDescent="0.3">
      <c r="A5799" s="45">
        <v>45033</v>
      </c>
      <c r="B5799" s="399" t="s">
        <v>118</v>
      </c>
      <c r="C5799" s="5" t="s">
        <v>25</v>
      </c>
      <c r="D5799" s="5" t="s">
        <v>10991</v>
      </c>
      <c r="E5799" s="43">
        <v>1500</v>
      </c>
      <c r="F5799" s="43"/>
      <c r="G5799" s="48">
        <f t="shared" si="146"/>
        <v>12162</v>
      </c>
      <c r="H5799" s="391" t="s">
        <v>9568</v>
      </c>
    </row>
    <row r="5800" spans="1:8" x14ac:dyDescent="0.3">
      <c r="A5800" s="45">
        <v>45033</v>
      </c>
      <c r="B5800" s="399" t="s">
        <v>10804</v>
      </c>
      <c r="C5800" s="5" t="s">
        <v>9756</v>
      </c>
      <c r="D5800" s="5" t="s">
        <v>2160</v>
      </c>
      <c r="E5800" s="43">
        <v>1000</v>
      </c>
      <c r="F5800" s="43"/>
      <c r="G5800" s="48">
        <f t="shared" si="146"/>
        <v>11162</v>
      </c>
      <c r="H5800" s="391" t="s">
        <v>9568</v>
      </c>
    </row>
    <row r="5801" spans="1:8" x14ac:dyDescent="0.3">
      <c r="A5801" s="45">
        <v>45033</v>
      </c>
      <c r="B5801" s="399" t="s">
        <v>10112</v>
      </c>
      <c r="C5801" s="5" t="s">
        <v>10992</v>
      </c>
      <c r="D5801" s="5" t="s">
        <v>10993</v>
      </c>
      <c r="E5801" s="43">
        <v>4300</v>
      </c>
      <c r="F5801" s="43"/>
      <c r="G5801" s="48">
        <f t="shared" si="146"/>
        <v>6862</v>
      </c>
      <c r="H5801" s="391" t="s">
        <v>9568</v>
      </c>
    </row>
    <row r="5802" spans="1:8" x14ac:dyDescent="0.3">
      <c r="A5802" s="45">
        <v>45033</v>
      </c>
      <c r="B5802" s="399" t="s">
        <v>12190</v>
      </c>
      <c r="C5802" s="5" t="s">
        <v>1616</v>
      </c>
      <c r="D5802" s="5" t="s">
        <v>10994</v>
      </c>
      <c r="E5802" s="43">
        <f>3000+750</f>
        <v>3750</v>
      </c>
      <c r="F5802" s="43"/>
      <c r="G5802" s="48">
        <f t="shared" si="146"/>
        <v>3112</v>
      </c>
      <c r="H5802" s="391" t="s">
        <v>9568</v>
      </c>
    </row>
    <row r="5803" spans="1:8" x14ac:dyDescent="0.3">
      <c r="A5803" s="45">
        <v>45033</v>
      </c>
      <c r="B5803" s="399" t="s">
        <v>10112</v>
      </c>
      <c r="C5803" s="5" t="s">
        <v>5793</v>
      </c>
      <c r="D5803" s="5" t="s">
        <v>10995</v>
      </c>
      <c r="E5803" s="43">
        <v>1300</v>
      </c>
      <c r="F5803" s="43"/>
      <c r="G5803" s="48">
        <f t="shared" si="146"/>
        <v>1812</v>
      </c>
      <c r="H5803" s="391" t="s">
        <v>9568</v>
      </c>
    </row>
    <row r="5804" spans="1:8" x14ac:dyDescent="0.3">
      <c r="A5804" s="45">
        <v>45033</v>
      </c>
      <c r="B5804" s="345" t="s">
        <v>12096</v>
      </c>
      <c r="C5804" s="5" t="s">
        <v>5793</v>
      </c>
      <c r="D5804" s="5" t="s">
        <v>2263</v>
      </c>
      <c r="E5804" s="65">
        <v>1000</v>
      </c>
      <c r="F5804" s="43"/>
      <c r="G5804" s="48">
        <f t="shared" si="146"/>
        <v>812</v>
      </c>
      <c r="H5804" s="391" t="s">
        <v>9568</v>
      </c>
    </row>
    <row r="5805" spans="1:8" x14ac:dyDescent="0.3">
      <c r="A5805" s="45">
        <v>45033</v>
      </c>
      <c r="B5805" s="399" t="s">
        <v>12089</v>
      </c>
      <c r="C5805" s="5" t="s">
        <v>5162</v>
      </c>
      <c r="D5805" s="5" t="s">
        <v>10996</v>
      </c>
      <c r="E5805" s="43">
        <v>650</v>
      </c>
      <c r="F5805" s="43"/>
      <c r="G5805" s="48">
        <f t="shared" si="146"/>
        <v>162</v>
      </c>
      <c r="H5805" s="391" t="s">
        <v>9568</v>
      </c>
    </row>
    <row r="5806" spans="1:8" x14ac:dyDescent="0.3">
      <c r="A5806" s="45">
        <v>45034</v>
      </c>
      <c r="B5806" s="586"/>
      <c r="C5806" s="486"/>
      <c r="D5806" s="497" t="s">
        <v>10803</v>
      </c>
      <c r="E5806" s="486"/>
      <c r="F5806" s="43">
        <v>100000</v>
      </c>
      <c r="G5806" s="48">
        <f t="shared" si="146"/>
        <v>100162</v>
      </c>
      <c r="H5806" s="391" t="s">
        <v>9568</v>
      </c>
    </row>
    <row r="5807" spans="1:8" x14ac:dyDescent="0.3">
      <c r="A5807" s="45">
        <v>45034</v>
      </c>
      <c r="B5807" s="586"/>
      <c r="C5807" s="486"/>
      <c r="D5807" s="497" t="s">
        <v>10803</v>
      </c>
      <c r="E5807" s="486"/>
      <c r="F5807" s="43">
        <v>600000</v>
      </c>
      <c r="G5807" s="48">
        <f t="shared" si="146"/>
        <v>700162</v>
      </c>
      <c r="H5807" s="391" t="s">
        <v>9568</v>
      </c>
    </row>
    <row r="5808" spans="1:8" x14ac:dyDescent="0.3">
      <c r="A5808" s="45">
        <v>45034</v>
      </c>
      <c r="B5808" s="399"/>
      <c r="C5808" s="5" t="s">
        <v>4550</v>
      </c>
      <c r="D5808" s="5" t="s">
        <v>7684</v>
      </c>
      <c r="E5808" s="43">
        <v>15000</v>
      </c>
      <c r="F5808" s="43"/>
      <c r="G5808" s="48">
        <f t="shared" si="146"/>
        <v>685162</v>
      </c>
      <c r="H5808" s="391" t="s">
        <v>9568</v>
      </c>
    </row>
    <row r="5809" spans="1:8" x14ac:dyDescent="0.3">
      <c r="A5809" s="45">
        <v>45034</v>
      </c>
      <c r="B5809" s="399" t="s">
        <v>10974</v>
      </c>
      <c r="C5809" s="5" t="s">
        <v>9044</v>
      </c>
      <c r="D5809" s="5" t="s">
        <v>10997</v>
      </c>
      <c r="E5809" s="43">
        <v>70000</v>
      </c>
      <c r="F5809" s="43"/>
      <c r="G5809" s="48">
        <f t="shared" si="146"/>
        <v>615162</v>
      </c>
      <c r="H5809" s="391" t="s">
        <v>9568</v>
      </c>
    </row>
    <row r="5810" spans="1:8" x14ac:dyDescent="0.3">
      <c r="A5810" s="45">
        <v>45034</v>
      </c>
      <c r="B5810" s="345" t="s">
        <v>12096</v>
      </c>
      <c r="C5810" s="5" t="s">
        <v>18</v>
      </c>
      <c r="D5810" s="5" t="s">
        <v>294</v>
      </c>
      <c r="E5810" s="43">
        <v>3000</v>
      </c>
      <c r="F5810" s="43"/>
      <c r="G5810" s="48">
        <f t="shared" si="146"/>
        <v>612162</v>
      </c>
      <c r="H5810" s="391" t="s">
        <v>9568</v>
      </c>
    </row>
    <row r="5811" spans="1:8" x14ac:dyDescent="0.3">
      <c r="A5811" s="45">
        <v>45034</v>
      </c>
      <c r="B5811" s="399" t="s">
        <v>10112</v>
      </c>
      <c r="C5811" s="5" t="s">
        <v>5793</v>
      </c>
      <c r="D5811" s="5" t="s">
        <v>10999</v>
      </c>
      <c r="E5811" s="43">
        <v>1500</v>
      </c>
      <c r="F5811" s="43"/>
      <c r="G5811" s="48">
        <f t="shared" si="146"/>
        <v>610662</v>
      </c>
      <c r="H5811" s="391" t="s">
        <v>9568</v>
      </c>
    </row>
    <row r="5812" spans="1:8" x14ac:dyDescent="0.3">
      <c r="A5812" s="45">
        <v>45034</v>
      </c>
      <c r="B5812" s="399"/>
      <c r="C5812" s="5" t="s">
        <v>14</v>
      </c>
      <c r="D5812" s="5" t="s">
        <v>640</v>
      </c>
      <c r="E5812" s="43">
        <v>1000</v>
      </c>
      <c r="F5812" s="43"/>
      <c r="G5812" s="48">
        <f t="shared" si="146"/>
        <v>609662</v>
      </c>
      <c r="H5812" s="391" t="s">
        <v>9568</v>
      </c>
    </row>
    <row r="5813" spans="1:8" x14ac:dyDescent="0.3">
      <c r="A5813" s="45">
        <v>45034</v>
      </c>
      <c r="B5813" s="399"/>
      <c r="C5813" s="5" t="s">
        <v>84</v>
      </c>
      <c r="D5813" s="5" t="s">
        <v>11000</v>
      </c>
      <c r="E5813" s="43">
        <v>1000</v>
      </c>
      <c r="F5813" s="43"/>
      <c r="G5813" s="48">
        <f t="shared" si="146"/>
        <v>608662</v>
      </c>
      <c r="H5813" s="391" t="s">
        <v>9568</v>
      </c>
    </row>
    <row r="5814" spans="1:8" x14ac:dyDescent="0.3">
      <c r="A5814" s="45">
        <v>45034</v>
      </c>
      <c r="B5814" s="399" t="s">
        <v>118</v>
      </c>
      <c r="C5814" s="5" t="s">
        <v>4669</v>
      </c>
      <c r="D5814" s="5" t="s">
        <v>11001</v>
      </c>
      <c r="E5814" s="43">
        <v>17000</v>
      </c>
      <c r="F5814" s="43"/>
      <c r="G5814" s="48">
        <f t="shared" si="146"/>
        <v>591662</v>
      </c>
      <c r="H5814" s="391" t="s">
        <v>9568</v>
      </c>
    </row>
    <row r="5815" spans="1:8" x14ac:dyDescent="0.3">
      <c r="A5815" s="45">
        <v>45034</v>
      </c>
      <c r="B5815" s="399" t="s">
        <v>9860</v>
      </c>
      <c r="C5815" s="5" t="s">
        <v>10175</v>
      </c>
      <c r="D5815" s="5" t="s">
        <v>5508</v>
      </c>
      <c r="E5815" s="43">
        <v>2500</v>
      </c>
      <c r="F5815" s="43"/>
      <c r="G5815" s="48">
        <f t="shared" si="146"/>
        <v>589162</v>
      </c>
      <c r="H5815" s="391" t="s">
        <v>9568</v>
      </c>
    </row>
    <row r="5816" spans="1:8" x14ac:dyDescent="0.3">
      <c r="A5816" s="45">
        <v>45034</v>
      </c>
      <c r="B5816" s="399" t="s">
        <v>12190</v>
      </c>
      <c r="C5816" s="5" t="s">
        <v>1074</v>
      </c>
      <c r="D5816" s="5" t="s">
        <v>11003</v>
      </c>
      <c r="E5816" s="43">
        <v>15638</v>
      </c>
      <c r="F5816" s="43"/>
      <c r="G5816" s="48">
        <f t="shared" si="146"/>
        <v>573524</v>
      </c>
      <c r="H5816" s="391" t="s">
        <v>9568</v>
      </c>
    </row>
    <row r="5817" spans="1:8" x14ac:dyDescent="0.3">
      <c r="A5817" s="45">
        <v>45034</v>
      </c>
      <c r="B5817" s="399" t="s">
        <v>118</v>
      </c>
      <c r="C5817" s="5" t="s">
        <v>1074</v>
      </c>
      <c r="D5817" s="5" t="s">
        <v>11003</v>
      </c>
      <c r="E5817" s="43">
        <v>43516</v>
      </c>
      <c r="F5817" s="43"/>
      <c r="G5817" s="48">
        <f t="shared" si="146"/>
        <v>530008</v>
      </c>
      <c r="H5817" s="391" t="s">
        <v>9568</v>
      </c>
    </row>
    <row r="5818" spans="1:8" x14ac:dyDescent="0.3">
      <c r="A5818" s="45">
        <v>45034</v>
      </c>
      <c r="B5818" s="586"/>
      <c r="C5818" s="486"/>
      <c r="D5818" s="497" t="s">
        <v>4106</v>
      </c>
      <c r="E5818" s="486"/>
      <c r="F5818" s="43">
        <v>1000000</v>
      </c>
      <c r="G5818" s="48">
        <f t="shared" si="146"/>
        <v>1530008</v>
      </c>
      <c r="H5818" s="391" t="s">
        <v>9568</v>
      </c>
    </row>
    <row r="5819" spans="1:8" x14ac:dyDescent="0.3">
      <c r="A5819" s="45">
        <v>45034</v>
      </c>
      <c r="B5819" s="399" t="s">
        <v>10112</v>
      </c>
      <c r="C5819" s="5" t="s">
        <v>8128</v>
      </c>
      <c r="D5819" s="5" t="s">
        <v>5508</v>
      </c>
      <c r="E5819" s="43">
        <v>316600</v>
      </c>
      <c r="F5819" s="43"/>
      <c r="G5819" s="48">
        <f t="shared" si="146"/>
        <v>1213408</v>
      </c>
      <c r="H5819" s="391" t="s">
        <v>9568</v>
      </c>
    </row>
    <row r="5820" spans="1:8" x14ac:dyDescent="0.3">
      <c r="A5820" s="45">
        <v>45034</v>
      </c>
      <c r="B5820" s="399" t="s">
        <v>10112</v>
      </c>
      <c r="C5820" s="5" t="s">
        <v>8128</v>
      </c>
      <c r="D5820" s="5" t="s">
        <v>11004</v>
      </c>
      <c r="E5820" s="43">
        <v>570</v>
      </c>
      <c r="F5820" s="43"/>
      <c r="G5820" s="48">
        <f t="shared" ref="G5820:G5884" si="147">G5819+F5820-E5820</f>
        <v>1212838</v>
      </c>
      <c r="H5820" s="391" t="s">
        <v>9568</v>
      </c>
    </row>
    <row r="5821" spans="1:8" x14ac:dyDescent="0.3">
      <c r="A5821" s="45">
        <v>45034</v>
      </c>
      <c r="B5821" s="345" t="s">
        <v>12096</v>
      </c>
      <c r="C5821" s="5" t="s">
        <v>10910</v>
      </c>
      <c r="D5821" s="5" t="s">
        <v>11005</v>
      </c>
      <c r="E5821" s="43">
        <v>2000</v>
      </c>
      <c r="F5821" s="43"/>
      <c r="G5821" s="48">
        <f t="shared" si="147"/>
        <v>1210838</v>
      </c>
      <c r="H5821" s="391" t="s">
        <v>9568</v>
      </c>
    </row>
    <row r="5822" spans="1:8" x14ac:dyDescent="0.3">
      <c r="A5822" s="45">
        <v>45034</v>
      </c>
      <c r="B5822" s="399" t="s">
        <v>9925</v>
      </c>
      <c r="C5822" s="5" t="s">
        <v>8009</v>
      </c>
      <c r="D5822" s="5" t="s">
        <v>11006</v>
      </c>
      <c r="E5822" s="43">
        <v>2800</v>
      </c>
      <c r="F5822" s="43"/>
      <c r="G5822" s="48">
        <f t="shared" si="147"/>
        <v>1208038</v>
      </c>
      <c r="H5822" s="391" t="s">
        <v>9568</v>
      </c>
    </row>
    <row r="5823" spans="1:8" x14ac:dyDescent="0.3">
      <c r="A5823" s="45">
        <v>45034</v>
      </c>
      <c r="B5823" s="399" t="s">
        <v>11772</v>
      </c>
      <c r="C5823" s="5" t="s">
        <v>9756</v>
      </c>
      <c r="D5823" s="5" t="s">
        <v>11007</v>
      </c>
      <c r="E5823" s="65">
        <v>1350</v>
      </c>
      <c r="F5823" s="43"/>
      <c r="G5823" s="48">
        <f t="shared" si="147"/>
        <v>1206688</v>
      </c>
      <c r="H5823" s="391" t="s">
        <v>9568</v>
      </c>
    </row>
    <row r="5824" spans="1:8" x14ac:dyDescent="0.3">
      <c r="A5824" s="45">
        <v>45034</v>
      </c>
      <c r="B5824" s="399" t="s">
        <v>10974</v>
      </c>
      <c r="C5824" s="5" t="s">
        <v>9756</v>
      </c>
      <c r="D5824" s="5" t="s">
        <v>11008</v>
      </c>
      <c r="E5824" s="43">
        <v>6000</v>
      </c>
      <c r="F5824" s="43"/>
      <c r="G5824" s="48">
        <f t="shared" si="147"/>
        <v>1200688</v>
      </c>
      <c r="H5824" s="391" t="s">
        <v>9568</v>
      </c>
    </row>
    <row r="5825" spans="1:8" x14ac:dyDescent="0.3">
      <c r="A5825" s="45">
        <v>45034</v>
      </c>
      <c r="B5825" s="399"/>
      <c r="C5825" s="5" t="s">
        <v>5482</v>
      </c>
      <c r="D5825" s="5" t="s">
        <v>10960</v>
      </c>
      <c r="E5825" s="43">
        <v>25000</v>
      </c>
      <c r="F5825" s="43"/>
      <c r="G5825" s="48">
        <f t="shared" si="147"/>
        <v>1175688</v>
      </c>
      <c r="H5825" s="391" t="s">
        <v>9568</v>
      </c>
    </row>
    <row r="5826" spans="1:8" x14ac:dyDescent="0.3">
      <c r="A5826" s="45">
        <v>45034</v>
      </c>
      <c r="B5826" s="399" t="s">
        <v>10974</v>
      </c>
      <c r="C5826" s="5" t="s">
        <v>9756</v>
      </c>
      <c r="D5826" s="5" t="s">
        <v>10918</v>
      </c>
      <c r="E5826" s="43">
        <v>800</v>
      </c>
      <c r="F5826" s="43"/>
      <c r="G5826" s="48">
        <f t="shared" si="147"/>
        <v>1174888</v>
      </c>
      <c r="H5826" s="391" t="s">
        <v>9568</v>
      </c>
    </row>
    <row r="5827" spans="1:8" x14ac:dyDescent="0.3">
      <c r="A5827" s="45">
        <v>45034</v>
      </c>
      <c r="B5827" s="399" t="s">
        <v>10804</v>
      </c>
      <c r="C5827" s="5" t="s">
        <v>4156</v>
      </c>
      <c r="D5827" s="5" t="s">
        <v>11009</v>
      </c>
      <c r="E5827" s="43">
        <v>250000</v>
      </c>
      <c r="F5827" s="43"/>
      <c r="G5827" s="48">
        <f t="shared" si="147"/>
        <v>924888</v>
      </c>
      <c r="H5827" s="391" t="s">
        <v>9568</v>
      </c>
    </row>
    <row r="5828" spans="1:8" x14ac:dyDescent="0.3">
      <c r="A5828" s="45">
        <v>45034</v>
      </c>
      <c r="B5828" s="399" t="s">
        <v>10804</v>
      </c>
      <c r="C5828" s="5" t="s">
        <v>4156</v>
      </c>
      <c r="D5828" s="5" t="s">
        <v>11010</v>
      </c>
      <c r="E5828" s="43">
        <v>29000</v>
      </c>
      <c r="F5828" s="43"/>
      <c r="G5828" s="48">
        <f t="shared" si="147"/>
        <v>895888</v>
      </c>
      <c r="H5828" s="391" t="s">
        <v>9568</v>
      </c>
    </row>
    <row r="5829" spans="1:8" x14ac:dyDescent="0.3">
      <c r="A5829" s="45">
        <v>45034</v>
      </c>
      <c r="B5829" s="399" t="s">
        <v>10333</v>
      </c>
      <c r="C5829" s="5" t="s">
        <v>11011</v>
      </c>
      <c r="D5829" s="5" t="s">
        <v>11012</v>
      </c>
      <c r="E5829" s="43">
        <v>27000</v>
      </c>
      <c r="F5829" s="43"/>
      <c r="G5829" s="48">
        <f t="shared" si="147"/>
        <v>868888</v>
      </c>
      <c r="H5829" s="391" t="s">
        <v>9568</v>
      </c>
    </row>
    <row r="5830" spans="1:8" x14ac:dyDescent="0.3">
      <c r="A5830" s="45">
        <v>45035</v>
      </c>
      <c r="B5830" s="399" t="s">
        <v>11772</v>
      </c>
      <c r="C5830" s="5" t="s">
        <v>11013</v>
      </c>
      <c r="D5830" s="5" t="s">
        <v>11014</v>
      </c>
      <c r="E5830" s="43">
        <v>24000</v>
      </c>
      <c r="F5830" s="43"/>
      <c r="G5830" s="48">
        <f t="shared" si="147"/>
        <v>844888</v>
      </c>
      <c r="H5830" s="391" t="s">
        <v>9568</v>
      </c>
    </row>
    <row r="5831" spans="1:8" x14ac:dyDescent="0.3">
      <c r="A5831" s="45">
        <v>45035</v>
      </c>
      <c r="B5831" s="399" t="s">
        <v>10974</v>
      </c>
      <c r="C5831" s="5" t="s">
        <v>10125</v>
      </c>
      <c r="D5831" s="5" t="s">
        <v>10148</v>
      </c>
      <c r="E5831" s="43">
        <v>25000</v>
      </c>
      <c r="F5831" s="43"/>
      <c r="G5831" s="48">
        <f t="shared" si="147"/>
        <v>819888</v>
      </c>
      <c r="H5831" s="391" t="s">
        <v>9568</v>
      </c>
    </row>
    <row r="5832" spans="1:8" x14ac:dyDescent="0.3">
      <c r="A5832" s="45">
        <v>45035</v>
      </c>
      <c r="B5832" s="399" t="s">
        <v>10974</v>
      </c>
      <c r="C5832" s="5" t="s">
        <v>10709</v>
      </c>
      <c r="D5832" s="5" t="s">
        <v>10889</v>
      </c>
      <c r="E5832" s="43">
        <v>35000</v>
      </c>
      <c r="F5832" s="43"/>
      <c r="G5832" s="48">
        <f t="shared" si="147"/>
        <v>784888</v>
      </c>
      <c r="H5832" s="391" t="s">
        <v>9568</v>
      </c>
    </row>
    <row r="5833" spans="1:8" x14ac:dyDescent="0.3">
      <c r="A5833" s="45">
        <v>45035</v>
      </c>
      <c r="B5833" s="399" t="s">
        <v>12089</v>
      </c>
      <c r="C5833" s="5" t="s">
        <v>11015</v>
      </c>
      <c r="D5833" s="5" t="s">
        <v>11018</v>
      </c>
      <c r="E5833" s="43">
        <v>600000</v>
      </c>
      <c r="F5833" s="43"/>
      <c r="G5833" s="48">
        <f t="shared" si="147"/>
        <v>184888</v>
      </c>
      <c r="H5833" s="391" t="s">
        <v>9568</v>
      </c>
    </row>
    <row r="5834" spans="1:8" x14ac:dyDescent="0.3">
      <c r="A5834" s="45">
        <v>45035</v>
      </c>
      <c r="B5834" s="399" t="s">
        <v>10804</v>
      </c>
      <c r="C5834" s="5" t="s">
        <v>11017</v>
      </c>
      <c r="D5834" s="5" t="s">
        <v>11016</v>
      </c>
      <c r="E5834" s="43">
        <v>100000</v>
      </c>
      <c r="F5834" s="43"/>
      <c r="G5834" s="48">
        <f t="shared" si="147"/>
        <v>84888</v>
      </c>
      <c r="H5834" s="391" t="s">
        <v>9568</v>
      </c>
    </row>
    <row r="5835" spans="1:8" x14ac:dyDescent="0.3">
      <c r="A5835" s="45">
        <v>45035</v>
      </c>
      <c r="B5835" s="399" t="s">
        <v>12089</v>
      </c>
      <c r="C5835" s="5" t="s">
        <v>5793</v>
      </c>
      <c r="D5835" s="5" t="s">
        <v>11019</v>
      </c>
      <c r="E5835" s="43">
        <v>500</v>
      </c>
      <c r="F5835" s="43"/>
      <c r="G5835" s="48">
        <f t="shared" si="147"/>
        <v>84388</v>
      </c>
      <c r="H5835" s="391" t="s">
        <v>9568</v>
      </c>
    </row>
    <row r="5836" spans="1:8" x14ac:dyDescent="0.3">
      <c r="A5836" s="45">
        <v>45035</v>
      </c>
      <c r="B5836" s="399" t="s">
        <v>6481</v>
      </c>
      <c r="C5836" s="5" t="s">
        <v>2348</v>
      </c>
      <c r="D5836" s="5" t="s">
        <v>10073</v>
      </c>
      <c r="E5836" s="43">
        <v>10000</v>
      </c>
      <c r="F5836" s="43"/>
      <c r="G5836" s="48">
        <f t="shared" si="147"/>
        <v>74388</v>
      </c>
      <c r="H5836" s="391" t="s">
        <v>9568</v>
      </c>
    </row>
    <row r="5837" spans="1:8" x14ac:dyDescent="0.3">
      <c r="A5837" s="45">
        <v>45035</v>
      </c>
      <c r="B5837" s="399"/>
      <c r="C5837" s="5" t="s">
        <v>14</v>
      </c>
      <c r="D5837" s="5" t="s">
        <v>11021</v>
      </c>
      <c r="E5837" s="43">
        <v>1000</v>
      </c>
      <c r="F5837" s="43"/>
      <c r="G5837" s="48">
        <f t="shared" si="147"/>
        <v>73388</v>
      </c>
      <c r="H5837" s="391" t="s">
        <v>9568</v>
      </c>
    </row>
    <row r="5838" spans="1:8" x14ac:dyDescent="0.3">
      <c r="A5838" s="45">
        <v>45035</v>
      </c>
      <c r="B5838" s="399" t="s">
        <v>10615</v>
      </c>
      <c r="C5838" s="5" t="s">
        <v>6430</v>
      </c>
      <c r="D5838" s="5" t="s">
        <v>11022</v>
      </c>
      <c r="E5838" s="43">
        <v>2500</v>
      </c>
      <c r="F5838" s="43"/>
      <c r="G5838" s="48">
        <f t="shared" si="147"/>
        <v>70888</v>
      </c>
      <c r="H5838" s="391" t="s">
        <v>9568</v>
      </c>
    </row>
    <row r="5839" spans="1:8" x14ac:dyDescent="0.3">
      <c r="A5839" s="45">
        <v>45035</v>
      </c>
      <c r="B5839" s="399"/>
      <c r="C5839" s="5" t="s">
        <v>5162</v>
      </c>
      <c r="D5839" s="5" t="s">
        <v>640</v>
      </c>
      <c r="E5839" s="43">
        <v>250</v>
      </c>
      <c r="F5839" s="43"/>
      <c r="G5839" s="48">
        <f t="shared" si="147"/>
        <v>70638</v>
      </c>
      <c r="H5839" s="391" t="s">
        <v>9568</v>
      </c>
    </row>
    <row r="5840" spans="1:8" x14ac:dyDescent="0.3">
      <c r="A5840" s="45">
        <v>45035</v>
      </c>
      <c r="B5840" s="399" t="s">
        <v>10333</v>
      </c>
      <c r="C5840" s="5" t="s">
        <v>25</v>
      </c>
      <c r="D5840" s="5" t="s">
        <v>11042</v>
      </c>
      <c r="E5840" s="43">
        <v>70000</v>
      </c>
      <c r="F5840" s="43"/>
      <c r="G5840" s="48">
        <f t="shared" si="147"/>
        <v>638</v>
      </c>
      <c r="H5840" s="391" t="s">
        <v>9568</v>
      </c>
    </row>
    <row r="5841" spans="1:9" x14ac:dyDescent="0.3">
      <c r="A5841" s="45">
        <v>45036</v>
      </c>
      <c r="B5841" s="586"/>
      <c r="C5841" s="486"/>
      <c r="D5841" s="497" t="s">
        <v>4362</v>
      </c>
      <c r="E5841" s="486"/>
      <c r="F5841" s="43">
        <v>50000</v>
      </c>
      <c r="G5841" s="48">
        <f t="shared" si="147"/>
        <v>50638</v>
      </c>
      <c r="H5841" s="391" t="s">
        <v>9568</v>
      </c>
    </row>
    <row r="5842" spans="1:9" x14ac:dyDescent="0.3">
      <c r="A5842" s="45">
        <v>45036</v>
      </c>
      <c r="B5842" s="586"/>
      <c r="C5842" s="486"/>
      <c r="D5842" s="497" t="s">
        <v>11032</v>
      </c>
      <c r="E5842" s="486"/>
      <c r="F5842" s="43">
        <v>25000</v>
      </c>
      <c r="G5842" s="48">
        <f t="shared" si="147"/>
        <v>75638</v>
      </c>
      <c r="H5842" s="391" t="s">
        <v>9568</v>
      </c>
    </row>
    <row r="5843" spans="1:9" x14ac:dyDescent="0.3">
      <c r="A5843" s="45">
        <v>45036</v>
      </c>
      <c r="B5843" s="586"/>
      <c r="C5843" s="486"/>
      <c r="D5843" s="497" t="s">
        <v>11032</v>
      </c>
      <c r="E5843" s="486"/>
      <c r="F5843" s="43">
        <v>300000</v>
      </c>
      <c r="G5843" s="48">
        <f t="shared" si="147"/>
        <v>375638</v>
      </c>
      <c r="H5843" s="391" t="s">
        <v>9568</v>
      </c>
    </row>
    <row r="5844" spans="1:9" x14ac:dyDescent="0.3">
      <c r="A5844" s="45">
        <v>45036</v>
      </c>
      <c r="B5844" s="399" t="s">
        <v>118</v>
      </c>
      <c r="C5844" s="5" t="s">
        <v>11033</v>
      </c>
      <c r="D5844" s="5" t="s">
        <v>55</v>
      </c>
      <c r="E5844" s="43">
        <f>20000+5000+10000+10000</f>
        <v>45000</v>
      </c>
      <c r="F5844" s="43"/>
      <c r="G5844" s="48">
        <f t="shared" si="147"/>
        <v>330638</v>
      </c>
      <c r="H5844" s="391" t="s">
        <v>9568</v>
      </c>
    </row>
    <row r="5845" spans="1:9" x14ac:dyDescent="0.3">
      <c r="A5845" s="45">
        <v>45036</v>
      </c>
      <c r="B5845" s="399" t="s">
        <v>9925</v>
      </c>
      <c r="C5845" s="5" t="s">
        <v>11033</v>
      </c>
      <c r="D5845" s="5" t="s">
        <v>11035</v>
      </c>
      <c r="E5845" s="43">
        <v>36000</v>
      </c>
      <c r="F5845" s="43"/>
      <c r="G5845" s="48">
        <f t="shared" si="147"/>
        <v>294638</v>
      </c>
      <c r="H5845" s="391" t="s">
        <v>9568</v>
      </c>
    </row>
    <row r="5846" spans="1:9" x14ac:dyDescent="0.3">
      <c r="A5846" s="45">
        <v>45036</v>
      </c>
      <c r="B5846" s="399" t="s">
        <v>9925</v>
      </c>
      <c r="C5846" s="5" t="s">
        <v>11033</v>
      </c>
      <c r="D5846" s="5" t="s">
        <v>10590</v>
      </c>
      <c r="E5846" s="43">
        <v>45000</v>
      </c>
      <c r="F5846" s="43"/>
      <c r="G5846" s="48">
        <f t="shared" si="147"/>
        <v>249638</v>
      </c>
      <c r="H5846" s="391" t="s">
        <v>9568</v>
      </c>
    </row>
    <row r="5847" spans="1:9" x14ac:dyDescent="0.3">
      <c r="A5847" s="45">
        <v>45036</v>
      </c>
      <c r="B5847" s="399" t="s">
        <v>9990</v>
      </c>
      <c r="C5847" s="5" t="s">
        <v>11033</v>
      </c>
      <c r="D5847" s="5" t="s">
        <v>55</v>
      </c>
      <c r="E5847" s="43">
        <f>20000+15000+15000+20000+5000+10000+10000</f>
        <v>95000</v>
      </c>
      <c r="F5847" s="43"/>
      <c r="G5847" s="48">
        <f t="shared" si="147"/>
        <v>154638</v>
      </c>
      <c r="H5847" s="391" t="s">
        <v>9568</v>
      </c>
    </row>
    <row r="5848" spans="1:9" x14ac:dyDescent="0.3">
      <c r="A5848" s="45">
        <v>45036</v>
      </c>
      <c r="B5848" s="399" t="s">
        <v>5933</v>
      </c>
      <c r="C5848" s="5" t="s">
        <v>11033</v>
      </c>
      <c r="D5848" s="5" t="s">
        <v>55</v>
      </c>
      <c r="E5848" s="43">
        <f>10000+13500+10500+14000+9500</f>
        <v>57500</v>
      </c>
      <c r="F5848" s="43"/>
      <c r="G5848" s="48">
        <f t="shared" si="147"/>
        <v>97138</v>
      </c>
      <c r="H5848" s="391" t="s">
        <v>9568</v>
      </c>
    </row>
    <row r="5849" spans="1:9" x14ac:dyDescent="0.3">
      <c r="A5849" s="45">
        <v>45036</v>
      </c>
      <c r="B5849" s="399" t="s">
        <v>11034</v>
      </c>
      <c r="C5849" s="5" t="s">
        <v>11033</v>
      </c>
      <c r="D5849" s="5" t="s">
        <v>55</v>
      </c>
      <c r="E5849" s="43">
        <v>80000</v>
      </c>
      <c r="F5849" s="43"/>
      <c r="G5849" s="48">
        <f t="shared" si="147"/>
        <v>17138</v>
      </c>
      <c r="H5849" s="391" t="s">
        <v>9568</v>
      </c>
    </row>
    <row r="5850" spans="1:9" x14ac:dyDescent="0.3">
      <c r="A5850" s="45">
        <v>45036</v>
      </c>
      <c r="B5850" s="399"/>
      <c r="C5850" s="5" t="s">
        <v>84</v>
      </c>
      <c r="D5850" s="5" t="s">
        <v>11036</v>
      </c>
      <c r="E5850" s="43">
        <v>10000</v>
      </c>
      <c r="F5850" s="43"/>
      <c r="G5850" s="48">
        <f t="shared" si="147"/>
        <v>7138</v>
      </c>
      <c r="H5850" s="391" t="s">
        <v>9568</v>
      </c>
    </row>
    <row r="5851" spans="1:9" x14ac:dyDescent="0.3">
      <c r="A5851" s="45">
        <v>45036</v>
      </c>
      <c r="B5851" s="399"/>
      <c r="C5851" s="5" t="s">
        <v>84</v>
      </c>
      <c r="D5851" s="5" t="s">
        <v>11037</v>
      </c>
      <c r="E5851" s="43">
        <v>5000</v>
      </c>
      <c r="F5851" s="43"/>
      <c r="G5851" s="48">
        <f t="shared" si="147"/>
        <v>2138</v>
      </c>
      <c r="H5851" s="391" t="s">
        <v>9568</v>
      </c>
    </row>
    <row r="5852" spans="1:9" x14ac:dyDescent="0.3">
      <c r="A5852" s="45">
        <v>45036</v>
      </c>
      <c r="B5852" s="399" t="s">
        <v>118</v>
      </c>
      <c r="C5852" s="5" t="s">
        <v>25</v>
      </c>
      <c r="D5852" s="5" t="s">
        <v>8503</v>
      </c>
      <c r="E5852" s="43">
        <v>1630</v>
      </c>
      <c r="F5852" s="43"/>
      <c r="G5852" s="48">
        <f t="shared" si="147"/>
        <v>508</v>
      </c>
      <c r="H5852" s="391" t="s">
        <v>9568</v>
      </c>
      <c r="I5852" s="508"/>
    </row>
    <row r="5853" spans="1:9" x14ac:dyDescent="0.3">
      <c r="A5853" s="45">
        <v>45042</v>
      </c>
      <c r="B5853" s="586"/>
      <c r="C5853" s="486"/>
      <c r="D5853" s="497" t="s">
        <v>4106</v>
      </c>
      <c r="E5853" s="486"/>
      <c r="F5853" s="43">
        <v>100000</v>
      </c>
      <c r="G5853" s="48">
        <f t="shared" si="147"/>
        <v>100508</v>
      </c>
      <c r="H5853" s="391" t="s">
        <v>9568</v>
      </c>
      <c r="I5853" s="508"/>
    </row>
    <row r="5854" spans="1:9" x14ac:dyDescent="0.3">
      <c r="A5854" s="45">
        <v>45042</v>
      </c>
      <c r="B5854" s="399" t="s">
        <v>10974</v>
      </c>
      <c r="C5854" s="5" t="s">
        <v>9756</v>
      </c>
      <c r="D5854" s="5" t="s">
        <v>11047</v>
      </c>
      <c r="E5854" s="43">
        <v>3000</v>
      </c>
      <c r="F5854" s="43"/>
      <c r="G5854" s="48">
        <f t="shared" si="147"/>
        <v>97508</v>
      </c>
      <c r="H5854" s="391" t="s">
        <v>9568</v>
      </c>
      <c r="I5854" s="508"/>
    </row>
    <row r="5855" spans="1:9" x14ac:dyDescent="0.3">
      <c r="A5855" s="45">
        <v>45042</v>
      </c>
      <c r="B5855" s="399" t="s">
        <v>10804</v>
      </c>
      <c r="C5855" s="5" t="s">
        <v>5793</v>
      </c>
      <c r="D5855" s="5" t="s">
        <v>40</v>
      </c>
      <c r="E5855" s="43">
        <v>1000</v>
      </c>
      <c r="F5855" s="43"/>
      <c r="G5855" s="48">
        <f t="shared" si="147"/>
        <v>96508</v>
      </c>
      <c r="H5855" s="391" t="s">
        <v>9568</v>
      </c>
      <c r="I5855" s="508"/>
    </row>
    <row r="5856" spans="1:9" x14ac:dyDescent="0.3">
      <c r="A5856" s="45">
        <v>45042</v>
      </c>
      <c r="B5856" s="399" t="s">
        <v>10333</v>
      </c>
      <c r="C5856" s="5" t="s">
        <v>9756</v>
      </c>
      <c r="D5856" s="5" t="s">
        <v>2013</v>
      </c>
      <c r="E5856" s="43">
        <v>1000</v>
      </c>
      <c r="F5856" s="43"/>
      <c r="G5856" s="48">
        <f t="shared" si="147"/>
        <v>95508</v>
      </c>
      <c r="H5856" s="391" t="s">
        <v>9568</v>
      </c>
      <c r="I5856" s="508"/>
    </row>
    <row r="5857" spans="1:9" x14ac:dyDescent="0.3">
      <c r="A5857" s="45">
        <v>45042</v>
      </c>
      <c r="B5857" s="399" t="s">
        <v>10974</v>
      </c>
      <c r="C5857" s="5" t="s">
        <v>5793</v>
      </c>
      <c r="D5857" s="5" t="s">
        <v>11043</v>
      </c>
      <c r="E5857" s="43">
        <v>500</v>
      </c>
      <c r="F5857" s="43"/>
      <c r="G5857" s="48">
        <f t="shared" si="147"/>
        <v>95008</v>
      </c>
      <c r="H5857" s="391" t="s">
        <v>9568</v>
      </c>
      <c r="I5857" s="508"/>
    </row>
    <row r="5858" spans="1:9" x14ac:dyDescent="0.3">
      <c r="A5858" s="45">
        <v>45042</v>
      </c>
      <c r="B5858" s="399"/>
      <c r="C5858" s="5" t="s">
        <v>18</v>
      </c>
      <c r="D5858" s="5" t="s">
        <v>40</v>
      </c>
      <c r="E5858" s="43">
        <v>5000</v>
      </c>
      <c r="F5858" s="43"/>
      <c r="G5858" s="48">
        <f t="shared" si="147"/>
        <v>90008</v>
      </c>
      <c r="H5858" s="391" t="s">
        <v>9568</v>
      </c>
      <c r="I5858" s="508"/>
    </row>
    <row r="5859" spans="1:9" x14ac:dyDescent="0.3">
      <c r="A5859" s="45">
        <v>45042</v>
      </c>
      <c r="B5859" s="399" t="s">
        <v>10974</v>
      </c>
      <c r="C5859" s="5" t="s">
        <v>9044</v>
      </c>
      <c r="D5859" s="5" t="s">
        <v>10997</v>
      </c>
      <c r="E5859" s="43">
        <v>16000</v>
      </c>
      <c r="F5859" s="43"/>
      <c r="G5859" s="48">
        <f t="shared" si="147"/>
        <v>74008</v>
      </c>
      <c r="H5859" s="391" t="s">
        <v>9568</v>
      </c>
    </row>
    <row r="5860" spans="1:9" x14ac:dyDescent="0.3">
      <c r="A5860" s="45">
        <v>45042</v>
      </c>
      <c r="B5860" s="399" t="s">
        <v>118</v>
      </c>
      <c r="C5860" s="5" t="s">
        <v>11033</v>
      </c>
      <c r="D5860" s="5" t="s">
        <v>11046</v>
      </c>
      <c r="E5860" s="43">
        <v>30000</v>
      </c>
      <c r="F5860" s="43"/>
      <c r="G5860" s="48">
        <f t="shared" si="147"/>
        <v>44008</v>
      </c>
      <c r="H5860" s="391" t="s">
        <v>9568</v>
      </c>
    </row>
    <row r="5861" spans="1:9" x14ac:dyDescent="0.3">
      <c r="A5861" s="45">
        <v>45042</v>
      </c>
      <c r="B5861" s="399" t="s">
        <v>9990</v>
      </c>
      <c r="C5861" s="5" t="s">
        <v>11033</v>
      </c>
      <c r="D5861" s="5" t="s">
        <v>9552</v>
      </c>
      <c r="E5861" s="43">
        <v>30000</v>
      </c>
      <c r="F5861" s="43"/>
      <c r="G5861" s="48">
        <f t="shared" si="147"/>
        <v>14008</v>
      </c>
      <c r="H5861" s="391" t="s">
        <v>9568</v>
      </c>
    </row>
    <row r="5862" spans="1:9" x14ac:dyDescent="0.3">
      <c r="A5862" s="45">
        <v>45042</v>
      </c>
      <c r="B5862" s="399" t="s">
        <v>118</v>
      </c>
      <c r="C5862" s="5" t="s">
        <v>25</v>
      </c>
      <c r="D5862" s="5" t="s">
        <v>8503</v>
      </c>
      <c r="E5862" s="43">
        <v>2500</v>
      </c>
      <c r="F5862" s="43"/>
      <c r="G5862" s="48">
        <f t="shared" si="147"/>
        <v>11508</v>
      </c>
      <c r="H5862" s="391" t="s">
        <v>9568</v>
      </c>
    </row>
    <row r="5863" spans="1:9" x14ac:dyDescent="0.3">
      <c r="A5863" s="45">
        <v>45043</v>
      </c>
      <c r="B5863" s="399" t="s">
        <v>10974</v>
      </c>
      <c r="C5863" s="5" t="s">
        <v>9756</v>
      </c>
      <c r="D5863" s="5" t="s">
        <v>10159</v>
      </c>
      <c r="E5863" s="43">
        <v>850</v>
      </c>
      <c r="F5863" s="43"/>
      <c r="G5863" s="48">
        <f t="shared" si="147"/>
        <v>10658</v>
      </c>
      <c r="H5863" s="391" t="s">
        <v>9568</v>
      </c>
    </row>
    <row r="5864" spans="1:9" x14ac:dyDescent="0.3">
      <c r="A5864" s="45">
        <v>45043</v>
      </c>
      <c r="B5864" s="399"/>
      <c r="C5864" s="5" t="s">
        <v>9801</v>
      </c>
      <c r="D5864" s="5" t="s">
        <v>40</v>
      </c>
      <c r="E5864" s="43">
        <v>70</v>
      </c>
      <c r="F5864" s="43"/>
      <c r="G5864" s="48">
        <f t="shared" si="147"/>
        <v>10588</v>
      </c>
      <c r="H5864" s="391" t="s">
        <v>9568</v>
      </c>
    </row>
    <row r="5865" spans="1:9" x14ac:dyDescent="0.3">
      <c r="A5865" s="45">
        <v>45044</v>
      </c>
      <c r="B5865" s="399" t="s">
        <v>118</v>
      </c>
      <c r="C5865" s="5" t="s">
        <v>25</v>
      </c>
      <c r="D5865" s="5" t="s">
        <v>8503</v>
      </c>
      <c r="E5865" s="43">
        <v>1680</v>
      </c>
      <c r="F5865" s="43"/>
      <c r="G5865" s="48">
        <f t="shared" si="147"/>
        <v>8908</v>
      </c>
      <c r="H5865" s="391" t="s">
        <v>9568</v>
      </c>
    </row>
    <row r="5866" spans="1:9" x14ac:dyDescent="0.3">
      <c r="A5866" s="45">
        <v>45044</v>
      </c>
      <c r="B5866" s="586"/>
      <c r="C5866" s="486"/>
      <c r="D5866" s="497" t="s">
        <v>4106</v>
      </c>
      <c r="E5866" s="486"/>
      <c r="F5866" s="43">
        <v>150000</v>
      </c>
      <c r="G5866" s="48">
        <f t="shared" si="147"/>
        <v>158908</v>
      </c>
      <c r="H5866" s="391" t="s">
        <v>9568</v>
      </c>
      <c r="I5866" s="508"/>
    </row>
    <row r="5867" spans="1:9" x14ac:dyDescent="0.3">
      <c r="A5867" s="45">
        <v>45044</v>
      </c>
      <c r="B5867" s="399" t="s">
        <v>10974</v>
      </c>
      <c r="C5867" s="5" t="s">
        <v>10709</v>
      </c>
      <c r="D5867" s="5" t="s">
        <v>11048</v>
      </c>
      <c r="E5867" s="43">
        <v>10000</v>
      </c>
      <c r="F5867" s="43"/>
      <c r="G5867" s="48">
        <f t="shared" si="147"/>
        <v>148908</v>
      </c>
      <c r="H5867" s="391" t="s">
        <v>9568</v>
      </c>
    </row>
    <row r="5868" spans="1:9" x14ac:dyDescent="0.3">
      <c r="A5868" s="45">
        <v>45044</v>
      </c>
      <c r="B5868" s="399" t="s">
        <v>10974</v>
      </c>
      <c r="C5868" s="5" t="s">
        <v>10709</v>
      </c>
      <c r="D5868" s="5" t="s">
        <v>11049</v>
      </c>
      <c r="E5868" s="43">
        <v>15000</v>
      </c>
      <c r="F5868" s="43"/>
      <c r="G5868" s="48">
        <f t="shared" si="147"/>
        <v>133908</v>
      </c>
      <c r="H5868" s="391" t="s">
        <v>9568</v>
      </c>
    </row>
    <row r="5869" spans="1:9" x14ac:dyDescent="0.3">
      <c r="A5869" s="45">
        <v>45044</v>
      </c>
      <c r="B5869" s="399"/>
      <c r="C5869" s="5" t="s">
        <v>9756</v>
      </c>
      <c r="D5869" s="5" t="s">
        <v>11058</v>
      </c>
      <c r="E5869" s="43">
        <v>20900</v>
      </c>
      <c r="F5869" s="43"/>
      <c r="G5869" s="48">
        <f t="shared" si="147"/>
        <v>113008</v>
      </c>
      <c r="H5869" s="391" t="s">
        <v>9568</v>
      </c>
    </row>
    <row r="5870" spans="1:9" x14ac:dyDescent="0.3">
      <c r="A5870" s="45">
        <v>45044</v>
      </c>
      <c r="B5870" s="399" t="s">
        <v>10974</v>
      </c>
      <c r="C5870" s="5" t="s">
        <v>10815</v>
      </c>
      <c r="D5870" s="5" t="s">
        <v>10986</v>
      </c>
      <c r="E5870" s="43">
        <v>20500</v>
      </c>
      <c r="F5870" s="43"/>
      <c r="G5870" s="48">
        <f t="shared" si="147"/>
        <v>92508</v>
      </c>
      <c r="H5870" s="391" t="s">
        <v>9568</v>
      </c>
    </row>
    <row r="5871" spans="1:9" x14ac:dyDescent="0.3">
      <c r="A5871" s="45">
        <v>45044</v>
      </c>
      <c r="B5871" s="399" t="s">
        <v>10615</v>
      </c>
      <c r="C5871" s="5" t="s">
        <v>11033</v>
      </c>
      <c r="D5871" s="5" t="s">
        <v>11050</v>
      </c>
      <c r="E5871" s="43">
        <v>55000</v>
      </c>
      <c r="F5871" s="43"/>
      <c r="G5871" s="48">
        <f t="shared" si="147"/>
        <v>37508</v>
      </c>
      <c r="H5871" s="391" t="s">
        <v>9568</v>
      </c>
    </row>
    <row r="5872" spans="1:9" x14ac:dyDescent="0.3">
      <c r="A5872" s="45">
        <v>45044</v>
      </c>
      <c r="B5872" s="399" t="s">
        <v>10615</v>
      </c>
      <c r="C5872" s="5" t="s">
        <v>6430</v>
      </c>
      <c r="D5872" s="5" t="s">
        <v>11022</v>
      </c>
      <c r="E5872" s="43">
        <v>9000</v>
      </c>
      <c r="F5872" s="43"/>
      <c r="G5872" s="48">
        <f t="shared" si="147"/>
        <v>28508</v>
      </c>
      <c r="H5872" s="391" t="s">
        <v>9568</v>
      </c>
    </row>
    <row r="5873" spans="1:9" x14ac:dyDescent="0.3">
      <c r="A5873" s="45">
        <v>45044</v>
      </c>
      <c r="B5873" s="399"/>
      <c r="C5873" s="5" t="s">
        <v>84</v>
      </c>
      <c r="D5873" s="5" t="s">
        <v>11051</v>
      </c>
      <c r="E5873" s="43">
        <v>3000</v>
      </c>
      <c r="F5873" s="43"/>
      <c r="G5873" s="48">
        <f t="shared" si="147"/>
        <v>25508</v>
      </c>
      <c r="H5873" s="391" t="s">
        <v>9568</v>
      </c>
    </row>
    <row r="5874" spans="1:9" x14ac:dyDescent="0.3">
      <c r="A5874" s="45">
        <v>45044</v>
      </c>
      <c r="B5874" s="399" t="s">
        <v>10333</v>
      </c>
      <c r="C5874" s="5" t="s">
        <v>30</v>
      </c>
      <c r="D5874" s="5" t="s">
        <v>7561</v>
      </c>
      <c r="E5874" s="43">
        <v>320</v>
      </c>
      <c r="F5874" s="43"/>
      <c r="G5874" s="48">
        <f t="shared" si="147"/>
        <v>25188</v>
      </c>
      <c r="H5874" s="391" t="s">
        <v>9568</v>
      </c>
    </row>
    <row r="5875" spans="1:9" x14ac:dyDescent="0.3">
      <c r="A5875" s="45">
        <v>45045</v>
      </c>
      <c r="B5875" s="399"/>
      <c r="C5875" s="5" t="s">
        <v>541</v>
      </c>
      <c r="D5875" s="5" t="s">
        <v>11054</v>
      </c>
      <c r="E5875" s="43">
        <v>750</v>
      </c>
      <c r="F5875" s="43"/>
      <c r="G5875" s="48">
        <f t="shared" si="147"/>
        <v>24438</v>
      </c>
      <c r="H5875" s="391" t="s">
        <v>9568</v>
      </c>
    </row>
    <row r="5876" spans="1:9" x14ac:dyDescent="0.3">
      <c r="A5876" s="45">
        <v>45045</v>
      </c>
      <c r="B5876" s="399" t="s">
        <v>9860</v>
      </c>
      <c r="C5876" s="5" t="s">
        <v>5156</v>
      </c>
      <c r="D5876" s="5" t="s">
        <v>11055</v>
      </c>
      <c r="E5876" s="43">
        <v>1500</v>
      </c>
      <c r="F5876" s="43"/>
      <c r="G5876" s="48">
        <f t="shared" si="147"/>
        <v>22938</v>
      </c>
      <c r="H5876" s="391" t="s">
        <v>9568</v>
      </c>
    </row>
    <row r="5877" spans="1:9" x14ac:dyDescent="0.3">
      <c r="A5877" s="45">
        <v>45045</v>
      </c>
      <c r="B5877" s="345" t="s">
        <v>12096</v>
      </c>
      <c r="C5877" s="5" t="s">
        <v>10815</v>
      </c>
      <c r="D5877" s="5" t="s">
        <v>11056</v>
      </c>
      <c r="E5877" s="43">
        <v>8500</v>
      </c>
      <c r="F5877" s="43"/>
      <c r="G5877" s="48">
        <f t="shared" si="147"/>
        <v>14438</v>
      </c>
      <c r="H5877" s="391" t="s">
        <v>9568</v>
      </c>
    </row>
    <row r="5878" spans="1:9" x14ac:dyDescent="0.3">
      <c r="A5878" s="45">
        <v>45045</v>
      </c>
      <c r="B5878" s="399"/>
      <c r="C5878" s="5" t="s">
        <v>30</v>
      </c>
      <c r="D5878" s="5" t="s">
        <v>10682</v>
      </c>
      <c r="E5878" s="43">
        <v>500</v>
      </c>
      <c r="F5878" s="43"/>
      <c r="G5878" s="48">
        <f t="shared" si="147"/>
        <v>13938</v>
      </c>
      <c r="H5878" s="391" t="s">
        <v>9568</v>
      </c>
    </row>
    <row r="5879" spans="1:9" x14ac:dyDescent="0.3">
      <c r="A5879" s="45">
        <v>45045</v>
      </c>
      <c r="B5879" s="345" t="s">
        <v>12096</v>
      </c>
      <c r="C5879" s="5" t="s">
        <v>10001</v>
      </c>
      <c r="D5879" s="5" t="s">
        <v>11057</v>
      </c>
      <c r="E5879" s="43">
        <v>1000</v>
      </c>
      <c r="F5879" s="43"/>
      <c r="G5879" s="48">
        <f t="shared" si="147"/>
        <v>12938</v>
      </c>
      <c r="H5879" s="391" t="s">
        <v>9568</v>
      </c>
    </row>
    <row r="5880" spans="1:9" x14ac:dyDescent="0.3">
      <c r="A5880" s="45">
        <v>45045</v>
      </c>
      <c r="B5880" s="399" t="s">
        <v>12089</v>
      </c>
      <c r="C5880" s="5" t="s">
        <v>10760</v>
      </c>
      <c r="D5880" s="5" t="s">
        <v>11109</v>
      </c>
      <c r="E5880" s="43">
        <v>5000</v>
      </c>
      <c r="F5880" s="43"/>
      <c r="G5880" s="48">
        <f t="shared" si="147"/>
        <v>7938</v>
      </c>
      <c r="H5880" s="391" t="s">
        <v>9568</v>
      </c>
    </row>
    <row r="5881" spans="1:9" x14ac:dyDescent="0.3">
      <c r="A5881" s="45">
        <v>45045</v>
      </c>
      <c r="B5881" s="399" t="s">
        <v>118</v>
      </c>
      <c r="C5881" s="5" t="s">
        <v>25</v>
      </c>
      <c r="D5881" s="5" t="s">
        <v>8503</v>
      </c>
      <c r="E5881" s="43">
        <v>1000</v>
      </c>
      <c r="F5881" s="43"/>
      <c r="G5881" s="48">
        <f t="shared" si="147"/>
        <v>6938</v>
      </c>
      <c r="H5881" s="391" t="s">
        <v>9568</v>
      </c>
    </row>
    <row r="5882" spans="1:9" x14ac:dyDescent="0.3">
      <c r="A5882" s="45">
        <v>45045</v>
      </c>
      <c r="B5882" s="399" t="s">
        <v>12089</v>
      </c>
      <c r="C5882" s="5" t="s">
        <v>5162</v>
      </c>
      <c r="D5882" s="5" t="s">
        <v>6932</v>
      </c>
      <c r="E5882" s="43">
        <v>2000</v>
      </c>
      <c r="F5882" s="43"/>
      <c r="G5882" s="48">
        <f t="shared" si="147"/>
        <v>4938</v>
      </c>
      <c r="H5882" s="391" t="s">
        <v>9568</v>
      </c>
    </row>
    <row r="5883" spans="1:9" x14ac:dyDescent="0.3">
      <c r="A5883" s="45">
        <v>45045</v>
      </c>
      <c r="B5883" s="399" t="s">
        <v>118</v>
      </c>
      <c r="C5883" s="5" t="s">
        <v>25</v>
      </c>
      <c r="D5883" s="5" t="s">
        <v>8503</v>
      </c>
      <c r="E5883" s="43">
        <v>1000</v>
      </c>
      <c r="F5883" s="43"/>
      <c r="G5883" s="48">
        <f t="shared" si="147"/>
        <v>3938</v>
      </c>
      <c r="H5883" s="391" t="s">
        <v>9568</v>
      </c>
    </row>
    <row r="5884" spans="1:9" x14ac:dyDescent="0.3">
      <c r="A5884" s="509">
        <v>45048</v>
      </c>
      <c r="B5884" s="399" t="s">
        <v>12089</v>
      </c>
      <c r="C5884" s="5" t="s">
        <v>5793</v>
      </c>
      <c r="D5884" s="5" t="s">
        <v>40</v>
      </c>
      <c r="E5884" s="43">
        <v>800</v>
      </c>
      <c r="F5884" s="43"/>
      <c r="G5884" s="48">
        <f t="shared" si="147"/>
        <v>3138</v>
      </c>
      <c r="H5884" s="391" t="s">
        <v>9568</v>
      </c>
    </row>
    <row r="5885" spans="1:9" x14ac:dyDescent="0.3">
      <c r="A5885" s="509">
        <v>45048</v>
      </c>
      <c r="B5885" s="399" t="s">
        <v>10766</v>
      </c>
      <c r="C5885" s="5" t="s">
        <v>5793</v>
      </c>
      <c r="D5885" s="5" t="s">
        <v>40</v>
      </c>
      <c r="E5885" s="43">
        <v>700</v>
      </c>
      <c r="F5885" s="43"/>
      <c r="G5885" s="48">
        <f t="shared" ref="G5885:G5893" si="148">G5884+F5885-E5885</f>
        <v>2438</v>
      </c>
      <c r="H5885" s="391" t="s">
        <v>9568</v>
      </c>
    </row>
    <row r="5886" spans="1:9" x14ac:dyDescent="0.3">
      <c r="A5886" s="509">
        <v>45048</v>
      </c>
      <c r="B5886" s="399" t="s">
        <v>10112</v>
      </c>
      <c r="C5886" s="5" t="s">
        <v>5793</v>
      </c>
      <c r="D5886" s="5" t="s">
        <v>40</v>
      </c>
      <c r="E5886" s="43">
        <v>1700</v>
      </c>
      <c r="F5886" s="43"/>
      <c r="G5886" s="48">
        <f t="shared" si="148"/>
        <v>738</v>
      </c>
      <c r="H5886" s="391" t="s">
        <v>9568</v>
      </c>
    </row>
    <row r="5887" spans="1:9" x14ac:dyDescent="0.3">
      <c r="A5887" s="509">
        <v>45048</v>
      </c>
      <c r="B5887" s="586"/>
      <c r="C5887" s="486"/>
      <c r="D5887" s="497" t="s">
        <v>4106</v>
      </c>
      <c r="E5887" s="486"/>
      <c r="F5887" s="43">
        <v>175000</v>
      </c>
      <c r="G5887" s="48">
        <f t="shared" si="148"/>
        <v>175738</v>
      </c>
      <c r="H5887" s="391" t="s">
        <v>9568</v>
      </c>
      <c r="I5887" s="508"/>
    </row>
    <row r="5888" spans="1:9" x14ac:dyDescent="0.3">
      <c r="A5888" s="509">
        <v>45048</v>
      </c>
      <c r="B5888" s="399"/>
      <c r="C5888" s="5" t="s">
        <v>14</v>
      </c>
      <c r="D5888" s="5" t="s">
        <v>10570</v>
      </c>
      <c r="E5888" s="43">
        <v>190</v>
      </c>
      <c r="F5888" s="43"/>
      <c r="G5888" s="48">
        <f t="shared" si="148"/>
        <v>175548</v>
      </c>
      <c r="H5888" s="391" t="s">
        <v>9568</v>
      </c>
    </row>
    <row r="5889" spans="1:8" x14ac:dyDescent="0.3">
      <c r="A5889" s="509">
        <v>45048</v>
      </c>
      <c r="B5889" s="399" t="s">
        <v>12190</v>
      </c>
      <c r="C5889" s="5" t="s">
        <v>110</v>
      </c>
      <c r="D5889" s="5" t="s">
        <v>10570</v>
      </c>
      <c r="E5889" s="43">
        <v>300</v>
      </c>
      <c r="F5889" s="43"/>
      <c r="G5889" s="48">
        <f t="shared" si="148"/>
        <v>175248</v>
      </c>
      <c r="H5889" s="391" t="s">
        <v>9568</v>
      </c>
    </row>
    <row r="5890" spans="1:8" x14ac:dyDescent="0.3">
      <c r="A5890" s="509">
        <v>45048</v>
      </c>
      <c r="B5890" s="399" t="s">
        <v>118</v>
      </c>
      <c r="C5890" s="5" t="s">
        <v>25</v>
      </c>
      <c r="D5890" s="5" t="s">
        <v>10570</v>
      </c>
      <c r="E5890" s="43">
        <v>240</v>
      </c>
      <c r="F5890" s="43"/>
      <c r="G5890" s="48">
        <f t="shared" si="148"/>
        <v>175008</v>
      </c>
      <c r="H5890" s="391" t="s">
        <v>9568</v>
      </c>
    </row>
    <row r="5891" spans="1:8" x14ac:dyDescent="0.3">
      <c r="A5891" s="509">
        <v>45048</v>
      </c>
      <c r="B5891" s="399" t="s">
        <v>12190</v>
      </c>
      <c r="C5891" s="5" t="s">
        <v>110</v>
      </c>
      <c r="D5891" s="5" t="s">
        <v>11059</v>
      </c>
      <c r="E5891" s="43">
        <v>3000</v>
      </c>
      <c r="F5891" s="43"/>
      <c r="G5891" s="48">
        <f t="shared" si="148"/>
        <v>172008</v>
      </c>
      <c r="H5891" s="391" t="s">
        <v>9568</v>
      </c>
    </row>
    <row r="5892" spans="1:8" x14ac:dyDescent="0.3">
      <c r="A5892" s="509">
        <v>45048</v>
      </c>
      <c r="B5892" s="399" t="s">
        <v>118</v>
      </c>
      <c r="C5892" s="5" t="s">
        <v>25</v>
      </c>
      <c r="D5892" s="5" t="s">
        <v>8503</v>
      </c>
      <c r="E5892" s="43">
        <v>3000</v>
      </c>
      <c r="F5892" s="43"/>
      <c r="G5892" s="48">
        <f t="shared" si="148"/>
        <v>169008</v>
      </c>
      <c r="H5892" s="391" t="s">
        <v>9568</v>
      </c>
    </row>
    <row r="5893" spans="1:8" x14ac:dyDescent="0.3">
      <c r="A5893" s="509">
        <v>45048</v>
      </c>
      <c r="B5893" s="399" t="s">
        <v>10112</v>
      </c>
      <c r="C5893" s="5" t="s">
        <v>11061</v>
      </c>
      <c r="D5893" s="5" t="s">
        <v>11060</v>
      </c>
      <c r="E5893" s="43">
        <v>43500</v>
      </c>
      <c r="F5893" s="43"/>
      <c r="G5893" s="48">
        <f t="shared" si="148"/>
        <v>125508</v>
      </c>
      <c r="H5893" s="391" t="s">
        <v>9568</v>
      </c>
    </row>
    <row r="5894" spans="1:8" x14ac:dyDescent="0.3">
      <c r="A5894" s="509">
        <v>45048</v>
      </c>
      <c r="B5894" s="399" t="s">
        <v>10974</v>
      </c>
      <c r="C5894" s="5" t="s">
        <v>5793</v>
      </c>
      <c r="D5894" s="5" t="s">
        <v>40</v>
      </c>
      <c r="E5894" s="43">
        <v>1000</v>
      </c>
      <c r="F5894" s="43"/>
      <c r="G5894" s="48">
        <f t="shared" ref="G5894:G5957" si="149">G5893+F5894-E5894</f>
        <v>124508</v>
      </c>
      <c r="H5894" s="391" t="s">
        <v>9568</v>
      </c>
    </row>
    <row r="5895" spans="1:8" x14ac:dyDescent="0.3">
      <c r="A5895" s="509">
        <v>45048</v>
      </c>
      <c r="B5895" s="399" t="s">
        <v>10974</v>
      </c>
      <c r="C5895" s="5" t="s">
        <v>5793</v>
      </c>
      <c r="D5895" s="5" t="s">
        <v>40</v>
      </c>
      <c r="E5895" s="43">
        <v>800</v>
      </c>
      <c r="F5895" s="43"/>
      <c r="G5895" s="48">
        <f t="shared" si="149"/>
        <v>123708</v>
      </c>
      <c r="H5895" s="391" t="s">
        <v>9568</v>
      </c>
    </row>
    <row r="5896" spans="1:8" x14ac:dyDescent="0.3">
      <c r="A5896" s="509">
        <v>45048</v>
      </c>
      <c r="B5896" s="399"/>
      <c r="C5896" s="5" t="s">
        <v>9756</v>
      </c>
      <c r="D5896" s="5" t="s">
        <v>11062</v>
      </c>
      <c r="E5896" s="43">
        <v>11000</v>
      </c>
      <c r="F5896" s="43"/>
      <c r="G5896" s="48">
        <f t="shared" si="149"/>
        <v>112708</v>
      </c>
      <c r="H5896" s="391" t="s">
        <v>9568</v>
      </c>
    </row>
    <row r="5897" spans="1:8" x14ac:dyDescent="0.3">
      <c r="A5897" s="509">
        <v>45048</v>
      </c>
      <c r="B5897" s="399" t="s">
        <v>10615</v>
      </c>
      <c r="C5897" s="5" t="s">
        <v>6430</v>
      </c>
      <c r="D5897" s="5" t="s">
        <v>4187</v>
      </c>
      <c r="E5897" s="43">
        <v>5000</v>
      </c>
      <c r="F5897" s="43"/>
      <c r="G5897" s="48">
        <f t="shared" si="149"/>
        <v>107708</v>
      </c>
      <c r="H5897" s="391" t="s">
        <v>9568</v>
      </c>
    </row>
    <row r="5898" spans="1:8" x14ac:dyDescent="0.3">
      <c r="A5898" s="509">
        <v>45049</v>
      </c>
      <c r="B5898" s="399" t="s">
        <v>11064</v>
      </c>
      <c r="C5898" s="5" t="s">
        <v>10463</v>
      </c>
      <c r="D5898" s="5" t="s">
        <v>11065</v>
      </c>
      <c r="E5898" s="43">
        <v>21100</v>
      </c>
      <c r="F5898" s="43"/>
      <c r="G5898" s="48">
        <f t="shared" si="149"/>
        <v>86608</v>
      </c>
      <c r="H5898" s="391" t="s">
        <v>9568</v>
      </c>
    </row>
    <row r="5899" spans="1:8" x14ac:dyDescent="0.3">
      <c r="A5899" s="509">
        <v>45049</v>
      </c>
      <c r="B5899" s="399" t="s">
        <v>11064</v>
      </c>
      <c r="C5899" s="5" t="s">
        <v>9452</v>
      </c>
      <c r="D5899" s="5" t="s">
        <v>11066</v>
      </c>
      <c r="E5899" s="43">
        <v>16050</v>
      </c>
      <c r="F5899" s="43"/>
      <c r="G5899" s="48">
        <f t="shared" si="149"/>
        <v>70558</v>
      </c>
      <c r="H5899" s="391" t="s">
        <v>9568</v>
      </c>
    </row>
    <row r="5900" spans="1:8" x14ac:dyDescent="0.3">
      <c r="A5900" s="509">
        <v>45049</v>
      </c>
      <c r="B5900" s="399" t="s">
        <v>11064</v>
      </c>
      <c r="C5900" s="5" t="s">
        <v>5793</v>
      </c>
      <c r="D5900" s="5" t="s">
        <v>11067</v>
      </c>
      <c r="E5900" s="43">
        <v>1500</v>
      </c>
      <c r="F5900" s="43"/>
      <c r="G5900" s="48">
        <f t="shared" si="149"/>
        <v>69058</v>
      </c>
      <c r="H5900" s="391" t="s">
        <v>9568</v>
      </c>
    </row>
    <row r="5901" spans="1:8" x14ac:dyDescent="0.3">
      <c r="A5901" s="509">
        <v>45049</v>
      </c>
      <c r="B5901" s="399" t="s">
        <v>10974</v>
      </c>
      <c r="C5901" s="5" t="s">
        <v>5793</v>
      </c>
      <c r="D5901" s="5" t="s">
        <v>11068</v>
      </c>
      <c r="E5901" s="43">
        <v>1500</v>
      </c>
      <c r="F5901" s="43"/>
      <c r="G5901" s="48">
        <f t="shared" si="149"/>
        <v>67558</v>
      </c>
      <c r="H5901" s="391" t="s">
        <v>9568</v>
      </c>
    </row>
    <row r="5902" spans="1:8" x14ac:dyDescent="0.3">
      <c r="A5902" s="509">
        <v>45049</v>
      </c>
      <c r="B5902" s="399" t="s">
        <v>9925</v>
      </c>
      <c r="C5902" s="5" t="s">
        <v>8009</v>
      </c>
      <c r="D5902" s="5" t="s">
        <v>2013</v>
      </c>
      <c r="E5902" s="43">
        <v>1500</v>
      </c>
      <c r="F5902" s="43"/>
      <c r="G5902" s="48">
        <f t="shared" si="149"/>
        <v>66058</v>
      </c>
      <c r="H5902" s="391" t="s">
        <v>9568</v>
      </c>
    </row>
    <row r="5903" spans="1:8" x14ac:dyDescent="0.3">
      <c r="A5903" s="509">
        <v>45049</v>
      </c>
      <c r="B5903" s="399" t="s">
        <v>12089</v>
      </c>
      <c r="C5903" s="5" t="s">
        <v>629</v>
      </c>
      <c r="D5903" s="5" t="s">
        <v>11069</v>
      </c>
      <c r="E5903" s="43">
        <v>8000</v>
      </c>
      <c r="F5903" s="43"/>
      <c r="G5903" s="48">
        <f t="shared" si="149"/>
        <v>58058</v>
      </c>
      <c r="H5903" s="391" t="s">
        <v>9568</v>
      </c>
    </row>
    <row r="5904" spans="1:8" x14ac:dyDescent="0.3">
      <c r="A5904" s="509">
        <v>45049</v>
      </c>
      <c r="B5904" s="399" t="s">
        <v>12089</v>
      </c>
      <c r="C5904" s="5" t="s">
        <v>5162</v>
      </c>
      <c r="D5904" s="5" t="s">
        <v>10829</v>
      </c>
      <c r="E5904" s="43">
        <v>1000</v>
      </c>
      <c r="F5904" s="43"/>
      <c r="G5904" s="48">
        <f t="shared" si="149"/>
        <v>57058</v>
      </c>
      <c r="H5904" s="391" t="s">
        <v>9568</v>
      </c>
    </row>
    <row r="5905" spans="1:8" x14ac:dyDescent="0.3">
      <c r="A5905" s="509">
        <v>45049</v>
      </c>
      <c r="B5905" s="399"/>
      <c r="C5905" s="5" t="s">
        <v>10815</v>
      </c>
      <c r="D5905" s="5" t="s">
        <v>11083</v>
      </c>
      <c r="E5905" s="43">
        <v>53000</v>
      </c>
      <c r="F5905" s="43"/>
      <c r="G5905" s="48">
        <f t="shared" si="149"/>
        <v>4058</v>
      </c>
      <c r="H5905" s="391" t="s">
        <v>9568</v>
      </c>
    </row>
    <row r="5906" spans="1:8" x14ac:dyDescent="0.3">
      <c r="A5906" s="509">
        <v>45049</v>
      </c>
      <c r="B5906" s="586"/>
      <c r="C5906" s="486"/>
      <c r="D5906" s="497" t="s">
        <v>10803</v>
      </c>
      <c r="E5906" s="486"/>
      <c r="F5906" s="43">
        <v>1700000</v>
      </c>
      <c r="G5906" s="48">
        <f t="shared" si="149"/>
        <v>1704058</v>
      </c>
      <c r="H5906" s="391" t="s">
        <v>9568</v>
      </c>
    </row>
    <row r="5907" spans="1:8" x14ac:dyDescent="0.3">
      <c r="A5907" s="509">
        <v>45049</v>
      </c>
      <c r="B5907" s="399"/>
      <c r="C5907" s="5" t="s">
        <v>14</v>
      </c>
      <c r="D5907" s="5" t="s">
        <v>294</v>
      </c>
      <c r="E5907" s="43">
        <v>150000</v>
      </c>
      <c r="F5907" s="43"/>
      <c r="G5907" s="48">
        <f t="shared" si="149"/>
        <v>1554058</v>
      </c>
      <c r="H5907" s="391" t="s">
        <v>9568</v>
      </c>
    </row>
    <row r="5908" spans="1:8" x14ac:dyDescent="0.3">
      <c r="A5908" s="509">
        <v>45049</v>
      </c>
      <c r="B5908" s="399" t="s">
        <v>12089</v>
      </c>
      <c r="C5908" s="5" t="s">
        <v>11071</v>
      </c>
      <c r="D5908" s="5" t="s">
        <v>11070</v>
      </c>
      <c r="E5908" s="43">
        <v>200000</v>
      </c>
      <c r="F5908" s="43"/>
      <c r="G5908" s="48">
        <f t="shared" si="149"/>
        <v>1354058</v>
      </c>
      <c r="H5908" s="391" t="s">
        <v>9568</v>
      </c>
    </row>
    <row r="5909" spans="1:8" x14ac:dyDescent="0.3">
      <c r="A5909" s="509">
        <v>45049</v>
      </c>
      <c r="B5909" s="399"/>
      <c r="C5909" s="5" t="s">
        <v>10815</v>
      </c>
      <c r="D5909" s="5" t="s">
        <v>11084</v>
      </c>
      <c r="E5909" s="43">
        <v>20000</v>
      </c>
      <c r="F5909" s="43"/>
      <c r="G5909" s="48">
        <f t="shared" si="149"/>
        <v>1334058</v>
      </c>
      <c r="H5909" s="391" t="s">
        <v>9568</v>
      </c>
    </row>
    <row r="5910" spans="1:8" x14ac:dyDescent="0.3">
      <c r="A5910" s="509">
        <v>45049</v>
      </c>
      <c r="B5910" s="399" t="s">
        <v>118</v>
      </c>
      <c r="C5910" s="5" t="s">
        <v>25</v>
      </c>
      <c r="D5910" s="5" t="s">
        <v>8503</v>
      </c>
      <c r="E5910" s="43">
        <v>3500</v>
      </c>
      <c r="F5910" s="43"/>
      <c r="G5910" s="48">
        <f t="shared" si="149"/>
        <v>1330558</v>
      </c>
      <c r="H5910" s="391" t="s">
        <v>9568</v>
      </c>
    </row>
    <row r="5911" spans="1:8" x14ac:dyDescent="0.3">
      <c r="A5911" s="509">
        <v>45049</v>
      </c>
      <c r="B5911" s="399" t="s">
        <v>10974</v>
      </c>
      <c r="C5911" s="5" t="s">
        <v>5793</v>
      </c>
      <c r="D5911" s="5" t="s">
        <v>11072</v>
      </c>
      <c r="E5911" s="43">
        <v>2000</v>
      </c>
      <c r="F5911" s="43"/>
      <c r="G5911" s="48">
        <f t="shared" si="149"/>
        <v>1328558</v>
      </c>
      <c r="H5911" s="391" t="s">
        <v>9568</v>
      </c>
    </row>
    <row r="5912" spans="1:8" x14ac:dyDescent="0.3">
      <c r="A5912" s="509">
        <v>45049</v>
      </c>
      <c r="B5912" s="399" t="s">
        <v>11064</v>
      </c>
      <c r="C5912" s="5" t="s">
        <v>5793</v>
      </c>
      <c r="D5912" s="5" t="s">
        <v>11073</v>
      </c>
      <c r="E5912" s="43">
        <v>1000</v>
      </c>
      <c r="F5912" s="43"/>
      <c r="G5912" s="48">
        <f t="shared" si="149"/>
        <v>1327558</v>
      </c>
      <c r="H5912" s="391" t="s">
        <v>9568</v>
      </c>
    </row>
    <row r="5913" spans="1:8" x14ac:dyDescent="0.3">
      <c r="A5913" s="509">
        <v>45049</v>
      </c>
      <c r="B5913" s="345" t="s">
        <v>12096</v>
      </c>
      <c r="C5913" s="5" t="s">
        <v>11074</v>
      </c>
      <c r="D5913" s="5" t="s">
        <v>11075</v>
      </c>
      <c r="E5913" s="43">
        <v>25000</v>
      </c>
      <c r="F5913" s="43"/>
      <c r="G5913" s="48">
        <f t="shared" si="149"/>
        <v>1302558</v>
      </c>
      <c r="H5913" s="391" t="s">
        <v>9568</v>
      </c>
    </row>
    <row r="5914" spans="1:8" x14ac:dyDescent="0.3">
      <c r="A5914" s="509">
        <v>45049</v>
      </c>
      <c r="B5914" s="345" t="s">
        <v>12096</v>
      </c>
      <c r="C5914" s="5" t="s">
        <v>11074</v>
      </c>
      <c r="D5914" s="5" t="s">
        <v>11076</v>
      </c>
      <c r="E5914" s="43">
        <v>1200</v>
      </c>
      <c r="F5914" s="43"/>
      <c r="G5914" s="48">
        <f t="shared" si="149"/>
        <v>1301358</v>
      </c>
      <c r="H5914" s="391" t="s">
        <v>9568</v>
      </c>
    </row>
    <row r="5915" spans="1:8" x14ac:dyDescent="0.3">
      <c r="A5915" s="509">
        <v>45049</v>
      </c>
      <c r="B5915" s="399" t="s">
        <v>10974</v>
      </c>
      <c r="C5915" s="5" t="s">
        <v>18</v>
      </c>
      <c r="D5915" s="5" t="s">
        <v>294</v>
      </c>
      <c r="E5915" s="43">
        <v>5000</v>
      </c>
      <c r="F5915" s="43"/>
      <c r="G5915" s="48">
        <f t="shared" si="149"/>
        <v>1296358</v>
      </c>
      <c r="H5915" s="391" t="s">
        <v>9568</v>
      </c>
    </row>
    <row r="5916" spans="1:8" x14ac:dyDescent="0.3">
      <c r="A5916" s="509">
        <v>45050</v>
      </c>
      <c r="B5916" s="399"/>
      <c r="C5916" s="5" t="s">
        <v>9756</v>
      </c>
      <c r="D5916" s="5" t="s">
        <v>11107</v>
      </c>
      <c r="E5916" s="43">
        <v>13500</v>
      </c>
      <c r="F5916" s="43"/>
      <c r="G5916" s="48">
        <f t="shared" si="149"/>
        <v>1282858</v>
      </c>
      <c r="H5916" s="391" t="s">
        <v>9568</v>
      </c>
    </row>
    <row r="5917" spans="1:8" x14ac:dyDescent="0.3">
      <c r="A5917" s="509">
        <v>45050</v>
      </c>
      <c r="B5917" s="399" t="s">
        <v>11064</v>
      </c>
      <c r="C5917" s="5" t="s">
        <v>11061</v>
      </c>
      <c r="D5917" s="5" t="s">
        <v>11080</v>
      </c>
      <c r="E5917" s="43">
        <v>102300</v>
      </c>
      <c r="F5917" s="43"/>
      <c r="G5917" s="48">
        <f t="shared" si="149"/>
        <v>1180558</v>
      </c>
      <c r="H5917" s="391" t="s">
        <v>9568</v>
      </c>
    </row>
    <row r="5918" spans="1:8" x14ac:dyDescent="0.3">
      <c r="A5918" s="509">
        <v>45050</v>
      </c>
      <c r="B5918" s="399" t="s">
        <v>12089</v>
      </c>
      <c r="C5918" s="5" t="s">
        <v>11015</v>
      </c>
      <c r="D5918" s="5" t="s">
        <v>11078</v>
      </c>
      <c r="E5918" s="43">
        <v>150000</v>
      </c>
      <c r="F5918" s="43"/>
      <c r="G5918" s="48">
        <f t="shared" si="149"/>
        <v>1030558</v>
      </c>
      <c r="H5918" s="391" t="s">
        <v>9568</v>
      </c>
    </row>
    <row r="5919" spans="1:8" x14ac:dyDescent="0.3">
      <c r="A5919" s="509">
        <v>45050</v>
      </c>
      <c r="B5919" s="345" t="s">
        <v>12096</v>
      </c>
      <c r="C5919" s="5" t="s">
        <v>11015</v>
      </c>
      <c r="D5919" s="5" t="s">
        <v>11079</v>
      </c>
      <c r="E5919" s="43">
        <v>46000</v>
      </c>
      <c r="F5919" s="43"/>
      <c r="G5919" s="48">
        <f t="shared" si="149"/>
        <v>984558</v>
      </c>
      <c r="H5919" s="391" t="s">
        <v>9568</v>
      </c>
    </row>
    <row r="5920" spans="1:8" x14ac:dyDescent="0.3">
      <c r="A5920" s="509">
        <v>45050</v>
      </c>
      <c r="B5920" s="399" t="s">
        <v>10974</v>
      </c>
      <c r="C5920" s="5" t="s">
        <v>9044</v>
      </c>
      <c r="D5920" s="5" t="s">
        <v>294</v>
      </c>
      <c r="E5920" s="43">
        <v>15000</v>
      </c>
      <c r="F5920" s="43"/>
      <c r="G5920" s="48">
        <f t="shared" si="149"/>
        <v>969558</v>
      </c>
      <c r="H5920" s="391" t="s">
        <v>9568</v>
      </c>
    </row>
    <row r="5921" spans="1:8" x14ac:dyDescent="0.3">
      <c r="A5921" s="509">
        <v>45050</v>
      </c>
      <c r="B5921" s="399" t="s">
        <v>9925</v>
      </c>
      <c r="C5921" s="5" t="s">
        <v>8009</v>
      </c>
      <c r="D5921" s="5" t="s">
        <v>11077</v>
      </c>
      <c r="E5921" s="43">
        <v>3260</v>
      </c>
      <c r="F5921" s="43"/>
      <c r="G5921" s="48">
        <f t="shared" si="149"/>
        <v>966298</v>
      </c>
      <c r="H5921" s="391" t="s">
        <v>9568</v>
      </c>
    </row>
    <row r="5922" spans="1:8" x14ac:dyDescent="0.3">
      <c r="A5922" s="509">
        <v>45050</v>
      </c>
      <c r="B5922" s="399" t="s">
        <v>6481</v>
      </c>
      <c r="C5922" s="5" t="s">
        <v>2348</v>
      </c>
      <c r="D5922" s="5" t="s">
        <v>11081</v>
      </c>
      <c r="E5922" s="43">
        <v>25000</v>
      </c>
      <c r="F5922" s="43"/>
      <c r="G5922" s="48">
        <f t="shared" si="149"/>
        <v>941298</v>
      </c>
      <c r="H5922" s="391" t="s">
        <v>9568</v>
      </c>
    </row>
    <row r="5923" spans="1:8" x14ac:dyDescent="0.3">
      <c r="A5923" s="509">
        <v>45050</v>
      </c>
      <c r="B5923" s="399" t="s">
        <v>9925</v>
      </c>
      <c r="C5923" s="5" t="s">
        <v>84</v>
      </c>
      <c r="D5923" s="5" t="s">
        <v>11082</v>
      </c>
      <c r="E5923" s="43">
        <v>50000</v>
      </c>
      <c r="F5923" s="43"/>
      <c r="G5923" s="48">
        <f t="shared" si="149"/>
        <v>891298</v>
      </c>
      <c r="H5923" s="391" t="s">
        <v>9568</v>
      </c>
    </row>
    <row r="5924" spans="1:8" x14ac:dyDescent="0.3">
      <c r="A5924" s="509">
        <v>45050</v>
      </c>
      <c r="B5924" s="399"/>
      <c r="C5924" s="5" t="s">
        <v>10815</v>
      </c>
      <c r="D5924" s="5" t="s">
        <v>11085</v>
      </c>
      <c r="E5924" s="43">
        <v>580</v>
      </c>
      <c r="F5924" s="43"/>
      <c r="G5924" s="48">
        <f t="shared" si="149"/>
        <v>890718</v>
      </c>
      <c r="H5924" s="391" t="s">
        <v>9568</v>
      </c>
    </row>
    <row r="5925" spans="1:8" x14ac:dyDescent="0.3">
      <c r="A5925" s="509">
        <v>45050</v>
      </c>
      <c r="B5925" s="435"/>
      <c r="C5925" s="217" t="s">
        <v>54</v>
      </c>
      <c r="D5925" s="217" t="s">
        <v>11094</v>
      </c>
      <c r="E5925" s="222">
        <f>20000+45000+60000+36730</f>
        <v>161730</v>
      </c>
      <c r="F5925" s="43"/>
      <c r="G5925" s="48">
        <f t="shared" si="149"/>
        <v>728988</v>
      </c>
      <c r="H5925" s="391" t="s">
        <v>9568</v>
      </c>
    </row>
    <row r="5926" spans="1:8" x14ac:dyDescent="0.3">
      <c r="A5926" s="509">
        <v>45050</v>
      </c>
      <c r="B5926" s="586"/>
      <c r="C5926" s="486"/>
      <c r="D5926" s="497" t="s">
        <v>10803</v>
      </c>
      <c r="E5926" s="486"/>
      <c r="F5926" s="43">
        <v>1000000</v>
      </c>
      <c r="G5926" s="48">
        <f t="shared" si="149"/>
        <v>1728988</v>
      </c>
      <c r="H5926" s="391" t="s">
        <v>9568</v>
      </c>
    </row>
    <row r="5927" spans="1:8" x14ac:dyDescent="0.3">
      <c r="A5927" s="509">
        <v>45051</v>
      </c>
      <c r="B5927" s="399" t="s">
        <v>10333</v>
      </c>
      <c r="C5927" s="5" t="s">
        <v>11086</v>
      </c>
      <c r="D5927" s="5" t="s">
        <v>11087</v>
      </c>
      <c r="E5927" s="43">
        <v>113850</v>
      </c>
      <c r="F5927" s="43"/>
      <c r="G5927" s="48">
        <f t="shared" si="149"/>
        <v>1615138</v>
      </c>
      <c r="H5927" s="391" t="s">
        <v>9568</v>
      </c>
    </row>
    <row r="5928" spans="1:8" x14ac:dyDescent="0.3">
      <c r="A5928" s="509">
        <v>45051</v>
      </c>
      <c r="B5928" s="399" t="s">
        <v>10112</v>
      </c>
      <c r="C5928" s="5" t="s">
        <v>11086</v>
      </c>
      <c r="D5928" s="5" t="s">
        <v>11088</v>
      </c>
      <c r="E5928" s="43">
        <v>280000</v>
      </c>
      <c r="F5928" s="43"/>
      <c r="G5928" s="48">
        <f t="shared" si="149"/>
        <v>1335138</v>
      </c>
      <c r="H5928" s="391" t="s">
        <v>9568</v>
      </c>
    </row>
    <row r="5929" spans="1:8" x14ac:dyDescent="0.3">
      <c r="A5929" s="509">
        <v>45051</v>
      </c>
      <c r="B5929" s="399" t="s">
        <v>6481</v>
      </c>
      <c r="C5929" s="5" t="s">
        <v>4550</v>
      </c>
      <c r="D5929" s="5" t="s">
        <v>3183</v>
      </c>
      <c r="E5929" s="43">
        <v>10000</v>
      </c>
      <c r="F5929" s="43"/>
      <c r="G5929" s="48">
        <f t="shared" si="149"/>
        <v>1325138</v>
      </c>
      <c r="H5929" s="391" t="s">
        <v>9568</v>
      </c>
    </row>
    <row r="5930" spans="1:8" x14ac:dyDescent="0.3">
      <c r="A5930" s="509">
        <v>45051</v>
      </c>
      <c r="B5930" s="435" t="s">
        <v>12190</v>
      </c>
      <c r="C5930" s="217" t="s">
        <v>54</v>
      </c>
      <c r="D5930" s="217" t="s">
        <v>11089</v>
      </c>
      <c r="E5930" s="222">
        <v>80000</v>
      </c>
      <c r="F5930" s="43"/>
      <c r="G5930" s="48">
        <f t="shared" si="149"/>
        <v>1245138</v>
      </c>
      <c r="H5930" s="391" t="s">
        <v>9568</v>
      </c>
    </row>
    <row r="5931" spans="1:8" x14ac:dyDescent="0.3">
      <c r="A5931" s="509">
        <v>45051</v>
      </c>
      <c r="B5931" s="399"/>
      <c r="C5931" s="5" t="s">
        <v>541</v>
      </c>
      <c r="D5931" s="5" t="s">
        <v>294</v>
      </c>
      <c r="E5931" s="43">
        <v>20000</v>
      </c>
      <c r="F5931" s="43"/>
      <c r="G5931" s="48">
        <f t="shared" si="149"/>
        <v>1225138</v>
      </c>
      <c r="H5931" s="391" t="s">
        <v>9568</v>
      </c>
    </row>
    <row r="5932" spans="1:8" x14ac:dyDescent="0.3">
      <c r="A5932" s="509">
        <v>45051</v>
      </c>
      <c r="B5932" s="399"/>
      <c r="C5932" s="5" t="s">
        <v>345</v>
      </c>
      <c r="D5932" s="5" t="s">
        <v>11090</v>
      </c>
      <c r="E5932" s="43">
        <v>65000</v>
      </c>
      <c r="F5932" s="43"/>
      <c r="G5932" s="48">
        <f t="shared" si="149"/>
        <v>1160138</v>
      </c>
      <c r="H5932" s="391" t="s">
        <v>9568</v>
      </c>
    </row>
    <row r="5933" spans="1:8" x14ac:dyDescent="0.3">
      <c r="A5933" s="509">
        <v>45051</v>
      </c>
      <c r="B5933" s="399" t="s">
        <v>10112</v>
      </c>
      <c r="C5933" s="5" t="s">
        <v>5793</v>
      </c>
      <c r="D5933" s="5" t="s">
        <v>1787</v>
      </c>
      <c r="E5933" s="43">
        <v>1600</v>
      </c>
      <c r="F5933" s="43"/>
      <c r="G5933" s="48">
        <f t="shared" si="149"/>
        <v>1158538</v>
      </c>
      <c r="H5933" s="391" t="s">
        <v>9568</v>
      </c>
    </row>
    <row r="5934" spans="1:8" x14ac:dyDescent="0.3">
      <c r="A5934" s="509">
        <v>45051</v>
      </c>
      <c r="B5934" s="399" t="s">
        <v>10615</v>
      </c>
      <c r="C5934" s="5" t="s">
        <v>10910</v>
      </c>
      <c r="D5934" s="5" t="s">
        <v>11092</v>
      </c>
      <c r="E5934" s="43">
        <v>9000</v>
      </c>
      <c r="F5934" s="43"/>
      <c r="G5934" s="48">
        <f t="shared" si="149"/>
        <v>1149538</v>
      </c>
      <c r="H5934" s="391" t="s">
        <v>9568</v>
      </c>
    </row>
    <row r="5935" spans="1:8" x14ac:dyDescent="0.3">
      <c r="A5935" s="509">
        <v>45051</v>
      </c>
      <c r="B5935" s="399" t="s">
        <v>118</v>
      </c>
      <c r="C5935" s="5" t="s">
        <v>25</v>
      </c>
      <c r="D5935" s="5" t="s">
        <v>8503</v>
      </c>
      <c r="E5935" s="43">
        <v>3000</v>
      </c>
      <c r="F5935" s="43"/>
      <c r="G5935" s="48">
        <f t="shared" si="149"/>
        <v>1146538</v>
      </c>
      <c r="H5935" s="391" t="s">
        <v>9568</v>
      </c>
    </row>
    <row r="5936" spans="1:8" x14ac:dyDescent="0.3">
      <c r="A5936" s="509">
        <v>45051</v>
      </c>
      <c r="B5936" s="399" t="s">
        <v>10333</v>
      </c>
      <c r="C5936" s="5" t="s">
        <v>9756</v>
      </c>
      <c r="D5936" s="5" t="s">
        <v>2013</v>
      </c>
      <c r="E5936" s="43">
        <v>1000</v>
      </c>
      <c r="F5936" s="43"/>
      <c r="G5936" s="48">
        <f t="shared" si="149"/>
        <v>1145538</v>
      </c>
      <c r="H5936" s="391" t="s">
        <v>9568</v>
      </c>
    </row>
    <row r="5937" spans="1:8" x14ac:dyDescent="0.3">
      <c r="A5937" s="509">
        <v>45051</v>
      </c>
      <c r="B5937" s="399"/>
      <c r="C5937" s="5" t="s">
        <v>5793</v>
      </c>
      <c r="D5937" s="5" t="s">
        <v>11093</v>
      </c>
      <c r="E5937" s="43">
        <v>700</v>
      </c>
      <c r="F5937" s="43"/>
      <c r="G5937" s="48">
        <f t="shared" si="149"/>
        <v>1144838</v>
      </c>
      <c r="H5937" s="391" t="s">
        <v>9568</v>
      </c>
    </row>
    <row r="5938" spans="1:8" x14ac:dyDescent="0.3">
      <c r="A5938" s="509">
        <v>45051</v>
      </c>
      <c r="B5938" s="435" t="s">
        <v>9925</v>
      </c>
      <c r="C5938" s="217" t="s">
        <v>54</v>
      </c>
      <c r="D5938" s="217" t="s">
        <v>10712</v>
      </c>
      <c r="E5938" s="222">
        <v>126252.08333333334</v>
      </c>
      <c r="F5938" s="43"/>
      <c r="G5938" s="48">
        <f t="shared" si="149"/>
        <v>1018585.9166666666</v>
      </c>
      <c r="H5938" s="391" t="s">
        <v>9568</v>
      </c>
    </row>
    <row r="5939" spans="1:8" x14ac:dyDescent="0.3">
      <c r="A5939" s="509">
        <v>45051</v>
      </c>
      <c r="B5939" s="409" t="s">
        <v>10615</v>
      </c>
      <c r="C5939" s="217" t="s">
        <v>54</v>
      </c>
      <c r="D5939" s="217" t="s">
        <v>10577</v>
      </c>
      <c r="E5939" s="222">
        <v>100004.16666666666</v>
      </c>
      <c r="F5939" s="43"/>
      <c r="G5939" s="48">
        <f t="shared" si="149"/>
        <v>918581.75</v>
      </c>
      <c r="H5939" s="391" t="s">
        <v>9568</v>
      </c>
    </row>
    <row r="5940" spans="1:8" x14ac:dyDescent="0.3">
      <c r="A5940" s="509">
        <v>45051</v>
      </c>
      <c r="B5940" s="435" t="s">
        <v>11034</v>
      </c>
      <c r="C5940" s="217" t="s">
        <v>54</v>
      </c>
      <c r="D5940" s="217" t="s">
        <v>11112</v>
      </c>
      <c r="E5940" s="222">
        <f>58375+29750+43330</f>
        <v>131455</v>
      </c>
      <c r="F5940" s="43"/>
      <c r="G5940" s="48">
        <f t="shared" si="149"/>
        <v>787126.75</v>
      </c>
      <c r="H5940" s="391" t="s">
        <v>9568</v>
      </c>
    </row>
    <row r="5941" spans="1:8" x14ac:dyDescent="0.3">
      <c r="A5941" s="509">
        <v>45051</v>
      </c>
      <c r="B5941" s="435" t="s">
        <v>9990</v>
      </c>
      <c r="C5941" s="217" t="s">
        <v>54</v>
      </c>
      <c r="D5941" s="217" t="s">
        <v>11101</v>
      </c>
      <c r="E5941" s="222">
        <v>35000</v>
      </c>
      <c r="F5941" s="43"/>
      <c r="G5941" s="48">
        <f t="shared" si="149"/>
        <v>752126.75</v>
      </c>
      <c r="H5941" s="391" t="s">
        <v>9568</v>
      </c>
    </row>
    <row r="5942" spans="1:8" x14ac:dyDescent="0.3">
      <c r="A5942" s="509">
        <v>45051</v>
      </c>
      <c r="B5942" s="435" t="s">
        <v>6481</v>
      </c>
      <c r="C5942" s="217" t="s">
        <v>54</v>
      </c>
      <c r="D5942" s="217" t="s">
        <v>11102</v>
      </c>
      <c r="E5942" s="222">
        <v>176056</v>
      </c>
      <c r="F5942" s="43"/>
      <c r="G5942" s="48">
        <f t="shared" si="149"/>
        <v>576070.75</v>
      </c>
      <c r="H5942" s="391" t="s">
        <v>9568</v>
      </c>
    </row>
    <row r="5943" spans="1:8" x14ac:dyDescent="0.3">
      <c r="A5943" s="509">
        <v>45051</v>
      </c>
      <c r="B5943" s="399" t="s">
        <v>12089</v>
      </c>
      <c r="C5943" s="217" t="s">
        <v>54</v>
      </c>
      <c r="D5943" s="217" t="s">
        <v>11095</v>
      </c>
      <c r="E5943" s="222">
        <v>113542</v>
      </c>
      <c r="F5943" s="43"/>
      <c r="G5943" s="48">
        <f t="shared" si="149"/>
        <v>462528.75</v>
      </c>
      <c r="H5943" s="391" t="s">
        <v>9568</v>
      </c>
    </row>
    <row r="5944" spans="1:8" x14ac:dyDescent="0.3">
      <c r="A5944" s="509">
        <v>45052</v>
      </c>
      <c r="B5944" s="399"/>
      <c r="C5944" s="5" t="s">
        <v>4550</v>
      </c>
      <c r="D5944" s="5" t="s">
        <v>3910</v>
      </c>
      <c r="E5944" s="43">
        <v>50000</v>
      </c>
      <c r="F5944" s="43"/>
      <c r="G5944" s="48">
        <f t="shared" si="149"/>
        <v>412528.75</v>
      </c>
      <c r="H5944" s="391" t="s">
        <v>9568</v>
      </c>
    </row>
    <row r="5945" spans="1:8" x14ac:dyDescent="0.3">
      <c r="A5945" s="509">
        <v>45052</v>
      </c>
      <c r="B5945" s="399" t="s">
        <v>10112</v>
      </c>
      <c r="C5945" s="5" t="s">
        <v>9801</v>
      </c>
      <c r="D5945" s="5" t="s">
        <v>5429</v>
      </c>
      <c r="E5945" s="43">
        <v>500</v>
      </c>
      <c r="F5945" s="43"/>
      <c r="G5945" s="48">
        <f t="shared" si="149"/>
        <v>412028.75</v>
      </c>
      <c r="H5945" s="391" t="s">
        <v>9568</v>
      </c>
    </row>
    <row r="5946" spans="1:8" x14ac:dyDescent="0.3">
      <c r="A5946" s="509">
        <v>45052</v>
      </c>
      <c r="B5946" s="399" t="s">
        <v>6481</v>
      </c>
      <c r="C5946" s="5" t="s">
        <v>11099</v>
      </c>
      <c r="D5946" s="5" t="s">
        <v>11100</v>
      </c>
      <c r="E5946" s="43">
        <v>50000</v>
      </c>
      <c r="F5946" s="43"/>
      <c r="G5946" s="48">
        <f t="shared" si="149"/>
        <v>362028.75</v>
      </c>
      <c r="H5946" s="391" t="s">
        <v>9568</v>
      </c>
    </row>
    <row r="5947" spans="1:8" x14ac:dyDescent="0.3">
      <c r="A5947" s="509">
        <v>45052</v>
      </c>
      <c r="B5947" s="435" t="s">
        <v>5933</v>
      </c>
      <c r="C5947" s="217" t="s">
        <v>54</v>
      </c>
      <c r="D5947" s="217" t="s">
        <v>8636</v>
      </c>
      <c r="E5947" s="222">
        <v>132929.16666666669</v>
      </c>
      <c r="F5947" s="43"/>
      <c r="G5947" s="48">
        <f t="shared" si="149"/>
        <v>229099.58333333331</v>
      </c>
      <c r="H5947" s="391" t="s">
        <v>9568</v>
      </c>
    </row>
    <row r="5948" spans="1:8" x14ac:dyDescent="0.3">
      <c r="A5948" s="509">
        <v>45052</v>
      </c>
      <c r="B5948" s="399" t="s">
        <v>12089</v>
      </c>
      <c r="C5948" s="5" t="s">
        <v>9756</v>
      </c>
      <c r="D5948" s="5" t="s">
        <v>11105</v>
      </c>
      <c r="E5948" s="43">
        <v>25500</v>
      </c>
      <c r="F5948" s="43"/>
      <c r="G5948" s="48">
        <f t="shared" si="149"/>
        <v>203599.58333333331</v>
      </c>
      <c r="H5948" s="391" t="s">
        <v>9568</v>
      </c>
    </row>
    <row r="5949" spans="1:8" x14ac:dyDescent="0.3">
      <c r="A5949" s="509">
        <v>45052</v>
      </c>
      <c r="B5949" s="399" t="s">
        <v>12089</v>
      </c>
      <c r="C5949" s="5" t="s">
        <v>11071</v>
      </c>
      <c r="D5949" s="5" t="s">
        <v>11103</v>
      </c>
      <c r="E5949" s="43">
        <v>100000</v>
      </c>
      <c r="F5949" s="43"/>
      <c r="G5949" s="48">
        <f t="shared" si="149"/>
        <v>103599.58333333331</v>
      </c>
      <c r="H5949" s="391" t="s">
        <v>9568</v>
      </c>
    </row>
    <row r="5950" spans="1:8" x14ac:dyDescent="0.3">
      <c r="A5950" s="509">
        <v>45052</v>
      </c>
      <c r="B5950" s="399" t="s">
        <v>12089</v>
      </c>
      <c r="C5950" s="5" t="s">
        <v>10936</v>
      </c>
      <c r="D5950" s="5" t="s">
        <v>11104</v>
      </c>
      <c r="E5950" s="43">
        <v>10530</v>
      </c>
      <c r="F5950" s="43"/>
      <c r="G5950" s="48">
        <f t="shared" si="149"/>
        <v>93069.583333333314</v>
      </c>
      <c r="H5950" s="391" t="s">
        <v>9568</v>
      </c>
    </row>
    <row r="5951" spans="1:8" x14ac:dyDescent="0.3">
      <c r="A5951" s="509">
        <v>45052</v>
      </c>
      <c r="B5951" s="399" t="s">
        <v>5933</v>
      </c>
      <c r="C5951" s="5" t="s">
        <v>6931</v>
      </c>
      <c r="D5951" s="5" t="s">
        <v>7286</v>
      </c>
      <c r="E5951" s="43">
        <v>3000</v>
      </c>
      <c r="F5951" s="43"/>
      <c r="G5951" s="48">
        <f t="shared" si="149"/>
        <v>90069.583333333314</v>
      </c>
      <c r="H5951" s="391" t="s">
        <v>9568</v>
      </c>
    </row>
    <row r="5952" spans="1:8" x14ac:dyDescent="0.3">
      <c r="A5952" s="509">
        <v>45052</v>
      </c>
      <c r="B5952" s="399" t="s">
        <v>5933</v>
      </c>
      <c r="C5952" s="5" t="s">
        <v>6931</v>
      </c>
      <c r="D5952" s="5" t="s">
        <v>10829</v>
      </c>
      <c r="E5952" s="43">
        <v>500</v>
      </c>
      <c r="F5952" s="43"/>
      <c r="G5952" s="48">
        <f t="shared" si="149"/>
        <v>89569.583333333314</v>
      </c>
      <c r="H5952" s="391" t="s">
        <v>9568</v>
      </c>
    </row>
    <row r="5953" spans="1:8" x14ac:dyDescent="0.3">
      <c r="A5953" s="509">
        <v>45052</v>
      </c>
      <c r="B5953" s="399" t="s">
        <v>12089</v>
      </c>
      <c r="C5953" s="5" t="s">
        <v>5793</v>
      </c>
      <c r="D5953" s="5" t="s">
        <v>11106</v>
      </c>
      <c r="E5953" s="43">
        <v>800</v>
      </c>
      <c r="F5953" s="43"/>
      <c r="G5953" s="48">
        <f t="shared" si="149"/>
        <v>88769.583333333314</v>
      </c>
      <c r="H5953" s="391" t="s">
        <v>9568</v>
      </c>
    </row>
    <row r="5954" spans="1:8" x14ac:dyDescent="0.3">
      <c r="A5954" s="509">
        <v>45052</v>
      </c>
      <c r="B5954" s="399" t="s">
        <v>12089</v>
      </c>
      <c r="C5954" s="5" t="s">
        <v>5793</v>
      </c>
      <c r="D5954" s="5" t="s">
        <v>11108</v>
      </c>
      <c r="E5954" s="43">
        <v>2000</v>
      </c>
      <c r="F5954" s="43"/>
      <c r="G5954" s="48">
        <f t="shared" si="149"/>
        <v>86769.583333333314</v>
      </c>
      <c r="H5954" s="391" t="s">
        <v>9568</v>
      </c>
    </row>
    <row r="5955" spans="1:8" x14ac:dyDescent="0.3">
      <c r="A5955" s="509">
        <v>45052</v>
      </c>
      <c r="B5955" s="399" t="s">
        <v>6481</v>
      </c>
      <c r="C5955" s="5" t="s">
        <v>84</v>
      </c>
      <c r="D5955" s="5" t="s">
        <v>11110</v>
      </c>
      <c r="E5955" s="43">
        <v>10000</v>
      </c>
      <c r="F5955" s="43"/>
      <c r="G5955" s="48">
        <f t="shared" si="149"/>
        <v>76769.583333333314</v>
      </c>
      <c r="H5955" s="391" t="s">
        <v>9568</v>
      </c>
    </row>
    <row r="5956" spans="1:8" x14ac:dyDescent="0.3">
      <c r="A5956" s="509">
        <v>45052</v>
      </c>
      <c r="B5956" s="399"/>
      <c r="C5956" s="5" t="s">
        <v>9765</v>
      </c>
      <c r="D5956" s="5" t="s">
        <v>11111</v>
      </c>
      <c r="E5956" s="43">
        <v>5000</v>
      </c>
      <c r="F5956" s="43"/>
      <c r="G5956" s="48">
        <f t="shared" si="149"/>
        <v>71769.583333333314</v>
      </c>
      <c r="H5956" s="391" t="s">
        <v>9568</v>
      </c>
    </row>
    <row r="5957" spans="1:8" x14ac:dyDescent="0.3">
      <c r="A5957" s="509">
        <v>45054</v>
      </c>
      <c r="B5957" s="399" t="s">
        <v>10112</v>
      </c>
      <c r="C5957" s="5" t="s">
        <v>9756</v>
      </c>
      <c r="D5957" s="5" t="s">
        <v>11113</v>
      </c>
      <c r="E5957" s="43">
        <v>65500</v>
      </c>
      <c r="F5957" s="43"/>
      <c r="G5957" s="48">
        <f t="shared" si="149"/>
        <v>6269.5833333333139</v>
      </c>
      <c r="H5957" s="391" t="s">
        <v>9568</v>
      </c>
    </row>
    <row r="5958" spans="1:8" x14ac:dyDescent="0.3">
      <c r="A5958" s="509">
        <v>45054</v>
      </c>
      <c r="B5958" s="399" t="s">
        <v>10112</v>
      </c>
      <c r="C5958" s="5" t="s">
        <v>5793</v>
      </c>
      <c r="D5958" s="5" t="s">
        <v>40</v>
      </c>
      <c r="E5958" s="43">
        <v>2500</v>
      </c>
      <c r="F5958" s="43"/>
      <c r="G5958" s="48">
        <f t="shared" ref="G5958:G6021" si="150">G5957+F5958-E5958</f>
        <v>3769.5833333333139</v>
      </c>
      <c r="H5958" s="391" t="s">
        <v>9568</v>
      </c>
    </row>
    <row r="5959" spans="1:8" x14ac:dyDescent="0.3">
      <c r="A5959" s="509">
        <v>45054</v>
      </c>
      <c r="B5959" s="586"/>
      <c r="C5959" s="486"/>
      <c r="D5959" s="497" t="s">
        <v>4362</v>
      </c>
      <c r="E5959" s="486"/>
      <c r="F5959" s="43">
        <v>1000</v>
      </c>
      <c r="G5959" s="48">
        <f t="shared" si="150"/>
        <v>4769.5833333333139</v>
      </c>
      <c r="H5959" s="391" t="s">
        <v>9568</v>
      </c>
    </row>
    <row r="5960" spans="1:8" x14ac:dyDescent="0.3">
      <c r="A5960" s="509">
        <v>45054</v>
      </c>
      <c r="B5960" s="399"/>
      <c r="C5960" s="5" t="s">
        <v>11061</v>
      </c>
      <c r="D5960" s="5" t="s">
        <v>11114</v>
      </c>
      <c r="E5960" s="43">
        <v>3500</v>
      </c>
      <c r="F5960" s="43"/>
      <c r="G5960" s="48">
        <f t="shared" si="150"/>
        <v>1269.5833333333139</v>
      </c>
      <c r="H5960" s="391" t="s">
        <v>9568</v>
      </c>
    </row>
    <row r="5961" spans="1:8" x14ac:dyDescent="0.3">
      <c r="A5961" s="509">
        <v>45054</v>
      </c>
      <c r="B5961" s="399" t="s">
        <v>10333</v>
      </c>
      <c r="C5961" s="5" t="s">
        <v>10815</v>
      </c>
      <c r="D5961" s="5" t="s">
        <v>2013</v>
      </c>
      <c r="E5961" s="43">
        <v>200</v>
      </c>
      <c r="F5961" s="43"/>
      <c r="G5961" s="48">
        <f t="shared" si="150"/>
        <v>1069.5833333333139</v>
      </c>
      <c r="H5961" s="391" t="s">
        <v>9568</v>
      </c>
    </row>
    <row r="5962" spans="1:8" x14ac:dyDescent="0.3">
      <c r="A5962" s="509">
        <v>45055</v>
      </c>
      <c r="B5962" s="586"/>
      <c r="C5962" s="486"/>
      <c r="D5962" s="497" t="s">
        <v>4106</v>
      </c>
      <c r="E5962" s="486"/>
      <c r="F5962" s="43">
        <v>200000</v>
      </c>
      <c r="G5962" s="48">
        <f t="shared" si="150"/>
        <v>201069.58333333331</v>
      </c>
      <c r="H5962" s="391" t="s">
        <v>9568</v>
      </c>
    </row>
    <row r="5963" spans="1:8" x14ac:dyDescent="0.3">
      <c r="A5963" s="509">
        <v>45055</v>
      </c>
      <c r="B5963" s="586"/>
      <c r="C5963" s="486"/>
      <c r="D5963" s="497" t="s">
        <v>4106</v>
      </c>
      <c r="E5963" s="486"/>
      <c r="F5963" s="43">
        <v>200000</v>
      </c>
      <c r="G5963" s="48">
        <f t="shared" si="150"/>
        <v>401069.58333333331</v>
      </c>
      <c r="H5963" s="391" t="s">
        <v>9568</v>
      </c>
    </row>
    <row r="5964" spans="1:8" x14ac:dyDescent="0.3">
      <c r="A5964" s="509">
        <v>45055</v>
      </c>
      <c r="B5964" s="399" t="s">
        <v>118</v>
      </c>
      <c r="C5964" s="5" t="s">
        <v>25</v>
      </c>
      <c r="D5964" s="5" t="s">
        <v>8503</v>
      </c>
      <c r="E5964" s="43">
        <v>3000</v>
      </c>
      <c r="F5964" s="43"/>
      <c r="G5964" s="48">
        <f t="shared" si="150"/>
        <v>398069.58333333331</v>
      </c>
      <c r="H5964" s="391" t="s">
        <v>9568</v>
      </c>
    </row>
    <row r="5965" spans="1:8" x14ac:dyDescent="0.3">
      <c r="A5965" s="509">
        <v>45055</v>
      </c>
      <c r="B5965" s="435" t="s">
        <v>11034</v>
      </c>
      <c r="C5965" s="217" t="s">
        <v>54</v>
      </c>
      <c r="D5965" s="217" t="s">
        <v>11120</v>
      </c>
      <c r="E5965" s="222">
        <v>40521</v>
      </c>
      <c r="F5965" s="43"/>
      <c r="G5965" s="48">
        <f t="shared" si="150"/>
        <v>357548.58333333331</v>
      </c>
      <c r="H5965" s="391" t="s">
        <v>9568</v>
      </c>
    </row>
    <row r="5966" spans="1:8" x14ac:dyDescent="0.3">
      <c r="A5966" s="509">
        <v>45055</v>
      </c>
      <c r="B5966" s="435"/>
      <c r="C5966" s="217" t="s">
        <v>54</v>
      </c>
      <c r="D5966" s="217" t="s">
        <v>11121</v>
      </c>
      <c r="E5966" s="222">
        <f>28000+35625</f>
        <v>63625</v>
      </c>
      <c r="F5966" s="43"/>
      <c r="G5966" s="48">
        <f t="shared" si="150"/>
        <v>293923.58333333331</v>
      </c>
      <c r="H5966" s="391" t="s">
        <v>9568</v>
      </c>
    </row>
    <row r="5967" spans="1:8" x14ac:dyDescent="0.3">
      <c r="A5967" s="509">
        <v>45055</v>
      </c>
      <c r="B5967" s="399" t="s">
        <v>10974</v>
      </c>
      <c r="C5967" s="5" t="s">
        <v>10815</v>
      </c>
      <c r="D5967" s="5" t="s">
        <v>11123</v>
      </c>
      <c r="E5967" s="43">
        <v>150</v>
      </c>
      <c r="F5967" s="43"/>
      <c r="G5967" s="48">
        <f t="shared" si="150"/>
        <v>293773.58333333331</v>
      </c>
      <c r="H5967" s="391" t="s">
        <v>9568</v>
      </c>
    </row>
    <row r="5968" spans="1:8" x14ac:dyDescent="0.3">
      <c r="A5968" s="509">
        <v>45055</v>
      </c>
      <c r="B5968" s="399" t="s">
        <v>10974</v>
      </c>
      <c r="C5968" s="5" t="s">
        <v>10709</v>
      </c>
      <c r="D5968" s="5" t="s">
        <v>11124</v>
      </c>
      <c r="E5968" s="43">
        <v>1200</v>
      </c>
      <c r="F5968" s="43"/>
      <c r="G5968" s="48">
        <f t="shared" si="150"/>
        <v>292573.58333333331</v>
      </c>
      <c r="H5968" s="391" t="s">
        <v>9568</v>
      </c>
    </row>
    <row r="5969" spans="1:8" x14ac:dyDescent="0.3">
      <c r="A5969" s="509">
        <v>45055</v>
      </c>
      <c r="B5969" s="399"/>
      <c r="C5969" s="5" t="s">
        <v>84</v>
      </c>
      <c r="D5969" s="5" t="s">
        <v>11125</v>
      </c>
      <c r="E5969" s="43">
        <v>7000</v>
      </c>
      <c r="F5969" s="43"/>
      <c r="G5969" s="48">
        <f t="shared" si="150"/>
        <v>285573.58333333331</v>
      </c>
      <c r="H5969" s="391" t="s">
        <v>9568</v>
      </c>
    </row>
    <row r="5970" spans="1:8" x14ac:dyDescent="0.3">
      <c r="A5970" s="509">
        <v>45056</v>
      </c>
      <c r="B5970" s="399" t="s">
        <v>10974</v>
      </c>
      <c r="C5970" s="5" t="s">
        <v>10709</v>
      </c>
      <c r="D5970" s="5" t="s">
        <v>11126</v>
      </c>
      <c r="E5970" s="43">
        <v>30000</v>
      </c>
      <c r="F5970" s="43"/>
      <c r="G5970" s="48">
        <f t="shared" si="150"/>
        <v>255573.58333333331</v>
      </c>
      <c r="H5970" s="391" t="s">
        <v>9568</v>
      </c>
    </row>
    <row r="5971" spans="1:8" x14ac:dyDescent="0.3">
      <c r="A5971" s="509">
        <v>45056</v>
      </c>
      <c r="B5971" s="399" t="s">
        <v>6481</v>
      </c>
      <c r="C5971" s="5" t="s">
        <v>4550</v>
      </c>
      <c r="D5971" s="5" t="s">
        <v>5813</v>
      </c>
      <c r="E5971" s="43">
        <v>10000</v>
      </c>
      <c r="F5971" s="43"/>
      <c r="G5971" s="48">
        <f t="shared" si="150"/>
        <v>245573.58333333331</v>
      </c>
      <c r="H5971" s="391" t="s">
        <v>9568</v>
      </c>
    </row>
    <row r="5972" spans="1:8" x14ac:dyDescent="0.3">
      <c r="A5972" s="509">
        <v>45056</v>
      </c>
      <c r="B5972" s="435" t="s">
        <v>9925</v>
      </c>
      <c r="C5972" s="217" t="s">
        <v>54</v>
      </c>
      <c r="D5972" s="217" t="s">
        <v>11127</v>
      </c>
      <c r="E5972" s="222">
        <v>150485</v>
      </c>
      <c r="F5972" s="43"/>
      <c r="G5972" s="48">
        <f t="shared" si="150"/>
        <v>95088.583333333314</v>
      </c>
      <c r="H5972" s="391" t="s">
        <v>9568</v>
      </c>
    </row>
    <row r="5973" spans="1:8" x14ac:dyDescent="0.3">
      <c r="A5973" s="509">
        <v>45056</v>
      </c>
      <c r="B5973" s="399" t="s">
        <v>10974</v>
      </c>
      <c r="C5973" s="5" t="s">
        <v>9756</v>
      </c>
      <c r="D5973" s="5" t="s">
        <v>11128</v>
      </c>
      <c r="E5973" s="43">
        <v>20740</v>
      </c>
      <c r="F5973" s="43"/>
      <c r="G5973" s="48">
        <f t="shared" si="150"/>
        <v>74348.583333333314</v>
      </c>
      <c r="H5973" s="391" t="s">
        <v>9568</v>
      </c>
    </row>
    <row r="5974" spans="1:8" x14ac:dyDescent="0.3">
      <c r="A5974" s="509">
        <v>45056</v>
      </c>
      <c r="B5974" s="399" t="s">
        <v>12089</v>
      </c>
      <c r="C5974" s="5" t="s">
        <v>5793</v>
      </c>
      <c r="D5974" s="5" t="s">
        <v>11129</v>
      </c>
      <c r="E5974" s="43">
        <v>600</v>
      </c>
      <c r="F5974" s="43"/>
      <c r="G5974" s="48">
        <f t="shared" si="150"/>
        <v>73748.583333333314</v>
      </c>
      <c r="H5974" s="391" t="s">
        <v>9568</v>
      </c>
    </row>
    <row r="5975" spans="1:8" x14ac:dyDescent="0.3">
      <c r="A5975" s="509">
        <v>45056</v>
      </c>
      <c r="B5975" s="399" t="s">
        <v>12089</v>
      </c>
      <c r="C5975" s="5" t="s">
        <v>5793</v>
      </c>
      <c r="D5975" s="5" t="s">
        <v>40</v>
      </c>
      <c r="E5975" s="43">
        <v>1300</v>
      </c>
      <c r="F5975" s="43"/>
      <c r="G5975" s="48">
        <f t="shared" si="150"/>
        <v>72448.583333333314</v>
      </c>
      <c r="H5975" s="391" t="s">
        <v>9568</v>
      </c>
    </row>
    <row r="5976" spans="1:8" x14ac:dyDescent="0.3">
      <c r="A5976" s="509">
        <v>45056</v>
      </c>
      <c r="B5976" s="435" t="s">
        <v>118</v>
      </c>
      <c r="C5976" s="217" t="s">
        <v>54</v>
      </c>
      <c r="D5976" s="217" t="s">
        <v>10932</v>
      </c>
      <c r="E5976" s="222">
        <v>65000</v>
      </c>
      <c r="F5976" s="43"/>
      <c r="G5976" s="48">
        <f t="shared" si="150"/>
        <v>7448.5833333333139</v>
      </c>
      <c r="H5976" s="391" t="s">
        <v>9568</v>
      </c>
    </row>
    <row r="5977" spans="1:8" x14ac:dyDescent="0.3">
      <c r="A5977" s="509">
        <v>45056</v>
      </c>
      <c r="B5977" s="586"/>
      <c r="C5977" s="486"/>
      <c r="D5977" s="497" t="s">
        <v>4106</v>
      </c>
      <c r="E5977" s="486"/>
      <c r="F5977" s="43">
        <v>200000</v>
      </c>
      <c r="G5977" s="48">
        <f t="shared" si="150"/>
        <v>207448.58333333331</v>
      </c>
      <c r="H5977" s="391" t="s">
        <v>9568</v>
      </c>
    </row>
    <row r="5978" spans="1:8" x14ac:dyDescent="0.3">
      <c r="A5978" s="509">
        <v>45056</v>
      </c>
      <c r="B5978" s="399"/>
      <c r="C5978" s="5" t="s">
        <v>25</v>
      </c>
      <c r="D5978" s="5" t="s">
        <v>650</v>
      </c>
      <c r="E5978" s="43">
        <v>1000</v>
      </c>
      <c r="F5978" s="43"/>
      <c r="G5978" s="48">
        <f t="shared" si="150"/>
        <v>206448.58333333331</v>
      </c>
      <c r="H5978" s="391" t="s">
        <v>9568</v>
      </c>
    </row>
    <row r="5979" spans="1:8" x14ac:dyDescent="0.3">
      <c r="A5979" s="509">
        <v>45056</v>
      </c>
      <c r="B5979" s="399"/>
      <c r="C5979" s="5" t="s">
        <v>9756</v>
      </c>
      <c r="D5979" s="5" t="s">
        <v>2013</v>
      </c>
      <c r="E5979" s="43">
        <v>1000</v>
      </c>
      <c r="F5979" s="43"/>
      <c r="G5979" s="48">
        <f t="shared" si="150"/>
        <v>205448.58333333331</v>
      </c>
      <c r="H5979" s="391" t="s">
        <v>9568</v>
      </c>
    </row>
    <row r="5980" spans="1:8" x14ac:dyDescent="0.3">
      <c r="A5980" s="509">
        <v>45057</v>
      </c>
      <c r="B5980" s="399" t="s">
        <v>6481</v>
      </c>
      <c r="C5980" s="5" t="s">
        <v>4550</v>
      </c>
      <c r="D5980" s="5" t="s">
        <v>5813</v>
      </c>
      <c r="E5980" s="43">
        <v>100000</v>
      </c>
      <c r="F5980" s="43"/>
      <c r="G5980" s="48">
        <f t="shared" si="150"/>
        <v>105448.58333333331</v>
      </c>
      <c r="H5980" s="391" t="s">
        <v>9568</v>
      </c>
    </row>
    <row r="5981" spans="1:8" x14ac:dyDescent="0.3">
      <c r="A5981" s="509">
        <v>45057</v>
      </c>
      <c r="B5981" s="399" t="s">
        <v>12089</v>
      </c>
      <c r="C5981" s="5" t="s">
        <v>10815</v>
      </c>
      <c r="D5981" s="5" t="s">
        <v>11136</v>
      </c>
      <c r="E5981" s="43">
        <v>78400</v>
      </c>
      <c r="F5981" s="43"/>
      <c r="G5981" s="48">
        <f t="shared" si="150"/>
        <v>27048.583333333314</v>
      </c>
      <c r="H5981" s="391" t="s">
        <v>9568</v>
      </c>
    </row>
    <row r="5982" spans="1:8" x14ac:dyDescent="0.3">
      <c r="A5982" s="509">
        <v>45057</v>
      </c>
      <c r="B5982" s="399" t="s">
        <v>12089</v>
      </c>
      <c r="C5982" s="5" t="s">
        <v>5793</v>
      </c>
      <c r="D5982" s="5" t="s">
        <v>11141</v>
      </c>
      <c r="E5982" s="43">
        <v>1400</v>
      </c>
      <c r="F5982" s="43"/>
      <c r="G5982" s="48">
        <f t="shared" si="150"/>
        <v>25648.583333333314</v>
      </c>
      <c r="H5982" s="391" t="s">
        <v>9568</v>
      </c>
    </row>
    <row r="5983" spans="1:8" x14ac:dyDescent="0.3">
      <c r="A5983" s="509">
        <v>45057</v>
      </c>
      <c r="B5983" s="399" t="s">
        <v>12089</v>
      </c>
      <c r="C5983" s="5" t="s">
        <v>10815</v>
      </c>
      <c r="D5983" s="5" t="s">
        <v>3143</v>
      </c>
      <c r="E5983" s="43">
        <v>2000</v>
      </c>
      <c r="F5983" s="43"/>
      <c r="G5983" s="48">
        <f t="shared" si="150"/>
        <v>23648.583333333314</v>
      </c>
      <c r="H5983" s="391" t="s">
        <v>9568</v>
      </c>
    </row>
    <row r="5984" spans="1:8" x14ac:dyDescent="0.3">
      <c r="A5984" s="509">
        <v>45057</v>
      </c>
      <c r="B5984" s="399" t="s">
        <v>12089</v>
      </c>
      <c r="C5984" s="5" t="s">
        <v>5793</v>
      </c>
      <c r="D5984" s="5" t="s">
        <v>11142</v>
      </c>
      <c r="E5984" s="43">
        <v>2000</v>
      </c>
      <c r="F5984" s="43"/>
      <c r="G5984" s="48">
        <f t="shared" si="150"/>
        <v>21648.583333333314</v>
      </c>
      <c r="H5984" s="391" t="s">
        <v>9568</v>
      </c>
    </row>
    <row r="5985" spans="1:8" x14ac:dyDescent="0.3">
      <c r="A5985" s="509">
        <v>45057</v>
      </c>
      <c r="B5985" s="399" t="s">
        <v>12089</v>
      </c>
      <c r="C5985" s="5" t="s">
        <v>5793</v>
      </c>
      <c r="D5985" s="5" t="s">
        <v>11143</v>
      </c>
      <c r="E5985" s="43">
        <v>1500</v>
      </c>
      <c r="F5985" s="43"/>
      <c r="G5985" s="48">
        <f t="shared" si="150"/>
        <v>20148.583333333314</v>
      </c>
      <c r="H5985" s="391" t="s">
        <v>9568</v>
      </c>
    </row>
    <row r="5986" spans="1:8" x14ac:dyDescent="0.3">
      <c r="A5986" s="509">
        <v>45057</v>
      </c>
      <c r="B5986" s="399" t="s">
        <v>118</v>
      </c>
      <c r="C5986" s="5" t="s">
        <v>25</v>
      </c>
      <c r="D5986" s="5" t="s">
        <v>8503</v>
      </c>
      <c r="E5986" s="43">
        <v>2500</v>
      </c>
      <c r="F5986" s="43"/>
      <c r="G5986" s="48">
        <f t="shared" si="150"/>
        <v>17648.583333333314</v>
      </c>
      <c r="H5986" s="391" t="s">
        <v>9568</v>
      </c>
    </row>
    <row r="5987" spans="1:8" x14ac:dyDescent="0.3">
      <c r="A5987" s="509">
        <v>45057</v>
      </c>
      <c r="B5987" s="586"/>
      <c r="C5987" s="486"/>
      <c r="D5987" s="497" t="s">
        <v>4106</v>
      </c>
      <c r="E5987" s="486"/>
      <c r="F5987" s="43">
        <v>50000</v>
      </c>
      <c r="G5987" s="48">
        <f t="shared" si="150"/>
        <v>67648.583333333314</v>
      </c>
      <c r="H5987" s="391" t="s">
        <v>9568</v>
      </c>
    </row>
    <row r="5988" spans="1:8" x14ac:dyDescent="0.3">
      <c r="A5988" s="509">
        <v>45057</v>
      </c>
      <c r="B5988" s="399" t="s">
        <v>12091</v>
      </c>
      <c r="C5988" s="5" t="s">
        <v>9756</v>
      </c>
      <c r="D5988" s="5" t="s">
        <v>11144</v>
      </c>
      <c r="E5988" s="43">
        <v>26350</v>
      </c>
      <c r="F5988" s="43"/>
      <c r="G5988" s="48">
        <f t="shared" si="150"/>
        <v>41298.583333333314</v>
      </c>
      <c r="H5988" s="391" t="s">
        <v>9568</v>
      </c>
    </row>
    <row r="5989" spans="1:8" x14ac:dyDescent="0.3">
      <c r="A5989" s="509">
        <v>45057</v>
      </c>
      <c r="B5989" s="586"/>
      <c r="C5989" s="486"/>
      <c r="D5989" s="497" t="s">
        <v>4106</v>
      </c>
      <c r="E5989" s="486"/>
      <c r="F5989" s="43">
        <v>500000</v>
      </c>
      <c r="G5989" s="48">
        <f t="shared" si="150"/>
        <v>541298.58333333326</v>
      </c>
      <c r="H5989" s="391" t="s">
        <v>9568</v>
      </c>
    </row>
    <row r="5990" spans="1:8" x14ac:dyDescent="0.3">
      <c r="A5990" s="509">
        <v>45057</v>
      </c>
      <c r="B5990" s="399"/>
      <c r="C5990" s="5" t="s">
        <v>2059</v>
      </c>
      <c r="D5990" s="5" t="s">
        <v>11145</v>
      </c>
      <c r="E5990" s="43">
        <v>365000</v>
      </c>
      <c r="F5990" s="43"/>
      <c r="G5990" s="48">
        <f t="shared" si="150"/>
        <v>176298.58333333326</v>
      </c>
      <c r="H5990" s="391" t="s">
        <v>9568</v>
      </c>
    </row>
    <row r="5991" spans="1:8" x14ac:dyDescent="0.3">
      <c r="A5991" s="509">
        <v>45057</v>
      </c>
      <c r="B5991" s="399"/>
      <c r="C5991" s="5" t="s">
        <v>541</v>
      </c>
      <c r="D5991" s="5" t="s">
        <v>294</v>
      </c>
      <c r="E5991" s="43">
        <v>135000</v>
      </c>
      <c r="F5991" s="43"/>
      <c r="G5991" s="48">
        <f t="shared" si="150"/>
        <v>41298.583333333256</v>
      </c>
      <c r="H5991" s="391" t="s">
        <v>9568</v>
      </c>
    </row>
    <row r="5992" spans="1:8" x14ac:dyDescent="0.3">
      <c r="A5992" s="509">
        <v>45057</v>
      </c>
      <c r="B5992" s="399" t="s">
        <v>12089</v>
      </c>
      <c r="C5992" s="5" t="s">
        <v>5162</v>
      </c>
      <c r="D5992" s="5" t="s">
        <v>10425</v>
      </c>
      <c r="E5992" s="43">
        <v>1000</v>
      </c>
      <c r="F5992" s="43"/>
      <c r="G5992" s="48">
        <f t="shared" si="150"/>
        <v>40298.583333333256</v>
      </c>
      <c r="H5992" s="391" t="s">
        <v>9568</v>
      </c>
    </row>
    <row r="5993" spans="1:8" x14ac:dyDescent="0.3">
      <c r="A5993" s="509">
        <v>45057</v>
      </c>
      <c r="B5993" s="399" t="s">
        <v>10615</v>
      </c>
      <c r="C5993" s="5" t="s">
        <v>6430</v>
      </c>
      <c r="D5993" s="5" t="s">
        <v>11146</v>
      </c>
      <c r="E5993" s="43">
        <v>10000</v>
      </c>
      <c r="F5993" s="43"/>
      <c r="G5993" s="48">
        <f t="shared" si="150"/>
        <v>30298.583333333256</v>
      </c>
      <c r="H5993" s="391" t="s">
        <v>9568</v>
      </c>
    </row>
    <row r="5994" spans="1:8" x14ac:dyDescent="0.3">
      <c r="A5994" s="509">
        <v>45057</v>
      </c>
      <c r="B5994" s="399" t="s">
        <v>10974</v>
      </c>
      <c r="C5994" s="5" t="s">
        <v>10815</v>
      </c>
      <c r="D5994" s="5" t="s">
        <v>11148</v>
      </c>
      <c r="E5994" s="43">
        <v>17000</v>
      </c>
      <c r="F5994" s="43"/>
      <c r="G5994" s="48">
        <f t="shared" si="150"/>
        <v>13298.583333333256</v>
      </c>
      <c r="H5994" s="391" t="s">
        <v>9568</v>
      </c>
    </row>
    <row r="5995" spans="1:8" x14ac:dyDescent="0.3">
      <c r="A5995" s="509">
        <v>45057</v>
      </c>
      <c r="B5995" s="399" t="s">
        <v>5793</v>
      </c>
      <c r="C5995" s="5" t="s">
        <v>5793</v>
      </c>
      <c r="D5995" s="5" t="s">
        <v>11149</v>
      </c>
      <c r="E5995" s="43">
        <v>4500</v>
      </c>
      <c r="F5995" s="43"/>
      <c r="G5995" s="48">
        <f t="shared" si="150"/>
        <v>8798.5833333332557</v>
      </c>
      <c r="H5995" s="391" t="s">
        <v>9568</v>
      </c>
    </row>
    <row r="5996" spans="1:8" x14ac:dyDescent="0.3">
      <c r="A5996" s="509">
        <v>45058</v>
      </c>
      <c r="B5996" s="586"/>
      <c r="C5996" s="486"/>
      <c r="D5996" s="497" t="s">
        <v>4106</v>
      </c>
      <c r="E5996" s="486"/>
      <c r="F5996" s="43">
        <v>200000</v>
      </c>
      <c r="G5996" s="48">
        <f t="shared" si="150"/>
        <v>208798.58333333326</v>
      </c>
      <c r="H5996" s="391" t="s">
        <v>9568</v>
      </c>
    </row>
    <row r="5997" spans="1:8" x14ac:dyDescent="0.3">
      <c r="A5997" s="509">
        <v>45058</v>
      </c>
      <c r="B5997" s="399"/>
      <c r="C5997" s="5" t="s">
        <v>247</v>
      </c>
      <c r="D5997" s="5" t="s">
        <v>11151</v>
      </c>
      <c r="E5997" s="43">
        <v>10000</v>
      </c>
      <c r="F5997" s="43"/>
      <c r="G5997" s="48">
        <f t="shared" si="150"/>
        <v>198798.58333333326</v>
      </c>
      <c r="H5997" s="391" t="s">
        <v>9568</v>
      </c>
    </row>
    <row r="5998" spans="1:8" x14ac:dyDescent="0.3">
      <c r="A5998" s="509">
        <v>45058</v>
      </c>
      <c r="B5998" s="399" t="s">
        <v>6481</v>
      </c>
      <c r="C5998" s="5" t="s">
        <v>4550</v>
      </c>
      <c r="D5998" s="5" t="s">
        <v>3910</v>
      </c>
      <c r="E5998" s="43">
        <v>100000</v>
      </c>
      <c r="F5998" s="43"/>
      <c r="G5998" s="48">
        <f t="shared" si="150"/>
        <v>98798.583333333256</v>
      </c>
      <c r="H5998" s="391" t="s">
        <v>9568</v>
      </c>
    </row>
    <row r="5999" spans="1:8" x14ac:dyDescent="0.3">
      <c r="A5999" s="509">
        <v>45058</v>
      </c>
      <c r="B5999" s="399"/>
      <c r="C5999" s="5" t="s">
        <v>14</v>
      </c>
      <c r="D5999" s="5" t="s">
        <v>10293</v>
      </c>
      <c r="E5999" s="43">
        <v>15687</v>
      </c>
      <c r="F5999" s="43"/>
      <c r="G5999" s="48">
        <f t="shared" si="150"/>
        <v>83111.583333333256</v>
      </c>
      <c r="H5999" s="391" t="s">
        <v>9568</v>
      </c>
    </row>
    <row r="6000" spans="1:8" x14ac:dyDescent="0.3">
      <c r="A6000" s="509">
        <v>45058</v>
      </c>
      <c r="B6000" s="399" t="s">
        <v>10974</v>
      </c>
      <c r="C6000" s="5" t="s">
        <v>5793</v>
      </c>
      <c r="D6000" s="5" t="s">
        <v>11152</v>
      </c>
      <c r="E6000" s="43">
        <v>1500</v>
      </c>
      <c r="F6000" s="43"/>
      <c r="G6000" s="48">
        <f t="shared" si="150"/>
        <v>81611.583333333256</v>
      </c>
      <c r="H6000" s="391" t="s">
        <v>9568</v>
      </c>
    </row>
    <row r="6001" spans="1:8" x14ac:dyDescent="0.3">
      <c r="A6001" s="509">
        <v>45058</v>
      </c>
      <c r="B6001" s="399" t="s">
        <v>10615</v>
      </c>
      <c r="C6001" s="5" t="s">
        <v>6430</v>
      </c>
      <c r="D6001" s="5" t="s">
        <v>11153</v>
      </c>
      <c r="E6001" s="43">
        <v>3950</v>
      </c>
      <c r="F6001" s="43"/>
      <c r="G6001" s="48">
        <f t="shared" si="150"/>
        <v>77661.583333333256</v>
      </c>
      <c r="H6001" s="391" t="s">
        <v>9568</v>
      </c>
    </row>
    <row r="6002" spans="1:8" x14ac:dyDescent="0.3">
      <c r="A6002" s="509">
        <v>45058</v>
      </c>
      <c r="B6002" s="399" t="s">
        <v>11064</v>
      </c>
      <c r="C6002" s="5" t="s">
        <v>9052</v>
      </c>
      <c r="D6002" s="5" t="s">
        <v>11158</v>
      </c>
      <c r="E6002" s="43">
        <v>20700</v>
      </c>
      <c r="F6002" s="43"/>
      <c r="G6002" s="48">
        <f t="shared" si="150"/>
        <v>56961.583333333256</v>
      </c>
      <c r="H6002" s="391" t="s">
        <v>9568</v>
      </c>
    </row>
    <row r="6003" spans="1:8" x14ac:dyDescent="0.3">
      <c r="A6003" s="509">
        <v>45058</v>
      </c>
      <c r="B6003" s="399" t="s">
        <v>11064</v>
      </c>
      <c r="C6003" s="5" t="s">
        <v>10463</v>
      </c>
      <c r="D6003" s="5" t="s">
        <v>11156</v>
      </c>
      <c r="E6003" s="43">
        <v>20000</v>
      </c>
      <c r="F6003" s="43"/>
      <c r="G6003" s="48">
        <f t="shared" si="150"/>
        <v>36961.583333333256</v>
      </c>
      <c r="H6003" s="391" t="s">
        <v>9568</v>
      </c>
    </row>
    <row r="6004" spans="1:8" x14ac:dyDescent="0.3">
      <c r="A6004" s="509">
        <v>45058</v>
      </c>
      <c r="B6004" s="399"/>
      <c r="C6004" s="5" t="s">
        <v>25</v>
      </c>
      <c r="D6004" s="5" t="s">
        <v>11157</v>
      </c>
      <c r="E6004" s="43">
        <v>300</v>
      </c>
      <c r="F6004" s="43"/>
      <c r="G6004" s="48">
        <f t="shared" si="150"/>
        <v>36661.583333333256</v>
      </c>
      <c r="H6004" s="391" t="s">
        <v>9568</v>
      </c>
    </row>
    <row r="6005" spans="1:8" x14ac:dyDescent="0.3">
      <c r="A6005" s="509">
        <v>45058</v>
      </c>
      <c r="B6005" s="399"/>
      <c r="C6005" s="5" t="s">
        <v>5793</v>
      </c>
      <c r="D6005" s="5" t="s">
        <v>11159</v>
      </c>
      <c r="E6005" s="43">
        <v>1500</v>
      </c>
      <c r="F6005" s="43"/>
      <c r="G6005" s="48">
        <f t="shared" si="150"/>
        <v>35161.583333333256</v>
      </c>
      <c r="H6005" s="391" t="s">
        <v>9568</v>
      </c>
    </row>
    <row r="6006" spans="1:8" x14ac:dyDescent="0.3">
      <c r="A6006" s="509">
        <v>45059</v>
      </c>
      <c r="B6006" s="399" t="s">
        <v>11064</v>
      </c>
      <c r="C6006" s="5" t="s">
        <v>9756</v>
      </c>
      <c r="D6006" s="5" t="s">
        <v>11160</v>
      </c>
      <c r="E6006" s="43">
        <v>11700</v>
      </c>
      <c r="F6006" s="43"/>
      <c r="G6006" s="48">
        <f t="shared" si="150"/>
        <v>23461.583333333256</v>
      </c>
      <c r="H6006" s="391" t="s">
        <v>9568</v>
      </c>
    </row>
    <row r="6007" spans="1:8" x14ac:dyDescent="0.3">
      <c r="A6007" s="509">
        <v>45059</v>
      </c>
      <c r="B6007" s="399" t="s">
        <v>118</v>
      </c>
      <c r="C6007" s="5" t="s">
        <v>25</v>
      </c>
      <c r="D6007" s="5" t="s">
        <v>8503</v>
      </c>
      <c r="E6007" s="43">
        <v>3000</v>
      </c>
      <c r="F6007" s="43"/>
      <c r="G6007" s="48">
        <f t="shared" si="150"/>
        <v>20461.583333333256</v>
      </c>
      <c r="H6007" s="391" t="s">
        <v>9568</v>
      </c>
    </row>
    <row r="6008" spans="1:8" x14ac:dyDescent="0.3">
      <c r="A6008" s="509">
        <v>45059</v>
      </c>
      <c r="B6008" s="399" t="s">
        <v>118</v>
      </c>
      <c r="C6008" s="5" t="s">
        <v>11161</v>
      </c>
      <c r="D6008" s="5" t="s">
        <v>11162</v>
      </c>
      <c r="E6008" s="43">
        <v>6000</v>
      </c>
      <c r="F6008" s="43"/>
      <c r="G6008" s="48">
        <f t="shared" si="150"/>
        <v>14461.583333333256</v>
      </c>
      <c r="H6008" s="391" t="s">
        <v>9568</v>
      </c>
    </row>
    <row r="6009" spans="1:8" x14ac:dyDescent="0.3">
      <c r="A6009" s="509">
        <v>45059</v>
      </c>
      <c r="B6009" s="399" t="s">
        <v>11164</v>
      </c>
      <c r="C6009" s="5" t="s">
        <v>8573</v>
      </c>
      <c r="D6009" s="5" t="s">
        <v>11163</v>
      </c>
      <c r="E6009" s="43">
        <v>2500</v>
      </c>
      <c r="F6009" s="43"/>
      <c r="G6009" s="48">
        <f t="shared" si="150"/>
        <v>11961.583333333256</v>
      </c>
      <c r="H6009" s="391" t="s">
        <v>9568</v>
      </c>
    </row>
    <row r="6010" spans="1:8" x14ac:dyDescent="0.3">
      <c r="A6010" s="509">
        <v>45059</v>
      </c>
      <c r="B6010" s="399" t="s">
        <v>10974</v>
      </c>
      <c r="C6010" s="5" t="s">
        <v>18</v>
      </c>
      <c r="D6010" s="5" t="s">
        <v>438</v>
      </c>
      <c r="E6010" s="43">
        <v>2000</v>
      </c>
      <c r="F6010" s="43"/>
      <c r="G6010" s="48">
        <f t="shared" si="150"/>
        <v>9961.5833333332557</v>
      </c>
      <c r="H6010" s="391" t="s">
        <v>9568</v>
      </c>
    </row>
    <row r="6011" spans="1:8" x14ac:dyDescent="0.3">
      <c r="A6011" s="509">
        <v>45059</v>
      </c>
      <c r="B6011" s="399" t="s">
        <v>11064</v>
      </c>
      <c r="C6011" s="5" t="s">
        <v>5793</v>
      </c>
      <c r="D6011" s="5" t="s">
        <v>11165</v>
      </c>
      <c r="E6011" s="43">
        <v>2000</v>
      </c>
      <c r="F6011" s="43"/>
      <c r="G6011" s="48">
        <f t="shared" si="150"/>
        <v>7961.5833333332557</v>
      </c>
      <c r="H6011" s="391" t="s">
        <v>9568</v>
      </c>
    </row>
    <row r="6012" spans="1:8" x14ac:dyDescent="0.3">
      <c r="A6012" s="509">
        <v>45059</v>
      </c>
      <c r="B6012" s="399" t="s">
        <v>11064</v>
      </c>
      <c r="C6012" s="5" t="s">
        <v>5793</v>
      </c>
      <c r="D6012" s="5" t="s">
        <v>11166</v>
      </c>
      <c r="E6012" s="43">
        <v>1200</v>
      </c>
      <c r="F6012" s="43"/>
      <c r="G6012" s="48">
        <f t="shared" si="150"/>
        <v>6761.5833333332557</v>
      </c>
      <c r="H6012" s="391" t="s">
        <v>9568</v>
      </c>
    </row>
    <row r="6013" spans="1:8" x14ac:dyDescent="0.3">
      <c r="A6013" s="509">
        <v>45059</v>
      </c>
      <c r="B6013" s="399" t="s">
        <v>118</v>
      </c>
      <c r="C6013" s="5" t="s">
        <v>4400</v>
      </c>
      <c r="D6013" s="5" t="s">
        <v>11167</v>
      </c>
      <c r="E6013" s="43">
        <v>4670</v>
      </c>
      <c r="F6013" s="43"/>
      <c r="G6013" s="48">
        <f t="shared" si="150"/>
        <v>2091.5833333332557</v>
      </c>
      <c r="H6013" s="391" t="s">
        <v>9568</v>
      </c>
    </row>
    <row r="6014" spans="1:8" x14ac:dyDescent="0.3">
      <c r="A6014" s="509">
        <v>45059</v>
      </c>
      <c r="B6014" s="399" t="s">
        <v>118</v>
      </c>
      <c r="C6014" s="5" t="s">
        <v>64</v>
      </c>
      <c r="D6014" s="5" t="s">
        <v>40</v>
      </c>
      <c r="E6014" s="43">
        <v>500</v>
      </c>
      <c r="F6014" s="43"/>
      <c r="G6014" s="48">
        <f t="shared" si="150"/>
        <v>1591.5833333332557</v>
      </c>
      <c r="H6014" s="391" t="s">
        <v>9568</v>
      </c>
    </row>
    <row r="6015" spans="1:8" x14ac:dyDescent="0.3">
      <c r="A6015" s="509">
        <v>45061</v>
      </c>
      <c r="B6015" s="586"/>
      <c r="C6015" s="486"/>
      <c r="D6015" s="497" t="s">
        <v>11032</v>
      </c>
      <c r="E6015" s="486"/>
      <c r="F6015" s="43">
        <v>200000</v>
      </c>
      <c r="G6015" s="48">
        <f t="shared" si="150"/>
        <v>201591.58333333326</v>
      </c>
      <c r="H6015" s="391" t="s">
        <v>9568</v>
      </c>
    </row>
    <row r="6016" spans="1:8" x14ac:dyDescent="0.3">
      <c r="A6016" s="509">
        <v>45061</v>
      </c>
      <c r="B6016" s="399" t="s">
        <v>11064</v>
      </c>
      <c r="C6016" s="5" t="s">
        <v>10815</v>
      </c>
      <c r="D6016" s="5" t="s">
        <v>11181</v>
      </c>
      <c r="E6016" s="43">
        <v>64750</v>
      </c>
      <c r="F6016" s="43"/>
      <c r="G6016" s="48">
        <f t="shared" si="150"/>
        <v>136841.58333333326</v>
      </c>
      <c r="H6016" s="391" t="s">
        <v>9568</v>
      </c>
    </row>
    <row r="6017" spans="1:8" x14ac:dyDescent="0.3">
      <c r="A6017" s="509">
        <v>45061</v>
      </c>
      <c r="B6017" s="399" t="s">
        <v>11064</v>
      </c>
      <c r="C6017" s="5" t="s">
        <v>10815</v>
      </c>
      <c r="D6017" s="5" t="s">
        <v>11182</v>
      </c>
      <c r="E6017" s="43">
        <v>43200</v>
      </c>
      <c r="F6017" s="43"/>
      <c r="G6017" s="48">
        <f t="shared" si="150"/>
        <v>93641.583333333256</v>
      </c>
      <c r="H6017" s="391" t="s">
        <v>9568</v>
      </c>
    </row>
    <row r="6018" spans="1:8" x14ac:dyDescent="0.3">
      <c r="A6018" s="509">
        <v>45061</v>
      </c>
      <c r="B6018" s="399" t="s">
        <v>10615</v>
      </c>
      <c r="C6018" s="5" t="s">
        <v>10815</v>
      </c>
      <c r="D6018" s="5" t="s">
        <v>11180</v>
      </c>
      <c r="E6018" s="43">
        <v>14120</v>
      </c>
      <c r="F6018" s="43"/>
      <c r="G6018" s="48">
        <f t="shared" si="150"/>
        <v>79521.583333333256</v>
      </c>
      <c r="H6018" s="391" t="s">
        <v>9568</v>
      </c>
    </row>
    <row r="6019" spans="1:8" x14ac:dyDescent="0.3">
      <c r="A6019" s="509">
        <v>45061</v>
      </c>
      <c r="B6019" s="399" t="s">
        <v>10974</v>
      </c>
      <c r="C6019" s="5" t="s">
        <v>10815</v>
      </c>
      <c r="D6019" s="5" t="s">
        <v>11183</v>
      </c>
      <c r="E6019" s="43">
        <v>10040</v>
      </c>
      <c r="F6019" s="43"/>
      <c r="G6019" s="48">
        <f t="shared" si="150"/>
        <v>69481.583333333256</v>
      </c>
      <c r="H6019" s="391" t="s">
        <v>9568</v>
      </c>
    </row>
    <row r="6020" spans="1:8" x14ac:dyDescent="0.3">
      <c r="A6020" s="509">
        <v>45061</v>
      </c>
      <c r="B6020" s="399" t="s">
        <v>11064</v>
      </c>
      <c r="C6020" s="5" t="s">
        <v>30</v>
      </c>
      <c r="D6020" s="5" t="s">
        <v>10863</v>
      </c>
      <c r="E6020" s="43">
        <v>330</v>
      </c>
      <c r="F6020" s="43"/>
      <c r="G6020" s="48">
        <f t="shared" si="150"/>
        <v>69151.583333333256</v>
      </c>
      <c r="H6020" s="391" t="s">
        <v>9568</v>
      </c>
    </row>
    <row r="6021" spans="1:8" x14ac:dyDescent="0.3">
      <c r="A6021" s="509">
        <v>45061</v>
      </c>
      <c r="B6021" s="399" t="s">
        <v>10974</v>
      </c>
      <c r="C6021" s="5" t="s">
        <v>10709</v>
      </c>
      <c r="D6021" s="5" t="s">
        <v>11169</v>
      </c>
      <c r="E6021" s="43">
        <v>30000</v>
      </c>
      <c r="F6021" s="43"/>
      <c r="G6021" s="48">
        <f t="shared" si="150"/>
        <v>39151.583333333256</v>
      </c>
      <c r="H6021" s="391" t="s">
        <v>9568</v>
      </c>
    </row>
    <row r="6022" spans="1:8" x14ac:dyDescent="0.3">
      <c r="A6022" s="514">
        <v>45061</v>
      </c>
      <c r="B6022" s="588"/>
      <c r="C6022" s="503"/>
      <c r="D6022" s="504" t="s">
        <v>11032</v>
      </c>
      <c r="E6022" s="503"/>
      <c r="F6022" s="67">
        <v>100000</v>
      </c>
      <c r="G6022" s="48">
        <f t="shared" ref="G6022:G6085" si="151">G6021+F6022-E6022</f>
        <v>139151.58333333326</v>
      </c>
      <c r="H6022" s="391" t="s">
        <v>9568</v>
      </c>
    </row>
    <row r="6023" spans="1:8" x14ac:dyDescent="0.3">
      <c r="A6023" s="509">
        <v>45061</v>
      </c>
      <c r="B6023" s="399" t="s">
        <v>118</v>
      </c>
      <c r="C6023" s="5" t="s">
        <v>25</v>
      </c>
      <c r="D6023" s="5" t="s">
        <v>11175</v>
      </c>
      <c r="E6023" s="43">
        <v>400</v>
      </c>
      <c r="F6023" s="43"/>
      <c r="G6023" s="48">
        <f t="shared" si="151"/>
        <v>138751.58333333326</v>
      </c>
      <c r="H6023" s="391" t="s">
        <v>9568</v>
      </c>
    </row>
    <row r="6024" spans="1:8" x14ac:dyDescent="0.3">
      <c r="A6024" s="509">
        <v>45061</v>
      </c>
      <c r="B6024" s="399" t="s">
        <v>11064</v>
      </c>
      <c r="C6024" s="5" t="s">
        <v>8573</v>
      </c>
      <c r="D6024" s="5" t="s">
        <v>10889</v>
      </c>
      <c r="E6024" s="43">
        <v>16000</v>
      </c>
      <c r="F6024" s="43"/>
      <c r="G6024" s="48">
        <f t="shared" si="151"/>
        <v>122751.58333333326</v>
      </c>
      <c r="H6024" s="391" t="s">
        <v>9568</v>
      </c>
    </row>
    <row r="6025" spans="1:8" x14ac:dyDescent="0.3">
      <c r="A6025" s="509">
        <v>45061</v>
      </c>
      <c r="B6025" s="399" t="s">
        <v>118</v>
      </c>
      <c r="C6025" s="5" t="s">
        <v>25</v>
      </c>
      <c r="D6025" s="5" t="s">
        <v>8503</v>
      </c>
      <c r="E6025" s="43">
        <v>2500</v>
      </c>
      <c r="F6025" s="43"/>
      <c r="G6025" s="48">
        <f t="shared" si="151"/>
        <v>120251.58333333326</v>
      </c>
      <c r="H6025" s="391" t="s">
        <v>9568</v>
      </c>
    </row>
    <row r="6026" spans="1:8" x14ac:dyDescent="0.3">
      <c r="A6026" s="509">
        <v>45061</v>
      </c>
      <c r="B6026" s="345" t="s">
        <v>12096</v>
      </c>
      <c r="C6026" s="5" t="s">
        <v>9525</v>
      </c>
      <c r="D6026" s="5" t="s">
        <v>11176</v>
      </c>
      <c r="E6026" s="43">
        <v>3000</v>
      </c>
      <c r="F6026" s="43"/>
      <c r="G6026" s="48">
        <f t="shared" si="151"/>
        <v>117251.58333333326</v>
      </c>
      <c r="H6026" s="391" t="s">
        <v>9568</v>
      </c>
    </row>
    <row r="6027" spans="1:8" x14ac:dyDescent="0.3">
      <c r="A6027" s="509">
        <v>45061</v>
      </c>
      <c r="B6027" s="399" t="s">
        <v>11164</v>
      </c>
      <c r="C6027" s="5" t="s">
        <v>4156</v>
      </c>
      <c r="D6027" s="5" t="s">
        <v>6516</v>
      </c>
      <c r="E6027" s="43">
        <v>14000</v>
      </c>
      <c r="F6027" s="43"/>
      <c r="G6027" s="48">
        <f t="shared" si="151"/>
        <v>103251.58333333326</v>
      </c>
      <c r="H6027" s="513" t="s">
        <v>9568</v>
      </c>
    </row>
    <row r="6028" spans="1:8" x14ac:dyDescent="0.3">
      <c r="A6028" s="509">
        <v>45061</v>
      </c>
      <c r="B6028" s="399" t="s">
        <v>11064</v>
      </c>
      <c r="C6028" s="5" t="s">
        <v>5793</v>
      </c>
      <c r="D6028" s="5" t="s">
        <v>40</v>
      </c>
      <c r="E6028" s="43">
        <v>800</v>
      </c>
      <c r="F6028" s="43"/>
      <c r="G6028" s="48">
        <f t="shared" si="151"/>
        <v>102451.58333333326</v>
      </c>
      <c r="H6028" s="513" t="s">
        <v>9568</v>
      </c>
    </row>
    <row r="6029" spans="1:8" x14ac:dyDescent="0.3">
      <c r="A6029" s="509">
        <v>45061</v>
      </c>
      <c r="B6029" s="399" t="s">
        <v>12089</v>
      </c>
      <c r="C6029" s="5" t="s">
        <v>30</v>
      </c>
      <c r="D6029" s="5" t="s">
        <v>2013</v>
      </c>
      <c r="E6029" s="43">
        <v>1000</v>
      </c>
      <c r="F6029" s="43"/>
      <c r="G6029" s="48">
        <f t="shared" si="151"/>
        <v>101451.58333333326</v>
      </c>
      <c r="H6029" s="513" t="s">
        <v>9568</v>
      </c>
    </row>
    <row r="6030" spans="1:8" x14ac:dyDescent="0.3">
      <c r="A6030" s="509">
        <v>45062</v>
      </c>
      <c r="B6030" s="399" t="s">
        <v>12089</v>
      </c>
      <c r="C6030" s="5" t="s">
        <v>5793</v>
      </c>
      <c r="D6030" s="5" t="s">
        <v>11184</v>
      </c>
      <c r="E6030" s="43">
        <v>600</v>
      </c>
      <c r="F6030" s="43"/>
      <c r="G6030" s="48">
        <f t="shared" si="151"/>
        <v>100851.58333333326</v>
      </c>
      <c r="H6030" s="513" t="s">
        <v>9568</v>
      </c>
    </row>
    <row r="6031" spans="1:8" x14ac:dyDescent="0.3">
      <c r="A6031" s="509">
        <v>45062</v>
      </c>
      <c r="B6031" s="399" t="s">
        <v>12089</v>
      </c>
      <c r="C6031" s="5" t="s">
        <v>5793</v>
      </c>
      <c r="D6031" s="5" t="s">
        <v>11185</v>
      </c>
      <c r="E6031" s="43">
        <v>600</v>
      </c>
      <c r="F6031" s="43"/>
      <c r="G6031" s="48">
        <f t="shared" si="151"/>
        <v>100251.58333333326</v>
      </c>
      <c r="H6031" s="513" t="s">
        <v>9568</v>
      </c>
    </row>
    <row r="6032" spans="1:8" x14ac:dyDescent="0.3">
      <c r="A6032" s="509">
        <v>45062</v>
      </c>
      <c r="B6032" s="399" t="s">
        <v>10615</v>
      </c>
      <c r="C6032" s="5" t="s">
        <v>5793</v>
      </c>
      <c r="D6032" s="5" t="s">
        <v>11185</v>
      </c>
      <c r="E6032" s="43">
        <v>800</v>
      </c>
      <c r="F6032" s="43"/>
      <c r="G6032" s="48">
        <f t="shared" si="151"/>
        <v>99451.583333333256</v>
      </c>
      <c r="H6032" s="513" t="s">
        <v>9568</v>
      </c>
    </row>
    <row r="6033" spans="1:8" x14ac:dyDescent="0.3">
      <c r="A6033" s="509">
        <v>45062</v>
      </c>
      <c r="B6033" s="399" t="s">
        <v>12089</v>
      </c>
      <c r="C6033" s="5" t="s">
        <v>5162</v>
      </c>
      <c r="D6033" s="5" t="s">
        <v>11186</v>
      </c>
      <c r="E6033" s="43">
        <v>1100</v>
      </c>
      <c r="F6033" s="43"/>
      <c r="G6033" s="48">
        <f t="shared" si="151"/>
        <v>98351.583333333256</v>
      </c>
      <c r="H6033" s="513" t="s">
        <v>9568</v>
      </c>
    </row>
    <row r="6034" spans="1:8" x14ac:dyDescent="0.3">
      <c r="A6034" s="509">
        <v>45062</v>
      </c>
      <c r="B6034" s="345" t="s">
        <v>12096</v>
      </c>
      <c r="C6034" s="5" t="s">
        <v>11187</v>
      </c>
      <c r="D6034" s="5" t="s">
        <v>11188</v>
      </c>
      <c r="E6034" s="43">
        <v>300</v>
      </c>
      <c r="F6034" s="43"/>
      <c r="G6034" s="48">
        <f t="shared" si="151"/>
        <v>98051.583333333256</v>
      </c>
      <c r="H6034" s="513" t="s">
        <v>9568</v>
      </c>
    </row>
    <row r="6035" spans="1:8" x14ac:dyDescent="0.3">
      <c r="A6035" s="509">
        <v>45062</v>
      </c>
      <c r="B6035" s="345" t="s">
        <v>12096</v>
      </c>
      <c r="C6035" s="5" t="s">
        <v>30</v>
      </c>
      <c r="D6035" s="5" t="s">
        <v>11191</v>
      </c>
      <c r="E6035" s="43">
        <v>500</v>
      </c>
      <c r="F6035" s="43"/>
      <c r="G6035" s="48">
        <f t="shared" si="151"/>
        <v>97551.583333333256</v>
      </c>
      <c r="H6035" s="513" t="s">
        <v>9568</v>
      </c>
    </row>
    <row r="6036" spans="1:8" x14ac:dyDescent="0.3">
      <c r="A6036" s="509">
        <v>45062</v>
      </c>
      <c r="B6036" s="399"/>
      <c r="C6036" s="5" t="s">
        <v>84</v>
      </c>
      <c r="D6036" s="5" t="s">
        <v>11189</v>
      </c>
      <c r="E6036" s="43">
        <v>3000</v>
      </c>
      <c r="F6036" s="43"/>
      <c r="G6036" s="48">
        <f t="shared" si="151"/>
        <v>94551.583333333256</v>
      </c>
      <c r="H6036" s="513" t="s">
        <v>9568</v>
      </c>
    </row>
    <row r="6037" spans="1:8" x14ac:dyDescent="0.3">
      <c r="A6037" s="509">
        <v>45062</v>
      </c>
      <c r="B6037" s="399" t="s">
        <v>10333</v>
      </c>
      <c r="C6037" s="5" t="s">
        <v>30</v>
      </c>
      <c r="D6037" s="5" t="s">
        <v>10643</v>
      </c>
      <c r="E6037" s="43">
        <v>350</v>
      </c>
      <c r="F6037" s="43"/>
      <c r="G6037" s="48">
        <f t="shared" si="151"/>
        <v>94201.583333333256</v>
      </c>
      <c r="H6037" s="513" t="s">
        <v>9568</v>
      </c>
    </row>
    <row r="6038" spans="1:8" x14ac:dyDescent="0.3">
      <c r="A6038" s="509">
        <v>45062</v>
      </c>
      <c r="B6038" s="399" t="s">
        <v>118</v>
      </c>
      <c r="C6038" s="5" t="s">
        <v>25</v>
      </c>
      <c r="D6038" s="5" t="s">
        <v>11192</v>
      </c>
      <c r="E6038" s="43">
        <v>4000</v>
      </c>
      <c r="F6038" s="43"/>
      <c r="G6038" s="48">
        <f t="shared" si="151"/>
        <v>90201.583333333256</v>
      </c>
      <c r="H6038" s="513" t="s">
        <v>9568</v>
      </c>
    </row>
    <row r="6039" spans="1:8" x14ac:dyDescent="0.3">
      <c r="A6039" s="509">
        <v>45063</v>
      </c>
      <c r="B6039" s="399" t="s">
        <v>118</v>
      </c>
      <c r="C6039" s="5" t="s">
        <v>25</v>
      </c>
      <c r="D6039" s="5" t="s">
        <v>8503</v>
      </c>
      <c r="E6039" s="43">
        <v>1500</v>
      </c>
      <c r="F6039" s="43"/>
      <c r="G6039" s="48">
        <f t="shared" si="151"/>
        <v>88701.583333333256</v>
      </c>
      <c r="H6039" s="513" t="s">
        <v>9568</v>
      </c>
    </row>
    <row r="6040" spans="1:8" x14ac:dyDescent="0.3">
      <c r="A6040" s="509">
        <v>45063</v>
      </c>
      <c r="B6040" s="399" t="s">
        <v>10974</v>
      </c>
      <c r="C6040" s="5" t="s">
        <v>18</v>
      </c>
      <c r="D6040" s="5" t="s">
        <v>5813</v>
      </c>
      <c r="E6040" s="43">
        <v>3000</v>
      </c>
      <c r="F6040" s="43"/>
      <c r="G6040" s="48">
        <f t="shared" si="151"/>
        <v>85701.583333333256</v>
      </c>
      <c r="H6040" s="513" t="s">
        <v>9568</v>
      </c>
    </row>
    <row r="6041" spans="1:8" x14ac:dyDescent="0.3">
      <c r="A6041" s="509">
        <v>45063</v>
      </c>
      <c r="B6041" s="399" t="s">
        <v>9925</v>
      </c>
      <c r="C6041" s="5" t="s">
        <v>8009</v>
      </c>
      <c r="D6041" s="5" t="s">
        <v>11193</v>
      </c>
      <c r="E6041" s="43">
        <v>1500</v>
      </c>
      <c r="F6041" s="43"/>
      <c r="G6041" s="48">
        <f t="shared" si="151"/>
        <v>84201.583333333256</v>
      </c>
      <c r="H6041" s="513" t="s">
        <v>9568</v>
      </c>
    </row>
    <row r="6042" spans="1:8" x14ac:dyDescent="0.3">
      <c r="A6042" s="509">
        <v>45063</v>
      </c>
      <c r="B6042" s="399" t="s">
        <v>11064</v>
      </c>
      <c r="C6042" s="5" t="s">
        <v>11194</v>
      </c>
      <c r="D6042" s="5" t="s">
        <v>11195</v>
      </c>
      <c r="E6042" s="43">
        <v>18630</v>
      </c>
      <c r="F6042" s="43"/>
      <c r="G6042" s="48">
        <f t="shared" si="151"/>
        <v>65571.583333333256</v>
      </c>
      <c r="H6042" s="513" t="s">
        <v>9568</v>
      </c>
    </row>
    <row r="6043" spans="1:8" x14ac:dyDescent="0.3">
      <c r="A6043" s="509">
        <v>45063</v>
      </c>
      <c r="B6043" s="399" t="s">
        <v>11064</v>
      </c>
      <c r="C6043" s="5" t="s">
        <v>11194</v>
      </c>
      <c r="D6043" s="5" t="s">
        <v>11196</v>
      </c>
      <c r="E6043" s="43">
        <v>22500</v>
      </c>
      <c r="F6043" s="43"/>
      <c r="G6043" s="48">
        <f t="shared" si="151"/>
        <v>43071.583333333256</v>
      </c>
      <c r="H6043" s="513" t="s">
        <v>9568</v>
      </c>
    </row>
    <row r="6044" spans="1:8" x14ac:dyDescent="0.3">
      <c r="A6044" s="509">
        <v>45063</v>
      </c>
      <c r="B6044" s="399" t="s">
        <v>12190</v>
      </c>
      <c r="C6044" s="5" t="s">
        <v>1074</v>
      </c>
      <c r="D6044" s="5" t="s">
        <v>6280</v>
      </c>
      <c r="E6044" s="43">
        <f>1300+3500</f>
        <v>4800</v>
      </c>
      <c r="F6044" s="43"/>
      <c r="G6044" s="48">
        <f t="shared" si="151"/>
        <v>38271.583333333256</v>
      </c>
      <c r="H6044" s="513" t="s">
        <v>9568</v>
      </c>
    </row>
    <row r="6045" spans="1:8" x14ac:dyDescent="0.3">
      <c r="A6045" s="509">
        <v>45063</v>
      </c>
      <c r="B6045" s="399" t="s">
        <v>118</v>
      </c>
      <c r="C6045" s="5" t="s">
        <v>1074</v>
      </c>
      <c r="D6045" s="5" t="s">
        <v>6280</v>
      </c>
      <c r="E6045" s="43">
        <f>3300+2800</f>
        <v>6100</v>
      </c>
      <c r="F6045" s="43"/>
      <c r="G6045" s="48">
        <f t="shared" si="151"/>
        <v>32171.583333333256</v>
      </c>
      <c r="H6045" s="513" t="s">
        <v>9568</v>
      </c>
    </row>
    <row r="6046" spans="1:8" x14ac:dyDescent="0.3">
      <c r="A6046" s="509">
        <v>45063</v>
      </c>
      <c r="B6046" s="399"/>
      <c r="C6046" s="5" t="s">
        <v>14</v>
      </c>
      <c r="D6046" s="5" t="s">
        <v>294</v>
      </c>
      <c r="E6046" s="43">
        <v>30000</v>
      </c>
      <c r="F6046" s="43"/>
      <c r="G6046" s="48">
        <f t="shared" si="151"/>
        <v>2171.5833333332557</v>
      </c>
      <c r="H6046" s="391" t="s">
        <v>9568</v>
      </c>
    </row>
    <row r="6047" spans="1:8" x14ac:dyDescent="0.3">
      <c r="A6047" s="509">
        <v>45063</v>
      </c>
      <c r="B6047" s="399" t="s">
        <v>11064</v>
      </c>
      <c r="C6047" s="5" t="s">
        <v>5793</v>
      </c>
      <c r="D6047" s="5" t="s">
        <v>49</v>
      </c>
      <c r="E6047" s="43">
        <v>2150</v>
      </c>
      <c r="F6047" s="43"/>
      <c r="G6047" s="48">
        <f t="shared" si="151"/>
        <v>21.583333333255723</v>
      </c>
      <c r="H6047" s="391" t="s">
        <v>9568</v>
      </c>
    </row>
    <row r="6048" spans="1:8" x14ac:dyDescent="0.3">
      <c r="A6048" s="509">
        <v>45063</v>
      </c>
      <c r="B6048" s="586"/>
      <c r="C6048" s="486"/>
      <c r="D6048" s="497" t="s">
        <v>10934</v>
      </c>
      <c r="E6048" s="486"/>
      <c r="F6048" s="43">
        <v>20000</v>
      </c>
      <c r="G6048" s="48">
        <f t="shared" si="151"/>
        <v>20021.583333333256</v>
      </c>
      <c r="H6048" s="391" t="s">
        <v>9568</v>
      </c>
    </row>
    <row r="6049" spans="1:8" x14ac:dyDescent="0.3">
      <c r="A6049" s="509">
        <v>45063</v>
      </c>
      <c r="B6049" s="399" t="s">
        <v>9925</v>
      </c>
      <c r="C6049" s="5" t="s">
        <v>8009</v>
      </c>
      <c r="D6049" s="5" t="s">
        <v>11197</v>
      </c>
      <c r="E6049" s="43">
        <v>9500</v>
      </c>
      <c r="F6049" s="43"/>
      <c r="G6049" s="48">
        <f t="shared" si="151"/>
        <v>10521.583333333256</v>
      </c>
      <c r="H6049" s="391" t="s">
        <v>9568</v>
      </c>
    </row>
    <row r="6050" spans="1:8" x14ac:dyDescent="0.3">
      <c r="A6050" s="509">
        <v>45063</v>
      </c>
      <c r="B6050" s="399" t="s">
        <v>9925</v>
      </c>
      <c r="C6050" s="5" t="s">
        <v>8009</v>
      </c>
      <c r="D6050" s="5" t="s">
        <v>2013</v>
      </c>
      <c r="E6050" s="43">
        <v>1000</v>
      </c>
      <c r="F6050" s="43"/>
      <c r="G6050" s="48">
        <f t="shared" si="151"/>
        <v>9521.5833333332557</v>
      </c>
      <c r="H6050" s="391" t="s">
        <v>9568</v>
      </c>
    </row>
    <row r="6051" spans="1:8" x14ac:dyDescent="0.3">
      <c r="A6051" s="509">
        <v>45063</v>
      </c>
      <c r="B6051" s="399" t="s">
        <v>12089</v>
      </c>
      <c r="C6051" s="5" t="s">
        <v>5162</v>
      </c>
      <c r="D6051" s="5" t="s">
        <v>4187</v>
      </c>
      <c r="E6051" s="43">
        <v>2000</v>
      </c>
      <c r="F6051" s="43"/>
      <c r="G6051" s="48">
        <f t="shared" si="151"/>
        <v>7521.5833333332557</v>
      </c>
      <c r="H6051" s="391" t="s">
        <v>9568</v>
      </c>
    </row>
    <row r="6052" spans="1:8" x14ac:dyDescent="0.3">
      <c r="A6052" s="509">
        <v>45063</v>
      </c>
      <c r="B6052" s="399" t="s">
        <v>11064</v>
      </c>
      <c r="C6052" s="5" t="s">
        <v>5793</v>
      </c>
      <c r="D6052" s="5" t="s">
        <v>11198</v>
      </c>
      <c r="E6052" s="43">
        <v>2000</v>
      </c>
      <c r="F6052" s="43"/>
      <c r="G6052" s="48">
        <f t="shared" si="151"/>
        <v>5521.5833333332557</v>
      </c>
      <c r="H6052" s="391" t="s">
        <v>9568</v>
      </c>
    </row>
    <row r="6053" spans="1:8" x14ac:dyDescent="0.3">
      <c r="A6053" s="509">
        <v>45065</v>
      </c>
      <c r="B6053" s="399" t="s">
        <v>118</v>
      </c>
      <c r="C6053" s="5" t="s">
        <v>25</v>
      </c>
      <c r="D6053" s="5" t="s">
        <v>8503</v>
      </c>
      <c r="E6053" s="43">
        <v>3000</v>
      </c>
      <c r="F6053" s="43"/>
      <c r="G6053" s="48">
        <f t="shared" si="151"/>
        <v>2521.5833333332557</v>
      </c>
      <c r="H6053" s="391" t="s">
        <v>9568</v>
      </c>
    </row>
    <row r="6054" spans="1:8" x14ac:dyDescent="0.3">
      <c r="A6054" s="509">
        <v>45065</v>
      </c>
      <c r="B6054" s="586"/>
      <c r="C6054" s="486"/>
      <c r="D6054" s="497" t="s">
        <v>541</v>
      </c>
      <c r="E6054" s="486"/>
      <c r="F6054" s="43">
        <v>900000</v>
      </c>
      <c r="G6054" s="48">
        <f t="shared" si="151"/>
        <v>902521.58333333326</v>
      </c>
      <c r="H6054" s="391" t="s">
        <v>9568</v>
      </c>
    </row>
    <row r="6055" spans="1:8" x14ac:dyDescent="0.3">
      <c r="A6055" s="509">
        <v>45065</v>
      </c>
      <c r="B6055" s="399" t="s">
        <v>10615</v>
      </c>
      <c r="C6055" s="5" t="s">
        <v>84</v>
      </c>
      <c r="D6055" s="5" t="s">
        <v>11202</v>
      </c>
      <c r="E6055" s="43">
        <v>2000</v>
      </c>
      <c r="F6055" s="43"/>
      <c r="G6055" s="48">
        <f t="shared" si="151"/>
        <v>900521.58333333326</v>
      </c>
      <c r="H6055" s="391" t="s">
        <v>9568</v>
      </c>
    </row>
    <row r="6056" spans="1:8" x14ac:dyDescent="0.3">
      <c r="A6056" s="509">
        <v>45065</v>
      </c>
      <c r="B6056" s="399" t="s">
        <v>10615</v>
      </c>
      <c r="C6056" s="5" t="s">
        <v>84</v>
      </c>
      <c r="D6056" s="5" t="s">
        <v>11203</v>
      </c>
      <c r="E6056" s="43">
        <v>3000</v>
      </c>
      <c r="F6056" s="43"/>
      <c r="G6056" s="48">
        <f t="shared" si="151"/>
        <v>897521.58333333326</v>
      </c>
      <c r="H6056" s="391" t="s">
        <v>9568</v>
      </c>
    </row>
    <row r="6057" spans="1:8" x14ac:dyDescent="0.3">
      <c r="A6057" s="509">
        <v>45065</v>
      </c>
      <c r="B6057" s="399" t="s">
        <v>10615</v>
      </c>
      <c r="C6057" s="5" t="s">
        <v>6430</v>
      </c>
      <c r="D6057" s="5" t="s">
        <v>11204</v>
      </c>
      <c r="E6057" s="43">
        <v>5000</v>
      </c>
      <c r="F6057" s="43"/>
      <c r="G6057" s="48">
        <f t="shared" si="151"/>
        <v>892521.58333333326</v>
      </c>
      <c r="H6057" s="391" t="s">
        <v>9568</v>
      </c>
    </row>
    <row r="6058" spans="1:8" x14ac:dyDescent="0.3">
      <c r="A6058" s="509">
        <v>45065</v>
      </c>
      <c r="B6058" s="345" t="s">
        <v>12096</v>
      </c>
      <c r="C6058" s="5" t="s">
        <v>5793</v>
      </c>
      <c r="D6058" s="5" t="s">
        <v>11205</v>
      </c>
      <c r="E6058" s="43">
        <v>400</v>
      </c>
      <c r="F6058" s="43"/>
      <c r="G6058" s="48">
        <f t="shared" si="151"/>
        <v>892121.58333333326</v>
      </c>
      <c r="H6058" s="391" t="s">
        <v>9568</v>
      </c>
    </row>
    <row r="6059" spans="1:8" x14ac:dyDescent="0.3">
      <c r="A6059" s="509">
        <v>45065</v>
      </c>
      <c r="B6059" s="399" t="s">
        <v>6481</v>
      </c>
      <c r="C6059" s="5" t="s">
        <v>11099</v>
      </c>
      <c r="D6059" s="5" t="s">
        <v>6516</v>
      </c>
      <c r="E6059" s="43">
        <v>90000</v>
      </c>
      <c r="F6059" s="43"/>
      <c r="G6059" s="48">
        <f t="shared" si="151"/>
        <v>802121.58333333326</v>
      </c>
      <c r="H6059" s="391" t="s">
        <v>9568</v>
      </c>
    </row>
    <row r="6060" spans="1:8" x14ac:dyDescent="0.3">
      <c r="A6060" s="509">
        <v>45065</v>
      </c>
      <c r="B6060" s="399" t="s">
        <v>10974</v>
      </c>
      <c r="C6060" s="5" t="s">
        <v>5793</v>
      </c>
      <c r="D6060" s="5" t="s">
        <v>40</v>
      </c>
      <c r="E6060" s="43">
        <v>1700</v>
      </c>
      <c r="F6060" s="43"/>
      <c r="G6060" s="48">
        <f t="shared" si="151"/>
        <v>800421.58333333326</v>
      </c>
      <c r="H6060" s="391" t="s">
        <v>9568</v>
      </c>
    </row>
    <row r="6061" spans="1:8" x14ac:dyDescent="0.3">
      <c r="A6061" s="509">
        <v>45065</v>
      </c>
      <c r="B6061" s="399" t="s">
        <v>7745</v>
      </c>
      <c r="C6061" s="5" t="s">
        <v>11206</v>
      </c>
      <c r="D6061" s="5" t="s">
        <v>11207</v>
      </c>
      <c r="E6061" s="43">
        <v>10000</v>
      </c>
      <c r="F6061" s="43"/>
      <c r="G6061" s="48">
        <f t="shared" si="151"/>
        <v>790421.58333333326</v>
      </c>
      <c r="H6061" s="391" t="s">
        <v>9568</v>
      </c>
    </row>
    <row r="6062" spans="1:8" x14ac:dyDescent="0.3">
      <c r="A6062" s="509">
        <v>45065</v>
      </c>
      <c r="B6062" s="399" t="s">
        <v>11064</v>
      </c>
      <c r="C6062" s="5" t="s">
        <v>9325</v>
      </c>
      <c r="D6062" s="5" t="s">
        <v>3611</v>
      </c>
      <c r="E6062" s="43">
        <v>50000</v>
      </c>
      <c r="F6062" s="43"/>
      <c r="G6062" s="48">
        <f t="shared" si="151"/>
        <v>740421.58333333326</v>
      </c>
      <c r="H6062" s="391" t="s">
        <v>9568</v>
      </c>
    </row>
    <row r="6063" spans="1:8" x14ac:dyDescent="0.3">
      <c r="A6063" s="509">
        <v>45065</v>
      </c>
      <c r="B6063" s="399" t="s">
        <v>10974</v>
      </c>
      <c r="C6063" s="5" t="s">
        <v>9044</v>
      </c>
      <c r="D6063" s="5" t="s">
        <v>11208</v>
      </c>
      <c r="E6063" s="43">
        <v>20000</v>
      </c>
      <c r="F6063" s="43"/>
      <c r="G6063" s="48">
        <f t="shared" si="151"/>
        <v>720421.58333333326</v>
      </c>
      <c r="H6063" s="391" t="s">
        <v>9568</v>
      </c>
    </row>
    <row r="6064" spans="1:8" x14ac:dyDescent="0.3">
      <c r="A6064" s="509">
        <v>45065</v>
      </c>
      <c r="B6064" s="399" t="s">
        <v>10974</v>
      </c>
      <c r="C6064" s="5" t="s">
        <v>5793</v>
      </c>
      <c r="D6064" s="5" t="s">
        <v>10783</v>
      </c>
      <c r="E6064" s="43">
        <v>850</v>
      </c>
      <c r="F6064" s="43"/>
      <c r="G6064" s="48">
        <f t="shared" si="151"/>
        <v>719571.58333333326</v>
      </c>
      <c r="H6064" s="391" t="s">
        <v>9568</v>
      </c>
    </row>
    <row r="6065" spans="1:8" x14ac:dyDescent="0.3">
      <c r="A6065" s="509">
        <v>45065</v>
      </c>
      <c r="B6065" s="399" t="s">
        <v>10974</v>
      </c>
      <c r="C6065" s="5" t="s">
        <v>5793</v>
      </c>
      <c r="D6065" s="5" t="s">
        <v>10783</v>
      </c>
      <c r="E6065" s="43">
        <v>800</v>
      </c>
      <c r="F6065" s="43"/>
      <c r="G6065" s="48">
        <f t="shared" si="151"/>
        <v>718771.58333333326</v>
      </c>
      <c r="H6065" s="391" t="s">
        <v>9568</v>
      </c>
    </row>
    <row r="6066" spans="1:8" x14ac:dyDescent="0.3">
      <c r="A6066" s="509">
        <v>45065</v>
      </c>
      <c r="B6066" s="399" t="s">
        <v>10974</v>
      </c>
      <c r="C6066" s="5" t="s">
        <v>5793</v>
      </c>
      <c r="D6066" s="5" t="s">
        <v>11209</v>
      </c>
      <c r="E6066" s="43">
        <v>700</v>
      </c>
      <c r="F6066" s="43"/>
      <c r="G6066" s="48">
        <f t="shared" si="151"/>
        <v>718071.58333333326</v>
      </c>
      <c r="H6066" s="391" t="s">
        <v>9568</v>
      </c>
    </row>
    <row r="6067" spans="1:8" x14ac:dyDescent="0.3">
      <c r="A6067" s="509">
        <v>45065</v>
      </c>
      <c r="B6067" s="399"/>
      <c r="C6067" s="5" t="s">
        <v>5793</v>
      </c>
      <c r="D6067" s="5" t="s">
        <v>11210</v>
      </c>
      <c r="E6067" s="43">
        <v>500</v>
      </c>
      <c r="F6067" s="43"/>
      <c r="G6067" s="48">
        <f t="shared" si="151"/>
        <v>717571.58333333326</v>
      </c>
      <c r="H6067" s="391" t="s">
        <v>9568</v>
      </c>
    </row>
    <row r="6068" spans="1:8" x14ac:dyDescent="0.3">
      <c r="A6068" s="509">
        <v>45065</v>
      </c>
      <c r="B6068" s="399" t="s">
        <v>10333</v>
      </c>
      <c r="C6068" s="5" t="s">
        <v>30</v>
      </c>
      <c r="D6068" s="5" t="s">
        <v>10643</v>
      </c>
      <c r="E6068" s="43">
        <v>200</v>
      </c>
      <c r="F6068" s="43"/>
      <c r="G6068" s="48">
        <f t="shared" si="151"/>
        <v>717371.58333333326</v>
      </c>
      <c r="H6068" s="391" t="s">
        <v>9568</v>
      </c>
    </row>
    <row r="6069" spans="1:8" x14ac:dyDescent="0.3">
      <c r="A6069" s="509">
        <v>45065</v>
      </c>
      <c r="B6069" s="399" t="s">
        <v>11064</v>
      </c>
      <c r="C6069" s="5" t="s">
        <v>10885</v>
      </c>
      <c r="D6069" s="5" t="s">
        <v>11211</v>
      </c>
      <c r="E6069" s="43">
        <v>500000</v>
      </c>
      <c r="F6069" s="43"/>
      <c r="G6069" s="48">
        <f t="shared" si="151"/>
        <v>217371.58333333326</v>
      </c>
      <c r="H6069" s="391" t="s">
        <v>9568</v>
      </c>
    </row>
    <row r="6070" spans="1:8" x14ac:dyDescent="0.3">
      <c r="A6070" s="509">
        <v>45065</v>
      </c>
      <c r="B6070" s="345" t="s">
        <v>12096</v>
      </c>
      <c r="C6070" s="5" t="s">
        <v>10001</v>
      </c>
      <c r="D6070" s="5" t="s">
        <v>294</v>
      </c>
      <c r="E6070" s="43">
        <v>5000</v>
      </c>
      <c r="F6070" s="43"/>
      <c r="G6070" s="48">
        <f t="shared" si="151"/>
        <v>212371.58333333326</v>
      </c>
      <c r="H6070" s="391" t="s">
        <v>9568</v>
      </c>
    </row>
    <row r="6071" spans="1:8" x14ac:dyDescent="0.3">
      <c r="A6071" s="509">
        <v>45065</v>
      </c>
      <c r="B6071" s="399" t="s">
        <v>12089</v>
      </c>
      <c r="C6071" s="5" t="s">
        <v>10815</v>
      </c>
      <c r="D6071" s="5" t="s">
        <v>11214</v>
      </c>
      <c r="E6071" s="43">
        <v>3055</v>
      </c>
      <c r="F6071" s="43"/>
      <c r="G6071" s="48">
        <f t="shared" si="151"/>
        <v>209316.58333333326</v>
      </c>
      <c r="H6071" s="391" t="s">
        <v>9568</v>
      </c>
    </row>
    <row r="6072" spans="1:8" x14ac:dyDescent="0.3">
      <c r="A6072" s="509">
        <v>45066</v>
      </c>
      <c r="B6072" s="399"/>
      <c r="C6072" s="5" t="s">
        <v>4550</v>
      </c>
      <c r="D6072" s="5" t="s">
        <v>5813</v>
      </c>
      <c r="E6072" s="43">
        <v>150000</v>
      </c>
      <c r="F6072" s="43"/>
      <c r="G6072" s="48">
        <f t="shared" si="151"/>
        <v>59316.583333333256</v>
      </c>
      <c r="H6072" s="391" t="s">
        <v>9568</v>
      </c>
    </row>
    <row r="6073" spans="1:8" x14ac:dyDescent="0.3">
      <c r="A6073" s="509">
        <v>45066</v>
      </c>
      <c r="B6073" s="399" t="s">
        <v>5914</v>
      </c>
      <c r="C6073" s="5" t="s">
        <v>84</v>
      </c>
      <c r="D6073" s="5" t="s">
        <v>11217</v>
      </c>
      <c r="E6073" s="43">
        <v>15000</v>
      </c>
      <c r="F6073" s="43"/>
      <c r="G6073" s="48">
        <f t="shared" si="151"/>
        <v>44316.583333333256</v>
      </c>
      <c r="H6073" s="391" t="s">
        <v>9568</v>
      </c>
    </row>
    <row r="6074" spans="1:8" x14ac:dyDescent="0.3">
      <c r="A6074" s="509">
        <v>45066</v>
      </c>
      <c r="B6074" s="399" t="s">
        <v>12190</v>
      </c>
      <c r="C6074" s="5" t="s">
        <v>1616</v>
      </c>
      <c r="D6074" s="5" t="s">
        <v>10994</v>
      </c>
      <c r="E6074" s="43">
        <v>2250</v>
      </c>
      <c r="F6074" s="43"/>
      <c r="G6074" s="48">
        <f t="shared" si="151"/>
        <v>42066.583333333256</v>
      </c>
      <c r="H6074" s="391" t="s">
        <v>9568</v>
      </c>
    </row>
    <row r="6075" spans="1:8" x14ac:dyDescent="0.3">
      <c r="A6075" s="509">
        <v>45066</v>
      </c>
      <c r="B6075" s="345" t="s">
        <v>12096</v>
      </c>
      <c r="C6075" s="5" t="s">
        <v>11219</v>
      </c>
      <c r="D6075" s="5" t="s">
        <v>11218</v>
      </c>
      <c r="E6075" s="43">
        <v>9900</v>
      </c>
      <c r="F6075" s="43"/>
      <c r="G6075" s="48">
        <f t="shared" si="151"/>
        <v>32166.583333333256</v>
      </c>
      <c r="H6075" s="391" t="s">
        <v>9568</v>
      </c>
    </row>
    <row r="6076" spans="1:8" x14ac:dyDescent="0.3">
      <c r="A6076" s="509">
        <v>45066</v>
      </c>
      <c r="B6076" s="399" t="s">
        <v>10974</v>
      </c>
      <c r="C6076" s="5" t="s">
        <v>5793</v>
      </c>
      <c r="D6076" s="5" t="s">
        <v>11222</v>
      </c>
      <c r="E6076" s="43">
        <v>500</v>
      </c>
      <c r="F6076" s="43"/>
      <c r="G6076" s="48">
        <f t="shared" si="151"/>
        <v>31666.583333333256</v>
      </c>
      <c r="H6076" s="391" t="s">
        <v>9568</v>
      </c>
    </row>
    <row r="6077" spans="1:8" x14ac:dyDescent="0.3">
      <c r="A6077" s="509">
        <v>45066</v>
      </c>
      <c r="B6077" s="399" t="s">
        <v>11064</v>
      </c>
      <c r="C6077" s="5" t="s">
        <v>10815</v>
      </c>
      <c r="D6077" s="5" t="s">
        <v>11223</v>
      </c>
      <c r="E6077" s="43">
        <v>16600</v>
      </c>
      <c r="F6077" s="43"/>
      <c r="G6077" s="48">
        <f t="shared" si="151"/>
        <v>15066.583333333256</v>
      </c>
      <c r="H6077" s="391" t="s">
        <v>9568</v>
      </c>
    </row>
    <row r="6078" spans="1:8" x14ac:dyDescent="0.3">
      <c r="A6078" s="509">
        <v>45066</v>
      </c>
      <c r="B6078" s="399" t="s">
        <v>118</v>
      </c>
      <c r="C6078" s="5" t="s">
        <v>25</v>
      </c>
      <c r="D6078" s="5" t="s">
        <v>8503</v>
      </c>
      <c r="E6078" s="43">
        <v>3000</v>
      </c>
      <c r="F6078" s="43"/>
      <c r="G6078" s="48">
        <f t="shared" si="151"/>
        <v>12066.583333333256</v>
      </c>
      <c r="H6078" s="391" t="s">
        <v>9568</v>
      </c>
    </row>
    <row r="6079" spans="1:8" x14ac:dyDescent="0.3">
      <c r="A6079" s="509">
        <v>45066</v>
      </c>
      <c r="B6079" s="399" t="s">
        <v>12089</v>
      </c>
      <c r="C6079" s="5" t="s">
        <v>5162</v>
      </c>
      <c r="D6079" s="5" t="s">
        <v>4376</v>
      </c>
      <c r="E6079" s="43">
        <v>900</v>
      </c>
      <c r="F6079" s="43"/>
      <c r="G6079" s="48">
        <f t="shared" si="151"/>
        <v>11166.583333333256</v>
      </c>
      <c r="H6079" s="391" t="s">
        <v>9568</v>
      </c>
    </row>
    <row r="6080" spans="1:8" x14ac:dyDescent="0.3">
      <c r="A6080" s="509">
        <v>45066</v>
      </c>
      <c r="B6080" s="399" t="s">
        <v>11064</v>
      </c>
      <c r="C6080" s="5" t="s">
        <v>5793</v>
      </c>
      <c r="D6080" s="5" t="s">
        <v>11225</v>
      </c>
      <c r="E6080" s="43">
        <v>3000</v>
      </c>
      <c r="F6080" s="43"/>
      <c r="G6080" s="48">
        <f t="shared" si="151"/>
        <v>8166.5833333332557</v>
      </c>
      <c r="H6080" s="391" t="s">
        <v>9568</v>
      </c>
    </row>
    <row r="6081" spans="1:8" x14ac:dyDescent="0.3">
      <c r="A6081" s="509">
        <v>45066</v>
      </c>
      <c r="B6081" s="399" t="s">
        <v>12089</v>
      </c>
      <c r="C6081" s="5" t="s">
        <v>10815</v>
      </c>
      <c r="D6081" s="5" t="s">
        <v>11226</v>
      </c>
      <c r="E6081" s="43">
        <v>2250</v>
      </c>
      <c r="F6081" s="43"/>
      <c r="G6081" s="48">
        <f t="shared" si="151"/>
        <v>5916.5833333332557</v>
      </c>
      <c r="H6081" s="391" t="s">
        <v>9568</v>
      </c>
    </row>
    <row r="6082" spans="1:8" x14ac:dyDescent="0.3">
      <c r="A6082" s="509">
        <v>45068</v>
      </c>
      <c r="B6082" s="586"/>
      <c r="C6082" s="486"/>
      <c r="D6082" s="497" t="s">
        <v>11227</v>
      </c>
      <c r="E6082" s="486"/>
      <c r="F6082" s="43">
        <v>50000</v>
      </c>
      <c r="G6082" s="48">
        <f t="shared" si="151"/>
        <v>55916.583333333256</v>
      </c>
      <c r="H6082" s="391" t="s">
        <v>9568</v>
      </c>
    </row>
    <row r="6083" spans="1:8" x14ac:dyDescent="0.3">
      <c r="A6083" s="509">
        <v>45068</v>
      </c>
      <c r="B6083" s="399"/>
      <c r="C6083" s="5" t="s">
        <v>5482</v>
      </c>
      <c r="D6083" s="5" t="s">
        <v>11228</v>
      </c>
      <c r="E6083" s="43">
        <v>10000</v>
      </c>
      <c r="F6083" s="43"/>
      <c r="G6083" s="48">
        <f t="shared" si="151"/>
        <v>45916.583333333256</v>
      </c>
      <c r="H6083" s="391" t="s">
        <v>9568</v>
      </c>
    </row>
    <row r="6084" spans="1:8" x14ac:dyDescent="0.3">
      <c r="A6084" s="509">
        <v>45068</v>
      </c>
      <c r="B6084" s="399" t="s">
        <v>12089</v>
      </c>
      <c r="C6084" s="5" t="s">
        <v>5793</v>
      </c>
      <c r="D6084" s="5" t="s">
        <v>40</v>
      </c>
      <c r="E6084" s="43">
        <v>500</v>
      </c>
      <c r="F6084" s="43"/>
      <c r="G6084" s="48">
        <f t="shared" si="151"/>
        <v>45416.583333333256</v>
      </c>
      <c r="H6084" s="391" t="s">
        <v>9568</v>
      </c>
    </row>
    <row r="6085" spans="1:8" x14ac:dyDescent="0.3">
      <c r="A6085" s="509">
        <v>45068</v>
      </c>
      <c r="B6085" s="399" t="s">
        <v>11064</v>
      </c>
      <c r="C6085" s="5" t="s">
        <v>10815</v>
      </c>
      <c r="D6085" s="5" t="s">
        <v>11232</v>
      </c>
      <c r="E6085" s="43">
        <v>17280</v>
      </c>
      <c r="F6085" s="43"/>
      <c r="G6085" s="48">
        <f t="shared" si="151"/>
        <v>28136.583333333256</v>
      </c>
      <c r="H6085" s="391" t="s">
        <v>9568</v>
      </c>
    </row>
    <row r="6086" spans="1:8" x14ac:dyDescent="0.3">
      <c r="A6086" s="509">
        <v>45068</v>
      </c>
      <c r="B6086" s="399" t="s">
        <v>11064</v>
      </c>
      <c r="C6086" s="5" t="s">
        <v>10815</v>
      </c>
      <c r="D6086" s="5" t="s">
        <v>10464</v>
      </c>
      <c r="E6086" s="43">
        <v>20000</v>
      </c>
      <c r="F6086" s="43"/>
      <c r="G6086" s="48">
        <f t="shared" ref="G6086:G6122" si="152">G6085+F6086-E6086</f>
        <v>8136.5833333332557</v>
      </c>
      <c r="H6086" s="391" t="s">
        <v>9568</v>
      </c>
    </row>
    <row r="6087" spans="1:8" x14ac:dyDescent="0.3">
      <c r="A6087" s="509">
        <v>45068</v>
      </c>
      <c r="B6087" s="399" t="s">
        <v>10766</v>
      </c>
      <c r="C6087" s="5" t="s">
        <v>4550</v>
      </c>
      <c r="D6087" s="5" t="s">
        <v>10624</v>
      </c>
      <c r="E6087" s="43">
        <v>3000</v>
      </c>
      <c r="F6087" s="43"/>
      <c r="G6087" s="48">
        <f t="shared" si="152"/>
        <v>5136.5833333332557</v>
      </c>
      <c r="H6087" s="391" t="s">
        <v>9568</v>
      </c>
    </row>
    <row r="6088" spans="1:8" x14ac:dyDescent="0.3">
      <c r="A6088" s="509">
        <v>45068</v>
      </c>
      <c r="B6088" s="399" t="s">
        <v>10615</v>
      </c>
      <c r="C6088" s="5" t="s">
        <v>6430</v>
      </c>
      <c r="D6088" s="5" t="s">
        <v>294</v>
      </c>
      <c r="E6088" s="43">
        <v>2000</v>
      </c>
      <c r="F6088" s="43"/>
      <c r="G6088" s="48">
        <f t="shared" si="152"/>
        <v>3136.5833333332557</v>
      </c>
      <c r="H6088" s="391" t="s">
        <v>9568</v>
      </c>
    </row>
    <row r="6089" spans="1:8" x14ac:dyDescent="0.3">
      <c r="A6089" s="509">
        <v>45068</v>
      </c>
      <c r="B6089" s="399" t="s">
        <v>11064</v>
      </c>
      <c r="C6089" s="5" t="s">
        <v>5793</v>
      </c>
      <c r="D6089" s="5" t="s">
        <v>11165</v>
      </c>
      <c r="E6089" s="65">
        <v>1700</v>
      </c>
      <c r="F6089" s="43"/>
      <c r="G6089" s="48">
        <f t="shared" si="152"/>
        <v>1436.5833333332557</v>
      </c>
      <c r="H6089" s="391" t="s">
        <v>9568</v>
      </c>
    </row>
    <row r="6090" spans="1:8" x14ac:dyDescent="0.3">
      <c r="A6090" s="509">
        <v>45069</v>
      </c>
      <c r="B6090" s="586"/>
      <c r="C6090" s="486"/>
      <c r="D6090" s="497" t="s">
        <v>4106</v>
      </c>
      <c r="E6090" s="486"/>
      <c r="F6090" s="43">
        <v>200000</v>
      </c>
      <c r="G6090" s="48">
        <f t="shared" si="152"/>
        <v>201436.58333333326</v>
      </c>
      <c r="H6090" s="391" t="s">
        <v>9568</v>
      </c>
    </row>
    <row r="6091" spans="1:8" x14ac:dyDescent="0.3">
      <c r="A6091" s="509">
        <v>45069</v>
      </c>
      <c r="B6091" s="399" t="s">
        <v>11064</v>
      </c>
      <c r="C6091" s="5" t="s">
        <v>10815</v>
      </c>
      <c r="D6091" s="5" t="s">
        <v>11242</v>
      </c>
      <c r="E6091" s="43">
        <v>91170</v>
      </c>
      <c r="F6091" s="43"/>
      <c r="G6091" s="48">
        <f t="shared" si="152"/>
        <v>110266.58333333326</v>
      </c>
      <c r="H6091" s="391" t="s">
        <v>9568</v>
      </c>
    </row>
    <row r="6092" spans="1:8" x14ac:dyDescent="0.3">
      <c r="A6092" s="509">
        <v>45069</v>
      </c>
      <c r="B6092" s="399" t="s">
        <v>11064</v>
      </c>
      <c r="C6092" s="5" t="s">
        <v>11011</v>
      </c>
      <c r="D6092" s="5" t="s">
        <v>11243</v>
      </c>
      <c r="E6092" s="43">
        <v>54400</v>
      </c>
      <c r="F6092" s="43"/>
      <c r="G6092" s="48">
        <f t="shared" si="152"/>
        <v>55866.583333333256</v>
      </c>
      <c r="H6092" s="391" t="s">
        <v>9568</v>
      </c>
    </row>
    <row r="6093" spans="1:8" x14ac:dyDescent="0.3">
      <c r="A6093" s="509">
        <v>45069</v>
      </c>
      <c r="B6093" s="586"/>
      <c r="C6093" s="486"/>
      <c r="D6093" s="497" t="s">
        <v>11032</v>
      </c>
      <c r="E6093" s="486"/>
      <c r="F6093" s="43">
        <v>50000</v>
      </c>
      <c r="G6093" s="48">
        <f t="shared" si="152"/>
        <v>105866.58333333326</v>
      </c>
      <c r="H6093" s="391" t="s">
        <v>9568</v>
      </c>
    </row>
    <row r="6094" spans="1:8" x14ac:dyDescent="0.3">
      <c r="A6094" s="509">
        <v>45069</v>
      </c>
      <c r="B6094" s="399"/>
      <c r="C6094" s="5" t="s">
        <v>25</v>
      </c>
      <c r="D6094" s="5" t="s">
        <v>11241</v>
      </c>
      <c r="E6094" s="43">
        <v>5000</v>
      </c>
      <c r="F6094" s="43"/>
      <c r="G6094" s="48">
        <f t="shared" si="152"/>
        <v>100866.58333333326</v>
      </c>
      <c r="H6094" s="391" t="s">
        <v>9568</v>
      </c>
    </row>
    <row r="6095" spans="1:8" x14ac:dyDescent="0.3">
      <c r="A6095" s="509">
        <v>45069</v>
      </c>
      <c r="B6095" s="399" t="s">
        <v>118</v>
      </c>
      <c r="C6095" s="5" t="s">
        <v>25</v>
      </c>
      <c r="D6095" s="5" t="s">
        <v>8503</v>
      </c>
      <c r="E6095" s="43">
        <v>3000</v>
      </c>
      <c r="F6095" s="43"/>
      <c r="G6095" s="48">
        <f t="shared" si="152"/>
        <v>97866.583333333256</v>
      </c>
      <c r="H6095" s="391" t="s">
        <v>9568</v>
      </c>
    </row>
    <row r="6096" spans="1:8" x14ac:dyDescent="0.3">
      <c r="A6096" s="509">
        <v>45069</v>
      </c>
      <c r="B6096" s="399"/>
      <c r="C6096" s="5" t="s">
        <v>10815</v>
      </c>
      <c r="D6096" s="5" t="s">
        <v>2013</v>
      </c>
      <c r="E6096" s="43">
        <v>500</v>
      </c>
      <c r="F6096" s="43"/>
      <c r="G6096" s="48">
        <f t="shared" si="152"/>
        <v>97366.583333333256</v>
      </c>
      <c r="H6096" s="391" t="s">
        <v>9568</v>
      </c>
    </row>
    <row r="6097" spans="1:8" x14ac:dyDescent="0.3">
      <c r="A6097" s="509">
        <v>45069</v>
      </c>
      <c r="B6097" s="399"/>
      <c r="C6097" s="5" t="s">
        <v>9756</v>
      </c>
      <c r="D6097" s="5" t="s">
        <v>2013</v>
      </c>
      <c r="E6097" s="43">
        <v>1000</v>
      </c>
      <c r="F6097" s="43"/>
      <c r="G6097" s="48">
        <f t="shared" si="152"/>
        <v>96366.583333333256</v>
      </c>
      <c r="H6097" s="391" t="s">
        <v>9568</v>
      </c>
    </row>
    <row r="6098" spans="1:8" x14ac:dyDescent="0.3">
      <c r="A6098" s="509">
        <v>45069</v>
      </c>
      <c r="B6098" s="399"/>
      <c r="C6098" s="5" t="s">
        <v>5343</v>
      </c>
      <c r="D6098" s="5" t="s">
        <v>11244</v>
      </c>
      <c r="E6098" s="43">
        <v>7000</v>
      </c>
      <c r="F6098" s="43"/>
      <c r="G6098" s="48">
        <f t="shared" si="152"/>
        <v>89366.583333333256</v>
      </c>
      <c r="H6098" s="391" t="s">
        <v>9568</v>
      </c>
    </row>
    <row r="6099" spans="1:8" x14ac:dyDescent="0.3">
      <c r="A6099" s="509">
        <v>45069</v>
      </c>
      <c r="B6099" s="399" t="s">
        <v>11064</v>
      </c>
      <c r="C6099" s="5" t="s">
        <v>9325</v>
      </c>
      <c r="D6099" s="5" t="s">
        <v>11245</v>
      </c>
      <c r="E6099" s="43">
        <v>25000</v>
      </c>
      <c r="F6099" s="43"/>
      <c r="G6099" s="48">
        <f t="shared" si="152"/>
        <v>64366.583333333256</v>
      </c>
      <c r="H6099" s="391" t="s">
        <v>9568</v>
      </c>
    </row>
    <row r="6100" spans="1:8" x14ac:dyDescent="0.3">
      <c r="A6100" s="509">
        <v>45069</v>
      </c>
      <c r="B6100" s="399" t="s">
        <v>11064</v>
      </c>
      <c r="C6100" s="5" t="s">
        <v>9325</v>
      </c>
      <c r="D6100" s="5" t="s">
        <v>11246</v>
      </c>
      <c r="E6100" s="43">
        <v>25000</v>
      </c>
      <c r="F6100" s="43"/>
      <c r="G6100" s="48">
        <f t="shared" si="152"/>
        <v>39366.583333333256</v>
      </c>
      <c r="H6100" s="391" t="s">
        <v>9568</v>
      </c>
    </row>
    <row r="6101" spans="1:8" x14ac:dyDescent="0.3">
      <c r="A6101" s="509">
        <v>45069</v>
      </c>
      <c r="B6101" s="399" t="s">
        <v>12089</v>
      </c>
      <c r="C6101" s="5" t="s">
        <v>5793</v>
      </c>
      <c r="D6101" s="5" t="s">
        <v>40</v>
      </c>
      <c r="E6101" s="43">
        <v>500</v>
      </c>
      <c r="F6101" s="43"/>
      <c r="G6101" s="48">
        <f t="shared" si="152"/>
        <v>38866.583333333256</v>
      </c>
      <c r="H6101" s="391" t="s">
        <v>9568</v>
      </c>
    </row>
    <row r="6102" spans="1:8" x14ac:dyDescent="0.3">
      <c r="A6102" s="509">
        <v>45069</v>
      </c>
      <c r="B6102" s="399" t="s">
        <v>6481</v>
      </c>
      <c r="C6102" s="5" t="s">
        <v>84</v>
      </c>
      <c r="D6102" s="5" t="s">
        <v>11125</v>
      </c>
      <c r="E6102" s="43">
        <v>2000</v>
      </c>
      <c r="F6102" s="43"/>
      <c r="G6102" s="48">
        <f t="shared" si="152"/>
        <v>36866.583333333256</v>
      </c>
      <c r="H6102" s="391" t="s">
        <v>9568</v>
      </c>
    </row>
    <row r="6103" spans="1:8" x14ac:dyDescent="0.3">
      <c r="A6103" s="509">
        <v>45069</v>
      </c>
      <c r="B6103" s="399" t="s">
        <v>12089</v>
      </c>
      <c r="C6103" s="5" t="s">
        <v>5793</v>
      </c>
      <c r="D6103" s="5" t="s">
        <v>11258</v>
      </c>
      <c r="E6103" s="43">
        <v>800</v>
      </c>
      <c r="F6103" s="43"/>
      <c r="G6103" s="48">
        <f t="shared" si="152"/>
        <v>36066.583333333256</v>
      </c>
      <c r="H6103" s="391" t="s">
        <v>9568</v>
      </c>
    </row>
    <row r="6104" spans="1:8" x14ac:dyDescent="0.3">
      <c r="A6104" s="509">
        <v>45069</v>
      </c>
      <c r="B6104" s="433"/>
      <c r="C6104" s="371" t="s">
        <v>7571</v>
      </c>
      <c r="D6104" s="371" t="s">
        <v>11247</v>
      </c>
      <c r="E6104" s="372">
        <v>20000</v>
      </c>
      <c r="F6104" s="43"/>
      <c r="G6104" s="48">
        <f t="shared" si="152"/>
        <v>16066.583333333256</v>
      </c>
      <c r="H6104" s="391" t="s">
        <v>9568</v>
      </c>
    </row>
    <row r="6105" spans="1:8" x14ac:dyDescent="0.3">
      <c r="A6105" s="509">
        <v>45070</v>
      </c>
      <c r="B6105" s="586"/>
      <c r="C6105" s="486"/>
      <c r="D6105" s="497" t="s">
        <v>4106</v>
      </c>
      <c r="E6105" s="486"/>
      <c r="F6105" s="43">
        <v>200000</v>
      </c>
      <c r="G6105" s="48">
        <f t="shared" si="152"/>
        <v>216066.58333333326</v>
      </c>
      <c r="H6105" s="391" t="s">
        <v>9568</v>
      </c>
    </row>
    <row r="6106" spans="1:8" x14ac:dyDescent="0.3">
      <c r="A6106" s="509">
        <v>45070</v>
      </c>
      <c r="B6106" s="399" t="s">
        <v>11248</v>
      </c>
      <c r="C6106" s="5" t="s">
        <v>8573</v>
      </c>
      <c r="D6106" s="5" t="s">
        <v>11249</v>
      </c>
      <c r="E6106" s="43">
        <v>30000</v>
      </c>
      <c r="F6106" s="43"/>
      <c r="G6106" s="48">
        <f t="shared" si="152"/>
        <v>186066.58333333326</v>
      </c>
      <c r="H6106" s="391" t="s">
        <v>9568</v>
      </c>
    </row>
    <row r="6107" spans="1:8" x14ac:dyDescent="0.3">
      <c r="A6107" s="509">
        <v>45070</v>
      </c>
      <c r="B6107" s="399" t="s">
        <v>11064</v>
      </c>
      <c r="C6107" s="5" t="s">
        <v>9801</v>
      </c>
      <c r="D6107" s="5" t="s">
        <v>40</v>
      </c>
      <c r="E6107" s="43">
        <v>1000</v>
      </c>
      <c r="F6107" s="43"/>
      <c r="G6107" s="48">
        <f t="shared" si="152"/>
        <v>185066.58333333326</v>
      </c>
      <c r="H6107" s="391" t="s">
        <v>9568</v>
      </c>
    </row>
    <row r="6108" spans="1:8" x14ac:dyDescent="0.3">
      <c r="A6108" s="509">
        <v>45070</v>
      </c>
      <c r="B6108" s="399" t="s">
        <v>118</v>
      </c>
      <c r="C6108" s="5" t="s">
        <v>25</v>
      </c>
      <c r="D6108" s="5" t="s">
        <v>11250</v>
      </c>
      <c r="E6108" s="43">
        <v>3000</v>
      </c>
      <c r="F6108" s="43"/>
      <c r="G6108" s="48">
        <f t="shared" si="152"/>
        <v>182066.58333333326</v>
      </c>
      <c r="H6108" s="391" t="s">
        <v>9568</v>
      </c>
    </row>
    <row r="6109" spans="1:8" x14ac:dyDescent="0.3">
      <c r="A6109" s="509">
        <v>45070</v>
      </c>
      <c r="B6109" s="399" t="s">
        <v>12190</v>
      </c>
      <c r="C6109" s="5" t="s">
        <v>1074</v>
      </c>
      <c r="D6109" s="5" t="s">
        <v>11251</v>
      </c>
      <c r="E6109" s="43">
        <v>67602</v>
      </c>
      <c r="F6109" s="43"/>
      <c r="G6109" s="48">
        <f t="shared" si="152"/>
        <v>114464.58333333326</v>
      </c>
      <c r="H6109" s="391" t="s">
        <v>9568</v>
      </c>
    </row>
    <row r="6110" spans="1:8" x14ac:dyDescent="0.3">
      <c r="A6110" s="509">
        <v>45070</v>
      </c>
      <c r="B6110" s="399" t="s">
        <v>118</v>
      </c>
      <c r="C6110" s="5" t="s">
        <v>1074</v>
      </c>
      <c r="D6110" s="5" t="s">
        <v>11251</v>
      </c>
      <c r="E6110" s="43">
        <v>18655</v>
      </c>
      <c r="F6110" s="43"/>
      <c r="G6110" s="48">
        <f t="shared" si="152"/>
        <v>95809.583333333256</v>
      </c>
      <c r="H6110" s="391" t="s">
        <v>9568</v>
      </c>
    </row>
    <row r="6111" spans="1:8" x14ac:dyDescent="0.3">
      <c r="A6111" s="509">
        <v>45070</v>
      </c>
      <c r="B6111" s="399" t="s">
        <v>11252</v>
      </c>
      <c r="C6111" s="5" t="s">
        <v>2348</v>
      </c>
      <c r="D6111" s="5" t="s">
        <v>5508</v>
      </c>
      <c r="E6111" s="43">
        <v>20000</v>
      </c>
      <c r="F6111" s="43"/>
      <c r="G6111" s="48">
        <f t="shared" si="152"/>
        <v>75809.583333333256</v>
      </c>
      <c r="H6111" s="391" t="s">
        <v>9568</v>
      </c>
    </row>
    <row r="6112" spans="1:8" x14ac:dyDescent="0.3">
      <c r="A6112" s="509">
        <v>45070</v>
      </c>
      <c r="B6112" s="399" t="s">
        <v>12089</v>
      </c>
      <c r="C6112" s="5" t="s">
        <v>5162</v>
      </c>
      <c r="D6112" s="5" t="s">
        <v>11253</v>
      </c>
      <c r="E6112" s="43">
        <v>3700</v>
      </c>
      <c r="F6112" s="43"/>
      <c r="G6112" s="48">
        <f t="shared" si="152"/>
        <v>72109.583333333256</v>
      </c>
      <c r="H6112" s="391" t="s">
        <v>9568</v>
      </c>
    </row>
    <row r="6113" spans="1:8" x14ac:dyDescent="0.3">
      <c r="A6113" s="509">
        <v>45070</v>
      </c>
      <c r="B6113" s="399" t="s">
        <v>6481</v>
      </c>
      <c r="C6113" s="5" t="s">
        <v>84</v>
      </c>
      <c r="D6113" s="5" t="s">
        <v>11254</v>
      </c>
      <c r="E6113" s="43">
        <v>3000</v>
      </c>
      <c r="F6113" s="43"/>
      <c r="G6113" s="48">
        <f t="shared" si="152"/>
        <v>69109.583333333256</v>
      </c>
      <c r="H6113" s="391" t="s">
        <v>9568</v>
      </c>
    </row>
    <row r="6114" spans="1:8" x14ac:dyDescent="0.3">
      <c r="A6114" s="509">
        <v>45070</v>
      </c>
      <c r="B6114" s="399" t="s">
        <v>10615</v>
      </c>
      <c r="C6114" s="5" t="s">
        <v>84</v>
      </c>
      <c r="D6114" s="5" t="s">
        <v>11255</v>
      </c>
      <c r="E6114" s="43">
        <v>3000</v>
      </c>
      <c r="F6114" s="43"/>
      <c r="G6114" s="48">
        <f t="shared" si="152"/>
        <v>66109.583333333256</v>
      </c>
      <c r="H6114" s="391" t="s">
        <v>9568</v>
      </c>
    </row>
    <row r="6115" spans="1:8" x14ac:dyDescent="0.3">
      <c r="A6115" s="509">
        <v>45070</v>
      </c>
      <c r="B6115" s="399" t="s">
        <v>10615</v>
      </c>
      <c r="C6115" s="5" t="s">
        <v>6430</v>
      </c>
      <c r="D6115" s="5" t="s">
        <v>11256</v>
      </c>
      <c r="E6115" s="43">
        <v>5000</v>
      </c>
      <c r="F6115" s="43"/>
      <c r="G6115" s="48">
        <f t="shared" si="152"/>
        <v>61109.583333333256</v>
      </c>
      <c r="H6115" s="391" t="s">
        <v>9568</v>
      </c>
    </row>
    <row r="6116" spans="1:8" x14ac:dyDescent="0.3">
      <c r="A6116" s="509">
        <v>45070</v>
      </c>
      <c r="B6116" s="399"/>
      <c r="C6116" s="5" t="s">
        <v>14</v>
      </c>
      <c r="D6116" s="5" t="s">
        <v>294</v>
      </c>
      <c r="E6116" s="43">
        <v>5000</v>
      </c>
      <c r="F6116" s="43"/>
      <c r="G6116" s="48">
        <f t="shared" si="152"/>
        <v>56109.583333333256</v>
      </c>
      <c r="H6116" s="391" t="s">
        <v>9568</v>
      </c>
    </row>
    <row r="6117" spans="1:8" x14ac:dyDescent="0.3">
      <c r="A6117" s="509">
        <v>45070</v>
      </c>
      <c r="B6117" s="399" t="s">
        <v>10974</v>
      </c>
      <c r="C6117" s="5" t="s">
        <v>11086</v>
      </c>
      <c r="D6117" s="5" t="s">
        <v>11257</v>
      </c>
      <c r="E6117" s="43">
        <v>46500</v>
      </c>
      <c r="F6117" s="43"/>
      <c r="G6117" s="48">
        <f t="shared" si="152"/>
        <v>9609.5833333332557</v>
      </c>
      <c r="H6117" s="391" t="s">
        <v>9568</v>
      </c>
    </row>
    <row r="6118" spans="1:8" x14ac:dyDescent="0.3">
      <c r="A6118" s="509">
        <v>45070</v>
      </c>
      <c r="B6118" s="399" t="s">
        <v>118</v>
      </c>
      <c r="C6118" s="5" t="s">
        <v>25</v>
      </c>
      <c r="D6118" s="5" t="s">
        <v>8503</v>
      </c>
      <c r="E6118" s="43">
        <v>3500</v>
      </c>
      <c r="F6118" s="43"/>
      <c r="G6118" s="48">
        <f t="shared" si="152"/>
        <v>6109.5833333332557</v>
      </c>
      <c r="H6118" s="391" t="s">
        <v>9568</v>
      </c>
    </row>
    <row r="6119" spans="1:8" x14ac:dyDescent="0.3">
      <c r="A6119" s="509">
        <v>45070</v>
      </c>
      <c r="B6119" s="399" t="s">
        <v>10974</v>
      </c>
      <c r="C6119" s="5" t="s">
        <v>18</v>
      </c>
      <c r="D6119" s="5" t="s">
        <v>294</v>
      </c>
      <c r="E6119" s="43">
        <v>3000</v>
      </c>
      <c r="F6119" s="43"/>
      <c r="G6119" s="48">
        <f t="shared" si="152"/>
        <v>3109.5833333332557</v>
      </c>
      <c r="H6119" s="391" t="s">
        <v>9568</v>
      </c>
    </row>
    <row r="6120" spans="1:8" x14ac:dyDescent="0.3">
      <c r="A6120" s="509">
        <v>45070</v>
      </c>
      <c r="B6120" s="399" t="s">
        <v>12089</v>
      </c>
      <c r="C6120" s="5" t="s">
        <v>5793</v>
      </c>
      <c r="D6120" s="5" t="s">
        <v>11258</v>
      </c>
      <c r="E6120" s="43">
        <v>600</v>
      </c>
      <c r="F6120" s="43"/>
      <c r="G6120" s="48">
        <f t="shared" si="152"/>
        <v>2509.5833333332557</v>
      </c>
      <c r="H6120" s="391" t="s">
        <v>9568</v>
      </c>
    </row>
    <row r="6121" spans="1:8" x14ac:dyDescent="0.3">
      <c r="A6121" s="509">
        <v>45070</v>
      </c>
      <c r="B6121" s="399" t="s">
        <v>12089</v>
      </c>
      <c r="C6121" s="5" t="s">
        <v>9756</v>
      </c>
      <c r="D6121" s="5" t="s">
        <v>11259</v>
      </c>
      <c r="E6121" s="43">
        <v>360</v>
      </c>
      <c r="F6121" s="43"/>
      <c r="G6121" s="48">
        <f t="shared" si="152"/>
        <v>2149.5833333332557</v>
      </c>
      <c r="H6121" s="391" t="s">
        <v>9568</v>
      </c>
    </row>
    <row r="6122" spans="1:8" x14ac:dyDescent="0.3">
      <c r="A6122" s="509">
        <v>45070</v>
      </c>
      <c r="B6122" s="399" t="s">
        <v>11064</v>
      </c>
      <c r="C6122" s="5" t="s">
        <v>5793</v>
      </c>
      <c r="D6122" s="5" t="s">
        <v>11260</v>
      </c>
      <c r="E6122" s="43">
        <v>1500</v>
      </c>
      <c r="F6122" s="43"/>
      <c r="G6122" s="48">
        <f t="shared" si="152"/>
        <v>649.58333333325572</v>
      </c>
      <c r="H6122" s="391" t="s">
        <v>9568</v>
      </c>
    </row>
    <row r="6123" spans="1:8" x14ac:dyDescent="0.3">
      <c r="A6123" s="509">
        <v>45070</v>
      </c>
      <c r="B6123" s="586"/>
      <c r="C6123" s="486"/>
      <c r="D6123" s="497" t="s">
        <v>11032</v>
      </c>
      <c r="E6123" s="486"/>
      <c r="F6123" s="43">
        <v>470000</v>
      </c>
      <c r="G6123" s="48">
        <f t="shared" ref="G6123:G6186" si="153">G6122+F6123-E6123</f>
        <v>470649.58333333326</v>
      </c>
      <c r="H6123" s="391" t="s">
        <v>9568</v>
      </c>
    </row>
    <row r="6124" spans="1:8" x14ac:dyDescent="0.3">
      <c r="A6124" s="509">
        <v>45070</v>
      </c>
      <c r="B6124" s="399" t="s">
        <v>10766</v>
      </c>
      <c r="C6124" s="5" t="s">
        <v>10815</v>
      </c>
      <c r="D6124" s="5" t="s">
        <v>11262</v>
      </c>
      <c r="E6124" s="43">
        <v>15600</v>
      </c>
      <c r="F6124" s="43"/>
      <c r="G6124" s="48">
        <f t="shared" si="153"/>
        <v>455049.58333333326</v>
      </c>
      <c r="H6124" s="391" t="s">
        <v>9568</v>
      </c>
    </row>
    <row r="6125" spans="1:8" x14ac:dyDescent="0.3">
      <c r="A6125" s="509">
        <v>45070</v>
      </c>
      <c r="B6125" s="399" t="s">
        <v>11064</v>
      </c>
      <c r="C6125" s="5" t="s">
        <v>2059</v>
      </c>
      <c r="D6125" s="5" t="s">
        <v>11269</v>
      </c>
      <c r="E6125" s="43">
        <v>18000</v>
      </c>
      <c r="F6125" s="43"/>
      <c r="G6125" s="48">
        <f t="shared" si="153"/>
        <v>437049.58333333326</v>
      </c>
      <c r="H6125" s="391" t="s">
        <v>9568</v>
      </c>
    </row>
    <row r="6126" spans="1:8" x14ac:dyDescent="0.3">
      <c r="A6126" s="509">
        <v>45070</v>
      </c>
      <c r="B6126" s="399" t="s">
        <v>12089</v>
      </c>
      <c r="C6126" s="5" t="s">
        <v>5793</v>
      </c>
      <c r="D6126" s="5" t="s">
        <v>11263</v>
      </c>
      <c r="E6126" s="43">
        <v>300</v>
      </c>
      <c r="F6126" s="43"/>
      <c r="G6126" s="48">
        <f t="shared" si="153"/>
        <v>436749.58333333326</v>
      </c>
      <c r="H6126" s="391" t="s">
        <v>9568</v>
      </c>
    </row>
    <row r="6127" spans="1:8" x14ac:dyDescent="0.3">
      <c r="A6127" s="509">
        <v>45071</v>
      </c>
      <c r="B6127" s="399" t="s">
        <v>10974</v>
      </c>
      <c r="C6127" s="5" t="s">
        <v>10815</v>
      </c>
      <c r="D6127" s="5" t="s">
        <v>11265</v>
      </c>
      <c r="E6127" s="43">
        <v>16000</v>
      </c>
      <c r="F6127" s="43"/>
      <c r="G6127" s="48">
        <f t="shared" si="153"/>
        <v>420749.58333333326</v>
      </c>
      <c r="H6127" s="391" t="s">
        <v>9568</v>
      </c>
    </row>
    <row r="6128" spans="1:8" x14ac:dyDescent="0.3">
      <c r="A6128" s="509">
        <v>45071</v>
      </c>
      <c r="B6128" s="399" t="s">
        <v>693</v>
      </c>
      <c r="C6128" s="5" t="s">
        <v>5793</v>
      </c>
      <c r="D6128" s="5" t="s">
        <v>40</v>
      </c>
      <c r="E6128" s="43">
        <v>1800</v>
      </c>
      <c r="F6128" s="43"/>
      <c r="G6128" s="48">
        <f t="shared" si="153"/>
        <v>418949.58333333326</v>
      </c>
      <c r="H6128" s="391" t="s">
        <v>9568</v>
      </c>
    </row>
    <row r="6129" spans="1:12" x14ac:dyDescent="0.3">
      <c r="A6129" s="509">
        <v>45071</v>
      </c>
      <c r="B6129" s="399" t="s">
        <v>11064</v>
      </c>
      <c r="C6129" s="5" t="s">
        <v>5793</v>
      </c>
      <c r="D6129" s="5" t="s">
        <v>40</v>
      </c>
      <c r="E6129" s="43">
        <v>400</v>
      </c>
      <c r="F6129" s="43"/>
      <c r="G6129" s="48">
        <f t="shared" si="153"/>
        <v>418549.58333333326</v>
      </c>
      <c r="H6129" s="391" t="s">
        <v>9568</v>
      </c>
    </row>
    <row r="6130" spans="1:12" x14ac:dyDescent="0.3">
      <c r="A6130" s="509">
        <v>45071</v>
      </c>
      <c r="B6130" s="399" t="s">
        <v>10974</v>
      </c>
      <c r="C6130" s="5" t="s">
        <v>9756</v>
      </c>
      <c r="D6130" s="5" t="s">
        <v>11276</v>
      </c>
      <c r="E6130" s="43">
        <v>15000</v>
      </c>
      <c r="F6130" s="43"/>
      <c r="G6130" s="48">
        <f t="shared" si="153"/>
        <v>403549.58333333326</v>
      </c>
      <c r="H6130" s="391" t="s">
        <v>9568</v>
      </c>
    </row>
    <row r="6131" spans="1:12" x14ac:dyDescent="0.3">
      <c r="A6131" s="509">
        <v>45071</v>
      </c>
      <c r="B6131" s="399" t="s">
        <v>12089</v>
      </c>
      <c r="C6131" s="5" t="s">
        <v>11086</v>
      </c>
      <c r="D6131" s="5" t="s">
        <v>11267</v>
      </c>
      <c r="E6131" s="43">
        <v>11000</v>
      </c>
      <c r="F6131" s="43"/>
      <c r="G6131" s="48">
        <f t="shared" si="153"/>
        <v>392549.58333333326</v>
      </c>
      <c r="H6131" s="391" t="s">
        <v>9568</v>
      </c>
    </row>
    <row r="6132" spans="1:12" x14ac:dyDescent="0.3">
      <c r="A6132" s="509">
        <v>45071</v>
      </c>
      <c r="B6132" s="399" t="s">
        <v>11064</v>
      </c>
      <c r="C6132" s="5" t="s">
        <v>11086</v>
      </c>
      <c r="D6132" s="5" t="s">
        <v>11268</v>
      </c>
      <c r="E6132" s="43">
        <v>93000</v>
      </c>
      <c r="F6132" s="43"/>
      <c r="G6132" s="48">
        <f t="shared" si="153"/>
        <v>299549.58333333326</v>
      </c>
      <c r="H6132" s="391" t="s">
        <v>9568</v>
      </c>
    </row>
    <row r="6133" spans="1:12" x14ac:dyDescent="0.3">
      <c r="A6133" s="509">
        <v>45071</v>
      </c>
      <c r="B6133" s="399" t="s">
        <v>10974</v>
      </c>
      <c r="C6133" s="5" t="s">
        <v>11086</v>
      </c>
      <c r="D6133" s="5" t="s">
        <v>11266</v>
      </c>
      <c r="E6133" s="43">
        <v>255750</v>
      </c>
      <c r="F6133" s="43"/>
      <c r="G6133" s="48">
        <f t="shared" si="153"/>
        <v>43799.583333333256</v>
      </c>
      <c r="H6133" s="391" t="s">
        <v>9568</v>
      </c>
    </row>
    <row r="6134" spans="1:12" x14ac:dyDescent="0.3">
      <c r="A6134" s="509">
        <v>45071</v>
      </c>
      <c r="B6134" s="409"/>
      <c r="C6134" s="61" t="s">
        <v>10815</v>
      </c>
      <c r="D6134" s="61" t="s">
        <v>11270</v>
      </c>
      <c r="E6134" s="62">
        <v>5200</v>
      </c>
      <c r="F6134" s="43"/>
      <c r="G6134" s="48">
        <f t="shared" si="153"/>
        <v>38599.583333333256</v>
      </c>
      <c r="H6134" s="391" t="s">
        <v>9568</v>
      </c>
    </row>
    <row r="6135" spans="1:12" x14ac:dyDescent="0.3">
      <c r="A6135" s="509">
        <v>45071</v>
      </c>
      <c r="B6135" s="399" t="s">
        <v>12089</v>
      </c>
      <c r="C6135" s="5" t="s">
        <v>84</v>
      </c>
      <c r="D6135" s="5" t="s">
        <v>11271</v>
      </c>
      <c r="E6135" s="43">
        <v>5000</v>
      </c>
      <c r="F6135" s="43"/>
      <c r="G6135" s="48">
        <f t="shared" si="153"/>
        <v>33599.583333333256</v>
      </c>
      <c r="H6135" s="391" t="s">
        <v>9568</v>
      </c>
    </row>
    <row r="6136" spans="1:12" x14ac:dyDescent="0.3">
      <c r="A6136" s="509">
        <v>45071</v>
      </c>
      <c r="B6136" s="399" t="s">
        <v>12089</v>
      </c>
      <c r="C6136" s="5" t="s">
        <v>107</v>
      </c>
      <c r="D6136" s="5" t="s">
        <v>11272</v>
      </c>
      <c r="E6136" s="43">
        <v>1500</v>
      </c>
      <c r="F6136" s="43"/>
      <c r="G6136" s="48">
        <f t="shared" si="153"/>
        <v>32099.583333333256</v>
      </c>
      <c r="H6136" s="391" t="s">
        <v>9568</v>
      </c>
    </row>
    <row r="6137" spans="1:12" x14ac:dyDescent="0.3">
      <c r="A6137" s="509">
        <v>45072</v>
      </c>
      <c r="B6137" s="399" t="s">
        <v>10974</v>
      </c>
      <c r="C6137" s="5" t="s">
        <v>84</v>
      </c>
      <c r="D6137" s="5" t="s">
        <v>11273</v>
      </c>
      <c r="E6137" s="43">
        <v>1000</v>
      </c>
      <c r="F6137" s="43"/>
      <c r="G6137" s="48">
        <f t="shared" si="153"/>
        <v>31099.583333333256</v>
      </c>
      <c r="H6137" s="391" t="s">
        <v>9568</v>
      </c>
    </row>
    <row r="6138" spans="1:12" x14ac:dyDescent="0.3">
      <c r="A6138" s="509">
        <v>45072</v>
      </c>
      <c r="B6138" s="399" t="s">
        <v>10974</v>
      </c>
      <c r="C6138" s="5" t="s">
        <v>10815</v>
      </c>
      <c r="D6138" s="5" t="s">
        <v>11274</v>
      </c>
      <c r="E6138" s="43">
        <v>950</v>
      </c>
      <c r="F6138" s="43"/>
      <c r="G6138" s="48">
        <f t="shared" si="153"/>
        <v>30149.583333333256</v>
      </c>
      <c r="H6138" s="391" t="s">
        <v>9568</v>
      </c>
    </row>
    <row r="6139" spans="1:12" x14ac:dyDescent="0.3">
      <c r="A6139" s="509">
        <v>45072</v>
      </c>
      <c r="B6139" s="586"/>
      <c r="C6139" s="486"/>
      <c r="D6139" s="497" t="s">
        <v>4106</v>
      </c>
      <c r="E6139" s="486"/>
      <c r="F6139" s="43">
        <v>300000</v>
      </c>
      <c r="G6139" s="48">
        <f t="shared" si="153"/>
        <v>330149.58333333326</v>
      </c>
      <c r="H6139" s="391" t="s">
        <v>9568</v>
      </c>
      <c r="J6139" s="569"/>
      <c r="K6139" s="569"/>
      <c r="L6139" s="569"/>
    </row>
    <row r="6140" spans="1:12" x14ac:dyDescent="0.3">
      <c r="A6140" s="509">
        <v>45072</v>
      </c>
      <c r="B6140" s="399" t="s">
        <v>12089</v>
      </c>
      <c r="C6140" s="5" t="s">
        <v>5162</v>
      </c>
      <c r="D6140" s="5" t="s">
        <v>2013</v>
      </c>
      <c r="E6140" s="43">
        <v>1000</v>
      </c>
      <c r="F6140" s="43"/>
      <c r="G6140" s="48">
        <f t="shared" si="153"/>
        <v>329149.58333333326</v>
      </c>
      <c r="H6140" s="391" t="s">
        <v>9568</v>
      </c>
      <c r="J6140" s="520"/>
      <c r="K6140" s="520"/>
      <c r="L6140" s="397"/>
    </row>
    <row r="6141" spans="1:12" x14ac:dyDescent="0.3">
      <c r="A6141" s="509">
        <v>45072</v>
      </c>
      <c r="B6141" s="518"/>
      <c r="C6141" s="517" t="s">
        <v>4550</v>
      </c>
      <c r="D6141" s="517" t="s">
        <v>11283</v>
      </c>
      <c r="E6141" s="519">
        <v>100000</v>
      </c>
      <c r="F6141" s="43"/>
      <c r="G6141" s="48">
        <f t="shared" si="153"/>
        <v>229149.58333333326</v>
      </c>
      <c r="H6141" s="391" t="s">
        <v>9568</v>
      </c>
      <c r="J6141" s="520"/>
      <c r="K6141" s="520"/>
      <c r="L6141" s="521"/>
    </row>
    <row r="6142" spans="1:12" x14ac:dyDescent="0.3">
      <c r="A6142" s="509">
        <v>45072</v>
      </c>
      <c r="B6142" s="399" t="s">
        <v>10974</v>
      </c>
      <c r="C6142" s="5" t="s">
        <v>5793</v>
      </c>
      <c r="D6142" s="5" t="s">
        <v>40</v>
      </c>
      <c r="E6142" s="43">
        <v>1500</v>
      </c>
      <c r="F6142" s="43"/>
      <c r="G6142" s="48">
        <f t="shared" si="153"/>
        <v>227649.58333333326</v>
      </c>
      <c r="H6142" s="391" t="s">
        <v>9568</v>
      </c>
    </row>
    <row r="6143" spans="1:12" x14ac:dyDescent="0.3">
      <c r="A6143" s="509">
        <v>45072</v>
      </c>
      <c r="B6143" s="399" t="s">
        <v>10974</v>
      </c>
      <c r="C6143" s="5" t="s">
        <v>9756</v>
      </c>
      <c r="D6143" s="5" t="s">
        <v>11277</v>
      </c>
      <c r="E6143" s="43">
        <v>3600</v>
      </c>
      <c r="F6143" s="43"/>
      <c r="G6143" s="48">
        <f t="shared" si="153"/>
        <v>224049.58333333326</v>
      </c>
      <c r="H6143" s="391" t="s">
        <v>9568</v>
      </c>
      <c r="L6143" s="52"/>
    </row>
    <row r="6144" spans="1:12" x14ac:dyDescent="0.3">
      <c r="A6144" s="509">
        <v>45072</v>
      </c>
      <c r="B6144" s="399" t="s">
        <v>11064</v>
      </c>
      <c r="C6144" s="5" t="s">
        <v>5793</v>
      </c>
      <c r="D6144" s="5" t="s">
        <v>40</v>
      </c>
      <c r="E6144" s="43">
        <v>600</v>
      </c>
      <c r="F6144" s="43"/>
      <c r="G6144" s="48">
        <f t="shared" si="153"/>
        <v>223449.58333333326</v>
      </c>
      <c r="H6144" s="391" t="s">
        <v>9568</v>
      </c>
    </row>
    <row r="6145" spans="1:8" x14ac:dyDescent="0.3">
      <c r="A6145" s="509">
        <v>45072</v>
      </c>
      <c r="B6145" s="345" t="s">
        <v>12096</v>
      </c>
      <c r="C6145" s="5" t="s">
        <v>5793</v>
      </c>
      <c r="D6145" s="5" t="s">
        <v>40</v>
      </c>
      <c r="E6145" s="43">
        <v>600</v>
      </c>
      <c r="F6145" s="43"/>
      <c r="G6145" s="48">
        <f t="shared" si="153"/>
        <v>222849.58333333326</v>
      </c>
      <c r="H6145" s="391" t="s">
        <v>9568</v>
      </c>
    </row>
    <row r="6146" spans="1:8" x14ac:dyDescent="0.3">
      <c r="A6146" s="509">
        <v>45072</v>
      </c>
      <c r="B6146" s="399" t="s">
        <v>10333</v>
      </c>
      <c r="C6146" s="5" t="s">
        <v>30</v>
      </c>
      <c r="D6146" s="5" t="s">
        <v>11278</v>
      </c>
      <c r="E6146" s="43">
        <v>200</v>
      </c>
      <c r="F6146" s="43"/>
      <c r="G6146" s="48">
        <f t="shared" si="153"/>
        <v>222649.58333333326</v>
      </c>
      <c r="H6146" s="391" t="s">
        <v>9568</v>
      </c>
    </row>
    <row r="6147" spans="1:8" x14ac:dyDescent="0.3">
      <c r="A6147" s="509">
        <v>45072</v>
      </c>
      <c r="B6147" s="345" t="s">
        <v>12096</v>
      </c>
      <c r="C6147" s="5" t="s">
        <v>9756</v>
      </c>
      <c r="D6147" s="5" t="s">
        <v>11330</v>
      </c>
      <c r="E6147" s="43">
        <v>50000</v>
      </c>
      <c r="F6147" s="43"/>
      <c r="G6147" s="48">
        <f t="shared" si="153"/>
        <v>172649.58333333326</v>
      </c>
      <c r="H6147" s="391" t="s">
        <v>9568</v>
      </c>
    </row>
    <row r="6148" spans="1:8" x14ac:dyDescent="0.3">
      <c r="A6148" s="509">
        <v>45072</v>
      </c>
      <c r="B6148" s="399" t="s">
        <v>10615</v>
      </c>
      <c r="C6148" s="5" t="s">
        <v>6430</v>
      </c>
      <c r="D6148" s="5" t="s">
        <v>11279</v>
      </c>
      <c r="E6148" s="43">
        <v>2650</v>
      </c>
      <c r="F6148" s="43"/>
      <c r="G6148" s="48">
        <f t="shared" si="153"/>
        <v>169999.58333333326</v>
      </c>
      <c r="H6148" s="391" t="s">
        <v>9568</v>
      </c>
    </row>
    <row r="6149" spans="1:8" x14ac:dyDescent="0.3">
      <c r="A6149" s="509">
        <v>45072</v>
      </c>
      <c r="B6149" s="399" t="s">
        <v>118</v>
      </c>
      <c r="C6149" s="5" t="s">
        <v>25</v>
      </c>
      <c r="D6149" s="5" t="s">
        <v>8503</v>
      </c>
      <c r="E6149" s="43">
        <v>3500</v>
      </c>
      <c r="F6149" s="43"/>
      <c r="G6149" s="48">
        <f t="shared" si="153"/>
        <v>166499.58333333326</v>
      </c>
      <c r="H6149" s="391" t="s">
        <v>9568</v>
      </c>
    </row>
    <row r="6150" spans="1:8" x14ac:dyDescent="0.3">
      <c r="A6150" s="509">
        <v>45072</v>
      </c>
      <c r="B6150" s="399" t="s">
        <v>12089</v>
      </c>
      <c r="C6150" s="5" t="s">
        <v>11194</v>
      </c>
      <c r="D6150" s="5" t="s">
        <v>11280</v>
      </c>
      <c r="E6150" s="43">
        <v>250</v>
      </c>
      <c r="F6150" s="43"/>
      <c r="G6150" s="48">
        <f t="shared" si="153"/>
        <v>166249.58333333326</v>
      </c>
      <c r="H6150" s="391" t="s">
        <v>9568</v>
      </c>
    </row>
    <row r="6151" spans="1:8" x14ac:dyDescent="0.3">
      <c r="A6151" s="509">
        <v>45072</v>
      </c>
      <c r="B6151" s="399" t="s">
        <v>12092</v>
      </c>
      <c r="C6151" s="5" t="s">
        <v>11284</v>
      </c>
      <c r="D6151" s="5" t="s">
        <v>11285</v>
      </c>
      <c r="E6151" s="43">
        <v>156200</v>
      </c>
      <c r="F6151" s="43"/>
      <c r="G6151" s="48">
        <f t="shared" si="153"/>
        <v>10049.583333333256</v>
      </c>
      <c r="H6151" s="391" t="s">
        <v>9568</v>
      </c>
    </row>
    <row r="6152" spans="1:8" x14ac:dyDescent="0.3">
      <c r="A6152" s="509">
        <v>45072</v>
      </c>
      <c r="B6152" s="399" t="s">
        <v>10974</v>
      </c>
      <c r="C6152" s="5" t="s">
        <v>5793</v>
      </c>
      <c r="D6152" s="5" t="s">
        <v>11286</v>
      </c>
      <c r="E6152" s="43">
        <v>800</v>
      </c>
      <c r="F6152" s="43"/>
      <c r="G6152" s="48">
        <f t="shared" si="153"/>
        <v>9249.5833333332557</v>
      </c>
      <c r="H6152" s="391" t="s">
        <v>9568</v>
      </c>
    </row>
    <row r="6153" spans="1:8" x14ac:dyDescent="0.3">
      <c r="A6153" s="509">
        <v>45072</v>
      </c>
      <c r="B6153" s="399" t="s">
        <v>10974</v>
      </c>
      <c r="C6153" s="5" t="s">
        <v>9044</v>
      </c>
      <c r="D6153" s="5" t="s">
        <v>5508</v>
      </c>
      <c r="E6153" s="43">
        <v>9000</v>
      </c>
      <c r="F6153" s="43"/>
      <c r="G6153" s="48">
        <f t="shared" si="153"/>
        <v>249.58333333325572</v>
      </c>
      <c r="H6153" s="391" t="s">
        <v>9568</v>
      </c>
    </row>
    <row r="6154" spans="1:8" x14ac:dyDescent="0.3">
      <c r="A6154" s="509">
        <v>45075</v>
      </c>
      <c r="B6154" s="586"/>
      <c r="C6154" s="486"/>
      <c r="D6154" s="497" t="s">
        <v>11032</v>
      </c>
      <c r="E6154" s="486"/>
      <c r="F6154" s="43">
        <v>100000</v>
      </c>
      <c r="G6154" s="48">
        <f t="shared" si="153"/>
        <v>100249.58333333326</v>
      </c>
      <c r="H6154" s="391" t="s">
        <v>9568</v>
      </c>
    </row>
    <row r="6155" spans="1:8" x14ac:dyDescent="0.3">
      <c r="A6155" s="509">
        <v>45075</v>
      </c>
      <c r="B6155" s="399" t="s">
        <v>693</v>
      </c>
      <c r="C6155" s="5" t="s">
        <v>5793</v>
      </c>
      <c r="D6155" s="5" t="s">
        <v>40</v>
      </c>
      <c r="E6155" s="43">
        <v>1000</v>
      </c>
      <c r="F6155" s="43"/>
      <c r="G6155" s="48">
        <f t="shared" si="153"/>
        <v>99249.583333333256</v>
      </c>
      <c r="H6155" s="391" t="s">
        <v>9568</v>
      </c>
    </row>
    <row r="6156" spans="1:8" x14ac:dyDescent="0.3">
      <c r="A6156" s="509">
        <v>45075</v>
      </c>
      <c r="B6156" s="399" t="s">
        <v>10974</v>
      </c>
      <c r="C6156" s="5" t="s">
        <v>9325</v>
      </c>
      <c r="D6156" s="5" t="s">
        <v>11292</v>
      </c>
      <c r="E6156" s="43">
        <v>30000</v>
      </c>
      <c r="F6156" s="43"/>
      <c r="G6156" s="48">
        <f t="shared" si="153"/>
        <v>69249.583333333256</v>
      </c>
      <c r="H6156" s="391" t="s">
        <v>9568</v>
      </c>
    </row>
    <row r="6157" spans="1:8" x14ac:dyDescent="0.3">
      <c r="A6157" s="509">
        <v>45075</v>
      </c>
      <c r="B6157" s="399" t="s">
        <v>10974</v>
      </c>
      <c r="C6157" s="5" t="s">
        <v>8573</v>
      </c>
      <c r="D6157" s="5" t="s">
        <v>11293</v>
      </c>
      <c r="E6157" s="43">
        <v>40000</v>
      </c>
      <c r="F6157" s="43"/>
      <c r="G6157" s="48">
        <f t="shared" si="153"/>
        <v>29249.583333333256</v>
      </c>
      <c r="H6157" s="391" t="s">
        <v>9568</v>
      </c>
    </row>
    <row r="6158" spans="1:8" x14ac:dyDescent="0.3">
      <c r="A6158" s="509">
        <v>45075</v>
      </c>
      <c r="B6158" s="399" t="s">
        <v>10974</v>
      </c>
      <c r="C6158" s="5" t="s">
        <v>5793</v>
      </c>
      <c r="D6158" s="5" t="s">
        <v>11294</v>
      </c>
      <c r="E6158" s="43">
        <v>600</v>
      </c>
      <c r="F6158" s="43"/>
      <c r="G6158" s="48">
        <f t="shared" si="153"/>
        <v>28649.583333333256</v>
      </c>
      <c r="H6158" s="391" t="s">
        <v>9568</v>
      </c>
    </row>
    <row r="6159" spans="1:8" x14ac:dyDescent="0.3">
      <c r="A6159" s="509">
        <v>45075</v>
      </c>
      <c r="B6159" s="399" t="s">
        <v>12089</v>
      </c>
      <c r="C6159" s="5" t="s">
        <v>84</v>
      </c>
      <c r="D6159" s="5" t="s">
        <v>11125</v>
      </c>
      <c r="E6159" s="43">
        <v>1000</v>
      </c>
      <c r="F6159" s="43"/>
      <c r="G6159" s="48">
        <f t="shared" si="153"/>
        <v>27649.583333333256</v>
      </c>
      <c r="H6159" s="391" t="s">
        <v>9568</v>
      </c>
    </row>
    <row r="6160" spans="1:8" x14ac:dyDescent="0.3">
      <c r="A6160" s="509">
        <v>45075</v>
      </c>
      <c r="B6160" s="345" t="s">
        <v>12096</v>
      </c>
      <c r="C6160" s="5" t="s">
        <v>5793</v>
      </c>
      <c r="D6160" s="5" t="s">
        <v>40</v>
      </c>
      <c r="E6160" s="43">
        <v>1000</v>
      </c>
      <c r="F6160" s="43"/>
      <c r="G6160" s="48">
        <f t="shared" si="153"/>
        <v>26649.583333333256</v>
      </c>
      <c r="H6160" s="391" t="s">
        <v>9568</v>
      </c>
    </row>
    <row r="6161" spans="1:8" x14ac:dyDescent="0.3">
      <c r="A6161" s="509">
        <v>45075</v>
      </c>
      <c r="B6161" s="399" t="s">
        <v>12092</v>
      </c>
      <c r="C6161" s="5" t="s">
        <v>5793</v>
      </c>
      <c r="D6161" s="5" t="s">
        <v>40</v>
      </c>
      <c r="E6161" s="43">
        <v>500</v>
      </c>
      <c r="F6161" s="43"/>
      <c r="G6161" s="48">
        <f t="shared" si="153"/>
        <v>26149.583333333256</v>
      </c>
      <c r="H6161" s="391" t="s">
        <v>9568</v>
      </c>
    </row>
    <row r="6162" spans="1:8" x14ac:dyDescent="0.3">
      <c r="A6162" s="509">
        <v>45075</v>
      </c>
      <c r="B6162" s="399" t="s">
        <v>12089</v>
      </c>
      <c r="C6162" s="218" t="s">
        <v>5162</v>
      </c>
      <c r="D6162" s="218" t="s">
        <v>5434</v>
      </c>
      <c r="E6162" s="211">
        <v>5000</v>
      </c>
      <c r="F6162" s="43"/>
      <c r="G6162" s="48">
        <f t="shared" si="153"/>
        <v>21149.583333333256</v>
      </c>
      <c r="H6162" s="391" t="s">
        <v>9568</v>
      </c>
    </row>
    <row r="6163" spans="1:8" x14ac:dyDescent="0.3">
      <c r="A6163" s="509">
        <v>45075</v>
      </c>
      <c r="B6163" s="399" t="s">
        <v>118</v>
      </c>
      <c r="C6163" s="5" t="s">
        <v>25</v>
      </c>
      <c r="D6163" s="5" t="s">
        <v>8503</v>
      </c>
      <c r="E6163" s="43">
        <v>4000</v>
      </c>
      <c r="F6163" s="43"/>
      <c r="G6163" s="48">
        <f t="shared" si="153"/>
        <v>17149.583333333256</v>
      </c>
      <c r="H6163" s="391" t="s">
        <v>9568</v>
      </c>
    </row>
    <row r="6164" spans="1:8" x14ac:dyDescent="0.3">
      <c r="A6164" s="509">
        <v>45075</v>
      </c>
      <c r="B6164" s="399"/>
      <c r="C6164" s="5" t="s">
        <v>9765</v>
      </c>
      <c r="D6164" s="5" t="s">
        <v>40</v>
      </c>
      <c r="E6164" s="43">
        <v>5000</v>
      </c>
      <c r="F6164" s="43"/>
      <c r="G6164" s="48">
        <f t="shared" si="153"/>
        <v>12149.583333333256</v>
      </c>
      <c r="H6164" s="391" t="s">
        <v>9568</v>
      </c>
    </row>
    <row r="6165" spans="1:8" ht="18" customHeight="1" x14ac:dyDescent="0.3">
      <c r="A6165" s="509">
        <v>45075</v>
      </c>
      <c r="B6165" s="586"/>
      <c r="C6165" s="486"/>
      <c r="D6165" s="497" t="s">
        <v>4106</v>
      </c>
      <c r="E6165" s="486"/>
      <c r="F6165" s="43">
        <v>300000</v>
      </c>
      <c r="G6165" s="48">
        <f t="shared" si="153"/>
        <v>312149.58333333326</v>
      </c>
      <c r="H6165" s="391" t="s">
        <v>9568</v>
      </c>
    </row>
    <row r="6166" spans="1:8" x14ac:dyDescent="0.3">
      <c r="A6166" s="509">
        <v>45075</v>
      </c>
      <c r="B6166" s="399" t="s">
        <v>11064</v>
      </c>
      <c r="C6166" s="5" t="s">
        <v>10815</v>
      </c>
      <c r="D6166" s="5" t="s">
        <v>11310</v>
      </c>
      <c r="E6166" s="43">
        <v>63750</v>
      </c>
      <c r="F6166" s="43"/>
      <c r="G6166" s="48">
        <f t="shared" si="153"/>
        <v>248399.58333333326</v>
      </c>
      <c r="H6166" s="391" t="s">
        <v>9568</v>
      </c>
    </row>
    <row r="6167" spans="1:8" x14ac:dyDescent="0.3">
      <c r="A6167" s="509">
        <v>45075</v>
      </c>
      <c r="B6167" s="399" t="s">
        <v>11064</v>
      </c>
      <c r="C6167" s="5" t="s">
        <v>10815</v>
      </c>
      <c r="D6167" s="5" t="s">
        <v>11309</v>
      </c>
      <c r="E6167" s="43">
        <v>27750</v>
      </c>
      <c r="F6167" s="43"/>
      <c r="G6167" s="48">
        <f t="shared" si="153"/>
        <v>220649.58333333326</v>
      </c>
      <c r="H6167" s="391" t="s">
        <v>9568</v>
      </c>
    </row>
    <row r="6168" spans="1:8" x14ac:dyDescent="0.3">
      <c r="A6168" s="509">
        <v>45075</v>
      </c>
      <c r="B6168" s="399" t="s">
        <v>11064</v>
      </c>
      <c r="C6168" s="5" t="s">
        <v>10815</v>
      </c>
      <c r="D6168" s="5" t="s">
        <v>11308</v>
      </c>
      <c r="E6168" s="43">
        <v>64800</v>
      </c>
      <c r="F6168" s="43"/>
      <c r="G6168" s="48">
        <f t="shared" si="153"/>
        <v>155849.58333333326</v>
      </c>
      <c r="H6168" s="391" t="s">
        <v>9568</v>
      </c>
    </row>
    <row r="6169" spans="1:8" x14ac:dyDescent="0.3">
      <c r="A6169" s="509">
        <v>45075</v>
      </c>
      <c r="B6169" s="399" t="s">
        <v>12089</v>
      </c>
      <c r="C6169" s="5" t="s">
        <v>10815</v>
      </c>
      <c r="D6169" s="5" t="s">
        <v>11307</v>
      </c>
      <c r="E6169" s="43">
        <v>1460</v>
      </c>
      <c r="F6169" s="43"/>
      <c r="G6169" s="48">
        <f t="shared" si="153"/>
        <v>154389.58333333326</v>
      </c>
      <c r="H6169" s="391" t="s">
        <v>9568</v>
      </c>
    </row>
    <row r="6170" spans="1:8" x14ac:dyDescent="0.3">
      <c r="A6170" s="509">
        <v>45075</v>
      </c>
      <c r="B6170" s="399"/>
      <c r="C6170" s="5" t="s">
        <v>5793</v>
      </c>
      <c r="D6170" s="5" t="s">
        <v>11305</v>
      </c>
      <c r="E6170" s="43">
        <v>2700</v>
      </c>
      <c r="F6170" s="43"/>
      <c r="G6170" s="48">
        <f t="shared" si="153"/>
        <v>151689.58333333326</v>
      </c>
      <c r="H6170" s="391" t="s">
        <v>9568</v>
      </c>
    </row>
    <row r="6171" spans="1:8" x14ac:dyDescent="0.3">
      <c r="A6171" s="509">
        <v>45075</v>
      </c>
      <c r="B6171" s="399"/>
      <c r="C6171" s="5" t="s">
        <v>5793</v>
      </c>
      <c r="D6171" s="5" t="s">
        <v>11306</v>
      </c>
      <c r="E6171" s="43">
        <v>1700</v>
      </c>
      <c r="F6171" s="43"/>
      <c r="G6171" s="48">
        <f t="shared" si="153"/>
        <v>149989.58333333326</v>
      </c>
      <c r="H6171" s="391" t="s">
        <v>9568</v>
      </c>
    </row>
    <row r="6172" spans="1:8" x14ac:dyDescent="0.3">
      <c r="A6172" s="509">
        <v>45075</v>
      </c>
      <c r="B6172" s="399"/>
      <c r="C6172" s="5" t="s">
        <v>14</v>
      </c>
      <c r="D6172" s="5" t="s">
        <v>294</v>
      </c>
      <c r="E6172" s="43">
        <v>100000</v>
      </c>
      <c r="F6172" s="43"/>
      <c r="G6172" s="48">
        <f t="shared" si="153"/>
        <v>49989.583333333256</v>
      </c>
      <c r="H6172" s="391" t="s">
        <v>9568</v>
      </c>
    </row>
    <row r="6173" spans="1:8" x14ac:dyDescent="0.3">
      <c r="A6173" s="509">
        <v>45075</v>
      </c>
      <c r="B6173" s="345" t="s">
        <v>12096</v>
      </c>
      <c r="C6173" s="5" t="s">
        <v>84</v>
      </c>
      <c r="D6173" s="5" t="s">
        <v>11303</v>
      </c>
      <c r="E6173" s="43">
        <v>9000</v>
      </c>
      <c r="F6173" s="43"/>
      <c r="G6173" s="48">
        <f t="shared" si="153"/>
        <v>40989.583333333256</v>
      </c>
      <c r="H6173" s="391" t="s">
        <v>9568</v>
      </c>
    </row>
    <row r="6174" spans="1:8" x14ac:dyDescent="0.3">
      <c r="A6174" s="509">
        <v>45076</v>
      </c>
      <c r="B6174" s="399" t="s">
        <v>12089</v>
      </c>
      <c r="C6174" s="5" t="s">
        <v>11194</v>
      </c>
      <c r="D6174" s="5" t="s">
        <v>11004</v>
      </c>
      <c r="E6174" s="43">
        <v>300</v>
      </c>
      <c r="F6174" s="43"/>
      <c r="G6174" s="48">
        <f t="shared" si="153"/>
        <v>40689.583333333256</v>
      </c>
      <c r="H6174" s="391" t="s">
        <v>9568</v>
      </c>
    </row>
    <row r="6175" spans="1:8" x14ac:dyDescent="0.3">
      <c r="A6175" s="509">
        <v>45076</v>
      </c>
      <c r="B6175" s="399" t="s">
        <v>118</v>
      </c>
      <c r="C6175" s="5" t="s">
        <v>25</v>
      </c>
      <c r="D6175" s="5" t="s">
        <v>11311</v>
      </c>
      <c r="E6175" s="43">
        <v>400</v>
      </c>
      <c r="F6175" s="43"/>
      <c r="G6175" s="48">
        <f t="shared" si="153"/>
        <v>40289.583333333256</v>
      </c>
      <c r="H6175" s="391" t="s">
        <v>9568</v>
      </c>
    </row>
    <row r="6176" spans="1:8" x14ac:dyDescent="0.3">
      <c r="A6176" s="509">
        <v>45076</v>
      </c>
      <c r="B6176" s="399" t="s">
        <v>12089</v>
      </c>
      <c r="C6176" s="5" t="s">
        <v>5793</v>
      </c>
      <c r="D6176" s="5" t="s">
        <v>40</v>
      </c>
      <c r="E6176" s="43">
        <v>600</v>
      </c>
      <c r="F6176" s="43"/>
      <c r="G6176" s="48">
        <f t="shared" si="153"/>
        <v>39689.583333333256</v>
      </c>
      <c r="H6176" s="391" t="s">
        <v>9568</v>
      </c>
    </row>
    <row r="6177" spans="1:8" x14ac:dyDescent="0.3">
      <c r="A6177" s="509">
        <v>45076</v>
      </c>
      <c r="B6177" s="399" t="s">
        <v>10974</v>
      </c>
      <c r="C6177" s="5" t="s">
        <v>5793</v>
      </c>
      <c r="D6177" s="5" t="s">
        <v>40</v>
      </c>
      <c r="E6177" s="43">
        <v>600</v>
      </c>
      <c r="F6177" s="43"/>
      <c r="G6177" s="48">
        <f t="shared" si="153"/>
        <v>39089.583333333256</v>
      </c>
      <c r="H6177" s="391" t="s">
        <v>9568</v>
      </c>
    </row>
    <row r="6178" spans="1:8" x14ac:dyDescent="0.3">
      <c r="A6178" s="509">
        <v>45076</v>
      </c>
      <c r="B6178" s="399" t="s">
        <v>11064</v>
      </c>
      <c r="C6178" s="5" t="s">
        <v>5793</v>
      </c>
      <c r="D6178" s="5" t="s">
        <v>40</v>
      </c>
      <c r="E6178" s="43">
        <v>2500</v>
      </c>
      <c r="F6178" s="43"/>
      <c r="G6178" s="48">
        <f t="shared" si="153"/>
        <v>36589.583333333256</v>
      </c>
      <c r="H6178" s="391" t="s">
        <v>9568</v>
      </c>
    </row>
    <row r="6179" spans="1:8" x14ac:dyDescent="0.3">
      <c r="A6179" s="509">
        <v>45076</v>
      </c>
      <c r="B6179" s="399" t="s">
        <v>10766</v>
      </c>
      <c r="C6179" s="5" t="s">
        <v>5979</v>
      </c>
      <c r="D6179" s="5" t="s">
        <v>40</v>
      </c>
      <c r="E6179" s="43">
        <v>14000</v>
      </c>
      <c r="F6179" s="43"/>
      <c r="G6179" s="48">
        <f t="shared" si="153"/>
        <v>22589.583333333256</v>
      </c>
      <c r="H6179" s="391" t="s">
        <v>9568</v>
      </c>
    </row>
    <row r="6180" spans="1:8" x14ac:dyDescent="0.3">
      <c r="A6180" s="509">
        <v>45076</v>
      </c>
      <c r="B6180" s="399"/>
      <c r="C6180" s="5" t="s">
        <v>9452</v>
      </c>
      <c r="D6180" s="5" t="s">
        <v>5976</v>
      </c>
      <c r="E6180" s="43">
        <v>14000</v>
      </c>
      <c r="F6180" s="43"/>
      <c r="G6180" s="48">
        <f t="shared" si="153"/>
        <v>8589.5833333332557</v>
      </c>
      <c r="H6180" s="391" t="s">
        <v>9568</v>
      </c>
    </row>
    <row r="6181" spans="1:8" x14ac:dyDescent="0.3">
      <c r="A6181" s="509">
        <v>45076</v>
      </c>
      <c r="B6181" s="399" t="s">
        <v>693</v>
      </c>
      <c r="C6181" s="5" t="s">
        <v>84</v>
      </c>
      <c r="D6181" s="5" t="s">
        <v>11254</v>
      </c>
      <c r="E6181" s="43">
        <v>4000</v>
      </c>
      <c r="F6181" s="43"/>
      <c r="G6181" s="48">
        <f t="shared" si="153"/>
        <v>4589.5833333332557</v>
      </c>
      <c r="H6181" s="391" t="s">
        <v>9568</v>
      </c>
    </row>
    <row r="6182" spans="1:8" x14ac:dyDescent="0.3">
      <c r="A6182" s="509">
        <v>45077</v>
      </c>
      <c r="B6182" s="399" t="s">
        <v>118</v>
      </c>
      <c r="C6182" s="5" t="s">
        <v>25</v>
      </c>
      <c r="D6182" s="5" t="s">
        <v>8503</v>
      </c>
      <c r="E6182" s="43">
        <v>2500</v>
      </c>
      <c r="F6182" s="43"/>
      <c r="G6182" s="48">
        <f t="shared" si="153"/>
        <v>2089.5833333332557</v>
      </c>
      <c r="H6182" s="391" t="s">
        <v>9568</v>
      </c>
    </row>
    <row r="6183" spans="1:8" x14ac:dyDescent="0.3">
      <c r="A6183" s="509">
        <v>45077</v>
      </c>
      <c r="B6183" s="399" t="s">
        <v>10974</v>
      </c>
      <c r="C6183" s="5" t="s">
        <v>5793</v>
      </c>
      <c r="D6183" s="5" t="s">
        <v>40</v>
      </c>
      <c r="E6183" s="43">
        <v>1000</v>
      </c>
      <c r="F6183" s="43"/>
      <c r="G6183" s="48">
        <f t="shared" si="153"/>
        <v>1089.5833333332557</v>
      </c>
      <c r="H6183" s="391" t="s">
        <v>9568</v>
      </c>
    </row>
    <row r="6184" spans="1:8" x14ac:dyDescent="0.3">
      <c r="A6184" s="509">
        <v>45077</v>
      </c>
      <c r="B6184" s="399" t="s">
        <v>10974</v>
      </c>
      <c r="C6184" s="5" t="s">
        <v>11194</v>
      </c>
      <c r="D6184" s="5" t="s">
        <v>11312</v>
      </c>
      <c r="E6184" s="43">
        <v>300</v>
      </c>
      <c r="F6184" s="43"/>
      <c r="G6184" s="48">
        <f t="shared" si="153"/>
        <v>789.58333333325572</v>
      </c>
      <c r="H6184" s="391" t="s">
        <v>9568</v>
      </c>
    </row>
    <row r="6185" spans="1:8" x14ac:dyDescent="0.3">
      <c r="A6185" s="509">
        <v>45078</v>
      </c>
      <c r="B6185" s="586"/>
      <c r="C6185" s="486"/>
      <c r="D6185" s="497" t="s">
        <v>4106</v>
      </c>
      <c r="E6185" s="486"/>
      <c r="F6185" s="43">
        <v>300000</v>
      </c>
      <c r="G6185" s="48">
        <f t="shared" si="153"/>
        <v>300789.58333333326</v>
      </c>
      <c r="H6185" s="391" t="s">
        <v>9568</v>
      </c>
    </row>
    <row r="6186" spans="1:8" x14ac:dyDescent="0.3">
      <c r="A6186" s="509">
        <v>45078</v>
      </c>
      <c r="B6186" s="399" t="s">
        <v>12089</v>
      </c>
      <c r="C6186" s="5" t="s">
        <v>11236</v>
      </c>
      <c r="D6186" s="5" t="s">
        <v>11313</v>
      </c>
      <c r="E6186" s="43">
        <v>7250</v>
      </c>
      <c r="F6186" s="43"/>
      <c r="G6186" s="48">
        <f t="shared" si="153"/>
        <v>293539.58333333326</v>
      </c>
      <c r="H6186" s="391" t="s">
        <v>9568</v>
      </c>
    </row>
    <row r="6187" spans="1:8" x14ac:dyDescent="0.3">
      <c r="A6187" s="509">
        <v>45078</v>
      </c>
      <c r="B6187" s="399" t="s">
        <v>12190</v>
      </c>
      <c r="C6187" s="5" t="s">
        <v>1074</v>
      </c>
      <c r="D6187" s="5" t="s">
        <v>10570</v>
      </c>
      <c r="E6187" s="43">
        <v>300</v>
      </c>
      <c r="F6187" s="43"/>
      <c r="G6187" s="48">
        <f t="shared" ref="G6187:G6251" si="154">G6186+F6187-E6187</f>
        <v>293239.58333333326</v>
      </c>
      <c r="H6187" s="391" t="s">
        <v>9568</v>
      </c>
    </row>
    <row r="6188" spans="1:8" x14ac:dyDescent="0.3">
      <c r="A6188" s="509">
        <v>45078</v>
      </c>
      <c r="B6188" s="399" t="s">
        <v>118</v>
      </c>
      <c r="C6188" s="5" t="s">
        <v>1074</v>
      </c>
      <c r="D6188" s="5" t="s">
        <v>10570</v>
      </c>
      <c r="E6188" s="43">
        <v>240</v>
      </c>
      <c r="F6188" s="43"/>
      <c r="G6188" s="48">
        <f t="shared" si="154"/>
        <v>292999.58333333326</v>
      </c>
      <c r="H6188" s="391" t="s">
        <v>9568</v>
      </c>
    </row>
    <row r="6189" spans="1:8" x14ac:dyDescent="0.3">
      <c r="A6189" s="509">
        <v>45078</v>
      </c>
      <c r="B6189" s="399"/>
      <c r="C6189" s="5" t="s">
        <v>1074</v>
      </c>
      <c r="D6189" s="5" t="s">
        <v>11314</v>
      </c>
      <c r="E6189" s="43">
        <v>190</v>
      </c>
      <c r="F6189" s="43"/>
      <c r="G6189" s="48">
        <f t="shared" si="154"/>
        <v>292809.58333333326</v>
      </c>
      <c r="H6189" s="391" t="s">
        <v>9568</v>
      </c>
    </row>
    <row r="6190" spans="1:8" x14ac:dyDescent="0.3">
      <c r="A6190" s="509">
        <v>45078</v>
      </c>
      <c r="B6190" s="399" t="s">
        <v>10974</v>
      </c>
      <c r="C6190" s="5" t="s">
        <v>9756</v>
      </c>
      <c r="D6190" s="5" t="s">
        <v>11322</v>
      </c>
      <c r="E6190" s="43">
        <v>6200</v>
      </c>
      <c r="F6190" s="43"/>
      <c r="G6190" s="48">
        <f t="shared" si="154"/>
        <v>286609.58333333326</v>
      </c>
      <c r="H6190" s="391" t="s">
        <v>9568</v>
      </c>
    </row>
    <row r="6191" spans="1:8" x14ac:dyDescent="0.3">
      <c r="A6191" s="509">
        <v>45078</v>
      </c>
      <c r="B6191" s="399" t="s">
        <v>12089</v>
      </c>
      <c r="C6191" s="5" t="s">
        <v>9756</v>
      </c>
      <c r="D6191" s="5" t="s">
        <v>11323</v>
      </c>
      <c r="E6191" s="43">
        <v>2750</v>
      </c>
      <c r="F6191" s="43"/>
      <c r="G6191" s="48">
        <f t="shared" si="154"/>
        <v>283859.58333333326</v>
      </c>
      <c r="H6191" s="391" t="s">
        <v>9568</v>
      </c>
    </row>
    <row r="6192" spans="1:8" x14ac:dyDescent="0.3">
      <c r="A6192" s="509">
        <v>45078</v>
      </c>
      <c r="B6192" s="399" t="s">
        <v>10333</v>
      </c>
      <c r="C6192" s="5" t="s">
        <v>9756</v>
      </c>
      <c r="D6192" s="5" t="s">
        <v>2013</v>
      </c>
      <c r="E6192" s="43">
        <v>1600</v>
      </c>
      <c r="F6192" s="43"/>
      <c r="G6192" s="48">
        <f t="shared" si="154"/>
        <v>282259.58333333326</v>
      </c>
      <c r="H6192" s="391" t="s">
        <v>9568</v>
      </c>
    </row>
    <row r="6193" spans="1:8" x14ac:dyDescent="0.3">
      <c r="A6193" s="509">
        <v>45078</v>
      </c>
      <c r="B6193" s="399" t="s">
        <v>11064</v>
      </c>
      <c r="C6193" s="5" t="s">
        <v>11315</v>
      </c>
      <c r="D6193" s="5" t="s">
        <v>11316</v>
      </c>
      <c r="E6193" s="43">
        <v>84940</v>
      </c>
      <c r="F6193" s="43"/>
      <c r="G6193" s="48">
        <f t="shared" si="154"/>
        <v>197319.58333333326</v>
      </c>
      <c r="H6193" s="391" t="s">
        <v>9568</v>
      </c>
    </row>
    <row r="6194" spans="1:8" x14ac:dyDescent="0.3">
      <c r="A6194" s="509">
        <v>45078</v>
      </c>
      <c r="B6194" s="399" t="s">
        <v>12089</v>
      </c>
      <c r="C6194" s="5" t="s">
        <v>10760</v>
      </c>
      <c r="D6194" s="5" t="s">
        <v>11317</v>
      </c>
      <c r="E6194" s="43">
        <v>17950</v>
      </c>
      <c r="F6194" s="43"/>
      <c r="G6194" s="48">
        <f t="shared" si="154"/>
        <v>179369.58333333326</v>
      </c>
      <c r="H6194" s="391" t="s">
        <v>9568</v>
      </c>
    </row>
    <row r="6195" spans="1:8" x14ac:dyDescent="0.3">
      <c r="A6195" s="509">
        <v>45078</v>
      </c>
      <c r="B6195" s="399" t="s">
        <v>11318</v>
      </c>
      <c r="C6195" s="5" t="s">
        <v>10760</v>
      </c>
      <c r="D6195" s="5" t="s">
        <v>11319</v>
      </c>
      <c r="E6195" s="43">
        <v>11000</v>
      </c>
      <c r="F6195" s="43"/>
      <c r="G6195" s="48">
        <f t="shared" si="154"/>
        <v>168369.58333333326</v>
      </c>
      <c r="H6195" s="391" t="s">
        <v>9568</v>
      </c>
    </row>
    <row r="6196" spans="1:8" x14ac:dyDescent="0.3">
      <c r="A6196" s="509">
        <v>45078</v>
      </c>
      <c r="B6196" s="399" t="s">
        <v>118</v>
      </c>
      <c r="C6196" s="5" t="s">
        <v>25</v>
      </c>
      <c r="D6196" s="5" t="s">
        <v>8503</v>
      </c>
      <c r="E6196" s="43">
        <v>2000</v>
      </c>
      <c r="F6196" s="43"/>
      <c r="G6196" s="48">
        <f t="shared" si="154"/>
        <v>166369.58333333326</v>
      </c>
      <c r="H6196" s="391" t="s">
        <v>9568</v>
      </c>
    </row>
    <row r="6197" spans="1:8" x14ac:dyDescent="0.3">
      <c r="A6197" s="509">
        <v>45078</v>
      </c>
      <c r="B6197" s="399" t="s">
        <v>12089</v>
      </c>
      <c r="C6197" s="5" t="s">
        <v>5162</v>
      </c>
      <c r="D6197" s="5" t="s">
        <v>11320</v>
      </c>
      <c r="E6197" s="43">
        <v>2000</v>
      </c>
      <c r="F6197" s="43"/>
      <c r="G6197" s="48">
        <f t="shared" si="154"/>
        <v>164369.58333333326</v>
      </c>
      <c r="H6197" s="391" t="s">
        <v>9568</v>
      </c>
    </row>
    <row r="6198" spans="1:8" x14ac:dyDescent="0.3">
      <c r="A6198" s="509">
        <v>45078</v>
      </c>
      <c r="B6198" s="399" t="s">
        <v>11064</v>
      </c>
      <c r="C6198" s="5" t="s">
        <v>6430</v>
      </c>
      <c r="D6198" s="5" t="s">
        <v>11321</v>
      </c>
      <c r="E6198" s="43">
        <v>2500</v>
      </c>
      <c r="F6198" s="43"/>
      <c r="G6198" s="48">
        <f t="shared" si="154"/>
        <v>161869.58333333326</v>
      </c>
      <c r="H6198" s="391" t="s">
        <v>9568</v>
      </c>
    </row>
    <row r="6199" spans="1:8" x14ac:dyDescent="0.3">
      <c r="A6199" s="509">
        <v>45078</v>
      </c>
      <c r="B6199" s="399" t="s">
        <v>10615</v>
      </c>
      <c r="C6199" s="5" t="s">
        <v>9801</v>
      </c>
      <c r="D6199" s="5" t="s">
        <v>40</v>
      </c>
      <c r="E6199" s="43">
        <v>1350</v>
      </c>
      <c r="F6199" s="43"/>
      <c r="G6199" s="48">
        <f t="shared" si="154"/>
        <v>160519.58333333326</v>
      </c>
      <c r="H6199" s="391" t="s">
        <v>9568</v>
      </c>
    </row>
    <row r="6200" spans="1:8" x14ac:dyDescent="0.3">
      <c r="A6200" s="509">
        <v>45078</v>
      </c>
      <c r="B6200" s="399" t="s">
        <v>10974</v>
      </c>
      <c r="C6200" s="5" t="s">
        <v>5793</v>
      </c>
      <c r="D6200" s="5" t="s">
        <v>11294</v>
      </c>
      <c r="E6200" s="43">
        <v>800</v>
      </c>
      <c r="F6200" s="43"/>
      <c r="G6200" s="48">
        <f t="shared" si="154"/>
        <v>159719.58333333326</v>
      </c>
      <c r="H6200" s="391" t="s">
        <v>9568</v>
      </c>
    </row>
    <row r="6201" spans="1:8" x14ac:dyDescent="0.3">
      <c r="A6201" s="509">
        <v>45078</v>
      </c>
      <c r="B6201" s="399" t="s">
        <v>11064</v>
      </c>
      <c r="C6201" s="5" t="s">
        <v>11324</v>
      </c>
      <c r="D6201" s="5" t="s">
        <v>11325</v>
      </c>
      <c r="E6201" s="43">
        <v>30000</v>
      </c>
      <c r="F6201" s="43"/>
      <c r="G6201" s="48">
        <f t="shared" si="154"/>
        <v>129719.58333333326</v>
      </c>
      <c r="H6201" s="391" t="s">
        <v>9568</v>
      </c>
    </row>
    <row r="6202" spans="1:8" x14ac:dyDescent="0.3">
      <c r="A6202" s="509">
        <v>45078</v>
      </c>
      <c r="B6202" s="399" t="s">
        <v>6481</v>
      </c>
      <c r="C6202" s="5" t="s">
        <v>11206</v>
      </c>
      <c r="D6202" s="5" t="s">
        <v>11326</v>
      </c>
      <c r="E6202" s="43">
        <v>100000</v>
      </c>
      <c r="F6202" s="43"/>
      <c r="G6202" s="48">
        <f t="shared" si="154"/>
        <v>29719.583333333256</v>
      </c>
      <c r="H6202" s="391" t="s">
        <v>9568</v>
      </c>
    </row>
    <row r="6203" spans="1:8" x14ac:dyDescent="0.3">
      <c r="A6203" s="509">
        <v>45078</v>
      </c>
      <c r="B6203" s="399" t="s">
        <v>10974</v>
      </c>
      <c r="C6203" s="5" t="s">
        <v>5793</v>
      </c>
      <c r="D6203" s="5" t="s">
        <v>40</v>
      </c>
      <c r="E6203" s="43">
        <v>500</v>
      </c>
      <c r="F6203" s="43"/>
      <c r="G6203" s="48">
        <f t="shared" si="154"/>
        <v>29219.583333333256</v>
      </c>
      <c r="H6203" s="391" t="s">
        <v>9568</v>
      </c>
    </row>
    <row r="6204" spans="1:8" x14ac:dyDescent="0.3">
      <c r="A6204" s="509">
        <v>45078</v>
      </c>
      <c r="B6204" s="345" t="s">
        <v>12096</v>
      </c>
      <c r="C6204" s="5" t="s">
        <v>84</v>
      </c>
      <c r="D6204" s="5" t="s">
        <v>11327</v>
      </c>
      <c r="E6204" s="43">
        <v>15000</v>
      </c>
      <c r="F6204" s="43"/>
      <c r="G6204" s="48">
        <f t="shared" si="154"/>
        <v>14219.583333333256</v>
      </c>
      <c r="H6204" s="391" t="s">
        <v>9568</v>
      </c>
    </row>
    <row r="6205" spans="1:8" x14ac:dyDescent="0.3">
      <c r="A6205" s="509">
        <v>45078</v>
      </c>
      <c r="B6205" s="399" t="s">
        <v>9925</v>
      </c>
      <c r="C6205" s="5" t="s">
        <v>11328</v>
      </c>
      <c r="D6205" s="5" t="s">
        <v>11329</v>
      </c>
      <c r="E6205" s="43">
        <v>4000</v>
      </c>
      <c r="F6205" s="43"/>
      <c r="G6205" s="48">
        <f t="shared" si="154"/>
        <v>10219.583333333256</v>
      </c>
      <c r="H6205" s="391" t="s">
        <v>9568</v>
      </c>
    </row>
    <row r="6206" spans="1:8" x14ac:dyDescent="0.3">
      <c r="A6206" s="509">
        <v>45078</v>
      </c>
      <c r="B6206" s="399" t="s">
        <v>10974</v>
      </c>
      <c r="C6206" s="5" t="s">
        <v>5793</v>
      </c>
      <c r="D6206" s="5" t="s">
        <v>11333</v>
      </c>
      <c r="E6206" s="43">
        <v>250</v>
      </c>
      <c r="F6206" s="43"/>
      <c r="G6206" s="48">
        <f t="shared" si="154"/>
        <v>9969.5833333332557</v>
      </c>
      <c r="H6206" s="391" t="s">
        <v>9568</v>
      </c>
    </row>
    <row r="6207" spans="1:8" x14ac:dyDescent="0.3">
      <c r="A6207" s="509">
        <v>45078</v>
      </c>
      <c r="B6207" s="399"/>
      <c r="C6207" s="5" t="s">
        <v>84</v>
      </c>
      <c r="D6207" s="5" t="s">
        <v>11332</v>
      </c>
      <c r="E6207" s="43">
        <v>1000</v>
      </c>
      <c r="F6207" s="43"/>
      <c r="G6207" s="48">
        <f t="shared" si="154"/>
        <v>8969.5833333332557</v>
      </c>
      <c r="H6207" s="391" t="s">
        <v>9568</v>
      </c>
    </row>
    <row r="6208" spans="1:8" x14ac:dyDescent="0.3">
      <c r="A6208" s="509">
        <v>45078</v>
      </c>
      <c r="B6208" s="399" t="s">
        <v>10974</v>
      </c>
      <c r="C6208" s="5" t="s">
        <v>5793</v>
      </c>
      <c r="D6208" s="5" t="s">
        <v>40</v>
      </c>
      <c r="E6208" s="43">
        <v>600</v>
      </c>
      <c r="F6208" s="43"/>
      <c r="G6208" s="48">
        <f t="shared" si="154"/>
        <v>8369.5833333332557</v>
      </c>
      <c r="H6208" s="391" t="s">
        <v>9568</v>
      </c>
    </row>
    <row r="6209" spans="1:8" x14ac:dyDescent="0.3">
      <c r="A6209" s="509">
        <v>45079</v>
      </c>
      <c r="B6209" s="399" t="s">
        <v>10974</v>
      </c>
      <c r="C6209" s="5" t="s">
        <v>5793</v>
      </c>
      <c r="D6209" s="5" t="s">
        <v>40</v>
      </c>
      <c r="E6209" s="43">
        <v>800</v>
      </c>
      <c r="F6209" s="43"/>
      <c r="G6209" s="48">
        <f t="shared" si="154"/>
        <v>7569.5833333332557</v>
      </c>
      <c r="H6209" s="391" t="s">
        <v>9568</v>
      </c>
    </row>
    <row r="6210" spans="1:8" x14ac:dyDescent="0.3">
      <c r="A6210" s="509">
        <v>45079</v>
      </c>
      <c r="B6210" s="399" t="s">
        <v>11064</v>
      </c>
      <c r="C6210" s="5" t="s">
        <v>5793</v>
      </c>
      <c r="D6210" s="5" t="s">
        <v>40</v>
      </c>
      <c r="E6210" s="43">
        <v>1500</v>
      </c>
      <c r="F6210" s="43"/>
      <c r="G6210" s="48">
        <f t="shared" si="154"/>
        <v>6069.5833333332557</v>
      </c>
      <c r="H6210" s="391" t="s">
        <v>9568</v>
      </c>
    </row>
    <row r="6211" spans="1:8" x14ac:dyDescent="0.3">
      <c r="A6211" s="509">
        <v>45079</v>
      </c>
      <c r="B6211" s="586"/>
      <c r="C6211" s="486"/>
      <c r="D6211" s="497" t="s">
        <v>4106</v>
      </c>
      <c r="E6211" s="486"/>
      <c r="F6211" s="43">
        <v>300000</v>
      </c>
      <c r="G6211" s="48">
        <f t="shared" si="154"/>
        <v>306069.58333333326</v>
      </c>
      <c r="H6211" s="391" t="s">
        <v>9568</v>
      </c>
    </row>
    <row r="6212" spans="1:8" x14ac:dyDescent="0.3">
      <c r="A6212" s="509">
        <v>45079</v>
      </c>
      <c r="B6212" s="399" t="s">
        <v>10974</v>
      </c>
      <c r="C6212" s="5" t="s">
        <v>9044</v>
      </c>
      <c r="D6212" s="5" t="s">
        <v>10746</v>
      </c>
      <c r="E6212" s="43">
        <v>20000</v>
      </c>
      <c r="F6212" s="43"/>
      <c r="G6212" s="48">
        <f t="shared" si="154"/>
        <v>286069.58333333326</v>
      </c>
      <c r="H6212" s="391" t="s">
        <v>9568</v>
      </c>
    </row>
    <row r="6213" spans="1:8" x14ac:dyDescent="0.3">
      <c r="A6213" s="509">
        <v>45079</v>
      </c>
      <c r="B6213" s="399"/>
      <c r="C6213" s="5" t="s">
        <v>84</v>
      </c>
      <c r="D6213" s="5" t="s">
        <v>11340</v>
      </c>
      <c r="E6213" s="43">
        <v>2000</v>
      </c>
      <c r="F6213" s="43"/>
      <c r="G6213" s="48">
        <f t="shared" si="154"/>
        <v>284069.58333333326</v>
      </c>
      <c r="H6213" s="391" t="s">
        <v>9568</v>
      </c>
    </row>
    <row r="6214" spans="1:8" x14ac:dyDescent="0.3">
      <c r="A6214" s="509">
        <v>45079</v>
      </c>
      <c r="B6214" s="399"/>
      <c r="C6214" s="5" t="s">
        <v>4550</v>
      </c>
      <c r="D6214" s="5" t="s">
        <v>11283</v>
      </c>
      <c r="E6214" s="43">
        <v>50000</v>
      </c>
      <c r="F6214" s="43"/>
      <c r="G6214" s="48">
        <f t="shared" si="154"/>
        <v>234069.58333333326</v>
      </c>
      <c r="H6214" s="391" t="s">
        <v>9568</v>
      </c>
    </row>
    <row r="6215" spans="1:8" x14ac:dyDescent="0.3">
      <c r="A6215" s="509">
        <v>45079</v>
      </c>
      <c r="B6215" s="399"/>
      <c r="C6215" s="5" t="s">
        <v>541</v>
      </c>
      <c r="D6215" s="5" t="s">
        <v>4376</v>
      </c>
      <c r="E6215" s="43">
        <v>750</v>
      </c>
      <c r="F6215" s="43"/>
      <c r="G6215" s="48">
        <f t="shared" si="154"/>
        <v>233319.58333333326</v>
      </c>
      <c r="H6215" s="391" t="s">
        <v>9568</v>
      </c>
    </row>
    <row r="6216" spans="1:8" x14ac:dyDescent="0.3">
      <c r="A6216" s="509">
        <v>45079</v>
      </c>
      <c r="B6216" s="399" t="s">
        <v>118</v>
      </c>
      <c r="C6216" s="5" t="s">
        <v>25</v>
      </c>
      <c r="D6216" s="5" t="s">
        <v>8503</v>
      </c>
      <c r="E6216" s="43">
        <v>3000</v>
      </c>
      <c r="F6216" s="43"/>
      <c r="G6216" s="48">
        <f t="shared" si="154"/>
        <v>230319.58333333326</v>
      </c>
      <c r="H6216" s="391" t="s">
        <v>9568</v>
      </c>
    </row>
    <row r="6217" spans="1:8" x14ac:dyDescent="0.3">
      <c r="A6217" s="509">
        <v>45080</v>
      </c>
      <c r="B6217" s="399" t="s">
        <v>12092</v>
      </c>
      <c r="C6217" s="5" t="s">
        <v>11341</v>
      </c>
      <c r="D6217" s="5" t="s">
        <v>10973</v>
      </c>
      <c r="E6217" s="43">
        <v>10000</v>
      </c>
      <c r="F6217" s="43"/>
      <c r="G6217" s="48">
        <f t="shared" si="154"/>
        <v>220319.58333333326</v>
      </c>
      <c r="H6217" s="391" t="s">
        <v>9568</v>
      </c>
    </row>
    <row r="6218" spans="1:8" x14ac:dyDescent="0.3">
      <c r="A6218" s="509">
        <v>45080</v>
      </c>
      <c r="B6218" s="399" t="s">
        <v>12089</v>
      </c>
      <c r="C6218" s="5" t="s">
        <v>11194</v>
      </c>
      <c r="D6218" s="5" t="s">
        <v>11342</v>
      </c>
      <c r="E6218" s="43">
        <v>1000</v>
      </c>
      <c r="F6218" s="43"/>
      <c r="G6218" s="48">
        <f t="shared" si="154"/>
        <v>219319.58333333326</v>
      </c>
      <c r="H6218" s="391" t="s">
        <v>9568</v>
      </c>
    </row>
    <row r="6219" spans="1:8" x14ac:dyDescent="0.3">
      <c r="A6219" s="509">
        <v>45080</v>
      </c>
      <c r="B6219" s="399"/>
      <c r="C6219" s="5" t="s">
        <v>84</v>
      </c>
      <c r="D6219" s="5" t="s">
        <v>11343</v>
      </c>
      <c r="E6219" s="43">
        <v>10000</v>
      </c>
      <c r="F6219" s="43"/>
      <c r="G6219" s="48">
        <f t="shared" si="154"/>
        <v>209319.58333333326</v>
      </c>
      <c r="H6219" s="391" t="s">
        <v>9568</v>
      </c>
    </row>
    <row r="6220" spans="1:8" x14ac:dyDescent="0.3">
      <c r="A6220" s="509">
        <v>45080</v>
      </c>
      <c r="B6220" s="399"/>
      <c r="C6220" s="5" t="s">
        <v>84</v>
      </c>
      <c r="D6220" s="5" t="s">
        <v>11344</v>
      </c>
      <c r="E6220" s="43">
        <v>5000</v>
      </c>
      <c r="F6220" s="43"/>
      <c r="G6220" s="48">
        <f t="shared" si="154"/>
        <v>204319.58333333326</v>
      </c>
      <c r="H6220" s="391" t="s">
        <v>9568</v>
      </c>
    </row>
    <row r="6221" spans="1:8" x14ac:dyDescent="0.3">
      <c r="A6221" s="509">
        <v>45080</v>
      </c>
      <c r="B6221" s="399" t="s">
        <v>10974</v>
      </c>
      <c r="C6221" s="5" t="s">
        <v>9801</v>
      </c>
      <c r="D6221" s="5" t="s">
        <v>40</v>
      </c>
      <c r="E6221" s="43">
        <v>1565</v>
      </c>
      <c r="F6221" s="43"/>
      <c r="G6221" s="48">
        <f t="shared" si="154"/>
        <v>202754.58333333326</v>
      </c>
      <c r="H6221" s="391" t="s">
        <v>9568</v>
      </c>
    </row>
    <row r="6222" spans="1:8" x14ac:dyDescent="0.3">
      <c r="A6222" s="509">
        <v>45080</v>
      </c>
      <c r="B6222" s="399" t="s">
        <v>11164</v>
      </c>
      <c r="C6222" s="5" t="s">
        <v>9801</v>
      </c>
      <c r="D6222" s="5" t="s">
        <v>40</v>
      </c>
      <c r="E6222" s="43">
        <v>3290</v>
      </c>
      <c r="F6222" s="43"/>
      <c r="G6222" s="48">
        <f t="shared" si="154"/>
        <v>199464.58333333326</v>
      </c>
      <c r="H6222" s="391" t="s">
        <v>9568</v>
      </c>
    </row>
    <row r="6223" spans="1:8" x14ac:dyDescent="0.3">
      <c r="A6223" s="509">
        <v>45080</v>
      </c>
      <c r="B6223" s="399" t="s">
        <v>118</v>
      </c>
      <c r="C6223" s="5" t="s">
        <v>64</v>
      </c>
      <c r="D6223" s="5" t="s">
        <v>40</v>
      </c>
      <c r="E6223" s="43">
        <v>1900</v>
      </c>
      <c r="F6223" s="43"/>
      <c r="G6223" s="48">
        <f t="shared" si="154"/>
        <v>197564.58333333326</v>
      </c>
      <c r="H6223" s="391" t="s">
        <v>9568</v>
      </c>
    </row>
    <row r="6224" spans="1:8" x14ac:dyDescent="0.3">
      <c r="A6224" s="509">
        <v>45080</v>
      </c>
      <c r="B6224" s="399"/>
      <c r="C6224" s="5" t="s">
        <v>30</v>
      </c>
      <c r="D6224" s="5" t="s">
        <v>10643</v>
      </c>
      <c r="E6224" s="43">
        <v>500</v>
      </c>
      <c r="F6224" s="43"/>
      <c r="G6224" s="48">
        <f t="shared" si="154"/>
        <v>197064.58333333326</v>
      </c>
      <c r="H6224" s="391" t="s">
        <v>9568</v>
      </c>
    </row>
    <row r="6225" spans="1:8" x14ac:dyDescent="0.3">
      <c r="A6225" s="509">
        <v>45080</v>
      </c>
      <c r="B6225" s="399" t="s">
        <v>10974</v>
      </c>
      <c r="C6225" s="5" t="s">
        <v>18</v>
      </c>
      <c r="D6225" s="5" t="s">
        <v>11345</v>
      </c>
      <c r="E6225" s="43">
        <v>500</v>
      </c>
      <c r="F6225" s="43"/>
      <c r="G6225" s="48">
        <f t="shared" si="154"/>
        <v>196564.58333333326</v>
      </c>
      <c r="H6225" s="391" t="s">
        <v>9568</v>
      </c>
    </row>
    <row r="6226" spans="1:8" x14ac:dyDescent="0.3">
      <c r="A6226" s="509">
        <v>45080</v>
      </c>
      <c r="B6226" s="399" t="s">
        <v>9925</v>
      </c>
      <c r="C6226" s="5" t="s">
        <v>8009</v>
      </c>
      <c r="D6226" s="5" t="s">
        <v>11346</v>
      </c>
      <c r="E6226" s="43">
        <v>2160</v>
      </c>
      <c r="F6226" s="43"/>
      <c r="G6226" s="48">
        <f t="shared" si="154"/>
        <v>194404.58333333326</v>
      </c>
      <c r="H6226" s="391" t="s">
        <v>9568</v>
      </c>
    </row>
    <row r="6227" spans="1:8" x14ac:dyDescent="0.3">
      <c r="A6227" s="509">
        <v>45080</v>
      </c>
      <c r="B6227" s="399"/>
      <c r="C6227" s="5" t="s">
        <v>84</v>
      </c>
      <c r="D6227" s="5" t="s">
        <v>11332</v>
      </c>
      <c r="E6227" s="43">
        <v>4000</v>
      </c>
      <c r="F6227" s="43"/>
      <c r="G6227" s="48">
        <f t="shared" si="154"/>
        <v>190404.58333333326</v>
      </c>
      <c r="H6227" s="391" t="s">
        <v>9568</v>
      </c>
    </row>
    <row r="6228" spans="1:8" x14ac:dyDescent="0.3">
      <c r="A6228" s="509">
        <v>45082</v>
      </c>
      <c r="B6228" s="399" t="s">
        <v>118</v>
      </c>
      <c r="C6228" s="5" t="s">
        <v>4400</v>
      </c>
      <c r="D6228" s="5" t="s">
        <v>40</v>
      </c>
      <c r="E6228" s="43">
        <v>4670</v>
      </c>
      <c r="F6228" s="43"/>
      <c r="G6228" s="48">
        <f t="shared" si="154"/>
        <v>185734.58333333326</v>
      </c>
      <c r="H6228" s="391" t="s">
        <v>9568</v>
      </c>
    </row>
    <row r="6229" spans="1:8" x14ac:dyDescent="0.3">
      <c r="A6229" s="509">
        <v>45082</v>
      </c>
      <c r="B6229" s="399" t="s">
        <v>12092</v>
      </c>
      <c r="C6229" s="5" t="s">
        <v>11194</v>
      </c>
      <c r="D6229" s="5" t="s">
        <v>11347</v>
      </c>
      <c r="E6229" s="43">
        <v>1630</v>
      </c>
      <c r="F6229" s="43"/>
      <c r="G6229" s="48">
        <f t="shared" si="154"/>
        <v>184104.58333333326</v>
      </c>
      <c r="H6229" s="391" t="s">
        <v>9568</v>
      </c>
    </row>
    <row r="6230" spans="1:8" x14ac:dyDescent="0.3">
      <c r="A6230" s="509">
        <v>45082</v>
      </c>
      <c r="B6230" s="399" t="s">
        <v>693</v>
      </c>
      <c r="C6230" s="5" t="s">
        <v>5793</v>
      </c>
      <c r="D6230" s="5" t="s">
        <v>11348</v>
      </c>
      <c r="E6230" s="43">
        <v>1000</v>
      </c>
      <c r="F6230" s="43"/>
      <c r="G6230" s="48">
        <f t="shared" si="154"/>
        <v>183104.58333333326</v>
      </c>
      <c r="H6230" s="391" t="s">
        <v>9568</v>
      </c>
    </row>
    <row r="6231" spans="1:8" x14ac:dyDescent="0.3">
      <c r="A6231" s="509">
        <v>45082</v>
      </c>
      <c r="B6231" s="399"/>
      <c r="C6231" s="5" t="s">
        <v>5793</v>
      </c>
      <c r="D6231" s="5" t="s">
        <v>11349</v>
      </c>
      <c r="E6231" s="43">
        <v>200</v>
      </c>
      <c r="F6231" s="43"/>
      <c r="G6231" s="48">
        <f t="shared" si="154"/>
        <v>182904.58333333326</v>
      </c>
      <c r="H6231" s="391" t="s">
        <v>9568</v>
      </c>
    </row>
    <row r="6232" spans="1:8" x14ac:dyDescent="0.3">
      <c r="A6232" s="509">
        <v>45082</v>
      </c>
      <c r="B6232" s="399" t="s">
        <v>10974</v>
      </c>
      <c r="C6232" s="5" t="s">
        <v>5793</v>
      </c>
      <c r="D6232" s="73" t="s">
        <v>40</v>
      </c>
      <c r="E6232" s="183">
        <v>600</v>
      </c>
      <c r="F6232" s="43"/>
      <c r="G6232" s="48">
        <f t="shared" si="154"/>
        <v>182304.58333333326</v>
      </c>
      <c r="H6232" s="391" t="s">
        <v>9568</v>
      </c>
    </row>
    <row r="6233" spans="1:8" x14ac:dyDescent="0.3">
      <c r="A6233" s="509">
        <v>45082</v>
      </c>
      <c r="B6233" s="399" t="s">
        <v>118</v>
      </c>
      <c r="C6233" s="5" t="s">
        <v>25</v>
      </c>
      <c r="D6233" s="73" t="s">
        <v>11352</v>
      </c>
      <c r="E6233" s="183">
        <f>2100+500</f>
        <v>2600</v>
      </c>
      <c r="F6233" s="43"/>
      <c r="G6233" s="48">
        <f t="shared" si="154"/>
        <v>179704.58333333326</v>
      </c>
      <c r="H6233" s="391" t="s">
        <v>9568</v>
      </c>
    </row>
    <row r="6234" spans="1:8" x14ac:dyDescent="0.3">
      <c r="A6234" s="509">
        <v>45082</v>
      </c>
      <c r="B6234" s="345" t="s">
        <v>12096</v>
      </c>
      <c r="C6234" s="5" t="s">
        <v>11194</v>
      </c>
      <c r="D6234" s="5" t="s">
        <v>11350</v>
      </c>
      <c r="E6234" s="43">
        <v>150</v>
      </c>
      <c r="F6234" s="43"/>
      <c r="G6234" s="48">
        <f t="shared" si="154"/>
        <v>179554.58333333326</v>
      </c>
      <c r="H6234" s="391" t="s">
        <v>9568</v>
      </c>
    </row>
    <row r="6235" spans="1:8" x14ac:dyDescent="0.3">
      <c r="A6235" s="509">
        <v>45082</v>
      </c>
      <c r="B6235" s="399" t="s">
        <v>11064</v>
      </c>
      <c r="C6235" s="5" t="s">
        <v>11194</v>
      </c>
      <c r="D6235" s="5" t="s">
        <v>11351</v>
      </c>
      <c r="E6235" s="43">
        <v>15600</v>
      </c>
      <c r="F6235" s="43"/>
      <c r="G6235" s="48">
        <f t="shared" si="154"/>
        <v>163954.58333333326</v>
      </c>
      <c r="H6235" s="391" t="s">
        <v>9568</v>
      </c>
    </row>
    <row r="6236" spans="1:8" x14ac:dyDescent="0.3">
      <c r="A6236" s="509">
        <v>45082</v>
      </c>
      <c r="B6236" s="399" t="s">
        <v>10766</v>
      </c>
      <c r="C6236" s="5" t="s">
        <v>5162</v>
      </c>
      <c r="D6236" s="5" t="s">
        <v>2013</v>
      </c>
      <c r="E6236" s="43">
        <v>1000</v>
      </c>
      <c r="F6236" s="43"/>
      <c r="G6236" s="48">
        <f t="shared" si="154"/>
        <v>162954.58333333326</v>
      </c>
      <c r="H6236" s="391" t="s">
        <v>9568</v>
      </c>
    </row>
    <row r="6237" spans="1:8" x14ac:dyDescent="0.3">
      <c r="A6237" s="509">
        <v>45082</v>
      </c>
      <c r="B6237" s="399"/>
      <c r="C6237" s="5" t="s">
        <v>54</v>
      </c>
      <c r="D6237" s="5" t="s">
        <v>11363</v>
      </c>
      <c r="E6237" s="43">
        <v>23000</v>
      </c>
      <c r="F6237" s="43"/>
      <c r="G6237" s="48">
        <f t="shared" si="154"/>
        <v>139954.58333333326</v>
      </c>
      <c r="H6237" s="391" t="s">
        <v>9568</v>
      </c>
    </row>
    <row r="6238" spans="1:8" x14ac:dyDescent="0.3">
      <c r="A6238" s="509">
        <v>45082</v>
      </c>
      <c r="B6238" s="399"/>
      <c r="C6238" s="5" t="s">
        <v>25</v>
      </c>
      <c r="D6238" s="5" t="s">
        <v>10913</v>
      </c>
      <c r="E6238" s="43">
        <v>1000</v>
      </c>
      <c r="F6238" s="43"/>
      <c r="G6238" s="48">
        <f t="shared" si="154"/>
        <v>138954.58333333326</v>
      </c>
      <c r="H6238" s="391" t="s">
        <v>9568</v>
      </c>
    </row>
    <row r="6239" spans="1:8" x14ac:dyDescent="0.3">
      <c r="A6239" s="509">
        <v>45082</v>
      </c>
      <c r="B6239" s="399" t="s">
        <v>10333</v>
      </c>
      <c r="C6239" s="5" t="s">
        <v>5793</v>
      </c>
      <c r="D6239" s="5" t="s">
        <v>11353</v>
      </c>
      <c r="E6239" s="43">
        <v>1700</v>
      </c>
      <c r="F6239" s="43"/>
      <c r="G6239" s="48">
        <f t="shared" si="154"/>
        <v>137254.58333333326</v>
      </c>
      <c r="H6239" s="391" t="s">
        <v>9568</v>
      </c>
    </row>
    <row r="6240" spans="1:8" x14ac:dyDescent="0.3">
      <c r="A6240" s="509">
        <v>45082</v>
      </c>
      <c r="B6240" s="399"/>
      <c r="C6240" s="5" t="s">
        <v>14</v>
      </c>
      <c r="D6240" s="5" t="s">
        <v>294</v>
      </c>
      <c r="E6240" s="43">
        <v>5000</v>
      </c>
      <c r="F6240" s="43"/>
      <c r="G6240" s="48">
        <f t="shared" si="154"/>
        <v>132254.58333333326</v>
      </c>
      <c r="H6240" s="391" t="s">
        <v>9568</v>
      </c>
    </row>
    <row r="6241" spans="1:8" x14ac:dyDescent="0.3">
      <c r="A6241" s="509">
        <v>45083</v>
      </c>
      <c r="B6241" s="586"/>
      <c r="C6241" s="486"/>
      <c r="D6241" s="497" t="s">
        <v>11032</v>
      </c>
      <c r="E6241" s="486"/>
      <c r="F6241" s="43">
        <v>3000000</v>
      </c>
      <c r="G6241" s="48">
        <f t="shared" si="154"/>
        <v>3132254.583333333</v>
      </c>
      <c r="H6241" s="391" t="s">
        <v>9568</v>
      </c>
    </row>
    <row r="6242" spans="1:8" x14ac:dyDescent="0.3">
      <c r="A6242" s="509">
        <v>45083</v>
      </c>
      <c r="B6242" s="399" t="s">
        <v>11355</v>
      </c>
      <c r="C6242" s="5" t="s">
        <v>11357</v>
      </c>
      <c r="D6242" s="5" t="s">
        <v>11356</v>
      </c>
      <c r="E6242" s="43">
        <v>307000</v>
      </c>
      <c r="F6242" s="43"/>
      <c r="G6242" s="48">
        <f t="shared" si="154"/>
        <v>2825254.583333333</v>
      </c>
      <c r="H6242" s="391" t="s">
        <v>9568</v>
      </c>
    </row>
    <row r="6243" spans="1:8" x14ac:dyDescent="0.3">
      <c r="A6243" s="509">
        <v>45083</v>
      </c>
      <c r="B6243" s="399"/>
      <c r="C6243" s="5" t="s">
        <v>30</v>
      </c>
      <c r="D6243" s="5" t="s">
        <v>294</v>
      </c>
      <c r="E6243" s="43">
        <v>500</v>
      </c>
      <c r="F6243" s="43"/>
      <c r="G6243" s="48">
        <f t="shared" si="154"/>
        <v>2824754.583333333</v>
      </c>
      <c r="H6243" s="391" t="s">
        <v>9568</v>
      </c>
    </row>
    <row r="6244" spans="1:8" x14ac:dyDescent="0.3">
      <c r="A6244" s="509">
        <v>45083</v>
      </c>
      <c r="B6244" s="399" t="s">
        <v>118</v>
      </c>
      <c r="C6244" s="5" t="s">
        <v>25</v>
      </c>
      <c r="D6244" s="5" t="s">
        <v>8503</v>
      </c>
      <c r="E6244" s="43">
        <v>3000</v>
      </c>
      <c r="F6244" s="43"/>
      <c r="G6244" s="48">
        <f t="shared" si="154"/>
        <v>2821754.583333333</v>
      </c>
      <c r="H6244" s="391" t="s">
        <v>9568</v>
      </c>
    </row>
    <row r="6245" spans="1:8" x14ac:dyDescent="0.3">
      <c r="A6245" s="509">
        <v>45083</v>
      </c>
      <c r="B6245" s="399" t="s">
        <v>10615</v>
      </c>
      <c r="C6245" s="5" t="s">
        <v>6430</v>
      </c>
      <c r="D6245" s="5" t="s">
        <v>11358</v>
      </c>
      <c r="E6245" s="43">
        <v>8000</v>
      </c>
      <c r="F6245" s="43"/>
      <c r="G6245" s="48">
        <f t="shared" si="154"/>
        <v>2813754.583333333</v>
      </c>
      <c r="H6245" s="391" t="s">
        <v>9568</v>
      </c>
    </row>
    <row r="6246" spans="1:8" x14ac:dyDescent="0.3">
      <c r="A6246" s="509">
        <v>45083</v>
      </c>
      <c r="B6246" s="399" t="s">
        <v>11064</v>
      </c>
      <c r="C6246" s="5" t="s">
        <v>5978</v>
      </c>
      <c r="D6246" s="5" t="s">
        <v>11359</v>
      </c>
      <c r="E6246" s="43">
        <v>1800000</v>
      </c>
      <c r="F6246" s="43"/>
      <c r="G6246" s="48">
        <f t="shared" si="154"/>
        <v>1013754.583333333</v>
      </c>
      <c r="H6246" s="391" t="s">
        <v>9568</v>
      </c>
    </row>
    <row r="6247" spans="1:8" x14ac:dyDescent="0.3">
      <c r="A6247" s="509">
        <v>45083</v>
      </c>
      <c r="B6247" s="399"/>
      <c r="C6247" s="5" t="s">
        <v>6145</v>
      </c>
      <c r="D6247" s="5" t="s">
        <v>5508</v>
      </c>
      <c r="E6247" s="42">
        <v>200000</v>
      </c>
      <c r="F6247" s="43"/>
      <c r="G6247" s="48">
        <f t="shared" si="154"/>
        <v>813754.58333333302</v>
      </c>
      <c r="H6247" s="391" t="s">
        <v>9568</v>
      </c>
    </row>
    <row r="6248" spans="1:8" x14ac:dyDescent="0.3">
      <c r="A6248" s="509">
        <v>45083</v>
      </c>
      <c r="B6248" s="399" t="s">
        <v>9765</v>
      </c>
      <c r="C6248" s="5" t="s">
        <v>25</v>
      </c>
      <c r="D6248" s="5" t="s">
        <v>11360</v>
      </c>
      <c r="E6248" s="43">
        <v>9500</v>
      </c>
      <c r="F6248" s="43"/>
      <c r="G6248" s="48">
        <f t="shared" si="154"/>
        <v>804254.58333333302</v>
      </c>
      <c r="H6248" s="391" t="s">
        <v>9568</v>
      </c>
    </row>
    <row r="6249" spans="1:8" x14ac:dyDescent="0.3">
      <c r="A6249" s="509">
        <v>45083</v>
      </c>
      <c r="B6249" s="399" t="s">
        <v>10832</v>
      </c>
      <c r="C6249" s="5" t="s">
        <v>10788</v>
      </c>
      <c r="D6249" s="5" t="s">
        <v>40</v>
      </c>
      <c r="E6249" s="43">
        <v>15000</v>
      </c>
      <c r="F6249" s="43"/>
      <c r="G6249" s="48">
        <f t="shared" si="154"/>
        <v>789254.58333333302</v>
      </c>
      <c r="H6249" s="391" t="s">
        <v>9568</v>
      </c>
    </row>
    <row r="6250" spans="1:8" x14ac:dyDescent="0.3">
      <c r="A6250" s="509">
        <v>45083</v>
      </c>
      <c r="B6250" s="409" t="s">
        <v>9925</v>
      </c>
      <c r="C6250" s="61" t="s">
        <v>54</v>
      </c>
      <c r="D6250" s="61" t="s">
        <v>10590</v>
      </c>
      <c r="E6250" s="62">
        <v>120772.17741935499</v>
      </c>
      <c r="F6250" s="43"/>
      <c r="G6250" s="48">
        <f t="shared" si="154"/>
        <v>668482.405913978</v>
      </c>
      <c r="H6250" s="391" t="s">
        <v>9568</v>
      </c>
    </row>
    <row r="6251" spans="1:8" x14ac:dyDescent="0.3">
      <c r="A6251" s="509">
        <v>45083</v>
      </c>
      <c r="B6251" s="399"/>
      <c r="C6251" s="5" t="s">
        <v>10709</v>
      </c>
      <c r="D6251" s="5" t="s">
        <v>294</v>
      </c>
      <c r="E6251" s="43">
        <v>1000</v>
      </c>
      <c r="F6251" s="43"/>
      <c r="G6251" s="48">
        <f t="shared" si="154"/>
        <v>667482.405913978</v>
      </c>
      <c r="H6251" s="391" t="s">
        <v>9568</v>
      </c>
    </row>
    <row r="6252" spans="1:8" x14ac:dyDescent="0.3">
      <c r="A6252" s="509">
        <v>45083</v>
      </c>
      <c r="B6252" s="399" t="s">
        <v>12089</v>
      </c>
      <c r="C6252" s="5" t="s">
        <v>11284</v>
      </c>
      <c r="D6252" s="5" t="s">
        <v>11361</v>
      </c>
      <c r="E6252" s="43">
        <v>500000</v>
      </c>
      <c r="F6252" s="43"/>
      <c r="G6252" s="48">
        <f t="shared" ref="G6252:G6316" si="155">G6251+F6252-E6252</f>
        <v>167482.405913978</v>
      </c>
      <c r="H6252" s="391" t="s">
        <v>9568</v>
      </c>
    </row>
    <row r="6253" spans="1:8" x14ac:dyDescent="0.3">
      <c r="A6253" s="509">
        <v>45083</v>
      </c>
      <c r="B6253" s="399" t="s">
        <v>12092</v>
      </c>
      <c r="C6253" s="5" t="s">
        <v>11341</v>
      </c>
      <c r="D6253" s="5" t="s">
        <v>294</v>
      </c>
      <c r="E6253" s="43">
        <v>83000</v>
      </c>
      <c r="F6253" s="43"/>
      <c r="G6253" s="48">
        <f t="shared" si="155"/>
        <v>84482.405913978</v>
      </c>
      <c r="H6253" s="391" t="s">
        <v>9568</v>
      </c>
    </row>
    <row r="6254" spans="1:8" x14ac:dyDescent="0.3">
      <c r="A6254" s="509">
        <v>45083</v>
      </c>
      <c r="B6254" s="399" t="s">
        <v>11362</v>
      </c>
      <c r="C6254" s="5" t="s">
        <v>5793</v>
      </c>
      <c r="D6254" s="5" t="s">
        <v>40</v>
      </c>
      <c r="E6254" s="43">
        <v>1200</v>
      </c>
      <c r="F6254" s="43"/>
      <c r="G6254" s="48">
        <f t="shared" si="155"/>
        <v>83282.405913978</v>
      </c>
      <c r="H6254" s="391" t="s">
        <v>9568</v>
      </c>
    </row>
    <row r="6255" spans="1:8" x14ac:dyDescent="0.3">
      <c r="A6255" s="509">
        <v>45083</v>
      </c>
      <c r="B6255" s="399" t="s">
        <v>10333</v>
      </c>
      <c r="C6255" s="5" t="s">
        <v>9756</v>
      </c>
      <c r="D6255" s="5" t="s">
        <v>2013</v>
      </c>
      <c r="E6255" s="43">
        <v>1000</v>
      </c>
      <c r="F6255" s="43"/>
      <c r="G6255" s="48">
        <f t="shared" si="155"/>
        <v>82282.405913978</v>
      </c>
      <c r="H6255" s="391" t="s">
        <v>9568</v>
      </c>
    </row>
    <row r="6256" spans="1:8" x14ac:dyDescent="0.3">
      <c r="A6256" s="509">
        <v>45083</v>
      </c>
      <c r="B6256" s="399" t="s">
        <v>12089</v>
      </c>
      <c r="C6256" s="5" t="s">
        <v>11071</v>
      </c>
      <c r="D6256" s="5" t="s">
        <v>11364</v>
      </c>
      <c r="E6256" s="43">
        <v>73000</v>
      </c>
      <c r="F6256" s="43"/>
      <c r="G6256" s="48">
        <f t="shared" si="155"/>
        <v>9282.4059139780002</v>
      </c>
      <c r="H6256" s="391" t="s">
        <v>9568</v>
      </c>
    </row>
    <row r="6257" spans="1:8" x14ac:dyDescent="0.3">
      <c r="A6257" s="509">
        <v>45084</v>
      </c>
      <c r="B6257" s="586"/>
      <c r="C6257" s="486"/>
      <c r="D6257" s="497" t="s">
        <v>11032</v>
      </c>
      <c r="E6257" s="486"/>
      <c r="F6257" s="43">
        <v>900000</v>
      </c>
      <c r="G6257" s="48">
        <f t="shared" si="155"/>
        <v>909282.405913978</v>
      </c>
      <c r="H6257" s="391" t="s">
        <v>9568</v>
      </c>
    </row>
    <row r="6258" spans="1:8" x14ac:dyDescent="0.3">
      <c r="A6258" s="509">
        <v>45084</v>
      </c>
      <c r="B6258" s="399"/>
      <c r="C6258" s="5" t="s">
        <v>4550</v>
      </c>
      <c r="D6258" s="5" t="s">
        <v>294</v>
      </c>
      <c r="E6258" s="43">
        <v>40000</v>
      </c>
      <c r="F6258" s="43"/>
      <c r="G6258" s="48">
        <f>G6257+F6258-E6258</f>
        <v>869282.405913978</v>
      </c>
      <c r="H6258" s="391" t="s">
        <v>9568</v>
      </c>
    </row>
    <row r="6259" spans="1:8" x14ac:dyDescent="0.3">
      <c r="A6259" s="509">
        <v>45084</v>
      </c>
      <c r="B6259" s="399" t="s">
        <v>10974</v>
      </c>
      <c r="C6259" s="5" t="s">
        <v>5793</v>
      </c>
      <c r="D6259" s="5" t="s">
        <v>11365</v>
      </c>
      <c r="E6259" s="43">
        <v>1700</v>
      </c>
      <c r="F6259" s="43"/>
      <c r="G6259" s="48">
        <f t="shared" si="155"/>
        <v>867582.405913978</v>
      </c>
      <c r="H6259" s="391" t="s">
        <v>9568</v>
      </c>
    </row>
    <row r="6260" spans="1:8" x14ac:dyDescent="0.3">
      <c r="A6260" s="509">
        <v>45084</v>
      </c>
      <c r="B6260" s="399"/>
      <c r="C6260" s="5" t="s">
        <v>25</v>
      </c>
      <c r="D6260" s="5" t="s">
        <v>11366</v>
      </c>
      <c r="E6260" s="43">
        <v>800</v>
      </c>
      <c r="F6260" s="43"/>
      <c r="G6260" s="48">
        <f t="shared" si="155"/>
        <v>866782.405913978</v>
      </c>
      <c r="H6260" s="391" t="s">
        <v>9568</v>
      </c>
    </row>
    <row r="6261" spans="1:8" x14ac:dyDescent="0.3">
      <c r="A6261" s="509">
        <v>45084</v>
      </c>
      <c r="B6261" s="399"/>
      <c r="C6261" s="5" t="s">
        <v>30</v>
      </c>
      <c r="D6261" s="5" t="s">
        <v>11367</v>
      </c>
      <c r="E6261" s="43">
        <v>200</v>
      </c>
      <c r="F6261" s="43"/>
      <c r="G6261" s="48">
        <f t="shared" si="155"/>
        <v>866582.405913978</v>
      </c>
      <c r="H6261" s="391" t="s">
        <v>9568</v>
      </c>
    </row>
    <row r="6262" spans="1:8" x14ac:dyDescent="0.3">
      <c r="A6262" s="509">
        <v>45084</v>
      </c>
      <c r="B6262" s="409" t="s">
        <v>10615</v>
      </c>
      <c r="C6262" s="61" t="s">
        <v>54</v>
      </c>
      <c r="D6262" s="61" t="s">
        <v>10577</v>
      </c>
      <c r="E6262" s="62">
        <v>129908</v>
      </c>
      <c r="F6262" s="43"/>
      <c r="G6262" s="48">
        <f t="shared" si="155"/>
        <v>736674.405913978</v>
      </c>
      <c r="H6262" s="391" t="s">
        <v>9568</v>
      </c>
    </row>
    <row r="6263" spans="1:8" x14ac:dyDescent="0.3">
      <c r="A6263" s="509">
        <v>45084</v>
      </c>
      <c r="B6263" s="399" t="s">
        <v>11064</v>
      </c>
      <c r="C6263" s="5" t="s">
        <v>11011</v>
      </c>
      <c r="D6263" s="5" t="s">
        <v>11368</v>
      </c>
      <c r="E6263" s="43">
        <v>81600</v>
      </c>
      <c r="F6263" s="43"/>
      <c r="G6263" s="48">
        <f t="shared" si="155"/>
        <v>655074.405913978</v>
      </c>
      <c r="H6263" s="391" t="s">
        <v>9568</v>
      </c>
    </row>
    <row r="6264" spans="1:8" x14ac:dyDescent="0.3">
      <c r="A6264" s="509">
        <v>45084</v>
      </c>
      <c r="B6264" s="399" t="s">
        <v>118</v>
      </c>
      <c r="C6264" s="5" t="s">
        <v>25</v>
      </c>
      <c r="D6264" s="5" t="s">
        <v>8503</v>
      </c>
      <c r="E6264" s="43">
        <v>3000</v>
      </c>
      <c r="F6264" s="43"/>
      <c r="G6264" s="48">
        <f t="shared" si="155"/>
        <v>652074.405913978</v>
      </c>
      <c r="H6264" s="391" t="s">
        <v>9568</v>
      </c>
    </row>
    <row r="6265" spans="1:8" x14ac:dyDescent="0.3">
      <c r="A6265" s="509">
        <v>45084</v>
      </c>
      <c r="B6265" s="399" t="s">
        <v>693</v>
      </c>
      <c r="C6265" s="5" t="s">
        <v>5793</v>
      </c>
      <c r="D6265" s="5" t="s">
        <v>40</v>
      </c>
      <c r="E6265" s="43">
        <v>400</v>
      </c>
      <c r="F6265" s="43"/>
      <c r="G6265" s="48">
        <f t="shared" si="155"/>
        <v>651674.405913978</v>
      </c>
      <c r="H6265" s="391" t="s">
        <v>9568</v>
      </c>
    </row>
    <row r="6266" spans="1:8" x14ac:dyDescent="0.3">
      <c r="A6266" s="509">
        <v>45084</v>
      </c>
      <c r="B6266" s="409" t="s">
        <v>5914</v>
      </c>
      <c r="C6266" s="61" t="s">
        <v>54</v>
      </c>
      <c r="D6266" s="61" t="s">
        <v>8636</v>
      </c>
      <c r="E6266" s="62">
        <v>131016.12903225806</v>
      </c>
      <c r="F6266" s="298"/>
      <c r="G6266" s="48">
        <f t="shared" si="155"/>
        <v>520658.27688171994</v>
      </c>
      <c r="H6266" s="391" t="s">
        <v>9568</v>
      </c>
    </row>
    <row r="6267" spans="1:8" x14ac:dyDescent="0.3">
      <c r="A6267" s="509">
        <v>45084</v>
      </c>
      <c r="B6267" s="399"/>
      <c r="C6267" s="5" t="s">
        <v>11369</v>
      </c>
      <c r="D6267" s="5" t="s">
        <v>10785</v>
      </c>
      <c r="E6267" s="43">
        <v>43200</v>
      </c>
      <c r="F6267" s="298"/>
      <c r="G6267" s="48">
        <f t="shared" si="155"/>
        <v>477458.27688171994</v>
      </c>
      <c r="H6267" s="391" t="s">
        <v>9568</v>
      </c>
    </row>
    <row r="6268" spans="1:8" x14ac:dyDescent="0.3">
      <c r="A6268" s="509">
        <v>45084</v>
      </c>
      <c r="B6268" s="399"/>
      <c r="C6268" s="5" t="s">
        <v>10463</v>
      </c>
      <c r="D6268" s="5" t="s">
        <v>11370</v>
      </c>
      <c r="E6268" s="43">
        <v>18500</v>
      </c>
      <c r="F6268" s="298"/>
      <c r="G6268" s="48">
        <f t="shared" si="155"/>
        <v>458958.27688171994</v>
      </c>
      <c r="H6268" s="391" t="s">
        <v>9568</v>
      </c>
    </row>
    <row r="6269" spans="1:8" x14ac:dyDescent="0.3">
      <c r="A6269" s="509">
        <v>45084</v>
      </c>
      <c r="B6269" s="399" t="s">
        <v>11064</v>
      </c>
      <c r="C6269" s="5" t="s">
        <v>9756</v>
      </c>
      <c r="D6269" s="5" t="s">
        <v>11371</v>
      </c>
      <c r="E6269" s="43">
        <v>10732</v>
      </c>
      <c r="F6269" s="298"/>
      <c r="G6269" s="48">
        <f t="shared" si="155"/>
        <v>448226.27688171994</v>
      </c>
      <c r="H6269" s="391" t="s">
        <v>9568</v>
      </c>
    </row>
    <row r="6270" spans="1:8" x14ac:dyDescent="0.3">
      <c r="A6270" s="509">
        <v>45084</v>
      </c>
      <c r="B6270" s="399" t="s">
        <v>12089</v>
      </c>
      <c r="C6270" s="5" t="s">
        <v>9756</v>
      </c>
      <c r="D6270" s="5" t="s">
        <v>11371</v>
      </c>
      <c r="E6270" s="43">
        <v>6794</v>
      </c>
      <c r="F6270" s="298"/>
      <c r="G6270" s="48">
        <f t="shared" si="155"/>
        <v>441432.27688171994</v>
      </c>
      <c r="H6270" s="391" t="s">
        <v>9568</v>
      </c>
    </row>
    <row r="6271" spans="1:8" x14ac:dyDescent="0.3">
      <c r="A6271" s="509">
        <v>45084</v>
      </c>
      <c r="B6271" s="399" t="s">
        <v>118</v>
      </c>
      <c r="C6271" s="5" t="s">
        <v>9756</v>
      </c>
      <c r="D6271" s="5" t="s">
        <v>11380</v>
      </c>
      <c r="E6271" s="43">
        <v>15000</v>
      </c>
      <c r="F6271" s="298"/>
      <c r="G6271" s="48">
        <f t="shared" si="155"/>
        <v>426432.27688171994</v>
      </c>
      <c r="H6271" s="391" t="s">
        <v>9568</v>
      </c>
    </row>
    <row r="6272" spans="1:8" x14ac:dyDescent="0.3">
      <c r="A6272" s="509">
        <v>45084</v>
      </c>
      <c r="B6272" s="399"/>
      <c r="C6272" s="5" t="s">
        <v>18</v>
      </c>
      <c r="D6272" s="5" t="s">
        <v>294</v>
      </c>
      <c r="E6272" s="43">
        <v>6000</v>
      </c>
      <c r="F6272" s="298"/>
      <c r="G6272" s="48">
        <f t="shared" si="155"/>
        <v>420432.27688171994</v>
      </c>
      <c r="H6272" s="391" t="s">
        <v>9568</v>
      </c>
    </row>
    <row r="6273" spans="1:8" x14ac:dyDescent="0.3">
      <c r="A6273" s="509">
        <v>45084</v>
      </c>
      <c r="B6273" s="399" t="s">
        <v>5914</v>
      </c>
      <c r="C6273" s="5" t="s">
        <v>6931</v>
      </c>
      <c r="D6273" s="5" t="s">
        <v>11372</v>
      </c>
      <c r="E6273" s="43">
        <v>3000</v>
      </c>
      <c r="F6273" s="298"/>
      <c r="G6273" s="48">
        <f t="shared" si="155"/>
        <v>417432.27688171994</v>
      </c>
      <c r="H6273" s="391" t="s">
        <v>9568</v>
      </c>
    </row>
    <row r="6274" spans="1:8" x14ac:dyDescent="0.3">
      <c r="A6274" s="509">
        <v>45084</v>
      </c>
      <c r="B6274" s="399" t="s">
        <v>5914</v>
      </c>
      <c r="C6274" s="5" t="s">
        <v>6931</v>
      </c>
      <c r="D6274" s="5" t="s">
        <v>11373</v>
      </c>
      <c r="E6274" s="43">
        <v>1000</v>
      </c>
      <c r="F6274" s="298"/>
      <c r="G6274" s="48">
        <f t="shared" si="155"/>
        <v>416432.27688171994</v>
      </c>
      <c r="H6274" s="391" t="s">
        <v>9568</v>
      </c>
    </row>
    <row r="6275" spans="1:8" x14ac:dyDescent="0.3">
      <c r="A6275" s="509">
        <v>45084</v>
      </c>
      <c r="B6275" s="409" t="s">
        <v>10832</v>
      </c>
      <c r="C6275" s="61" t="s">
        <v>54</v>
      </c>
      <c r="D6275" s="61" t="s">
        <v>11374</v>
      </c>
      <c r="E6275" s="62">
        <v>81540</v>
      </c>
      <c r="F6275" s="298"/>
      <c r="G6275" s="48">
        <f t="shared" si="155"/>
        <v>334892.27688171994</v>
      </c>
      <c r="H6275" s="391" t="s">
        <v>9568</v>
      </c>
    </row>
    <row r="6276" spans="1:8" x14ac:dyDescent="0.3">
      <c r="A6276" s="509">
        <v>45084</v>
      </c>
      <c r="B6276" s="399" t="s">
        <v>12089</v>
      </c>
      <c r="C6276" s="61" t="s">
        <v>54</v>
      </c>
      <c r="D6276" s="61" t="s">
        <v>11095</v>
      </c>
      <c r="E6276" s="62">
        <v>40028</v>
      </c>
      <c r="F6276" s="298"/>
      <c r="G6276" s="48">
        <f t="shared" si="155"/>
        <v>294864.27688171994</v>
      </c>
      <c r="H6276" s="391" t="s">
        <v>9568</v>
      </c>
    </row>
    <row r="6277" spans="1:8" x14ac:dyDescent="0.3">
      <c r="A6277" s="509">
        <v>45084</v>
      </c>
      <c r="B6277" s="399" t="s">
        <v>693</v>
      </c>
      <c r="C6277" s="5" t="s">
        <v>5162</v>
      </c>
      <c r="D6277" s="5" t="s">
        <v>11375</v>
      </c>
      <c r="E6277" s="43">
        <v>2000</v>
      </c>
      <c r="F6277" s="298"/>
      <c r="G6277" s="48">
        <f t="shared" si="155"/>
        <v>292864.27688171994</v>
      </c>
      <c r="H6277" s="391" t="s">
        <v>9568</v>
      </c>
    </row>
    <row r="6278" spans="1:8" x14ac:dyDescent="0.3">
      <c r="A6278" s="509">
        <v>45084</v>
      </c>
      <c r="B6278" s="399" t="s">
        <v>12089</v>
      </c>
      <c r="C6278" s="61" t="s">
        <v>54</v>
      </c>
      <c r="D6278" s="61" t="s">
        <v>9703</v>
      </c>
      <c r="E6278" s="62">
        <v>57900</v>
      </c>
      <c r="F6278" s="298"/>
      <c r="G6278" s="48">
        <f t="shared" si="155"/>
        <v>234964.27688171994</v>
      </c>
      <c r="H6278" s="391" t="s">
        <v>9568</v>
      </c>
    </row>
    <row r="6279" spans="1:8" x14ac:dyDescent="0.3">
      <c r="A6279" s="509">
        <v>45084</v>
      </c>
      <c r="B6279" s="409" t="s">
        <v>10974</v>
      </c>
      <c r="C6279" s="61" t="s">
        <v>54</v>
      </c>
      <c r="D6279" s="61" t="s">
        <v>11376</v>
      </c>
      <c r="E6279" s="62">
        <v>62399</v>
      </c>
      <c r="F6279" s="298"/>
      <c r="G6279" s="48">
        <f t="shared" si="155"/>
        <v>172565.27688171994</v>
      </c>
      <c r="H6279" s="391" t="s">
        <v>9568</v>
      </c>
    </row>
    <row r="6280" spans="1:8" x14ac:dyDescent="0.3">
      <c r="A6280" s="509">
        <v>45084</v>
      </c>
      <c r="B6280" s="586"/>
      <c r="C6280" s="486"/>
      <c r="D6280" s="497" t="s">
        <v>4106</v>
      </c>
      <c r="E6280" s="486"/>
      <c r="F6280" s="43">
        <v>250000</v>
      </c>
      <c r="G6280" s="48">
        <f t="shared" si="155"/>
        <v>422565.27688171994</v>
      </c>
      <c r="H6280" s="391" t="s">
        <v>9568</v>
      </c>
    </row>
    <row r="6281" spans="1:8" x14ac:dyDescent="0.3">
      <c r="A6281" s="509">
        <v>45084</v>
      </c>
      <c r="B6281" s="399" t="s">
        <v>10974</v>
      </c>
      <c r="C6281" s="5" t="s">
        <v>11377</v>
      </c>
      <c r="D6281" s="5" t="s">
        <v>11378</v>
      </c>
      <c r="E6281" s="43">
        <v>100000</v>
      </c>
      <c r="F6281" s="298"/>
      <c r="G6281" s="48">
        <f t="shared" si="155"/>
        <v>322565.27688171994</v>
      </c>
      <c r="H6281" s="391" t="s">
        <v>9568</v>
      </c>
    </row>
    <row r="6282" spans="1:8" x14ac:dyDescent="0.3">
      <c r="A6282" s="509">
        <v>45084</v>
      </c>
      <c r="B6282" s="399" t="s">
        <v>10615</v>
      </c>
      <c r="C6282" s="5" t="s">
        <v>4125</v>
      </c>
      <c r="D6282" s="5" t="s">
        <v>11379</v>
      </c>
      <c r="E6282" s="43">
        <v>50000</v>
      </c>
      <c r="F6282" s="298"/>
      <c r="G6282" s="48">
        <f t="shared" si="155"/>
        <v>272565.27688171994</v>
      </c>
      <c r="H6282" s="391" t="s">
        <v>9568</v>
      </c>
    </row>
    <row r="6283" spans="1:8" x14ac:dyDescent="0.3">
      <c r="A6283" s="509">
        <v>45084</v>
      </c>
      <c r="B6283" s="518"/>
      <c r="C6283" s="517" t="s">
        <v>14</v>
      </c>
      <c r="D6283" s="517" t="s">
        <v>11381</v>
      </c>
      <c r="E6283" s="519">
        <v>100000</v>
      </c>
      <c r="F6283" s="298"/>
      <c r="G6283" s="48">
        <f t="shared" si="155"/>
        <v>172565.27688171994</v>
      </c>
      <c r="H6283" s="391" t="s">
        <v>9568</v>
      </c>
    </row>
    <row r="6284" spans="1:8" x14ac:dyDescent="0.3">
      <c r="A6284" s="509">
        <v>45084</v>
      </c>
      <c r="B6284" s="399" t="s">
        <v>8924</v>
      </c>
      <c r="C6284" s="5" t="s">
        <v>5793</v>
      </c>
      <c r="D6284" s="5" t="s">
        <v>40</v>
      </c>
      <c r="E6284" s="43">
        <v>470</v>
      </c>
      <c r="F6284" s="298"/>
      <c r="G6284" s="48">
        <f t="shared" si="155"/>
        <v>172095.27688171994</v>
      </c>
      <c r="H6284" s="391" t="s">
        <v>9568</v>
      </c>
    </row>
    <row r="6285" spans="1:8" x14ac:dyDescent="0.3">
      <c r="A6285" s="509">
        <v>45084</v>
      </c>
      <c r="B6285" s="409" t="s">
        <v>10832</v>
      </c>
      <c r="C6285" s="61" t="s">
        <v>54</v>
      </c>
      <c r="D6285" s="61" t="s">
        <v>11382</v>
      </c>
      <c r="E6285" s="62">
        <f>50000+23850</f>
        <v>73850</v>
      </c>
      <c r="F6285" s="298"/>
      <c r="G6285" s="48">
        <f t="shared" si="155"/>
        <v>98245.276881719939</v>
      </c>
      <c r="H6285" s="391" t="s">
        <v>9568</v>
      </c>
    </row>
    <row r="6286" spans="1:8" x14ac:dyDescent="0.3">
      <c r="A6286" s="509">
        <v>45084</v>
      </c>
      <c r="B6286" s="409" t="s">
        <v>10832</v>
      </c>
      <c r="C6286" s="61" t="s">
        <v>54</v>
      </c>
      <c r="D6286" s="61" t="s">
        <v>11383</v>
      </c>
      <c r="E6286" s="62">
        <f>39030+14750</f>
        <v>53780</v>
      </c>
      <c r="F6286" s="298"/>
      <c r="G6286" s="48">
        <f t="shared" si="155"/>
        <v>44465.276881719939</v>
      </c>
      <c r="H6286" s="391" t="s">
        <v>9568</v>
      </c>
    </row>
    <row r="6287" spans="1:8" x14ac:dyDescent="0.3">
      <c r="A6287" s="509">
        <v>45084</v>
      </c>
      <c r="B6287" s="399" t="s">
        <v>10766</v>
      </c>
      <c r="C6287" s="5" t="s">
        <v>107</v>
      </c>
      <c r="D6287" s="5" t="s">
        <v>11384</v>
      </c>
      <c r="E6287" s="43">
        <v>12000</v>
      </c>
      <c r="F6287" s="298"/>
      <c r="G6287" s="48">
        <f t="shared" si="155"/>
        <v>32465.276881719939</v>
      </c>
      <c r="H6287" s="391" t="s">
        <v>9568</v>
      </c>
    </row>
    <row r="6288" spans="1:8" x14ac:dyDescent="0.3">
      <c r="A6288" s="509">
        <v>45084</v>
      </c>
      <c r="B6288" s="409" t="s">
        <v>118</v>
      </c>
      <c r="C6288" s="61" t="s">
        <v>54</v>
      </c>
      <c r="D6288" s="61" t="s">
        <v>11385</v>
      </c>
      <c r="E6288" s="62">
        <v>30550</v>
      </c>
      <c r="F6288" s="298"/>
      <c r="G6288" s="48">
        <f t="shared" si="155"/>
        <v>1915.2768817199394</v>
      </c>
      <c r="H6288" s="391" t="s">
        <v>9568</v>
      </c>
    </row>
    <row r="6289" spans="1:8" x14ac:dyDescent="0.3">
      <c r="A6289" s="509">
        <v>45085</v>
      </c>
      <c r="B6289" s="586"/>
      <c r="C6289" s="486"/>
      <c r="D6289" s="497" t="s">
        <v>4106</v>
      </c>
      <c r="E6289" s="486"/>
      <c r="F6289" s="43">
        <v>500000</v>
      </c>
      <c r="G6289" s="48">
        <f t="shared" si="155"/>
        <v>501915.27688171994</v>
      </c>
      <c r="H6289" s="391" t="s">
        <v>9568</v>
      </c>
    </row>
    <row r="6290" spans="1:8" x14ac:dyDescent="0.3">
      <c r="A6290" s="509">
        <v>45084</v>
      </c>
      <c r="B6290" s="399"/>
      <c r="C6290" s="5" t="s">
        <v>84</v>
      </c>
      <c r="D6290" s="5" t="s">
        <v>11386</v>
      </c>
      <c r="E6290" s="43">
        <v>5000</v>
      </c>
      <c r="F6290" s="298"/>
      <c r="G6290" s="48">
        <f t="shared" si="155"/>
        <v>496915.27688171994</v>
      </c>
      <c r="H6290" s="391" t="s">
        <v>9568</v>
      </c>
    </row>
    <row r="6291" spans="1:8" x14ac:dyDescent="0.3">
      <c r="A6291" s="509">
        <v>45085</v>
      </c>
      <c r="B6291" s="399"/>
      <c r="C6291" s="5" t="s">
        <v>541</v>
      </c>
      <c r="D6291" s="5" t="s">
        <v>294</v>
      </c>
      <c r="E6291" s="43">
        <v>200000</v>
      </c>
      <c r="F6291" s="298"/>
      <c r="G6291" s="48">
        <f t="shared" si="155"/>
        <v>296915.27688171994</v>
      </c>
      <c r="H6291" s="391" t="s">
        <v>9568</v>
      </c>
    </row>
    <row r="6292" spans="1:8" x14ac:dyDescent="0.3">
      <c r="A6292" s="509">
        <v>45085</v>
      </c>
      <c r="B6292" s="399" t="s">
        <v>12089</v>
      </c>
      <c r="C6292" s="5" t="s">
        <v>10175</v>
      </c>
      <c r="D6292" s="5" t="s">
        <v>11387</v>
      </c>
      <c r="E6292" s="43">
        <v>50000</v>
      </c>
      <c r="F6292" s="298"/>
      <c r="G6292" s="48">
        <f t="shared" si="155"/>
        <v>246915.27688171994</v>
      </c>
      <c r="H6292" s="391" t="s">
        <v>9568</v>
      </c>
    </row>
    <row r="6293" spans="1:8" x14ac:dyDescent="0.3">
      <c r="A6293" s="509">
        <v>45085</v>
      </c>
      <c r="B6293" s="399"/>
      <c r="C6293" s="5" t="s">
        <v>14</v>
      </c>
      <c r="D6293" s="5" t="s">
        <v>294</v>
      </c>
      <c r="E6293" s="43">
        <v>2000</v>
      </c>
      <c r="F6293" s="298"/>
      <c r="G6293" s="48">
        <f t="shared" si="155"/>
        <v>244915.27688171994</v>
      </c>
      <c r="H6293" s="391" t="s">
        <v>9568</v>
      </c>
    </row>
    <row r="6294" spans="1:8" x14ac:dyDescent="0.3">
      <c r="A6294" s="509">
        <v>45085</v>
      </c>
      <c r="B6294" s="399" t="s">
        <v>118</v>
      </c>
      <c r="C6294" s="5" t="s">
        <v>25</v>
      </c>
      <c r="D6294" s="5" t="s">
        <v>8503</v>
      </c>
      <c r="E6294" s="43">
        <v>2500</v>
      </c>
      <c r="F6294" s="298"/>
      <c r="G6294" s="48">
        <f t="shared" si="155"/>
        <v>242415.27688171994</v>
      </c>
      <c r="H6294" s="391" t="s">
        <v>9568</v>
      </c>
    </row>
    <row r="6295" spans="1:8" x14ac:dyDescent="0.3">
      <c r="A6295" s="509">
        <v>45085</v>
      </c>
      <c r="B6295" s="409" t="s">
        <v>10832</v>
      </c>
      <c r="C6295" s="61" t="s">
        <v>54</v>
      </c>
      <c r="D6295" s="61" t="s">
        <v>11404</v>
      </c>
      <c r="E6295" s="62">
        <v>82340</v>
      </c>
      <c r="F6295" s="298"/>
      <c r="G6295" s="48">
        <f t="shared" si="155"/>
        <v>160075.27688171994</v>
      </c>
      <c r="H6295" s="391" t="s">
        <v>9568</v>
      </c>
    </row>
    <row r="6296" spans="1:8" x14ac:dyDescent="0.3">
      <c r="A6296" s="509">
        <v>45085</v>
      </c>
      <c r="B6296" s="409" t="s">
        <v>10333</v>
      </c>
      <c r="C6296" s="61" t="s">
        <v>54</v>
      </c>
      <c r="D6296" s="61" t="s">
        <v>11391</v>
      </c>
      <c r="E6296" s="62">
        <v>35000</v>
      </c>
      <c r="F6296" s="298"/>
      <c r="G6296" s="48">
        <f t="shared" si="155"/>
        <v>125075.27688171994</v>
      </c>
      <c r="H6296" s="391" t="s">
        <v>9568</v>
      </c>
    </row>
    <row r="6297" spans="1:8" x14ac:dyDescent="0.3">
      <c r="A6297" s="509">
        <v>45085</v>
      </c>
      <c r="B6297" s="409" t="s">
        <v>10333</v>
      </c>
      <c r="C6297" s="61" t="s">
        <v>54</v>
      </c>
      <c r="D6297" s="61" t="s">
        <v>11388</v>
      </c>
      <c r="E6297" s="62">
        <v>59782</v>
      </c>
      <c r="F6297" s="298"/>
      <c r="G6297" s="48">
        <f t="shared" si="155"/>
        <v>65293.276881719939</v>
      </c>
      <c r="H6297" s="391" t="s">
        <v>9568</v>
      </c>
    </row>
    <row r="6298" spans="1:8" x14ac:dyDescent="0.3">
      <c r="A6298" s="509">
        <v>45085</v>
      </c>
      <c r="B6298" s="399" t="s">
        <v>10766</v>
      </c>
      <c r="C6298" s="5" t="s">
        <v>107</v>
      </c>
      <c r="D6298" s="5" t="s">
        <v>11389</v>
      </c>
      <c r="E6298" s="43">
        <v>15000</v>
      </c>
      <c r="F6298" s="298"/>
      <c r="G6298" s="48">
        <f t="shared" si="155"/>
        <v>50293.276881719939</v>
      </c>
      <c r="H6298" s="391" t="s">
        <v>9568</v>
      </c>
    </row>
    <row r="6299" spans="1:8" x14ac:dyDescent="0.3">
      <c r="A6299" s="509">
        <v>45085</v>
      </c>
      <c r="B6299" s="399" t="s">
        <v>10333</v>
      </c>
      <c r="C6299" s="5" t="s">
        <v>11194</v>
      </c>
      <c r="D6299" s="5" t="s">
        <v>11390</v>
      </c>
      <c r="E6299" s="65">
        <v>39780</v>
      </c>
      <c r="F6299" s="298"/>
      <c r="G6299" s="48">
        <f t="shared" si="155"/>
        <v>10513.276881719939</v>
      </c>
      <c r="H6299" s="391" t="s">
        <v>9568</v>
      </c>
    </row>
    <row r="6300" spans="1:8" x14ac:dyDescent="0.3">
      <c r="A6300" s="509">
        <v>45086</v>
      </c>
      <c r="B6300" s="399" t="s">
        <v>11064</v>
      </c>
      <c r="C6300" s="5" t="s">
        <v>5793</v>
      </c>
      <c r="D6300" s="5" t="s">
        <v>40</v>
      </c>
      <c r="E6300" s="43">
        <v>1200</v>
      </c>
      <c r="F6300" s="298"/>
      <c r="G6300" s="48">
        <f t="shared" si="155"/>
        <v>9313.2768817199394</v>
      </c>
      <c r="H6300" s="391" t="s">
        <v>9568</v>
      </c>
    </row>
    <row r="6301" spans="1:8" x14ac:dyDescent="0.3">
      <c r="A6301" s="509">
        <v>45086</v>
      </c>
      <c r="B6301" s="399" t="s">
        <v>11064</v>
      </c>
      <c r="C6301" s="5" t="s">
        <v>5793</v>
      </c>
      <c r="D6301" s="5" t="s">
        <v>40</v>
      </c>
      <c r="E6301" s="43">
        <v>1200</v>
      </c>
      <c r="F6301" s="298"/>
      <c r="G6301" s="48">
        <f t="shared" si="155"/>
        <v>8113.2768817199394</v>
      </c>
      <c r="H6301" s="391" t="s">
        <v>9568</v>
      </c>
    </row>
    <row r="6302" spans="1:8" x14ac:dyDescent="0.3">
      <c r="A6302" s="509">
        <v>45086</v>
      </c>
      <c r="B6302" s="399" t="s">
        <v>10974</v>
      </c>
      <c r="C6302" s="5" t="s">
        <v>5793</v>
      </c>
      <c r="D6302" s="5" t="s">
        <v>40</v>
      </c>
      <c r="E6302" s="43">
        <v>800</v>
      </c>
      <c r="F6302" s="298"/>
      <c r="G6302" s="48">
        <f t="shared" si="155"/>
        <v>7313.2768817199394</v>
      </c>
      <c r="H6302" s="391" t="s">
        <v>9568</v>
      </c>
    </row>
    <row r="6303" spans="1:8" x14ac:dyDescent="0.3">
      <c r="A6303" s="509">
        <v>45086</v>
      </c>
      <c r="B6303" s="586"/>
      <c r="C6303" s="486"/>
      <c r="D6303" s="497" t="s">
        <v>4106</v>
      </c>
      <c r="E6303" s="486"/>
      <c r="F6303" s="43">
        <v>300000</v>
      </c>
      <c r="G6303" s="48">
        <f t="shared" si="155"/>
        <v>307313.27688171994</v>
      </c>
      <c r="H6303" s="391" t="s">
        <v>9568</v>
      </c>
    </row>
    <row r="6304" spans="1:8" x14ac:dyDescent="0.3">
      <c r="A6304" s="509">
        <v>45086</v>
      </c>
      <c r="B6304" s="399" t="s">
        <v>10333</v>
      </c>
      <c r="C6304" s="5" t="s">
        <v>247</v>
      </c>
      <c r="D6304" s="5" t="s">
        <v>10967</v>
      </c>
      <c r="E6304" s="43">
        <v>10000</v>
      </c>
      <c r="F6304" s="298"/>
      <c r="G6304" s="48">
        <f t="shared" si="155"/>
        <v>297313.27688171994</v>
      </c>
      <c r="H6304" s="391" t="s">
        <v>9568</v>
      </c>
    </row>
    <row r="6305" spans="1:8" x14ac:dyDescent="0.3">
      <c r="A6305" s="509">
        <v>45086</v>
      </c>
      <c r="B6305" s="399" t="s">
        <v>11393</v>
      </c>
      <c r="C6305" s="5" t="s">
        <v>5793</v>
      </c>
      <c r="D6305" s="5" t="s">
        <v>40</v>
      </c>
      <c r="E6305" s="43">
        <v>1700</v>
      </c>
      <c r="F6305" s="298"/>
      <c r="G6305" s="48">
        <f t="shared" si="155"/>
        <v>295613.27688171994</v>
      </c>
      <c r="H6305" s="391" t="s">
        <v>9568</v>
      </c>
    </row>
    <row r="6306" spans="1:8" x14ac:dyDescent="0.3">
      <c r="A6306" s="509">
        <v>45086</v>
      </c>
      <c r="B6306" s="399" t="s">
        <v>11064</v>
      </c>
      <c r="C6306" s="5" t="s">
        <v>5793</v>
      </c>
      <c r="D6306" s="5" t="s">
        <v>40</v>
      </c>
      <c r="E6306" s="43">
        <v>1000</v>
      </c>
      <c r="F6306" s="298"/>
      <c r="G6306" s="48">
        <f t="shared" si="155"/>
        <v>294613.27688171994</v>
      </c>
      <c r="H6306" s="391" t="s">
        <v>9568</v>
      </c>
    </row>
    <row r="6307" spans="1:8" x14ac:dyDescent="0.3">
      <c r="A6307" s="509">
        <v>45086</v>
      </c>
      <c r="B6307" s="399" t="s">
        <v>11064</v>
      </c>
      <c r="C6307" s="5" t="s">
        <v>5793</v>
      </c>
      <c r="D6307" s="5" t="s">
        <v>40</v>
      </c>
      <c r="E6307" s="43">
        <v>2500</v>
      </c>
      <c r="F6307" s="298"/>
      <c r="G6307" s="48">
        <f t="shared" si="155"/>
        <v>292113.27688171994</v>
      </c>
      <c r="H6307" s="391" t="s">
        <v>9568</v>
      </c>
    </row>
    <row r="6308" spans="1:8" x14ac:dyDescent="0.3">
      <c r="A6308" s="509">
        <v>45086</v>
      </c>
      <c r="B6308" s="409" t="s">
        <v>118</v>
      </c>
      <c r="C6308" s="61" t="s">
        <v>54</v>
      </c>
      <c r="D6308" s="61" t="s">
        <v>11399</v>
      </c>
      <c r="E6308" s="62">
        <f>40000+60000+60000</f>
        <v>160000</v>
      </c>
      <c r="F6308" s="298"/>
      <c r="G6308" s="48">
        <f t="shared" si="155"/>
        <v>132113.27688171994</v>
      </c>
      <c r="H6308" s="391" t="s">
        <v>9568</v>
      </c>
    </row>
    <row r="6309" spans="1:8" x14ac:dyDescent="0.3">
      <c r="A6309" s="509">
        <v>45086</v>
      </c>
      <c r="B6309" s="399" t="s">
        <v>10832</v>
      </c>
      <c r="C6309" s="5" t="s">
        <v>4550</v>
      </c>
      <c r="D6309" s="5" t="s">
        <v>294</v>
      </c>
      <c r="E6309" s="43">
        <v>100000</v>
      </c>
      <c r="F6309" s="298"/>
      <c r="G6309" s="48">
        <f t="shared" si="155"/>
        <v>32113.276881719939</v>
      </c>
      <c r="H6309" s="391" t="s">
        <v>9568</v>
      </c>
    </row>
    <row r="6310" spans="1:8" x14ac:dyDescent="0.3">
      <c r="A6310" s="509">
        <v>45086</v>
      </c>
      <c r="B6310" s="399" t="s">
        <v>11772</v>
      </c>
      <c r="C6310" s="5" t="s">
        <v>11194</v>
      </c>
      <c r="D6310" s="5" t="s">
        <v>11394</v>
      </c>
      <c r="E6310" s="43">
        <v>420</v>
      </c>
      <c r="F6310" s="298"/>
      <c r="G6310" s="48">
        <f t="shared" si="155"/>
        <v>31693.276881719939</v>
      </c>
      <c r="H6310" s="391" t="s">
        <v>9568</v>
      </c>
    </row>
    <row r="6311" spans="1:8" x14ac:dyDescent="0.3">
      <c r="A6311" s="509">
        <v>45086</v>
      </c>
      <c r="B6311" s="399" t="s">
        <v>10974</v>
      </c>
      <c r="C6311" s="5" t="s">
        <v>9325</v>
      </c>
      <c r="D6311" s="5" t="s">
        <v>4583</v>
      </c>
      <c r="E6311" s="43">
        <v>1500</v>
      </c>
      <c r="F6311" s="298"/>
      <c r="G6311" s="48">
        <f t="shared" si="155"/>
        <v>30193.276881719939</v>
      </c>
      <c r="H6311" s="391" t="s">
        <v>9568</v>
      </c>
    </row>
    <row r="6312" spans="1:8" x14ac:dyDescent="0.3">
      <c r="A6312" s="509">
        <v>45086</v>
      </c>
      <c r="B6312" s="399"/>
      <c r="C6312" s="5" t="s">
        <v>84</v>
      </c>
      <c r="D6312" s="5" t="s">
        <v>11395</v>
      </c>
      <c r="E6312" s="62">
        <v>5000</v>
      </c>
      <c r="F6312" s="298"/>
      <c r="G6312" s="48">
        <f t="shared" si="155"/>
        <v>25193.276881719939</v>
      </c>
      <c r="H6312" s="391" t="s">
        <v>9568</v>
      </c>
    </row>
    <row r="6313" spans="1:8" x14ac:dyDescent="0.3">
      <c r="A6313" s="509">
        <v>45086</v>
      </c>
      <c r="B6313" s="399" t="s">
        <v>11397</v>
      </c>
      <c r="C6313" s="5" t="s">
        <v>8128</v>
      </c>
      <c r="D6313" s="5" t="s">
        <v>11398</v>
      </c>
      <c r="E6313" s="43">
        <v>8230</v>
      </c>
      <c r="F6313" s="298"/>
      <c r="G6313" s="48">
        <f t="shared" si="155"/>
        <v>16963.276881719939</v>
      </c>
      <c r="H6313" s="391" t="s">
        <v>9568</v>
      </c>
    </row>
    <row r="6314" spans="1:8" x14ac:dyDescent="0.3">
      <c r="A6314" s="509">
        <v>45086</v>
      </c>
      <c r="B6314" s="399" t="s">
        <v>10615</v>
      </c>
      <c r="C6314" s="5" t="s">
        <v>4247</v>
      </c>
      <c r="D6314" s="5" t="s">
        <v>11400</v>
      </c>
      <c r="E6314" s="43">
        <v>15000</v>
      </c>
      <c r="F6314" s="298"/>
      <c r="G6314" s="48">
        <f t="shared" si="155"/>
        <v>1963.2768817199394</v>
      </c>
      <c r="H6314" s="391" t="s">
        <v>9568</v>
      </c>
    </row>
    <row r="6315" spans="1:8" x14ac:dyDescent="0.3">
      <c r="A6315" s="509">
        <v>45089</v>
      </c>
      <c r="B6315" s="586"/>
      <c r="C6315" s="486"/>
      <c r="D6315" s="497" t="s">
        <v>11032</v>
      </c>
      <c r="E6315" s="486"/>
      <c r="F6315" s="43">
        <v>300000</v>
      </c>
      <c r="G6315" s="48">
        <f t="shared" si="155"/>
        <v>301963.27688171994</v>
      </c>
      <c r="H6315" s="391" t="s">
        <v>9568</v>
      </c>
    </row>
    <row r="6316" spans="1:8" x14ac:dyDescent="0.3">
      <c r="A6316" s="509">
        <v>45089</v>
      </c>
      <c r="B6316" s="399" t="s">
        <v>693</v>
      </c>
      <c r="C6316" s="5" t="s">
        <v>5793</v>
      </c>
      <c r="D6316" s="5" t="s">
        <v>40</v>
      </c>
      <c r="E6316" s="43">
        <v>400</v>
      </c>
      <c r="F6316" s="298"/>
      <c r="G6316" s="48">
        <f t="shared" si="155"/>
        <v>301563.27688171994</v>
      </c>
      <c r="H6316" s="391" t="s">
        <v>9568</v>
      </c>
    </row>
    <row r="6317" spans="1:8" x14ac:dyDescent="0.3">
      <c r="A6317" s="509">
        <v>45089</v>
      </c>
      <c r="B6317" s="399" t="s">
        <v>12089</v>
      </c>
      <c r="C6317" s="5" t="s">
        <v>5162</v>
      </c>
      <c r="D6317" s="5" t="s">
        <v>4187</v>
      </c>
      <c r="E6317" s="43">
        <v>3000</v>
      </c>
      <c r="F6317" s="298"/>
      <c r="G6317" s="48">
        <f t="shared" ref="G6317:G6380" si="156">G6316+F6317-E6317</f>
        <v>298563.27688171994</v>
      </c>
      <c r="H6317" s="391" t="s">
        <v>9568</v>
      </c>
    </row>
    <row r="6318" spans="1:8" x14ac:dyDescent="0.3">
      <c r="A6318" s="509">
        <v>45089</v>
      </c>
      <c r="B6318" s="399" t="s">
        <v>11772</v>
      </c>
      <c r="C6318" s="5" t="s">
        <v>11194</v>
      </c>
      <c r="D6318" s="5" t="s">
        <v>11402</v>
      </c>
      <c r="E6318" s="43">
        <v>1000</v>
      </c>
      <c r="F6318" s="298"/>
      <c r="G6318" s="48">
        <f t="shared" si="156"/>
        <v>297563.27688171994</v>
      </c>
      <c r="H6318" s="391" t="s">
        <v>9568</v>
      </c>
    </row>
    <row r="6319" spans="1:8" x14ac:dyDescent="0.3">
      <c r="A6319" s="509">
        <v>45089</v>
      </c>
      <c r="B6319" s="399" t="s">
        <v>11393</v>
      </c>
      <c r="C6319" s="5" t="s">
        <v>11194</v>
      </c>
      <c r="D6319" s="5" t="s">
        <v>11403</v>
      </c>
      <c r="E6319" s="43">
        <v>900</v>
      </c>
      <c r="F6319" s="298"/>
      <c r="G6319" s="48">
        <f t="shared" si="156"/>
        <v>296663.27688171994</v>
      </c>
      <c r="H6319" s="391" t="s">
        <v>9568</v>
      </c>
    </row>
    <row r="6320" spans="1:8" x14ac:dyDescent="0.3">
      <c r="A6320" s="509">
        <v>45089</v>
      </c>
      <c r="B6320" s="399" t="s">
        <v>10333</v>
      </c>
      <c r="C6320" s="5" t="s">
        <v>9756</v>
      </c>
      <c r="D6320" s="5" t="s">
        <v>11405</v>
      </c>
      <c r="E6320" s="43">
        <v>76600</v>
      </c>
      <c r="F6320" s="298"/>
      <c r="G6320" s="48">
        <f t="shared" si="156"/>
        <v>220063.27688171994</v>
      </c>
      <c r="H6320" s="391" t="s">
        <v>9568</v>
      </c>
    </row>
    <row r="6321" spans="1:12" x14ac:dyDescent="0.3">
      <c r="A6321" s="509">
        <v>45089</v>
      </c>
      <c r="B6321" s="409" t="s">
        <v>9925</v>
      </c>
      <c r="C6321" s="61" t="s">
        <v>54</v>
      </c>
      <c r="D6321" s="61" t="s">
        <v>11408</v>
      </c>
      <c r="E6321" s="62">
        <v>127744</v>
      </c>
      <c r="F6321" s="298"/>
      <c r="G6321" s="48">
        <f t="shared" si="156"/>
        <v>92319.276881719939</v>
      </c>
      <c r="H6321" s="391" t="s">
        <v>9568</v>
      </c>
      <c r="I6321" s="508"/>
    </row>
    <row r="6322" spans="1:12" x14ac:dyDescent="0.3">
      <c r="A6322" s="509">
        <v>45089</v>
      </c>
      <c r="B6322" s="409" t="s">
        <v>9925</v>
      </c>
      <c r="C6322" s="61" t="s">
        <v>54</v>
      </c>
      <c r="D6322" s="61" t="s">
        <v>11407</v>
      </c>
      <c r="E6322" s="62">
        <v>28000</v>
      </c>
      <c r="F6322" s="298"/>
      <c r="G6322" s="48">
        <f t="shared" si="156"/>
        <v>64319.276881719939</v>
      </c>
      <c r="H6322" s="391" t="s">
        <v>9568</v>
      </c>
      <c r="I6322" s="508"/>
      <c r="L6322" s="93"/>
    </row>
    <row r="6323" spans="1:12" x14ac:dyDescent="0.3">
      <c r="A6323" s="509">
        <v>45089</v>
      </c>
      <c r="B6323" s="399" t="s">
        <v>11772</v>
      </c>
      <c r="C6323" s="5" t="s">
        <v>5793</v>
      </c>
      <c r="D6323" s="5" t="s">
        <v>40</v>
      </c>
      <c r="E6323" s="43">
        <v>1700</v>
      </c>
      <c r="F6323" s="298"/>
      <c r="G6323" s="48">
        <f t="shared" si="156"/>
        <v>62619.276881719939</v>
      </c>
      <c r="H6323" s="391" t="s">
        <v>9568</v>
      </c>
      <c r="I6323" s="508"/>
    </row>
    <row r="6324" spans="1:12" x14ac:dyDescent="0.3">
      <c r="A6324" s="509">
        <v>45089</v>
      </c>
      <c r="B6324" s="399" t="s">
        <v>12089</v>
      </c>
      <c r="C6324" s="5" t="s">
        <v>5793</v>
      </c>
      <c r="D6324" s="5" t="s">
        <v>40</v>
      </c>
      <c r="E6324" s="43">
        <v>600</v>
      </c>
      <c r="F6324" s="298"/>
      <c r="G6324" s="48">
        <f t="shared" si="156"/>
        <v>62019.276881719939</v>
      </c>
      <c r="H6324" s="391" t="s">
        <v>9568</v>
      </c>
    </row>
    <row r="6325" spans="1:12" x14ac:dyDescent="0.3">
      <c r="A6325" s="509">
        <v>45089</v>
      </c>
      <c r="B6325" s="399" t="s">
        <v>693</v>
      </c>
      <c r="C6325" s="5" t="s">
        <v>5793</v>
      </c>
      <c r="D6325" s="5" t="s">
        <v>40</v>
      </c>
      <c r="E6325" s="43">
        <v>400</v>
      </c>
      <c r="F6325" s="298"/>
      <c r="G6325" s="48">
        <f t="shared" si="156"/>
        <v>61619.276881719939</v>
      </c>
      <c r="H6325" s="391" t="s">
        <v>9568</v>
      </c>
    </row>
    <row r="6326" spans="1:12" x14ac:dyDescent="0.3">
      <c r="A6326" s="509">
        <v>45089</v>
      </c>
      <c r="B6326" s="399" t="s">
        <v>10974</v>
      </c>
      <c r="C6326" s="5" t="s">
        <v>5793</v>
      </c>
      <c r="D6326" s="5"/>
      <c r="E6326" s="43">
        <v>1000</v>
      </c>
      <c r="F6326" s="298"/>
      <c r="G6326" s="48">
        <f t="shared" si="156"/>
        <v>60619.276881719939</v>
      </c>
      <c r="H6326" s="391" t="s">
        <v>9568</v>
      </c>
    </row>
    <row r="6327" spans="1:12" x14ac:dyDescent="0.3">
      <c r="A6327" s="509">
        <v>45089</v>
      </c>
      <c r="B6327" s="399" t="s">
        <v>9925</v>
      </c>
      <c r="C6327" s="5" t="s">
        <v>11409</v>
      </c>
      <c r="D6327" s="5" t="s">
        <v>11410</v>
      </c>
      <c r="E6327" s="43">
        <v>2500</v>
      </c>
      <c r="F6327" s="298"/>
      <c r="G6327" s="48">
        <f t="shared" si="156"/>
        <v>58119.276881719939</v>
      </c>
      <c r="H6327" s="391" t="s">
        <v>9568</v>
      </c>
    </row>
    <row r="6328" spans="1:12" x14ac:dyDescent="0.3">
      <c r="A6328" s="509">
        <v>45089</v>
      </c>
      <c r="B6328" s="399" t="s">
        <v>11064</v>
      </c>
      <c r="C6328" s="5" t="s">
        <v>5793</v>
      </c>
      <c r="D6328" s="5" t="s">
        <v>11412</v>
      </c>
      <c r="E6328" s="43">
        <v>1700</v>
      </c>
      <c r="F6328" s="298"/>
      <c r="G6328" s="48">
        <f t="shared" si="156"/>
        <v>56419.276881719939</v>
      </c>
      <c r="H6328" s="391" t="s">
        <v>9568</v>
      </c>
    </row>
    <row r="6329" spans="1:12" x14ac:dyDescent="0.3">
      <c r="A6329" s="509">
        <v>45089</v>
      </c>
      <c r="B6329" s="399" t="s">
        <v>118</v>
      </c>
      <c r="C6329" s="5" t="s">
        <v>25</v>
      </c>
      <c r="D6329" s="5" t="s">
        <v>8503</v>
      </c>
      <c r="E6329" s="43">
        <v>3500</v>
      </c>
      <c r="F6329" s="298"/>
      <c r="G6329" s="48">
        <f t="shared" si="156"/>
        <v>52919.276881719939</v>
      </c>
      <c r="H6329" s="391" t="s">
        <v>9568</v>
      </c>
    </row>
    <row r="6330" spans="1:12" x14ac:dyDescent="0.3">
      <c r="A6330" s="509">
        <v>45089</v>
      </c>
      <c r="B6330" s="399"/>
      <c r="C6330" s="5" t="s">
        <v>84</v>
      </c>
      <c r="D6330" s="5" t="s">
        <v>11413</v>
      </c>
      <c r="E6330" s="62">
        <v>2000</v>
      </c>
      <c r="F6330" s="298"/>
      <c r="G6330" s="48">
        <f t="shared" si="156"/>
        <v>50919.276881719939</v>
      </c>
      <c r="H6330" s="391" t="s">
        <v>9568</v>
      </c>
    </row>
    <row r="6331" spans="1:12" x14ac:dyDescent="0.3">
      <c r="A6331" s="509">
        <v>45089</v>
      </c>
      <c r="B6331" s="399" t="s">
        <v>11772</v>
      </c>
      <c r="C6331" s="5" t="s">
        <v>5793</v>
      </c>
      <c r="D6331" s="5" t="s">
        <v>40</v>
      </c>
      <c r="E6331" s="43">
        <v>700</v>
      </c>
      <c r="F6331" s="298"/>
      <c r="G6331" s="48">
        <f t="shared" si="156"/>
        <v>50219.276881719939</v>
      </c>
      <c r="H6331" s="391" t="s">
        <v>9568</v>
      </c>
    </row>
    <row r="6332" spans="1:12" x14ac:dyDescent="0.3">
      <c r="A6332" s="509">
        <v>45089</v>
      </c>
      <c r="B6332" s="586"/>
      <c r="C6332" s="486"/>
      <c r="D6332" s="497" t="s">
        <v>11032</v>
      </c>
      <c r="E6332" s="486"/>
      <c r="F6332" s="43">
        <v>50000</v>
      </c>
      <c r="G6332" s="48">
        <f t="shared" si="156"/>
        <v>100219.27688171994</v>
      </c>
      <c r="H6332" s="391" t="s">
        <v>9568</v>
      </c>
    </row>
    <row r="6333" spans="1:12" x14ac:dyDescent="0.3">
      <c r="A6333" s="509">
        <v>45089</v>
      </c>
      <c r="B6333" s="409" t="s">
        <v>10974</v>
      </c>
      <c r="C6333" s="61" t="s">
        <v>54</v>
      </c>
      <c r="D6333" s="61" t="s">
        <v>11414</v>
      </c>
      <c r="E6333" s="62">
        <v>60360</v>
      </c>
      <c r="F6333" s="298"/>
      <c r="G6333" s="48">
        <f t="shared" si="156"/>
        <v>39859.276881719939</v>
      </c>
      <c r="H6333" s="391" t="s">
        <v>9568</v>
      </c>
    </row>
    <row r="6334" spans="1:12" x14ac:dyDescent="0.3">
      <c r="A6334" s="509">
        <v>45090</v>
      </c>
      <c r="B6334" s="399"/>
      <c r="C6334" s="5" t="s">
        <v>14</v>
      </c>
      <c r="D6334" s="5" t="s">
        <v>11415</v>
      </c>
      <c r="E6334" s="43">
        <v>26007</v>
      </c>
      <c r="F6334" s="298"/>
      <c r="G6334" s="48">
        <f t="shared" si="156"/>
        <v>13852.276881719939</v>
      </c>
      <c r="H6334" s="391" t="s">
        <v>9568</v>
      </c>
    </row>
    <row r="6335" spans="1:12" x14ac:dyDescent="0.3">
      <c r="A6335" s="509">
        <v>45090</v>
      </c>
      <c r="B6335" s="399" t="s">
        <v>10766</v>
      </c>
      <c r="C6335" s="5" t="s">
        <v>10815</v>
      </c>
      <c r="D6335" s="5" t="s">
        <v>11416</v>
      </c>
      <c r="E6335" s="43">
        <v>4500</v>
      </c>
      <c r="F6335" s="298"/>
      <c r="G6335" s="48">
        <f t="shared" si="156"/>
        <v>9352.2768817199394</v>
      </c>
      <c r="H6335" s="391" t="s">
        <v>9568</v>
      </c>
    </row>
    <row r="6336" spans="1:12" x14ac:dyDescent="0.3">
      <c r="A6336" s="509">
        <v>45090</v>
      </c>
      <c r="B6336" s="399" t="s">
        <v>10333</v>
      </c>
      <c r="C6336" s="5" t="s">
        <v>247</v>
      </c>
      <c r="D6336" s="5" t="s">
        <v>10967</v>
      </c>
      <c r="E6336" s="43">
        <v>8000</v>
      </c>
      <c r="F6336" s="298"/>
      <c r="G6336" s="48">
        <f t="shared" si="156"/>
        <v>1352.2768817199394</v>
      </c>
      <c r="H6336" s="391" t="s">
        <v>9568</v>
      </c>
    </row>
    <row r="6337" spans="1:8" x14ac:dyDescent="0.3">
      <c r="A6337" s="509">
        <v>45090</v>
      </c>
      <c r="B6337" s="588"/>
      <c r="C6337" s="503"/>
      <c r="D6337" s="504" t="s">
        <v>11417</v>
      </c>
      <c r="E6337" s="503"/>
      <c r="F6337" s="67">
        <v>50000</v>
      </c>
      <c r="G6337" s="48">
        <f t="shared" si="156"/>
        <v>51352.276881719939</v>
      </c>
      <c r="H6337" s="391" t="s">
        <v>9568</v>
      </c>
    </row>
    <row r="6338" spans="1:8" x14ac:dyDescent="0.3">
      <c r="A6338" s="509">
        <v>45090</v>
      </c>
      <c r="B6338" s="518"/>
      <c r="C6338" s="517" t="s">
        <v>14</v>
      </c>
      <c r="D6338" s="517" t="s">
        <v>11381</v>
      </c>
      <c r="E6338" s="519">
        <v>39000</v>
      </c>
      <c r="F6338" s="298"/>
      <c r="G6338" s="48">
        <f t="shared" si="156"/>
        <v>12352.276881719939</v>
      </c>
      <c r="H6338" s="391" t="s">
        <v>9568</v>
      </c>
    </row>
    <row r="6339" spans="1:8" x14ac:dyDescent="0.3">
      <c r="A6339" s="509">
        <v>45090</v>
      </c>
      <c r="B6339" s="399" t="s">
        <v>12089</v>
      </c>
      <c r="C6339" s="5" t="s">
        <v>5162</v>
      </c>
      <c r="D6339" s="5" t="s">
        <v>11418</v>
      </c>
      <c r="E6339" s="43">
        <v>1000</v>
      </c>
      <c r="F6339" s="298"/>
      <c r="G6339" s="48">
        <f t="shared" si="156"/>
        <v>11352.276881719939</v>
      </c>
      <c r="H6339" s="391" t="s">
        <v>9568</v>
      </c>
    </row>
    <row r="6340" spans="1:8" x14ac:dyDescent="0.3">
      <c r="A6340" s="509">
        <v>45090</v>
      </c>
      <c r="B6340" s="399" t="s">
        <v>118</v>
      </c>
      <c r="C6340" s="5" t="s">
        <v>25</v>
      </c>
      <c r="D6340" s="5" t="s">
        <v>8503</v>
      </c>
      <c r="E6340" s="43">
        <v>4000</v>
      </c>
      <c r="F6340" s="298"/>
      <c r="G6340" s="48">
        <f t="shared" si="156"/>
        <v>7352.2768817199394</v>
      </c>
      <c r="H6340" s="391" t="s">
        <v>9568</v>
      </c>
    </row>
    <row r="6341" spans="1:8" x14ac:dyDescent="0.3">
      <c r="A6341" s="509">
        <v>45090</v>
      </c>
      <c r="B6341" s="345" t="s">
        <v>12096</v>
      </c>
      <c r="C6341" s="5" t="s">
        <v>5793</v>
      </c>
      <c r="D6341" s="5" t="s">
        <v>11419</v>
      </c>
      <c r="E6341" s="43">
        <v>1000</v>
      </c>
      <c r="F6341" s="298"/>
      <c r="G6341" s="48">
        <f t="shared" si="156"/>
        <v>6352.2768817199394</v>
      </c>
      <c r="H6341" s="391" t="s">
        <v>9568</v>
      </c>
    </row>
    <row r="6342" spans="1:8" x14ac:dyDescent="0.3">
      <c r="A6342" s="509">
        <v>45090</v>
      </c>
      <c r="B6342" s="399" t="s">
        <v>11772</v>
      </c>
      <c r="C6342" s="5" t="s">
        <v>5793</v>
      </c>
      <c r="D6342" s="5" t="s">
        <v>11419</v>
      </c>
      <c r="E6342" s="43">
        <v>700</v>
      </c>
      <c r="F6342" s="298"/>
      <c r="G6342" s="48">
        <f t="shared" si="156"/>
        <v>5652.2768817199394</v>
      </c>
      <c r="H6342" s="391" t="s">
        <v>9568</v>
      </c>
    </row>
    <row r="6343" spans="1:8" x14ac:dyDescent="0.3">
      <c r="A6343" s="509">
        <v>45090</v>
      </c>
      <c r="B6343" s="399" t="s">
        <v>10766</v>
      </c>
      <c r="C6343" s="5" t="s">
        <v>5979</v>
      </c>
      <c r="D6343" s="5" t="s">
        <v>5508</v>
      </c>
      <c r="E6343" s="43">
        <v>5000</v>
      </c>
      <c r="F6343" s="298"/>
      <c r="G6343" s="48">
        <f t="shared" si="156"/>
        <v>652.27688171993941</v>
      </c>
      <c r="H6343" s="391" t="s">
        <v>9568</v>
      </c>
    </row>
    <row r="6344" spans="1:8" x14ac:dyDescent="0.3">
      <c r="A6344" s="509">
        <v>45090</v>
      </c>
      <c r="B6344" s="588"/>
      <c r="C6344" s="503"/>
      <c r="D6344" s="504" t="s">
        <v>11417</v>
      </c>
      <c r="E6344" s="503"/>
      <c r="F6344" s="67">
        <v>85850</v>
      </c>
      <c r="G6344" s="48">
        <f t="shared" si="156"/>
        <v>86502.276881719939</v>
      </c>
      <c r="H6344" s="391" t="s">
        <v>9568</v>
      </c>
    </row>
    <row r="6345" spans="1:8" x14ac:dyDescent="0.3">
      <c r="A6345" s="509">
        <v>45090</v>
      </c>
      <c r="B6345" s="399" t="s">
        <v>10974</v>
      </c>
      <c r="C6345" s="5" t="s">
        <v>10815</v>
      </c>
      <c r="D6345" s="5" t="s">
        <v>11420</v>
      </c>
      <c r="E6345" s="43">
        <v>25440</v>
      </c>
      <c r="F6345" s="298"/>
      <c r="G6345" s="48">
        <f t="shared" si="156"/>
        <v>61062.276881719939</v>
      </c>
      <c r="H6345" s="391" t="s">
        <v>9568</v>
      </c>
    </row>
    <row r="6346" spans="1:8" x14ac:dyDescent="0.3">
      <c r="A6346" s="509">
        <v>45090</v>
      </c>
      <c r="B6346" s="399" t="s">
        <v>10766</v>
      </c>
      <c r="C6346" s="5" t="s">
        <v>10815</v>
      </c>
      <c r="D6346" s="5" t="s">
        <v>11421</v>
      </c>
      <c r="E6346" s="43">
        <v>8400</v>
      </c>
      <c r="F6346" s="298"/>
      <c r="G6346" s="48">
        <f t="shared" si="156"/>
        <v>52662.276881719939</v>
      </c>
      <c r="H6346" s="391" t="s">
        <v>9568</v>
      </c>
    </row>
    <row r="6347" spans="1:8" x14ac:dyDescent="0.3">
      <c r="A6347" s="509">
        <v>45090</v>
      </c>
      <c r="B6347" s="399" t="s">
        <v>10766</v>
      </c>
      <c r="C6347" s="5" t="s">
        <v>10815</v>
      </c>
      <c r="D6347" s="5" t="s">
        <v>11422</v>
      </c>
      <c r="E6347" s="43">
        <v>6360</v>
      </c>
      <c r="F6347" s="298"/>
      <c r="G6347" s="48">
        <f t="shared" si="156"/>
        <v>46302.276881719939</v>
      </c>
      <c r="H6347" s="391" t="s">
        <v>9568</v>
      </c>
    </row>
    <row r="6348" spans="1:8" x14ac:dyDescent="0.3">
      <c r="A6348" s="509">
        <v>45090</v>
      </c>
      <c r="B6348" s="399" t="s">
        <v>10766</v>
      </c>
      <c r="C6348" s="5" t="s">
        <v>10815</v>
      </c>
      <c r="D6348" s="5" t="s">
        <v>11423</v>
      </c>
      <c r="E6348" s="43">
        <v>11090</v>
      </c>
      <c r="F6348" s="298"/>
      <c r="G6348" s="48">
        <f t="shared" si="156"/>
        <v>35212.276881719939</v>
      </c>
      <c r="H6348" s="391" t="s">
        <v>9568</v>
      </c>
    </row>
    <row r="6349" spans="1:8" x14ac:dyDescent="0.3">
      <c r="A6349" s="509">
        <v>45090</v>
      </c>
      <c r="B6349" s="399" t="s">
        <v>10766</v>
      </c>
      <c r="C6349" s="5" t="s">
        <v>5793</v>
      </c>
      <c r="D6349" s="5" t="s">
        <v>40</v>
      </c>
      <c r="E6349" s="43">
        <v>500</v>
      </c>
      <c r="F6349" s="298"/>
      <c r="G6349" s="48">
        <f t="shared" si="156"/>
        <v>34712.276881719939</v>
      </c>
      <c r="H6349" s="391" t="s">
        <v>9568</v>
      </c>
    </row>
    <row r="6350" spans="1:8" x14ac:dyDescent="0.3">
      <c r="A6350" s="509">
        <v>45091</v>
      </c>
      <c r="B6350" s="588"/>
      <c r="C6350" s="503"/>
      <c r="D6350" s="504" t="s">
        <v>11424</v>
      </c>
      <c r="E6350" s="503"/>
      <c r="F6350" s="67">
        <v>30000</v>
      </c>
      <c r="G6350" s="48">
        <f t="shared" si="156"/>
        <v>64712.276881719939</v>
      </c>
      <c r="H6350" s="391" t="s">
        <v>9568</v>
      </c>
    </row>
    <row r="6351" spans="1:8" x14ac:dyDescent="0.3">
      <c r="A6351" s="509">
        <v>45091</v>
      </c>
      <c r="B6351" s="399" t="s">
        <v>10766</v>
      </c>
      <c r="C6351" s="5" t="s">
        <v>10815</v>
      </c>
      <c r="D6351" s="5" t="s">
        <v>11425</v>
      </c>
      <c r="E6351" s="43">
        <v>30500</v>
      </c>
      <c r="F6351" s="298"/>
      <c r="G6351" s="48">
        <f t="shared" si="156"/>
        <v>34212.276881719939</v>
      </c>
      <c r="H6351" s="391" t="s">
        <v>9568</v>
      </c>
    </row>
    <row r="6352" spans="1:8" x14ac:dyDescent="0.3">
      <c r="A6352" s="509">
        <v>45091</v>
      </c>
      <c r="B6352" s="399" t="s">
        <v>10766</v>
      </c>
      <c r="C6352" s="5" t="s">
        <v>5793</v>
      </c>
      <c r="D6352" s="5" t="s">
        <v>40</v>
      </c>
      <c r="E6352" s="43">
        <v>800</v>
      </c>
      <c r="F6352" s="298"/>
      <c r="G6352" s="48">
        <f t="shared" si="156"/>
        <v>33412.276881719939</v>
      </c>
      <c r="H6352" s="391" t="s">
        <v>9568</v>
      </c>
    </row>
    <row r="6353" spans="1:8" x14ac:dyDescent="0.3">
      <c r="A6353" s="509">
        <v>45091</v>
      </c>
      <c r="B6353" s="345" t="s">
        <v>12096</v>
      </c>
      <c r="C6353" s="5" t="s">
        <v>84</v>
      </c>
      <c r="D6353" s="5" t="s">
        <v>11511</v>
      </c>
      <c r="E6353" s="62">
        <v>4000</v>
      </c>
      <c r="F6353" s="298"/>
      <c r="G6353" s="48">
        <f t="shared" si="156"/>
        <v>29412.276881719939</v>
      </c>
      <c r="H6353" s="391" t="s">
        <v>9568</v>
      </c>
    </row>
    <row r="6354" spans="1:8" x14ac:dyDescent="0.3">
      <c r="A6354" s="509">
        <v>45091</v>
      </c>
      <c r="B6354" s="399" t="s">
        <v>118</v>
      </c>
      <c r="C6354" s="5" t="s">
        <v>7817</v>
      </c>
      <c r="D6354" s="5" t="s">
        <v>11311</v>
      </c>
      <c r="E6354" s="43">
        <v>1000</v>
      </c>
      <c r="F6354" s="298"/>
      <c r="G6354" s="48">
        <f t="shared" si="156"/>
        <v>28412.276881719939</v>
      </c>
      <c r="H6354" s="391" t="s">
        <v>9568</v>
      </c>
    </row>
    <row r="6355" spans="1:8" x14ac:dyDescent="0.3">
      <c r="A6355" s="509">
        <v>45091</v>
      </c>
      <c r="B6355" s="399" t="s">
        <v>10766</v>
      </c>
      <c r="C6355" s="5" t="s">
        <v>5793</v>
      </c>
      <c r="D6355" s="5" t="s">
        <v>11426</v>
      </c>
      <c r="E6355" s="43">
        <v>3000</v>
      </c>
      <c r="F6355" s="298"/>
      <c r="G6355" s="48">
        <f t="shared" si="156"/>
        <v>25412.276881719939</v>
      </c>
      <c r="H6355" s="391" t="s">
        <v>9568</v>
      </c>
    </row>
    <row r="6356" spans="1:8" x14ac:dyDescent="0.3">
      <c r="A6356" s="509">
        <v>45091</v>
      </c>
      <c r="B6356" s="399" t="s">
        <v>10766</v>
      </c>
      <c r="C6356" s="5" t="s">
        <v>10815</v>
      </c>
      <c r="D6356" s="5" t="s">
        <v>11427</v>
      </c>
      <c r="E6356" s="43">
        <v>17000</v>
      </c>
      <c r="F6356" s="298"/>
      <c r="G6356" s="48">
        <f t="shared" si="156"/>
        <v>8412.2768817199394</v>
      </c>
      <c r="H6356" s="391" t="s">
        <v>9568</v>
      </c>
    </row>
    <row r="6357" spans="1:8" x14ac:dyDescent="0.3">
      <c r="A6357" s="509">
        <v>45091</v>
      </c>
      <c r="B6357" s="399" t="s">
        <v>12089</v>
      </c>
      <c r="C6357" s="5" t="s">
        <v>5793</v>
      </c>
      <c r="D6357" s="5" t="s">
        <v>40</v>
      </c>
      <c r="E6357" s="43">
        <v>2000</v>
      </c>
      <c r="F6357" s="298"/>
      <c r="G6357" s="48">
        <f t="shared" si="156"/>
        <v>6412.2768817199394</v>
      </c>
      <c r="H6357" s="391" t="s">
        <v>9568</v>
      </c>
    </row>
    <row r="6358" spans="1:8" x14ac:dyDescent="0.3">
      <c r="A6358" s="509">
        <v>45091</v>
      </c>
      <c r="B6358" s="399" t="s">
        <v>11064</v>
      </c>
      <c r="C6358" s="5" t="s">
        <v>5793</v>
      </c>
      <c r="D6358" s="5" t="s">
        <v>11428</v>
      </c>
      <c r="E6358" s="43">
        <v>2500</v>
      </c>
      <c r="F6358" s="298"/>
      <c r="G6358" s="48">
        <f t="shared" si="156"/>
        <v>3912.2768817199394</v>
      </c>
      <c r="H6358" s="391" t="s">
        <v>9568</v>
      </c>
    </row>
    <row r="6359" spans="1:8" x14ac:dyDescent="0.3">
      <c r="A6359" s="509">
        <v>45092</v>
      </c>
      <c r="B6359" s="399" t="s">
        <v>10766</v>
      </c>
      <c r="C6359" s="5" t="s">
        <v>5793</v>
      </c>
      <c r="D6359" s="5"/>
      <c r="E6359" s="43">
        <v>1500</v>
      </c>
      <c r="F6359" s="298"/>
      <c r="G6359" s="48">
        <f t="shared" si="156"/>
        <v>2412.2768817199394</v>
      </c>
      <c r="H6359" s="391" t="s">
        <v>9568</v>
      </c>
    </row>
    <row r="6360" spans="1:8" x14ac:dyDescent="0.3">
      <c r="A6360" s="509">
        <v>45092</v>
      </c>
      <c r="B6360" s="399" t="s">
        <v>12089</v>
      </c>
      <c r="C6360" s="5" t="s">
        <v>5162</v>
      </c>
      <c r="D6360" s="5" t="s">
        <v>11429</v>
      </c>
      <c r="E6360" s="43">
        <v>1500</v>
      </c>
      <c r="F6360" s="298"/>
      <c r="G6360" s="48">
        <f t="shared" si="156"/>
        <v>912.27688171993941</v>
      </c>
      <c r="H6360" s="391" t="s">
        <v>9568</v>
      </c>
    </row>
    <row r="6361" spans="1:8" x14ac:dyDescent="0.3">
      <c r="A6361" s="509">
        <v>45092</v>
      </c>
      <c r="B6361" s="588"/>
      <c r="C6361" s="503"/>
      <c r="D6361" s="504" t="s">
        <v>11417</v>
      </c>
      <c r="E6361" s="503"/>
      <c r="F6361" s="67">
        <v>150000</v>
      </c>
      <c r="G6361" s="48">
        <f t="shared" si="156"/>
        <v>150912.27688171994</v>
      </c>
      <c r="H6361" s="391" t="s">
        <v>9568</v>
      </c>
    </row>
    <row r="6362" spans="1:8" x14ac:dyDescent="0.3">
      <c r="A6362" s="509">
        <v>45092</v>
      </c>
      <c r="B6362" s="399"/>
      <c r="C6362" s="5" t="s">
        <v>4550</v>
      </c>
      <c r="D6362" s="5" t="s">
        <v>294</v>
      </c>
      <c r="E6362" s="43">
        <v>130000</v>
      </c>
      <c r="F6362" s="43"/>
      <c r="G6362" s="48">
        <f t="shared" si="156"/>
        <v>20912.276881719939</v>
      </c>
      <c r="H6362" s="391" t="s">
        <v>9568</v>
      </c>
    </row>
    <row r="6363" spans="1:8" x14ac:dyDescent="0.3">
      <c r="A6363" s="509">
        <v>45092</v>
      </c>
      <c r="B6363" s="399"/>
      <c r="C6363" s="5" t="s">
        <v>9756</v>
      </c>
      <c r="D6363" s="5" t="s">
        <v>2013</v>
      </c>
      <c r="E6363" s="43">
        <v>1100</v>
      </c>
      <c r="F6363" s="43"/>
      <c r="G6363" s="48">
        <f t="shared" si="156"/>
        <v>19812.276881719939</v>
      </c>
      <c r="H6363" s="391" t="s">
        <v>9568</v>
      </c>
    </row>
    <row r="6364" spans="1:8" x14ac:dyDescent="0.3">
      <c r="A6364" s="509">
        <v>45093</v>
      </c>
      <c r="B6364" s="399"/>
      <c r="C6364" s="5" t="s">
        <v>14</v>
      </c>
      <c r="D6364" s="5" t="s">
        <v>294</v>
      </c>
      <c r="E6364" s="43">
        <v>5000</v>
      </c>
      <c r="F6364" s="43"/>
      <c r="G6364" s="48">
        <f t="shared" si="156"/>
        <v>14812.276881719939</v>
      </c>
      <c r="H6364" s="391" t="s">
        <v>9568</v>
      </c>
    </row>
    <row r="6365" spans="1:8" x14ac:dyDescent="0.3">
      <c r="A6365" s="509">
        <v>45093</v>
      </c>
      <c r="B6365" s="399" t="s">
        <v>12190</v>
      </c>
      <c r="C6365" s="5" t="s">
        <v>1074</v>
      </c>
      <c r="D6365" s="5" t="s">
        <v>6280</v>
      </c>
      <c r="E6365" s="43">
        <f>4285+1370</f>
        <v>5655</v>
      </c>
      <c r="F6365" s="43"/>
      <c r="G6365" s="48">
        <f t="shared" si="156"/>
        <v>9157.2768817199394</v>
      </c>
      <c r="H6365" s="391" t="s">
        <v>9568</v>
      </c>
    </row>
    <row r="6366" spans="1:8" x14ac:dyDescent="0.3">
      <c r="A6366" s="509">
        <v>45093</v>
      </c>
      <c r="B6366" s="399" t="s">
        <v>118</v>
      </c>
      <c r="C6366" s="5" t="s">
        <v>1074</v>
      </c>
      <c r="D6366" s="5" t="s">
        <v>6280</v>
      </c>
      <c r="E6366" s="43">
        <v>7310</v>
      </c>
      <c r="F6366" s="43"/>
      <c r="G6366" s="48">
        <f t="shared" si="156"/>
        <v>1847.2768817199394</v>
      </c>
      <c r="H6366" s="391" t="s">
        <v>9568</v>
      </c>
    </row>
    <row r="6367" spans="1:8" x14ac:dyDescent="0.3">
      <c r="A6367" s="509">
        <v>45093</v>
      </c>
      <c r="B6367" s="399" t="s">
        <v>118</v>
      </c>
      <c r="C6367" s="5" t="s">
        <v>25</v>
      </c>
      <c r="D6367" s="5" t="s">
        <v>8503</v>
      </c>
      <c r="E6367" s="43">
        <v>1800</v>
      </c>
      <c r="F6367" s="43"/>
      <c r="G6367" s="48">
        <f t="shared" si="156"/>
        <v>47.276881719939411</v>
      </c>
      <c r="H6367" s="391" t="s">
        <v>9568</v>
      </c>
    </row>
    <row r="6368" spans="1:8" x14ac:dyDescent="0.3">
      <c r="A6368" s="509">
        <v>45096</v>
      </c>
      <c r="B6368" s="588"/>
      <c r="C6368" s="503"/>
      <c r="D6368" s="504" t="s">
        <v>11417</v>
      </c>
      <c r="E6368" s="503"/>
      <c r="F6368" s="67">
        <v>300000</v>
      </c>
      <c r="G6368" s="48">
        <f t="shared" si="156"/>
        <v>300047.27688171994</v>
      </c>
      <c r="H6368" s="391" t="s">
        <v>9568</v>
      </c>
    </row>
    <row r="6369" spans="1:8" x14ac:dyDescent="0.3">
      <c r="A6369" s="509">
        <v>45096</v>
      </c>
      <c r="B6369" s="399" t="s">
        <v>12092</v>
      </c>
      <c r="C6369" s="5" t="s">
        <v>5793</v>
      </c>
      <c r="D6369" s="5" t="s">
        <v>40</v>
      </c>
      <c r="E6369" s="43">
        <v>2700</v>
      </c>
      <c r="F6369" s="43"/>
      <c r="G6369" s="48">
        <f t="shared" si="156"/>
        <v>297347.27688171994</v>
      </c>
      <c r="H6369" s="391" t="s">
        <v>9568</v>
      </c>
    </row>
    <row r="6370" spans="1:8" x14ac:dyDescent="0.3">
      <c r="A6370" s="509">
        <v>45096</v>
      </c>
      <c r="B6370" s="399"/>
      <c r="C6370" s="5" t="s">
        <v>10760</v>
      </c>
      <c r="D6370" s="5" t="s">
        <v>3784</v>
      </c>
      <c r="E6370" s="43">
        <v>8000</v>
      </c>
      <c r="F6370" s="43"/>
      <c r="G6370" s="48">
        <f t="shared" si="156"/>
        <v>289347.27688171994</v>
      </c>
      <c r="H6370" s="391" t="s">
        <v>9568</v>
      </c>
    </row>
    <row r="6371" spans="1:8" x14ac:dyDescent="0.3">
      <c r="A6371" s="509">
        <v>45096</v>
      </c>
      <c r="B6371" s="399" t="s">
        <v>11439</v>
      </c>
      <c r="C6371" s="5" t="s">
        <v>10760</v>
      </c>
      <c r="D6371" s="5" t="s">
        <v>4583</v>
      </c>
      <c r="E6371" s="43">
        <v>15250</v>
      </c>
      <c r="F6371" s="43"/>
      <c r="G6371" s="48">
        <f t="shared" si="156"/>
        <v>274097.27688171994</v>
      </c>
      <c r="H6371" s="391" t="s">
        <v>9568</v>
      </c>
    </row>
    <row r="6372" spans="1:8" x14ac:dyDescent="0.3">
      <c r="A6372" s="509">
        <v>45096</v>
      </c>
      <c r="B6372" s="399" t="s">
        <v>12089</v>
      </c>
      <c r="C6372" s="5" t="s">
        <v>5162</v>
      </c>
      <c r="D6372" s="5" t="s">
        <v>11499</v>
      </c>
      <c r="E6372" s="43">
        <v>5000</v>
      </c>
      <c r="F6372" s="43"/>
      <c r="G6372" s="48">
        <f t="shared" si="156"/>
        <v>269097.27688171994</v>
      </c>
      <c r="H6372" s="391" t="s">
        <v>9568</v>
      </c>
    </row>
    <row r="6373" spans="1:8" x14ac:dyDescent="0.3">
      <c r="A6373" s="509">
        <v>45096</v>
      </c>
      <c r="B6373" s="399" t="s">
        <v>9925</v>
      </c>
      <c r="C6373" s="5" t="s">
        <v>8009</v>
      </c>
      <c r="D6373" s="5" t="s">
        <v>2013</v>
      </c>
      <c r="E6373" s="43">
        <v>500</v>
      </c>
      <c r="F6373" s="43"/>
      <c r="G6373" s="48">
        <f t="shared" si="156"/>
        <v>268597.27688171994</v>
      </c>
      <c r="H6373" s="391" t="s">
        <v>9568</v>
      </c>
    </row>
    <row r="6374" spans="1:8" x14ac:dyDescent="0.3">
      <c r="A6374" s="509">
        <v>45096</v>
      </c>
      <c r="B6374" s="399"/>
      <c r="C6374" s="5" t="s">
        <v>84</v>
      </c>
      <c r="D6374" s="5" t="s">
        <v>11440</v>
      </c>
      <c r="E6374" s="62">
        <v>2000</v>
      </c>
      <c r="F6374" s="43"/>
      <c r="G6374" s="48">
        <f t="shared" si="156"/>
        <v>266597.27688171994</v>
      </c>
      <c r="H6374" s="391" t="s">
        <v>9568</v>
      </c>
    </row>
    <row r="6375" spans="1:8" x14ac:dyDescent="0.3">
      <c r="A6375" s="509">
        <v>45096</v>
      </c>
      <c r="B6375" s="399" t="s">
        <v>12089</v>
      </c>
      <c r="C6375" s="5" t="s">
        <v>9452</v>
      </c>
      <c r="D6375" s="5" t="s">
        <v>11443</v>
      </c>
      <c r="E6375" s="43">
        <v>17290</v>
      </c>
      <c r="F6375" s="43"/>
      <c r="G6375" s="48">
        <f t="shared" si="156"/>
        <v>249307.27688171994</v>
      </c>
      <c r="H6375" s="391" t="s">
        <v>9568</v>
      </c>
    </row>
    <row r="6376" spans="1:8" x14ac:dyDescent="0.3">
      <c r="A6376" s="509">
        <v>45096</v>
      </c>
      <c r="B6376" s="399" t="s">
        <v>12089</v>
      </c>
      <c r="C6376" s="5" t="s">
        <v>10815</v>
      </c>
      <c r="D6376" s="5" t="s">
        <v>11444</v>
      </c>
      <c r="E6376" s="43">
        <v>500</v>
      </c>
      <c r="F6376" s="43"/>
      <c r="G6376" s="48">
        <f t="shared" si="156"/>
        <v>248807.27688171994</v>
      </c>
      <c r="H6376" s="391" t="s">
        <v>9568</v>
      </c>
    </row>
    <row r="6377" spans="1:8" x14ac:dyDescent="0.3">
      <c r="A6377" s="509">
        <v>45096</v>
      </c>
      <c r="B6377" s="399" t="s">
        <v>12092</v>
      </c>
      <c r="C6377" s="5" t="s">
        <v>10815</v>
      </c>
      <c r="D6377" s="5" t="s">
        <v>11445</v>
      </c>
      <c r="E6377" s="43">
        <v>1050</v>
      </c>
      <c r="F6377" s="43"/>
      <c r="G6377" s="48">
        <f t="shared" si="156"/>
        <v>247757.27688171994</v>
      </c>
      <c r="H6377" s="391" t="s">
        <v>9568</v>
      </c>
    </row>
    <row r="6378" spans="1:8" x14ac:dyDescent="0.3">
      <c r="A6378" s="509">
        <v>45096</v>
      </c>
      <c r="B6378" s="399" t="s">
        <v>12092</v>
      </c>
      <c r="C6378" s="5" t="s">
        <v>10815</v>
      </c>
      <c r="D6378" s="5" t="s">
        <v>11449</v>
      </c>
      <c r="E6378" s="43">
        <v>1480</v>
      </c>
      <c r="F6378" s="43"/>
      <c r="G6378" s="48">
        <f t="shared" si="156"/>
        <v>246277.27688171994</v>
      </c>
      <c r="H6378" s="391" t="s">
        <v>9568</v>
      </c>
    </row>
    <row r="6379" spans="1:8" x14ac:dyDescent="0.3">
      <c r="A6379" s="509">
        <v>45096</v>
      </c>
      <c r="B6379" s="399"/>
      <c r="C6379" s="5" t="s">
        <v>14</v>
      </c>
      <c r="D6379" s="5" t="s">
        <v>640</v>
      </c>
      <c r="E6379" s="43">
        <v>1000</v>
      </c>
      <c r="F6379" s="43"/>
      <c r="G6379" s="48">
        <f t="shared" si="156"/>
        <v>245277.27688171994</v>
      </c>
      <c r="H6379" s="391" t="s">
        <v>9568</v>
      </c>
    </row>
    <row r="6380" spans="1:8" x14ac:dyDescent="0.3">
      <c r="A6380" s="509">
        <v>45096</v>
      </c>
      <c r="B6380" s="518"/>
      <c r="C6380" s="517" t="s">
        <v>14</v>
      </c>
      <c r="D6380" s="517" t="s">
        <v>294</v>
      </c>
      <c r="E6380" s="519">
        <v>150000</v>
      </c>
      <c r="F6380" s="43"/>
      <c r="G6380" s="48">
        <f t="shared" si="156"/>
        <v>95277.276881719939</v>
      </c>
      <c r="H6380" s="391" t="s">
        <v>9568</v>
      </c>
    </row>
    <row r="6381" spans="1:8" x14ac:dyDescent="0.3">
      <c r="A6381" s="509">
        <v>45096</v>
      </c>
      <c r="B6381" s="399"/>
      <c r="C6381" s="5" t="s">
        <v>30</v>
      </c>
      <c r="D6381" s="5" t="s">
        <v>2013</v>
      </c>
      <c r="E6381" s="43">
        <v>500</v>
      </c>
      <c r="F6381" s="43"/>
      <c r="G6381" s="48">
        <f t="shared" ref="G6381:G6437" si="157">G6380+F6381-E6381</f>
        <v>94777.276881719939</v>
      </c>
      <c r="H6381" s="391" t="s">
        <v>9568</v>
      </c>
    </row>
    <row r="6382" spans="1:8" x14ac:dyDescent="0.3">
      <c r="A6382" s="509">
        <v>45096</v>
      </c>
      <c r="B6382" s="399"/>
      <c r="C6382" s="5" t="s">
        <v>25</v>
      </c>
      <c r="D6382" s="5" t="s">
        <v>11447</v>
      </c>
      <c r="E6382" s="43">
        <v>500</v>
      </c>
      <c r="F6382" s="43"/>
      <c r="G6382" s="48">
        <f t="shared" si="157"/>
        <v>94277.276881719939</v>
      </c>
      <c r="H6382" s="391" t="s">
        <v>9568</v>
      </c>
    </row>
    <row r="6383" spans="1:8" x14ac:dyDescent="0.3">
      <c r="A6383" s="509">
        <v>45096</v>
      </c>
      <c r="B6383" s="345" t="s">
        <v>12096</v>
      </c>
      <c r="C6383" s="5" t="s">
        <v>11450</v>
      </c>
      <c r="D6383" s="5" t="s">
        <v>11451</v>
      </c>
      <c r="E6383" s="43">
        <v>1000</v>
      </c>
      <c r="F6383" s="43"/>
      <c r="G6383" s="48">
        <f t="shared" si="157"/>
        <v>93277.276881719939</v>
      </c>
      <c r="H6383" s="391" t="s">
        <v>9568</v>
      </c>
    </row>
    <row r="6384" spans="1:8" x14ac:dyDescent="0.3">
      <c r="A6384" s="509">
        <v>45096</v>
      </c>
      <c r="B6384" s="399"/>
      <c r="C6384" s="5" t="s">
        <v>10709</v>
      </c>
      <c r="D6384" s="5" t="s">
        <v>4187</v>
      </c>
      <c r="E6384" s="43">
        <v>2000</v>
      </c>
      <c r="F6384" s="43"/>
      <c r="G6384" s="48">
        <f t="shared" si="157"/>
        <v>91277.276881719939</v>
      </c>
      <c r="H6384" s="391" t="s">
        <v>9568</v>
      </c>
    </row>
    <row r="6385" spans="1:8" x14ac:dyDescent="0.3">
      <c r="A6385" s="509">
        <v>45096</v>
      </c>
      <c r="B6385" s="399" t="s">
        <v>12190</v>
      </c>
      <c r="C6385" s="5" t="s">
        <v>11452</v>
      </c>
      <c r="D6385" s="5" t="s">
        <v>10994</v>
      </c>
      <c r="E6385" s="43">
        <v>2250</v>
      </c>
      <c r="F6385" s="43"/>
      <c r="G6385" s="48">
        <f t="shared" si="157"/>
        <v>89027.276881719939</v>
      </c>
      <c r="H6385" s="391" t="s">
        <v>9568</v>
      </c>
    </row>
    <row r="6386" spans="1:8" x14ac:dyDescent="0.3">
      <c r="A6386" s="509">
        <v>45096</v>
      </c>
      <c r="B6386" s="399"/>
      <c r="C6386" s="5" t="s">
        <v>5793</v>
      </c>
      <c r="D6386" s="5" t="s">
        <v>40</v>
      </c>
      <c r="E6386" s="43">
        <v>4300</v>
      </c>
      <c r="F6386" s="43"/>
      <c r="G6386" s="48">
        <f t="shared" si="157"/>
        <v>84727.276881719939</v>
      </c>
      <c r="H6386" s="391" t="s">
        <v>9568</v>
      </c>
    </row>
    <row r="6387" spans="1:8" x14ac:dyDescent="0.3">
      <c r="A6387" s="509">
        <v>45096</v>
      </c>
      <c r="B6387" s="399" t="s">
        <v>11772</v>
      </c>
      <c r="C6387" s="5" t="s">
        <v>10001</v>
      </c>
      <c r="D6387" s="5" t="s">
        <v>9253</v>
      </c>
      <c r="E6387" s="43">
        <v>5000</v>
      </c>
      <c r="F6387" s="43"/>
      <c r="G6387" s="48">
        <f t="shared" si="157"/>
        <v>79727.276881719939</v>
      </c>
      <c r="H6387" s="391" t="s">
        <v>9568</v>
      </c>
    </row>
    <row r="6388" spans="1:8" x14ac:dyDescent="0.3">
      <c r="A6388" s="509">
        <v>45096</v>
      </c>
      <c r="B6388" s="399" t="s">
        <v>11453</v>
      </c>
      <c r="C6388" s="5" t="s">
        <v>9801</v>
      </c>
      <c r="D6388" s="5" t="s">
        <v>11454</v>
      </c>
      <c r="E6388" s="43">
        <v>490</v>
      </c>
      <c r="F6388" s="43"/>
      <c r="G6388" s="48">
        <f t="shared" si="157"/>
        <v>79237.276881719939</v>
      </c>
      <c r="H6388" s="391" t="s">
        <v>9568</v>
      </c>
    </row>
    <row r="6389" spans="1:8" x14ac:dyDescent="0.3">
      <c r="A6389" s="509">
        <v>45096</v>
      </c>
      <c r="B6389" s="399"/>
      <c r="C6389" s="5" t="s">
        <v>25</v>
      </c>
      <c r="D6389" s="5" t="s">
        <v>11455</v>
      </c>
      <c r="E6389" s="43">
        <v>4500</v>
      </c>
      <c r="F6389" s="43"/>
      <c r="G6389" s="48">
        <f t="shared" si="157"/>
        <v>74737.276881719939</v>
      </c>
      <c r="H6389" s="391" t="s">
        <v>9568</v>
      </c>
    </row>
    <row r="6390" spans="1:8" x14ac:dyDescent="0.3">
      <c r="A6390" s="509">
        <v>45096</v>
      </c>
      <c r="B6390" s="588"/>
      <c r="C6390" s="503"/>
      <c r="D6390" s="504" t="s">
        <v>4106</v>
      </c>
      <c r="E6390" s="503"/>
      <c r="F6390" s="67">
        <v>150000</v>
      </c>
      <c r="G6390" s="48">
        <f t="shared" si="157"/>
        <v>224737.27688171994</v>
      </c>
      <c r="H6390" s="391" t="s">
        <v>9568</v>
      </c>
    </row>
    <row r="6391" spans="1:8" x14ac:dyDescent="0.3">
      <c r="A6391" s="509">
        <v>45097</v>
      </c>
      <c r="B6391" s="399" t="s">
        <v>10867</v>
      </c>
      <c r="C6391" s="5" t="s">
        <v>107</v>
      </c>
      <c r="D6391" s="5" t="s">
        <v>3183</v>
      </c>
      <c r="E6391" s="43">
        <v>5000</v>
      </c>
      <c r="F6391" s="43"/>
      <c r="G6391" s="48">
        <f t="shared" si="157"/>
        <v>219737.27688171994</v>
      </c>
      <c r="H6391" s="391" t="s">
        <v>9568</v>
      </c>
    </row>
    <row r="6392" spans="1:8" x14ac:dyDescent="0.3">
      <c r="A6392" s="509">
        <v>45097</v>
      </c>
      <c r="B6392" s="399" t="s">
        <v>11064</v>
      </c>
      <c r="C6392" s="5" t="s">
        <v>2995</v>
      </c>
      <c r="D6392" s="5" t="s">
        <v>11459</v>
      </c>
      <c r="E6392" s="43">
        <v>17000</v>
      </c>
      <c r="F6392" s="43"/>
      <c r="G6392" s="48">
        <f t="shared" si="157"/>
        <v>202737.27688171994</v>
      </c>
      <c r="H6392" s="391" t="s">
        <v>9568</v>
      </c>
    </row>
    <row r="6393" spans="1:8" x14ac:dyDescent="0.3">
      <c r="A6393" s="509">
        <v>45097</v>
      </c>
      <c r="B6393" s="399" t="s">
        <v>11064</v>
      </c>
      <c r="C6393" s="5" t="s">
        <v>10463</v>
      </c>
      <c r="D6393" s="5" t="s">
        <v>10464</v>
      </c>
      <c r="E6393" s="43">
        <v>18500</v>
      </c>
      <c r="F6393" s="43"/>
      <c r="G6393" s="48">
        <f t="shared" si="157"/>
        <v>184237.27688171994</v>
      </c>
      <c r="H6393" s="391" t="s">
        <v>9568</v>
      </c>
    </row>
    <row r="6394" spans="1:8" x14ac:dyDescent="0.3">
      <c r="A6394" s="509">
        <v>45097</v>
      </c>
      <c r="B6394" s="399" t="s">
        <v>11460</v>
      </c>
      <c r="C6394" s="5" t="s">
        <v>9228</v>
      </c>
      <c r="D6394" s="5" t="s">
        <v>11461</v>
      </c>
      <c r="E6394" s="43">
        <v>51720</v>
      </c>
      <c r="F6394" s="43"/>
      <c r="G6394" s="48">
        <f t="shared" si="157"/>
        <v>132517.27688171994</v>
      </c>
      <c r="H6394" s="391" t="s">
        <v>9568</v>
      </c>
    </row>
    <row r="6395" spans="1:8" x14ac:dyDescent="0.3">
      <c r="A6395" s="509">
        <v>45097</v>
      </c>
      <c r="B6395" s="399" t="s">
        <v>12089</v>
      </c>
      <c r="C6395" s="5" t="s">
        <v>11462</v>
      </c>
      <c r="D6395" s="5" t="s">
        <v>11422</v>
      </c>
      <c r="E6395" s="43">
        <v>44720</v>
      </c>
      <c r="F6395" s="43"/>
      <c r="G6395" s="48">
        <f t="shared" si="157"/>
        <v>87797.276881719939</v>
      </c>
      <c r="H6395" s="391" t="s">
        <v>9568</v>
      </c>
    </row>
    <row r="6396" spans="1:8" x14ac:dyDescent="0.3">
      <c r="A6396" s="509">
        <v>45097</v>
      </c>
      <c r="B6396" s="399" t="s">
        <v>12089</v>
      </c>
      <c r="C6396" s="5" t="s">
        <v>5793</v>
      </c>
      <c r="D6396" s="5" t="s">
        <v>40</v>
      </c>
      <c r="E6396" s="43">
        <v>1050</v>
      </c>
      <c r="F6396" s="43"/>
      <c r="G6396" s="48">
        <f t="shared" si="157"/>
        <v>86747.276881719939</v>
      </c>
      <c r="H6396" s="391" t="s">
        <v>9568</v>
      </c>
    </row>
    <row r="6397" spans="1:8" x14ac:dyDescent="0.3">
      <c r="A6397" s="509">
        <v>45097</v>
      </c>
      <c r="B6397" s="399"/>
      <c r="C6397" s="5" t="s">
        <v>10815</v>
      </c>
      <c r="D6397" s="5" t="s">
        <v>2013</v>
      </c>
      <c r="E6397" s="43">
        <v>300</v>
      </c>
      <c r="F6397" s="43"/>
      <c r="G6397" s="48">
        <f t="shared" si="157"/>
        <v>86447.276881719939</v>
      </c>
      <c r="H6397" s="391" t="s">
        <v>9568</v>
      </c>
    </row>
    <row r="6398" spans="1:8" x14ac:dyDescent="0.3">
      <c r="A6398" s="509">
        <v>45097</v>
      </c>
      <c r="B6398" s="399" t="s">
        <v>10766</v>
      </c>
      <c r="C6398" s="5" t="s">
        <v>10815</v>
      </c>
      <c r="D6398" s="5" t="s">
        <v>11463</v>
      </c>
      <c r="E6398" s="43">
        <v>47000</v>
      </c>
      <c r="F6398" s="43"/>
      <c r="G6398" s="48">
        <f t="shared" si="157"/>
        <v>39447.276881719939</v>
      </c>
      <c r="H6398" s="391" t="s">
        <v>9568</v>
      </c>
    </row>
    <row r="6399" spans="1:8" x14ac:dyDescent="0.3">
      <c r="A6399" s="509">
        <v>45097</v>
      </c>
      <c r="B6399" s="399" t="s">
        <v>12089</v>
      </c>
      <c r="C6399" s="5" t="s">
        <v>5793</v>
      </c>
      <c r="D6399" s="5" t="s">
        <v>40</v>
      </c>
      <c r="E6399" s="43">
        <v>2000</v>
      </c>
      <c r="F6399" s="43"/>
      <c r="G6399" s="48">
        <f t="shared" si="157"/>
        <v>37447.276881719939</v>
      </c>
      <c r="H6399" s="391" t="s">
        <v>9568</v>
      </c>
    </row>
    <row r="6400" spans="1:8" x14ac:dyDescent="0.3">
      <c r="A6400" s="509">
        <v>45097</v>
      </c>
      <c r="B6400" s="399" t="s">
        <v>12092</v>
      </c>
      <c r="C6400" s="5" t="s">
        <v>5793</v>
      </c>
      <c r="D6400" s="5" t="s">
        <v>40</v>
      </c>
      <c r="E6400" s="43">
        <v>1500</v>
      </c>
      <c r="F6400" s="43"/>
      <c r="G6400" s="48">
        <f t="shared" si="157"/>
        <v>35947.276881719939</v>
      </c>
      <c r="H6400" s="391" t="s">
        <v>9568</v>
      </c>
    </row>
    <row r="6401" spans="1:8" x14ac:dyDescent="0.3">
      <c r="A6401" s="509">
        <v>45097</v>
      </c>
      <c r="B6401" s="399" t="s">
        <v>12189</v>
      </c>
      <c r="C6401" s="5" t="s">
        <v>5793</v>
      </c>
      <c r="D6401" s="5" t="s">
        <v>40</v>
      </c>
      <c r="E6401" s="43">
        <v>2000</v>
      </c>
      <c r="F6401" s="43"/>
      <c r="G6401" s="48">
        <f t="shared" si="157"/>
        <v>33947.276881719939</v>
      </c>
      <c r="H6401" s="391" t="s">
        <v>9568</v>
      </c>
    </row>
    <row r="6402" spans="1:8" x14ac:dyDescent="0.3">
      <c r="A6402" s="509">
        <v>45097</v>
      </c>
      <c r="B6402" s="399" t="s">
        <v>11064</v>
      </c>
      <c r="C6402" s="5" t="s">
        <v>5793</v>
      </c>
      <c r="D6402" s="5" t="s">
        <v>40</v>
      </c>
      <c r="E6402" s="43">
        <v>800</v>
      </c>
      <c r="F6402" s="43"/>
      <c r="G6402" s="48">
        <f t="shared" si="157"/>
        <v>33147.276881719939</v>
      </c>
      <c r="H6402" s="391" t="s">
        <v>9568</v>
      </c>
    </row>
    <row r="6403" spans="1:8" x14ac:dyDescent="0.3">
      <c r="A6403" s="509">
        <v>45097</v>
      </c>
      <c r="B6403" s="399" t="s">
        <v>11465</v>
      </c>
      <c r="C6403" s="5" t="s">
        <v>5793</v>
      </c>
      <c r="D6403" s="5" t="s">
        <v>40</v>
      </c>
      <c r="E6403" s="43">
        <v>1000</v>
      </c>
      <c r="F6403" s="43"/>
      <c r="G6403" s="48">
        <f t="shared" si="157"/>
        <v>32147.276881719939</v>
      </c>
      <c r="H6403" s="391" t="s">
        <v>9568</v>
      </c>
    </row>
    <row r="6404" spans="1:8" x14ac:dyDescent="0.3">
      <c r="A6404" s="509">
        <v>45097</v>
      </c>
      <c r="B6404" s="588"/>
      <c r="C6404" s="503"/>
      <c r="D6404" s="504" t="s">
        <v>11032</v>
      </c>
      <c r="E6404" s="503"/>
      <c r="F6404" s="67">
        <v>1000000</v>
      </c>
      <c r="G6404" s="48">
        <f t="shared" si="157"/>
        <v>1032147.2768817199</v>
      </c>
      <c r="H6404" s="391" t="s">
        <v>9568</v>
      </c>
    </row>
    <row r="6405" spans="1:8" x14ac:dyDescent="0.3">
      <c r="A6405" s="509">
        <v>45097</v>
      </c>
      <c r="B6405" s="399" t="s">
        <v>11064</v>
      </c>
      <c r="C6405" s="5" t="s">
        <v>9325</v>
      </c>
      <c r="D6405" s="5" t="s">
        <v>11466</v>
      </c>
      <c r="E6405" s="43">
        <v>200000</v>
      </c>
      <c r="F6405" s="43"/>
      <c r="G6405" s="48">
        <f t="shared" si="157"/>
        <v>832147.27688171994</v>
      </c>
      <c r="H6405" s="391" t="s">
        <v>9568</v>
      </c>
    </row>
    <row r="6406" spans="1:8" x14ac:dyDescent="0.3">
      <c r="A6406" s="509">
        <v>45097</v>
      </c>
      <c r="B6406" s="399" t="s">
        <v>12189</v>
      </c>
      <c r="C6406" s="5" t="s">
        <v>5793</v>
      </c>
      <c r="D6406" s="5" t="s">
        <v>11467</v>
      </c>
      <c r="E6406" s="43">
        <v>5500</v>
      </c>
      <c r="F6406" s="43"/>
      <c r="G6406" s="48">
        <f t="shared" si="157"/>
        <v>826647.27688171994</v>
      </c>
      <c r="H6406" s="391" t="s">
        <v>9568</v>
      </c>
    </row>
    <row r="6407" spans="1:8" x14ac:dyDescent="0.3">
      <c r="A6407" s="509">
        <v>45097</v>
      </c>
      <c r="B6407" s="399"/>
      <c r="C6407" s="5" t="s">
        <v>84</v>
      </c>
      <c r="D6407" s="5" t="s">
        <v>11468</v>
      </c>
      <c r="E6407" s="62">
        <v>2000</v>
      </c>
      <c r="F6407" s="43"/>
      <c r="G6407" s="48">
        <f t="shared" si="157"/>
        <v>824647.27688171994</v>
      </c>
      <c r="H6407" s="391" t="s">
        <v>9568</v>
      </c>
    </row>
    <row r="6408" spans="1:8" x14ac:dyDescent="0.3">
      <c r="A6408" s="509">
        <v>45097</v>
      </c>
      <c r="B6408" s="399" t="s">
        <v>12138</v>
      </c>
      <c r="C6408" s="5" t="s">
        <v>11469</v>
      </c>
      <c r="D6408" s="5" t="s">
        <v>11470</v>
      </c>
      <c r="E6408" s="43">
        <v>1000</v>
      </c>
      <c r="F6408" s="43"/>
      <c r="G6408" s="48">
        <f t="shared" si="157"/>
        <v>823647.27688171994</v>
      </c>
      <c r="H6408" s="391" t="s">
        <v>9568</v>
      </c>
    </row>
    <row r="6409" spans="1:8" x14ac:dyDescent="0.3">
      <c r="A6409" s="509">
        <v>45098</v>
      </c>
      <c r="B6409" s="399" t="s">
        <v>118</v>
      </c>
      <c r="C6409" s="5" t="s">
        <v>11471</v>
      </c>
      <c r="D6409" s="5" t="s">
        <v>10006</v>
      </c>
      <c r="E6409" s="43">
        <v>150000</v>
      </c>
      <c r="F6409" s="43"/>
      <c r="G6409" s="48">
        <f t="shared" si="157"/>
        <v>673647.27688171994</v>
      </c>
      <c r="H6409" s="391" t="s">
        <v>9568</v>
      </c>
    </row>
    <row r="6410" spans="1:8" x14ac:dyDescent="0.3">
      <c r="A6410" s="509">
        <v>45098</v>
      </c>
      <c r="B6410" s="399" t="s">
        <v>11772</v>
      </c>
      <c r="C6410" s="5" t="s">
        <v>5793</v>
      </c>
      <c r="D6410" s="5" t="s">
        <v>40</v>
      </c>
      <c r="E6410" s="43">
        <v>400</v>
      </c>
      <c r="F6410" s="43"/>
      <c r="G6410" s="48">
        <f t="shared" si="157"/>
        <v>673247.27688171994</v>
      </c>
      <c r="H6410" s="391" t="s">
        <v>9568</v>
      </c>
    </row>
    <row r="6411" spans="1:8" x14ac:dyDescent="0.3">
      <c r="A6411" s="509">
        <v>45098</v>
      </c>
      <c r="B6411" s="399"/>
      <c r="C6411" s="5" t="s">
        <v>25</v>
      </c>
      <c r="D6411" s="5" t="s">
        <v>11455</v>
      </c>
      <c r="E6411" s="43">
        <v>4000</v>
      </c>
      <c r="F6411" s="43"/>
      <c r="G6411" s="48">
        <f t="shared" si="157"/>
        <v>669247.27688171994</v>
      </c>
      <c r="H6411" s="391" t="s">
        <v>9568</v>
      </c>
    </row>
    <row r="6412" spans="1:8" x14ac:dyDescent="0.3">
      <c r="A6412" s="509">
        <v>45098</v>
      </c>
      <c r="B6412" s="399"/>
      <c r="C6412" s="5" t="s">
        <v>247</v>
      </c>
      <c r="D6412" s="5" t="s">
        <v>11472</v>
      </c>
      <c r="E6412" s="43">
        <v>17500</v>
      </c>
      <c r="F6412" s="43"/>
      <c r="G6412" s="48">
        <f t="shared" si="157"/>
        <v>651747.27688171994</v>
      </c>
      <c r="H6412" s="391" t="s">
        <v>9568</v>
      </c>
    </row>
    <row r="6413" spans="1:8" x14ac:dyDescent="0.3">
      <c r="A6413" s="509">
        <v>45098</v>
      </c>
      <c r="B6413" s="399" t="s">
        <v>11064</v>
      </c>
      <c r="C6413" s="5" t="s">
        <v>9647</v>
      </c>
      <c r="D6413" s="5" t="s">
        <v>11473</v>
      </c>
      <c r="E6413" s="43">
        <v>100000</v>
      </c>
      <c r="F6413" s="43"/>
      <c r="G6413" s="48">
        <f t="shared" si="157"/>
        <v>551747.27688171994</v>
      </c>
      <c r="H6413" s="391" t="s">
        <v>9568</v>
      </c>
    </row>
    <row r="6414" spans="1:8" x14ac:dyDescent="0.3">
      <c r="A6414" s="509">
        <v>45098</v>
      </c>
      <c r="B6414" s="399"/>
      <c r="C6414" s="5" t="s">
        <v>84</v>
      </c>
      <c r="D6414" s="5" t="s">
        <v>11474</v>
      </c>
      <c r="E6414" s="62">
        <v>5000</v>
      </c>
      <c r="F6414" s="43"/>
      <c r="G6414" s="48">
        <f t="shared" si="157"/>
        <v>546747.27688171994</v>
      </c>
      <c r="H6414" s="391" t="s">
        <v>9568</v>
      </c>
    </row>
    <row r="6415" spans="1:8" x14ac:dyDescent="0.3">
      <c r="A6415" s="509">
        <v>45098</v>
      </c>
      <c r="B6415" s="399"/>
      <c r="C6415" s="5" t="s">
        <v>84</v>
      </c>
      <c r="D6415" s="5" t="s">
        <v>11475</v>
      </c>
      <c r="E6415" s="62">
        <v>10000</v>
      </c>
      <c r="F6415" s="43"/>
      <c r="G6415" s="48">
        <f t="shared" si="157"/>
        <v>536747.27688171994</v>
      </c>
      <c r="H6415" s="391" t="s">
        <v>9568</v>
      </c>
    </row>
    <row r="6416" spans="1:8" x14ac:dyDescent="0.3">
      <c r="A6416" s="509">
        <v>45098</v>
      </c>
      <c r="B6416" s="399" t="s">
        <v>10615</v>
      </c>
      <c r="C6416" s="5" t="s">
        <v>11477</v>
      </c>
      <c r="D6416" s="5" t="s">
        <v>11476</v>
      </c>
      <c r="E6416" s="43">
        <v>5000</v>
      </c>
      <c r="F6416" s="43"/>
      <c r="G6416" s="48">
        <f t="shared" si="157"/>
        <v>531747.27688171994</v>
      </c>
      <c r="H6416" s="391" t="s">
        <v>9568</v>
      </c>
    </row>
    <row r="6417" spans="1:8" x14ac:dyDescent="0.3">
      <c r="A6417" s="509">
        <v>45098</v>
      </c>
      <c r="B6417" s="399" t="s">
        <v>11064</v>
      </c>
      <c r="C6417" s="5" t="s">
        <v>6430</v>
      </c>
      <c r="D6417" s="5" t="s">
        <v>11478</v>
      </c>
      <c r="E6417" s="43">
        <v>9500</v>
      </c>
      <c r="F6417" s="43"/>
      <c r="G6417" s="48">
        <f t="shared" si="157"/>
        <v>522247.27688171994</v>
      </c>
      <c r="H6417" s="391" t="s">
        <v>9568</v>
      </c>
    </row>
    <row r="6418" spans="1:8" x14ac:dyDescent="0.3">
      <c r="A6418" s="509">
        <v>45098</v>
      </c>
      <c r="B6418" s="399" t="s">
        <v>11064</v>
      </c>
      <c r="C6418" s="5" t="s">
        <v>6430</v>
      </c>
      <c r="D6418" s="5" t="s">
        <v>11479</v>
      </c>
      <c r="E6418" s="43">
        <v>3000</v>
      </c>
      <c r="F6418" s="43"/>
      <c r="G6418" s="48">
        <f t="shared" si="157"/>
        <v>519247.27688171994</v>
      </c>
      <c r="H6418" s="391" t="s">
        <v>9568</v>
      </c>
    </row>
    <row r="6419" spans="1:8" x14ac:dyDescent="0.3">
      <c r="A6419" s="509">
        <v>45098</v>
      </c>
      <c r="B6419" s="399"/>
      <c r="C6419" s="5" t="s">
        <v>9756</v>
      </c>
      <c r="D6419" s="5" t="s">
        <v>2013</v>
      </c>
      <c r="E6419" s="43">
        <v>950</v>
      </c>
      <c r="F6419" s="43"/>
      <c r="G6419" s="48">
        <f t="shared" si="157"/>
        <v>518297.27688171994</v>
      </c>
      <c r="H6419" s="391" t="s">
        <v>9568</v>
      </c>
    </row>
    <row r="6420" spans="1:8" x14ac:dyDescent="0.3">
      <c r="A6420" s="509">
        <v>45098</v>
      </c>
      <c r="B6420" s="399" t="s">
        <v>12091</v>
      </c>
      <c r="C6420" s="5" t="s">
        <v>9756</v>
      </c>
      <c r="D6420" s="5" t="s">
        <v>4342</v>
      </c>
      <c r="E6420" s="43">
        <v>5500</v>
      </c>
      <c r="F6420" s="43"/>
      <c r="G6420" s="48">
        <f t="shared" si="157"/>
        <v>512797.27688171994</v>
      </c>
      <c r="H6420" s="391" t="s">
        <v>9568</v>
      </c>
    </row>
    <row r="6421" spans="1:8" x14ac:dyDescent="0.3">
      <c r="A6421" s="509">
        <v>45098</v>
      </c>
      <c r="B6421" s="399" t="s">
        <v>11772</v>
      </c>
      <c r="C6421" s="5" t="s">
        <v>9756</v>
      </c>
      <c r="D6421" s="5" t="s">
        <v>4342</v>
      </c>
      <c r="E6421" s="43">
        <v>6362</v>
      </c>
      <c r="F6421" s="43"/>
      <c r="G6421" s="48">
        <f t="shared" si="157"/>
        <v>506435.27688171994</v>
      </c>
      <c r="H6421" s="391" t="s">
        <v>9568</v>
      </c>
    </row>
    <row r="6422" spans="1:8" x14ac:dyDescent="0.3">
      <c r="A6422" s="509">
        <v>45098</v>
      </c>
      <c r="B6422" s="399"/>
      <c r="C6422" s="5" t="s">
        <v>9756</v>
      </c>
      <c r="D6422" s="5" t="s">
        <v>11483</v>
      </c>
      <c r="E6422" s="43">
        <v>5000</v>
      </c>
      <c r="F6422" s="43"/>
      <c r="G6422" s="48">
        <f t="shared" si="157"/>
        <v>501435.27688171994</v>
      </c>
      <c r="H6422" s="391" t="s">
        <v>9568</v>
      </c>
    </row>
    <row r="6423" spans="1:8" x14ac:dyDescent="0.3">
      <c r="A6423" s="509">
        <v>45098</v>
      </c>
      <c r="B6423" s="399" t="s">
        <v>12091</v>
      </c>
      <c r="C6423" s="5" t="s">
        <v>5793</v>
      </c>
      <c r="D6423" s="5" t="s">
        <v>40</v>
      </c>
      <c r="E6423" s="43">
        <v>3000</v>
      </c>
      <c r="F6423" s="43"/>
      <c r="G6423" s="48">
        <f t="shared" si="157"/>
        <v>498435.27688171994</v>
      </c>
      <c r="H6423" s="391" t="s">
        <v>9568</v>
      </c>
    </row>
    <row r="6424" spans="1:8" x14ac:dyDescent="0.3">
      <c r="A6424" s="509">
        <v>45098</v>
      </c>
      <c r="B6424" s="399"/>
      <c r="C6424" s="5" t="s">
        <v>25</v>
      </c>
      <c r="D6424" s="5" t="s">
        <v>11455</v>
      </c>
      <c r="E6424" s="43">
        <v>4500</v>
      </c>
      <c r="F6424" s="43"/>
      <c r="G6424" s="48">
        <f t="shared" si="157"/>
        <v>493935.27688171994</v>
      </c>
      <c r="H6424" s="391" t="s">
        <v>9568</v>
      </c>
    </row>
    <row r="6425" spans="1:8" x14ac:dyDescent="0.3">
      <c r="A6425" s="509">
        <v>45099</v>
      </c>
      <c r="B6425" s="399" t="s">
        <v>118</v>
      </c>
      <c r="C6425" s="5" t="s">
        <v>11484</v>
      </c>
      <c r="D6425" s="5" t="s">
        <v>11485</v>
      </c>
      <c r="E6425" s="43">
        <v>66680</v>
      </c>
      <c r="F6425" s="43"/>
      <c r="G6425" s="48">
        <f t="shared" si="157"/>
        <v>427255.27688171994</v>
      </c>
      <c r="H6425" s="391" t="s">
        <v>9568</v>
      </c>
    </row>
    <row r="6426" spans="1:8" x14ac:dyDescent="0.3">
      <c r="A6426" s="509">
        <v>45099</v>
      </c>
      <c r="B6426" s="399" t="s">
        <v>12190</v>
      </c>
      <c r="C6426" s="5" t="s">
        <v>1074</v>
      </c>
      <c r="D6426" s="5" t="s">
        <v>11415</v>
      </c>
      <c r="E6426" s="43">
        <v>89784</v>
      </c>
      <c r="F6426" s="43"/>
      <c r="G6426" s="48">
        <f t="shared" si="157"/>
        <v>337471.27688171994</v>
      </c>
      <c r="H6426" s="391" t="s">
        <v>9568</v>
      </c>
    </row>
    <row r="6427" spans="1:8" x14ac:dyDescent="0.3">
      <c r="A6427" s="509">
        <v>45099</v>
      </c>
      <c r="B6427" s="399" t="s">
        <v>118</v>
      </c>
      <c r="C6427" s="5" t="s">
        <v>1074</v>
      </c>
      <c r="D6427" s="5" t="s">
        <v>11415</v>
      </c>
      <c r="E6427" s="43">
        <v>42356</v>
      </c>
      <c r="F6427" s="43"/>
      <c r="G6427" s="48">
        <f t="shared" si="157"/>
        <v>295115.27688171994</v>
      </c>
      <c r="H6427" s="391" t="s">
        <v>9568</v>
      </c>
    </row>
    <row r="6428" spans="1:8" x14ac:dyDescent="0.3">
      <c r="A6428" s="509">
        <v>45099</v>
      </c>
      <c r="B6428" s="399" t="s">
        <v>11465</v>
      </c>
      <c r="C6428" s="5" t="s">
        <v>5793</v>
      </c>
      <c r="D6428" s="5" t="s">
        <v>40</v>
      </c>
      <c r="E6428" s="43">
        <v>1000</v>
      </c>
      <c r="F6428" s="43"/>
      <c r="G6428" s="48">
        <f t="shared" si="157"/>
        <v>294115.27688171994</v>
      </c>
      <c r="H6428" s="391" t="s">
        <v>9568</v>
      </c>
    </row>
    <row r="6429" spans="1:8" x14ac:dyDescent="0.3">
      <c r="A6429" s="509">
        <v>45099</v>
      </c>
      <c r="B6429" s="399" t="s">
        <v>12092</v>
      </c>
      <c r="C6429" s="5" t="s">
        <v>10760</v>
      </c>
      <c r="D6429" s="5" t="s">
        <v>3611</v>
      </c>
      <c r="E6429" s="43">
        <v>20000</v>
      </c>
      <c r="F6429" s="43"/>
      <c r="G6429" s="48">
        <f t="shared" si="157"/>
        <v>274115.27688171994</v>
      </c>
      <c r="H6429" s="391" t="s">
        <v>9568</v>
      </c>
    </row>
    <row r="6430" spans="1:8" x14ac:dyDescent="0.3">
      <c r="A6430" s="509">
        <v>45099</v>
      </c>
      <c r="B6430" s="399" t="s">
        <v>11772</v>
      </c>
      <c r="C6430" s="5" t="s">
        <v>9756</v>
      </c>
      <c r="D6430" s="5" t="s">
        <v>11486</v>
      </c>
      <c r="E6430" s="43">
        <v>5190</v>
      </c>
      <c r="F6430" s="43"/>
      <c r="G6430" s="48">
        <f t="shared" si="157"/>
        <v>268925.27688171994</v>
      </c>
      <c r="H6430" s="391" t="s">
        <v>9568</v>
      </c>
    </row>
    <row r="6431" spans="1:8" x14ac:dyDescent="0.3">
      <c r="A6431" s="509">
        <v>45099</v>
      </c>
      <c r="B6431" s="399" t="s">
        <v>12091</v>
      </c>
      <c r="C6431" s="5" t="s">
        <v>9756</v>
      </c>
      <c r="D6431" s="5" t="s">
        <v>11497</v>
      </c>
      <c r="E6431" s="43">
        <v>16540</v>
      </c>
      <c r="F6431" s="43"/>
      <c r="G6431" s="48">
        <f t="shared" si="157"/>
        <v>252385.27688171994</v>
      </c>
      <c r="H6431" s="391" t="s">
        <v>9568</v>
      </c>
    </row>
    <row r="6432" spans="1:8" x14ac:dyDescent="0.3">
      <c r="A6432" s="509">
        <v>45099</v>
      </c>
      <c r="B6432" s="399" t="s">
        <v>10832</v>
      </c>
      <c r="C6432" s="5" t="s">
        <v>11492</v>
      </c>
      <c r="D6432" s="5" t="s">
        <v>5508</v>
      </c>
      <c r="E6432" s="43">
        <v>20000</v>
      </c>
      <c r="F6432" s="43"/>
      <c r="G6432" s="48">
        <f t="shared" si="157"/>
        <v>232385.27688171994</v>
      </c>
      <c r="H6432" s="391" t="s">
        <v>9568</v>
      </c>
    </row>
    <row r="6433" spans="1:8" x14ac:dyDescent="0.3">
      <c r="A6433" s="509">
        <v>45099</v>
      </c>
      <c r="B6433" s="399" t="s">
        <v>10832</v>
      </c>
      <c r="C6433" s="5" t="s">
        <v>10788</v>
      </c>
      <c r="D6433" s="5" t="s">
        <v>11493</v>
      </c>
      <c r="E6433" s="43">
        <v>20000</v>
      </c>
      <c r="F6433" s="43"/>
      <c r="G6433" s="48">
        <f t="shared" si="157"/>
        <v>212385.27688171994</v>
      </c>
      <c r="H6433" s="391" t="s">
        <v>9568</v>
      </c>
    </row>
    <row r="6434" spans="1:8" x14ac:dyDescent="0.3">
      <c r="A6434" s="509">
        <v>45099</v>
      </c>
      <c r="B6434" s="399" t="s">
        <v>9925</v>
      </c>
      <c r="C6434" s="5" t="s">
        <v>8009</v>
      </c>
      <c r="D6434" s="5" t="s">
        <v>11494</v>
      </c>
      <c r="E6434" s="43">
        <v>4000</v>
      </c>
      <c r="F6434" s="43"/>
      <c r="G6434" s="48">
        <f t="shared" si="157"/>
        <v>208385.27688171994</v>
      </c>
      <c r="H6434" s="391" t="s">
        <v>9568</v>
      </c>
    </row>
    <row r="6435" spans="1:8" x14ac:dyDescent="0.3">
      <c r="A6435" s="509">
        <v>45099</v>
      </c>
      <c r="B6435" s="399" t="s">
        <v>9925</v>
      </c>
      <c r="C6435" s="5" t="s">
        <v>8009</v>
      </c>
      <c r="D6435" s="5" t="s">
        <v>11495</v>
      </c>
      <c r="E6435" s="43">
        <v>10000</v>
      </c>
      <c r="F6435" s="43"/>
      <c r="G6435" s="48">
        <f t="shared" si="157"/>
        <v>198385.27688171994</v>
      </c>
      <c r="H6435" s="391" t="s">
        <v>9568</v>
      </c>
    </row>
    <row r="6436" spans="1:8" x14ac:dyDescent="0.3">
      <c r="A6436" s="509">
        <v>45099</v>
      </c>
      <c r="B6436" s="399" t="s">
        <v>11772</v>
      </c>
      <c r="C6436" s="5" t="s">
        <v>9756</v>
      </c>
      <c r="D6436" s="5" t="s">
        <v>11498</v>
      </c>
      <c r="E6436" s="43">
        <v>1500</v>
      </c>
      <c r="F6436" s="43"/>
      <c r="G6436" s="48">
        <f t="shared" si="157"/>
        <v>196885.27688171994</v>
      </c>
      <c r="H6436" s="391" t="s">
        <v>9568</v>
      </c>
    </row>
    <row r="6437" spans="1:8" x14ac:dyDescent="0.3">
      <c r="A6437" s="509">
        <v>45100</v>
      </c>
      <c r="B6437" s="399"/>
      <c r="C6437" s="5" t="s">
        <v>14</v>
      </c>
      <c r="D6437" s="5" t="s">
        <v>640</v>
      </c>
      <c r="E6437" s="43">
        <v>1000</v>
      </c>
      <c r="F6437" s="43"/>
      <c r="G6437" s="48">
        <f t="shared" si="157"/>
        <v>195885.27688171994</v>
      </c>
      <c r="H6437" s="391" t="s">
        <v>9568</v>
      </c>
    </row>
    <row r="6438" spans="1:8" x14ac:dyDescent="0.3">
      <c r="A6438" s="509">
        <v>45100</v>
      </c>
      <c r="B6438" s="399" t="s">
        <v>12089</v>
      </c>
      <c r="C6438" s="5" t="s">
        <v>4376</v>
      </c>
      <c r="D6438" s="5" t="s">
        <v>11500</v>
      </c>
      <c r="E6438" s="43">
        <v>900</v>
      </c>
      <c r="F6438" s="43"/>
      <c r="G6438" s="48">
        <f t="shared" ref="G6438:G6444" si="158">G6437+F6438-E6438</f>
        <v>194985.27688171994</v>
      </c>
      <c r="H6438" s="391" t="s">
        <v>9568</v>
      </c>
    </row>
    <row r="6439" spans="1:8" x14ac:dyDescent="0.3">
      <c r="A6439" s="509">
        <v>45100</v>
      </c>
      <c r="B6439" s="399" t="s">
        <v>12089</v>
      </c>
      <c r="C6439" s="5" t="s">
        <v>5162</v>
      </c>
      <c r="D6439" s="5" t="s">
        <v>4187</v>
      </c>
      <c r="E6439" s="43">
        <v>2000</v>
      </c>
      <c r="F6439" s="43"/>
      <c r="G6439" s="48">
        <f t="shared" si="158"/>
        <v>192985.27688171994</v>
      </c>
      <c r="H6439" s="391" t="s">
        <v>9568</v>
      </c>
    </row>
    <row r="6440" spans="1:8" x14ac:dyDescent="0.3">
      <c r="A6440" s="509">
        <v>45100</v>
      </c>
      <c r="B6440" s="399" t="s">
        <v>11064</v>
      </c>
      <c r="C6440" s="5" t="s">
        <v>2995</v>
      </c>
      <c r="D6440" s="5" t="s">
        <v>11459</v>
      </c>
      <c r="E6440" s="43">
        <v>17000</v>
      </c>
      <c r="F6440" s="43"/>
      <c r="G6440" s="48">
        <f t="shared" si="158"/>
        <v>175985.27688171994</v>
      </c>
      <c r="H6440" s="391" t="s">
        <v>9568</v>
      </c>
    </row>
    <row r="6441" spans="1:8" x14ac:dyDescent="0.3">
      <c r="A6441" s="509">
        <v>45100</v>
      </c>
      <c r="B6441" s="399"/>
      <c r="C6441" s="5" t="s">
        <v>84</v>
      </c>
      <c r="D6441" s="5" t="s">
        <v>11501</v>
      </c>
      <c r="E6441" s="62">
        <v>5000</v>
      </c>
      <c r="F6441" s="43"/>
      <c r="G6441" s="48">
        <f t="shared" si="158"/>
        <v>170985.27688171994</v>
      </c>
      <c r="H6441" s="391" t="s">
        <v>9568</v>
      </c>
    </row>
    <row r="6442" spans="1:8" x14ac:dyDescent="0.3">
      <c r="A6442" s="509">
        <v>45100</v>
      </c>
      <c r="B6442" s="399" t="s">
        <v>10974</v>
      </c>
      <c r="C6442" s="5" t="s">
        <v>5793</v>
      </c>
      <c r="D6442" s="5" t="s">
        <v>40</v>
      </c>
      <c r="E6442" s="43">
        <v>1500</v>
      </c>
      <c r="F6442" s="43"/>
      <c r="G6442" s="48">
        <f t="shared" si="158"/>
        <v>169485.27688171994</v>
      </c>
      <c r="H6442" s="391" t="s">
        <v>9568</v>
      </c>
    </row>
    <row r="6443" spans="1:8" x14ac:dyDescent="0.3">
      <c r="A6443" s="509">
        <v>45100</v>
      </c>
      <c r="B6443" s="399" t="s">
        <v>12091</v>
      </c>
      <c r="C6443" s="5" t="s">
        <v>9756</v>
      </c>
      <c r="D6443" s="5" t="s">
        <v>11502</v>
      </c>
      <c r="E6443" s="43">
        <v>21360</v>
      </c>
      <c r="F6443" s="43"/>
      <c r="G6443" s="48">
        <f t="shared" si="158"/>
        <v>148125.27688171994</v>
      </c>
      <c r="H6443" s="391" t="s">
        <v>9568</v>
      </c>
    </row>
    <row r="6444" spans="1:8" x14ac:dyDescent="0.3">
      <c r="A6444" s="509">
        <v>45100</v>
      </c>
      <c r="B6444" s="399" t="s">
        <v>10974</v>
      </c>
      <c r="C6444" s="5" t="s">
        <v>30</v>
      </c>
      <c r="D6444" s="5" t="s">
        <v>11503</v>
      </c>
      <c r="E6444" s="43">
        <v>500</v>
      </c>
      <c r="F6444" s="43"/>
      <c r="G6444" s="48">
        <f t="shared" si="158"/>
        <v>147625.27688171994</v>
      </c>
      <c r="H6444" s="391" t="s">
        <v>9568</v>
      </c>
    </row>
    <row r="6445" spans="1:8" x14ac:dyDescent="0.3">
      <c r="A6445" s="509">
        <v>45100</v>
      </c>
      <c r="B6445" s="399" t="s">
        <v>12089</v>
      </c>
      <c r="C6445" s="5" t="s">
        <v>9756</v>
      </c>
      <c r="D6445" s="5" t="s">
        <v>10837</v>
      </c>
      <c r="E6445" s="43">
        <v>16360</v>
      </c>
      <c r="F6445" s="43"/>
      <c r="G6445" s="48">
        <f t="shared" ref="G6445:G6509" si="159">G6444+F6445-E6445</f>
        <v>131265.27688171994</v>
      </c>
      <c r="H6445" s="391" t="s">
        <v>9568</v>
      </c>
    </row>
    <row r="6446" spans="1:8" x14ac:dyDescent="0.3">
      <c r="A6446" s="509">
        <v>45100</v>
      </c>
      <c r="B6446" s="399" t="s">
        <v>12138</v>
      </c>
      <c r="C6446" s="5" t="s">
        <v>30</v>
      </c>
      <c r="D6446" s="5" t="s">
        <v>7561</v>
      </c>
      <c r="E6446" s="43">
        <v>250</v>
      </c>
      <c r="F6446" s="43"/>
      <c r="G6446" s="48">
        <f t="shared" si="159"/>
        <v>131015.27688171994</v>
      </c>
      <c r="H6446" s="391" t="s">
        <v>9568</v>
      </c>
    </row>
    <row r="6447" spans="1:8" x14ac:dyDescent="0.3">
      <c r="A6447" s="509">
        <v>45100</v>
      </c>
      <c r="B6447" s="399"/>
      <c r="C6447" s="5" t="s">
        <v>25</v>
      </c>
      <c r="D6447" s="5" t="s">
        <v>11455</v>
      </c>
      <c r="E6447" s="43">
        <v>3000</v>
      </c>
      <c r="F6447" s="43"/>
      <c r="G6447" s="48">
        <f t="shared" si="159"/>
        <v>128015.27688171994</v>
      </c>
      <c r="H6447" s="391" t="s">
        <v>9568</v>
      </c>
    </row>
    <row r="6448" spans="1:8" x14ac:dyDescent="0.3">
      <c r="A6448" s="509">
        <v>45100</v>
      </c>
      <c r="B6448" s="345" t="s">
        <v>12096</v>
      </c>
      <c r="C6448" s="73" t="s">
        <v>84</v>
      </c>
      <c r="D6448" s="73" t="s">
        <v>11512</v>
      </c>
      <c r="E6448" s="329">
        <v>4000</v>
      </c>
      <c r="F6448" s="43"/>
      <c r="G6448" s="48">
        <f t="shared" si="159"/>
        <v>124015.27688171994</v>
      </c>
      <c r="H6448" s="391" t="s">
        <v>9568</v>
      </c>
    </row>
    <row r="6449" spans="1:8" x14ac:dyDescent="0.3">
      <c r="A6449" s="509">
        <v>45101</v>
      </c>
      <c r="B6449" s="399"/>
      <c r="C6449" s="5" t="s">
        <v>84</v>
      </c>
      <c r="D6449" s="5" t="s">
        <v>11505</v>
      </c>
      <c r="E6449" s="65">
        <v>2000</v>
      </c>
      <c r="F6449" s="43"/>
      <c r="G6449" s="48">
        <f t="shared" si="159"/>
        <v>122015.27688171994</v>
      </c>
      <c r="H6449" s="391" t="s">
        <v>9568</v>
      </c>
    </row>
    <row r="6450" spans="1:8" x14ac:dyDescent="0.3">
      <c r="A6450" s="509">
        <v>45101</v>
      </c>
      <c r="B6450" s="531"/>
      <c r="C6450" s="530" t="s">
        <v>54</v>
      </c>
      <c r="D6450" s="530" t="s">
        <v>11506</v>
      </c>
      <c r="E6450" s="62">
        <v>15000</v>
      </c>
      <c r="F6450" s="43"/>
      <c r="G6450" s="48">
        <f t="shared" si="159"/>
        <v>107015.27688171994</v>
      </c>
      <c r="H6450" s="391" t="s">
        <v>9568</v>
      </c>
    </row>
    <row r="6451" spans="1:8" x14ac:dyDescent="0.3">
      <c r="A6451" s="509">
        <v>45101</v>
      </c>
      <c r="B6451" s="399" t="s">
        <v>11064</v>
      </c>
      <c r="C6451" s="5" t="s">
        <v>9458</v>
      </c>
      <c r="D6451" s="5" t="s">
        <v>11507</v>
      </c>
      <c r="E6451" s="43">
        <v>9000</v>
      </c>
      <c r="F6451" s="43"/>
      <c r="G6451" s="48">
        <f t="shared" si="159"/>
        <v>98015.276881719939</v>
      </c>
      <c r="H6451" s="391" t="s">
        <v>9568</v>
      </c>
    </row>
    <row r="6452" spans="1:8" x14ac:dyDescent="0.3">
      <c r="A6452" s="509">
        <v>45101</v>
      </c>
      <c r="B6452" s="399" t="s">
        <v>12089</v>
      </c>
      <c r="C6452" s="5" t="s">
        <v>30</v>
      </c>
      <c r="D6452" s="5" t="s">
        <v>11508</v>
      </c>
      <c r="E6452" s="43">
        <v>1100</v>
      </c>
      <c r="F6452" s="43"/>
      <c r="G6452" s="48">
        <f t="shared" si="159"/>
        <v>96915.276881719939</v>
      </c>
      <c r="H6452" s="391" t="s">
        <v>9568</v>
      </c>
    </row>
    <row r="6453" spans="1:8" x14ac:dyDescent="0.3">
      <c r="A6453" s="509">
        <v>45101</v>
      </c>
      <c r="B6453" s="399"/>
      <c r="C6453" s="5" t="s">
        <v>25</v>
      </c>
      <c r="D6453" s="5" t="s">
        <v>11509</v>
      </c>
      <c r="E6453" s="43">
        <v>5000</v>
      </c>
      <c r="F6453" s="43"/>
      <c r="G6453" s="48">
        <f t="shared" si="159"/>
        <v>91915.276881719939</v>
      </c>
      <c r="H6453" s="391" t="s">
        <v>9568</v>
      </c>
    </row>
    <row r="6454" spans="1:8" x14ac:dyDescent="0.3">
      <c r="A6454" s="509">
        <v>45101</v>
      </c>
      <c r="B6454" s="399"/>
      <c r="C6454" s="5" t="s">
        <v>4550</v>
      </c>
      <c r="D6454" s="5" t="s">
        <v>294</v>
      </c>
      <c r="E6454" s="43">
        <v>50000</v>
      </c>
      <c r="F6454" s="43"/>
      <c r="G6454" s="48">
        <f t="shared" si="159"/>
        <v>41915.276881719939</v>
      </c>
      <c r="H6454" s="391" t="s">
        <v>9568</v>
      </c>
    </row>
    <row r="6455" spans="1:8" x14ac:dyDescent="0.3">
      <c r="A6455" s="509">
        <v>45101</v>
      </c>
      <c r="B6455" s="399" t="s">
        <v>12089</v>
      </c>
      <c r="C6455" s="5" t="s">
        <v>8928</v>
      </c>
      <c r="D6455" s="5" t="s">
        <v>11510</v>
      </c>
      <c r="E6455" s="43">
        <v>8000</v>
      </c>
      <c r="F6455" s="43"/>
      <c r="G6455" s="48">
        <f t="shared" si="159"/>
        <v>33915.276881719939</v>
      </c>
      <c r="H6455" s="391" t="s">
        <v>9568</v>
      </c>
    </row>
    <row r="6456" spans="1:8" x14ac:dyDescent="0.3">
      <c r="A6456" s="509">
        <v>45101</v>
      </c>
      <c r="B6456" s="588"/>
      <c r="C6456" s="503"/>
      <c r="D6456" s="504" t="s">
        <v>11417</v>
      </c>
      <c r="E6456" s="503"/>
      <c r="F6456" s="67">
        <v>700000</v>
      </c>
      <c r="G6456" s="48">
        <f t="shared" si="159"/>
        <v>733915.27688171994</v>
      </c>
      <c r="H6456" s="391" t="s">
        <v>9568</v>
      </c>
    </row>
    <row r="6457" spans="1:8" x14ac:dyDescent="0.3">
      <c r="A6457" s="509">
        <v>45101</v>
      </c>
      <c r="B6457" s="399" t="s">
        <v>12089</v>
      </c>
      <c r="C6457" s="5" t="s">
        <v>5793</v>
      </c>
      <c r="D6457" s="5" t="s">
        <v>40</v>
      </c>
      <c r="E6457" s="43">
        <v>600</v>
      </c>
      <c r="F6457" s="43"/>
      <c r="G6457" s="48">
        <f t="shared" si="159"/>
        <v>733315.27688171994</v>
      </c>
      <c r="H6457" s="391" t="s">
        <v>9568</v>
      </c>
    </row>
    <row r="6458" spans="1:8" x14ac:dyDescent="0.3">
      <c r="A6458" s="509">
        <v>45101</v>
      </c>
      <c r="B6458" s="399" t="s">
        <v>11064</v>
      </c>
      <c r="C6458" s="5" t="s">
        <v>5793</v>
      </c>
      <c r="D6458" s="5" t="s">
        <v>40</v>
      </c>
      <c r="E6458" s="43">
        <v>800</v>
      </c>
      <c r="F6458" s="43"/>
      <c r="G6458" s="48">
        <f t="shared" si="159"/>
        <v>732515.27688171994</v>
      </c>
      <c r="H6458" s="391" t="s">
        <v>9568</v>
      </c>
    </row>
    <row r="6459" spans="1:8" x14ac:dyDescent="0.3">
      <c r="A6459" s="509">
        <v>45101</v>
      </c>
      <c r="B6459" s="399" t="s">
        <v>12091</v>
      </c>
      <c r="C6459" s="5" t="s">
        <v>5793</v>
      </c>
      <c r="D6459" s="5" t="s">
        <v>40</v>
      </c>
      <c r="E6459" s="43">
        <v>1000</v>
      </c>
      <c r="F6459" s="43"/>
      <c r="G6459" s="48">
        <f t="shared" si="159"/>
        <v>731515.27688171994</v>
      </c>
      <c r="H6459" s="391" t="s">
        <v>9568</v>
      </c>
    </row>
    <row r="6460" spans="1:8" x14ac:dyDescent="0.3">
      <c r="A6460" s="509">
        <v>45101</v>
      </c>
      <c r="B6460" s="399"/>
      <c r="C6460" s="5" t="s">
        <v>14</v>
      </c>
      <c r="D6460" s="5" t="s">
        <v>11513</v>
      </c>
      <c r="E6460" s="43">
        <v>50000</v>
      </c>
      <c r="F6460" s="43"/>
      <c r="G6460" s="48">
        <f t="shared" si="159"/>
        <v>681515.27688171994</v>
      </c>
      <c r="H6460" s="391" t="s">
        <v>9568</v>
      </c>
    </row>
    <row r="6461" spans="1:8" x14ac:dyDescent="0.3">
      <c r="A6461" s="509">
        <v>45101</v>
      </c>
      <c r="B6461" s="528" t="s">
        <v>11514</v>
      </c>
      <c r="C6461" s="527" t="s">
        <v>14</v>
      </c>
      <c r="D6461" s="527" t="s">
        <v>11381</v>
      </c>
      <c r="E6461" s="529">
        <v>450000</v>
      </c>
      <c r="F6461" s="43"/>
      <c r="G6461" s="48">
        <f t="shared" si="159"/>
        <v>231515.27688171994</v>
      </c>
      <c r="H6461" s="391" t="s">
        <v>9568</v>
      </c>
    </row>
    <row r="6462" spans="1:8" x14ac:dyDescent="0.3">
      <c r="A6462" s="509">
        <v>45101</v>
      </c>
      <c r="B6462" s="399" t="s">
        <v>11517</v>
      </c>
      <c r="C6462" s="5" t="s">
        <v>14</v>
      </c>
      <c r="D6462" s="5" t="s">
        <v>11516</v>
      </c>
      <c r="E6462" s="43">
        <v>10000</v>
      </c>
      <c r="F6462" s="43"/>
      <c r="G6462" s="48">
        <f t="shared" si="159"/>
        <v>221515.27688171994</v>
      </c>
      <c r="H6462" s="391" t="s">
        <v>9568</v>
      </c>
    </row>
    <row r="6463" spans="1:8" x14ac:dyDescent="0.3">
      <c r="A6463" s="509">
        <v>45101</v>
      </c>
      <c r="B6463" s="531" t="s">
        <v>9925</v>
      </c>
      <c r="C6463" s="530" t="s">
        <v>54</v>
      </c>
      <c r="D6463" s="530" t="s">
        <v>11518</v>
      </c>
      <c r="E6463" s="62">
        <v>34500</v>
      </c>
      <c r="F6463" s="43"/>
      <c r="G6463" s="48">
        <f t="shared" si="159"/>
        <v>187015.27688171994</v>
      </c>
      <c r="H6463" s="391" t="s">
        <v>9568</v>
      </c>
    </row>
    <row r="6464" spans="1:8" x14ac:dyDescent="0.3">
      <c r="A6464" s="509">
        <v>45101</v>
      </c>
      <c r="B6464" s="531" t="s">
        <v>9925</v>
      </c>
      <c r="C6464" s="530" t="s">
        <v>54</v>
      </c>
      <c r="D6464" s="530" t="s">
        <v>11519</v>
      </c>
      <c r="E6464" s="62">
        <v>15500</v>
      </c>
      <c r="F6464" s="43"/>
      <c r="G6464" s="48">
        <f t="shared" si="159"/>
        <v>171515.27688171994</v>
      </c>
      <c r="H6464" s="391" t="s">
        <v>9568</v>
      </c>
    </row>
    <row r="6465" spans="1:8" x14ac:dyDescent="0.3">
      <c r="A6465" s="509">
        <v>45101</v>
      </c>
      <c r="B6465" s="531" t="s">
        <v>9925</v>
      </c>
      <c r="C6465" s="530" t="s">
        <v>54</v>
      </c>
      <c r="D6465" s="530" t="s">
        <v>11520</v>
      </c>
      <c r="E6465" s="62">
        <v>25000</v>
      </c>
      <c r="F6465" s="43"/>
      <c r="G6465" s="48">
        <f t="shared" si="159"/>
        <v>146515.27688171994</v>
      </c>
      <c r="H6465" s="391" t="s">
        <v>9568</v>
      </c>
    </row>
    <row r="6466" spans="1:8" x14ac:dyDescent="0.3">
      <c r="A6466" s="509">
        <v>45101</v>
      </c>
      <c r="B6466" s="531" t="s">
        <v>9925</v>
      </c>
      <c r="C6466" s="530" t="s">
        <v>54</v>
      </c>
      <c r="D6466" s="530" t="s">
        <v>11521</v>
      </c>
      <c r="E6466" s="62">
        <v>25000</v>
      </c>
      <c r="F6466" s="43"/>
      <c r="G6466" s="48">
        <f t="shared" si="159"/>
        <v>121515.27688171994</v>
      </c>
      <c r="H6466" s="391" t="s">
        <v>9568</v>
      </c>
    </row>
    <row r="6467" spans="1:8" x14ac:dyDescent="0.3">
      <c r="A6467" s="509">
        <v>45103</v>
      </c>
      <c r="B6467" s="399" t="s">
        <v>12089</v>
      </c>
      <c r="C6467" s="5" t="s">
        <v>11194</v>
      </c>
      <c r="D6467" s="5" t="s">
        <v>11523</v>
      </c>
      <c r="E6467" s="43">
        <v>1000</v>
      </c>
      <c r="F6467" s="43"/>
      <c r="G6467" s="48">
        <f t="shared" si="159"/>
        <v>120515.27688171994</v>
      </c>
      <c r="H6467" s="391" t="s">
        <v>9568</v>
      </c>
    </row>
    <row r="6468" spans="1:8" x14ac:dyDescent="0.3">
      <c r="A6468" s="509">
        <v>45103</v>
      </c>
      <c r="B6468" s="399"/>
      <c r="C6468" s="5" t="s">
        <v>25</v>
      </c>
      <c r="D6468" s="5" t="s">
        <v>11455</v>
      </c>
      <c r="E6468" s="43">
        <v>3000</v>
      </c>
      <c r="F6468" s="43"/>
      <c r="G6468" s="48">
        <f t="shared" si="159"/>
        <v>117515.27688171994</v>
      </c>
      <c r="H6468" s="391" t="s">
        <v>9568</v>
      </c>
    </row>
    <row r="6469" spans="1:8" x14ac:dyDescent="0.3">
      <c r="A6469" s="509">
        <v>45103</v>
      </c>
      <c r="B6469" s="588"/>
      <c r="C6469" s="503"/>
      <c r="D6469" s="504" t="s">
        <v>11032</v>
      </c>
      <c r="E6469" s="503"/>
      <c r="F6469" s="67">
        <v>500000</v>
      </c>
      <c r="G6469" s="48">
        <f t="shared" si="159"/>
        <v>617515.27688171994</v>
      </c>
      <c r="H6469" s="391" t="s">
        <v>9568</v>
      </c>
    </row>
    <row r="6470" spans="1:8" x14ac:dyDescent="0.3">
      <c r="A6470" s="509">
        <v>45103</v>
      </c>
      <c r="B6470" s="399"/>
      <c r="C6470" s="5" t="s">
        <v>7214</v>
      </c>
      <c r="D6470" s="5" t="s">
        <v>11524</v>
      </c>
      <c r="E6470" s="43">
        <v>10000</v>
      </c>
      <c r="F6470" s="43"/>
      <c r="G6470" s="48">
        <f t="shared" si="159"/>
        <v>607515.27688171994</v>
      </c>
      <c r="H6470" s="391" t="s">
        <v>9568</v>
      </c>
    </row>
    <row r="6471" spans="1:8" x14ac:dyDescent="0.3">
      <c r="A6471" s="509">
        <v>45103</v>
      </c>
      <c r="B6471" s="399" t="s">
        <v>12092</v>
      </c>
      <c r="C6471" s="5" t="s">
        <v>11236</v>
      </c>
      <c r="D6471" s="5" t="s">
        <v>5508</v>
      </c>
      <c r="E6471" s="43">
        <v>40100</v>
      </c>
      <c r="F6471" s="43"/>
      <c r="G6471" s="48">
        <f t="shared" si="159"/>
        <v>567415.27688171994</v>
      </c>
      <c r="H6471" s="391" t="s">
        <v>9568</v>
      </c>
    </row>
    <row r="6472" spans="1:8" x14ac:dyDescent="0.3">
      <c r="A6472" s="509">
        <v>45103</v>
      </c>
      <c r="B6472" s="531" t="s">
        <v>118</v>
      </c>
      <c r="C6472" s="530" t="s">
        <v>84</v>
      </c>
      <c r="D6472" s="530" t="s">
        <v>11525</v>
      </c>
      <c r="E6472" s="62">
        <v>10000</v>
      </c>
      <c r="F6472" s="43"/>
      <c r="G6472" s="48">
        <f t="shared" si="159"/>
        <v>557415.27688171994</v>
      </c>
      <c r="H6472" s="391" t="s">
        <v>9568</v>
      </c>
    </row>
    <row r="6473" spans="1:8" x14ac:dyDescent="0.3">
      <c r="A6473" s="509">
        <v>45103</v>
      </c>
      <c r="B6473" s="345" t="s">
        <v>12096</v>
      </c>
      <c r="C6473" s="5" t="s">
        <v>11194</v>
      </c>
      <c r="D6473" s="5" t="s">
        <v>11526</v>
      </c>
      <c r="E6473" s="43">
        <v>80</v>
      </c>
      <c r="F6473" s="43"/>
      <c r="G6473" s="48">
        <f t="shared" si="159"/>
        <v>557335.27688171994</v>
      </c>
      <c r="H6473" s="391" t="s">
        <v>9568</v>
      </c>
    </row>
    <row r="6474" spans="1:8" x14ac:dyDescent="0.3">
      <c r="A6474" s="509">
        <v>45103</v>
      </c>
      <c r="B6474" s="531" t="s">
        <v>118</v>
      </c>
      <c r="C6474" s="530" t="s">
        <v>54</v>
      </c>
      <c r="D6474" s="530" t="s">
        <v>11527</v>
      </c>
      <c r="E6474" s="62">
        <v>30000</v>
      </c>
      <c r="F6474" s="43"/>
      <c r="G6474" s="48">
        <f t="shared" si="159"/>
        <v>527335.27688171994</v>
      </c>
      <c r="H6474" s="391" t="s">
        <v>9568</v>
      </c>
    </row>
    <row r="6475" spans="1:8" x14ac:dyDescent="0.3">
      <c r="A6475" s="509">
        <v>45103</v>
      </c>
      <c r="B6475" s="399" t="s">
        <v>11528</v>
      </c>
      <c r="C6475" s="5" t="s">
        <v>5793</v>
      </c>
      <c r="D6475" s="5" t="s">
        <v>40</v>
      </c>
      <c r="E6475" s="43">
        <v>3000</v>
      </c>
      <c r="F6475" s="43"/>
      <c r="G6475" s="48">
        <f t="shared" si="159"/>
        <v>524335.27688171994</v>
      </c>
      <c r="H6475" s="391" t="s">
        <v>9568</v>
      </c>
    </row>
    <row r="6476" spans="1:8" x14ac:dyDescent="0.3">
      <c r="A6476" s="509">
        <v>45103</v>
      </c>
      <c r="B6476" s="399" t="s">
        <v>10333</v>
      </c>
      <c r="C6476" s="5" t="s">
        <v>9756</v>
      </c>
      <c r="D6476" s="5" t="s">
        <v>11532</v>
      </c>
      <c r="E6476" s="43">
        <v>4725</v>
      </c>
      <c r="F6476" s="43"/>
      <c r="G6476" s="241">
        <f t="shared" si="159"/>
        <v>519610.27688171994</v>
      </c>
      <c r="H6476" s="391" t="s">
        <v>9568</v>
      </c>
    </row>
    <row r="6477" spans="1:8" x14ac:dyDescent="0.3">
      <c r="A6477" s="509">
        <v>45103</v>
      </c>
      <c r="B6477" s="531" t="s">
        <v>118</v>
      </c>
      <c r="C6477" s="530" t="s">
        <v>54</v>
      </c>
      <c r="D6477" s="530" t="s">
        <v>11530</v>
      </c>
      <c r="E6477" s="62">
        <v>5000</v>
      </c>
      <c r="F6477" s="43"/>
      <c r="G6477" s="48">
        <f t="shared" si="159"/>
        <v>514610.27688171994</v>
      </c>
      <c r="H6477" s="391" t="s">
        <v>9568</v>
      </c>
    </row>
    <row r="6478" spans="1:8" x14ac:dyDescent="0.3">
      <c r="A6478" s="509">
        <v>45103</v>
      </c>
      <c r="B6478" s="399" t="s">
        <v>10333</v>
      </c>
      <c r="C6478" s="5" t="s">
        <v>247</v>
      </c>
      <c r="D6478" s="5" t="s">
        <v>11472</v>
      </c>
      <c r="E6478" s="43">
        <v>12300</v>
      </c>
      <c r="F6478" s="43"/>
      <c r="G6478" s="48">
        <f t="shared" si="159"/>
        <v>502310.27688171994</v>
      </c>
      <c r="H6478" s="391" t="s">
        <v>9568</v>
      </c>
    </row>
    <row r="6479" spans="1:8" x14ac:dyDescent="0.3">
      <c r="A6479" s="509">
        <v>45103</v>
      </c>
      <c r="B6479" s="399"/>
      <c r="C6479" s="5" t="s">
        <v>4400</v>
      </c>
      <c r="D6479" s="5" t="s">
        <v>40</v>
      </c>
      <c r="E6479" s="43">
        <v>4670</v>
      </c>
      <c r="F6479" s="43"/>
      <c r="G6479" s="48">
        <f t="shared" si="159"/>
        <v>497640.27688171994</v>
      </c>
      <c r="H6479" s="391" t="s">
        <v>9568</v>
      </c>
    </row>
    <row r="6480" spans="1:8" x14ac:dyDescent="0.3">
      <c r="A6480" s="509">
        <v>45103</v>
      </c>
      <c r="B6480" s="531" t="s">
        <v>118</v>
      </c>
      <c r="C6480" s="530" t="s">
        <v>54</v>
      </c>
      <c r="D6480" s="530" t="s">
        <v>11533</v>
      </c>
      <c r="E6480" s="62">
        <v>25000</v>
      </c>
      <c r="F6480" s="43"/>
      <c r="G6480" s="48">
        <f t="shared" si="159"/>
        <v>472640.27688171994</v>
      </c>
      <c r="H6480" s="391" t="s">
        <v>9568</v>
      </c>
    </row>
    <row r="6481" spans="1:14" x14ac:dyDescent="0.3">
      <c r="A6481" s="509">
        <v>45103</v>
      </c>
      <c r="B6481" s="531" t="s">
        <v>9925</v>
      </c>
      <c r="C6481" s="530" t="s">
        <v>54</v>
      </c>
      <c r="D6481" s="530" t="s">
        <v>11534</v>
      </c>
      <c r="E6481" s="62">
        <v>20000</v>
      </c>
      <c r="F6481" s="43"/>
      <c r="G6481" s="48">
        <f t="shared" si="159"/>
        <v>452640.27688171994</v>
      </c>
      <c r="H6481" s="391" t="s">
        <v>9568</v>
      </c>
    </row>
    <row r="6482" spans="1:14" x14ac:dyDescent="0.3">
      <c r="A6482" s="509">
        <v>45103</v>
      </c>
      <c r="B6482" s="399" t="s">
        <v>10615</v>
      </c>
      <c r="C6482" s="5" t="s">
        <v>84</v>
      </c>
      <c r="D6482" s="5" t="s">
        <v>11535</v>
      </c>
      <c r="E6482" s="65">
        <v>12000</v>
      </c>
      <c r="F6482" s="43"/>
      <c r="G6482" s="48">
        <f t="shared" si="159"/>
        <v>440640.27688171994</v>
      </c>
      <c r="H6482" s="391" t="s">
        <v>9568</v>
      </c>
    </row>
    <row r="6483" spans="1:14" x14ac:dyDescent="0.3">
      <c r="A6483" s="509">
        <v>45103</v>
      </c>
      <c r="B6483" s="399" t="s">
        <v>12190</v>
      </c>
      <c r="C6483" s="5" t="s">
        <v>11536</v>
      </c>
      <c r="D6483" s="5" t="s">
        <v>11537</v>
      </c>
      <c r="E6483" s="43">
        <v>40000</v>
      </c>
      <c r="F6483" s="43"/>
      <c r="G6483" s="48">
        <f t="shared" si="159"/>
        <v>400640.27688171994</v>
      </c>
      <c r="H6483" s="391" t="s">
        <v>9568</v>
      </c>
    </row>
    <row r="6484" spans="1:14" x14ac:dyDescent="0.3">
      <c r="A6484" s="509">
        <v>45103</v>
      </c>
      <c r="B6484" s="399" t="s">
        <v>10615</v>
      </c>
      <c r="C6484" s="5" t="s">
        <v>84</v>
      </c>
      <c r="D6484" s="5" t="s">
        <v>11538</v>
      </c>
      <c r="E6484" s="65">
        <v>15000</v>
      </c>
      <c r="F6484" s="43"/>
      <c r="G6484" s="48">
        <f t="shared" si="159"/>
        <v>385640.27688171994</v>
      </c>
      <c r="H6484" s="391" t="s">
        <v>9568</v>
      </c>
    </row>
    <row r="6485" spans="1:14" x14ac:dyDescent="0.3">
      <c r="A6485" s="509">
        <v>45103</v>
      </c>
      <c r="B6485" s="399" t="s">
        <v>10333</v>
      </c>
      <c r="C6485" s="5" t="s">
        <v>5793</v>
      </c>
      <c r="D6485" s="5" t="s">
        <v>40</v>
      </c>
      <c r="E6485" s="43">
        <v>2600</v>
      </c>
      <c r="F6485" s="43"/>
      <c r="G6485" s="48">
        <f t="shared" si="159"/>
        <v>383040.27688171994</v>
      </c>
      <c r="H6485" s="391" t="s">
        <v>9568</v>
      </c>
    </row>
    <row r="6486" spans="1:14" x14ac:dyDescent="0.3">
      <c r="A6486" s="509">
        <v>45103</v>
      </c>
      <c r="B6486" s="531" t="s">
        <v>10615</v>
      </c>
      <c r="C6486" s="530" t="s">
        <v>54</v>
      </c>
      <c r="D6486" s="530" t="s">
        <v>11539</v>
      </c>
      <c r="E6486" s="62">
        <v>25000</v>
      </c>
      <c r="F6486" s="43"/>
      <c r="G6486" s="48">
        <f t="shared" si="159"/>
        <v>358040.27688171994</v>
      </c>
      <c r="H6486" s="391" t="s">
        <v>9568</v>
      </c>
    </row>
    <row r="6487" spans="1:14" x14ac:dyDescent="0.3">
      <c r="A6487" s="509">
        <v>45103</v>
      </c>
      <c r="B6487" s="531" t="s">
        <v>118</v>
      </c>
      <c r="C6487" s="530" t="s">
        <v>1512</v>
      </c>
      <c r="D6487" s="530" t="s">
        <v>2482</v>
      </c>
      <c r="E6487" s="532">
        <v>18000</v>
      </c>
      <c r="F6487" s="43"/>
      <c r="G6487" s="48">
        <f t="shared" si="159"/>
        <v>340040.27688171994</v>
      </c>
      <c r="H6487" s="391" t="s">
        <v>9568</v>
      </c>
    </row>
    <row r="6488" spans="1:14" x14ac:dyDescent="0.3">
      <c r="A6488" s="509">
        <v>45103</v>
      </c>
      <c r="B6488" s="399" t="s">
        <v>11528</v>
      </c>
      <c r="C6488" s="5" t="s">
        <v>10815</v>
      </c>
      <c r="D6488" s="5" t="s">
        <v>11540</v>
      </c>
      <c r="E6488" s="43">
        <v>4700</v>
      </c>
      <c r="F6488" s="43"/>
      <c r="G6488" s="48">
        <f t="shared" si="159"/>
        <v>335340.27688171994</v>
      </c>
      <c r="H6488" s="391" t="s">
        <v>9568</v>
      </c>
    </row>
    <row r="6489" spans="1:14" x14ac:dyDescent="0.3">
      <c r="A6489" s="509">
        <v>45103</v>
      </c>
      <c r="B6489" s="399" t="s">
        <v>12092</v>
      </c>
      <c r="C6489" s="5" t="s">
        <v>10815</v>
      </c>
      <c r="D6489" s="5" t="s">
        <v>11364</v>
      </c>
      <c r="E6489" s="43">
        <v>8500</v>
      </c>
      <c r="F6489" s="43"/>
      <c r="G6489" s="48">
        <f t="shared" si="159"/>
        <v>326840.27688171994</v>
      </c>
      <c r="H6489" s="391" t="s">
        <v>9568</v>
      </c>
    </row>
    <row r="6490" spans="1:14" x14ac:dyDescent="0.3">
      <c r="A6490" s="509">
        <v>45103</v>
      </c>
      <c r="B6490" s="531" t="s">
        <v>118</v>
      </c>
      <c r="C6490" s="530" t="s">
        <v>54</v>
      </c>
      <c r="D6490" s="530" t="s">
        <v>11541</v>
      </c>
      <c r="E6490" s="62">
        <v>50000</v>
      </c>
      <c r="F6490" s="43"/>
      <c r="G6490" s="48">
        <f t="shared" si="159"/>
        <v>276840.27688171994</v>
      </c>
      <c r="H6490" s="391" t="s">
        <v>9568</v>
      </c>
    </row>
    <row r="6491" spans="1:14" x14ac:dyDescent="0.3">
      <c r="A6491" s="509">
        <v>45104</v>
      </c>
      <c r="B6491" s="531" t="s">
        <v>11517</v>
      </c>
      <c r="C6491" s="530" t="s">
        <v>54</v>
      </c>
      <c r="D6491" s="530" t="s">
        <v>11542</v>
      </c>
      <c r="E6491" s="62">
        <v>50000</v>
      </c>
      <c r="F6491" s="43"/>
      <c r="G6491" s="48">
        <f t="shared" si="159"/>
        <v>226840.27688171994</v>
      </c>
      <c r="H6491" s="391" t="s">
        <v>9568</v>
      </c>
    </row>
    <row r="6492" spans="1:14" x14ac:dyDescent="0.3">
      <c r="A6492" s="509">
        <v>45104</v>
      </c>
      <c r="B6492" s="531" t="s">
        <v>11517</v>
      </c>
      <c r="C6492" s="530" t="s">
        <v>54</v>
      </c>
      <c r="D6492" s="530" t="s">
        <v>11543</v>
      </c>
      <c r="E6492" s="62">
        <v>25000</v>
      </c>
      <c r="F6492" s="43"/>
      <c r="G6492" s="48">
        <f t="shared" si="159"/>
        <v>201840.27688171994</v>
      </c>
      <c r="H6492" s="391" t="s">
        <v>9568</v>
      </c>
    </row>
    <row r="6493" spans="1:14" x14ac:dyDescent="0.3">
      <c r="A6493" s="509">
        <v>45104</v>
      </c>
      <c r="B6493" s="531" t="s">
        <v>11517</v>
      </c>
      <c r="C6493" s="530" t="s">
        <v>54</v>
      </c>
      <c r="D6493" s="530" t="s">
        <v>11544</v>
      </c>
      <c r="E6493" s="62">
        <v>25000</v>
      </c>
      <c r="F6493" s="43"/>
      <c r="G6493" s="48">
        <f t="shared" si="159"/>
        <v>176840.27688171994</v>
      </c>
      <c r="H6493" s="391" t="s">
        <v>9568</v>
      </c>
    </row>
    <row r="6494" spans="1:14" x14ac:dyDescent="0.3">
      <c r="A6494" s="509">
        <v>45104</v>
      </c>
      <c r="B6494" s="531" t="s">
        <v>11517</v>
      </c>
      <c r="C6494" s="530" t="s">
        <v>54</v>
      </c>
      <c r="D6494" s="530" t="s">
        <v>11545</v>
      </c>
      <c r="E6494" s="532">
        <v>9000</v>
      </c>
      <c r="F6494" s="43"/>
      <c r="G6494" s="48">
        <f t="shared" si="159"/>
        <v>167840.27688171994</v>
      </c>
      <c r="H6494" s="391" t="s">
        <v>9568</v>
      </c>
    </row>
    <row r="6495" spans="1:14" x14ac:dyDescent="0.3">
      <c r="A6495" s="509">
        <v>45104</v>
      </c>
      <c r="B6495" s="399"/>
      <c r="C6495" s="5" t="s">
        <v>14</v>
      </c>
      <c r="D6495" s="5" t="s">
        <v>294</v>
      </c>
      <c r="E6495" s="65">
        <v>10000</v>
      </c>
      <c r="F6495" s="65"/>
      <c r="G6495" s="48">
        <f t="shared" si="159"/>
        <v>157840.27688171994</v>
      </c>
      <c r="H6495" s="391" t="s">
        <v>9568</v>
      </c>
      <c r="I6495" s="102"/>
      <c r="J6495" s="102"/>
      <c r="K6495" s="102"/>
      <c r="N6495" s="102"/>
    </row>
    <row r="6496" spans="1:14" x14ac:dyDescent="0.3">
      <c r="A6496" s="509">
        <v>45104</v>
      </c>
      <c r="B6496" s="531" t="s">
        <v>5914</v>
      </c>
      <c r="C6496" s="530" t="s">
        <v>54</v>
      </c>
      <c r="D6496" s="530" t="s">
        <v>11546</v>
      </c>
      <c r="E6496" s="62">
        <v>15000</v>
      </c>
      <c r="F6496" s="43"/>
      <c r="G6496" s="48">
        <f t="shared" si="159"/>
        <v>142840.27688171994</v>
      </c>
      <c r="H6496" s="391" t="s">
        <v>9568</v>
      </c>
    </row>
    <row r="6497" spans="1:8" x14ac:dyDescent="0.3">
      <c r="A6497" s="509">
        <v>45104</v>
      </c>
      <c r="B6497" s="531" t="s">
        <v>5914</v>
      </c>
      <c r="C6497" s="530" t="s">
        <v>54</v>
      </c>
      <c r="D6497" s="530" t="s">
        <v>11547</v>
      </c>
      <c r="E6497" s="62">
        <v>15000</v>
      </c>
      <c r="F6497" s="43"/>
      <c r="G6497" s="48">
        <f t="shared" si="159"/>
        <v>127840.27688171994</v>
      </c>
      <c r="H6497" s="391" t="s">
        <v>9568</v>
      </c>
    </row>
    <row r="6498" spans="1:8" x14ac:dyDescent="0.3">
      <c r="A6498" s="509">
        <v>45104</v>
      </c>
      <c r="B6498" s="531" t="s">
        <v>5914</v>
      </c>
      <c r="C6498" s="530" t="s">
        <v>54</v>
      </c>
      <c r="D6498" s="530" t="s">
        <v>11548</v>
      </c>
      <c r="E6498" s="62">
        <v>15000</v>
      </c>
      <c r="F6498" s="43"/>
      <c r="G6498" s="48">
        <f t="shared" si="159"/>
        <v>112840.27688171994</v>
      </c>
      <c r="H6498" s="391" t="s">
        <v>9568</v>
      </c>
    </row>
    <row r="6499" spans="1:8" x14ac:dyDescent="0.3">
      <c r="A6499" s="509">
        <v>45104</v>
      </c>
      <c r="B6499" s="531" t="s">
        <v>5914</v>
      </c>
      <c r="C6499" s="530" t="s">
        <v>54</v>
      </c>
      <c r="D6499" s="530" t="s">
        <v>11549</v>
      </c>
      <c r="E6499" s="62">
        <v>15000</v>
      </c>
      <c r="F6499" s="43"/>
      <c r="G6499" s="48">
        <f t="shared" si="159"/>
        <v>97840.276881719939</v>
      </c>
      <c r="H6499" s="391" t="s">
        <v>9568</v>
      </c>
    </row>
    <row r="6500" spans="1:8" x14ac:dyDescent="0.3">
      <c r="A6500" s="509">
        <v>45104</v>
      </c>
      <c r="B6500" s="531" t="s">
        <v>5914</v>
      </c>
      <c r="C6500" s="530" t="s">
        <v>54</v>
      </c>
      <c r="D6500" s="530" t="s">
        <v>11550</v>
      </c>
      <c r="E6500" s="62">
        <v>15000</v>
      </c>
      <c r="F6500" s="43"/>
      <c r="G6500" s="48">
        <f t="shared" si="159"/>
        <v>82840.276881719939</v>
      </c>
      <c r="H6500" s="391" t="s">
        <v>9568</v>
      </c>
    </row>
    <row r="6501" spans="1:8" x14ac:dyDescent="0.3">
      <c r="A6501" s="509">
        <v>45104</v>
      </c>
      <c r="B6501" s="399" t="s">
        <v>5914</v>
      </c>
      <c r="C6501" s="5" t="s">
        <v>84</v>
      </c>
      <c r="D6501" s="5" t="s">
        <v>11551</v>
      </c>
      <c r="E6501" s="65">
        <v>30000</v>
      </c>
      <c r="F6501" s="43"/>
      <c r="G6501" s="48">
        <f t="shared" si="159"/>
        <v>52840.276881719939</v>
      </c>
      <c r="H6501" s="391" t="s">
        <v>9568</v>
      </c>
    </row>
    <row r="6502" spans="1:8" x14ac:dyDescent="0.3">
      <c r="A6502" s="509">
        <v>45104</v>
      </c>
      <c r="B6502" s="399" t="s">
        <v>11465</v>
      </c>
      <c r="C6502" s="5" t="s">
        <v>5793</v>
      </c>
      <c r="D6502" s="5" t="s">
        <v>40</v>
      </c>
      <c r="E6502" s="43">
        <v>1000</v>
      </c>
      <c r="F6502" s="43"/>
      <c r="G6502" s="48">
        <f t="shared" si="159"/>
        <v>51840.276881719939</v>
      </c>
      <c r="H6502" s="391" t="s">
        <v>9568</v>
      </c>
    </row>
    <row r="6503" spans="1:8" x14ac:dyDescent="0.3">
      <c r="A6503" s="509">
        <v>45104</v>
      </c>
      <c r="B6503" s="531" t="s">
        <v>10615</v>
      </c>
      <c r="C6503" s="530" t="s">
        <v>54</v>
      </c>
      <c r="D6503" s="530" t="s">
        <v>11553</v>
      </c>
      <c r="E6503" s="62">
        <v>10000</v>
      </c>
      <c r="F6503" s="43"/>
      <c r="G6503" s="48">
        <f t="shared" si="159"/>
        <v>41840.276881719939</v>
      </c>
      <c r="H6503" s="391" t="s">
        <v>9568</v>
      </c>
    </row>
    <row r="6504" spans="1:8" x14ac:dyDescent="0.3">
      <c r="A6504" s="509">
        <v>45104</v>
      </c>
      <c r="B6504" s="531" t="s">
        <v>10615</v>
      </c>
      <c r="C6504" s="530" t="s">
        <v>54</v>
      </c>
      <c r="D6504" s="530" t="s">
        <v>11554</v>
      </c>
      <c r="E6504" s="62">
        <v>10000</v>
      </c>
      <c r="F6504" s="43"/>
      <c r="G6504" s="48">
        <f t="shared" si="159"/>
        <v>31840.276881719939</v>
      </c>
      <c r="H6504" s="391" t="s">
        <v>9568</v>
      </c>
    </row>
    <row r="6505" spans="1:8" x14ac:dyDescent="0.3">
      <c r="A6505" s="509">
        <v>45104</v>
      </c>
      <c r="B6505" s="531" t="s">
        <v>10615</v>
      </c>
      <c r="C6505" s="530" t="s">
        <v>54</v>
      </c>
      <c r="D6505" s="530" t="s">
        <v>11557</v>
      </c>
      <c r="E6505" s="62">
        <v>5000</v>
      </c>
      <c r="F6505" s="43"/>
      <c r="G6505" s="48">
        <f t="shared" si="159"/>
        <v>26840.276881719939</v>
      </c>
      <c r="H6505" s="391" t="s">
        <v>9568</v>
      </c>
    </row>
    <row r="6506" spans="1:8" x14ac:dyDescent="0.3">
      <c r="A6506" s="509">
        <v>45104</v>
      </c>
      <c r="B6506" s="531" t="s">
        <v>10615</v>
      </c>
      <c r="C6506" s="530" t="s">
        <v>54</v>
      </c>
      <c r="D6506" s="530" t="s">
        <v>11555</v>
      </c>
      <c r="E6506" s="62">
        <v>5000</v>
      </c>
      <c r="F6506" s="43"/>
      <c r="G6506" s="48">
        <f t="shared" si="159"/>
        <v>21840.276881719939</v>
      </c>
      <c r="H6506" s="391" t="s">
        <v>9568</v>
      </c>
    </row>
    <row r="6507" spans="1:8" x14ac:dyDescent="0.3">
      <c r="A6507" s="509">
        <v>45104</v>
      </c>
      <c r="B6507" s="531" t="s">
        <v>10615</v>
      </c>
      <c r="C6507" s="530" t="s">
        <v>54</v>
      </c>
      <c r="D6507" s="530" t="s">
        <v>11556</v>
      </c>
      <c r="E6507" s="62">
        <v>5000</v>
      </c>
      <c r="F6507" s="43"/>
      <c r="G6507" s="48">
        <f t="shared" si="159"/>
        <v>16840.276881719939</v>
      </c>
      <c r="H6507" s="391" t="s">
        <v>9568</v>
      </c>
    </row>
    <row r="6508" spans="1:8" x14ac:dyDescent="0.3">
      <c r="A6508" s="509">
        <v>45104</v>
      </c>
      <c r="B6508" s="399" t="s">
        <v>10615</v>
      </c>
      <c r="C6508" s="5" t="s">
        <v>10143</v>
      </c>
      <c r="D6508" s="5" t="s">
        <v>11558</v>
      </c>
      <c r="E6508" s="43">
        <v>3450</v>
      </c>
      <c r="F6508" s="43"/>
      <c r="G6508" s="48">
        <f t="shared" si="159"/>
        <v>13390.276881719939</v>
      </c>
      <c r="H6508" s="391" t="s">
        <v>9568</v>
      </c>
    </row>
    <row r="6509" spans="1:8" x14ac:dyDescent="0.3">
      <c r="A6509" s="509">
        <v>45104</v>
      </c>
      <c r="B6509" s="399" t="s">
        <v>10974</v>
      </c>
      <c r="C6509" s="5" t="s">
        <v>640</v>
      </c>
      <c r="D6509" s="5" t="s">
        <v>11559</v>
      </c>
      <c r="E6509" s="43">
        <v>1000</v>
      </c>
      <c r="F6509" s="43"/>
      <c r="G6509" s="48">
        <f t="shared" si="159"/>
        <v>12390.276881719939</v>
      </c>
      <c r="H6509" s="391" t="s">
        <v>9568</v>
      </c>
    </row>
    <row r="6510" spans="1:8" x14ac:dyDescent="0.3">
      <c r="A6510" s="509">
        <v>45104</v>
      </c>
      <c r="B6510" s="399" t="s">
        <v>12138</v>
      </c>
      <c r="C6510" s="5" t="s">
        <v>107</v>
      </c>
      <c r="D6510" s="5" t="s">
        <v>11561</v>
      </c>
      <c r="E6510" s="43">
        <v>10000</v>
      </c>
      <c r="F6510" s="43"/>
      <c r="G6510" s="48">
        <f t="shared" ref="G6510:G6516" si="160">G6509+F6510-E6510</f>
        <v>2390.2768817199394</v>
      </c>
      <c r="H6510" s="391" t="s">
        <v>9568</v>
      </c>
    </row>
    <row r="6511" spans="1:8" x14ac:dyDescent="0.3">
      <c r="A6511" s="509">
        <v>45104</v>
      </c>
      <c r="B6511" s="588"/>
      <c r="C6511" s="503"/>
      <c r="D6511" s="504" t="s">
        <v>11417</v>
      </c>
      <c r="E6511" s="503"/>
      <c r="F6511" s="67">
        <v>300000</v>
      </c>
      <c r="G6511" s="48">
        <f t="shared" si="160"/>
        <v>302390.27688171994</v>
      </c>
      <c r="H6511" s="391" t="s">
        <v>9568</v>
      </c>
    </row>
    <row r="6512" spans="1:8" x14ac:dyDescent="0.3">
      <c r="A6512" s="509">
        <v>45104</v>
      </c>
      <c r="B6512" s="399" t="s">
        <v>12092</v>
      </c>
      <c r="C6512" s="5" t="s">
        <v>5979</v>
      </c>
      <c r="D6512" s="5" t="s">
        <v>40</v>
      </c>
      <c r="E6512" s="43">
        <v>5000</v>
      </c>
      <c r="F6512" s="43"/>
      <c r="G6512" s="48">
        <f t="shared" si="160"/>
        <v>297390.27688171994</v>
      </c>
      <c r="H6512" s="391" t="s">
        <v>9568</v>
      </c>
    </row>
    <row r="6513" spans="1:8" x14ac:dyDescent="0.3">
      <c r="A6513" s="509">
        <v>45104</v>
      </c>
      <c r="B6513" s="399" t="s">
        <v>10766</v>
      </c>
      <c r="C6513" s="5" t="s">
        <v>5979</v>
      </c>
      <c r="D6513" s="5" t="s">
        <v>40</v>
      </c>
      <c r="E6513" s="43">
        <v>5000</v>
      </c>
      <c r="F6513" s="43"/>
      <c r="G6513" s="48">
        <f t="shared" si="160"/>
        <v>292390.27688171994</v>
      </c>
      <c r="H6513" s="391" t="s">
        <v>9568</v>
      </c>
    </row>
    <row r="6514" spans="1:8" x14ac:dyDescent="0.3">
      <c r="A6514" s="509">
        <v>45104</v>
      </c>
      <c r="B6514" s="399" t="s">
        <v>12089</v>
      </c>
      <c r="C6514" s="5" t="s">
        <v>9044</v>
      </c>
      <c r="D6514" s="5" t="s">
        <v>11563</v>
      </c>
      <c r="E6514" s="43">
        <v>15000</v>
      </c>
      <c r="F6514" s="43"/>
      <c r="G6514" s="48">
        <f t="shared" si="160"/>
        <v>277390.27688171994</v>
      </c>
      <c r="H6514" s="391" t="s">
        <v>9568</v>
      </c>
    </row>
    <row r="6515" spans="1:8" x14ac:dyDescent="0.3">
      <c r="A6515" s="509">
        <v>45104</v>
      </c>
      <c r="B6515" s="399" t="s">
        <v>6481</v>
      </c>
      <c r="C6515" s="5" t="s">
        <v>10788</v>
      </c>
      <c r="D6515" s="5" t="s">
        <v>11564</v>
      </c>
      <c r="E6515" s="43">
        <v>30000</v>
      </c>
      <c r="F6515" s="43"/>
      <c r="G6515" s="48">
        <f t="shared" si="160"/>
        <v>247390.27688171994</v>
      </c>
      <c r="H6515" s="391" t="s">
        <v>9568</v>
      </c>
    </row>
    <row r="6516" spans="1:8" x14ac:dyDescent="0.3">
      <c r="A6516" s="509">
        <v>45104</v>
      </c>
      <c r="B6516" s="531" t="s">
        <v>10615</v>
      </c>
      <c r="C6516" s="530" t="s">
        <v>54</v>
      </c>
      <c r="D6516" s="530" t="s">
        <v>11565</v>
      </c>
      <c r="E6516" s="62">
        <v>38000</v>
      </c>
      <c r="F6516" s="43"/>
      <c r="G6516" s="48">
        <f t="shared" si="160"/>
        <v>209390.27688171994</v>
      </c>
      <c r="H6516" s="391" t="s">
        <v>9568</v>
      </c>
    </row>
    <row r="6517" spans="1:8" x14ac:dyDescent="0.3">
      <c r="A6517" s="509">
        <v>45104</v>
      </c>
      <c r="B6517" s="531" t="s">
        <v>118</v>
      </c>
      <c r="C6517" s="530" t="s">
        <v>54</v>
      </c>
      <c r="D6517" s="530" t="s">
        <v>11566</v>
      </c>
      <c r="E6517" s="532">
        <v>5000</v>
      </c>
      <c r="F6517" s="43"/>
      <c r="G6517" s="48">
        <f t="shared" ref="G6517:G6551" si="161">G6516+F6517-E6517</f>
        <v>204390.27688171994</v>
      </c>
      <c r="H6517" s="391" t="s">
        <v>9568</v>
      </c>
    </row>
    <row r="6518" spans="1:8" x14ac:dyDescent="0.3">
      <c r="A6518" s="509">
        <v>45104</v>
      </c>
      <c r="B6518" s="399" t="s">
        <v>12189</v>
      </c>
      <c r="C6518" s="5" t="s">
        <v>5793</v>
      </c>
      <c r="D6518" s="5" t="s">
        <v>40</v>
      </c>
      <c r="E6518" s="43">
        <v>2000</v>
      </c>
      <c r="F6518" s="43"/>
      <c r="G6518" s="48">
        <f t="shared" si="161"/>
        <v>202390.27688171994</v>
      </c>
      <c r="H6518" s="391" t="s">
        <v>9568</v>
      </c>
    </row>
    <row r="6519" spans="1:8" x14ac:dyDescent="0.3">
      <c r="A6519" s="509">
        <v>45104</v>
      </c>
      <c r="B6519" s="399" t="s">
        <v>12089</v>
      </c>
      <c r="C6519" s="530" t="s">
        <v>54</v>
      </c>
      <c r="D6519" s="530" t="s">
        <v>11567</v>
      </c>
      <c r="E6519" s="532">
        <v>20000</v>
      </c>
      <c r="F6519" s="43"/>
      <c r="G6519" s="48">
        <f t="shared" si="161"/>
        <v>182390.27688171994</v>
      </c>
      <c r="H6519" s="391" t="s">
        <v>9568</v>
      </c>
    </row>
    <row r="6520" spans="1:8" x14ac:dyDescent="0.3">
      <c r="A6520" s="509">
        <v>45104</v>
      </c>
      <c r="B6520" s="399" t="s">
        <v>12089</v>
      </c>
      <c r="C6520" s="5" t="s">
        <v>84</v>
      </c>
      <c r="D6520" s="5" t="s">
        <v>11568</v>
      </c>
      <c r="E6520" s="65">
        <v>3000</v>
      </c>
      <c r="F6520" s="43"/>
      <c r="G6520" s="48">
        <f t="shared" si="161"/>
        <v>179390.27688171994</v>
      </c>
      <c r="H6520" s="391" t="s">
        <v>9568</v>
      </c>
    </row>
    <row r="6521" spans="1:8" x14ac:dyDescent="0.3">
      <c r="A6521" s="509">
        <v>45104</v>
      </c>
      <c r="B6521" s="399"/>
      <c r="C6521" s="5" t="s">
        <v>14</v>
      </c>
      <c r="D6521" s="5" t="s">
        <v>294</v>
      </c>
      <c r="E6521" s="43">
        <v>100000</v>
      </c>
      <c r="F6521" s="43"/>
      <c r="G6521" s="48">
        <f t="shared" si="161"/>
        <v>79390.276881719939</v>
      </c>
      <c r="H6521" s="391" t="s">
        <v>9568</v>
      </c>
    </row>
    <row r="6522" spans="1:8" x14ac:dyDescent="0.3">
      <c r="A6522" s="509">
        <v>45104</v>
      </c>
      <c r="B6522" s="399" t="s">
        <v>12089</v>
      </c>
      <c r="C6522" s="5" t="s">
        <v>84</v>
      </c>
      <c r="D6522" s="5" t="s">
        <v>11569</v>
      </c>
      <c r="E6522" s="65">
        <v>5000</v>
      </c>
      <c r="F6522" s="43"/>
      <c r="G6522" s="48">
        <f t="shared" si="161"/>
        <v>74390.276881719939</v>
      </c>
      <c r="H6522" s="391" t="s">
        <v>9568</v>
      </c>
    </row>
    <row r="6523" spans="1:8" x14ac:dyDescent="0.3">
      <c r="A6523" s="509">
        <v>45104</v>
      </c>
      <c r="B6523" s="531" t="s">
        <v>10974</v>
      </c>
      <c r="C6523" s="530" t="s">
        <v>54</v>
      </c>
      <c r="D6523" s="530" t="s">
        <v>11570</v>
      </c>
      <c r="E6523" s="62">
        <v>10000</v>
      </c>
      <c r="F6523" s="43"/>
      <c r="G6523" s="48">
        <f t="shared" si="161"/>
        <v>64390.276881719939</v>
      </c>
      <c r="H6523" s="391" t="s">
        <v>9568</v>
      </c>
    </row>
    <row r="6524" spans="1:8" x14ac:dyDescent="0.3">
      <c r="A6524" s="509">
        <v>45110</v>
      </c>
      <c r="B6524" s="399" t="s">
        <v>11528</v>
      </c>
      <c r="C6524" s="5" t="s">
        <v>8928</v>
      </c>
      <c r="D6524" s="5" t="s">
        <v>11571</v>
      </c>
      <c r="E6524" s="43">
        <v>4500</v>
      </c>
      <c r="F6524" s="43"/>
      <c r="G6524" s="48">
        <f t="shared" si="161"/>
        <v>59890.276881719939</v>
      </c>
      <c r="H6524" s="391" t="s">
        <v>9568</v>
      </c>
    </row>
    <row r="6525" spans="1:8" x14ac:dyDescent="0.3">
      <c r="A6525" s="509">
        <v>45110</v>
      </c>
      <c r="B6525" s="399" t="s">
        <v>11528</v>
      </c>
      <c r="C6525" s="5" t="s">
        <v>18</v>
      </c>
      <c r="D6525" s="5" t="s">
        <v>11581</v>
      </c>
      <c r="E6525" s="43">
        <v>14000</v>
      </c>
      <c r="F6525" s="43"/>
      <c r="G6525" s="48">
        <f t="shared" si="161"/>
        <v>45890.276881719939</v>
      </c>
      <c r="H6525" s="391" t="s">
        <v>9568</v>
      </c>
    </row>
    <row r="6526" spans="1:8" x14ac:dyDescent="0.3">
      <c r="A6526" s="509">
        <v>45110</v>
      </c>
      <c r="B6526" s="399"/>
      <c r="C6526" s="5" t="s">
        <v>25</v>
      </c>
      <c r="D6526" s="5" t="s">
        <v>11455</v>
      </c>
      <c r="E6526" s="43">
        <v>2500</v>
      </c>
      <c r="F6526" s="43"/>
      <c r="G6526" s="48">
        <f t="shared" si="161"/>
        <v>43390.276881719939</v>
      </c>
      <c r="H6526" s="391" t="s">
        <v>9568</v>
      </c>
    </row>
    <row r="6527" spans="1:8" x14ac:dyDescent="0.3">
      <c r="A6527" s="509">
        <v>45110</v>
      </c>
      <c r="B6527" s="588"/>
      <c r="C6527" s="503"/>
      <c r="D6527" s="504" t="s">
        <v>11032</v>
      </c>
      <c r="E6527" s="503"/>
      <c r="F6527" s="67">
        <v>100000</v>
      </c>
      <c r="G6527" s="48">
        <f t="shared" si="161"/>
        <v>143390.27688171994</v>
      </c>
      <c r="H6527" s="391" t="s">
        <v>9568</v>
      </c>
    </row>
    <row r="6528" spans="1:8" x14ac:dyDescent="0.3">
      <c r="A6528" s="509">
        <v>45110</v>
      </c>
      <c r="B6528" s="399" t="s">
        <v>11528</v>
      </c>
      <c r="C6528" s="5" t="s">
        <v>5793</v>
      </c>
      <c r="D6528" s="5" t="s">
        <v>40</v>
      </c>
      <c r="E6528" s="43">
        <v>450</v>
      </c>
      <c r="F6528" s="43"/>
      <c r="G6528" s="48">
        <f t="shared" si="161"/>
        <v>142940.27688171994</v>
      </c>
      <c r="H6528" s="391" t="s">
        <v>9568</v>
      </c>
    </row>
    <row r="6529" spans="1:8" x14ac:dyDescent="0.3">
      <c r="A6529" s="509">
        <v>45110</v>
      </c>
      <c r="B6529" s="399" t="s">
        <v>11064</v>
      </c>
      <c r="C6529" s="5" t="s">
        <v>10815</v>
      </c>
      <c r="D6529" s="5" t="s">
        <v>11582</v>
      </c>
      <c r="E6529" s="43">
        <v>8292</v>
      </c>
      <c r="F6529" s="43"/>
      <c r="G6529" s="48">
        <f t="shared" si="161"/>
        <v>134648.27688171994</v>
      </c>
      <c r="H6529" s="391" t="s">
        <v>9568</v>
      </c>
    </row>
    <row r="6530" spans="1:8" x14ac:dyDescent="0.3">
      <c r="A6530" s="509">
        <v>45110</v>
      </c>
      <c r="B6530" s="399" t="s">
        <v>12138</v>
      </c>
      <c r="C6530" s="5" t="s">
        <v>10815</v>
      </c>
      <c r="D6530" s="5" t="s">
        <v>11583</v>
      </c>
      <c r="E6530" s="43">
        <v>12440</v>
      </c>
      <c r="F6530" s="43"/>
      <c r="G6530" s="48">
        <f t="shared" si="161"/>
        <v>122208.27688171994</v>
      </c>
      <c r="H6530" s="391" t="s">
        <v>9568</v>
      </c>
    </row>
    <row r="6531" spans="1:8" x14ac:dyDescent="0.3">
      <c r="A6531" s="509">
        <v>45110</v>
      </c>
      <c r="B6531" s="399" t="s">
        <v>11528</v>
      </c>
      <c r="C6531" s="5" t="s">
        <v>10815</v>
      </c>
      <c r="D6531" s="5" t="s">
        <v>11584</v>
      </c>
      <c r="E6531" s="43">
        <v>38450</v>
      </c>
      <c r="F6531" s="43"/>
      <c r="G6531" s="48">
        <f t="shared" si="161"/>
        <v>83758.276881719939</v>
      </c>
      <c r="H6531" s="391" t="s">
        <v>9568</v>
      </c>
    </row>
    <row r="6532" spans="1:8" x14ac:dyDescent="0.3">
      <c r="A6532" s="509">
        <v>45110</v>
      </c>
      <c r="B6532" s="399"/>
      <c r="C6532" s="5" t="s">
        <v>30</v>
      </c>
      <c r="D6532" s="5" t="s">
        <v>10863</v>
      </c>
      <c r="E6532" s="43">
        <v>218</v>
      </c>
      <c r="F6532" s="43"/>
      <c r="G6532" s="48">
        <f t="shared" si="161"/>
        <v>83540.276881719939</v>
      </c>
      <c r="H6532" s="391" t="s">
        <v>9568</v>
      </c>
    </row>
    <row r="6533" spans="1:8" x14ac:dyDescent="0.3">
      <c r="A6533" s="509">
        <v>45110</v>
      </c>
      <c r="B6533" s="399" t="s">
        <v>11397</v>
      </c>
      <c r="C6533" s="5" t="s">
        <v>6430</v>
      </c>
      <c r="D6533" s="5" t="s">
        <v>11578</v>
      </c>
      <c r="E6533" s="43">
        <v>5000</v>
      </c>
      <c r="F6533" s="43"/>
      <c r="G6533" s="48">
        <f t="shared" si="161"/>
        <v>78540.276881719939</v>
      </c>
      <c r="H6533" s="391" t="s">
        <v>9568</v>
      </c>
    </row>
    <row r="6534" spans="1:8" x14ac:dyDescent="0.3">
      <c r="A6534" s="509">
        <v>45110</v>
      </c>
      <c r="B6534" s="345" t="s">
        <v>12096</v>
      </c>
      <c r="C6534" s="5" t="s">
        <v>5793</v>
      </c>
      <c r="D6534" s="5" t="s">
        <v>11579</v>
      </c>
      <c r="E6534" s="43">
        <v>1000</v>
      </c>
      <c r="F6534" s="43"/>
      <c r="G6534" s="48">
        <f t="shared" si="161"/>
        <v>77540.276881719939</v>
      </c>
      <c r="H6534" s="391" t="s">
        <v>9568</v>
      </c>
    </row>
    <row r="6535" spans="1:8" x14ac:dyDescent="0.3">
      <c r="A6535" s="509">
        <v>45110</v>
      </c>
      <c r="B6535" s="399" t="s">
        <v>11528</v>
      </c>
      <c r="C6535" s="5" t="s">
        <v>8928</v>
      </c>
      <c r="D6535" s="5" t="s">
        <v>11580</v>
      </c>
      <c r="E6535" s="43">
        <v>2000</v>
      </c>
      <c r="F6535" s="43"/>
      <c r="G6535" s="48">
        <f t="shared" si="161"/>
        <v>75540.276881719939</v>
      </c>
      <c r="H6535" s="391" t="s">
        <v>9568</v>
      </c>
    </row>
    <row r="6536" spans="1:8" x14ac:dyDescent="0.3">
      <c r="A6536" s="509">
        <v>45110</v>
      </c>
      <c r="B6536" s="399" t="s">
        <v>10333</v>
      </c>
      <c r="C6536" s="5" t="s">
        <v>5793</v>
      </c>
      <c r="D6536" s="5" t="s">
        <v>40</v>
      </c>
      <c r="E6536" s="43">
        <v>1500</v>
      </c>
      <c r="F6536" s="43"/>
      <c r="G6536" s="48">
        <f t="shared" si="161"/>
        <v>74040.276881719939</v>
      </c>
      <c r="H6536" s="391" t="s">
        <v>9568</v>
      </c>
    </row>
    <row r="6537" spans="1:8" x14ac:dyDescent="0.3">
      <c r="A6537" s="509">
        <v>45111</v>
      </c>
      <c r="B6537" s="399"/>
      <c r="C6537" s="5" t="s">
        <v>2995</v>
      </c>
      <c r="D6537" s="5" t="s">
        <v>11459</v>
      </c>
      <c r="E6537" s="43">
        <v>17000</v>
      </c>
      <c r="F6537" s="43"/>
      <c r="G6537" s="48">
        <f t="shared" si="161"/>
        <v>57040.276881719939</v>
      </c>
      <c r="H6537" s="391" t="s">
        <v>9568</v>
      </c>
    </row>
    <row r="6538" spans="1:8" x14ac:dyDescent="0.3">
      <c r="A6538" s="509">
        <v>45111</v>
      </c>
      <c r="B6538" s="399" t="s">
        <v>12089</v>
      </c>
      <c r="C6538" s="5" t="s">
        <v>5793</v>
      </c>
      <c r="D6538" s="5" t="s">
        <v>11585</v>
      </c>
      <c r="E6538" s="43">
        <v>1000</v>
      </c>
      <c r="F6538" s="43"/>
      <c r="G6538" s="48">
        <f t="shared" si="161"/>
        <v>56040.276881719939</v>
      </c>
      <c r="H6538" s="391" t="s">
        <v>9568</v>
      </c>
    </row>
    <row r="6539" spans="1:8" x14ac:dyDescent="0.3">
      <c r="A6539" s="509">
        <v>45111</v>
      </c>
      <c r="B6539" s="399" t="s">
        <v>12093</v>
      </c>
      <c r="C6539" s="5" t="s">
        <v>5793</v>
      </c>
      <c r="D6539" s="5" t="s">
        <v>8924</v>
      </c>
      <c r="E6539" s="43">
        <v>200</v>
      </c>
      <c r="F6539" s="43"/>
      <c r="G6539" s="48">
        <f t="shared" si="161"/>
        <v>55840.276881719939</v>
      </c>
      <c r="H6539" s="391" t="s">
        <v>9568</v>
      </c>
    </row>
    <row r="6540" spans="1:8" x14ac:dyDescent="0.3">
      <c r="A6540" s="509">
        <v>45111</v>
      </c>
      <c r="B6540" s="588"/>
      <c r="C6540" s="503"/>
      <c r="D6540" s="504" t="s">
        <v>12538</v>
      </c>
      <c r="E6540" s="503"/>
      <c r="F6540" s="67">
        <v>500000</v>
      </c>
      <c r="G6540" s="48">
        <f t="shared" si="161"/>
        <v>555840.27688171994</v>
      </c>
      <c r="H6540" s="391" t="s">
        <v>9568</v>
      </c>
    </row>
    <row r="6541" spans="1:8" x14ac:dyDescent="0.3">
      <c r="A6541" s="509">
        <v>45111</v>
      </c>
      <c r="B6541" s="534"/>
      <c r="C6541" s="533" t="s">
        <v>14</v>
      </c>
      <c r="D6541" s="533" t="s">
        <v>11586</v>
      </c>
      <c r="E6541" s="535">
        <v>110000</v>
      </c>
      <c r="F6541" s="43"/>
      <c r="G6541" s="48">
        <f t="shared" si="161"/>
        <v>445840.27688171994</v>
      </c>
      <c r="H6541" s="391" t="s">
        <v>9568</v>
      </c>
    </row>
    <row r="6542" spans="1:8" x14ac:dyDescent="0.3">
      <c r="A6542" s="509">
        <v>45111</v>
      </c>
      <c r="B6542" s="399" t="s">
        <v>11064</v>
      </c>
      <c r="C6542" s="5" t="s">
        <v>5793</v>
      </c>
      <c r="D6542" s="5" t="s">
        <v>40</v>
      </c>
      <c r="E6542" s="43">
        <v>800</v>
      </c>
      <c r="F6542" s="43"/>
      <c r="G6542" s="48">
        <f t="shared" si="161"/>
        <v>445040.27688171994</v>
      </c>
      <c r="H6542" s="391" t="s">
        <v>9568</v>
      </c>
    </row>
    <row r="6543" spans="1:8" x14ac:dyDescent="0.3">
      <c r="A6543" s="509">
        <v>45111</v>
      </c>
      <c r="B6543" s="399" t="s">
        <v>11528</v>
      </c>
      <c r="C6543" s="5" t="s">
        <v>5793</v>
      </c>
      <c r="D6543" s="5" t="s">
        <v>40</v>
      </c>
      <c r="E6543" s="43">
        <v>2000</v>
      </c>
      <c r="F6543" s="43"/>
      <c r="G6543" s="48">
        <f t="shared" si="161"/>
        <v>443040.27688171994</v>
      </c>
      <c r="H6543" s="391" t="s">
        <v>9568</v>
      </c>
    </row>
    <row r="6544" spans="1:8" x14ac:dyDescent="0.3">
      <c r="A6544" s="509">
        <v>45111</v>
      </c>
      <c r="B6544" s="399" t="s">
        <v>12089</v>
      </c>
      <c r="C6544" s="5" t="s">
        <v>5793</v>
      </c>
      <c r="D6544" s="5" t="s">
        <v>40</v>
      </c>
      <c r="E6544" s="43">
        <v>1500</v>
      </c>
      <c r="F6544" s="43"/>
      <c r="G6544" s="48">
        <f t="shared" si="161"/>
        <v>441540.27688171994</v>
      </c>
      <c r="H6544" s="391" t="s">
        <v>9568</v>
      </c>
    </row>
    <row r="6545" spans="1:8" x14ac:dyDescent="0.3">
      <c r="A6545" s="509">
        <v>45111</v>
      </c>
      <c r="B6545" s="399" t="s">
        <v>12190</v>
      </c>
      <c r="C6545" s="5" t="s">
        <v>1074</v>
      </c>
      <c r="D6545" s="5" t="s">
        <v>4601</v>
      </c>
      <c r="E6545" s="43">
        <v>280</v>
      </c>
      <c r="F6545" s="43"/>
      <c r="G6545" s="48">
        <f t="shared" si="161"/>
        <v>441260.27688171994</v>
      </c>
      <c r="H6545" s="391" t="s">
        <v>9568</v>
      </c>
    </row>
    <row r="6546" spans="1:8" x14ac:dyDescent="0.3">
      <c r="A6546" s="509">
        <v>45111</v>
      </c>
      <c r="B6546" s="399" t="s">
        <v>118</v>
      </c>
      <c r="C6546" s="5" t="s">
        <v>1074</v>
      </c>
      <c r="D6546" s="5" t="s">
        <v>4601</v>
      </c>
      <c r="E6546" s="43">
        <v>190</v>
      </c>
      <c r="F6546" s="43"/>
      <c r="G6546" s="48">
        <f t="shared" si="161"/>
        <v>441070.27688171994</v>
      </c>
      <c r="H6546" s="391" t="s">
        <v>9568</v>
      </c>
    </row>
    <row r="6547" spans="1:8" x14ac:dyDescent="0.3">
      <c r="A6547" s="509">
        <v>45111</v>
      </c>
      <c r="B6547" s="399" t="s">
        <v>118</v>
      </c>
      <c r="C6547" s="5" t="s">
        <v>7817</v>
      </c>
      <c r="D6547" s="5" t="s">
        <v>11311</v>
      </c>
      <c r="E6547" s="43">
        <v>500</v>
      </c>
      <c r="F6547" s="43"/>
      <c r="G6547" s="48">
        <f t="shared" si="161"/>
        <v>440570.27688171994</v>
      </c>
      <c r="H6547" s="391" t="s">
        <v>9568</v>
      </c>
    </row>
    <row r="6548" spans="1:8" x14ac:dyDescent="0.3">
      <c r="A6548" s="509">
        <v>45111</v>
      </c>
      <c r="B6548" s="399"/>
      <c r="C6548" s="5" t="s">
        <v>84</v>
      </c>
      <c r="D6548" s="5" t="s">
        <v>11587</v>
      </c>
      <c r="E6548" s="62">
        <v>2000</v>
      </c>
      <c r="F6548" s="43"/>
      <c r="G6548" s="48">
        <f t="shared" si="161"/>
        <v>438570.27688171994</v>
      </c>
      <c r="H6548" s="391" t="s">
        <v>9568</v>
      </c>
    </row>
    <row r="6549" spans="1:8" x14ac:dyDescent="0.3">
      <c r="A6549" s="509">
        <v>45111</v>
      </c>
      <c r="B6549" s="399" t="s">
        <v>12093</v>
      </c>
      <c r="C6549" s="5" t="s">
        <v>5793</v>
      </c>
      <c r="D6549" s="5" t="s">
        <v>40</v>
      </c>
      <c r="E6549" s="43">
        <v>500</v>
      </c>
      <c r="F6549" s="43"/>
      <c r="G6549" s="48">
        <f t="shared" si="161"/>
        <v>438070.27688171994</v>
      </c>
      <c r="H6549" s="391" t="s">
        <v>9568</v>
      </c>
    </row>
    <row r="6550" spans="1:8" x14ac:dyDescent="0.3">
      <c r="A6550" s="509">
        <v>45111</v>
      </c>
      <c r="B6550" s="399" t="s">
        <v>11528</v>
      </c>
      <c r="C6550" s="5" t="s">
        <v>10815</v>
      </c>
      <c r="D6550" s="5" t="s">
        <v>11588</v>
      </c>
      <c r="E6550" s="43">
        <v>3800</v>
      </c>
      <c r="F6550" s="43"/>
      <c r="G6550" s="48">
        <f t="shared" si="161"/>
        <v>434270.27688171994</v>
      </c>
      <c r="H6550" s="391" t="s">
        <v>9568</v>
      </c>
    </row>
    <row r="6551" spans="1:8" x14ac:dyDescent="0.3">
      <c r="A6551" s="509">
        <v>45111</v>
      </c>
      <c r="B6551" s="399" t="s">
        <v>11528</v>
      </c>
      <c r="C6551" s="5" t="s">
        <v>18</v>
      </c>
      <c r="D6551" s="5" t="s">
        <v>3183</v>
      </c>
      <c r="E6551" s="43">
        <v>15000</v>
      </c>
      <c r="F6551" s="43"/>
      <c r="G6551" s="48">
        <f t="shared" si="161"/>
        <v>419270.27688171994</v>
      </c>
      <c r="H6551" s="391" t="s">
        <v>9568</v>
      </c>
    </row>
    <row r="6552" spans="1:8" x14ac:dyDescent="0.3">
      <c r="A6552" s="509">
        <v>45111</v>
      </c>
      <c r="B6552" s="399"/>
      <c r="C6552" s="5" t="s">
        <v>4550</v>
      </c>
      <c r="D6552" s="5" t="s">
        <v>3183</v>
      </c>
      <c r="E6552" s="43">
        <v>100000</v>
      </c>
      <c r="F6552" s="43"/>
      <c r="G6552" s="48">
        <f t="shared" ref="G6552:G6617" si="162">G6551+F6552-E6552</f>
        <v>319270.27688171994</v>
      </c>
      <c r="H6552" s="391" t="s">
        <v>9568</v>
      </c>
    </row>
    <row r="6553" spans="1:8" x14ac:dyDescent="0.3">
      <c r="A6553" s="509">
        <v>45112</v>
      </c>
      <c r="B6553" s="399" t="s">
        <v>6481</v>
      </c>
      <c r="C6553" s="5" t="s">
        <v>11589</v>
      </c>
      <c r="D6553" s="5" t="s">
        <v>11590</v>
      </c>
      <c r="E6553" s="43">
        <v>200000</v>
      </c>
      <c r="F6553" s="43"/>
      <c r="G6553" s="48">
        <f t="shared" si="162"/>
        <v>119270.27688171994</v>
      </c>
      <c r="H6553" s="391" t="s">
        <v>9568</v>
      </c>
    </row>
    <row r="6554" spans="1:8" x14ac:dyDescent="0.3">
      <c r="A6554" s="509">
        <v>45112</v>
      </c>
      <c r="B6554" s="399" t="s">
        <v>10333</v>
      </c>
      <c r="C6554" s="5" t="s">
        <v>9756</v>
      </c>
      <c r="D6554" s="5" t="s">
        <v>11591</v>
      </c>
      <c r="E6554" s="43">
        <v>11000</v>
      </c>
      <c r="F6554" s="43"/>
      <c r="G6554" s="48">
        <f t="shared" si="162"/>
        <v>108270.27688171994</v>
      </c>
      <c r="H6554" s="391" t="s">
        <v>9568</v>
      </c>
    </row>
    <row r="6555" spans="1:8" x14ac:dyDescent="0.3">
      <c r="A6555" s="509">
        <v>45112</v>
      </c>
      <c r="B6555" s="399"/>
      <c r="C6555" s="5" t="s">
        <v>30</v>
      </c>
      <c r="D6555" s="5" t="s">
        <v>11592</v>
      </c>
      <c r="E6555" s="43">
        <v>1300</v>
      </c>
      <c r="F6555" s="43"/>
      <c r="G6555" s="48">
        <f t="shared" si="162"/>
        <v>106970.27688171994</v>
      </c>
      <c r="H6555" s="391" t="s">
        <v>9568</v>
      </c>
    </row>
    <row r="6556" spans="1:8" x14ac:dyDescent="0.3">
      <c r="A6556" s="509">
        <v>45112</v>
      </c>
      <c r="B6556" s="399"/>
      <c r="C6556" s="5" t="s">
        <v>25</v>
      </c>
      <c r="D6556" s="5" t="s">
        <v>11455</v>
      </c>
      <c r="E6556" s="43">
        <v>3000</v>
      </c>
      <c r="F6556" s="43"/>
      <c r="G6556" s="48">
        <f t="shared" si="162"/>
        <v>103970.27688171994</v>
      </c>
      <c r="H6556" s="391" t="s">
        <v>9568</v>
      </c>
    </row>
    <row r="6557" spans="1:8" x14ac:dyDescent="0.3">
      <c r="A6557" s="509">
        <v>45112</v>
      </c>
      <c r="B6557" s="399" t="s">
        <v>11064</v>
      </c>
      <c r="C6557" s="5" t="s">
        <v>11593</v>
      </c>
      <c r="D6557" s="5" t="s">
        <v>11594</v>
      </c>
      <c r="E6557" s="65">
        <v>2000</v>
      </c>
      <c r="F6557" s="43"/>
      <c r="G6557" s="48">
        <f t="shared" si="162"/>
        <v>101970.27688171994</v>
      </c>
      <c r="H6557" s="391" t="s">
        <v>9568</v>
      </c>
    </row>
    <row r="6558" spans="1:8" x14ac:dyDescent="0.3">
      <c r="A6558" s="509">
        <v>45112</v>
      </c>
      <c r="B6558" s="399" t="s">
        <v>12089</v>
      </c>
      <c r="C6558" s="5" t="s">
        <v>5162</v>
      </c>
      <c r="D6558" s="5" t="s">
        <v>3910</v>
      </c>
      <c r="E6558" s="65">
        <v>5000</v>
      </c>
      <c r="F6558" s="43"/>
      <c r="G6558" s="48">
        <f t="shared" si="162"/>
        <v>96970.276881719939</v>
      </c>
      <c r="H6558" s="391" t="s">
        <v>9568</v>
      </c>
    </row>
    <row r="6559" spans="1:8" x14ac:dyDescent="0.3">
      <c r="A6559" s="509">
        <v>45112</v>
      </c>
      <c r="B6559" s="399" t="s">
        <v>12138</v>
      </c>
      <c r="C6559" s="5" t="s">
        <v>5793</v>
      </c>
      <c r="D6559" s="5" t="s">
        <v>11596</v>
      </c>
      <c r="E6559" s="65">
        <v>1200</v>
      </c>
      <c r="F6559" s="43"/>
      <c r="G6559" s="48">
        <f t="shared" si="162"/>
        <v>95770.276881719939</v>
      </c>
      <c r="H6559" s="391" t="s">
        <v>9568</v>
      </c>
    </row>
    <row r="6560" spans="1:8" x14ac:dyDescent="0.3">
      <c r="A6560" s="509">
        <v>45112</v>
      </c>
      <c r="B6560" s="399" t="s">
        <v>11528</v>
      </c>
      <c r="C6560" s="5" t="s">
        <v>9756</v>
      </c>
      <c r="D6560" s="5" t="s">
        <v>10837</v>
      </c>
      <c r="E6560" s="65">
        <v>27000</v>
      </c>
      <c r="F6560" s="43"/>
      <c r="G6560" s="48">
        <f t="shared" si="162"/>
        <v>68770.276881719939</v>
      </c>
      <c r="H6560" s="391" t="s">
        <v>9568</v>
      </c>
    </row>
    <row r="6561" spans="1:8" x14ac:dyDescent="0.3">
      <c r="A6561" s="509">
        <v>45112</v>
      </c>
      <c r="B6561" s="399" t="s">
        <v>10867</v>
      </c>
      <c r="C6561" s="5" t="s">
        <v>10815</v>
      </c>
      <c r="D6561" s="5" t="s">
        <v>11604</v>
      </c>
      <c r="E6561" s="43">
        <v>65000</v>
      </c>
      <c r="F6561" s="43"/>
      <c r="G6561" s="48">
        <f t="shared" si="162"/>
        <v>3770.2768817199394</v>
      </c>
      <c r="H6561" s="391" t="s">
        <v>9568</v>
      </c>
    </row>
    <row r="6562" spans="1:8" x14ac:dyDescent="0.3">
      <c r="A6562" s="509">
        <v>45113</v>
      </c>
      <c r="B6562" s="588"/>
      <c r="C6562" s="503"/>
      <c r="D6562" s="504" t="s">
        <v>11032</v>
      </c>
      <c r="E6562" s="503"/>
      <c r="F6562" s="67">
        <v>95000</v>
      </c>
      <c r="G6562" s="48">
        <f t="shared" si="162"/>
        <v>98770.276881719939</v>
      </c>
      <c r="H6562" s="391" t="s">
        <v>9568</v>
      </c>
    </row>
    <row r="6563" spans="1:8" x14ac:dyDescent="0.3">
      <c r="A6563" s="509">
        <v>45113</v>
      </c>
      <c r="B6563" s="399" t="s">
        <v>10867</v>
      </c>
      <c r="C6563" s="5" t="s">
        <v>5793</v>
      </c>
      <c r="D6563" s="5" t="s">
        <v>11602</v>
      </c>
      <c r="E6563" s="43">
        <v>3000</v>
      </c>
      <c r="F6563" s="43"/>
      <c r="G6563" s="48">
        <f t="shared" si="162"/>
        <v>95770.276881719939</v>
      </c>
      <c r="H6563" s="391" t="s">
        <v>9568</v>
      </c>
    </row>
    <row r="6564" spans="1:8" x14ac:dyDescent="0.3">
      <c r="A6564" s="509">
        <v>45113</v>
      </c>
      <c r="B6564" s="399" t="s">
        <v>10867</v>
      </c>
      <c r="C6564" s="5" t="s">
        <v>10815</v>
      </c>
      <c r="D6564" s="5" t="s">
        <v>11604</v>
      </c>
      <c r="E6564" s="43">
        <v>89300</v>
      </c>
      <c r="F6564" s="43"/>
      <c r="G6564" s="48">
        <f t="shared" si="162"/>
        <v>6470.2768817199394</v>
      </c>
      <c r="H6564" s="391" t="s">
        <v>9568</v>
      </c>
    </row>
    <row r="6565" spans="1:8" x14ac:dyDescent="0.3">
      <c r="A6565" s="509">
        <v>45113</v>
      </c>
      <c r="B6565" s="588"/>
      <c r="C6565" s="503"/>
      <c r="D6565" s="504" t="s">
        <v>11609</v>
      </c>
      <c r="E6565" s="503"/>
      <c r="F6565" s="67">
        <v>4000</v>
      </c>
      <c r="G6565" s="48">
        <f t="shared" si="162"/>
        <v>10470.276881719939</v>
      </c>
      <c r="H6565" s="391" t="s">
        <v>9568</v>
      </c>
    </row>
    <row r="6566" spans="1:8" x14ac:dyDescent="0.3">
      <c r="A6566" s="509">
        <v>45113</v>
      </c>
      <c r="B6566" s="399"/>
      <c r="C6566" s="5" t="s">
        <v>84</v>
      </c>
      <c r="D6566" s="5" t="s">
        <v>11610</v>
      </c>
      <c r="E6566" s="43">
        <v>1000</v>
      </c>
      <c r="F6566" s="43"/>
      <c r="G6566" s="48">
        <f t="shared" si="162"/>
        <v>9470.2768817199394</v>
      </c>
      <c r="H6566" s="391" t="s">
        <v>9568</v>
      </c>
    </row>
    <row r="6567" spans="1:8" x14ac:dyDescent="0.3">
      <c r="A6567" s="509">
        <v>45113</v>
      </c>
      <c r="B6567" s="399" t="s">
        <v>12089</v>
      </c>
      <c r="C6567" s="66" t="s">
        <v>9756</v>
      </c>
      <c r="D6567" s="66" t="s">
        <v>11613</v>
      </c>
      <c r="E6567" s="67">
        <v>5540</v>
      </c>
      <c r="F6567" s="67"/>
      <c r="G6567" s="48">
        <f t="shared" si="162"/>
        <v>3930.2768817199394</v>
      </c>
      <c r="H6567" s="391" t="s">
        <v>9568</v>
      </c>
    </row>
    <row r="6568" spans="1:8" x14ac:dyDescent="0.3">
      <c r="A6568" s="509">
        <v>45114</v>
      </c>
      <c r="B6568" s="588"/>
      <c r="C6568" s="503"/>
      <c r="D6568" s="504" t="s">
        <v>11417</v>
      </c>
      <c r="E6568" s="503"/>
      <c r="F6568" s="67">
        <v>1050000</v>
      </c>
      <c r="G6568" s="48">
        <f t="shared" si="162"/>
        <v>1053930.2768817199</v>
      </c>
      <c r="H6568" s="391" t="s">
        <v>9568</v>
      </c>
    </row>
    <row r="6569" spans="1:8" x14ac:dyDescent="0.3">
      <c r="A6569" s="509">
        <v>45114</v>
      </c>
      <c r="B6569" s="399"/>
      <c r="C6569" s="5" t="s">
        <v>25</v>
      </c>
      <c r="D6569" s="5" t="s">
        <v>11455</v>
      </c>
      <c r="E6569" s="43">
        <v>4000</v>
      </c>
      <c r="F6569" s="43"/>
      <c r="G6569" s="48">
        <f t="shared" si="162"/>
        <v>1049930.2768817199</v>
      </c>
      <c r="H6569" s="391" t="s">
        <v>9568</v>
      </c>
    </row>
    <row r="6570" spans="1:8" x14ac:dyDescent="0.3">
      <c r="A6570" s="509">
        <v>45114</v>
      </c>
      <c r="B6570" s="399" t="s">
        <v>11064</v>
      </c>
      <c r="C6570" s="5" t="s">
        <v>5793</v>
      </c>
      <c r="D6570" s="5" t="s">
        <v>40</v>
      </c>
      <c r="E6570" s="43">
        <v>800</v>
      </c>
      <c r="F6570" s="43"/>
      <c r="G6570" s="48">
        <f t="shared" si="162"/>
        <v>1049130.2768817199</v>
      </c>
      <c r="H6570" s="391" t="s">
        <v>9568</v>
      </c>
    </row>
    <row r="6571" spans="1:8" x14ac:dyDescent="0.3">
      <c r="A6571" s="509">
        <v>45114</v>
      </c>
      <c r="B6571" s="399" t="s">
        <v>11528</v>
      </c>
      <c r="C6571" s="5" t="s">
        <v>5793</v>
      </c>
      <c r="D6571" s="5" t="s">
        <v>40</v>
      </c>
      <c r="E6571" s="43">
        <v>1800</v>
      </c>
      <c r="F6571" s="43"/>
      <c r="G6571" s="48">
        <f t="shared" si="162"/>
        <v>1047330.2768817199</v>
      </c>
      <c r="H6571" s="391" t="s">
        <v>9568</v>
      </c>
    </row>
    <row r="6572" spans="1:8" x14ac:dyDescent="0.3">
      <c r="A6572" s="509">
        <v>45114</v>
      </c>
      <c r="B6572" s="399" t="s">
        <v>6481</v>
      </c>
      <c r="C6572" s="5" t="s">
        <v>54</v>
      </c>
      <c r="D6572" s="5" t="s">
        <v>11603</v>
      </c>
      <c r="E6572" s="43">
        <v>6600</v>
      </c>
      <c r="F6572" s="43"/>
      <c r="G6572" s="48">
        <f t="shared" si="162"/>
        <v>1040730.2768817199</v>
      </c>
      <c r="H6572" s="391" t="s">
        <v>9568</v>
      </c>
    </row>
    <row r="6573" spans="1:8" x14ac:dyDescent="0.3">
      <c r="A6573" s="509">
        <v>45114</v>
      </c>
      <c r="B6573" s="518"/>
      <c r="C6573" s="517" t="s">
        <v>54</v>
      </c>
      <c r="D6573" s="517" t="s">
        <v>11617</v>
      </c>
      <c r="E6573" s="519">
        <v>12080</v>
      </c>
      <c r="F6573" s="43"/>
      <c r="G6573" s="48">
        <f t="shared" si="162"/>
        <v>1028650.2768817199</v>
      </c>
      <c r="H6573" s="391" t="s">
        <v>9568</v>
      </c>
    </row>
    <row r="6574" spans="1:8" x14ac:dyDescent="0.3">
      <c r="A6574" s="509">
        <v>45114</v>
      </c>
      <c r="B6574" s="518"/>
      <c r="C6574" s="517" t="s">
        <v>54</v>
      </c>
      <c r="D6574" s="517" t="s">
        <v>11407</v>
      </c>
      <c r="E6574" s="519">
        <v>28000</v>
      </c>
      <c r="F6574" s="43"/>
      <c r="G6574" s="48">
        <f t="shared" si="162"/>
        <v>1000650.2768817199</v>
      </c>
      <c r="H6574" s="391" t="s">
        <v>9568</v>
      </c>
    </row>
    <row r="6575" spans="1:8" x14ac:dyDescent="0.3">
      <c r="A6575" s="509">
        <v>45114</v>
      </c>
      <c r="B6575" s="399" t="s">
        <v>10333</v>
      </c>
      <c r="C6575" s="5" t="s">
        <v>9756</v>
      </c>
      <c r="D6575" s="5" t="s">
        <v>11614</v>
      </c>
      <c r="E6575" s="43">
        <v>16400</v>
      </c>
      <c r="F6575" s="43"/>
      <c r="G6575" s="48">
        <f t="shared" si="162"/>
        <v>984250.27688171994</v>
      </c>
      <c r="H6575" s="391" t="s">
        <v>9568</v>
      </c>
    </row>
    <row r="6576" spans="1:8" x14ac:dyDescent="0.3">
      <c r="A6576" s="509">
        <v>45114</v>
      </c>
      <c r="B6576" s="518"/>
      <c r="C6576" s="517" t="s">
        <v>54</v>
      </c>
      <c r="D6576" s="517" t="s">
        <v>11616</v>
      </c>
      <c r="E6576" s="519">
        <v>11730</v>
      </c>
      <c r="F6576" s="43"/>
      <c r="G6576" s="48">
        <f t="shared" si="162"/>
        <v>972520.27688171994</v>
      </c>
      <c r="H6576" s="391" t="s">
        <v>9568</v>
      </c>
    </row>
    <row r="6577" spans="1:8" x14ac:dyDescent="0.3">
      <c r="A6577" s="509">
        <v>45114</v>
      </c>
      <c r="B6577" s="399" t="s">
        <v>10766</v>
      </c>
      <c r="C6577" s="5" t="s">
        <v>10815</v>
      </c>
      <c r="D6577" s="5" t="s">
        <v>11615</v>
      </c>
      <c r="E6577" s="43">
        <v>1100</v>
      </c>
      <c r="F6577" s="43"/>
      <c r="G6577" s="48">
        <f t="shared" si="162"/>
        <v>971420.27688171994</v>
      </c>
      <c r="H6577" s="391" t="s">
        <v>9568</v>
      </c>
    </row>
    <row r="6578" spans="1:8" x14ac:dyDescent="0.3">
      <c r="A6578" s="509">
        <v>45114</v>
      </c>
      <c r="B6578" s="518"/>
      <c r="C6578" s="517" t="s">
        <v>54</v>
      </c>
      <c r="D6578" s="517" t="s">
        <v>10932</v>
      </c>
      <c r="E6578" s="519">
        <v>63000</v>
      </c>
      <c r="F6578" s="43"/>
      <c r="G6578" s="48">
        <f t="shared" si="162"/>
        <v>908420.27688171994</v>
      </c>
      <c r="H6578" s="391" t="s">
        <v>9568</v>
      </c>
    </row>
    <row r="6579" spans="1:8" x14ac:dyDescent="0.3">
      <c r="A6579" s="509">
        <v>45115</v>
      </c>
      <c r="B6579" s="399"/>
      <c r="C6579" s="5" t="s">
        <v>14</v>
      </c>
      <c r="D6579" s="5" t="s">
        <v>294</v>
      </c>
      <c r="E6579" s="43">
        <v>15000</v>
      </c>
      <c r="F6579" s="43"/>
      <c r="G6579" s="48">
        <f t="shared" si="162"/>
        <v>893420.27688171994</v>
      </c>
      <c r="H6579" s="391" t="s">
        <v>9568</v>
      </c>
    </row>
    <row r="6580" spans="1:8" x14ac:dyDescent="0.3">
      <c r="A6580" s="509">
        <v>45115</v>
      </c>
      <c r="B6580" s="399"/>
      <c r="C6580" s="5" t="s">
        <v>14</v>
      </c>
      <c r="D6580" s="5" t="s">
        <v>640</v>
      </c>
      <c r="E6580" s="43">
        <v>1000</v>
      </c>
      <c r="F6580" s="43"/>
      <c r="G6580" s="48">
        <f t="shared" si="162"/>
        <v>892420.27688171994</v>
      </c>
      <c r="H6580" s="391" t="s">
        <v>9568</v>
      </c>
    </row>
    <row r="6581" spans="1:8" x14ac:dyDescent="0.3">
      <c r="A6581" s="509">
        <v>45115</v>
      </c>
      <c r="B6581" s="399" t="s">
        <v>10333</v>
      </c>
      <c r="C6581" s="5" t="s">
        <v>30</v>
      </c>
      <c r="D6581" s="5" t="s">
        <v>10651</v>
      </c>
      <c r="E6581" s="43">
        <v>900</v>
      </c>
      <c r="F6581" s="43"/>
      <c r="G6581" s="48">
        <f t="shared" si="162"/>
        <v>891520.27688171994</v>
      </c>
      <c r="H6581" s="391" t="s">
        <v>9568</v>
      </c>
    </row>
    <row r="6582" spans="1:8" x14ac:dyDescent="0.3">
      <c r="A6582" s="509">
        <v>45115</v>
      </c>
      <c r="B6582" s="518"/>
      <c r="C6582" s="517" t="s">
        <v>54</v>
      </c>
      <c r="D6582" s="517" t="s">
        <v>11618</v>
      </c>
      <c r="E6582" s="519">
        <f>20000+44330+60000</f>
        <v>124330</v>
      </c>
      <c r="F6582" s="43"/>
      <c r="G6582" s="48">
        <f t="shared" si="162"/>
        <v>767190.27688171994</v>
      </c>
      <c r="H6582" s="391" t="s">
        <v>9568</v>
      </c>
    </row>
    <row r="6583" spans="1:8" x14ac:dyDescent="0.3">
      <c r="A6583" s="509">
        <v>45115</v>
      </c>
      <c r="B6583" s="518"/>
      <c r="C6583" s="517" t="s">
        <v>54</v>
      </c>
      <c r="D6583" s="517" t="s">
        <v>11619</v>
      </c>
      <c r="E6583" s="519">
        <v>31872.916666666672</v>
      </c>
      <c r="F6583" s="43"/>
      <c r="G6583" s="48">
        <f t="shared" si="162"/>
        <v>735317.36021505331</v>
      </c>
      <c r="H6583" s="391" t="s">
        <v>9568</v>
      </c>
    </row>
    <row r="6584" spans="1:8" x14ac:dyDescent="0.3">
      <c r="A6584" s="509">
        <v>45115</v>
      </c>
      <c r="B6584" s="399" t="s">
        <v>10333</v>
      </c>
      <c r="C6584" s="5" t="s">
        <v>10815</v>
      </c>
      <c r="D6584" s="5" t="s">
        <v>11620</v>
      </c>
      <c r="E6584" s="43">
        <v>5200</v>
      </c>
      <c r="F6584" s="43"/>
      <c r="G6584" s="48">
        <f t="shared" si="162"/>
        <v>730117.36021505331</v>
      </c>
      <c r="H6584" s="391" t="s">
        <v>9568</v>
      </c>
    </row>
    <row r="6585" spans="1:8" x14ac:dyDescent="0.3">
      <c r="A6585" s="509">
        <v>45115</v>
      </c>
      <c r="B6585" s="518"/>
      <c r="C6585" s="517" t="s">
        <v>54</v>
      </c>
      <c r="D6585" s="517" t="s">
        <v>11621</v>
      </c>
      <c r="E6585" s="519">
        <v>92210</v>
      </c>
      <c r="F6585" s="43"/>
      <c r="G6585" s="48">
        <f t="shared" si="162"/>
        <v>637907.36021505331</v>
      </c>
      <c r="H6585" s="391" t="s">
        <v>9568</v>
      </c>
    </row>
    <row r="6586" spans="1:8" x14ac:dyDescent="0.3">
      <c r="A6586" s="509">
        <v>45115</v>
      </c>
      <c r="B6586" s="399" t="s">
        <v>11393</v>
      </c>
      <c r="C6586" s="5" t="s">
        <v>5793</v>
      </c>
      <c r="D6586" s="5" t="s">
        <v>40</v>
      </c>
      <c r="E6586" s="43">
        <v>1500</v>
      </c>
      <c r="F6586" s="43"/>
      <c r="G6586" s="48">
        <f t="shared" si="162"/>
        <v>636407.36021505331</v>
      </c>
      <c r="H6586" s="391" t="s">
        <v>9568</v>
      </c>
    </row>
    <row r="6587" spans="1:8" x14ac:dyDescent="0.3">
      <c r="A6587" s="509">
        <v>45115</v>
      </c>
      <c r="B6587" s="399" t="s">
        <v>12089</v>
      </c>
      <c r="C6587" s="5" t="s">
        <v>5162</v>
      </c>
      <c r="D6587" s="5" t="s">
        <v>11622</v>
      </c>
      <c r="E6587" s="43">
        <v>2000</v>
      </c>
      <c r="F6587" s="43"/>
      <c r="G6587" s="48">
        <f t="shared" si="162"/>
        <v>634407.36021505331</v>
      </c>
      <c r="H6587" s="391" t="s">
        <v>9568</v>
      </c>
    </row>
    <row r="6588" spans="1:8" x14ac:dyDescent="0.3">
      <c r="A6588" s="509">
        <v>45115</v>
      </c>
      <c r="B6588" s="518"/>
      <c r="C6588" s="517" t="s">
        <v>54</v>
      </c>
      <c r="D6588" s="517" t="s">
        <v>11623</v>
      </c>
      <c r="E6588" s="519">
        <v>3600</v>
      </c>
      <c r="F6588" s="43"/>
      <c r="G6588" s="48">
        <f t="shared" si="162"/>
        <v>630807.36021505331</v>
      </c>
      <c r="H6588" s="391" t="s">
        <v>9568</v>
      </c>
    </row>
    <row r="6589" spans="1:8" x14ac:dyDescent="0.3">
      <c r="A6589" s="509">
        <v>45115</v>
      </c>
      <c r="B6589" s="518"/>
      <c r="C6589" s="517" t="s">
        <v>54</v>
      </c>
      <c r="D6589" s="517" t="s">
        <v>11624</v>
      </c>
      <c r="E6589" s="519">
        <v>73375</v>
      </c>
      <c r="F6589" s="43"/>
      <c r="G6589" s="48">
        <f t="shared" si="162"/>
        <v>557432.36021505331</v>
      </c>
      <c r="H6589" s="391" t="s">
        <v>9568</v>
      </c>
    </row>
    <row r="6590" spans="1:8" x14ac:dyDescent="0.3">
      <c r="A6590" s="509">
        <v>45115</v>
      </c>
      <c r="B6590" s="518"/>
      <c r="C6590" s="517" t="s">
        <v>54</v>
      </c>
      <c r="D6590" s="517" t="s">
        <v>11625</v>
      </c>
      <c r="E6590" s="519">
        <v>137650</v>
      </c>
      <c r="F6590" s="43"/>
      <c r="G6590" s="48">
        <f t="shared" si="162"/>
        <v>419782.36021505331</v>
      </c>
      <c r="H6590" s="391" t="s">
        <v>9568</v>
      </c>
    </row>
    <row r="6591" spans="1:8" x14ac:dyDescent="0.3">
      <c r="A6591" s="509">
        <v>45115</v>
      </c>
      <c r="B6591" s="399"/>
      <c r="C6591" s="5" t="s">
        <v>6430</v>
      </c>
      <c r="D6591" s="5" t="s">
        <v>3183</v>
      </c>
      <c r="E6591" s="43">
        <v>3000</v>
      </c>
      <c r="F6591" s="43"/>
      <c r="G6591" s="48">
        <f t="shared" si="162"/>
        <v>416782.36021505331</v>
      </c>
      <c r="H6591" s="391" t="s">
        <v>9568</v>
      </c>
    </row>
    <row r="6592" spans="1:8" x14ac:dyDescent="0.3">
      <c r="A6592" s="509">
        <v>45115</v>
      </c>
      <c r="B6592" s="518"/>
      <c r="C6592" s="517" t="s">
        <v>54</v>
      </c>
      <c r="D6592" s="517" t="s">
        <v>11127</v>
      </c>
      <c r="E6592" s="519">
        <v>134483.33333333331</v>
      </c>
      <c r="F6592" s="43"/>
      <c r="G6592" s="48">
        <f t="shared" si="162"/>
        <v>282299.02688172</v>
      </c>
      <c r="H6592" s="391" t="s">
        <v>9568</v>
      </c>
    </row>
    <row r="6593" spans="1:8" x14ac:dyDescent="0.3">
      <c r="A6593" s="509">
        <v>45115</v>
      </c>
      <c r="B6593" s="399"/>
      <c r="C6593" s="5" t="s">
        <v>4550</v>
      </c>
      <c r="D6593" s="5" t="s">
        <v>3183</v>
      </c>
      <c r="E6593" s="43">
        <v>30000</v>
      </c>
      <c r="F6593" s="43"/>
      <c r="G6593" s="48">
        <f t="shared" si="162"/>
        <v>252299.02688172</v>
      </c>
      <c r="H6593" s="391" t="s">
        <v>9568</v>
      </c>
    </row>
    <row r="6594" spans="1:8" x14ac:dyDescent="0.3">
      <c r="A6594" s="509">
        <v>45115</v>
      </c>
      <c r="B6594" s="399" t="s">
        <v>6481</v>
      </c>
      <c r="C6594" s="5" t="s">
        <v>10788</v>
      </c>
      <c r="D6594" s="5" t="s">
        <v>11626</v>
      </c>
      <c r="E6594" s="43">
        <v>5000</v>
      </c>
      <c r="F6594" s="43"/>
      <c r="G6594" s="48">
        <f t="shared" si="162"/>
        <v>247299.02688172</v>
      </c>
      <c r="H6594" s="391" t="s">
        <v>9568</v>
      </c>
    </row>
    <row r="6595" spans="1:8" x14ac:dyDescent="0.3">
      <c r="A6595" s="509">
        <v>45115</v>
      </c>
      <c r="B6595" s="399" t="s">
        <v>5914</v>
      </c>
      <c r="C6595" s="5" t="s">
        <v>6931</v>
      </c>
      <c r="D6595" s="5" t="s">
        <v>11372</v>
      </c>
      <c r="E6595" s="43">
        <v>3000</v>
      </c>
      <c r="F6595" s="43"/>
      <c r="G6595" s="48">
        <f t="shared" si="162"/>
        <v>244299.02688172</v>
      </c>
      <c r="H6595" s="391" t="s">
        <v>9568</v>
      </c>
    </row>
    <row r="6596" spans="1:8" x14ac:dyDescent="0.3">
      <c r="A6596" s="509">
        <v>45115</v>
      </c>
      <c r="B6596" s="518"/>
      <c r="C6596" s="517" t="s">
        <v>54</v>
      </c>
      <c r="D6596" s="517" t="s">
        <v>11627</v>
      </c>
      <c r="E6596" s="519">
        <v>54737.5</v>
      </c>
      <c r="F6596" s="43"/>
      <c r="G6596" s="48">
        <f t="shared" si="162"/>
        <v>189561.52688172</v>
      </c>
      <c r="H6596" s="391" t="s">
        <v>9568</v>
      </c>
    </row>
    <row r="6597" spans="1:8" x14ac:dyDescent="0.3">
      <c r="A6597" s="509">
        <v>45115</v>
      </c>
      <c r="B6597" s="399" t="s">
        <v>11465</v>
      </c>
      <c r="C6597" s="5" t="s">
        <v>5793</v>
      </c>
      <c r="D6597" s="5" t="s">
        <v>40</v>
      </c>
      <c r="E6597" s="43">
        <v>1400</v>
      </c>
      <c r="F6597" s="43"/>
      <c r="G6597" s="48">
        <f t="shared" si="162"/>
        <v>188161.52688172</v>
      </c>
      <c r="H6597" s="391" t="s">
        <v>9568</v>
      </c>
    </row>
    <row r="6598" spans="1:8" x14ac:dyDescent="0.3">
      <c r="A6598" s="509">
        <v>45115</v>
      </c>
      <c r="B6598" s="518"/>
      <c r="C6598" s="517" t="s">
        <v>54</v>
      </c>
      <c r="D6598" s="517" t="s">
        <v>11629</v>
      </c>
      <c r="E6598" s="519">
        <v>69958.333333333328</v>
      </c>
      <c r="F6598" s="43"/>
      <c r="G6598" s="48">
        <f t="shared" si="162"/>
        <v>118203.19354838667</v>
      </c>
      <c r="H6598" s="391" t="s">
        <v>9568</v>
      </c>
    </row>
    <row r="6599" spans="1:8" x14ac:dyDescent="0.3">
      <c r="A6599" s="509">
        <v>45115</v>
      </c>
      <c r="B6599" s="399" t="s">
        <v>12093</v>
      </c>
      <c r="C6599" s="5" t="s">
        <v>9756</v>
      </c>
      <c r="D6599" s="5" t="s">
        <v>11630</v>
      </c>
      <c r="E6599" s="43">
        <v>7850</v>
      </c>
      <c r="F6599" s="43"/>
      <c r="G6599" s="48">
        <f t="shared" si="162"/>
        <v>110353.19354838667</v>
      </c>
      <c r="H6599" s="391" t="s">
        <v>9568</v>
      </c>
    </row>
    <row r="6600" spans="1:8" x14ac:dyDescent="0.3">
      <c r="A6600" s="509">
        <v>45115</v>
      </c>
      <c r="B6600" s="399" t="s">
        <v>10766</v>
      </c>
      <c r="C6600" s="5" t="s">
        <v>9756</v>
      </c>
      <c r="D6600" s="5" t="s">
        <v>11631</v>
      </c>
      <c r="E6600" s="43">
        <v>18755</v>
      </c>
      <c r="F6600" s="43"/>
      <c r="G6600" s="48">
        <f t="shared" si="162"/>
        <v>91598.193548386669</v>
      </c>
      <c r="H6600" s="391" t="s">
        <v>9568</v>
      </c>
    </row>
    <row r="6601" spans="1:8" x14ac:dyDescent="0.3">
      <c r="A6601" s="509">
        <v>45115</v>
      </c>
      <c r="B6601" s="399" t="s">
        <v>11064</v>
      </c>
      <c r="C6601" s="5" t="s">
        <v>9756</v>
      </c>
      <c r="D6601" s="5" t="s">
        <v>11635</v>
      </c>
      <c r="E6601" s="43">
        <v>7200</v>
      </c>
      <c r="F6601" s="43"/>
      <c r="G6601" s="48">
        <f t="shared" si="162"/>
        <v>84398.193548386669</v>
      </c>
      <c r="H6601" s="391" t="s">
        <v>9568</v>
      </c>
    </row>
    <row r="6602" spans="1:8" x14ac:dyDescent="0.3">
      <c r="A6602" s="509">
        <v>45115</v>
      </c>
      <c r="B6602" s="399"/>
      <c r="C6602" s="5" t="s">
        <v>9756</v>
      </c>
      <c r="D6602" s="5" t="s">
        <v>11632</v>
      </c>
      <c r="E6602" s="43">
        <v>200</v>
      </c>
      <c r="F6602" s="43"/>
      <c r="G6602" s="48">
        <f t="shared" si="162"/>
        <v>84198.193548386669</v>
      </c>
      <c r="H6602" s="391" t="s">
        <v>9568</v>
      </c>
    </row>
    <row r="6603" spans="1:8" x14ac:dyDescent="0.3">
      <c r="A6603" s="509">
        <v>45115</v>
      </c>
      <c r="B6603" s="399" t="s">
        <v>10766</v>
      </c>
      <c r="C6603" s="5" t="s">
        <v>10815</v>
      </c>
      <c r="D6603" s="5" t="s">
        <v>11633</v>
      </c>
      <c r="E6603" s="43">
        <v>1250</v>
      </c>
      <c r="F6603" s="43"/>
      <c r="G6603" s="48">
        <f t="shared" si="162"/>
        <v>82948.193548386669</v>
      </c>
      <c r="H6603" s="391" t="s">
        <v>9568</v>
      </c>
    </row>
    <row r="6604" spans="1:8" x14ac:dyDescent="0.3">
      <c r="A6604" s="509">
        <v>45115</v>
      </c>
      <c r="B6604" s="399"/>
      <c r="C6604" s="5" t="s">
        <v>247</v>
      </c>
      <c r="D6604" s="5" t="s">
        <v>11472</v>
      </c>
      <c r="E6604" s="43">
        <v>15000</v>
      </c>
      <c r="F6604" s="43"/>
      <c r="G6604" s="48">
        <f t="shared" si="162"/>
        <v>67948.193548386669</v>
      </c>
      <c r="H6604" s="391" t="s">
        <v>9568</v>
      </c>
    </row>
    <row r="6605" spans="1:8" x14ac:dyDescent="0.3">
      <c r="A6605" s="509">
        <v>45115</v>
      </c>
      <c r="B6605" s="518"/>
      <c r="C6605" s="517" t="s">
        <v>54</v>
      </c>
      <c r="D6605" s="517" t="s">
        <v>11634</v>
      </c>
      <c r="E6605" s="519">
        <v>30000</v>
      </c>
      <c r="F6605" s="43"/>
      <c r="G6605" s="48">
        <f t="shared" si="162"/>
        <v>37948.193548386669</v>
      </c>
      <c r="H6605" s="391" t="s">
        <v>9568</v>
      </c>
    </row>
    <row r="6606" spans="1:8" x14ac:dyDescent="0.3">
      <c r="A6606" s="509">
        <v>45115</v>
      </c>
      <c r="B6606" s="399"/>
      <c r="C6606" s="5" t="s">
        <v>25</v>
      </c>
      <c r="D6606" s="5" t="s">
        <v>11455</v>
      </c>
      <c r="E6606" s="43">
        <v>2500</v>
      </c>
      <c r="F6606" s="43"/>
      <c r="G6606" s="48">
        <f t="shared" si="162"/>
        <v>35448.193548386669</v>
      </c>
      <c r="H6606" s="391" t="s">
        <v>9568</v>
      </c>
    </row>
    <row r="6607" spans="1:8" x14ac:dyDescent="0.3">
      <c r="A6607" s="509">
        <v>45115</v>
      </c>
      <c r="B6607" s="399"/>
      <c r="C6607" s="5" t="s">
        <v>84</v>
      </c>
      <c r="D6607" s="5" t="s">
        <v>11636</v>
      </c>
      <c r="E6607" s="43">
        <v>5000</v>
      </c>
      <c r="F6607" s="43"/>
      <c r="G6607" s="48">
        <f t="shared" si="162"/>
        <v>30448.193548386669</v>
      </c>
      <c r="H6607" s="391" t="s">
        <v>9568</v>
      </c>
    </row>
    <row r="6608" spans="1:8" x14ac:dyDescent="0.3">
      <c r="A6608" s="509">
        <v>45115</v>
      </c>
      <c r="B6608" s="399"/>
      <c r="C6608" s="5" t="s">
        <v>84</v>
      </c>
      <c r="D6608" s="5" t="s">
        <v>11637</v>
      </c>
      <c r="E6608" s="43">
        <v>30000</v>
      </c>
      <c r="F6608" s="43"/>
      <c r="G6608" s="48">
        <f t="shared" si="162"/>
        <v>448.19354838666914</v>
      </c>
      <c r="H6608" s="391" t="s">
        <v>9568</v>
      </c>
    </row>
    <row r="6609" spans="1:8" x14ac:dyDescent="0.3">
      <c r="A6609" s="509">
        <v>45118</v>
      </c>
      <c r="B6609" s="588"/>
      <c r="C6609" s="503"/>
      <c r="D6609" s="504" t="s">
        <v>4106</v>
      </c>
      <c r="E6609" s="503"/>
      <c r="F6609" s="67">
        <v>50000</v>
      </c>
      <c r="G6609" s="48">
        <f t="shared" si="162"/>
        <v>50448.193548386669</v>
      </c>
      <c r="H6609" s="391" t="s">
        <v>9568</v>
      </c>
    </row>
    <row r="6610" spans="1:8" x14ac:dyDescent="0.3">
      <c r="A6610" s="509">
        <v>45118</v>
      </c>
      <c r="B6610" s="399"/>
      <c r="C6610" s="5" t="s">
        <v>25</v>
      </c>
      <c r="D6610" s="5" t="s">
        <v>11455</v>
      </c>
      <c r="E6610" s="43">
        <v>2000</v>
      </c>
      <c r="F6610" s="43"/>
      <c r="G6610" s="48">
        <f t="shared" si="162"/>
        <v>48448.193548386669</v>
      </c>
      <c r="H6610" s="391" t="s">
        <v>9568</v>
      </c>
    </row>
    <row r="6611" spans="1:8" x14ac:dyDescent="0.3">
      <c r="A6611" s="509">
        <v>45118</v>
      </c>
      <c r="B6611" s="399" t="s">
        <v>10333</v>
      </c>
      <c r="C6611" s="5" t="s">
        <v>9756</v>
      </c>
      <c r="D6611" s="5" t="s">
        <v>11648</v>
      </c>
      <c r="E6611" s="43">
        <v>16760</v>
      </c>
      <c r="F6611" s="43"/>
      <c r="G6611" s="48">
        <f t="shared" si="162"/>
        <v>31688.193548386669</v>
      </c>
      <c r="H6611" s="391" t="s">
        <v>9568</v>
      </c>
    </row>
    <row r="6612" spans="1:8" x14ac:dyDescent="0.3">
      <c r="A6612" s="509">
        <v>45118</v>
      </c>
      <c r="B6612" s="399" t="s">
        <v>12093</v>
      </c>
      <c r="C6612" s="5" t="s">
        <v>10815</v>
      </c>
      <c r="D6612" s="5" t="s">
        <v>11656</v>
      </c>
      <c r="E6612" s="43">
        <v>14000</v>
      </c>
      <c r="F6612" s="43"/>
      <c r="G6612" s="48">
        <f t="shared" si="162"/>
        <v>17688.193548386669</v>
      </c>
      <c r="H6612" s="391" t="s">
        <v>9568</v>
      </c>
    </row>
    <row r="6613" spans="1:8" x14ac:dyDescent="0.3">
      <c r="A6613" s="509">
        <v>45118</v>
      </c>
      <c r="B6613" s="407" t="s">
        <v>11064</v>
      </c>
      <c r="C6613" s="66" t="s">
        <v>5793</v>
      </c>
      <c r="D6613" s="66" t="s">
        <v>40</v>
      </c>
      <c r="E6613" s="67">
        <v>400</v>
      </c>
      <c r="F6613" s="67"/>
      <c r="G6613" s="48">
        <f t="shared" si="162"/>
        <v>17288.193548386669</v>
      </c>
      <c r="H6613" s="391" t="s">
        <v>9568</v>
      </c>
    </row>
    <row r="6614" spans="1:8" x14ac:dyDescent="0.3">
      <c r="A6614" s="509">
        <v>45118</v>
      </c>
      <c r="B6614" s="588"/>
      <c r="C6614" s="503"/>
      <c r="D6614" s="504" t="s">
        <v>11417</v>
      </c>
      <c r="E6614" s="503"/>
      <c r="F6614" s="67">
        <v>500000</v>
      </c>
      <c r="G6614" s="48">
        <f t="shared" si="162"/>
        <v>517288.19354838668</v>
      </c>
      <c r="H6614" s="391" t="s">
        <v>9568</v>
      </c>
    </row>
    <row r="6615" spans="1:8" x14ac:dyDescent="0.3">
      <c r="A6615" s="509">
        <v>45118</v>
      </c>
      <c r="B6615" s="399" t="s">
        <v>10867</v>
      </c>
      <c r="C6615" s="5" t="s">
        <v>116</v>
      </c>
      <c r="D6615" s="5" t="s">
        <v>11644</v>
      </c>
      <c r="E6615" s="43">
        <v>15000</v>
      </c>
      <c r="F6615" s="43"/>
      <c r="G6615" s="48">
        <f t="shared" si="162"/>
        <v>502288.19354838668</v>
      </c>
      <c r="H6615" s="391" t="s">
        <v>9568</v>
      </c>
    </row>
    <row r="6616" spans="1:8" x14ac:dyDescent="0.3">
      <c r="A6616" s="509">
        <v>45118</v>
      </c>
      <c r="B6616" s="399"/>
      <c r="C6616" s="5" t="s">
        <v>54</v>
      </c>
      <c r="D6616" s="5" t="s">
        <v>11645</v>
      </c>
      <c r="E6616" s="43">
        <v>8000</v>
      </c>
      <c r="F6616" s="43"/>
      <c r="G6616" s="48">
        <f t="shared" si="162"/>
        <v>494288.19354838668</v>
      </c>
      <c r="H6616" s="391" t="s">
        <v>9568</v>
      </c>
    </row>
    <row r="6617" spans="1:8" x14ac:dyDescent="0.3">
      <c r="A6617" s="509">
        <v>45118</v>
      </c>
      <c r="B6617" s="399"/>
      <c r="C6617" s="5" t="s">
        <v>14</v>
      </c>
      <c r="D6617" s="5" t="s">
        <v>5425</v>
      </c>
      <c r="E6617" s="43">
        <v>32185</v>
      </c>
      <c r="F6617" s="43"/>
      <c r="G6617" s="48">
        <f t="shared" si="162"/>
        <v>462103.19354838668</v>
      </c>
      <c r="H6617" s="391" t="s">
        <v>9568</v>
      </c>
    </row>
    <row r="6618" spans="1:8" x14ac:dyDescent="0.3">
      <c r="A6618" s="509">
        <v>45118</v>
      </c>
      <c r="B6618" s="399" t="s">
        <v>12089</v>
      </c>
      <c r="C6618" s="5" t="s">
        <v>10815</v>
      </c>
      <c r="D6618" s="5" t="s">
        <v>11650</v>
      </c>
      <c r="E6618" s="43">
        <v>54000</v>
      </c>
      <c r="F6618" s="43"/>
      <c r="G6618" s="48">
        <f t="shared" ref="G6618:G6692" si="163">G6617+F6618-E6618</f>
        <v>408103.19354838668</v>
      </c>
      <c r="H6618" s="391" t="s">
        <v>9568</v>
      </c>
    </row>
    <row r="6619" spans="1:8" x14ac:dyDescent="0.3">
      <c r="A6619" s="509">
        <v>45118</v>
      </c>
      <c r="B6619" s="399"/>
      <c r="C6619" s="5" t="s">
        <v>84</v>
      </c>
      <c r="D6619" s="5" t="s">
        <v>11637</v>
      </c>
      <c r="E6619" s="43">
        <v>30000</v>
      </c>
      <c r="F6619" s="43"/>
      <c r="G6619" s="48">
        <f t="shared" si="163"/>
        <v>378103.19354838668</v>
      </c>
      <c r="H6619" s="391" t="s">
        <v>9568</v>
      </c>
    </row>
    <row r="6620" spans="1:8" x14ac:dyDescent="0.3">
      <c r="A6620" s="509">
        <v>45118</v>
      </c>
      <c r="B6620" s="399" t="s">
        <v>11064</v>
      </c>
      <c r="C6620" s="5" t="s">
        <v>5793</v>
      </c>
      <c r="D6620" s="5" t="s">
        <v>40</v>
      </c>
      <c r="E6620" s="43">
        <v>800</v>
      </c>
      <c r="F6620" s="43"/>
      <c r="G6620" s="48">
        <f t="shared" si="163"/>
        <v>377303.19354838668</v>
      </c>
      <c r="H6620" s="391" t="s">
        <v>9568</v>
      </c>
    </row>
    <row r="6621" spans="1:8" x14ac:dyDescent="0.3">
      <c r="A6621" s="509">
        <v>45118</v>
      </c>
      <c r="B6621" s="399"/>
      <c r="C6621" s="5" t="s">
        <v>25</v>
      </c>
      <c r="D6621" s="5" t="s">
        <v>11455</v>
      </c>
      <c r="E6621" s="43">
        <v>2500</v>
      </c>
      <c r="F6621" s="43"/>
      <c r="G6621" s="48">
        <f t="shared" si="163"/>
        <v>374803.19354838668</v>
      </c>
      <c r="H6621" s="391" t="s">
        <v>9568</v>
      </c>
    </row>
    <row r="6622" spans="1:8" x14ac:dyDescent="0.3">
      <c r="A6622" s="509">
        <v>45118</v>
      </c>
      <c r="B6622" s="399" t="s">
        <v>12093</v>
      </c>
      <c r="C6622" s="5" t="s">
        <v>5793</v>
      </c>
      <c r="D6622" s="5" t="s">
        <v>40</v>
      </c>
      <c r="E6622" s="43">
        <v>500</v>
      </c>
      <c r="F6622" s="43"/>
      <c r="G6622" s="48">
        <f t="shared" si="163"/>
        <v>374303.19354838668</v>
      </c>
      <c r="H6622" s="391" t="s">
        <v>9568</v>
      </c>
    </row>
    <row r="6623" spans="1:8" x14ac:dyDescent="0.3">
      <c r="A6623" s="509">
        <v>45118</v>
      </c>
      <c r="B6623" s="399" t="s">
        <v>12089</v>
      </c>
      <c r="C6623" s="5" t="s">
        <v>5793</v>
      </c>
      <c r="D6623" s="5" t="s">
        <v>40</v>
      </c>
      <c r="E6623" s="43">
        <v>500</v>
      </c>
      <c r="F6623" s="43"/>
      <c r="G6623" s="48">
        <f t="shared" si="163"/>
        <v>373803.19354838668</v>
      </c>
      <c r="H6623" s="391" t="s">
        <v>9568</v>
      </c>
    </row>
    <row r="6624" spans="1:8" x14ac:dyDescent="0.3">
      <c r="A6624" s="509">
        <v>45118</v>
      </c>
      <c r="B6624" s="399" t="s">
        <v>10867</v>
      </c>
      <c r="C6624" s="5" t="s">
        <v>9756</v>
      </c>
      <c r="D6624" s="5" t="s">
        <v>11649</v>
      </c>
      <c r="E6624" s="43">
        <v>1920</v>
      </c>
      <c r="F6624" s="43"/>
      <c r="G6624" s="48">
        <f t="shared" si="163"/>
        <v>371883.19354838668</v>
      </c>
      <c r="H6624" s="391" t="s">
        <v>9568</v>
      </c>
    </row>
    <row r="6625" spans="1:8" x14ac:dyDescent="0.3">
      <c r="A6625" s="509">
        <v>45118</v>
      </c>
      <c r="B6625" s="399" t="s">
        <v>12092</v>
      </c>
      <c r="C6625" s="66" t="s">
        <v>10760</v>
      </c>
      <c r="D6625" s="66" t="s">
        <v>11371</v>
      </c>
      <c r="E6625" s="67">
        <v>1700</v>
      </c>
      <c r="F6625" s="67"/>
      <c r="G6625" s="48">
        <f t="shared" si="163"/>
        <v>370183.19354838668</v>
      </c>
      <c r="H6625" s="391" t="s">
        <v>9568</v>
      </c>
    </row>
    <row r="6626" spans="1:8" x14ac:dyDescent="0.3">
      <c r="A6626" s="509">
        <v>45118</v>
      </c>
      <c r="B6626" s="399" t="s">
        <v>12190</v>
      </c>
      <c r="C6626" s="66" t="s">
        <v>8009</v>
      </c>
      <c r="D6626" s="66" t="s">
        <v>11651</v>
      </c>
      <c r="E6626" s="67">
        <v>2500</v>
      </c>
      <c r="F6626" s="67"/>
      <c r="G6626" s="48">
        <f t="shared" si="163"/>
        <v>367683.19354838668</v>
      </c>
      <c r="H6626" s="391" t="s">
        <v>9568</v>
      </c>
    </row>
    <row r="6627" spans="1:8" x14ac:dyDescent="0.3">
      <c r="A6627" s="509">
        <v>45118</v>
      </c>
      <c r="B6627" s="407" t="s">
        <v>5931</v>
      </c>
      <c r="C6627" s="66" t="s">
        <v>30</v>
      </c>
      <c r="D6627" s="66" t="s">
        <v>11652</v>
      </c>
      <c r="E6627" s="67">
        <v>2500</v>
      </c>
      <c r="F6627" s="67"/>
      <c r="G6627" s="48">
        <f t="shared" si="163"/>
        <v>365183.19354838668</v>
      </c>
      <c r="H6627" s="391" t="s">
        <v>9568</v>
      </c>
    </row>
    <row r="6628" spans="1:8" x14ac:dyDescent="0.3">
      <c r="A6628" s="509">
        <v>45118</v>
      </c>
      <c r="B6628" s="407" t="s">
        <v>5931</v>
      </c>
      <c r="C6628" s="66" t="s">
        <v>8009</v>
      </c>
      <c r="D6628" s="66" t="s">
        <v>11653</v>
      </c>
      <c r="E6628" s="67">
        <v>5000</v>
      </c>
      <c r="F6628" s="67"/>
      <c r="G6628" s="48">
        <f t="shared" si="163"/>
        <v>360183.19354838668</v>
      </c>
      <c r="H6628" s="391" t="s">
        <v>9568</v>
      </c>
    </row>
    <row r="6629" spans="1:8" x14ac:dyDescent="0.3">
      <c r="A6629" s="509">
        <v>45118</v>
      </c>
      <c r="B6629" s="407"/>
      <c r="C6629" s="66" t="s">
        <v>14</v>
      </c>
      <c r="D6629" s="66" t="s">
        <v>294</v>
      </c>
      <c r="E6629" s="67">
        <v>50000</v>
      </c>
      <c r="F6629" s="67"/>
      <c r="G6629" s="48">
        <f t="shared" si="163"/>
        <v>310183.19354838668</v>
      </c>
      <c r="H6629" s="391" t="s">
        <v>9568</v>
      </c>
    </row>
    <row r="6630" spans="1:8" x14ac:dyDescent="0.3">
      <c r="A6630" s="509">
        <v>45118</v>
      </c>
      <c r="B6630" s="399" t="s">
        <v>11772</v>
      </c>
      <c r="C6630" s="5" t="s">
        <v>9525</v>
      </c>
      <c r="D6630" s="5" t="s">
        <v>11654</v>
      </c>
      <c r="E6630" s="43">
        <v>500</v>
      </c>
      <c r="F6630" s="43"/>
      <c r="G6630" s="48">
        <f t="shared" si="163"/>
        <v>309683.19354838668</v>
      </c>
      <c r="H6630" s="391" t="s">
        <v>9568</v>
      </c>
    </row>
    <row r="6631" spans="1:8" x14ac:dyDescent="0.3">
      <c r="A6631" s="509">
        <v>45118</v>
      </c>
      <c r="B6631" s="399"/>
      <c r="C6631" s="5" t="s">
        <v>5162</v>
      </c>
      <c r="D6631" s="5" t="s">
        <v>4591</v>
      </c>
      <c r="E6631" s="43">
        <v>3000</v>
      </c>
      <c r="F6631" s="43"/>
      <c r="G6631" s="48">
        <f t="shared" si="163"/>
        <v>306683.19354838668</v>
      </c>
      <c r="H6631" s="391" t="s">
        <v>9568</v>
      </c>
    </row>
    <row r="6632" spans="1:8" x14ac:dyDescent="0.3">
      <c r="A6632" s="509">
        <v>45118</v>
      </c>
      <c r="B6632" s="399" t="s">
        <v>25</v>
      </c>
      <c r="C6632" s="5" t="s">
        <v>64</v>
      </c>
      <c r="D6632" s="5" t="s">
        <v>40</v>
      </c>
      <c r="E6632" s="43">
        <v>2000</v>
      </c>
      <c r="F6632" s="43"/>
      <c r="G6632" s="48">
        <f t="shared" si="163"/>
        <v>304683.19354838668</v>
      </c>
      <c r="H6632" s="391" t="s">
        <v>9568</v>
      </c>
    </row>
    <row r="6633" spans="1:8" x14ac:dyDescent="0.3">
      <c r="A6633" s="509">
        <v>45118</v>
      </c>
      <c r="B6633" s="407" t="s">
        <v>25</v>
      </c>
      <c r="C6633" s="66" t="s">
        <v>9765</v>
      </c>
      <c r="D6633" s="66" t="s">
        <v>11111</v>
      </c>
      <c r="E6633" s="67">
        <v>5000</v>
      </c>
      <c r="F6633" s="67"/>
      <c r="G6633" s="48">
        <f t="shared" si="163"/>
        <v>299683.19354838668</v>
      </c>
      <c r="H6633" s="391" t="s">
        <v>9568</v>
      </c>
    </row>
    <row r="6634" spans="1:8" x14ac:dyDescent="0.3">
      <c r="A6634" s="509">
        <v>45118</v>
      </c>
      <c r="B6634" s="399" t="s">
        <v>12090</v>
      </c>
      <c r="C6634" s="66" t="s">
        <v>5793</v>
      </c>
      <c r="D6634" s="66" t="s">
        <v>11657</v>
      </c>
      <c r="E6634" s="67">
        <v>9500</v>
      </c>
      <c r="F6634" s="67"/>
      <c r="G6634" s="48">
        <f t="shared" si="163"/>
        <v>290183.19354838668</v>
      </c>
      <c r="H6634" s="391" t="s">
        <v>9568</v>
      </c>
    </row>
    <row r="6635" spans="1:8" x14ac:dyDescent="0.3">
      <c r="A6635" s="509">
        <v>45118</v>
      </c>
      <c r="B6635" s="399" t="s">
        <v>12091</v>
      </c>
      <c r="C6635" s="66" t="s">
        <v>10815</v>
      </c>
      <c r="D6635" s="66" t="s">
        <v>11655</v>
      </c>
      <c r="E6635" s="67">
        <v>350</v>
      </c>
      <c r="F6635" s="67"/>
      <c r="G6635" s="48">
        <f t="shared" si="163"/>
        <v>289833.19354838668</v>
      </c>
      <c r="H6635" s="391" t="s">
        <v>9568</v>
      </c>
    </row>
    <row r="6636" spans="1:8" x14ac:dyDescent="0.3">
      <c r="A6636" s="509">
        <v>45118</v>
      </c>
      <c r="B6636" s="399" t="s">
        <v>12093</v>
      </c>
      <c r="C6636" s="66" t="s">
        <v>5793</v>
      </c>
      <c r="D6636" s="66" t="s">
        <v>8924</v>
      </c>
      <c r="E6636" s="67">
        <v>260</v>
      </c>
      <c r="F6636" s="67"/>
      <c r="G6636" s="48">
        <f t="shared" si="163"/>
        <v>289573.19354838668</v>
      </c>
      <c r="H6636" s="391" t="s">
        <v>9568</v>
      </c>
    </row>
    <row r="6637" spans="1:8" x14ac:dyDescent="0.3">
      <c r="A6637" s="509">
        <v>45118</v>
      </c>
      <c r="B6637" s="407" t="s">
        <v>10333</v>
      </c>
      <c r="C6637" s="66" t="s">
        <v>10815</v>
      </c>
      <c r="D6637" s="66" t="s">
        <v>11660</v>
      </c>
      <c r="E6637" s="67">
        <v>19700</v>
      </c>
      <c r="F6637" s="67"/>
      <c r="G6637" s="48">
        <f t="shared" si="163"/>
        <v>269873.19354838668</v>
      </c>
      <c r="H6637" s="391" t="s">
        <v>9568</v>
      </c>
    </row>
    <row r="6638" spans="1:8" x14ac:dyDescent="0.3">
      <c r="A6638" s="509">
        <v>45118</v>
      </c>
      <c r="B6638" s="588"/>
      <c r="C6638" s="503"/>
      <c r="D6638" s="504" t="s">
        <v>11417</v>
      </c>
      <c r="E6638" s="503"/>
      <c r="F6638" s="67">
        <v>500000</v>
      </c>
      <c r="G6638" s="48">
        <f t="shared" si="163"/>
        <v>769873.19354838668</v>
      </c>
      <c r="H6638" s="391" t="s">
        <v>9568</v>
      </c>
    </row>
    <row r="6639" spans="1:8" x14ac:dyDescent="0.3">
      <c r="A6639" s="509">
        <v>45119</v>
      </c>
      <c r="B6639" s="399" t="s">
        <v>10867</v>
      </c>
      <c r="C6639" s="5" t="s">
        <v>116</v>
      </c>
      <c r="D6639" s="5" t="s">
        <v>11658</v>
      </c>
      <c r="E6639" s="43">
        <v>15000</v>
      </c>
      <c r="F6639" s="43"/>
      <c r="G6639" s="48">
        <f t="shared" si="163"/>
        <v>754873.19354838668</v>
      </c>
      <c r="H6639" s="391" t="s">
        <v>9568</v>
      </c>
    </row>
    <row r="6640" spans="1:8" x14ac:dyDescent="0.3">
      <c r="A6640" s="509">
        <v>45119</v>
      </c>
      <c r="B6640" s="399"/>
      <c r="C6640" s="5" t="s">
        <v>14</v>
      </c>
      <c r="D6640" s="5" t="s">
        <v>294</v>
      </c>
      <c r="E6640" s="43">
        <v>2500</v>
      </c>
      <c r="F6640" s="43"/>
      <c r="G6640" s="48">
        <f t="shared" si="163"/>
        <v>752373.19354838668</v>
      </c>
      <c r="H6640" s="391" t="s">
        <v>9568</v>
      </c>
    </row>
    <row r="6641" spans="1:8" x14ac:dyDescent="0.3">
      <c r="A6641" s="509">
        <v>45119</v>
      </c>
      <c r="B6641" s="399" t="s">
        <v>11164</v>
      </c>
      <c r="C6641" s="5" t="s">
        <v>9756</v>
      </c>
      <c r="D6641" s="5" t="s">
        <v>11661</v>
      </c>
      <c r="E6641" s="43">
        <v>19800</v>
      </c>
      <c r="F6641" s="43"/>
      <c r="G6641" s="48">
        <f t="shared" si="163"/>
        <v>732573.19354838668</v>
      </c>
      <c r="H6641" s="391" t="s">
        <v>9568</v>
      </c>
    </row>
    <row r="6642" spans="1:8" x14ac:dyDescent="0.3">
      <c r="A6642" s="509">
        <v>45119</v>
      </c>
      <c r="B6642" s="399" t="s">
        <v>10974</v>
      </c>
      <c r="C6642" s="5" t="s">
        <v>5793</v>
      </c>
      <c r="D6642" s="5" t="s">
        <v>40</v>
      </c>
      <c r="E6642" s="43">
        <v>2000</v>
      </c>
      <c r="F6642" s="43"/>
      <c r="G6642" s="48">
        <f t="shared" si="163"/>
        <v>730573.19354838668</v>
      </c>
      <c r="H6642" s="391" t="s">
        <v>9568</v>
      </c>
    </row>
    <row r="6643" spans="1:8" x14ac:dyDescent="0.3">
      <c r="A6643" s="509">
        <v>45119</v>
      </c>
      <c r="B6643" s="399" t="s">
        <v>10766</v>
      </c>
      <c r="C6643" s="5" t="s">
        <v>7158</v>
      </c>
      <c r="D6643" s="5" t="s">
        <v>11666</v>
      </c>
      <c r="E6643" s="43">
        <v>460</v>
      </c>
      <c r="F6643" s="43"/>
      <c r="G6643" s="48">
        <f t="shared" si="163"/>
        <v>730113.19354838668</v>
      </c>
      <c r="H6643" s="391" t="s">
        <v>9568</v>
      </c>
    </row>
    <row r="6644" spans="1:8" x14ac:dyDescent="0.3">
      <c r="A6644" s="509">
        <v>45119</v>
      </c>
      <c r="B6644" s="399"/>
      <c r="C6644" s="5" t="s">
        <v>25</v>
      </c>
      <c r="D6644" s="5" t="s">
        <v>11455</v>
      </c>
      <c r="E6644" s="43">
        <v>3500</v>
      </c>
      <c r="F6644" s="43"/>
      <c r="G6644" s="48">
        <f t="shared" si="163"/>
        <v>726613.19354838668</v>
      </c>
      <c r="H6644" s="391" t="s">
        <v>9568</v>
      </c>
    </row>
    <row r="6645" spans="1:8" x14ac:dyDescent="0.3">
      <c r="A6645" s="509">
        <v>45119</v>
      </c>
      <c r="B6645" s="399" t="s">
        <v>11164</v>
      </c>
      <c r="C6645" s="5" t="s">
        <v>5793</v>
      </c>
      <c r="D6645" s="5" t="s">
        <v>40</v>
      </c>
      <c r="E6645" s="43">
        <v>900</v>
      </c>
      <c r="F6645" s="43"/>
      <c r="G6645" s="48">
        <f t="shared" si="163"/>
        <v>725713.19354838668</v>
      </c>
      <c r="H6645" s="391" t="s">
        <v>9568</v>
      </c>
    </row>
    <row r="6646" spans="1:8" x14ac:dyDescent="0.3">
      <c r="A6646" s="509">
        <v>45119</v>
      </c>
      <c r="B6646" s="399"/>
      <c r="C6646" s="5" t="s">
        <v>84</v>
      </c>
      <c r="D6646" s="5" t="s">
        <v>11667</v>
      </c>
      <c r="E6646" s="43">
        <v>20000</v>
      </c>
      <c r="F6646" s="43"/>
      <c r="G6646" s="48">
        <f t="shared" si="163"/>
        <v>705713.19354838668</v>
      </c>
      <c r="H6646" s="391" t="s">
        <v>9568</v>
      </c>
    </row>
    <row r="6647" spans="1:8" x14ac:dyDescent="0.3">
      <c r="A6647" s="509">
        <v>45119</v>
      </c>
      <c r="B6647" s="345" t="s">
        <v>12096</v>
      </c>
      <c r="C6647" s="5" t="s">
        <v>54</v>
      </c>
      <c r="D6647" s="5" t="s">
        <v>11668</v>
      </c>
      <c r="E6647" s="43">
        <v>2170</v>
      </c>
      <c r="F6647" s="43"/>
      <c r="G6647" s="48">
        <f t="shared" si="163"/>
        <v>703543.19354838668</v>
      </c>
      <c r="H6647" s="391" t="s">
        <v>9568</v>
      </c>
    </row>
    <row r="6648" spans="1:8" x14ac:dyDescent="0.3">
      <c r="A6648" s="509">
        <v>45119</v>
      </c>
      <c r="B6648" s="345" t="s">
        <v>12096</v>
      </c>
      <c r="C6648" s="5" t="s">
        <v>30</v>
      </c>
      <c r="D6648" s="5" t="s">
        <v>11669</v>
      </c>
      <c r="E6648" s="43">
        <v>4500</v>
      </c>
      <c r="F6648" s="43"/>
      <c r="G6648" s="48">
        <f t="shared" si="163"/>
        <v>699043.19354838668</v>
      </c>
      <c r="H6648" s="391" t="s">
        <v>9568</v>
      </c>
    </row>
    <row r="6649" spans="1:8" x14ac:dyDescent="0.3">
      <c r="A6649" s="509">
        <v>45119</v>
      </c>
      <c r="B6649" s="345" t="s">
        <v>12096</v>
      </c>
      <c r="C6649" s="5" t="s">
        <v>2942</v>
      </c>
      <c r="D6649" s="5" t="s">
        <v>11372</v>
      </c>
      <c r="E6649" s="43">
        <v>5820</v>
      </c>
      <c r="F6649" s="43"/>
      <c r="G6649" s="48">
        <f t="shared" si="163"/>
        <v>693223.19354838668</v>
      </c>
      <c r="H6649" s="391" t="s">
        <v>9568</v>
      </c>
    </row>
    <row r="6650" spans="1:8" x14ac:dyDescent="0.3">
      <c r="A6650" s="509">
        <v>45119</v>
      </c>
      <c r="B6650" s="399" t="s">
        <v>11164</v>
      </c>
      <c r="C6650" s="5" t="s">
        <v>5793</v>
      </c>
      <c r="D6650" s="5" t="s">
        <v>40</v>
      </c>
      <c r="E6650" s="43">
        <v>1000</v>
      </c>
      <c r="F6650" s="43"/>
      <c r="G6650" s="48">
        <f t="shared" si="163"/>
        <v>692223.19354838668</v>
      </c>
      <c r="H6650" s="391" t="s">
        <v>9568</v>
      </c>
    </row>
    <row r="6651" spans="1:8" x14ac:dyDescent="0.3">
      <c r="A6651" s="509">
        <v>45119</v>
      </c>
      <c r="B6651" s="399" t="s">
        <v>12089</v>
      </c>
      <c r="C6651" s="5" t="s">
        <v>5793</v>
      </c>
      <c r="D6651" s="5" t="s">
        <v>8924</v>
      </c>
      <c r="E6651" s="43">
        <v>160</v>
      </c>
      <c r="F6651" s="43"/>
      <c r="G6651" s="48">
        <f t="shared" si="163"/>
        <v>692063.19354838668</v>
      </c>
      <c r="H6651" s="391" t="s">
        <v>9568</v>
      </c>
    </row>
    <row r="6652" spans="1:8" x14ac:dyDescent="0.3">
      <c r="A6652" s="509">
        <v>45119</v>
      </c>
      <c r="B6652" s="399" t="s">
        <v>6481</v>
      </c>
      <c r="C6652" s="5" t="s">
        <v>57</v>
      </c>
      <c r="D6652" s="5" t="s">
        <v>3557</v>
      </c>
      <c r="E6652" s="43">
        <v>15000</v>
      </c>
      <c r="F6652" s="43"/>
      <c r="G6652" s="48">
        <f t="shared" si="163"/>
        <v>677063.19354838668</v>
      </c>
      <c r="H6652" s="391" t="s">
        <v>9568</v>
      </c>
    </row>
    <row r="6653" spans="1:8" x14ac:dyDescent="0.3">
      <c r="A6653" s="509">
        <v>45119</v>
      </c>
      <c r="B6653" s="345" t="s">
        <v>12096</v>
      </c>
      <c r="C6653" s="5" t="s">
        <v>5793</v>
      </c>
      <c r="D6653" s="5" t="s">
        <v>40</v>
      </c>
      <c r="E6653" s="43">
        <v>250</v>
      </c>
      <c r="F6653" s="43"/>
      <c r="G6653" s="48">
        <f t="shared" si="163"/>
        <v>676813.19354838668</v>
      </c>
      <c r="H6653" s="391" t="s">
        <v>9568</v>
      </c>
    </row>
    <row r="6654" spans="1:8" x14ac:dyDescent="0.3">
      <c r="A6654" s="509">
        <v>45119</v>
      </c>
      <c r="B6654" s="399" t="s">
        <v>11064</v>
      </c>
      <c r="C6654" s="5" t="s">
        <v>8128</v>
      </c>
      <c r="D6654" s="5" t="s">
        <v>11674</v>
      </c>
      <c r="E6654" s="43">
        <v>2250</v>
      </c>
      <c r="F6654" s="43"/>
      <c r="G6654" s="48">
        <f t="shared" si="163"/>
        <v>674563.19354838668</v>
      </c>
      <c r="H6654" s="391" t="s">
        <v>9568</v>
      </c>
    </row>
    <row r="6655" spans="1:8" x14ac:dyDescent="0.3">
      <c r="A6655" s="509">
        <v>45119</v>
      </c>
      <c r="B6655" s="399" t="s">
        <v>10615</v>
      </c>
      <c r="C6655" s="5" t="s">
        <v>11675</v>
      </c>
      <c r="D6655" s="5" t="s">
        <v>11676</v>
      </c>
      <c r="E6655" s="43">
        <v>1310</v>
      </c>
      <c r="F6655" s="43"/>
      <c r="G6655" s="48">
        <f t="shared" si="163"/>
        <v>673253.19354838668</v>
      </c>
      <c r="H6655" s="391" t="s">
        <v>9568</v>
      </c>
    </row>
    <row r="6656" spans="1:8" x14ac:dyDescent="0.3">
      <c r="A6656" s="509">
        <v>45119</v>
      </c>
      <c r="B6656" s="399" t="s">
        <v>10333</v>
      </c>
      <c r="C6656" s="5" t="s">
        <v>11061</v>
      </c>
      <c r="D6656" s="5" t="s">
        <v>11672</v>
      </c>
      <c r="E6656" s="43">
        <v>153000</v>
      </c>
      <c r="F6656" s="43"/>
      <c r="G6656" s="48">
        <f t="shared" si="163"/>
        <v>520253.19354838668</v>
      </c>
      <c r="H6656" s="391" t="s">
        <v>9568</v>
      </c>
    </row>
    <row r="6657" spans="1:8" x14ac:dyDescent="0.3">
      <c r="A6657" s="509">
        <v>45119</v>
      </c>
      <c r="B6657" s="399" t="s">
        <v>12092</v>
      </c>
      <c r="C6657" s="5" t="s">
        <v>10815</v>
      </c>
      <c r="D6657" s="5" t="s">
        <v>11678</v>
      </c>
      <c r="E6657" s="43">
        <v>6700</v>
      </c>
      <c r="F6657" s="43"/>
      <c r="G6657" s="48">
        <f t="shared" si="163"/>
        <v>513553.19354838668</v>
      </c>
      <c r="H6657" s="391" t="s">
        <v>9568</v>
      </c>
    </row>
    <row r="6658" spans="1:8" x14ac:dyDescent="0.3">
      <c r="A6658" s="509">
        <v>45119</v>
      </c>
      <c r="B6658" s="399"/>
      <c r="C6658" s="5" t="s">
        <v>84</v>
      </c>
      <c r="D6658" s="5" t="s">
        <v>11677</v>
      </c>
      <c r="E6658" s="43">
        <v>2000</v>
      </c>
      <c r="F6658" s="43"/>
      <c r="G6658" s="48">
        <f t="shared" si="163"/>
        <v>511553.19354838668</v>
      </c>
      <c r="H6658" s="391" t="s">
        <v>9568</v>
      </c>
    </row>
    <row r="6659" spans="1:8" x14ac:dyDescent="0.3">
      <c r="A6659" s="509">
        <v>45119</v>
      </c>
      <c r="B6659" s="399" t="s">
        <v>10333</v>
      </c>
      <c r="C6659" s="5" t="s">
        <v>10463</v>
      </c>
      <c r="D6659" s="5" t="s">
        <v>11680</v>
      </c>
      <c r="E6659" s="65">
        <v>18500</v>
      </c>
      <c r="F6659" s="43"/>
      <c r="G6659" s="48">
        <f t="shared" si="163"/>
        <v>493053.19354838668</v>
      </c>
      <c r="H6659" s="391" t="s">
        <v>9568</v>
      </c>
    </row>
    <row r="6660" spans="1:8" x14ac:dyDescent="0.3">
      <c r="A6660" s="509">
        <v>45119</v>
      </c>
      <c r="B6660" s="399" t="s">
        <v>10333</v>
      </c>
      <c r="C6660" s="5" t="s">
        <v>9228</v>
      </c>
      <c r="D6660" s="5" t="s">
        <v>11681</v>
      </c>
      <c r="E6660" s="65">
        <v>43920</v>
      </c>
      <c r="F6660" s="43"/>
      <c r="G6660" s="48">
        <f t="shared" si="163"/>
        <v>449133.19354838668</v>
      </c>
      <c r="H6660" s="391" t="s">
        <v>9568</v>
      </c>
    </row>
    <row r="6661" spans="1:8" x14ac:dyDescent="0.3">
      <c r="A6661" s="509">
        <v>45119</v>
      </c>
      <c r="B6661" s="399"/>
      <c r="C6661" s="5" t="s">
        <v>2406</v>
      </c>
      <c r="D6661" s="5" t="s">
        <v>11679</v>
      </c>
      <c r="E6661" s="43">
        <v>500</v>
      </c>
      <c r="F6661" s="43"/>
      <c r="G6661" s="48">
        <f t="shared" si="163"/>
        <v>448633.19354838668</v>
      </c>
      <c r="H6661" s="391" t="s">
        <v>9568</v>
      </c>
    </row>
    <row r="6662" spans="1:8" x14ac:dyDescent="0.3">
      <c r="A6662" s="509">
        <v>45119</v>
      </c>
      <c r="B6662" s="399" t="s">
        <v>10974</v>
      </c>
      <c r="C6662" s="5" t="s">
        <v>5793</v>
      </c>
      <c r="D6662" s="5" t="s">
        <v>40</v>
      </c>
      <c r="E6662" s="43">
        <v>800</v>
      </c>
      <c r="F6662" s="43"/>
      <c r="G6662" s="48">
        <f t="shared" si="163"/>
        <v>447833.19354838668</v>
      </c>
      <c r="H6662" s="391" t="s">
        <v>9568</v>
      </c>
    </row>
    <row r="6663" spans="1:8" x14ac:dyDescent="0.3">
      <c r="A6663" s="509">
        <v>45119</v>
      </c>
      <c r="B6663" s="399" t="s">
        <v>12092</v>
      </c>
      <c r="C6663" s="5" t="s">
        <v>5793</v>
      </c>
      <c r="D6663" s="5" t="s">
        <v>40</v>
      </c>
      <c r="E6663" s="43">
        <v>500</v>
      </c>
      <c r="F6663" s="43"/>
      <c r="G6663" s="48">
        <f t="shared" si="163"/>
        <v>447333.19354838668</v>
      </c>
      <c r="H6663" s="391" t="s">
        <v>9568</v>
      </c>
    </row>
    <row r="6664" spans="1:8" x14ac:dyDescent="0.3">
      <c r="A6664" s="509">
        <v>45119</v>
      </c>
      <c r="B6664" s="399" t="s">
        <v>12090</v>
      </c>
      <c r="C6664" s="5" t="s">
        <v>5793</v>
      </c>
      <c r="D6664" s="5" t="s">
        <v>40</v>
      </c>
      <c r="E6664" s="43">
        <v>1500</v>
      </c>
      <c r="F6664" s="43"/>
      <c r="G6664" s="48">
        <f t="shared" si="163"/>
        <v>445833.19354838668</v>
      </c>
      <c r="H6664" s="391" t="s">
        <v>9568</v>
      </c>
    </row>
    <row r="6665" spans="1:8" x14ac:dyDescent="0.3">
      <c r="A6665" s="509">
        <v>45120</v>
      </c>
      <c r="B6665" s="399" t="s">
        <v>10974</v>
      </c>
      <c r="C6665" s="5" t="s">
        <v>5793</v>
      </c>
      <c r="D6665" s="5" t="s">
        <v>40</v>
      </c>
      <c r="E6665" s="43">
        <v>500</v>
      </c>
      <c r="F6665" s="43"/>
      <c r="G6665" s="48">
        <f t="shared" si="163"/>
        <v>445333.19354838668</v>
      </c>
      <c r="H6665" s="391" t="s">
        <v>9568</v>
      </c>
    </row>
    <row r="6666" spans="1:8" x14ac:dyDescent="0.3">
      <c r="A6666" s="509">
        <v>45120</v>
      </c>
      <c r="B6666" s="399" t="s">
        <v>12090</v>
      </c>
      <c r="C6666" s="5" t="s">
        <v>11194</v>
      </c>
      <c r="D6666" s="5" t="s">
        <v>11682</v>
      </c>
      <c r="E6666" s="43">
        <v>6460</v>
      </c>
      <c r="F6666" s="43"/>
      <c r="G6666" s="48">
        <f t="shared" si="163"/>
        <v>438873.19354838668</v>
      </c>
      <c r="H6666" s="391" t="s">
        <v>9568</v>
      </c>
    </row>
    <row r="6667" spans="1:8" x14ac:dyDescent="0.3">
      <c r="A6667" s="509">
        <v>45120</v>
      </c>
      <c r="B6667" s="399"/>
      <c r="C6667" s="5" t="s">
        <v>84</v>
      </c>
      <c r="D6667" s="5" t="s">
        <v>11683</v>
      </c>
      <c r="E6667" s="43">
        <v>5000</v>
      </c>
      <c r="F6667" s="43"/>
      <c r="G6667" s="48">
        <f t="shared" si="163"/>
        <v>433873.19354838668</v>
      </c>
      <c r="H6667" s="391" t="s">
        <v>9568</v>
      </c>
    </row>
    <row r="6668" spans="1:8" x14ac:dyDescent="0.3">
      <c r="A6668" s="509">
        <v>45120</v>
      </c>
      <c r="B6668" s="399" t="s">
        <v>12189</v>
      </c>
      <c r="C6668" s="5" t="s">
        <v>11685</v>
      </c>
      <c r="D6668" s="5" t="s">
        <v>11684</v>
      </c>
      <c r="E6668" s="43">
        <v>22000</v>
      </c>
      <c r="F6668" s="43"/>
      <c r="G6668" s="48">
        <f t="shared" si="163"/>
        <v>411873.19354838668</v>
      </c>
      <c r="H6668" s="391" t="s">
        <v>9568</v>
      </c>
    </row>
    <row r="6669" spans="1:8" x14ac:dyDescent="0.3">
      <c r="A6669" s="509">
        <v>45120</v>
      </c>
      <c r="B6669" s="399" t="s">
        <v>12093</v>
      </c>
      <c r="C6669" s="5" t="s">
        <v>5793</v>
      </c>
      <c r="D6669" s="5" t="s">
        <v>40</v>
      </c>
      <c r="E6669" s="43">
        <v>600</v>
      </c>
      <c r="F6669" s="43"/>
      <c r="G6669" s="48">
        <f t="shared" si="163"/>
        <v>411273.19354838668</v>
      </c>
      <c r="H6669" s="391" t="s">
        <v>9568</v>
      </c>
    </row>
    <row r="6670" spans="1:8" x14ac:dyDescent="0.3">
      <c r="A6670" s="509">
        <v>45120</v>
      </c>
      <c r="B6670" s="399" t="s">
        <v>25</v>
      </c>
      <c r="C6670" s="5" t="s">
        <v>25</v>
      </c>
      <c r="D6670" s="5" t="s">
        <v>11455</v>
      </c>
      <c r="E6670" s="43">
        <v>4000</v>
      </c>
      <c r="F6670" s="43"/>
      <c r="G6670" s="48">
        <f t="shared" si="163"/>
        <v>407273.19354838668</v>
      </c>
      <c r="H6670" s="391" t="s">
        <v>9568</v>
      </c>
    </row>
    <row r="6671" spans="1:8" x14ac:dyDescent="0.3">
      <c r="A6671" s="509">
        <v>45120</v>
      </c>
      <c r="B6671" s="399" t="s">
        <v>12189</v>
      </c>
      <c r="C6671" s="5" t="s">
        <v>5793</v>
      </c>
      <c r="D6671" s="5" t="s">
        <v>40</v>
      </c>
      <c r="E6671" s="43">
        <v>1500</v>
      </c>
      <c r="F6671" s="43"/>
      <c r="G6671" s="48">
        <f t="shared" si="163"/>
        <v>405773.19354838668</v>
      </c>
      <c r="H6671" s="391" t="s">
        <v>9568</v>
      </c>
    </row>
    <row r="6672" spans="1:8" x14ac:dyDescent="0.3">
      <c r="A6672" s="509">
        <v>45120</v>
      </c>
      <c r="B6672" s="399" t="s">
        <v>12190</v>
      </c>
      <c r="C6672" s="5" t="s">
        <v>7158</v>
      </c>
      <c r="D6672" s="5" t="s">
        <v>11688</v>
      </c>
      <c r="E6672" s="43">
        <v>4000</v>
      </c>
      <c r="F6672" s="43"/>
      <c r="G6672" s="48">
        <f t="shared" si="163"/>
        <v>401773.19354838668</v>
      </c>
      <c r="H6672" s="391" t="s">
        <v>9568</v>
      </c>
    </row>
    <row r="6673" spans="1:8" x14ac:dyDescent="0.3">
      <c r="A6673" s="509">
        <v>45120</v>
      </c>
      <c r="B6673" s="399" t="s">
        <v>6481</v>
      </c>
      <c r="C6673" s="5" t="s">
        <v>84</v>
      </c>
      <c r="D6673" s="5" t="s">
        <v>11689</v>
      </c>
      <c r="E6673" s="43">
        <v>4000</v>
      </c>
      <c r="F6673" s="43"/>
      <c r="G6673" s="48">
        <f t="shared" si="163"/>
        <v>397773.19354838668</v>
      </c>
      <c r="H6673" s="391" t="s">
        <v>9568</v>
      </c>
    </row>
    <row r="6674" spans="1:8" x14ac:dyDescent="0.3">
      <c r="A6674" s="509">
        <v>45120</v>
      </c>
      <c r="B6674" s="399" t="s">
        <v>25</v>
      </c>
      <c r="C6674" s="5" t="s">
        <v>4400</v>
      </c>
      <c r="D6674" s="5" t="s">
        <v>11706</v>
      </c>
      <c r="E6674" s="43">
        <v>4670</v>
      </c>
      <c r="F6674" s="43"/>
      <c r="G6674" s="48">
        <f t="shared" si="163"/>
        <v>393103.19354838668</v>
      </c>
      <c r="H6674" s="391" t="s">
        <v>9568</v>
      </c>
    </row>
    <row r="6675" spans="1:8" x14ac:dyDescent="0.3">
      <c r="A6675" s="509">
        <v>45120</v>
      </c>
      <c r="B6675" s="399" t="s">
        <v>11064</v>
      </c>
      <c r="C6675" s="5" t="s">
        <v>10815</v>
      </c>
      <c r="D6675" s="5" t="s">
        <v>11695</v>
      </c>
      <c r="E6675" s="43">
        <v>109400</v>
      </c>
      <c r="F6675" s="43"/>
      <c r="G6675" s="48">
        <f t="shared" si="163"/>
        <v>283703.19354838668</v>
      </c>
      <c r="H6675" s="391" t="s">
        <v>9568</v>
      </c>
    </row>
    <row r="6676" spans="1:8" x14ac:dyDescent="0.3">
      <c r="A6676" s="509">
        <v>45120</v>
      </c>
      <c r="B6676" s="399" t="s">
        <v>11528</v>
      </c>
      <c r="C6676" s="5" t="s">
        <v>10815</v>
      </c>
      <c r="D6676" s="5" t="s">
        <v>11695</v>
      </c>
      <c r="E6676" s="43">
        <v>7890</v>
      </c>
      <c r="F6676" s="43"/>
      <c r="G6676" s="48">
        <f t="shared" si="163"/>
        <v>275813.19354838668</v>
      </c>
      <c r="H6676" s="391" t="s">
        <v>9568</v>
      </c>
    </row>
    <row r="6677" spans="1:8" x14ac:dyDescent="0.3">
      <c r="A6677" s="509">
        <v>45120</v>
      </c>
      <c r="B6677" s="399" t="s">
        <v>11528</v>
      </c>
      <c r="C6677" s="5" t="s">
        <v>10815</v>
      </c>
      <c r="D6677" s="5" t="s">
        <v>11696</v>
      </c>
      <c r="E6677" s="43">
        <v>2000</v>
      </c>
      <c r="F6677" s="43"/>
      <c r="G6677" s="48">
        <f t="shared" si="163"/>
        <v>273813.19354838668</v>
      </c>
      <c r="H6677" s="391" t="s">
        <v>9568</v>
      </c>
    </row>
    <row r="6678" spans="1:8" x14ac:dyDescent="0.3">
      <c r="A6678" s="509">
        <v>45120</v>
      </c>
      <c r="B6678" s="399" t="s">
        <v>11528</v>
      </c>
      <c r="C6678" s="5" t="s">
        <v>30</v>
      </c>
      <c r="D6678" s="5" t="s">
        <v>11705</v>
      </c>
      <c r="E6678" s="43">
        <v>300</v>
      </c>
      <c r="F6678" s="43"/>
      <c r="G6678" s="48">
        <f t="shared" si="163"/>
        <v>273513.19354838668</v>
      </c>
      <c r="H6678" s="391" t="s">
        <v>9568</v>
      </c>
    </row>
    <row r="6679" spans="1:8" x14ac:dyDescent="0.3">
      <c r="A6679" s="509">
        <v>45120</v>
      </c>
      <c r="B6679" s="399" t="s">
        <v>25</v>
      </c>
      <c r="C6679" s="5" t="s">
        <v>25</v>
      </c>
      <c r="D6679" s="5" t="s">
        <v>11691</v>
      </c>
      <c r="E6679" s="43">
        <v>1000</v>
      </c>
      <c r="F6679" s="43"/>
      <c r="G6679" s="48">
        <f t="shared" si="163"/>
        <v>272513.19354838668</v>
      </c>
      <c r="H6679" s="391" t="s">
        <v>9568</v>
      </c>
    </row>
    <row r="6680" spans="1:8" x14ac:dyDescent="0.3">
      <c r="A6680" s="509">
        <v>45121</v>
      </c>
      <c r="B6680" s="399" t="s">
        <v>10766</v>
      </c>
      <c r="C6680" s="5" t="s">
        <v>5979</v>
      </c>
      <c r="D6680" s="5" t="s">
        <v>6516</v>
      </c>
      <c r="E6680" s="43">
        <v>9000</v>
      </c>
      <c r="F6680" s="43"/>
      <c r="G6680" s="48">
        <f t="shared" si="163"/>
        <v>263513.19354838668</v>
      </c>
      <c r="H6680" s="391" t="s">
        <v>9568</v>
      </c>
    </row>
    <row r="6681" spans="1:8" x14ac:dyDescent="0.3">
      <c r="A6681" s="509">
        <v>45121</v>
      </c>
      <c r="B6681" s="399" t="s">
        <v>6481</v>
      </c>
      <c r="C6681" s="5" t="s">
        <v>1189</v>
      </c>
      <c r="D6681" s="5" t="s">
        <v>11698</v>
      </c>
      <c r="E6681" s="43">
        <v>2000</v>
      </c>
      <c r="F6681" s="43"/>
      <c r="G6681" s="48">
        <f t="shared" si="163"/>
        <v>261513.19354838668</v>
      </c>
      <c r="H6681" s="391" t="s">
        <v>9568</v>
      </c>
    </row>
    <row r="6682" spans="1:8" x14ac:dyDescent="0.3">
      <c r="A6682" s="509">
        <v>45121</v>
      </c>
      <c r="B6682" s="399" t="s">
        <v>6481</v>
      </c>
      <c r="C6682" s="5" t="s">
        <v>57</v>
      </c>
      <c r="D6682" s="5" t="s">
        <v>3183</v>
      </c>
      <c r="E6682" s="43">
        <v>10000</v>
      </c>
      <c r="F6682" s="43"/>
      <c r="G6682" s="48">
        <f t="shared" si="163"/>
        <v>251513.19354838668</v>
      </c>
      <c r="H6682" s="391" t="s">
        <v>9568</v>
      </c>
    </row>
    <row r="6683" spans="1:8" x14ac:dyDescent="0.3">
      <c r="A6683" s="509">
        <v>45121</v>
      </c>
      <c r="B6683" s="399" t="s">
        <v>10333</v>
      </c>
      <c r="C6683" s="5" t="s">
        <v>10815</v>
      </c>
      <c r="D6683" s="5" t="s">
        <v>11693</v>
      </c>
      <c r="E6683" s="43">
        <v>22000</v>
      </c>
      <c r="F6683" s="43"/>
      <c r="G6683" s="48">
        <f t="shared" si="163"/>
        <v>229513.19354838668</v>
      </c>
      <c r="H6683" s="391" t="s">
        <v>9568</v>
      </c>
    </row>
    <row r="6684" spans="1:8" x14ac:dyDescent="0.3">
      <c r="A6684" s="509">
        <v>45121</v>
      </c>
      <c r="B6684" s="399" t="s">
        <v>12190</v>
      </c>
      <c r="C6684" s="5" t="s">
        <v>1616</v>
      </c>
      <c r="D6684" s="5" t="s">
        <v>11694</v>
      </c>
      <c r="E6684" s="43">
        <v>2250</v>
      </c>
      <c r="F6684" s="43"/>
      <c r="G6684" s="48">
        <f t="shared" si="163"/>
        <v>227263.19354838668</v>
      </c>
      <c r="H6684" s="391" t="s">
        <v>9568</v>
      </c>
    </row>
    <row r="6685" spans="1:8" x14ac:dyDescent="0.3">
      <c r="A6685" s="509">
        <v>45121</v>
      </c>
      <c r="B6685" s="399" t="s">
        <v>10615</v>
      </c>
      <c r="C6685" s="5" t="s">
        <v>6430</v>
      </c>
      <c r="D6685" s="5" t="s">
        <v>11697</v>
      </c>
      <c r="E6685" s="43">
        <v>4000</v>
      </c>
      <c r="F6685" s="43"/>
      <c r="G6685" s="48">
        <f t="shared" si="163"/>
        <v>223263.19354838668</v>
      </c>
      <c r="H6685" s="391" t="s">
        <v>9568</v>
      </c>
    </row>
    <row r="6686" spans="1:8" x14ac:dyDescent="0.3">
      <c r="A6686" s="509">
        <v>45121</v>
      </c>
      <c r="B6686" s="588"/>
      <c r="C6686" s="503"/>
      <c r="D6686" s="504" t="s">
        <v>11417</v>
      </c>
      <c r="E6686" s="503"/>
      <c r="F6686" s="67">
        <v>500000</v>
      </c>
      <c r="G6686" s="48">
        <f t="shared" ref="G6686" si="164">G6685+F6686-E6686</f>
        <v>723263.19354838668</v>
      </c>
      <c r="H6686" s="391" t="s">
        <v>9568</v>
      </c>
    </row>
    <row r="6687" spans="1:8" x14ac:dyDescent="0.3">
      <c r="A6687" s="509">
        <v>45121</v>
      </c>
      <c r="B6687" s="399" t="s">
        <v>10615</v>
      </c>
      <c r="C6687" s="5" t="s">
        <v>4125</v>
      </c>
      <c r="D6687" s="5" t="s">
        <v>11704</v>
      </c>
      <c r="E6687" s="43">
        <v>100000</v>
      </c>
      <c r="F6687" s="43"/>
      <c r="G6687" s="48">
        <f t="shared" si="163"/>
        <v>623263.19354838668</v>
      </c>
      <c r="H6687" s="391" t="s">
        <v>9568</v>
      </c>
    </row>
    <row r="6688" spans="1:8" x14ac:dyDescent="0.3">
      <c r="A6688" s="509">
        <v>45121</v>
      </c>
      <c r="B6688" s="399" t="s">
        <v>25</v>
      </c>
      <c r="C6688" s="5" t="s">
        <v>25</v>
      </c>
      <c r="D6688" s="5" t="s">
        <v>11455</v>
      </c>
      <c r="E6688" s="43">
        <v>2000</v>
      </c>
      <c r="F6688" s="43"/>
      <c r="G6688" s="48">
        <f t="shared" ref="G6688:G6689" si="165">G6687+F6688-E6688</f>
        <v>621263.19354838668</v>
      </c>
      <c r="H6688" s="391" t="s">
        <v>9568</v>
      </c>
    </row>
    <row r="6689" spans="1:8" x14ac:dyDescent="0.3">
      <c r="A6689" s="509">
        <v>45121</v>
      </c>
      <c r="B6689" s="399"/>
      <c r="C6689" s="5" t="s">
        <v>14</v>
      </c>
      <c r="D6689" s="5" t="s">
        <v>294</v>
      </c>
      <c r="E6689" s="43">
        <v>7000</v>
      </c>
      <c r="F6689" s="43"/>
      <c r="G6689" s="48">
        <f t="shared" si="165"/>
        <v>614263.19354838668</v>
      </c>
      <c r="H6689" s="391" t="s">
        <v>9568</v>
      </c>
    </row>
    <row r="6690" spans="1:8" x14ac:dyDescent="0.3">
      <c r="A6690" s="509">
        <v>45121</v>
      </c>
      <c r="B6690" s="399" t="s">
        <v>6481</v>
      </c>
      <c r="C6690" s="5" t="s">
        <v>10788</v>
      </c>
      <c r="D6690" s="5" t="s">
        <v>11703</v>
      </c>
      <c r="E6690" s="43">
        <v>20000</v>
      </c>
      <c r="F6690" s="43"/>
      <c r="G6690" s="48">
        <f t="shared" si="163"/>
        <v>594263.19354838668</v>
      </c>
      <c r="H6690" s="391" t="s">
        <v>9568</v>
      </c>
    </row>
    <row r="6691" spans="1:8" x14ac:dyDescent="0.3">
      <c r="A6691" s="509">
        <v>45121</v>
      </c>
      <c r="B6691" s="588"/>
      <c r="C6691" s="503"/>
      <c r="D6691" s="504" t="s">
        <v>11032</v>
      </c>
      <c r="E6691" s="503"/>
      <c r="F6691" s="67">
        <v>900000</v>
      </c>
      <c r="G6691" s="48">
        <f t="shared" si="163"/>
        <v>1494263.1935483867</v>
      </c>
      <c r="H6691" s="391" t="s">
        <v>9568</v>
      </c>
    </row>
    <row r="6692" spans="1:8" x14ac:dyDescent="0.3">
      <c r="A6692" s="509">
        <v>45121</v>
      </c>
      <c r="B6692" s="399" t="s">
        <v>10333</v>
      </c>
      <c r="C6692" s="5" t="s">
        <v>5793</v>
      </c>
      <c r="D6692" s="5" t="s">
        <v>40</v>
      </c>
      <c r="E6692" s="43">
        <v>1000</v>
      </c>
      <c r="F6692" s="43"/>
      <c r="G6692" s="48">
        <f t="shared" si="163"/>
        <v>1493263.1935483867</v>
      </c>
      <c r="H6692" s="391" t="s">
        <v>9568</v>
      </c>
    </row>
    <row r="6693" spans="1:8" x14ac:dyDescent="0.3">
      <c r="A6693" s="509">
        <v>45121</v>
      </c>
      <c r="B6693" s="399" t="s">
        <v>12093</v>
      </c>
      <c r="C6693" s="5" t="s">
        <v>2059</v>
      </c>
      <c r="D6693" s="5" t="s">
        <v>11707</v>
      </c>
      <c r="E6693" s="43">
        <v>1039700</v>
      </c>
      <c r="F6693" s="43"/>
      <c r="G6693" s="48">
        <f t="shared" ref="G6693:G6709" si="166">G6692+F6693-E6693</f>
        <v>453563.19354838668</v>
      </c>
      <c r="H6693" s="391" t="s">
        <v>9568</v>
      </c>
    </row>
    <row r="6694" spans="1:8" x14ac:dyDescent="0.3">
      <c r="A6694" s="509">
        <v>45121</v>
      </c>
      <c r="B6694" s="399" t="s">
        <v>12090</v>
      </c>
      <c r="C6694" s="5" t="s">
        <v>5793</v>
      </c>
      <c r="D6694" s="5" t="s">
        <v>40</v>
      </c>
      <c r="E6694" s="43">
        <v>2000</v>
      </c>
      <c r="F6694" s="43"/>
      <c r="G6694" s="48">
        <f t="shared" si="166"/>
        <v>451563.19354838668</v>
      </c>
      <c r="H6694" s="391" t="s">
        <v>9568</v>
      </c>
    </row>
    <row r="6695" spans="1:8" x14ac:dyDescent="0.3">
      <c r="A6695" s="509">
        <v>45121</v>
      </c>
      <c r="B6695" s="399" t="s">
        <v>12092</v>
      </c>
      <c r="C6695" s="5" t="s">
        <v>5793</v>
      </c>
      <c r="D6695" s="5" t="s">
        <v>40</v>
      </c>
      <c r="E6695" s="43">
        <v>500</v>
      </c>
      <c r="F6695" s="43"/>
      <c r="G6695" s="48">
        <f t="shared" si="166"/>
        <v>451063.19354838668</v>
      </c>
      <c r="H6695" s="391" t="s">
        <v>9568</v>
      </c>
    </row>
    <row r="6696" spans="1:8" x14ac:dyDescent="0.3">
      <c r="A6696" s="509">
        <v>45121</v>
      </c>
      <c r="B6696" s="399"/>
      <c r="C6696" s="5" t="s">
        <v>14</v>
      </c>
      <c r="D6696" s="5" t="s">
        <v>40</v>
      </c>
      <c r="E6696" s="43">
        <v>2000</v>
      </c>
      <c r="F6696" s="43"/>
      <c r="G6696" s="48">
        <f t="shared" si="166"/>
        <v>449063.19354838668</v>
      </c>
      <c r="H6696" s="391" t="s">
        <v>9568</v>
      </c>
    </row>
    <row r="6697" spans="1:8" x14ac:dyDescent="0.3">
      <c r="A6697" s="509">
        <v>45121</v>
      </c>
      <c r="B6697" s="399" t="s">
        <v>10615</v>
      </c>
      <c r="C6697" s="5" t="s">
        <v>11708</v>
      </c>
      <c r="D6697" s="5" t="s">
        <v>11709</v>
      </c>
      <c r="E6697" s="43">
        <v>9000</v>
      </c>
      <c r="F6697" s="43"/>
      <c r="G6697" s="48">
        <f t="shared" si="166"/>
        <v>440063.19354838668</v>
      </c>
      <c r="H6697" s="391" t="s">
        <v>9568</v>
      </c>
    </row>
    <row r="6698" spans="1:8" x14ac:dyDescent="0.3">
      <c r="A6698" s="509">
        <v>45121</v>
      </c>
      <c r="B6698" s="399"/>
      <c r="C6698" s="5" t="s">
        <v>5162</v>
      </c>
      <c r="D6698" s="5" t="s">
        <v>3910</v>
      </c>
      <c r="E6698" s="43">
        <v>2000</v>
      </c>
      <c r="F6698" s="43"/>
      <c r="G6698" s="48">
        <f t="shared" si="166"/>
        <v>438063.19354838668</v>
      </c>
      <c r="H6698" s="391" t="s">
        <v>9568</v>
      </c>
    </row>
    <row r="6699" spans="1:8" x14ac:dyDescent="0.3">
      <c r="A6699" s="509">
        <v>45122</v>
      </c>
      <c r="B6699" s="399" t="s">
        <v>12092</v>
      </c>
      <c r="C6699" s="5" t="s">
        <v>9756</v>
      </c>
      <c r="D6699" s="5" t="s">
        <v>11710</v>
      </c>
      <c r="E6699" s="43">
        <v>14196</v>
      </c>
      <c r="F6699" s="43"/>
      <c r="G6699" s="48">
        <f t="shared" si="166"/>
        <v>423867.19354838668</v>
      </c>
      <c r="H6699" s="391" t="s">
        <v>9568</v>
      </c>
    </row>
    <row r="6700" spans="1:8" x14ac:dyDescent="0.3">
      <c r="A6700" s="509">
        <v>45122</v>
      </c>
      <c r="B6700" s="399" t="s">
        <v>11528</v>
      </c>
      <c r="C6700" s="5" t="s">
        <v>9756</v>
      </c>
      <c r="D6700" s="5" t="s">
        <v>11711</v>
      </c>
      <c r="E6700" s="43">
        <v>1350</v>
      </c>
      <c r="F6700" s="43"/>
      <c r="G6700" s="48">
        <f t="shared" si="166"/>
        <v>422517.19354838668</v>
      </c>
      <c r="H6700" s="391" t="s">
        <v>9568</v>
      </c>
    </row>
    <row r="6701" spans="1:8" x14ac:dyDescent="0.3">
      <c r="A6701" s="509">
        <v>45122</v>
      </c>
      <c r="B6701" s="399" t="s">
        <v>25</v>
      </c>
      <c r="C6701" s="5" t="s">
        <v>25</v>
      </c>
      <c r="D6701" s="5" t="s">
        <v>11455</v>
      </c>
      <c r="E6701" s="43">
        <v>2000</v>
      </c>
      <c r="F6701" s="43"/>
      <c r="G6701" s="48">
        <f t="shared" si="166"/>
        <v>420517.19354838668</v>
      </c>
      <c r="H6701" s="391" t="s">
        <v>9568</v>
      </c>
    </row>
    <row r="6702" spans="1:8" x14ac:dyDescent="0.3">
      <c r="A6702" s="509">
        <v>45122</v>
      </c>
      <c r="B6702" s="399" t="s">
        <v>11528</v>
      </c>
      <c r="C6702" s="5" t="s">
        <v>5793</v>
      </c>
      <c r="D6702" s="5" t="s">
        <v>40</v>
      </c>
      <c r="E6702" s="43">
        <v>1800</v>
      </c>
      <c r="F6702" s="43"/>
      <c r="G6702" s="48">
        <f t="shared" si="166"/>
        <v>418717.19354838668</v>
      </c>
      <c r="H6702" s="391" t="s">
        <v>9568</v>
      </c>
    </row>
    <row r="6703" spans="1:8" x14ac:dyDescent="0.3">
      <c r="A6703" s="509">
        <v>45122</v>
      </c>
      <c r="B6703" s="399"/>
      <c r="C6703" s="5" t="s">
        <v>541</v>
      </c>
      <c r="D6703" s="5" t="s">
        <v>11712</v>
      </c>
      <c r="E6703" s="43">
        <v>30000</v>
      </c>
      <c r="F6703" s="43"/>
      <c r="G6703" s="48">
        <f t="shared" si="166"/>
        <v>388717.19354838668</v>
      </c>
      <c r="H6703" s="391" t="s">
        <v>9568</v>
      </c>
    </row>
    <row r="6704" spans="1:8" x14ac:dyDescent="0.3">
      <c r="A6704" s="509">
        <v>45122</v>
      </c>
      <c r="B6704" s="399" t="s">
        <v>12093</v>
      </c>
      <c r="C6704" s="5" t="s">
        <v>11713</v>
      </c>
      <c r="D6704" s="5" t="s">
        <v>11723</v>
      </c>
      <c r="E6704" s="43">
        <v>30000</v>
      </c>
      <c r="F6704" s="43"/>
      <c r="G6704" s="48">
        <f t="shared" si="166"/>
        <v>358717.19354838668</v>
      </c>
      <c r="H6704" s="391" t="s">
        <v>9568</v>
      </c>
    </row>
    <row r="6705" spans="1:8" x14ac:dyDescent="0.3">
      <c r="A6705" s="509">
        <v>45122</v>
      </c>
      <c r="B6705" s="399" t="s">
        <v>12190</v>
      </c>
      <c r="C6705" s="5" t="s">
        <v>7158</v>
      </c>
      <c r="D6705" s="5" t="s">
        <v>11688</v>
      </c>
      <c r="E6705" s="43">
        <v>290</v>
      </c>
      <c r="F6705" s="43"/>
      <c r="G6705" s="48">
        <f t="shared" si="166"/>
        <v>358427.19354838668</v>
      </c>
      <c r="H6705" s="391" t="s">
        <v>9568</v>
      </c>
    </row>
    <row r="6706" spans="1:8" x14ac:dyDescent="0.3">
      <c r="A6706" s="509">
        <v>45122</v>
      </c>
      <c r="B6706" s="399" t="s">
        <v>12093</v>
      </c>
      <c r="C6706" s="5" t="s">
        <v>9756</v>
      </c>
      <c r="D6706" s="5" t="s">
        <v>11716</v>
      </c>
      <c r="E6706" s="43">
        <v>51300</v>
      </c>
      <c r="F6706" s="43"/>
      <c r="G6706" s="48">
        <f t="shared" si="166"/>
        <v>307127.19354838668</v>
      </c>
      <c r="H6706" s="391" t="s">
        <v>9568</v>
      </c>
    </row>
    <row r="6707" spans="1:8" x14ac:dyDescent="0.3">
      <c r="A6707" s="509">
        <v>45122</v>
      </c>
      <c r="B6707" s="399"/>
      <c r="C6707" s="5" t="s">
        <v>84</v>
      </c>
      <c r="D6707" s="5" t="s">
        <v>11715</v>
      </c>
      <c r="E6707" s="43">
        <v>10000</v>
      </c>
      <c r="F6707" s="43"/>
      <c r="G6707" s="48">
        <f t="shared" si="166"/>
        <v>297127.19354838668</v>
      </c>
      <c r="H6707" s="391" t="s">
        <v>9568</v>
      </c>
    </row>
    <row r="6708" spans="1:8" x14ac:dyDescent="0.3">
      <c r="A6708" s="509">
        <v>45122</v>
      </c>
      <c r="B6708" s="399" t="s">
        <v>12093</v>
      </c>
      <c r="C6708" s="5" t="s">
        <v>30</v>
      </c>
      <c r="D6708" s="5" t="s">
        <v>2113</v>
      </c>
      <c r="E6708" s="43">
        <v>1150</v>
      </c>
      <c r="F6708" s="43"/>
      <c r="G6708" s="48">
        <f t="shared" si="166"/>
        <v>295977.19354838668</v>
      </c>
      <c r="H6708" s="391" t="s">
        <v>9568</v>
      </c>
    </row>
    <row r="6709" spans="1:8" x14ac:dyDescent="0.3">
      <c r="A6709" s="509">
        <v>45122</v>
      </c>
      <c r="B6709" s="399" t="s">
        <v>12093</v>
      </c>
      <c r="C6709" s="5" t="s">
        <v>5793</v>
      </c>
      <c r="D6709" s="5" t="s">
        <v>40</v>
      </c>
      <c r="E6709" s="43">
        <v>2000</v>
      </c>
      <c r="F6709" s="43"/>
      <c r="G6709" s="48">
        <f t="shared" si="166"/>
        <v>293977.19354838668</v>
      </c>
      <c r="H6709" s="391" t="s">
        <v>9568</v>
      </c>
    </row>
    <row r="6710" spans="1:8" x14ac:dyDescent="0.3">
      <c r="A6710" s="509">
        <v>45122</v>
      </c>
      <c r="B6710" s="399"/>
      <c r="C6710" s="5" t="s">
        <v>10815</v>
      </c>
      <c r="D6710" s="5" t="s">
        <v>11724</v>
      </c>
      <c r="E6710" s="43">
        <v>3200</v>
      </c>
      <c r="F6710" s="43"/>
      <c r="G6710" s="48">
        <f t="shared" ref="G6710:G6781" si="167">G6709+F6710-E6710</f>
        <v>290777.19354838668</v>
      </c>
      <c r="H6710" s="391" t="s">
        <v>9568</v>
      </c>
    </row>
    <row r="6711" spans="1:8" x14ac:dyDescent="0.3">
      <c r="A6711" s="509">
        <v>45124</v>
      </c>
      <c r="B6711" s="399" t="s">
        <v>6481</v>
      </c>
      <c r="C6711" s="5" t="s">
        <v>11206</v>
      </c>
      <c r="D6711" s="5" t="s">
        <v>5508</v>
      </c>
      <c r="E6711" s="43">
        <v>25000</v>
      </c>
      <c r="F6711" s="43"/>
      <c r="G6711" s="48">
        <f t="shared" si="167"/>
        <v>265777.19354838668</v>
      </c>
      <c r="H6711" s="391" t="s">
        <v>9568</v>
      </c>
    </row>
    <row r="6712" spans="1:8" x14ac:dyDescent="0.3">
      <c r="A6712" s="509">
        <v>45124</v>
      </c>
      <c r="B6712" s="399" t="s">
        <v>12190</v>
      </c>
      <c r="C6712" s="5" t="s">
        <v>1074</v>
      </c>
      <c r="D6712" s="5" t="s">
        <v>6280</v>
      </c>
      <c r="E6712" s="43">
        <v>4760</v>
      </c>
      <c r="F6712" s="43"/>
      <c r="G6712" s="48">
        <f t="shared" si="167"/>
        <v>261017.19354838668</v>
      </c>
      <c r="H6712" s="391" t="s">
        <v>9568</v>
      </c>
    </row>
    <row r="6713" spans="1:8" x14ac:dyDescent="0.3">
      <c r="A6713" s="509">
        <v>45124</v>
      </c>
      <c r="B6713" s="399" t="s">
        <v>11064</v>
      </c>
      <c r="C6713" s="5" t="s">
        <v>5793</v>
      </c>
      <c r="D6713" s="5" t="s">
        <v>40</v>
      </c>
      <c r="E6713" s="43">
        <v>800</v>
      </c>
      <c r="F6713" s="43"/>
      <c r="G6713" s="48">
        <f t="shared" si="167"/>
        <v>260217.19354838668</v>
      </c>
      <c r="H6713" s="391" t="s">
        <v>9568</v>
      </c>
    </row>
    <row r="6714" spans="1:8" x14ac:dyDescent="0.3">
      <c r="A6714" s="509">
        <v>45124</v>
      </c>
      <c r="B6714" s="399" t="s">
        <v>12093</v>
      </c>
      <c r="C6714" s="5" t="s">
        <v>5793</v>
      </c>
      <c r="D6714" s="5" t="s">
        <v>40</v>
      </c>
      <c r="E6714" s="43">
        <v>600</v>
      </c>
      <c r="F6714" s="43"/>
      <c r="G6714" s="48">
        <f t="shared" si="167"/>
        <v>259617.19354838668</v>
      </c>
      <c r="H6714" s="391" t="s">
        <v>9568</v>
      </c>
    </row>
    <row r="6715" spans="1:8" x14ac:dyDescent="0.3">
      <c r="A6715" s="509">
        <v>45124</v>
      </c>
      <c r="B6715" s="399" t="s">
        <v>12092</v>
      </c>
      <c r="C6715" s="5" t="s">
        <v>5793</v>
      </c>
      <c r="D6715" s="5" t="s">
        <v>40</v>
      </c>
      <c r="E6715" s="43">
        <v>600</v>
      </c>
      <c r="F6715" s="43"/>
      <c r="G6715" s="48">
        <f t="shared" si="167"/>
        <v>259017.19354838668</v>
      </c>
      <c r="H6715" s="391" t="s">
        <v>9568</v>
      </c>
    </row>
    <row r="6716" spans="1:8" x14ac:dyDescent="0.3">
      <c r="A6716" s="509">
        <v>45124</v>
      </c>
      <c r="B6716" s="399" t="s">
        <v>12138</v>
      </c>
      <c r="C6716" s="5" t="s">
        <v>54</v>
      </c>
      <c r="D6716" s="5" t="s">
        <v>11717</v>
      </c>
      <c r="E6716" s="43">
        <v>70000</v>
      </c>
      <c r="F6716" s="43"/>
      <c r="G6716" s="48">
        <f t="shared" si="167"/>
        <v>189017.19354838668</v>
      </c>
      <c r="H6716" s="391" t="s">
        <v>9568</v>
      </c>
    </row>
    <row r="6717" spans="1:8" x14ac:dyDescent="0.3">
      <c r="A6717" s="509">
        <v>45124</v>
      </c>
      <c r="B6717" s="399" t="s">
        <v>11164</v>
      </c>
      <c r="C6717" s="5" t="s">
        <v>10815</v>
      </c>
      <c r="D6717" s="5" t="s">
        <v>11725</v>
      </c>
      <c r="E6717" s="43">
        <v>10980</v>
      </c>
      <c r="F6717" s="43"/>
      <c r="G6717" s="48">
        <f t="shared" si="167"/>
        <v>178037.19354838668</v>
      </c>
      <c r="H6717" s="391" t="s">
        <v>9568</v>
      </c>
    </row>
    <row r="6718" spans="1:8" x14ac:dyDescent="0.3">
      <c r="A6718" s="509">
        <v>45124</v>
      </c>
      <c r="B6718" s="399" t="s">
        <v>11772</v>
      </c>
      <c r="C6718" s="5" t="s">
        <v>10815</v>
      </c>
      <c r="D6718" s="5" t="s">
        <v>11726</v>
      </c>
      <c r="E6718" s="43">
        <f>6235+1980</f>
        <v>8215</v>
      </c>
      <c r="F6718" s="43"/>
      <c r="G6718" s="48">
        <f t="shared" si="167"/>
        <v>169822.19354838668</v>
      </c>
      <c r="H6718" s="391" t="s">
        <v>9568</v>
      </c>
    </row>
    <row r="6719" spans="1:8" x14ac:dyDescent="0.3">
      <c r="A6719" s="509">
        <v>45124</v>
      </c>
      <c r="B6719" s="399" t="s">
        <v>12088</v>
      </c>
      <c r="C6719" s="5" t="s">
        <v>10815</v>
      </c>
      <c r="D6719" s="5" t="s">
        <v>11725</v>
      </c>
      <c r="E6719" s="43">
        <v>75400</v>
      </c>
      <c r="F6719" s="43"/>
      <c r="G6719" s="48">
        <f t="shared" si="167"/>
        <v>94422.193548386684</v>
      </c>
      <c r="H6719" s="391" t="s">
        <v>9568</v>
      </c>
    </row>
    <row r="6720" spans="1:8" x14ac:dyDescent="0.3">
      <c r="A6720" s="509">
        <v>45124</v>
      </c>
      <c r="B6720" s="399" t="s">
        <v>12088</v>
      </c>
      <c r="C6720" s="5" t="s">
        <v>5793</v>
      </c>
      <c r="D6720" s="5" t="s">
        <v>40</v>
      </c>
      <c r="E6720" s="43">
        <v>1000</v>
      </c>
      <c r="F6720" s="43"/>
      <c r="G6720" s="48">
        <f t="shared" si="167"/>
        <v>93422.193548386684</v>
      </c>
      <c r="H6720" s="391" t="s">
        <v>9568</v>
      </c>
    </row>
    <row r="6721" spans="1:8" x14ac:dyDescent="0.3">
      <c r="A6721" s="509">
        <v>45124</v>
      </c>
      <c r="B6721" s="399"/>
      <c r="C6721" s="5" t="s">
        <v>30</v>
      </c>
      <c r="D6721" s="5" t="s">
        <v>10863</v>
      </c>
      <c r="E6721" s="43">
        <v>300</v>
      </c>
      <c r="F6721" s="43"/>
      <c r="G6721" s="48">
        <f t="shared" si="167"/>
        <v>93122.193548386684</v>
      </c>
      <c r="H6721" s="391" t="s">
        <v>9568</v>
      </c>
    </row>
    <row r="6722" spans="1:8" x14ac:dyDescent="0.3">
      <c r="A6722" s="509">
        <v>45124</v>
      </c>
      <c r="B6722" s="399"/>
      <c r="C6722" s="5" t="s">
        <v>9525</v>
      </c>
      <c r="D6722" s="5" t="s">
        <v>11718</v>
      </c>
      <c r="E6722" s="43">
        <v>300</v>
      </c>
      <c r="F6722" s="43"/>
      <c r="G6722" s="48">
        <f t="shared" si="167"/>
        <v>92822.193548386684</v>
      </c>
      <c r="H6722" s="391" t="s">
        <v>9568</v>
      </c>
    </row>
    <row r="6723" spans="1:8" x14ac:dyDescent="0.3">
      <c r="A6723" s="509">
        <v>45124</v>
      </c>
      <c r="B6723" s="407" t="s">
        <v>11465</v>
      </c>
      <c r="C6723" s="66" t="s">
        <v>9756</v>
      </c>
      <c r="D6723" s="66" t="s">
        <v>11727</v>
      </c>
      <c r="E6723" s="67">
        <v>9600</v>
      </c>
      <c r="F6723" s="67"/>
      <c r="G6723" s="48">
        <f t="shared" si="167"/>
        <v>83222.193548386684</v>
      </c>
      <c r="H6723" s="391" t="s">
        <v>9568</v>
      </c>
    </row>
    <row r="6724" spans="1:8" x14ac:dyDescent="0.3">
      <c r="A6724" s="509">
        <v>45124</v>
      </c>
      <c r="B6724" s="399" t="s">
        <v>12093</v>
      </c>
      <c r="C6724" s="66" t="s">
        <v>9756</v>
      </c>
      <c r="D6724" s="66" t="s">
        <v>11728</v>
      </c>
      <c r="E6724" s="67">
        <v>4500</v>
      </c>
      <c r="F6724" s="67"/>
      <c r="G6724" s="48">
        <f t="shared" si="167"/>
        <v>78722.193548386684</v>
      </c>
      <c r="H6724" s="391" t="s">
        <v>9568</v>
      </c>
    </row>
    <row r="6725" spans="1:8" x14ac:dyDescent="0.3">
      <c r="A6725" s="509">
        <v>45124</v>
      </c>
      <c r="B6725" s="399" t="s">
        <v>11164</v>
      </c>
      <c r="C6725" s="66" t="s">
        <v>9756</v>
      </c>
      <c r="D6725" s="66" t="s">
        <v>11729</v>
      </c>
      <c r="E6725" s="67">
        <v>28000</v>
      </c>
      <c r="F6725" s="67"/>
      <c r="G6725" s="48">
        <f t="shared" si="167"/>
        <v>50722.193548386684</v>
      </c>
      <c r="H6725" s="391" t="s">
        <v>9568</v>
      </c>
    </row>
    <row r="6726" spans="1:8" x14ac:dyDescent="0.3">
      <c r="A6726" s="509">
        <v>45124</v>
      </c>
      <c r="B6726" s="407" t="s">
        <v>10333</v>
      </c>
      <c r="C6726" s="66" t="s">
        <v>9756</v>
      </c>
      <c r="D6726" s="66" t="s">
        <v>11730</v>
      </c>
      <c r="E6726" s="67">
        <v>27958</v>
      </c>
      <c r="F6726" s="67"/>
      <c r="G6726" s="48">
        <f t="shared" si="167"/>
        <v>22764.193548386684</v>
      </c>
      <c r="H6726" s="391" t="s">
        <v>9568</v>
      </c>
    </row>
    <row r="6727" spans="1:8" x14ac:dyDescent="0.3">
      <c r="A6727" s="509">
        <v>45124</v>
      </c>
      <c r="B6727" s="588"/>
      <c r="C6727" s="503"/>
      <c r="D6727" s="504" t="s">
        <v>11720</v>
      </c>
      <c r="E6727" s="503"/>
      <c r="F6727" s="67">
        <v>500000</v>
      </c>
      <c r="G6727" s="48">
        <f t="shared" si="167"/>
        <v>522764.19354838668</v>
      </c>
      <c r="H6727" s="391" t="s">
        <v>9568</v>
      </c>
    </row>
    <row r="6728" spans="1:8" x14ac:dyDescent="0.3">
      <c r="A6728" s="509">
        <v>45124</v>
      </c>
      <c r="B6728" s="399" t="s">
        <v>11528</v>
      </c>
      <c r="C6728" s="5" t="s">
        <v>18</v>
      </c>
      <c r="D6728" s="5" t="s">
        <v>294</v>
      </c>
      <c r="E6728" s="43">
        <v>5000</v>
      </c>
      <c r="F6728" s="43"/>
      <c r="G6728" s="48">
        <f t="shared" si="167"/>
        <v>517764.19354838668</v>
      </c>
      <c r="H6728" s="391" t="s">
        <v>9568</v>
      </c>
    </row>
    <row r="6729" spans="1:8" x14ac:dyDescent="0.3">
      <c r="A6729" s="509">
        <v>45124</v>
      </c>
      <c r="B6729" s="399"/>
      <c r="C6729" s="5" t="s">
        <v>5793</v>
      </c>
      <c r="D6729" s="5" t="s">
        <v>8924</v>
      </c>
      <c r="E6729" s="43">
        <v>200</v>
      </c>
      <c r="F6729" s="43"/>
      <c r="G6729" s="48">
        <f t="shared" si="167"/>
        <v>517564.19354838668</v>
      </c>
      <c r="H6729" s="391" t="s">
        <v>9568</v>
      </c>
    </row>
    <row r="6730" spans="1:8" x14ac:dyDescent="0.3">
      <c r="A6730" s="509">
        <v>45125</v>
      </c>
      <c r="B6730" s="399" t="s">
        <v>25</v>
      </c>
      <c r="C6730" s="5" t="s">
        <v>1074</v>
      </c>
      <c r="D6730" s="5" t="s">
        <v>6280</v>
      </c>
      <c r="E6730" s="43">
        <f>3200+3000</f>
        <v>6200</v>
      </c>
      <c r="F6730" s="43"/>
      <c r="G6730" s="48">
        <f t="shared" si="167"/>
        <v>511364.19354838668</v>
      </c>
      <c r="H6730" s="391" t="s">
        <v>9568</v>
      </c>
    </row>
    <row r="6731" spans="1:8" x14ac:dyDescent="0.3">
      <c r="A6731" s="509">
        <v>45125</v>
      </c>
      <c r="B6731" s="399"/>
      <c r="C6731" s="5" t="s">
        <v>5162</v>
      </c>
      <c r="D6731" s="5" t="s">
        <v>5813</v>
      </c>
      <c r="E6731" s="43">
        <v>2000</v>
      </c>
      <c r="F6731" s="43"/>
      <c r="G6731" s="48">
        <f t="shared" si="167"/>
        <v>509364.19354838668</v>
      </c>
      <c r="H6731" s="391" t="s">
        <v>9568</v>
      </c>
    </row>
    <row r="6732" spans="1:8" x14ac:dyDescent="0.3">
      <c r="A6732" s="509">
        <v>45125</v>
      </c>
      <c r="B6732" s="399" t="s">
        <v>11465</v>
      </c>
      <c r="C6732" s="5" t="s">
        <v>5793</v>
      </c>
      <c r="D6732" s="5" t="s">
        <v>40</v>
      </c>
      <c r="E6732" s="43">
        <v>400</v>
      </c>
      <c r="F6732" s="43"/>
      <c r="G6732" s="48">
        <f t="shared" si="167"/>
        <v>508964.19354838668</v>
      </c>
      <c r="H6732" s="391" t="s">
        <v>9568</v>
      </c>
    </row>
    <row r="6733" spans="1:8" x14ac:dyDescent="0.3">
      <c r="A6733" s="509">
        <v>45125</v>
      </c>
      <c r="B6733" s="399" t="s">
        <v>12089</v>
      </c>
      <c r="C6733" s="5" t="s">
        <v>5793</v>
      </c>
      <c r="D6733" s="5" t="s">
        <v>40</v>
      </c>
      <c r="E6733" s="43">
        <v>600</v>
      </c>
      <c r="F6733" s="43"/>
      <c r="G6733" s="48">
        <f t="shared" si="167"/>
        <v>508364.19354838668</v>
      </c>
      <c r="H6733" s="391" t="s">
        <v>9568</v>
      </c>
    </row>
    <row r="6734" spans="1:8" x14ac:dyDescent="0.3">
      <c r="A6734" s="509">
        <v>45125</v>
      </c>
      <c r="B6734" s="399" t="s">
        <v>11733</v>
      </c>
      <c r="C6734" s="5" t="s">
        <v>11731</v>
      </c>
      <c r="D6734" s="5" t="s">
        <v>11732</v>
      </c>
      <c r="E6734" s="43">
        <v>245000</v>
      </c>
      <c r="F6734" s="43"/>
      <c r="G6734" s="48">
        <f t="shared" si="167"/>
        <v>263364.19354838668</v>
      </c>
      <c r="H6734" s="391" t="s">
        <v>9568</v>
      </c>
    </row>
    <row r="6735" spans="1:8" x14ac:dyDescent="0.3">
      <c r="A6735" s="509">
        <v>45125</v>
      </c>
      <c r="B6735" s="399" t="s">
        <v>12092</v>
      </c>
      <c r="C6735" s="5" t="s">
        <v>3554</v>
      </c>
      <c r="D6735" s="5" t="s">
        <v>11734</v>
      </c>
      <c r="E6735" s="43">
        <v>30000</v>
      </c>
      <c r="F6735" s="43"/>
      <c r="G6735" s="48">
        <f t="shared" si="167"/>
        <v>233364.19354838668</v>
      </c>
      <c r="H6735" s="391" t="s">
        <v>9568</v>
      </c>
    </row>
    <row r="6736" spans="1:8" x14ac:dyDescent="0.3">
      <c r="A6736" s="509">
        <v>45125</v>
      </c>
      <c r="B6736" s="399" t="s">
        <v>25</v>
      </c>
      <c r="C6736" s="5" t="s">
        <v>25</v>
      </c>
      <c r="D6736" s="5" t="s">
        <v>11455</v>
      </c>
      <c r="E6736" s="43">
        <v>3000</v>
      </c>
      <c r="F6736" s="43"/>
      <c r="G6736" s="48">
        <f t="shared" si="167"/>
        <v>230364.19354838668</v>
      </c>
      <c r="H6736" s="391" t="s">
        <v>9568</v>
      </c>
    </row>
    <row r="6737" spans="1:8" x14ac:dyDescent="0.3">
      <c r="A6737" s="509">
        <v>45125</v>
      </c>
      <c r="B6737" s="399" t="s">
        <v>12090</v>
      </c>
      <c r="C6737" s="5" t="s">
        <v>11735</v>
      </c>
      <c r="D6737" s="5" t="s">
        <v>11736</v>
      </c>
      <c r="E6737" s="43">
        <v>7000</v>
      </c>
      <c r="F6737" s="43"/>
      <c r="G6737" s="48">
        <f t="shared" si="167"/>
        <v>223364.19354838668</v>
      </c>
      <c r="H6737" s="391" t="s">
        <v>9568</v>
      </c>
    </row>
    <row r="6738" spans="1:8" x14ac:dyDescent="0.3">
      <c r="A6738" s="509">
        <v>45125</v>
      </c>
      <c r="B6738" s="399" t="s">
        <v>12093</v>
      </c>
      <c r="C6738" s="5" t="s">
        <v>10815</v>
      </c>
      <c r="D6738" s="5" t="s">
        <v>11262</v>
      </c>
      <c r="E6738" s="65">
        <v>38750</v>
      </c>
      <c r="F6738" s="43"/>
      <c r="G6738" s="48">
        <f t="shared" si="167"/>
        <v>184614.19354838668</v>
      </c>
      <c r="H6738" s="391" t="s">
        <v>9568</v>
      </c>
    </row>
    <row r="6739" spans="1:8" x14ac:dyDescent="0.3">
      <c r="A6739" s="509">
        <v>45125</v>
      </c>
      <c r="B6739" s="399" t="s">
        <v>12090</v>
      </c>
      <c r="C6739" s="5" t="s">
        <v>10815</v>
      </c>
      <c r="D6739" s="5" t="s">
        <v>11262</v>
      </c>
      <c r="E6739" s="65">
        <v>11500</v>
      </c>
      <c r="F6739" s="43"/>
      <c r="G6739" s="48">
        <f t="shared" si="167"/>
        <v>173114.19354838668</v>
      </c>
      <c r="H6739" s="391" t="s">
        <v>9568</v>
      </c>
    </row>
    <row r="6740" spans="1:8" x14ac:dyDescent="0.3">
      <c r="A6740" s="509">
        <v>45125</v>
      </c>
      <c r="B6740" s="399" t="s">
        <v>12090</v>
      </c>
      <c r="C6740" s="5" t="s">
        <v>9756</v>
      </c>
      <c r="D6740" s="5" t="s">
        <v>11738</v>
      </c>
      <c r="E6740" s="43">
        <v>96000</v>
      </c>
      <c r="F6740" s="43"/>
      <c r="G6740" s="48">
        <f t="shared" si="167"/>
        <v>77114.193548386684</v>
      </c>
      <c r="H6740" s="391" t="s">
        <v>9568</v>
      </c>
    </row>
    <row r="6741" spans="1:8" x14ac:dyDescent="0.3">
      <c r="A6741" s="509">
        <v>45125</v>
      </c>
      <c r="B6741" s="399" t="s">
        <v>6481</v>
      </c>
      <c r="C6741" s="5" t="s">
        <v>1189</v>
      </c>
      <c r="D6741" s="5" t="s">
        <v>11739</v>
      </c>
      <c r="E6741" s="43">
        <v>15000</v>
      </c>
      <c r="F6741" s="43"/>
      <c r="G6741" s="48">
        <f t="shared" si="167"/>
        <v>62114.193548386684</v>
      </c>
      <c r="H6741" s="391" t="s">
        <v>9568</v>
      </c>
    </row>
    <row r="6742" spans="1:8" x14ac:dyDescent="0.3">
      <c r="A6742" s="509">
        <v>45125</v>
      </c>
      <c r="B6742" s="399" t="s">
        <v>12090</v>
      </c>
      <c r="C6742" s="5" t="s">
        <v>5793</v>
      </c>
      <c r="D6742" s="5" t="s">
        <v>8924</v>
      </c>
      <c r="E6742" s="43">
        <v>400</v>
      </c>
      <c r="F6742" s="43"/>
      <c r="G6742" s="48">
        <f t="shared" si="167"/>
        <v>61714.193548386684</v>
      </c>
      <c r="H6742" s="391" t="s">
        <v>9568</v>
      </c>
    </row>
    <row r="6743" spans="1:8" x14ac:dyDescent="0.3">
      <c r="A6743" s="509">
        <v>45125</v>
      </c>
      <c r="B6743" s="399" t="s">
        <v>10615</v>
      </c>
      <c r="C6743" s="5" t="s">
        <v>6430</v>
      </c>
      <c r="D6743" s="5" t="s">
        <v>11740</v>
      </c>
      <c r="E6743" s="43">
        <v>2000</v>
      </c>
      <c r="F6743" s="43"/>
      <c r="G6743" s="48">
        <f t="shared" si="167"/>
        <v>59714.193548386684</v>
      </c>
      <c r="H6743" s="391" t="s">
        <v>9568</v>
      </c>
    </row>
    <row r="6744" spans="1:8" x14ac:dyDescent="0.3">
      <c r="A6744" s="509">
        <v>45125</v>
      </c>
      <c r="B6744" s="399"/>
      <c r="C6744" s="5" t="s">
        <v>84</v>
      </c>
      <c r="D6744" s="5" t="s">
        <v>11742</v>
      </c>
      <c r="E6744" s="43">
        <v>5000</v>
      </c>
      <c r="F6744" s="43"/>
      <c r="G6744" s="48">
        <f t="shared" si="167"/>
        <v>54714.193548386684</v>
      </c>
      <c r="H6744" s="391" t="s">
        <v>9568</v>
      </c>
    </row>
    <row r="6745" spans="1:8" x14ac:dyDescent="0.3">
      <c r="A6745" s="509">
        <v>45125</v>
      </c>
      <c r="B6745" s="399"/>
      <c r="C6745" s="5" t="s">
        <v>84</v>
      </c>
      <c r="D6745" s="5" t="s">
        <v>11741</v>
      </c>
      <c r="E6745" s="43">
        <v>5000</v>
      </c>
      <c r="F6745" s="43"/>
      <c r="G6745" s="48">
        <f t="shared" si="167"/>
        <v>49714.193548386684</v>
      </c>
      <c r="H6745" s="391" t="s">
        <v>9568</v>
      </c>
    </row>
    <row r="6746" spans="1:8" x14ac:dyDescent="0.3">
      <c r="A6746" s="509">
        <v>45125</v>
      </c>
      <c r="B6746" s="399"/>
      <c r="C6746" s="5" t="s">
        <v>84</v>
      </c>
      <c r="D6746" s="5" t="s">
        <v>11743</v>
      </c>
      <c r="E6746" s="43">
        <v>4000</v>
      </c>
      <c r="F6746" s="43"/>
      <c r="G6746" s="48">
        <f t="shared" si="167"/>
        <v>45714.193548386684</v>
      </c>
      <c r="H6746" s="391" t="s">
        <v>9568</v>
      </c>
    </row>
    <row r="6747" spans="1:8" x14ac:dyDescent="0.3">
      <c r="A6747" s="509">
        <v>45125</v>
      </c>
      <c r="B6747" s="399" t="s">
        <v>12089</v>
      </c>
      <c r="C6747" s="5" t="s">
        <v>11745</v>
      </c>
      <c r="D6747" s="5" t="s">
        <v>5508</v>
      </c>
      <c r="E6747" s="43">
        <v>1000</v>
      </c>
      <c r="F6747" s="43"/>
      <c r="G6747" s="48">
        <f t="shared" si="167"/>
        <v>44714.193548386684</v>
      </c>
      <c r="H6747" s="391" t="s">
        <v>9568</v>
      </c>
    </row>
    <row r="6748" spans="1:8" x14ac:dyDescent="0.3">
      <c r="A6748" s="509">
        <v>45125</v>
      </c>
      <c r="B6748" s="399" t="s">
        <v>12092</v>
      </c>
      <c r="C6748" s="5" t="s">
        <v>11194</v>
      </c>
      <c r="D6748" s="5" t="s">
        <v>11746</v>
      </c>
      <c r="E6748" s="43">
        <v>580</v>
      </c>
      <c r="F6748" s="43"/>
      <c r="G6748" s="48">
        <f t="shared" si="167"/>
        <v>44134.193548386684</v>
      </c>
      <c r="H6748" s="391" t="s">
        <v>9568</v>
      </c>
    </row>
    <row r="6749" spans="1:8" x14ac:dyDescent="0.3">
      <c r="A6749" s="509">
        <v>45125</v>
      </c>
      <c r="B6749" s="399" t="s">
        <v>12089</v>
      </c>
      <c r="C6749" s="5" t="s">
        <v>4376</v>
      </c>
      <c r="D6749" s="5" t="s">
        <v>11747</v>
      </c>
      <c r="E6749" s="43">
        <v>900</v>
      </c>
      <c r="F6749" s="43"/>
      <c r="G6749" s="48">
        <f t="shared" si="167"/>
        <v>43234.193548386684</v>
      </c>
      <c r="H6749" s="391" t="s">
        <v>9568</v>
      </c>
    </row>
    <row r="6750" spans="1:8" x14ac:dyDescent="0.3">
      <c r="A6750" s="509">
        <v>45125</v>
      </c>
      <c r="B6750" s="586"/>
      <c r="C6750" s="486"/>
      <c r="D6750" s="497" t="s">
        <v>11417</v>
      </c>
      <c r="E6750" s="486"/>
      <c r="F6750" s="43">
        <v>200000</v>
      </c>
      <c r="G6750" s="48">
        <f t="shared" si="167"/>
        <v>243234.19354838668</v>
      </c>
      <c r="H6750" s="391" t="s">
        <v>9568</v>
      </c>
    </row>
    <row r="6751" spans="1:8" x14ac:dyDescent="0.3">
      <c r="A6751" s="509">
        <v>45125</v>
      </c>
      <c r="B6751" s="399" t="s">
        <v>12093</v>
      </c>
      <c r="C6751" s="5" t="s">
        <v>10815</v>
      </c>
      <c r="D6751" s="5" t="s">
        <v>11748</v>
      </c>
      <c r="E6751" s="43">
        <v>88000</v>
      </c>
      <c r="F6751" s="43"/>
      <c r="G6751" s="48">
        <f t="shared" si="167"/>
        <v>155234.19354838668</v>
      </c>
      <c r="H6751" s="391" t="s">
        <v>9568</v>
      </c>
    </row>
    <row r="6752" spans="1:8" x14ac:dyDescent="0.3">
      <c r="A6752" s="509">
        <v>45125</v>
      </c>
      <c r="B6752" s="399" t="s">
        <v>11528</v>
      </c>
      <c r="C6752" s="5" t="s">
        <v>10815</v>
      </c>
      <c r="D6752" s="5" t="s">
        <v>4342</v>
      </c>
      <c r="E6752" s="43">
        <v>4380</v>
      </c>
      <c r="F6752" s="43"/>
      <c r="G6752" s="48">
        <f t="shared" si="167"/>
        <v>150854.19354838668</v>
      </c>
      <c r="H6752" s="391" t="s">
        <v>9568</v>
      </c>
    </row>
    <row r="6753" spans="1:8" x14ac:dyDescent="0.3">
      <c r="A6753" s="509">
        <v>45125</v>
      </c>
      <c r="B6753" s="399" t="s">
        <v>12090</v>
      </c>
      <c r="C6753" s="5" t="s">
        <v>10815</v>
      </c>
      <c r="D6753" s="5" t="s">
        <v>4342</v>
      </c>
      <c r="E6753" s="43">
        <v>16560</v>
      </c>
      <c r="F6753" s="43"/>
      <c r="G6753" s="48">
        <f t="shared" si="167"/>
        <v>134294.19354838668</v>
      </c>
      <c r="H6753" s="391" t="s">
        <v>9568</v>
      </c>
    </row>
    <row r="6754" spans="1:8" x14ac:dyDescent="0.3">
      <c r="A6754" s="509">
        <v>45125</v>
      </c>
      <c r="B6754" s="399" t="s">
        <v>11772</v>
      </c>
      <c r="C6754" s="5" t="s">
        <v>10815</v>
      </c>
      <c r="D6754" s="5" t="s">
        <v>11749</v>
      </c>
      <c r="E6754" s="43">
        <v>1000</v>
      </c>
      <c r="F6754" s="43"/>
      <c r="G6754" s="48">
        <f t="shared" si="167"/>
        <v>133294.19354838668</v>
      </c>
      <c r="H6754" s="391" t="s">
        <v>9568</v>
      </c>
    </row>
    <row r="6755" spans="1:8" x14ac:dyDescent="0.3">
      <c r="A6755" s="509">
        <v>45125</v>
      </c>
      <c r="B6755" s="399" t="s">
        <v>12093</v>
      </c>
      <c r="C6755" s="5" t="s">
        <v>10815</v>
      </c>
      <c r="D6755" s="5" t="s">
        <v>11750</v>
      </c>
      <c r="E6755" s="43">
        <v>8520</v>
      </c>
      <c r="F6755" s="43"/>
      <c r="G6755" s="48">
        <f t="shared" si="167"/>
        <v>124774.19354838668</v>
      </c>
      <c r="H6755" s="391" t="s">
        <v>9568</v>
      </c>
    </row>
    <row r="6756" spans="1:8" x14ac:dyDescent="0.3">
      <c r="A6756" s="509">
        <v>45125</v>
      </c>
      <c r="B6756" s="399"/>
      <c r="C6756" s="5" t="s">
        <v>30</v>
      </c>
      <c r="D6756" s="5" t="s">
        <v>2013</v>
      </c>
      <c r="E6756" s="43">
        <v>300</v>
      </c>
      <c r="F6756" s="43"/>
      <c r="G6756" s="48">
        <f t="shared" si="167"/>
        <v>124474.19354838668</v>
      </c>
      <c r="H6756" s="391" t="s">
        <v>9568</v>
      </c>
    </row>
    <row r="6757" spans="1:8" x14ac:dyDescent="0.3">
      <c r="A6757" s="509">
        <v>45125</v>
      </c>
      <c r="B6757" s="399" t="s">
        <v>12093</v>
      </c>
      <c r="C6757" s="5" t="s">
        <v>5793</v>
      </c>
      <c r="D6757" s="5" t="s">
        <v>40</v>
      </c>
      <c r="E6757" s="43">
        <v>600</v>
      </c>
      <c r="F6757" s="43"/>
      <c r="G6757" s="48">
        <f t="shared" si="167"/>
        <v>123874.19354838668</v>
      </c>
      <c r="H6757" s="391" t="s">
        <v>9568</v>
      </c>
    </row>
    <row r="6758" spans="1:8" x14ac:dyDescent="0.3">
      <c r="A6758" s="509">
        <v>45126</v>
      </c>
      <c r="B6758" s="399"/>
      <c r="C6758" s="5" t="s">
        <v>4550</v>
      </c>
      <c r="D6758" s="5" t="s">
        <v>5813</v>
      </c>
      <c r="E6758" s="43">
        <v>10000</v>
      </c>
      <c r="F6758" s="43"/>
      <c r="G6758" s="48">
        <f t="shared" si="167"/>
        <v>113874.19354838668</v>
      </c>
      <c r="H6758" s="391" t="s">
        <v>9568</v>
      </c>
    </row>
    <row r="6759" spans="1:8" x14ac:dyDescent="0.3">
      <c r="A6759" s="509">
        <v>45126</v>
      </c>
      <c r="B6759" s="399" t="s">
        <v>11465</v>
      </c>
      <c r="C6759" s="5" t="s">
        <v>9126</v>
      </c>
      <c r="D6759" s="5" t="s">
        <v>11765</v>
      </c>
      <c r="E6759" s="43">
        <v>8000</v>
      </c>
      <c r="F6759" s="43"/>
      <c r="G6759" s="48">
        <f t="shared" si="167"/>
        <v>105874.19354838668</v>
      </c>
      <c r="H6759" s="391" t="s">
        <v>9568</v>
      </c>
    </row>
    <row r="6760" spans="1:8" x14ac:dyDescent="0.3">
      <c r="A6760" s="509">
        <v>45126</v>
      </c>
      <c r="B6760" s="399" t="s">
        <v>12093</v>
      </c>
      <c r="C6760" s="5" t="s">
        <v>5793</v>
      </c>
      <c r="D6760" s="5" t="s">
        <v>40</v>
      </c>
      <c r="E6760" s="43">
        <v>1200</v>
      </c>
      <c r="F6760" s="43"/>
      <c r="G6760" s="48">
        <f t="shared" si="167"/>
        <v>104674.19354838668</v>
      </c>
      <c r="H6760" s="391" t="s">
        <v>9568</v>
      </c>
    </row>
    <row r="6761" spans="1:8" x14ac:dyDescent="0.3">
      <c r="A6761" s="509">
        <v>45126</v>
      </c>
      <c r="B6761" s="399" t="s">
        <v>12090</v>
      </c>
      <c r="C6761" s="5" t="s">
        <v>5793</v>
      </c>
      <c r="D6761" s="5" t="s">
        <v>40</v>
      </c>
      <c r="E6761" s="43">
        <v>800</v>
      </c>
      <c r="F6761" s="43"/>
      <c r="G6761" s="48">
        <f t="shared" si="167"/>
        <v>103874.19354838668</v>
      </c>
      <c r="H6761" s="391" t="s">
        <v>9568</v>
      </c>
    </row>
    <row r="6762" spans="1:8" x14ac:dyDescent="0.3">
      <c r="A6762" s="509">
        <v>45126</v>
      </c>
      <c r="B6762" s="399" t="s">
        <v>12093</v>
      </c>
      <c r="C6762" s="5" t="s">
        <v>5793</v>
      </c>
      <c r="D6762" s="5" t="s">
        <v>8924</v>
      </c>
      <c r="E6762" s="43">
        <v>200</v>
      </c>
      <c r="F6762" s="43"/>
      <c r="G6762" s="48">
        <f t="shared" si="167"/>
        <v>103674.19354838668</v>
      </c>
      <c r="H6762" s="391" t="s">
        <v>9568</v>
      </c>
    </row>
    <row r="6763" spans="1:8" x14ac:dyDescent="0.3">
      <c r="A6763" s="509">
        <v>45126</v>
      </c>
      <c r="B6763" s="399"/>
      <c r="C6763" s="5" t="s">
        <v>57</v>
      </c>
      <c r="D6763" s="5" t="s">
        <v>3910</v>
      </c>
      <c r="E6763" s="43">
        <v>5000</v>
      </c>
      <c r="F6763" s="43"/>
      <c r="G6763" s="48">
        <f t="shared" si="167"/>
        <v>98674.193548386684</v>
      </c>
      <c r="H6763" s="391" t="s">
        <v>9568</v>
      </c>
    </row>
    <row r="6764" spans="1:8" x14ac:dyDescent="0.3">
      <c r="A6764" s="509">
        <v>45126</v>
      </c>
      <c r="B6764" s="399" t="s">
        <v>11453</v>
      </c>
      <c r="C6764" s="5" t="s">
        <v>5156</v>
      </c>
      <c r="D6764" s="5" t="s">
        <v>11752</v>
      </c>
      <c r="E6764" s="43">
        <v>900</v>
      </c>
      <c r="F6764" s="43"/>
      <c r="G6764" s="48">
        <f t="shared" si="167"/>
        <v>97774.193548386684</v>
      </c>
      <c r="H6764" s="391" t="s">
        <v>9568</v>
      </c>
    </row>
    <row r="6765" spans="1:8" x14ac:dyDescent="0.3">
      <c r="A6765" s="509">
        <v>45126</v>
      </c>
      <c r="B6765" s="399"/>
      <c r="C6765" s="5" t="s">
        <v>14</v>
      </c>
      <c r="D6765" s="5" t="s">
        <v>294</v>
      </c>
      <c r="E6765" s="43">
        <v>10000</v>
      </c>
      <c r="F6765" s="43"/>
      <c r="G6765" s="48">
        <f t="shared" si="167"/>
        <v>87774.193548386684</v>
      </c>
      <c r="H6765" s="391" t="s">
        <v>9568</v>
      </c>
    </row>
    <row r="6766" spans="1:8" x14ac:dyDescent="0.3">
      <c r="A6766" s="509">
        <v>45126</v>
      </c>
      <c r="B6766" s="399" t="s">
        <v>25</v>
      </c>
      <c r="C6766" s="5" t="s">
        <v>25</v>
      </c>
      <c r="D6766" s="5" t="s">
        <v>11455</v>
      </c>
      <c r="E6766" s="43">
        <v>3000</v>
      </c>
      <c r="F6766" s="43"/>
      <c r="G6766" s="48">
        <f t="shared" si="167"/>
        <v>84774.193548386684</v>
      </c>
      <c r="H6766" s="391" t="s">
        <v>9568</v>
      </c>
    </row>
    <row r="6767" spans="1:8" x14ac:dyDescent="0.3">
      <c r="A6767" s="509">
        <v>45126</v>
      </c>
      <c r="B6767" s="399" t="s">
        <v>12088</v>
      </c>
      <c r="C6767" s="5" t="s">
        <v>5793</v>
      </c>
      <c r="D6767" s="5" t="s">
        <v>11753</v>
      </c>
      <c r="E6767" s="43">
        <v>3500</v>
      </c>
      <c r="F6767" s="43"/>
      <c r="G6767" s="48">
        <f t="shared" si="167"/>
        <v>81274.193548386684</v>
      </c>
      <c r="H6767" s="391" t="s">
        <v>9568</v>
      </c>
    </row>
    <row r="6768" spans="1:8" x14ac:dyDescent="0.3">
      <c r="A6768" s="509">
        <v>45126</v>
      </c>
      <c r="B6768" s="399" t="s">
        <v>12088</v>
      </c>
      <c r="C6768" s="5" t="s">
        <v>5793</v>
      </c>
      <c r="D6768" s="5" t="s">
        <v>11754</v>
      </c>
      <c r="E6768" s="43">
        <v>1000</v>
      </c>
      <c r="F6768" s="43"/>
      <c r="G6768" s="48">
        <f t="shared" si="167"/>
        <v>80274.193548386684</v>
      </c>
      <c r="H6768" s="391" t="s">
        <v>9568</v>
      </c>
    </row>
    <row r="6769" spans="1:8" x14ac:dyDescent="0.3">
      <c r="A6769" s="509">
        <v>45126</v>
      </c>
      <c r="B6769" s="399" t="s">
        <v>12088</v>
      </c>
      <c r="C6769" s="5" t="s">
        <v>9756</v>
      </c>
      <c r="D6769" s="5" t="s">
        <v>11751</v>
      </c>
      <c r="E6769" s="43">
        <v>2950</v>
      </c>
      <c r="F6769" s="43"/>
      <c r="G6769" s="48">
        <f t="shared" si="167"/>
        <v>77324.193548386684</v>
      </c>
      <c r="H6769" s="391" t="s">
        <v>9568</v>
      </c>
    </row>
    <row r="6770" spans="1:8" x14ac:dyDescent="0.3">
      <c r="A6770" s="509">
        <v>45126</v>
      </c>
      <c r="B6770" s="399" t="s">
        <v>12089</v>
      </c>
      <c r="C6770" s="5" t="s">
        <v>10815</v>
      </c>
      <c r="D6770" s="5" t="s">
        <v>11757</v>
      </c>
      <c r="E6770" s="43">
        <v>6000</v>
      </c>
      <c r="F6770" s="43"/>
      <c r="G6770" s="48">
        <f t="shared" si="167"/>
        <v>71324.193548386684</v>
      </c>
      <c r="H6770" s="391" t="s">
        <v>9568</v>
      </c>
    </row>
    <row r="6771" spans="1:8" x14ac:dyDescent="0.3">
      <c r="A6771" s="509">
        <v>45126</v>
      </c>
      <c r="B6771" s="399" t="s">
        <v>12089</v>
      </c>
      <c r="C6771" s="5" t="s">
        <v>9756</v>
      </c>
      <c r="D6771" s="5" t="s">
        <v>11758</v>
      </c>
      <c r="E6771" s="43">
        <v>4930</v>
      </c>
      <c r="F6771" s="43"/>
      <c r="G6771" s="48">
        <f t="shared" si="167"/>
        <v>66394.193548386684</v>
      </c>
      <c r="H6771" s="391" t="s">
        <v>9568</v>
      </c>
    </row>
    <row r="6772" spans="1:8" x14ac:dyDescent="0.3">
      <c r="A6772" s="509">
        <v>45126</v>
      </c>
      <c r="B6772" s="399" t="s">
        <v>12093</v>
      </c>
      <c r="C6772" s="5" t="s">
        <v>9756</v>
      </c>
      <c r="D6772" s="5" t="s">
        <v>11759</v>
      </c>
      <c r="E6772" s="43">
        <v>46840</v>
      </c>
      <c r="F6772" s="43"/>
      <c r="G6772" s="48">
        <f t="shared" si="167"/>
        <v>19554.193548386684</v>
      </c>
      <c r="H6772" s="391" t="s">
        <v>9568</v>
      </c>
    </row>
    <row r="6773" spans="1:8" x14ac:dyDescent="0.3">
      <c r="A6773" s="509">
        <v>45126</v>
      </c>
      <c r="B6773" s="399" t="s">
        <v>11760</v>
      </c>
      <c r="C6773" s="5" t="s">
        <v>9756</v>
      </c>
      <c r="D6773" s="5" t="s">
        <v>11761</v>
      </c>
      <c r="E6773" s="43">
        <v>12640</v>
      </c>
      <c r="F6773" s="43"/>
      <c r="G6773" s="48">
        <f t="shared" si="167"/>
        <v>6914.1935483866837</v>
      </c>
      <c r="H6773" s="391" t="s">
        <v>9568</v>
      </c>
    </row>
    <row r="6774" spans="1:8" x14ac:dyDescent="0.3">
      <c r="A6774" s="509">
        <v>45127</v>
      </c>
      <c r="B6774" s="586"/>
      <c r="C6774" s="486"/>
      <c r="D6774" s="497" t="s">
        <v>11417</v>
      </c>
      <c r="E6774" s="486"/>
      <c r="F6774" s="43">
        <v>500000</v>
      </c>
      <c r="G6774" s="48">
        <f t="shared" si="167"/>
        <v>506914.19354838668</v>
      </c>
      <c r="H6774" s="391" t="s">
        <v>9568</v>
      </c>
    </row>
    <row r="6775" spans="1:8" x14ac:dyDescent="0.3">
      <c r="A6775" s="509">
        <v>45127</v>
      </c>
      <c r="B6775" s="399" t="s">
        <v>12093</v>
      </c>
      <c r="C6775" s="5" t="s">
        <v>9756</v>
      </c>
      <c r="D6775" s="5" t="s">
        <v>11762</v>
      </c>
      <c r="E6775" s="43">
        <v>14400</v>
      </c>
      <c r="F6775" s="43"/>
      <c r="G6775" s="48">
        <f t="shared" si="167"/>
        <v>492514.19354838668</v>
      </c>
      <c r="H6775" s="391" t="s">
        <v>9568</v>
      </c>
    </row>
    <row r="6776" spans="1:8" x14ac:dyDescent="0.3">
      <c r="A6776" s="509">
        <v>45127</v>
      </c>
      <c r="B6776" s="399" t="s">
        <v>11528</v>
      </c>
      <c r="C6776" s="5" t="s">
        <v>9756</v>
      </c>
      <c r="D6776" s="5" t="s">
        <v>11763</v>
      </c>
      <c r="E6776" s="43">
        <v>800</v>
      </c>
      <c r="F6776" s="43"/>
      <c r="G6776" s="48">
        <f t="shared" si="167"/>
        <v>491714.19354838668</v>
      </c>
      <c r="H6776" s="391" t="s">
        <v>9568</v>
      </c>
    </row>
    <row r="6777" spans="1:8" x14ac:dyDescent="0.3">
      <c r="A6777" s="509">
        <v>45127</v>
      </c>
      <c r="B6777" s="399" t="s">
        <v>12088</v>
      </c>
      <c r="C6777" s="5" t="s">
        <v>9756</v>
      </c>
      <c r="D6777" s="5" t="s">
        <v>11764</v>
      </c>
      <c r="E6777" s="43">
        <v>250</v>
      </c>
      <c r="F6777" s="43"/>
      <c r="G6777" s="48">
        <f t="shared" si="167"/>
        <v>491464.19354838668</v>
      </c>
      <c r="H6777" s="391" t="s">
        <v>9568</v>
      </c>
    </row>
    <row r="6778" spans="1:8" x14ac:dyDescent="0.3">
      <c r="A6778" s="509">
        <v>45127</v>
      </c>
      <c r="B6778" s="399"/>
      <c r="C6778" s="5" t="s">
        <v>30</v>
      </c>
      <c r="D6778" s="5" t="s">
        <v>10651</v>
      </c>
      <c r="E6778" s="43">
        <v>1000</v>
      </c>
      <c r="F6778" s="43"/>
      <c r="G6778" s="48">
        <f t="shared" si="167"/>
        <v>490464.19354838668</v>
      </c>
      <c r="H6778" s="391" t="s">
        <v>9568</v>
      </c>
    </row>
    <row r="6779" spans="1:8" x14ac:dyDescent="0.3">
      <c r="A6779" s="509">
        <v>45127</v>
      </c>
      <c r="B6779" s="399" t="s">
        <v>12093</v>
      </c>
      <c r="C6779" s="5" t="s">
        <v>5793</v>
      </c>
      <c r="D6779" s="5" t="s">
        <v>8924</v>
      </c>
      <c r="E6779" s="43">
        <v>300</v>
      </c>
      <c r="F6779" s="43"/>
      <c r="G6779" s="48">
        <f t="shared" si="167"/>
        <v>490164.19354838668</v>
      </c>
      <c r="H6779" s="391" t="s">
        <v>9568</v>
      </c>
    </row>
    <row r="6780" spans="1:8" x14ac:dyDescent="0.3">
      <c r="A6780" s="509">
        <v>45127</v>
      </c>
      <c r="B6780" s="399" t="s">
        <v>10867</v>
      </c>
      <c r="C6780" s="5" t="s">
        <v>116</v>
      </c>
      <c r="D6780" s="5" t="s">
        <v>11756</v>
      </c>
      <c r="E6780" s="43">
        <v>25000</v>
      </c>
      <c r="F6780" s="43"/>
      <c r="G6780" s="48">
        <f t="shared" si="167"/>
        <v>465164.19354838668</v>
      </c>
      <c r="H6780" s="391" t="s">
        <v>9568</v>
      </c>
    </row>
    <row r="6781" spans="1:8" x14ac:dyDescent="0.3">
      <c r="A6781" s="509">
        <v>45127</v>
      </c>
      <c r="B6781" s="399" t="s">
        <v>11528</v>
      </c>
      <c r="C6781" s="5" t="s">
        <v>5793</v>
      </c>
      <c r="D6781" s="5" t="s">
        <v>40</v>
      </c>
      <c r="E6781" s="43">
        <v>1500</v>
      </c>
      <c r="F6781" s="43"/>
      <c r="G6781" s="48">
        <f t="shared" si="167"/>
        <v>463664.19354838668</v>
      </c>
      <c r="H6781" s="391" t="s">
        <v>9568</v>
      </c>
    </row>
    <row r="6782" spans="1:8" x14ac:dyDescent="0.3">
      <c r="A6782" s="509">
        <v>45127</v>
      </c>
      <c r="B6782" s="399" t="s">
        <v>11772</v>
      </c>
      <c r="C6782" s="5" t="s">
        <v>5793</v>
      </c>
      <c r="D6782" s="5" t="s">
        <v>40</v>
      </c>
      <c r="E6782" s="43">
        <v>3500</v>
      </c>
      <c r="F6782" s="43"/>
      <c r="G6782" s="48">
        <f t="shared" ref="G6782:G6822" si="168">G6781+F6782-E6782</f>
        <v>460164.19354838668</v>
      </c>
      <c r="H6782" s="391" t="s">
        <v>9568</v>
      </c>
    </row>
    <row r="6783" spans="1:8" x14ac:dyDescent="0.3">
      <c r="A6783" s="509">
        <v>45127</v>
      </c>
      <c r="B6783" s="399" t="s">
        <v>25</v>
      </c>
      <c r="C6783" s="5" t="s">
        <v>25</v>
      </c>
      <c r="D6783" s="5" t="s">
        <v>11455</v>
      </c>
      <c r="E6783" s="43">
        <v>3000</v>
      </c>
      <c r="F6783" s="43"/>
      <c r="G6783" s="48">
        <f t="shared" si="168"/>
        <v>457164.19354838668</v>
      </c>
      <c r="H6783" s="391" t="s">
        <v>9568</v>
      </c>
    </row>
    <row r="6784" spans="1:8" x14ac:dyDescent="0.3">
      <c r="A6784" s="509">
        <v>45127</v>
      </c>
      <c r="B6784" s="586"/>
      <c r="C6784" s="486"/>
      <c r="D6784" s="497" t="s">
        <v>11417</v>
      </c>
      <c r="E6784" s="486"/>
      <c r="F6784" s="43">
        <v>1098100</v>
      </c>
      <c r="G6784" s="48">
        <f t="shared" si="168"/>
        <v>1555264.1935483867</v>
      </c>
      <c r="H6784" s="391" t="s">
        <v>9568</v>
      </c>
    </row>
    <row r="6785" spans="1:8" x14ac:dyDescent="0.3">
      <c r="A6785" s="509">
        <v>45127</v>
      </c>
      <c r="B6785" s="399"/>
      <c r="C6785" s="5" t="s">
        <v>6430</v>
      </c>
      <c r="D6785" s="5" t="s">
        <v>294</v>
      </c>
      <c r="E6785" s="43">
        <v>3000</v>
      </c>
      <c r="F6785" s="43"/>
      <c r="G6785" s="48">
        <f t="shared" si="168"/>
        <v>1552264.1935483867</v>
      </c>
      <c r="H6785" s="391" t="s">
        <v>9568</v>
      </c>
    </row>
    <row r="6786" spans="1:8" x14ac:dyDescent="0.3">
      <c r="A6786" s="509">
        <v>45128</v>
      </c>
      <c r="B6786" s="399"/>
      <c r="C6786" s="5" t="s">
        <v>14</v>
      </c>
      <c r="D6786" s="5" t="s">
        <v>294</v>
      </c>
      <c r="E6786" s="43">
        <v>10000</v>
      </c>
      <c r="F6786" s="43"/>
      <c r="G6786" s="48">
        <f t="shared" si="168"/>
        <v>1542264.1935483867</v>
      </c>
      <c r="H6786" s="391" t="s">
        <v>9568</v>
      </c>
    </row>
    <row r="6787" spans="1:8" x14ac:dyDescent="0.3">
      <c r="A6787" s="509">
        <v>45128</v>
      </c>
      <c r="B6787" s="399" t="s">
        <v>12093</v>
      </c>
      <c r="C6787" s="5" t="s">
        <v>9756</v>
      </c>
      <c r="D6787" s="5" t="s">
        <v>11766</v>
      </c>
      <c r="E6787" s="43">
        <v>22790</v>
      </c>
      <c r="F6787" s="43"/>
      <c r="G6787" s="48">
        <f t="shared" si="168"/>
        <v>1519474.1935483867</v>
      </c>
      <c r="H6787" s="391" t="s">
        <v>9568</v>
      </c>
    </row>
    <row r="6788" spans="1:8" x14ac:dyDescent="0.3">
      <c r="A6788" s="509">
        <v>45128</v>
      </c>
      <c r="B6788" s="399"/>
      <c r="C6788" s="5" t="s">
        <v>5162</v>
      </c>
      <c r="D6788" s="5" t="s">
        <v>4187</v>
      </c>
      <c r="E6788" s="43">
        <v>5000</v>
      </c>
      <c r="F6788" s="43"/>
      <c r="G6788" s="48">
        <f t="shared" si="168"/>
        <v>1514474.1935483867</v>
      </c>
      <c r="H6788" s="391" t="s">
        <v>9568</v>
      </c>
    </row>
    <row r="6789" spans="1:8" x14ac:dyDescent="0.3">
      <c r="A6789" s="509">
        <v>45128</v>
      </c>
      <c r="B6789" s="399" t="s">
        <v>12091</v>
      </c>
      <c r="C6789" s="5" t="s">
        <v>10709</v>
      </c>
      <c r="D6789" s="5" t="s">
        <v>11767</v>
      </c>
      <c r="E6789" s="43">
        <v>25000</v>
      </c>
      <c r="F6789" s="43"/>
      <c r="G6789" s="48">
        <f t="shared" si="168"/>
        <v>1489474.1935483867</v>
      </c>
      <c r="H6789" s="391" t="s">
        <v>9568</v>
      </c>
    </row>
    <row r="6790" spans="1:8" x14ac:dyDescent="0.3">
      <c r="A6790" s="509">
        <v>45128</v>
      </c>
      <c r="B6790" s="399" t="s">
        <v>11772</v>
      </c>
      <c r="C6790" s="5" t="s">
        <v>10709</v>
      </c>
      <c r="D6790" s="5" t="s">
        <v>11767</v>
      </c>
      <c r="E6790" s="43">
        <v>25000</v>
      </c>
      <c r="F6790" s="43"/>
      <c r="G6790" s="48">
        <f t="shared" si="168"/>
        <v>1464474.1935483867</v>
      </c>
      <c r="H6790" s="391" t="s">
        <v>9568</v>
      </c>
    </row>
    <row r="6791" spans="1:8" x14ac:dyDescent="0.3">
      <c r="A6791" s="509">
        <v>45128</v>
      </c>
      <c r="B6791" s="399" t="s">
        <v>10615</v>
      </c>
      <c r="C6791" s="5" t="s">
        <v>5288</v>
      </c>
      <c r="D6791" s="5" t="s">
        <v>11768</v>
      </c>
      <c r="E6791" s="43">
        <v>50000</v>
      </c>
      <c r="F6791" s="43"/>
      <c r="G6791" s="48">
        <f t="shared" si="168"/>
        <v>1414474.1935483867</v>
      </c>
      <c r="H6791" s="391" t="s">
        <v>9568</v>
      </c>
    </row>
    <row r="6792" spans="1:8" x14ac:dyDescent="0.3">
      <c r="A6792" s="509">
        <v>45128</v>
      </c>
      <c r="B6792" s="399" t="s">
        <v>12189</v>
      </c>
      <c r="C6792" s="5" t="s">
        <v>8924</v>
      </c>
      <c r="D6792" s="5" t="s">
        <v>11770</v>
      </c>
      <c r="E6792" s="43">
        <v>300</v>
      </c>
      <c r="F6792" s="43"/>
      <c r="G6792" s="48">
        <f t="shared" si="168"/>
        <v>1414174.1935483867</v>
      </c>
      <c r="H6792" s="391" t="s">
        <v>9568</v>
      </c>
    </row>
    <row r="6793" spans="1:8" x14ac:dyDescent="0.3">
      <c r="A6793" s="509">
        <v>45128</v>
      </c>
      <c r="B6793" s="399" t="s">
        <v>11528</v>
      </c>
      <c r="C6793" s="5" t="s">
        <v>9756</v>
      </c>
      <c r="D6793" s="5" t="s">
        <v>11769</v>
      </c>
      <c r="E6793" s="43">
        <v>3000</v>
      </c>
      <c r="F6793" s="43"/>
      <c r="G6793" s="48">
        <f t="shared" si="168"/>
        <v>1411174.1935483867</v>
      </c>
      <c r="H6793" s="391" t="s">
        <v>9568</v>
      </c>
    </row>
    <row r="6794" spans="1:8" x14ac:dyDescent="0.3">
      <c r="A6794" s="509">
        <v>45129</v>
      </c>
      <c r="B6794" s="399" t="s">
        <v>6481</v>
      </c>
      <c r="C6794" s="5" t="s">
        <v>57</v>
      </c>
      <c r="D6794" s="5" t="s">
        <v>294</v>
      </c>
      <c r="E6794" s="43">
        <v>30000</v>
      </c>
      <c r="F6794" s="43"/>
      <c r="G6794" s="48">
        <f t="shared" si="168"/>
        <v>1381174.1935483867</v>
      </c>
      <c r="H6794" s="391" t="s">
        <v>9568</v>
      </c>
    </row>
    <row r="6795" spans="1:8" x14ac:dyDescent="0.3">
      <c r="A6795" s="509">
        <v>45129</v>
      </c>
      <c r="B6795" s="399" t="s">
        <v>11772</v>
      </c>
      <c r="C6795" s="5" t="s">
        <v>11771</v>
      </c>
      <c r="D6795" s="5" t="s">
        <v>11773</v>
      </c>
      <c r="E6795" s="43">
        <v>36000</v>
      </c>
      <c r="F6795" s="43"/>
      <c r="G6795" s="48">
        <f t="shared" si="168"/>
        <v>1345174.1935483867</v>
      </c>
      <c r="H6795" s="391" t="s">
        <v>9568</v>
      </c>
    </row>
    <row r="6796" spans="1:8" x14ac:dyDescent="0.3">
      <c r="A6796" s="509">
        <v>45129</v>
      </c>
      <c r="B6796" s="399" t="s">
        <v>11528</v>
      </c>
      <c r="C6796" s="5" t="s">
        <v>5793</v>
      </c>
      <c r="D6796" s="5" t="s">
        <v>40</v>
      </c>
      <c r="E6796" s="43">
        <v>1000</v>
      </c>
      <c r="F6796" s="43"/>
      <c r="G6796" s="48">
        <f t="shared" si="168"/>
        <v>1344174.1935483867</v>
      </c>
      <c r="H6796" s="391" t="s">
        <v>9568</v>
      </c>
    </row>
    <row r="6797" spans="1:8" x14ac:dyDescent="0.3">
      <c r="A6797" s="509">
        <v>45129</v>
      </c>
      <c r="B6797" s="399" t="s">
        <v>11528</v>
      </c>
      <c r="C6797" s="5" t="s">
        <v>11775</v>
      </c>
      <c r="D6797" s="5" t="s">
        <v>11776</v>
      </c>
      <c r="E6797" s="43">
        <v>94000</v>
      </c>
      <c r="F6797" s="43"/>
      <c r="G6797" s="48">
        <f t="shared" si="168"/>
        <v>1250174.1935483867</v>
      </c>
      <c r="H6797" s="391" t="s">
        <v>9568</v>
      </c>
    </row>
    <row r="6798" spans="1:8" x14ac:dyDescent="0.3">
      <c r="A6798" s="509">
        <v>45129</v>
      </c>
      <c r="B6798" s="399" t="s">
        <v>11528</v>
      </c>
      <c r="C6798" s="5" t="s">
        <v>11777</v>
      </c>
      <c r="D6798" s="5" t="s">
        <v>11778</v>
      </c>
      <c r="E6798" s="43">
        <v>44000</v>
      </c>
      <c r="F6798" s="43"/>
      <c r="G6798" s="48">
        <f t="shared" si="168"/>
        <v>1206174.1935483867</v>
      </c>
      <c r="H6798" s="391" t="s">
        <v>9568</v>
      </c>
    </row>
    <row r="6799" spans="1:8" x14ac:dyDescent="0.3">
      <c r="A6799" s="509">
        <v>45129</v>
      </c>
      <c r="B6799" s="399" t="s">
        <v>10333</v>
      </c>
      <c r="C6799" s="5" t="s">
        <v>5793</v>
      </c>
      <c r="D6799" s="5" t="s">
        <v>11779</v>
      </c>
      <c r="E6799" s="43">
        <v>3500</v>
      </c>
      <c r="F6799" s="43"/>
      <c r="G6799" s="48">
        <f t="shared" si="168"/>
        <v>1202674.1935483867</v>
      </c>
      <c r="H6799" s="391" t="s">
        <v>9568</v>
      </c>
    </row>
    <row r="6800" spans="1:8" x14ac:dyDescent="0.3">
      <c r="A6800" s="509">
        <v>45129</v>
      </c>
      <c r="B6800" s="399"/>
      <c r="C6800" s="5" t="s">
        <v>6430</v>
      </c>
      <c r="D6800" s="5" t="s">
        <v>3910</v>
      </c>
      <c r="E6800" s="43">
        <v>5000</v>
      </c>
      <c r="F6800" s="43"/>
      <c r="G6800" s="48">
        <f t="shared" si="168"/>
        <v>1197674.1935483867</v>
      </c>
      <c r="H6800" s="391" t="s">
        <v>9568</v>
      </c>
    </row>
    <row r="6801" spans="1:8" x14ac:dyDescent="0.3">
      <c r="A6801" s="509">
        <v>45129</v>
      </c>
      <c r="B6801" s="399" t="s">
        <v>11772</v>
      </c>
      <c r="C6801" s="5" t="s">
        <v>5793</v>
      </c>
      <c r="D6801" s="5" t="s">
        <v>40</v>
      </c>
      <c r="E6801" s="43">
        <v>1500</v>
      </c>
      <c r="F6801" s="43"/>
      <c r="G6801" s="48">
        <f t="shared" si="168"/>
        <v>1196174.1935483867</v>
      </c>
      <c r="H6801" s="391" t="s">
        <v>9568</v>
      </c>
    </row>
    <row r="6802" spans="1:8" x14ac:dyDescent="0.3">
      <c r="A6802" s="509">
        <v>45129</v>
      </c>
      <c r="B6802" s="399"/>
      <c r="C6802" s="5" t="s">
        <v>84</v>
      </c>
      <c r="D6802" s="5" t="s">
        <v>11780</v>
      </c>
      <c r="E6802" s="43">
        <v>5000</v>
      </c>
      <c r="F6802" s="43"/>
      <c r="G6802" s="48">
        <f t="shared" si="168"/>
        <v>1191174.1935483867</v>
      </c>
      <c r="H6802" s="391" t="s">
        <v>9568</v>
      </c>
    </row>
    <row r="6803" spans="1:8" x14ac:dyDescent="0.3">
      <c r="A6803" s="509">
        <v>45129</v>
      </c>
      <c r="B6803" s="399" t="s">
        <v>11528</v>
      </c>
      <c r="C6803" s="5" t="s">
        <v>2059</v>
      </c>
      <c r="D6803" s="5" t="s">
        <v>11781</v>
      </c>
      <c r="E6803" s="43">
        <v>77000</v>
      </c>
      <c r="F6803" s="43"/>
      <c r="G6803" s="48">
        <f t="shared" si="168"/>
        <v>1114174.1935483867</v>
      </c>
      <c r="H6803" s="391" t="s">
        <v>9568</v>
      </c>
    </row>
    <row r="6804" spans="1:8" x14ac:dyDescent="0.3">
      <c r="A6804" s="509">
        <v>45129</v>
      </c>
      <c r="B6804" s="399" t="s">
        <v>12089</v>
      </c>
      <c r="C6804" s="5" t="s">
        <v>11745</v>
      </c>
      <c r="D6804" s="5" t="s">
        <v>11782</v>
      </c>
      <c r="E6804" s="43">
        <v>1000</v>
      </c>
      <c r="F6804" s="43"/>
      <c r="G6804" s="48">
        <f t="shared" si="168"/>
        <v>1113174.1935483867</v>
      </c>
      <c r="H6804" s="391" t="s">
        <v>9568</v>
      </c>
    </row>
    <row r="6805" spans="1:8" x14ac:dyDescent="0.3">
      <c r="A6805" s="509">
        <v>45129</v>
      </c>
      <c r="B6805" s="399" t="s">
        <v>25</v>
      </c>
      <c r="C6805" s="5" t="s">
        <v>25</v>
      </c>
      <c r="D6805" s="5" t="s">
        <v>11455</v>
      </c>
      <c r="E6805" s="43">
        <v>2000</v>
      </c>
      <c r="F6805" s="43"/>
      <c r="G6805" s="48">
        <f t="shared" si="168"/>
        <v>1111174.1935483867</v>
      </c>
      <c r="H6805" s="391" t="s">
        <v>9568</v>
      </c>
    </row>
    <row r="6806" spans="1:8" x14ac:dyDescent="0.3">
      <c r="A6806" s="509">
        <v>45131</v>
      </c>
      <c r="B6806" s="399"/>
      <c r="C6806" s="5" t="s">
        <v>84</v>
      </c>
      <c r="D6806" s="5" t="s">
        <v>11783</v>
      </c>
      <c r="E6806" s="43">
        <v>5000</v>
      </c>
      <c r="F6806" s="43"/>
      <c r="G6806" s="48">
        <f t="shared" si="168"/>
        <v>1106174.1935483867</v>
      </c>
      <c r="H6806" s="391" t="s">
        <v>9568</v>
      </c>
    </row>
    <row r="6807" spans="1:8" x14ac:dyDescent="0.3">
      <c r="A6807" s="509">
        <v>45131</v>
      </c>
      <c r="B6807" s="399"/>
      <c r="C6807" s="5" t="s">
        <v>5162</v>
      </c>
      <c r="D6807" s="5" t="s">
        <v>5813</v>
      </c>
      <c r="E6807" s="43">
        <v>2000</v>
      </c>
      <c r="F6807" s="43"/>
      <c r="G6807" s="48">
        <f t="shared" si="168"/>
        <v>1104174.1935483867</v>
      </c>
      <c r="H6807" s="391" t="s">
        <v>9568</v>
      </c>
    </row>
    <row r="6808" spans="1:8" x14ac:dyDescent="0.3">
      <c r="A6808" s="509">
        <v>45131</v>
      </c>
      <c r="B6808" s="399" t="s">
        <v>12089</v>
      </c>
      <c r="C6808" s="5" t="s">
        <v>9756</v>
      </c>
      <c r="D6808" s="5" t="s">
        <v>11784</v>
      </c>
      <c r="E6808" s="43">
        <v>110000</v>
      </c>
      <c r="F6808" s="43"/>
      <c r="G6808" s="48">
        <f t="shared" si="168"/>
        <v>994174.19354838668</v>
      </c>
      <c r="H6808" s="391" t="s">
        <v>9568</v>
      </c>
    </row>
    <row r="6809" spans="1:8" x14ac:dyDescent="0.3">
      <c r="A6809" s="509">
        <v>45131</v>
      </c>
      <c r="B6809" s="399" t="s">
        <v>11465</v>
      </c>
      <c r="C6809" s="5" t="s">
        <v>5793</v>
      </c>
      <c r="D6809" s="5" t="s">
        <v>40</v>
      </c>
      <c r="E6809" s="43">
        <v>400</v>
      </c>
      <c r="F6809" s="43"/>
      <c r="G6809" s="48">
        <f t="shared" si="168"/>
        <v>993774.19354838668</v>
      </c>
      <c r="H6809" s="391" t="s">
        <v>9568</v>
      </c>
    </row>
    <row r="6810" spans="1:8" x14ac:dyDescent="0.3">
      <c r="A6810" s="509">
        <v>45131</v>
      </c>
      <c r="B6810" s="399"/>
      <c r="C6810" s="5" t="s">
        <v>541</v>
      </c>
      <c r="D6810" s="5" t="s">
        <v>294</v>
      </c>
      <c r="E6810" s="43">
        <v>20000</v>
      </c>
      <c r="F6810" s="43"/>
      <c r="G6810" s="48">
        <f t="shared" si="168"/>
        <v>973774.19354838668</v>
      </c>
      <c r="H6810" s="391" t="s">
        <v>9568</v>
      </c>
    </row>
    <row r="6811" spans="1:8" x14ac:dyDescent="0.3">
      <c r="A6811" s="509">
        <v>45131</v>
      </c>
      <c r="B6811" s="399" t="s">
        <v>12087</v>
      </c>
      <c r="C6811" s="5" t="s">
        <v>11785</v>
      </c>
      <c r="D6811" s="5" t="s">
        <v>11786</v>
      </c>
      <c r="E6811" s="43">
        <v>200000</v>
      </c>
      <c r="F6811" s="43"/>
      <c r="G6811" s="48">
        <f t="shared" si="168"/>
        <v>773774.19354838668</v>
      </c>
      <c r="H6811" s="391" t="s">
        <v>9568</v>
      </c>
    </row>
    <row r="6812" spans="1:8" x14ac:dyDescent="0.3">
      <c r="A6812" s="509">
        <v>45131</v>
      </c>
      <c r="B6812" s="399" t="s">
        <v>12190</v>
      </c>
      <c r="C6812" s="5" t="s">
        <v>1074</v>
      </c>
      <c r="D6812" s="5" t="s">
        <v>11415</v>
      </c>
      <c r="E6812" s="43">
        <v>97736</v>
      </c>
      <c r="F6812" s="43"/>
      <c r="G6812" s="48">
        <f t="shared" si="168"/>
        <v>676038.19354838668</v>
      </c>
      <c r="H6812" s="391" t="s">
        <v>9568</v>
      </c>
    </row>
    <row r="6813" spans="1:8" x14ac:dyDescent="0.3">
      <c r="A6813" s="509">
        <v>45131</v>
      </c>
      <c r="B6813" s="399" t="s">
        <v>25</v>
      </c>
      <c r="C6813" s="5" t="s">
        <v>1074</v>
      </c>
      <c r="D6813" s="5" t="s">
        <v>11415</v>
      </c>
      <c r="E6813" s="43">
        <v>48454</v>
      </c>
      <c r="F6813" s="43"/>
      <c r="G6813" s="48">
        <f t="shared" si="168"/>
        <v>627584.19354838668</v>
      </c>
      <c r="H6813" s="391" t="s">
        <v>9568</v>
      </c>
    </row>
    <row r="6814" spans="1:8" x14ac:dyDescent="0.3">
      <c r="A6814" s="509">
        <v>45131</v>
      </c>
      <c r="B6814" s="399" t="s">
        <v>11465</v>
      </c>
      <c r="C6814" s="5" t="s">
        <v>9126</v>
      </c>
      <c r="D6814" s="5" t="s">
        <v>11787</v>
      </c>
      <c r="E6814" s="43">
        <v>4000</v>
      </c>
      <c r="F6814" s="43"/>
      <c r="G6814" s="48">
        <f t="shared" si="168"/>
        <v>623584.19354838668</v>
      </c>
      <c r="H6814" s="391" t="s">
        <v>9568</v>
      </c>
    </row>
    <row r="6815" spans="1:8" x14ac:dyDescent="0.3">
      <c r="A6815" s="509">
        <v>45131</v>
      </c>
      <c r="B6815" s="399" t="s">
        <v>25</v>
      </c>
      <c r="C6815" s="5" t="s">
        <v>25</v>
      </c>
      <c r="D6815" s="5" t="s">
        <v>11311</v>
      </c>
      <c r="E6815" s="43">
        <v>500</v>
      </c>
      <c r="F6815" s="43"/>
      <c r="G6815" s="48">
        <f t="shared" si="168"/>
        <v>623084.19354838668</v>
      </c>
      <c r="H6815" s="391" t="s">
        <v>9568</v>
      </c>
    </row>
    <row r="6816" spans="1:8" x14ac:dyDescent="0.3">
      <c r="A6816" s="509">
        <v>45131</v>
      </c>
      <c r="B6816" s="399"/>
      <c r="C6816" s="5" t="s">
        <v>247</v>
      </c>
      <c r="D6816" s="5" t="s">
        <v>11752</v>
      </c>
      <c r="E6816" s="43">
        <v>10000</v>
      </c>
      <c r="F6816" s="43"/>
      <c r="G6816" s="48">
        <f t="shared" si="168"/>
        <v>613084.19354838668</v>
      </c>
      <c r="H6816" s="391" t="s">
        <v>9568</v>
      </c>
    </row>
    <row r="6817" spans="1:8" x14ac:dyDescent="0.3">
      <c r="A6817" s="509">
        <v>45131</v>
      </c>
      <c r="B6817" s="399" t="s">
        <v>11064</v>
      </c>
      <c r="C6817" s="5" t="s">
        <v>8928</v>
      </c>
      <c r="D6817" s="5" t="s">
        <v>11788</v>
      </c>
      <c r="E6817" s="43">
        <v>20000</v>
      </c>
      <c r="F6817" s="43"/>
      <c r="G6817" s="48">
        <f t="shared" si="168"/>
        <v>593084.19354838668</v>
      </c>
      <c r="H6817" s="391" t="s">
        <v>9568</v>
      </c>
    </row>
    <row r="6818" spans="1:8" x14ac:dyDescent="0.3">
      <c r="A6818" s="509">
        <v>45131</v>
      </c>
      <c r="B6818" s="399" t="s">
        <v>10615</v>
      </c>
      <c r="C6818" s="5" t="s">
        <v>6430</v>
      </c>
      <c r="D6818" s="5" t="s">
        <v>11789</v>
      </c>
      <c r="E6818" s="43">
        <v>5000</v>
      </c>
      <c r="F6818" s="43"/>
      <c r="G6818" s="48">
        <f t="shared" si="168"/>
        <v>588084.19354838668</v>
      </c>
      <c r="H6818" s="391" t="s">
        <v>9568</v>
      </c>
    </row>
    <row r="6819" spans="1:8" x14ac:dyDescent="0.3">
      <c r="A6819" s="509">
        <v>45131</v>
      </c>
      <c r="B6819" s="399" t="s">
        <v>10615</v>
      </c>
      <c r="C6819" s="5" t="s">
        <v>84</v>
      </c>
      <c r="D6819" s="5" t="s">
        <v>11790</v>
      </c>
      <c r="E6819" s="43">
        <v>2000</v>
      </c>
      <c r="F6819" s="43"/>
      <c r="G6819" s="241">
        <f t="shared" si="168"/>
        <v>586084.19354838668</v>
      </c>
      <c r="H6819" s="391" t="s">
        <v>9568</v>
      </c>
    </row>
    <row r="6820" spans="1:8" x14ac:dyDescent="0.3">
      <c r="A6820" s="509">
        <v>45131</v>
      </c>
      <c r="B6820" s="399" t="s">
        <v>10615</v>
      </c>
      <c r="C6820" s="5" t="s">
        <v>84</v>
      </c>
      <c r="D6820" s="5" t="s">
        <v>11791</v>
      </c>
      <c r="E6820" s="43">
        <v>2000</v>
      </c>
      <c r="F6820" s="43"/>
      <c r="G6820" s="48">
        <f t="shared" si="168"/>
        <v>584084.19354838668</v>
      </c>
      <c r="H6820" s="391" t="s">
        <v>9568</v>
      </c>
    </row>
    <row r="6821" spans="1:8" x14ac:dyDescent="0.3">
      <c r="A6821" s="509">
        <v>45131</v>
      </c>
      <c r="B6821" s="399" t="s">
        <v>25</v>
      </c>
      <c r="C6821" s="5" t="s">
        <v>25</v>
      </c>
      <c r="D6821" s="5" t="s">
        <v>11455</v>
      </c>
      <c r="E6821" s="43">
        <v>2000</v>
      </c>
      <c r="F6821" s="43"/>
      <c r="G6821" s="48">
        <f t="shared" si="168"/>
        <v>582084.19354838668</v>
      </c>
      <c r="H6821" s="391" t="s">
        <v>9568</v>
      </c>
    </row>
    <row r="6822" spans="1:8" x14ac:dyDescent="0.3">
      <c r="A6822" s="509">
        <v>45131</v>
      </c>
      <c r="B6822" s="399" t="s">
        <v>11465</v>
      </c>
      <c r="C6822" s="5" t="s">
        <v>4550</v>
      </c>
      <c r="D6822" s="5" t="s">
        <v>11792</v>
      </c>
      <c r="E6822" s="43">
        <v>50000</v>
      </c>
      <c r="F6822" s="43"/>
      <c r="G6822" s="48">
        <f t="shared" si="168"/>
        <v>532084.19354838668</v>
      </c>
      <c r="H6822" s="391" t="s">
        <v>9568</v>
      </c>
    </row>
    <row r="6823" spans="1:8" x14ac:dyDescent="0.3">
      <c r="A6823" s="509">
        <v>45131</v>
      </c>
      <c r="B6823" s="399" t="s">
        <v>11772</v>
      </c>
      <c r="C6823" s="5" t="s">
        <v>9756</v>
      </c>
      <c r="D6823" s="5" t="s">
        <v>11793</v>
      </c>
      <c r="E6823" s="43">
        <v>4350</v>
      </c>
      <c r="F6823" s="43"/>
      <c r="G6823" s="48">
        <f t="shared" ref="G6823:G6857" si="169">G6822+F6823-E6823</f>
        <v>527734.19354838668</v>
      </c>
      <c r="H6823" s="391" t="s">
        <v>9568</v>
      </c>
    </row>
    <row r="6824" spans="1:8" x14ac:dyDescent="0.3">
      <c r="A6824" s="509">
        <v>45131</v>
      </c>
      <c r="B6824" s="399" t="s">
        <v>12092</v>
      </c>
      <c r="C6824" s="5" t="s">
        <v>10815</v>
      </c>
      <c r="D6824" s="5" t="s">
        <v>11748</v>
      </c>
      <c r="E6824" s="43">
        <v>275000</v>
      </c>
      <c r="F6824" s="43"/>
      <c r="G6824" s="48">
        <f t="shared" si="169"/>
        <v>252734.19354838668</v>
      </c>
      <c r="H6824" s="391" t="s">
        <v>9568</v>
      </c>
    </row>
    <row r="6825" spans="1:8" x14ac:dyDescent="0.3">
      <c r="A6825" s="509">
        <v>45131</v>
      </c>
      <c r="B6825" s="399" t="s">
        <v>10333</v>
      </c>
      <c r="C6825" s="5" t="s">
        <v>30</v>
      </c>
      <c r="D6825" s="5" t="s">
        <v>10651</v>
      </c>
      <c r="E6825" s="43">
        <v>1620</v>
      </c>
      <c r="F6825" s="43"/>
      <c r="G6825" s="48">
        <f t="shared" si="169"/>
        <v>251114.19354838668</v>
      </c>
      <c r="H6825" s="391" t="s">
        <v>9568</v>
      </c>
    </row>
    <row r="6826" spans="1:8" x14ac:dyDescent="0.3">
      <c r="A6826" s="509">
        <v>45131</v>
      </c>
      <c r="B6826" s="399" t="s">
        <v>11528</v>
      </c>
      <c r="C6826" s="5" t="s">
        <v>5793</v>
      </c>
      <c r="D6826" s="5" t="s">
        <v>40</v>
      </c>
      <c r="E6826" s="43">
        <v>2000</v>
      </c>
      <c r="F6826" s="43"/>
      <c r="G6826" s="48">
        <f t="shared" si="169"/>
        <v>249114.19354838668</v>
      </c>
      <c r="H6826" s="391" t="s">
        <v>9568</v>
      </c>
    </row>
    <row r="6827" spans="1:8" x14ac:dyDescent="0.3">
      <c r="A6827" s="509">
        <v>45131</v>
      </c>
      <c r="B6827" s="399" t="s">
        <v>12092</v>
      </c>
      <c r="C6827" s="5" t="s">
        <v>5793</v>
      </c>
      <c r="D6827" s="5" t="s">
        <v>40</v>
      </c>
      <c r="E6827" s="43">
        <v>800</v>
      </c>
      <c r="F6827" s="43"/>
      <c r="G6827" s="48">
        <f t="shared" si="169"/>
        <v>248314.19354838668</v>
      </c>
      <c r="H6827" s="391" t="s">
        <v>9568</v>
      </c>
    </row>
    <row r="6828" spans="1:8" x14ac:dyDescent="0.3">
      <c r="A6828" s="509">
        <v>45131</v>
      </c>
      <c r="B6828" s="399" t="s">
        <v>10766</v>
      </c>
      <c r="C6828" s="5" t="s">
        <v>5793</v>
      </c>
      <c r="D6828" s="5" t="s">
        <v>40</v>
      </c>
      <c r="E6828" s="43">
        <v>800</v>
      </c>
      <c r="F6828" s="43"/>
      <c r="G6828" s="48">
        <f t="shared" si="169"/>
        <v>247514.19354838668</v>
      </c>
      <c r="H6828" s="391" t="s">
        <v>9568</v>
      </c>
    </row>
    <row r="6829" spans="1:8" x14ac:dyDescent="0.3">
      <c r="A6829" s="509">
        <v>45132</v>
      </c>
      <c r="B6829" s="586"/>
      <c r="C6829" s="486"/>
      <c r="D6829" s="497" t="s">
        <v>11794</v>
      </c>
      <c r="E6829" s="486"/>
      <c r="F6829" s="43">
        <v>10000</v>
      </c>
      <c r="G6829" s="48">
        <f t="shared" si="169"/>
        <v>257514.19354838668</v>
      </c>
      <c r="H6829" s="391" t="s">
        <v>9568</v>
      </c>
    </row>
    <row r="6830" spans="1:8" x14ac:dyDescent="0.3">
      <c r="A6830" s="509">
        <v>45132</v>
      </c>
      <c r="B6830" s="399" t="s">
        <v>12092</v>
      </c>
      <c r="C6830" s="5" t="s">
        <v>4550</v>
      </c>
      <c r="D6830" s="5" t="s">
        <v>11795</v>
      </c>
      <c r="E6830" s="43">
        <v>50000</v>
      </c>
      <c r="F6830" s="43"/>
      <c r="G6830" s="48">
        <f t="shared" si="169"/>
        <v>207514.19354838668</v>
      </c>
      <c r="H6830" s="391" t="s">
        <v>9568</v>
      </c>
    </row>
    <row r="6831" spans="1:8" x14ac:dyDescent="0.3">
      <c r="A6831" s="509">
        <v>45132</v>
      </c>
      <c r="B6831" s="399" t="s">
        <v>6481</v>
      </c>
      <c r="C6831" s="5" t="s">
        <v>84</v>
      </c>
      <c r="D6831" s="5" t="s">
        <v>11796</v>
      </c>
      <c r="E6831" s="43">
        <v>2000</v>
      </c>
      <c r="F6831" s="43"/>
      <c r="G6831" s="48">
        <f t="shared" si="169"/>
        <v>205514.19354838668</v>
      </c>
      <c r="H6831" s="391" t="s">
        <v>9568</v>
      </c>
    </row>
    <row r="6832" spans="1:8" x14ac:dyDescent="0.3">
      <c r="A6832" s="509">
        <v>45132</v>
      </c>
      <c r="B6832" s="399" t="s">
        <v>6481</v>
      </c>
      <c r="C6832" s="5" t="s">
        <v>57</v>
      </c>
      <c r="D6832" s="5" t="s">
        <v>294</v>
      </c>
      <c r="E6832" s="43">
        <v>1500</v>
      </c>
      <c r="F6832" s="43"/>
      <c r="G6832" s="48">
        <f t="shared" si="169"/>
        <v>204014.19354838668</v>
      </c>
      <c r="H6832" s="391" t="s">
        <v>9568</v>
      </c>
    </row>
    <row r="6833" spans="1:8" x14ac:dyDescent="0.3">
      <c r="A6833" s="509">
        <v>45132</v>
      </c>
      <c r="B6833" s="399"/>
      <c r="C6833" s="5" t="s">
        <v>5162</v>
      </c>
      <c r="D6833" s="5" t="s">
        <v>3910</v>
      </c>
      <c r="E6833" s="43">
        <v>6000</v>
      </c>
      <c r="F6833" s="43"/>
      <c r="G6833" s="48">
        <f t="shared" si="169"/>
        <v>198014.19354838668</v>
      </c>
      <c r="H6833" s="391" t="s">
        <v>9568</v>
      </c>
    </row>
    <row r="6834" spans="1:8" x14ac:dyDescent="0.3">
      <c r="A6834" s="509">
        <v>45132</v>
      </c>
      <c r="B6834" s="399" t="s">
        <v>12089</v>
      </c>
      <c r="C6834" s="5" t="s">
        <v>9126</v>
      </c>
      <c r="D6834" s="5" t="s">
        <v>11797</v>
      </c>
      <c r="E6834" s="43">
        <v>100000</v>
      </c>
      <c r="F6834" s="43"/>
      <c r="G6834" s="48">
        <f t="shared" si="169"/>
        <v>98014.193548386684</v>
      </c>
      <c r="H6834" s="391" t="s">
        <v>9568</v>
      </c>
    </row>
    <row r="6835" spans="1:8" x14ac:dyDescent="0.3">
      <c r="A6835" s="509">
        <v>45132</v>
      </c>
      <c r="B6835" s="399" t="s">
        <v>12089</v>
      </c>
      <c r="C6835" s="5" t="s">
        <v>9756</v>
      </c>
      <c r="D6835" s="5" t="s">
        <v>11798</v>
      </c>
      <c r="E6835" s="43">
        <v>2850</v>
      </c>
      <c r="F6835" s="43"/>
      <c r="G6835" s="48">
        <f t="shared" si="169"/>
        <v>95164.193548386684</v>
      </c>
      <c r="H6835" s="391" t="s">
        <v>9568</v>
      </c>
    </row>
    <row r="6836" spans="1:8" x14ac:dyDescent="0.3">
      <c r="A6836" s="509">
        <v>45132</v>
      </c>
      <c r="B6836" s="399" t="s">
        <v>12191</v>
      </c>
      <c r="C6836" s="5" t="s">
        <v>5979</v>
      </c>
      <c r="D6836" s="5" t="s">
        <v>294</v>
      </c>
      <c r="E6836" s="43">
        <v>10000</v>
      </c>
      <c r="F6836" s="43"/>
      <c r="G6836" s="48">
        <f t="shared" si="169"/>
        <v>85164.193548386684</v>
      </c>
      <c r="H6836" s="391" t="s">
        <v>9568</v>
      </c>
    </row>
    <row r="6837" spans="1:8" x14ac:dyDescent="0.3">
      <c r="A6837" s="509">
        <v>45132</v>
      </c>
      <c r="B6837" s="399" t="s">
        <v>10333</v>
      </c>
      <c r="C6837" s="5" t="s">
        <v>10815</v>
      </c>
      <c r="D6837" s="5" t="s">
        <v>11803</v>
      </c>
      <c r="E6837" s="43">
        <v>42500</v>
      </c>
      <c r="F6837" s="43"/>
      <c r="G6837" s="48">
        <f t="shared" si="169"/>
        <v>42664.193548386684</v>
      </c>
      <c r="H6837" s="391" t="s">
        <v>9568</v>
      </c>
    </row>
    <row r="6838" spans="1:8" x14ac:dyDescent="0.3">
      <c r="A6838" s="509">
        <v>45132</v>
      </c>
      <c r="B6838" s="399" t="s">
        <v>10333</v>
      </c>
      <c r="C6838" s="5" t="s">
        <v>10815</v>
      </c>
      <c r="D6838" s="5" t="s">
        <v>11804</v>
      </c>
      <c r="E6838" s="43">
        <v>24000</v>
      </c>
      <c r="F6838" s="43"/>
      <c r="G6838" s="48">
        <f t="shared" si="169"/>
        <v>18664.193548386684</v>
      </c>
      <c r="H6838" s="391" t="s">
        <v>9568</v>
      </c>
    </row>
    <row r="6839" spans="1:8" x14ac:dyDescent="0.3">
      <c r="A6839" s="509">
        <v>45132</v>
      </c>
      <c r="B6839" s="399" t="s">
        <v>11528</v>
      </c>
      <c r="C6839" s="5" t="s">
        <v>10815</v>
      </c>
      <c r="D6839" s="5" t="s">
        <v>11805</v>
      </c>
      <c r="E6839" s="43">
        <v>2000</v>
      </c>
      <c r="F6839" s="43"/>
      <c r="G6839" s="48">
        <f t="shared" si="169"/>
        <v>16664.193548386684</v>
      </c>
      <c r="H6839" s="391" t="s">
        <v>9568</v>
      </c>
    </row>
    <row r="6840" spans="1:8" x14ac:dyDescent="0.3">
      <c r="A6840" s="509">
        <v>45132</v>
      </c>
      <c r="B6840" s="399"/>
      <c r="C6840" s="5" t="s">
        <v>25</v>
      </c>
      <c r="D6840" s="5" t="s">
        <v>11806</v>
      </c>
      <c r="E6840" s="43">
        <v>250</v>
      </c>
      <c r="F6840" s="43"/>
      <c r="G6840" s="48">
        <f t="shared" si="169"/>
        <v>16414.193548386684</v>
      </c>
      <c r="H6840" s="391" t="s">
        <v>9568</v>
      </c>
    </row>
    <row r="6841" spans="1:8" x14ac:dyDescent="0.3">
      <c r="A6841" s="509">
        <v>45132</v>
      </c>
      <c r="B6841" s="399" t="s">
        <v>11528</v>
      </c>
      <c r="C6841" s="5" t="s">
        <v>30</v>
      </c>
      <c r="D6841" s="5" t="s">
        <v>11807</v>
      </c>
      <c r="E6841" s="43">
        <v>300</v>
      </c>
      <c r="F6841" s="43"/>
      <c r="G6841" s="48">
        <f t="shared" si="169"/>
        <v>16114.193548386684</v>
      </c>
      <c r="H6841" s="391" t="s">
        <v>9568</v>
      </c>
    </row>
    <row r="6842" spans="1:8" x14ac:dyDescent="0.3">
      <c r="A6842" s="509">
        <v>45132</v>
      </c>
      <c r="B6842" s="399" t="s">
        <v>11528</v>
      </c>
      <c r="C6842" s="5" t="s">
        <v>5793</v>
      </c>
      <c r="D6842" s="5" t="s">
        <v>40</v>
      </c>
      <c r="E6842" s="43">
        <v>800</v>
      </c>
      <c r="F6842" s="43"/>
      <c r="G6842" s="48">
        <f t="shared" si="169"/>
        <v>15314.193548386684</v>
      </c>
      <c r="H6842" s="391" t="s">
        <v>9568</v>
      </c>
    </row>
    <row r="6843" spans="1:8" x14ac:dyDescent="0.3">
      <c r="A6843" s="509">
        <v>45132</v>
      </c>
      <c r="B6843" s="399" t="s">
        <v>11164</v>
      </c>
      <c r="C6843" s="5" t="s">
        <v>11194</v>
      </c>
      <c r="D6843" s="5" t="s">
        <v>11808</v>
      </c>
      <c r="E6843" s="43">
        <v>4600</v>
      </c>
      <c r="F6843" s="43"/>
      <c r="G6843" s="48">
        <f t="shared" si="169"/>
        <v>10714.193548386684</v>
      </c>
      <c r="H6843" s="391" t="s">
        <v>9568</v>
      </c>
    </row>
    <row r="6844" spans="1:8" x14ac:dyDescent="0.3">
      <c r="A6844" s="509">
        <v>45132</v>
      </c>
      <c r="B6844" s="399" t="s">
        <v>25</v>
      </c>
      <c r="C6844" s="5" t="s">
        <v>25</v>
      </c>
      <c r="D6844" s="5" t="s">
        <v>11455</v>
      </c>
      <c r="E6844" s="43">
        <v>2000</v>
      </c>
      <c r="F6844" s="43"/>
      <c r="G6844" s="48">
        <f t="shared" si="169"/>
        <v>8714.1935483866837</v>
      </c>
      <c r="H6844" s="391" t="s">
        <v>9568</v>
      </c>
    </row>
    <row r="6845" spans="1:8" x14ac:dyDescent="0.3">
      <c r="A6845" s="509">
        <v>45133</v>
      </c>
      <c r="B6845" s="399" t="s">
        <v>12089</v>
      </c>
      <c r="C6845" s="5" t="s">
        <v>5793</v>
      </c>
      <c r="D6845" s="5" t="s">
        <v>40</v>
      </c>
      <c r="E6845" s="43">
        <v>1200</v>
      </c>
      <c r="F6845" s="43"/>
      <c r="G6845" s="48">
        <f t="shared" si="169"/>
        <v>7514.1935483866837</v>
      </c>
      <c r="H6845" s="391" t="s">
        <v>9568</v>
      </c>
    </row>
    <row r="6846" spans="1:8" x14ac:dyDescent="0.3">
      <c r="A6846" s="509">
        <v>45133</v>
      </c>
      <c r="B6846" s="399" t="s">
        <v>10615</v>
      </c>
      <c r="C6846" s="5" t="s">
        <v>84</v>
      </c>
      <c r="D6846" s="5" t="s">
        <v>11810</v>
      </c>
      <c r="E6846" s="43">
        <v>3000</v>
      </c>
      <c r="F6846" s="43"/>
      <c r="G6846" s="48">
        <f t="shared" si="169"/>
        <v>4514.1935483866837</v>
      </c>
      <c r="H6846" s="391" t="s">
        <v>9568</v>
      </c>
    </row>
    <row r="6847" spans="1:8" x14ac:dyDescent="0.3">
      <c r="A6847" s="509">
        <v>45133</v>
      </c>
      <c r="B6847" s="586"/>
      <c r="C6847" s="486"/>
      <c r="D6847" s="497" t="s">
        <v>4106</v>
      </c>
      <c r="E6847" s="486"/>
      <c r="F6847" s="43">
        <v>150000</v>
      </c>
      <c r="G6847" s="48">
        <f t="shared" si="169"/>
        <v>154514.19354838668</v>
      </c>
      <c r="H6847" s="391" t="s">
        <v>9568</v>
      </c>
    </row>
    <row r="6848" spans="1:8" x14ac:dyDescent="0.3">
      <c r="A6848" s="509">
        <v>45133</v>
      </c>
      <c r="B6848" s="399"/>
      <c r="C6848" s="5" t="s">
        <v>5162</v>
      </c>
      <c r="D6848" s="5" t="s">
        <v>5813</v>
      </c>
      <c r="E6848" s="43">
        <v>7000</v>
      </c>
      <c r="F6848" s="43"/>
      <c r="G6848" s="48">
        <f t="shared" si="169"/>
        <v>147514.19354838668</v>
      </c>
      <c r="H6848" s="391" t="s">
        <v>9568</v>
      </c>
    </row>
    <row r="6849" spans="1:8" x14ac:dyDescent="0.3">
      <c r="A6849" s="509">
        <v>45133</v>
      </c>
      <c r="B6849" s="586"/>
      <c r="C6849" s="486"/>
      <c r="D6849" s="497" t="s">
        <v>11811</v>
      </c>
      <c r="E6849" s="486"/>
      <c r="F6849" s="43">
        <v>60000</v>
      </c>
      <c r="G6849" s="48">
        <f t="shared" si="169"/>
        <v>207514.19354838668</v>
      </c>
      <c r="H6849" s="391" t="s">
        <v>9568</v>
      </c>
    </row>
    <row r="6850" spans="1:8" x14ac:dyDescent="0.3">
      <c r="A6850" s="509">
        <v>45133</v>
      </c>
      <c r="B6850" s="399" t="s">
        <v>10333</v>
      </c>
      <c r="C6850" s="5" t="s">
        <v>5793</v>
      </c>
      <c r="D6850" s="5" t="s">
        <v>40</v>
      </c>
      <c r="E6850" s="43">
        <v>2400</v>
      </c>
      <c r="F6850" s="43"/>
      <c r="G6850" s="48">
        <f t="shared" si="169"/>
        <v>205114.19354838668</v>
      </c>
      <c r="H6850" s="391" t="s">
        <v>9568</v>
      </c>
    </row>
    <row r="6851" spans="1:8" x14ac:dyDescent="0.3">
      <c r="A6851" s="509">
        <v>45133</v>
      </c>
      <c r="B6851" s="399" t="s">
        <v>25</v>
      </c>
      <c r="C6851" s="5" t="s">
        <v>5482</v>
      </c>
      <c r="D6851" s="5" t="s">
        <v>11812</v>
      </c>
      <c r="E6851" s="43">
        <v>10000</v>
      </c>
      <c r="F6851" s="43"/>
      <c r="G6851" s="48">
        <f t="shared" si="169"/>
        <v>195114.19354838668</v>
      </c>
      <c r="H6851" s="391" t="s">
        <v>9568</v>
      </c>
    </row>
    <row r="6852" spans="1:8" x14ac:dyDescent="0.3">
      <c r="A6852" s="509">
        <v>45133</v>
      </c>
      <c r="B6852" s="345" t="s">
        <v>12096</v>
      </c>
      <c r="C6852" s="5" t="s">
        <v>10815</v>
      </c>
      <c r="D6852" s="5" t="s">
        <v>11814</v>
      </c>
      <c r="E6852" s="43">
        <v>13720</v>
      </c>
      <c r="F6852" s="43"/>
      <c r="G6852" s="48">
        <f t="shared" si="169"/>
        <v>181394.19354838668</v>
      </c>
      <c r="H6852" s="391" t="s">
        <v>9568</v>
      </c>
    </row>
    <row r="6853" spans="1:8" x14ac:dyDescent="0.3">
      <c r="A6853" s="509">
        <v>45133</v>
      </c>
      <c r="B6853" s="399"/>
      <c r="C6853" s="5" t="s">
        <v>18</v>
      </c>
      <c r="D6853" s="5" t="s">
        <v>5813</v>
      </c>
      <c r="E6853" s="43">
        <v>4000</v>
      </c>
      <c r="F6853" s="43"/>
      <c r="G6853" s="48">
        <f t="shared" si="169"/>
        <v>177394.19354838668</v>
      </c>
      <c r="H6853" s="391" t="s">
        <v>9568</v>
      </c>
    </row>
    <row r="6854" spans="1:8" x14ac:dyDescent="0.3">
      <c r="A6854" s="509">
        <v>45134</v>
      </c>
      <c r="B6854" s="399" t="s">
        <v>11528</v>
      </c>
      <c r="C6854" s="5" t="s">
        <v>11815</v>
      </c>
      <c r="D6854" s="5" t="s">
        <v>11816</v>
      </c>
      <c r="E6854" s="43">
        <v>1000</v>
      </c>
      <c r="F6854" s="43"/>
      <c r="G6854" s="48">
        <f t="shared" si="169"/>
        <v>176394.19354838668</v>
      </c>
      <c r="H6854" s="391" t="s">
        <v>9568</v>
      </c>
    </row>
    <row r="6855" spans="1:8" x14ac:dyDescent="0.3">
      <c r="A6855" s="509">
        <v>45134</v>
      </c>
      <c r="B6855" s="399" t="s">
        <v>12091</v>
      </c>
      <c r="C6855" s="5" t="s">
        <v>10815</v>
      </c>
      <c r="D6855" s="5" t="s">
        <v>11817</v>
      </c>
      <c r="E6855" s="43">
        <v>5600</v>
      </c>
      <c r="F6855" s="43"/>
      <c r="G6855" s="48">
        <f t="shared" si="169"/>
        <v>170794.19354838668</v>
      </c>
      <c r="H6855" s="391" t="s">
        <v>9568</v>
      </c>
    </row>
    <row r="6856" spans="1:8" x14ac:dyDescent="0.3">
      <c r="A6856" s="509">
        <v>45134</v>
      </c>
      <c r="B6856" s="399" t="s">
        <v>12190</v>
      </c>
      <c r="C6856" s="5" t="s">
        <v>11818</v>
      </c>
      <c r="D6856" s="5" t="s">
        <v>11819</v>
      </c>
      <c r="E6856" s="43">
        <v>20000</v>
      </c>
      <c r="F6856" s="43"/>
      <c r="G6856" s="48">
        <f t="shared" si="169"/>
        <v>150794.19354838668</v>
      </c>
      <c r="H6856" s="391" t="s">
        <v>9568</v>
      </c>
    </row>
    <row r="6857" spans="1:8" x14ac:dyDescent="0.3">
      <c r="A6857" s="509">
        <v>45134</v>
      </c>
      <c r="B6857" s="399" t="s">
        <v>25</v>
      </c>
      <c r="C6857" s="5" t="s">
        <v>4400</v>
      </c>
      <c r="D6857" s="5" t="s">
        <v>40</v>
      </c>
      <c r="E6857" s="43">
        <v>4670</v>
      </c>
      <c r="F6857" s="43"/>
      <c r="G6857" s="48">
        <f t="shared" si="169"/>
        <v>146124.19354838668</v>
      </c>
      <c r="H6857" s="391" t="s">
        <v>9568</v>
      </c>
    </row>
    <row r="6858" spans="1:8" x14ac:dyDescent="0.3">
      <c r="A6858" s="509">
        <v>45134</v>
      </c>
      <c r="B6858" s="399" t="s">
        <v>12189</v>
      </c>
      <c r="C6858" s="5" t="s">
        <v>9452</v>
      </c>
      <c r="D6858" s="5" t="s">
        <v>11820</v>
      </c>
      <c r="E6858" s="43">
        <v>6000</v>
      </c>
      <c r="F6858" s="43"/>
      <c r="G6858" s="48">
        <f t="shared" ref="G6858:G6904" si="170">G6857+F6858-E6858</f>
        <v>140124.19354838668</v>
      </c>
      <c r="H6858" s="391" t="s">
        <v>9568</v>
      </c>
    </row>
    <row r="6859" spans="1:8" x14ac:dyDescent="0.3">
      <c r="A6859" s="509">
        <v>45134</v>
      </c>
      <c r="B6859" s="399" t="s">
        <v>11821</v>
      </c>
      <c r="C6859" s="5" t="s">
        <v>84</v>
      </c>
      <c r="D6859" s="5" t="s">
        <v>11822</v>
      </c>
      <c r="E6859" s="43">
        <v>3000</v>
      </c>
      <c r="F6859" s="43"/>
      <c r="G6859" s="48">
        <f t="shared" si="170"/>
        <v>137124.19354838668</v>
      </c>
      <c r="H6859" s="391" t="s">
        <v>9568</v>
      </c>
    </row>
    <row r="6860" spans="1:8" x14ac:dyDescent="0.3">
      <c r="A6860" s="509">
        <v>45134</v>
      </c>
      <c r="B6860" s="399" t="s">
        <v>11164</v>
      </c>
      <c r="C6860" s="5" t="s">
        <v>10815</v>
      </c>
      <c r="D6860" s="5" t="s">
        <v>4342</v>
      </c>
      <c r="E6860" s="43">
        <v>2500</v>
      </c>
      <c r="F6860" s="43"/>
      <c r="G6860" s="48">
        <f t="shared" si="170"/>
        <v>134624.19354838668</v>
      </c>
      <c r="H6860" s="391" t="s">
        <v>9568</v>
      </c>
    </row>
    <row r="6861" spans="1:8" x14ac:dyDescent="0.3">
      <c r="A6861" s="509">
        <v>45134</v>
      </c>
      <c r="B6861" s="399" t="s">
        <v>12090</v>
      </c>
      <c r="C6861" s="5" t="s">
        <v>5288</v>
      </c>
      <c r="D6861" s="5" t="s">
        <v>11825</v>
      </c>
      <c r="E6861" s="43">
        <v>118000</v>
      </c>
      <c r="F6861" s="43"/>
      <c r="G6861" s="48">
        <f t="shared" si="170"/>
        <v>16624.193548386684</v>
      </c>
      <c r="H6861" s="391" t="s">
        <v>9568</v>
      </c>
    </row>
    <row r="6862" spans="1:8" x14ac:dyDescent="0.3">
      <c r="A6862" s="509">
        <v>45134</v>
      </c>
      <c r="B6862" s="399" t="s">
        <v>11528</v>
      </c>
      <c r="C6862" s="5" t="s">
        <v>5793</v>
      </c>
      <c r="D6862" s="5" t="s">
        <v>40</v>
      </c>
      <c r="E6862" s="43">
        <v>600</v>
      </c>
      <c r="F6862" s="43"/>
      <c r="G6862" s="48">
        <f t="shared" si="170"/>
        <v>16024.193548386684</v>
      </c>
      <c r="H6862" s="391" t="s">
        <v>9568</v>
      </c>
    </row>
    <row r="6863" spans="1:8" x14ac:dyDescent="0.3">
      <c r="A6863" s="509">
        <v>45134</v>
      </c>
      <c r="B6863" s="399" t="s">
        <v>11772</v>
      </c>
      <c r="C6863" s="5" t="s">
        <v>5793</v>
      </c>
      <c r="D6863" s="5" t="s">
        <v>40</v>
      </c>
      <c r="E6863" s="43">
        <v>600</v>
      </c>
      <c r="F6863" s="43"/>
      <c r="G6863" s="48">
        <f t="shared" si="170"/>
        <v>15424.193548386684</v>
      </c>
      <c r="H6863" s="391" t="s">
        <v>9568</v>
      </c>
    </row>
    <row r="6864" spans="1:8" x14ac:dyDescent="0.3">
      <c r="A6864" s="509">
        <v>45134</v>
      </c>
      <c r="B6864" s="399" t="s">
        <v>12089</v>
      </c>
      <c r="C6864" s="5" t="s">
        <v>11745</v>
      </c>
      <c r="D6864" s="5" t="s">
        <v>11827</v>
      </c>
      <c r="E6864" s="43">
        <v>1500</v>
      </c>
      <c r="F6864" s="43"/>
      <c r="G6864" s="48">
        <f t="shared" si="170"/>
        <v>13924.193548386684</v>
      </c>
      <c r="H6864" s="391" t="s">
        <v>9568</v>
      </c>
    </row>
    <row r="6865" spans="1:8" x14ac:dyDescent="0.3">
      <c r="A6865" s="509">
        <v>45138</v>
      </c>
      <c r="B6865" s="399" t="s">
        <v>12089</v>
      </c>
      <c r="C6865" s="5" t="s">
        <v>5162</v>
      </c>
      <c r="D6865" s="5" t="s">
        <v>294</v>
      </c>
      <c r="E6865" s="43">
        <v>2000</v>
      </c>
      <c r="F6865" s="43"/>
      <c r="G6865" s="48">
        <f t="shared" si="170"/>
        <v>11924.193548386684</v>
      </c>
      <c r="H6865" s="391" t="s">
        <v>9568</v>
      </c>
    </row>
    <row r="6866" spans="1:8" x14ac:dyDescent="0.3">
      <c r="A6866" s="509">
        <v>45138</v>
      </c>
      <c r="B6866" s="399" t="s">
        <v>10615</v>
      </c>
      <c r="C6866" s="5" t="s">
        <v>5793</v>
      </c>
      <c r="D6866" s="5" t="s">
        <v>8924</v>
      </c>
      <c r="E6866" s="43">
        <v>250</v>
      </c>
      <c r="F6866" s="43"/>
      <c r="G6866" s="48">
        <f t="shared" si="170"/>
        <v>11674.193548386684</v>
      </c>
      <c r="H6866" s="391" t="s">
        <v>9568</v>
      </c>
    </row>
    <row r="6867" spans="1:8" x14ac:dyDescent="0.3">
      <c r="A6867" s="509">
        <v>45138</v>
      </c>
      <c r="B6867" s="399" t="s">
        <v>25</v>
      </c>
      <c r="C6867" s="5" t="s">
        <v>25</v>
      </c>
      <c r="D6867" s="5" t="s">
        <v>11455</v>
      </c>
      <c r="E6867" s="43">
        <v>2000</v>
      </c>
      <c r="F6867" s="43"/>
      <c r="G6867" s="48">
        <f t="shared" si="170"/>
        <v>9674.1935483866837</v>
      </c>
      <c r="H6867" s="391" t="s">
        <v>9568</v>
      </c>
    </row>
    <row r="6868" spans="1:8" x14ac:dyDescent="0.3">
      <c r="A6868" s="509">
        <v>45138</v>
      </c>
      <c r="B6868" s="586"/>
      <c r="C6868" s="486"/>
      <c r="D6868" s="497" t="s">
        <v>4106</v>
      </c>
      <c r="E6868" s="486"/>
      <c r="F6868" s="43">
        <v>275000</v>
      </c>
      <c r="G6868" s="48">
        <f t="shared" si="170"/>
        <v>284674.19354838668</v>
      </c>
      <c r="H6868" s="391" t="s">
        <v>9568</v>
      </c>
    </row>
    <row r="6869" spans="1:8" x14ac:dyDescent="0.3">
      <c r="A6869" s="509">
        <v>45138</v>
      </c>
      <c r="B6869" s="399" t="s">
        <v>12088</v>
      </c>
      <c r="C6869" s="5" t="s">
        <v>9756</v>
      </c>
      <c r="D6869" s="5" t="s">
        <v>4342</v>
      </c>
      <c r="E6869" s="43">
        <v>30724</v>
      </c>
      <c r="F6869" s="43"/>
      <c r="G6869" s="48">
        <f t="shared" si="170"/>
        <v>253950.19354838668</v>
      </c>
      <c r="H6869" s="391" t="s">
        <v>9568</v>
      </c>
    </row>
    <row r="6870" spans="1:8" x14ac:dyDescent="0.3">
      <c r="A6870" s="509">
        <v>45138</v>
      </c>
      <c r="B6870" s="399" t="s">
        <v>11528</v>
      </c>
      <c r="C6870" s="5" t="s">
        <v>9756</v>
      </c>
      <c r="D6870" s="5" t="s">
        <v>4342</v>
      </c>
      <c r="E6870" s="43">
        <v>6350</v>
      </c>
      <c r="F6870" s="43"/>
      <c r="G6870" s="48">
        <f t="shared" si="170"/>
        <v>247600.19354838668</v>
      </c>
      <c r="H6870" s="391" t="s">
        <v>9568</v>
      </c>
    </row>
    <row r="6871" spans="1:8" x14ac:dyDescent="0.3">
      <c r="A6871" s="509">
        <v>45138</v>
      </c>
      <c r="B6871" s="399" t="s">
        <v>12090</v>
      </c>
      <c r="C6871" s="5" t="s">
        <v>9756</v>
      </c>
      <c r="D6871" s="5" t="s">
        <v>4342</v>
      </c>
      <c r="E6871" s="43">
        <v>22890</v>
      </c>
      <c r="F6871" s="43"/>
      <c r="G6871" s="48">
        <f t="shared" si="170"/>
        <v>224710.19354838668</v>
      </c>
      <c r="H6871" s="391" t="s">
        <v>9568</v>
      </c>
    </row>
    <row r="6872" spans="1:8" x14ac:dyDescent="0.3">
      <c r="A6872" s="509">
        <v>45138</v>
      </c>
      <c r="B6872" s="399"/>
      <c r="C6872" s="5" t="s">
        <v>9756</v>
      </c>
      <c r="D6872" s="5" t="s">
        <v>2013</v>
      </c>
      <c r="E6872" s="43">
        <v>1400</v>
      </c>
      <c r="F6872" s="43"/>
      <c r="G6872" s="48">
        <f t="shared" si="170"/>
        <v>223310.19354838668</v>
      </c>
      <c r="H6872" s="391" t="s">
        <v>9568</v>
      </c>
    </row>
    <row r="6873" spans="1:8" x14ac:dyDescent="0.3">
      <c r="A6873" s="509">
        <v>45138</v>
      </c>
      <c r="B6873" s="399" t="s">
        <v>12093</v>
      </c>
      <c r="C6873" s="5" t="s">
        <v>10815</v>
      </c>
      <c r="D6873" s="5" t="s">
        <v>11831</v>
      </c>
      <c r="E6873" s="43">
        <v>4000</v>
      </c>
      <c r="F6873" s="43"/>
      <c r="G6873" s="48">
        <f t="shared" si="170"/>
        <v>219310.19354838668</v>
      </c>
      <c r="H6873" s="391" t="s">
        <v>9568</v>
      </c>
    </row>
    <row r="6874" spans="1:8" x14ac:dyDescent="0.3">
      <c r="A6874" s="509">
        <v>45138</v>
      </c>
      <c r="B6874" s="399" t="s">
        <v>11164</v>
      </c>
      <c r="C6874" s="5" t="s">
        <v>5793</v>
      </c>
      <c r="D6874" s="5" t="s">
        <v>8924</v>
      </c>
      <c r="E6874" s="43">
        <v>600</v>
      </c>
      <c r="F6874" s="43"/>
      <c r="G6874" s="48">
        <f t="shared" si="170"/>
        <v>218710.19354838668</v>
      </c>
      <c r="H6874" s="391" t="s">
        <v>9568</v>
      </c>
    </row>
    <row r="6875" spans="1:8" x14ac:dyDescent="0.3">
      <c r="A6875" s="509">
        <v>45138</v>
      </c>
      <c r="B6875" s="399" t="s">
        <v>12088</v>
      </c>
      <c r="C6875" s="5" t="s">
        <v>10709</v>
      </c>
      <c r="D6875" s="5" t="s">
        <v>11833</v>
      </c>
      <c r="E6875" s="43">
        <v>15000</v>
      </c>
      <c r="F6875" s="43"/>
      <c r="G6875" s="48">
        <f t="shared" si="170"/>
        <v>203710.19354838668</v>
      </c>
      <c r="H6875" s="391" t="s">
        <v>9568</v>
      </c>
    </row>
    <row r="6876" spans="1:8" x14ac:dyDescent="0.3">
      <c r="A6876" s="509">
        <v>45138</v>
      </c>
      <c r="B6876" s="399" t="s">
        <v>10867</v>
      </c>
      <c r="C6876" s="5" t="s">
        <v>116</v>
      </c>
      <c r="D6876" s="5" t="s">
        <v>11834</v>
      </c>
      <c r="E6876" s="43">
        <v>10000</v>
      </c>
      <c r="F6876" s="43"/>
      <c r="G6876" s="48">
        <f t="shared" si="170"/>
        <v>193710.19354838668</v>
      </c>
      <c r="H6876" s="391" t="s">
        <v>9568</v>
      </c>
    </row>
    <row r="6877" spans="1:8" x14ac:dyDescent="0.3">
      <c r="A6877" s="509">
        <v>45138</v>
      </c>
      <c r="B6877" s="399" t="s">
        <v>12088</v>
      </c>
      <c r="C6877" s="5" t="s">
        <v>5793</v>
      </c>
      <c r="D6877" s="5" t="s">
        <v>40</v>
      </c>
      <c r="E6877" s="43">
        <v>1400</v>
      </c>
      <c r="F6877" s="43"/>
      <c r="G6877" s="48">
        <f t="shared" si="170"/>
        <v>192310.19354838668</v>
      </c>
      <c r="H6877" s="391" t="s">
        <v>9568</v>
      </c>
    </row>
    <row r="6878" spans="1:8" x14ac:dyDescent="0.3">
      <c r="A6878" s="509">
        <v>45138</v>
      </c>
      <c r="B6878" s="399"/>
      <c r="C6878" s="5" t="s">
        <v>84</v>
      </c>
      <c r="D6878" s="5" t="s">
        <v>11835</v>
      </c>
      <c r="E6878" s="43">
        <v>10000</v>
      </c>
      <c r="F6878" s="43"/>
      <c r="G6878" s="48">
        <f t="shared" si="170"/>
        <v>182310.19354838668</v>
      </c>
      <c r="H6878" s="391" t="s">
        <v>9568</v>
      </c>
    </row>
    <row r="6879" spans="1:8" x14ac:dyDescent="0.3">
      <c r="A6879" s="509">
        <v>45138</v>
      </c>
      <c r="B6879" s="399" t="s">
        <v>25</v>
      </c>
      <c r="C6879" s="5" t="s">
        <v>5482</v>
      </c>
      <c r="D6879" s="5" t="s">
        <v>11812</v>
      </c>
      <c r="E6879" s="43">
        <v>10000</v>
      </c>
      <c r="F6879" s="43"/>
      <c r="G6879" s="48">
        <f t="shared" si="170"/>
        <v>172310.19354838668</v>
      </c>
      <c r="H6879" s="391" t="s">
        <v>9568</v>
      </c>
    </row>
    <row r="6880" spans="1:8" x14ac:dyDescent="0.3">
      <c r="A6880" s="509">
        <v>45138</v>
      </c>
      <c r="B6880" s="399" t="s">
        <v>12089</v>
      </c>
      <c r="C6880" s="5" t="s">
        <v>11745</v>
      </c>
      <c r="D6880" s="5" t="s">
        <v>11836</v>
      </c>
      <c r="E6880" s="43">
        <v>500</v>
      </c>
      <c r="F6880" s="43"/>
      <c r="G6880" s="48">
        <f t="shared" si="170"/>
        <v>171810.19354838668</v>
      </c>
      <c r="H6880" s="391" t="s">
        <v>9568</v>
      </c>
    </row>
    <row r="6881" spans="1:8" x14ac:dyDescent="0.3">
      <c r="A6881" s="509">
        <v>45139</v>
      </c>
      <c r="B6881" s="399"/>
      <c r="C6881" s="5" t="s">
        <v>14</v>
      </c>
      <c r="D6881" s="5" t="s">
        <v>294</v>
      </c>
      <c r="E6881" s="43">
        <v>5000</v>
      </c>
      <c r="F6881" s="43"/>
      <c r="G6881" s="48">
        <f t="shared" si="170"/>
        <v>166810.19354838668</v>
      </c>
      <c r="H6881" s="391" t="s">
        <v>9568</v>
      </c>
    </row>
    <row r="6882" spans="1:8" x14ac:dyDescent="0.3">
      <c r="A6882" s="509">
        <v>45139</v>
      </c>
      <c r="B6882" s="399" t="s">
        <v>11772</v>
      </c>
      <c r="C6882" s="5" t="s">
        <v>9756</v>
      </c>
      <c r="D6882" s="5" t="s">
        <v>11838</v>
      </c>
      <c r="E6882" s="43">
        <v>2940</v>
      </c>
      <c r="F6882" s="43"/>
      <c r="G6882" s="48">
        <f t="shared" si="170"/>
        <v>163870.19354838668</v>
      </c>
      <c r="H6882" s="391" t="s">
        <v>9568</v>
      </c>
    </row>
    <row r="6883" spans="1:8" x14ac:dyDescent="0.3">
      <c r="A6883" s="509">
        <v>45139</v>
      </c>
      <c r="B6883" s="399" t="s">
        <v>11772</v>
      </c>
      <c r="C6883" s="5" t="s">
        <v>9525</v>
      </c>
      <c r="D6883" s="5" t="s">
        <v>2013</v>
      </c>
      <c r="E6883" s="43">
        <v>2800</v>
      </c>
      <c r="F6883" s="43"/>
      <c r="G6883" s="48">
        <f t="shared" si="170"/>
        <v>161070.19354838668</v>
      </c>
      <c r="H6883" s="391" t="s">
        <v>9568</v>
      </c>
    </row>
    <row r="6884" spans="1:8" x14ac:dyDescent="0.3">
      <c r="A6884" s="509">
        <v>45139</v>
      </c>
      <c r="B6884" s="399" t="s">
        <v>11528</v>
      </c>
      <c r="C6884" s="5" t="s">
        <v>11840</v>
      </c>
      <c r="D6884" s="5" t="s">
        <v>11839</v>
      </c>
      <c r="E6884" s="43">
        <v>70000</v>
      </c>
      <c r="F6884" s="43"/>
      <c r="G6884" s="48">
        <f t="shared" si="170"/>
        <v>91070.193548386684</v>
      </c>
      <c r="H6884" s="391" t="s">
        <v>9568</v>
      </c>
    </row>
    <row r="6885" spans="1:8" x14ac:dyDescent="0.3">
      <c r="A6885" s="509">
        <v>45139</v>
      </c>
      <c r="B6885" s="399" t="s">
        <v>11772</v>
      </c>
      <c r="C6885" s="5" t="s">
        <v>5793</v>
      </c>
      <c r="D6885" s="5" t="s">
        <v>40</v>
      </c>
      <c r="E6885" s="43">
        <v>350</v>
      </c>
      <c r="F6885" s="43"/>
      <c r="G6885" s="48">
        <f t="shared" si="170"/>
        <v>90720.193548386684</v>
      </c>
      <c r="H6885" s="391" t="s">
        <v>9568</v>
      </c>
    </row>
    <row r="6886" spans="1:8" x14ac:dyDescent="0.3">
      <c r="A6886" s="509">
        <v>45139</v>
      </c>
      <c r="B6886" s="399" t="s">
        <v>5482</v>
      </c>
      <c r="C6886" s="5" t="s">
        <v>11745</v>
      </c>
      <c r="D6886" s="5" t="s">
        <v>5398</v>
      </c>
      <c r="E6886" s="43">
        <v>4000</v>
      </c>
      <c r="F6886" s="43"/>
      <c r="G6886" s="48">
        <f t="shared" si="170"/>
        <v>86720.193548386684</v>
      </c>
      <c r="H6886" s="391" t="s">
        <v>9568</v>
      </c>
    </row>
    <row r="6887" spans="1:8" x14ac:dyDescent="0.3">
      <c r="A6887" s="509">
        <v>45139</v>
      </c>
      <c r="B6887" s="399" t="s">
        <v>25</v>
      </c>
      <c r="C6887" s="5" t="s">
        <v>25</v>
      </c>
      <c r="D6887" s="5" t="s">
        <v>11455</v>
      </c>
      <c r="E6887" s="43">
        <v>2000</v>
      </c>
      <c r="F6887" s="43"/>
      <c r="G6887" s="48">
        <f t="shared" si="170"/>
        <v>84720.193548386684</v>
      </c>
      <c r="H6887" s="391" t="s">
        <v>9568</v>
      </c>
    </row>
    <row r="6888" spans="1:8" x14ac:dyDescent="0.3">
      <c r="A6888" s="509">
        <v>45139</v>
      </c>
      <c r="B6888" s="399" t="s">
        <v>12088</v>
      </c>
      <c r="C6888" s="5" t="s">
        <v>5793</v>
      </c>
      <c r="D6888" s="5" t="s">
        <v>40</v>
      </c>
      <c r="E6888" s="43">
        <v>3500</v>
      </c>
      <c r="F6888" s="43"/>
      <c r="G6888" s="48">
        <f t="shared" si="170"/>
        <v>81220.193548386684</v>
      </c>
      <c r="H6888" s="391" t="s">
        <v>9568</v>
      </c>
    </row>
    <row r="6889" spans="1:8" x14ac:dyDescent="0.3">
      <c r="A6889" s="509">
        <v>45139</v>
      </c>
      <c r="B6889" s="399" t="s">
        <v>12087</v>
      </c>
      <c r="C6889" s="5" t="s">
        <v>25</v>
      </c>
      <c r="D6889" s="5" t="s">
        <v>11842</v>
      </c>
      <c r="E6889" s="43">
        <v>150</v>
      </c>
      <c r="F6889" s="43"/>
      <c r="G6889" s="48">
        <f t="shared" si="170"/>
        <v>81070.193548386684</v>
      </c>
      <c r="H6889" s="391" t="s">
        <v>9568</v>
      </c>
    </row>
    <row r="6890" spans="1:8" x14ac:dyDescent="0.3">
      <c r="A6890" s="509">
        <v>45139</v>
      </c>
      <c r="B6890" s="399" t="s">
        <v>12089</v>
      </c>
      <c r="C6890" s="5" t="s">
        <v>5162</v>
      </c>
      <c r="D6890" s="5" t="s">
        <v>294</v>
      </c>
      <c r="E6890" s="43">
        <v>2000</v>
      </c>
      <c r="F6890" s="43"/>
      <c r="G6890" s="48">
        <f t="shared" si="170"/>
        <v>79070.193548386684</v>
      </c>
      <c r="H6890" s="391" t="s">
        <v>9568</v>
      </c>
    </row>
    <row r="6891" spans="1:8" x14ac:dyDescent="0.3">
      <c r="A6891" s="509">
        <v>45139</v>
      </c>
      <c r="B6891" s="399" t="s">
        <v>12190</v>
      </c>
      <c r="C6891" s="5" t="s">
        <v>1074</v>
      </c>
      <c r="D6891" s="5" t="s">
        <v>4601</v>
      </c>
      <c r="E6891" s="43">
        <v>230</v>
      </c>
      <c r="F6891" s="43"/>
      <c r="G6891" s="48">
        <f t="shared" si="170"/>
        <v>78840.193548386684</v>
      </c>
      <c r="H6891" s="391" t="s">
        <v>9568</v>
      </c>
    </row>
    <row r="6892" spans="1:8" x14ac:dyDescent="0.3">
      <c r="A6892" s="509">
        <v>45139</v>
      </c>
      <c r="B6892" s="399" t="s">
        <v>25</v>
      </c>
      <c r="C6892" s="5" t="s">
        <v>1074</v>
      </c>
      <c r="D6892" s="5" t="s">
        <v>4601</v>
      </c>
      <c r="E6892" s="43">
        <v>240</v>
      </c>
      <c r="F6892" s="43"/>
      <c r="G6892" s="48">
        <f t="shared" si="170"/>
        <v>78600.193548386684</v>
      </c>
      <c r="H6892" s="391" t="s">
        <v>9568</v>
      </c>
    </row>
    <row r="6893" spans="1:8" x14ac:dyDescent="0.3">
      <c r="A6893" s="509">
        <v>45139</v>
      </c>
      <c r="B6893" s="399"/>
      <c r="C6893" s="5" t="s">
        <v>14</v>
      </c>
      <c r="D6893" s="5" t="s">
        <v>4601</v>
      </c>
      <c r="E6893" s="43">
        <v>190</v>
      </c>
      <c r="F6893" s="43"/>
      <c r="G6893" s="48">
        <f t="shared" si="170"/>
        <v>78410.193548386684</v>
      </c>
      <c r="H6893" s="391" t="s">
        <v>9568</v>
      </c>
    </row>
    <row r="6894" spans="1:8" x14ac:dyDescent="0.3">
      <c r="A6894" s="509">
        <v>45140</v>
      </c>
      <c r="B6894" s="399" t="s">
        <v>12090</v>
      </c>
      <c r="C6894" s="5" t="s">
        <v>5793</v>
      </c>
      <c r="D6894" s="5" t="s">
        <v>40</v>
      </c>
      <c r="E6894" s="43">
        <v>350</v>
      </c>
      <c r="F6894" s="43"/>
      <c r="G6894" s="48">
        <f t="shared" si="170"/>
        <v>78060.193548386684</v>
      </c>
      <c r="H6894" s="391" t="s">
        <v>9568</v>
      </c>
    </row>
    <row r="6895" spans="1:8" x14ac:dyDescent="0.3">
      <c r="A6895" s="509">
        <v>45140</v>
      </c>
      <c r="B6895" s="399" t="s">
        <v>11772</v>
      </c>
      <c r="C6895" s="5" t="s">
        <v>9756</v>
      </c>
      <c r="D6895" s="5" t="s">
        <v>11843</v>
      </c>
      <c r="E6895" s="43">
        <v>975</v>
      </c>
      <c r="F6895" s="43"/>
      <c r="G6895" s="48">
        <f t="shared" si="170"/>
        <v>77085.193548386684</v>
      </c>
      <c r="H6895" s="391" t="s">
        <v>9568</v>
      </c>
    </row>
    <row r="6896" spans="1:8" x14ac:dyDescent="0.3">
      <c r="A6896" s="509">
        <v>45140</v>
      </c>
      <c r="B6896" s="399"/>
      <c r="C6896" s="5" t="s">
        <v>25</v>
      </c>
      <c r="D6896" s="5" t="s">
        <v>11844</v>
      </c>
      <c r="E6896" s="43">
        <v>1000</v>
      </c>
      <c r="F6896" s="43"/>
      <c r="G6896" s="48">
        <f t="shared" si="170"/>
        <v>76085.193548386684</v>
      </c>
      <c r="H6896" s="391" t="s">
        <v>9568</v>
      </c>
    </row>
    <row r="6897" spans="1:8" x14ac:dyDescent="0.3">
      <c r="A6897" s="509">
        <v>45140</v>
      </c>
      <c r="B6897" s="399" t="s">
        <v>12093</v>
      </c>
      <c r="C6897" s="5" t="s">
        <v>5793</v>
      </c>
      <c r="D6897" s="5" t="s">
        <v>11845</v>
      </c>
      <c r="E6897" s="43">
        <v>7890</v>
      </c>
      <c r="F6897" s="43"/>
      <c r="G6897" s="48">
        <f t="shared" si="170"/>
        <v>68195.193548386684</v>
      </c>
      <c r="H6897" s="391" t="s">
        <v>9568</v>
      </c>
    </row>
    <row r="6898" spans="1:8" x14ac:dyDescent="0.3">
      <c r="A6898" s="509">
        <v>45140</v>
      </c>
      <c r="B6898" s="399" t="s">
        <v>12090</v>
      </c>
      <c r="C6898" s="5" t="s">
        <v>9756</v>
      </c>
      <c r="D6898" s="5" t="s">
        <v>4342</v>
      </c>
      <c r="E6898" s="43">
        <v>9450</v>
      </c>
      <c r="F6898" s="43"/>
      <c r="G6898" s="48">
        <f t="shared" si="170"/>
        <v>58745.193548386684</v>
      </c>
      <c r="H6898" s="391" t="s">
        <v>9568</v>
      </c>
    </row>
    <row r="6899" spans="1:8" x14ac:dyDescent="0.3">
      <c r="A6899" s="509">
        <v>45140</v>
      </c>
      <c r="B6899" s="399" t="s">
        <v>12088</v>
      </c>
      <c r="C6899" s="5" t="s">
        <v>9756</v>
      </c>
      <c r="D6899" s="5" t="s">
        <v>4342</v>
      </c>
      <c r="E6899" s="43">
        <v>2300</v>
      </c>
      <c r="F6899" s="43"/>
      <c r="G6899" s="48">
        <f t="shared" si="170"/>
        <v>56445.193548386684</v>
      </c>
      <c r="H6899" s="391" t="s">
        <v>9568</v>
      </c>
    </row>
    <row r="6900" spans="1:8" x14ac:dyDescent="0.3">
      <c r="A6900" s="509">
        <v>45140</v>
      </c>
      <c r="B6900" s="399" t="s">
        <v>25</v>
      </c>
      <c r="C6900" s="5" t="s">
        <v>25</v>
      </c>
      <c r="D6900" s="5" t="s">
        <v>11455</v>
      </c>
      <c r="E6900" s="43">
        <v>2000</v>
      </c>
      <c r="F6900" s="43"/>
      <c r="G6900" s="48">
        <f t="shared" si="170"/>
        <v>54445.193548386684</v>
      </c>
      <c r="H6900" s="391" t="s">
        <v>9568</v>
      </c>
    </row>
    <row r="6901" spans="1:8" x14ac:dyDescent="0.3">
      <c r="A6901" s="509">
        <v>45140</v>
      </c>
      <c r="B6901" s="586"/>
      <c r="C6901" s="486"/>
      <c r="D6901" s="497" t="s">
        <v>11847</v>
      </c>
      <c r="E6901" s="486"/>
      <c r="F6901" s="43">
        <v>22000</v>
      </c>
      <c r="G6901" s="48">
        <f t="shared" si="170"/>
        <v>76445.193548386684</v>
      </c>
      <c r="H6901" s="391" t="s">
        <v>9568</v>
      </c>
    </row>
    <row r="6902" spans="1:8" x14ac:dyDescent="0.3">
      <c r="A6902" s="509">
        <v>45140</v>
      </c>
      <c r="B6902" s="399" t="s">
        <v>12090</v>
      </c>
      <c r="C6902" s="5" t="s">
        <v>4737</v>
      </c>
      <c r="D6902" s="5" t="s">
        <v>11009</v>
      </c>
      <c r="E6902" s="43">
        <v>40000</v>
      </c>
      <c r="F6902" s="43"/>
      <c r="G6902" s="48">
        <f t="shared" si="170"/>
        <v>36445.193548386684</v>
      </c>
      <c r="H6902" s="391" t="s">
        <v>9568</v>
      </c>
    </row>
    <row r="6903" spans="1:8" x14ac:dyDescent="0.3">
      <c r="A6903" s="509">
        <v>45140</v>
      </c>
      <c r="B6903" s="544"/>
      <c r="C6903" s="206" t="s">
        <v>8928</v>
      </c>
      <c r="D6903" s="206" t="s">
        <v>11848</v>
      </c>
      <c r="E6903" s="545">
        <v>5000</v>
      </c>
      <c r="F6903" s="43"/>
      <c r="G6903" s="48">
        <f t="shared" si="170"/>
        <v>31445.193548386684</v>
      </c>
      <c r="H6903" s="391" t="s">
        <v>9568</v>
      </c>
    </row>
    <row r="6904" spans="1:8" x14ac:dyDescent="0.3">
      <c r="A6904" s="509">
        <v>45140</v>
      </c>
      <c r="B6904" s="399" t="s">
        <v>12088</v>
      </c>
      <c r="C6904" s="5" t="s">
        <v>5793</v>
      </c>
      <c r="D6904" s="5" t="s">
        <v>40</v>
      </c>
      <c r="E6904" s="43">
        <v>800</v>
      </c>
      <c r="F6904" s="43"/>
      <c r="G6904" s="48">
        <f t="shared" si="170"/>
        <v>30645.193548386684</v>
      </c>
      <c r="H6904" s="391" t="s">
        <v>9568</v>
      </c>
    </row>
    <row r="6905" spans="1:8" x14ac:dyDescent="0.3">
      <c r="A6905" s="509">
        <v>45140</v>
      </c>
      <c r="B6905" s="399" t="s">
        <v>12093</v>
      </c>
      <c r="C6905" s="5" t="s">
        <v>5793</v>
      </c>
      <c r="D6905" s="5" t="s">
        <v>40</v>
      </c>
      <c r="E6905" s="43">
        <v>1700</v>
      </c>
      <c r="F6905" s="43"/>
      <c r="G6905" s="48">
        <f t="shared" ref="G6905:G6971" si="171">G6904+F6905-E6905</f>
        <v>28945.193548386684</v>
      </c>
      <c r="H6905" s="391" t="s">
        <v>9568</v>
      </c>
    </row>
    <row r="6906" spans="1:8" x14ac:dyDescent="0.3">
      <c r="A6906" s="509">
        <v>45140</v>
      </c>
      <c r="B6906" s="399" t="s">
        <v>11772</v>
      </c>
      <c r="C6906" s="5" t="s">
        <v>10815</v>
      </c>
      <c r="D6906" s="5" t="s">
        <v>11850</v>
      </c>
      <c r="E6906" s="43">
        <v>800</v>
      </c>
      <c r="F6906" s="43"/>
      <c r="G6906" s="48">
        <f t="shared" si="171"/>
        <v>28145.193548386684</v>
      </c>
      <c r="H6906" s="391" t="s">
        <v>9568</v>
      </c>
    </row>
    <row r="6907" spans="1:8" x14ac:dyDescent="0.3">
      <c r="A6907" s="509">
        <v>45140</v>
      </c>
      <c r="B6907" s="399" t="s">
        <v>12189</v>
      </c>
      <c r="C6907" s="5" t="s">
        <v>30</v>
      </c>
      <c r="D6907" s="5" t="s">
        <v>2013</v>
      </c>
      <c r="E6907" s="43">
        <v>250</v>
      </c>
      <c r="F6907" s="43"/>
      <c r="G6907" s="48">
        <f t="shared" si="171"/>
        <v>27895.193548386684</v>
      </c>
      <c r="H6907" s="391" t="s">
        <v>9568</v>
      </c>
    </row>
    <row r="6908" spans="1:8" x14ac:dyDescent="0.3">
      <c r="A6908" s="509">
        <v>45140</v>
      </c>
      <c r="B6908" s="399" t="s">
        <v>12090</v>
      </c>
      <c r="C6908" s="5" t="s">
        <v>5793</v>
      </c>
      <c r="D6908" s="5" t="s">
        <v>8924</v>
      </c>
      <c r="E6908" s="43">
        <v>300</v>
      </c>
      <c r="F6908" s="43"/>
      <c r="G6908" s="48">
        <f t="shared" si="171"/>
        <v>27595.193548386684</v>
      </c>
      <c r="H6908" s="391" t="s">
        <v>9568</v>
      </c>
    </row>
    <row r="6909" spans="1:8" x14ac:dyDescent="0.3">
      <c r="A6909" s="509">
        <v>45140</v>
      </c>
      <c r="B6909" s="399" t="s">
        <v>10615</v>
      </c>
      <c r="C6909" s="5" t="s">
        <v>6430</v>
      </c>
      <c r="D6909" s="5" t="s">
        <v>11851</v>
      </c>
      <c r="E6909" s="43">
        <v>5000</v>
      </c>
      <c r="F6909" s="43"/>
      <c r="G6909" s="48">
        <f t="shared" si="171"/>
        <v>22595.193548386684</v>
      </c>
      <c r="H6909" s="391" t="s">
        <v>9568</v>
      </c>
    </row>
    <row r="6910" spans="1:8" x14ac:dyDescent="0.3">
      <c r="A6910" s="509">
        <v>45140</v>
      </c>
      <c r="B6910" s="399"/>
      <c r="C6910" s="5" t="s">
        <v>84</v>
      </c>
      <c r="D6910" s="5" t="s">
        <v>11853</v>
      </c>
      <c r="E6910" s="43">
        <v>1000</v>
      </c>
      <c r="F6910" s="43"/>
      <c r="G6910" s="48">
        <f t="shared" si="171"/>
        <v>21595.193548386684</v>
      </c>
      <c r="H6910" s="391" t="s">
        <v>9568</v>
      </c>
    </row>
    <row r="6911" spans="1:8" x14ac:dyDescent="0.3">
      <c r="A6911" s="509">
        <v>45140</v>
      </c>
      <c r="B6911" s="399" t="s">
        <v>11528</v>
      </c>
      <c r="C6911" s="5" t="s">
        <v>5793</v>
      </c>
      <c r="D6911" s="5" t="s">
        <v>8924</v>
      </c>
      <c r="E6911" s="43">
        <v>500</v>
      </c>
      <c r="F6911" s="43"/>
      <c r="G6911" s="48">
        <f t="shared" si="171"/>
        <v>21095.193548386684</v>
      </c>
      <c r="H6911" s="391" t="s">
        <v>9568</v>
      </c>
    </row>
    <row r="6912" spans="1:8" x14ac:dyDescent="0.3">
      <c r="A6912" s="509">
        <v>45140</v>
      </c>
      <c r="B6912" s="399" t="s">
        <v>11528</v>
      </c>
      <c r="C6912" s="5" t="s">
        <v>11854</v>
      </c>
      <c r="D6912" s="5" t="s">
        <v>11855</v>
      </c>
      <c r="E6912" s="43">
        <v>1000</v>
      </c>
      <c r="F6912" s="43"/>
      <c r="G6912" s="48">
        <f t="shared" si="171"/>
        <v>20095.193548386684</v>
      </c>
      <c r="H6912" s="391" t="s">
        <v>9568</v>
      </c>
    </row>
    <row r="6913" spans="1:8" x14ac:dyDescent="0.3">
      <c r="A6913" s="509">
        <v>45141</v>
      </c>
      <c r="B6913" s="399"/>
      <c r="C6913" s="5" t="s">
        <v>14</v>
      </c>
      <c r="D6913" s="5" t="s">
        <v>11856</v>
      </c>
      <c r="E6913" s="43">
        <v>1000</v>
      </c>
      <c r="F6913" s="43"/>
      <c r="G6913" s="48">
        <f t="shared" si="171"/>
        <v>19095.193548386684</v>
      </c>
      <c r="H6913" s="391" t="s">
        <v>9568</v>
      </c>
    </row>
    <row r="6914" spans="1:8" x14ac:dyDescent="0.3">
      <c r="A6914" s="509">
        <v>45141</v>
      </c>
      <c r="B6914" s="399" t="s">
        <v>11772</v>
      </c>
      <c r="C6914" s="5" t="s">
        <v>5793</v>
      </c>
      <c r="D6914" s="5" t="s">
        <v>40</v>
      </c>
      <c r="E6914" s="43">
        <v>1700</v>
      </c>
      <c r="F6914" s="43"/>
      <c r="G6914" s="48">
        <f t="shared" si="171"/>
        <v>17395.193548386684</v>
      </c>
      <c r="H6914" s="391" t="s">
        <v>9568</v>
      </c>
    </row>
    <row r="6915" spans="1:8" x14ac:dyDescent="0.3">
      <c r="A6915" s="509">
        <v>45141</v>
      </c>
      <c r="B6915" s="399" t="s">
        <v>12087</v>
      </c>
      <c r="C6915" s="5" t="s">
        <v>9801</v>
      </c>
      <c r="D6915" s="5" t="s">
        <v>40</v>
      </c>
      <c r="E6915" s="43">
        <v>3420</v>
      </c>
      <c r="F6915" s="43"/>
      <c r="G6915" s="48">
        <f t="shared" si="171"/>
        <v>13975.193548386684</v>
      </c>
      <c r="H6915" s="391" t="s">
        <v>9568</v>
      </c>
    </row>
    <row r="6916" spans="1:8" x14ac:dyDescent="0.3">
      <c r="A6916" s="509">
        <v>45141</v>
      </c>
      <c r="B6916" s="586"/>
      <c r="C6916" s="486"/>
      <c r="D6916" s="497" t="s">
        <v>4106</v>
      </c>
      <c r="E6916" s="486"/>
      <c r="F6916" s="43">
        <v>150000</v>
      </c>
      <c r="G6916" s="48">
        <f t="shared" si="171"/>
        <v>163975.19354838668</v>
      </c>
      <c r="H6916" s="391" t="s">
        <v>9568</v>
      </c>
    </row>
    <row r="6917" spans="1:8" x14ac:dyDescent="0.3">
      <c r="A6917" s="509">
        <v>45141</v>
      </c>
      <c r="B6917" s="399" t="s">
        <v>10615</v>
      </c>
      <c r="C6917" s="546" t="s">
        <v>7418</v>
      </c>
      <c r="D6917" s="546" t="s">
        <v>3767</v>
      </c>
      <c r="E6917" s="547">
        <v>74516</v>
      </c>
      <c r="F6917" s="43"/>
      <c r="G6917" s="48">
        <f t="shared" si="171"/>
        <v>89459.193548386684</v>
      </c>
      <c r="H6917" s="391" t="s">
        <v>9568</v>
      </c>
    </row>
    <row r="6918" spans="1:8" x14ac:dyDescent="0.3">
      <c r="A6918" s="509">
        <v>45141</v>
      </c>
      <c r="B6918" s="399" t="s">
        <v>11528</v>
      </c>
      <c r="C6918" s="5" t="s">
        <v>9756</v>
      </c>
      <c r="D6918" s="5" t="s">
        <v>11857</v>
      </c>
      <c r="E6918" s="43">
        <v>5464</v>
      </c>
      <c r="F6918" s="43"/>
      <c r="G6918" s="48">
        <f t="shared" si="171"/>
        <v>83995.193548386684</v>
      </c>
      <c r="H6918" s="391" t="s">
        <v>9568</v>
      </c>
    </row>
    <row r="6919" spans="1:8" x14ac:dyDescent="0.3">
      <c r="A6919" s="509">
        <v>45141</v>
      </c>
      <c r="B6919" s="399" t="s">
        <v>12090</v>
      </c>
      <c r="C6919" s="5" t="s">
        <v>9647</v>
      </c>
      <c r="D6919" s="5" t="s">
        <v>11563</v>
      </c>
      <c r="E6919" s="43">
        <v>50000</v>
      </c>
      <c r="F6919" s="43"/>
      <c r="G6919" s="48">
        <f t="shared" si="171"/>
        <v>33995.193548386684</v>
      </c>
      <c r="H6919" s="391" t="s">
        <v>9568</v>
      </c>
    </row>
    <row r="6920" spans="1:8" x14ac:dyDescent="0.3">
      <c r="A6920" s="509">
        <v>45141</v>
      </c>
      <c r="B6920" s="399" t="s">
        <v>12090</v>
      </c>
      <c r="C6920" s="5" t="s">
        <v>30</v>
      </c>
      <c r="D6920" s="5" t="s">
        <v>40</v>
      </c>
      <c r="E6920" s="43">
        <v>900</v>
      </c>
      <c r="F6920" s="43"/>
      <c r="G6920" s="48">
        <f t="shared" si="171"/>
        <v>33095.193548386684</v>
      </c>
      <c r="H6920" s="391" t="s">
        <v>9568</v>
      </c>
    </row>
    <row r="6921" spans="1:8" x14ac:dyDescent="0.3">
      <c r="A6921" s="509">
        <v>45141</v>
      </c>
      <c r="B6921" s="399" t="s">
        <v>11772</v>
      </c>
      <c r="C6921" s="5" t="s">
        <v>10815</v>
      </c>
      <c r="D6921" s="5" t="s">
        <v>11858</v>
      </c>
      <c r="E6921" s="43">
        <v>21000</v>
      </c>
      <c r="F6921" s="43"/>
      <c r="G6921" s="48">
        <f t="shared" si="171"/>
        <v>12095.193548386684</v>
      </c>
      <c r="H6921" s="391" t="s">
        <v>9568</v>
      </c>
    </row>
    <row r="6922" spans="1:8" x14ac:dyDescent="0.3">
      <c r="A6922" s="509">
        <v>45141</v>
      </c>
      <c r="B6922" s="399"/>
      <c r="C6922" s="5" t="s">
        <v>5162</v>
      </c>
      <c r="D6922" s="5" t="s">
        <v>294</v>
      </c>
      <c r="E6922" s="43">
        <v>2000</v>
      </c>
      <c r="F6922" s="43"/>
      <c r="G6922" s="48">
        <f t="shared" si="171"/>
        <v>10095.193548386684</v>
      </c>
      <c r="H6922" s="391" t="s">
        <v>9568</v>
      </c>
    </row>
    <row r="6923" spans="1:8" x14ac:dyDescent="0.3">
      <c r="A6923" s="509">
        <v>45141</v>
      </c>
      <c r="B6923" s="399"/>
      <c r="C6923" s="5" t="s">
        <v>25</v>
      </c>
      <c r="D6923" s="5" t="s">
        <v>11863</v>
      </c>
      <c r="E6923" s="43">
        <v>9500</v>
      </c>
      <c r="F6923" s="43"/>
      <c r="G6923" s="48">
        <f t="shared" si="171"/>
        <v>595.19354838668369</v>
      </c>
      <c r="H6923" s="391" t="s">
        <v>9568</v>
      </c>
    </row>
    <row r="6924" spans="1:8" x14ac:dyDescent="0.3">
      <c r="A6924" s="509">
        <v>45141</v>
      </c>
      <c r="B6924" s="586"/>
      <c r="C6924" s="486"/>
      <c r="D6924" s="497" t="s">
        <v>11865</v>
      </c>
      <c r="E6924" s="486"/>
      <c r="F6924" s="43">
        <v>2000</v>
      </c>
      <c r="G6924" s="48">
        <f t="shared" si="171"/>
        <v>2595.1935483866837</v>
      </c>
      <c r="H6924" s="391" t="s">
        <v>9568</v>
      </c>
    </row>
    <row r="6925" spans="1:8" x14ac:dyDescent="0.3">
      <c r="A6925" s="509">
        <v>45141</v>
      </c>
      <c r="B6925" s="399" t="s">
        <v>25</v>
      </c>
      <c r="C6925" s="5" t="s">
        <v>9756</v>
      </c>
      <c r="D6925" s="5" t="s">
        <v>11864</v>
      </c>
      <c r="E6925" s="43">
        <v>2500</v>
      </c>
      <c r="F6925" s="43"/>
      <c r="G6925" s="48">
        <f t="shared" si="171"/>
        <v>95.193548386683688</v>
      </c>
      <c r="H6925" s="391" t="s">
        <v>9568</v>
      </c>
    </row>
    <row r="6926" spans="1:8" x14ac:dyDescent="0.3">
      <c r="A6926" s="509">
        <v>45142</v>
      </c>
      <c r="B6926" s="586"/>
      <c r="C6926" s="486"/>
      <c r="D6926" s="497" t="s">
        <v>11860</v>
      </c>
      <c r="E6926" s="486"/>
      <c r="F6926" s="43">
        <v>300000</v>
      </c>
      <c r="G6926" s="48">
        <f t="shared" si="171"/>
        <v>300095.19354838668</v>
      </c>
      <c r="H6926" s="391" t="s">
        <v>9568</v>
      </c>
    </row>
    <row r="6927" spans="1:8" x14ac:dyDescent="0.3">
      <c r="A6927" s="509">
        <v>45142</v>
      </c>
      <c r="B6927" s="399"/>
      <c r="C6927" s="5" t="s">
        <v>14</v>
      </c>
      <c r="D6927" s="5" t="s">
        <v>294</v>
      </c>
      <c r="E6927" s="43">
        <v>10000</v>
      </c>
      <c r="F6927" s="43"/>
      <c r="G6927" s="48">
        <f t="shared" si="171"/>
        <v>290095.19354838668</v>
      </c>
      <c r="H6927" s="391" t="s">
        <v>9568</v>
      </c>
    </row>
    <row r="6928" spans="1:8" x14ac:dyDescent="0.3">
      <c r="A6928" s="509">
        <v>45142</v>
      </c>
      <c r="B6928" s="399"/>
      <c r="C6928" s="5" t="s">
        <v>5288</v>
      </c>
      <c r="D6928" s="5" t="s">
        <v>294</v>
      </c>
      <c r="E6928" s="43">
        <v>2000</v>
      </c>
      <c r="F6928" s="43"/>
      <c r="G6928" s="48">
        <f t="shared" si="171"/>
        <v>288095.19354838668</v>
      </c>
      <c r="H6928" s="391" t="s">
        <v>9568</v>
      </c>
    </row>
    <row r="6929" spans="1:8" x14ac:dyDescent="0.3">
      <c r="A6929" s="509">
        <v>45142</v>
      </c>
      <c r="B6929" s="399" t="s">
        <v>25</v>
      </c>
      <c r="C6929" s="5" t="s">
        <v>25</v>
      </c>
      <c r="D6929" s="5" t="s">
        <v>11455</v>
      </c>
      <c r="E6929" s="43">
        <v>3000</v>
      </c>
      <c r="F6929" s="43"/>
      <c r="G6929" s="48">
        <f t="shared" si="171"/>
        <v>285095.19354838668</v>
      </c>
      <c r="H6929" s="391" t="s">
        <v>9568</v>
      </c>
    </row>
    <row r="6930" spans="1:8" x14ac:dyDescent="0.3">
      <c r="A6930" s="509">
        <v>45142</v>
      </c>
      <c r="B6930" s="399" t="s">
        <v>12087</v>
      </c>
      <c r="C6930" s="5" t="s">
        <v>9801</v>
      </c>
      <c r="D6930" s="5" t="s">
        <v>40</v>
      </c>
      <c r="E6930" s="43">
        <v>3000</v>
      </c>
      <c r="F6930" s="43"/>
      <c r="G6930" s="48">
        <f t="shared" si="171"/>
        <v>282095.19354838668</v>
      </c>
      <c r="H6930" s="391" t="s">
        <v>9568</v>
      </c>
    </row>
    <row r="6931" spans="1:8" x14ac:dyDescent="0.3">
      <c r="A6931" s="509">
        <v>45142</v>
      </c>
      <c r="B6931" s="399" t="s">
        <v>12090</v>
      </c>
      <c r="C6931" s="5" t="s">
        <v>10815</v>
      </c>
      <c r="D6931" s="5" t="s">
        <v>11872</v>
      </c>
      <c r="E6931" s="43">
        <v>42000</v>
      </c>
      <c r="F6931" s="43"/>
      <c r="G6931" s="48">
        <f t="shared" si="171"/>
        <v>240095.19354838668</v>
      </c>
      <c r="H6931" s="391" t="s">
        <v>9568</v>
      </c>
    </row>
    <row r="6932" spans="1:8" x14ac:dyDescent="0.3">
      <c r="A6932" s="509">
        <v>45142</v>
      </c>
      <c r="B6932" s="399" t="s">
        <v>12093</v>
      </c>
      <c r="C6932" s="5" t="s">
        <v>10815</v>
      </c>
      <c r="D6932" s="5" t="s">
        <v>11873</v>
      </c>
      <c r="E6932" s="43">
        <v>11105</v>
      </c>
      <c r="F6932" s="43"/>
      <c r="G6932" s="48">
        <f t="shared" si="171"/>
        <v>228990.19354838668</v>
      </c>
      <c r="H6932" s="391" t="s">
        <v>9568</v>
      </c>
    </row>
    <row r="6933" spans="1:8" x14ac:dyDescent="0.3">
      <c r="A6933" s="509">
        <v>45142</v>
      </c>
      <c r="B6933" s="399" t="s">
        <v>10333</v>
      </c>
      <c r="C6933" s="5" t="s">
        <v>5793</v>
      </c>
      <c r="D6933" s="5" t="s">
        <v>11876</v>
      </c>
      <c r="E6933" s="43">
        <v>3400</v>
      </c>
      <c r="F6933" s="43"/>
      <c r="G6933" s="48">
        <f t="shared" si="171"/>
        <v>225590.19354838668</v>
      </c>
      <c r="H6933" s="391" t="s">
        <v>9568</v>
      </c>
    </row>
    <row r="6934" spans="1:8" x14ac:dyDescent="0.3">
      <c r="A6934" s="509">
        <v>45142</v>
      </c>
      <c r="B6934" s="399" t="s">
        <v>11528</v>
      </c>
      <c r="C6934" s="5" t="s">
        <v>9756</v>
      </c>
      <c r="D6934" s="5" t="s">
        <v>11877</v>
      </c>
      <c r="E6934" s="65">
        <f>91400+56875</f>
        <v>148275</v>
      </c>
      <c r="F6934" s="43"/>
      <c r="G6934" s="48">
        <f t="shared" si="171"/>
        <v>77315.193548386684</v>
      </c>
      <c r="H6934" s="391" t="s">
        <v>9568</v>
      </c>
    </row>
    <row r="6935" spans="1:8" x14ac:dyDescent="0.3">
      <c r="A6935" s="509">
        <v>45142</v>
      </c>
      <c r="B6935" s="399" t="s">
        <v>11528</v>
      </c>
      <c r="C6935" s="5" t="s">
        <v>5793</v>
      </c>
      <c r="D6935" s="5" t="s">
        <v>40</v>
      </c>
      <c r="E6935" s="65">
        <v>1000</v>
      </c>
      <c r="F6935" s="43"/>
      <c r="G6935" s="48">
        <f t="shared" si="171"/>
        <v>76315.193548386684</v>
      </c>
      <c r="H6935" s="391" t="s">
        <v>9568</v>
      </c>
    </row>
    <row r="6936" spans="1:8" x14ac:dyDescent="0.3">
      <c r="A6936" s="509">
        <v>45142</v>
      </c>
      <c r="B6936" s="399" t="s">
        <v>12093</v>
      </c>
      <c r="C6936" s="5" t="s">
        <v>11866</v>
      </c>
      <c r="D6936" s="5" t="s">
        <v>11867</v>
      </c>
      <c r="E6936" s="43">
        <v>60000</v>
      </c>
      <c r="F6936" s="43"/>
      <c r="G6936" s="48">
        <f t="shared" si="171"/>
        <v>16315.193548386684</v>
      </c>
      <c r="H6936" s="391" t="s">
        <v>9568</v>
      </c>
    </row>
    <row r="6937" spans="1:8" x14ac:dyDescent="0.3">
      <c r="A6937" s="509">
        <v>45142</v>
      </c>
      <c r="B6937" s="399" t="s">
        <v>12191</v>
      </c>
      <c r="C6937" s="5" t="s">
        <v>5979</v>
      </c>
      <c r="D6937" s="5" t="s">
        <v>11868</v>
      </c>
      <c r="E6937" s="43">
        <v>10000</v>
      </c>
      <c r="F6937" s="43"/>
      <c r="G6937" s="48">
        <f t="shared" si="171"/>
        <v>6315.1935483866837</v>
      </c>
      <c r="H6937" s="391" t="s">
        <v>9568</v>
      </c>
    </row>
    <row r="6938" spans="1:8" x14ac:dyDescent="0.3">
      <c r="A6938" s="509">
        <v>45142</v>
      </c>
      <c r="B6938" s="399" t="s">
        <v>11772</v>
      </c>
      <c r="C6938" s="5" t="s">
        <v>5793</v>
      </c>
      <c r="D6938" s="5" t="s">
        <v>11874</v>
      </c>
      <c r="E6938" s="43">
        <v>1200</v>
      </c>
      <c r="F6938" s="43"/>
      <c r="G6938" s="48">
        <f t="shared" si="171"/>
        <v>5115.1935483866837</v>
      </c>
      <c r="H6938" s="391" t="s">
        <v>9568</v>
      </c>
    </row>
    <row r="6939" spans="1:8" x14ac:dyDescent="0.3">
      <c r="A6939" s="509">
        <v>45142</v>
      </c>
      <c r="B6939" s="399" t="s">
        <v>12089</v>
      </c>
      <c r="C6939" s="5" t="s">
        <v>10815</v>
      </c>
      <c r="D6939" s="5" t="s">
        <v>11875</v>
      </c>
      <c r="E6939" s="43">
        <v>800</v>
      </c>
      <c r="F6939" s="43"/>
      <c r="G6939" s="48">
        <f t="shared" si="171"/>
        <v>4315.1935483866837</v>
      </c>
      <c r="H6939" s="391" t="s">
        <v>9568</v>
      </c>
    </row>
    <row r="6940" spans="1:8" x14ac:dyDescent="0.3">
      <c r="A6940" s="509">
        <v>45143</v>
      </c>
      <c r="B6940" s="399" t="s">
        <v>12093</v>
      </c>
      <c r="C6940" s="5" t="s">
        <v>10815</v>
      </c>
      <c r="D6940" s="5" t="s">
        <v>2013</v>
      </c>
      <c r="E6940" s="43">
        <v>200</v>
      </c>
      <c r="F6940" s="43"/>
      <c r="G6940" s="48">
        <f t="shared" si="171"/>
        <v>4115.1935483866837</v>
      </c>
      <c r="H6940" s="391" t="s">
        <v>9568</v>
      </c>
    </row>
    <row r="6941" spans="1:8" x14ac:dyDescent="0.3">
      <c r="A6941" s="509">
        <v>45143</v>
      </c>
      <c r="B6941" s="399" t="s">
        <v>11528</v>
      </c>
      <c r="C6941" s="5" t="s">
        <v>5793</v>
      </c>
      <c r="D6941" s="5" t="s">
        <v>2013</v>
      </c>
      <c r="E6941" s="43">
        <v>500</v>
      </c>
      <c r="F6941" s="43"/>
      <c r="G6941" s="48">
        <f t="shared" si="171"/>
        <v>3615.1935483866837</v>
      </c>
      <c r="H6941" s="391" t="s">
        <v>9568</v>
      </c>
    </row>
    <row r="6942" spans="1:8" x14ac:dyDescent="0.3">
      <c r="A6942" s="509">
        <v>45143</v>
      </c>
      <c r="B6942" s="399" t="s">
        <v>11528</v>
      </c>
      <c r="C6942" s="5" t="s">
        <v>5793</v>
      </c>
      <c r="D6942" s="5" t="s">
        <v>8924</v>
      </c>
      <c r="E6942" s="43">
        <v>250</v>
      </c>
      <c r="F6942" s="43"/>
      <c r="G6942" s="48">
        <f t="shared" si="171"/>
        <v>3365.1935483866837</v>
      </c>
      <c r="H6942" s="391" t="s">
        <v>9568</v>
      </c>
    </row>
    <row r="6943" spans="1:8" x14ac:dyDescent="0.3">
      <c r="A6943" s="509">
        <v>45145</v>
      </c>
      <c r="B6943" s="586"/>
      <c r="C6943" s="486"/>
      <c r="D6943" s="497" t="s">
        <v>3588</v>
      </c>
      <c r="E6943" s="486"/>
      <c r="F6943" s="43">
        <v>840670</v>
      </c>
      <c r="G6943" s="48">
        <f t="shared" si="171"/>
        <v>844035.19354838668</v>
      </c>
      <c r="H6943" s="391" t="s">
        <v>9568</v>
      </c>
    </row>
    <row r="6944" spans="1:8" x14ac:dyDescent="0.3">
      <c r="A6944" s="509">
        <v>45145</v>
      </c>
      <c r="B6944" s="399"/>
      <c r="C6944" s="5" t="s">
        <v>14</v>
      </c>
      <c r="D6944" s="5" t="s">
        <v>294</v>
      </c>
      <c r="E6944" s="43">
        <v>6000</v>
      </c>
      <c r="F6944" s="43"/>
      <c r="G6944" s="48">
        <f t="shared" si="171"/>
        <v>838035.19354838668</v>
      </c>
      <c r="H6944" s="391" t="s">
        <v>9568</v>
      </c>
    </row>
    <row r="6945" spans="1:8" x14ac:dyDescent="0.3">
      <c r="A6945" s="509">
        <v>45145</v>
      </c>
      <c r="B6945" s="399" t="s">
        <v>11879</v>
      </c>
      <c r="C6945" s="5" t="s">
        <v>9525</v>
      </c>
      <c r="D6945" s="5" t="s">
        <v>11880</v>
      </c>
      <c r="E6945" s="43">
        <v>570</v>
      </c>
      <c r="F6945" s="43"/>
      <c r="G6945" s="48">
        <f t="shared" si="171"/>
        <v>837465.19354838668</v>
      </c>
      <c r="H6945" s="391" t="s">
        <v>9568</v>
      </c>
    </row>
    <row r="6946" spans="1:8" x14ac:dyDescent="0.3">
      <c r="A6946" s="509">
        <v>45145</v>
      </c>
      <c r="B6946" s="399" t="s">
        <v>12189</v>
      </c>
      <c r="C6946" s="5" t="s">
        <v>10815</v>
      </c>
      <c r="D6946" s="5" t="s">
        <v>11881</v>
      </c>
      <c r="E6946" s="43">
        <v>2000</v>
      </c>
      <c r="F6946" s="43"/>
      <c r="G6946" s="48">
        <f t="shared" si="171"/>
        <v>835465.19354838668</v>
      </c>
      <c r="H6946" s="391" t="s">
        <v>9568</v>
      </c>
    </row>
    <row r="6947" spans="1:8" x14ac:dyDescent="0.3">
      <c r="A6947" s="509">
        <v>45145</v>
      </c>
      <c r="B6947" s="399" t="s">
        <v>12191</v>
      </c>
      <c r="C6947" s="5" t="s">
        <v>4550</v>
      </c>
      <c r="D6947" s="5" t="s">
        <v>11882</v>
      </c>
      <c r="E6947" s="43">
        <v>50000</v>
      </c>
      <c r="F6947" s="43"/>
      <c r="G6947" s="48">
        <f t="shared" si="171"/>
        <v>785465.19354838668</v>
      </c>
      <c r="H6947" s="391" t="s">
        <v>9568</v>
      </c>
    </row>
    <row r="6948" spans="1:8" x14ac:dyDescent="0.3">
      <c r="A6948" s="509">
        <v>45145</v>
      </c>
      <c r="B6948" s="399" t="s">
        <v>6481</v>
      </c>
      <c r="C6948" s="5" t="s">
        <v>11883</v>
      </c>
      <c r="D6948" s="5" t="s">
        <v>11884</v>
      </c>
      <c r="E6948" s="43">
        <v>22000</v>
      </c>
      <c r="F6948" s="43"/>
      <c r="G6948" s="48">
        <f t="shared" si="171"/>
        <v>763465.19354838668</v>
      </c>
      <c r="H6948" s="391" t="s">
        <v>9568</v>
      </c>
    </row>
    <row r="6949" spans="1:8" x14ac:dyDescent="0.3">
      <c r="A6949" s="509">
        <v>45145</v>
      </c>
      <c r="B6949" s="399" t="s">
        <v>10867</v>
      </c>
      <c r="C6949" s="5" t="s">
        <v>116</v>
      </c>
      <c r="D6949" s="5" t="s">
        <v>11885</v>
      </c>
      <c r="E6949" s="43">
        <v>10000</v>
      </c>
      <c r="F6949" s="43"/>
      <c r="G6949" s="48">
        <f t="shared" si="171"/>
        <v>753465.19354838668</v>
      </c>
      <c r="H6949" s="391" t="s">
        <v>9568</v>
      </c>
    </row>
    <row r="6950" spans="1:8" x14ac:dyDescent="0.3">
      <c r="A6950" s="509">
        <v>45145</v>
      </c>
      <c r="B6950" s="399"/>
      <c r="C6950" s="5" t="s">
        <v>11886</v>
      </c>
      <c r="D6950" s="5" t="s">
        <v>11887</v>
      </c>
      <c r="E6950" s="43">
        <v>3500</v>
      </c>
      <c r="F6950" s="43"/>
      <c r="G6950" s="48">
        <f t="shared" si="171"/>
        <v>749965.19354838668</v>
      </c>
      <c r="H6950" s="391" t="s">
        <v>9568</v>
      </c>
    </row>
    <row r="6951" spans="1:8" x14ac:dyDescent="0.3">
      <c r="A6951" s="509">
        <v>45145</v>
      </c>
      <c r="B6951" s="399" t="s">
        <v>25</v>
      </c>
      <c r="C6951" s="5" t="s">
        <v>25</v>
      </c>
      <c r="D6951" s="5" t="s">
        <v>11455</v>
      </c>
      <c r="E6951" s="43">
        <v>3500</v>
      </c>
      <c r="F6951" s="43"/>
      <c r="G6951" s="48">
        <f t="shared" si="171"/>
        <v>746465.19354838668</v>
      </c>
      <c r="H6951" s="391" t="s">
        <v>9568</v>
      </c>
    </row>
    <row r="6952" spans="1:8" x14ac:dyDescent="0.3">
      <c r="A6952" s="509">
        <v>45145</v>
      </c>
      <c r="B6952" s="399" t="s">
        <v>11528</v>
      </c>
      <c r="C6952" s="5" t="s">
        <v>9044</v>
      </c>
      <c r="D6952" s="5" t="s">
        <v>40</v>
      </c>
      <c r="E6952" s="43">
        <v>15000</v>
      </c>
      <c r="F6952" s="43"/>
      <c r="G6952" s="48">
        <f t="shared" si="171"/>
        <v>731465.19354838668</v>
      </c>
      <c r="H6952" s="391" t="s">
        <v>9568</v>
      </c>
    </row>
    <row r="6953" spans="1:8" x14ac:dyDescent="0.3">
      <c r="A6953" s="509">
        <v>45145</v>
      </c>
      <c r="B6953" s="399" t="s">
        <v>693</v>
      </c>
      <c r="C6953" s="5" t="s">
        <v>5793</v>
      </c>
      <c r="D6953" s="5" t="s">
        <v>40</v>
      </c>
      <c r="E6953" s="43">
        <v>1000</v>
      </c>
      <c r="F6953" s="43"/>
      <c r="G6953" s="48">
        <f t="shared" si="171"/>
        <v>730465.19354838668</v>
      </c>
      <c r="H6953" s="391" t="s">
        <v>9568</v>
      </c>
    </row>
    <row r="6954" spans="1:8" x14ac:dyDescent="0.3">
      <c r="A6954" s="509">
        <v>45145</v>
      </c>
      <c r="B6954" s="399" t="s">
        <v>10615</v>
      </c>
      <c r="C6954" s="5" t="s">
        <v>6430</v>
      </c>
      <c r="D6954" s="5" t="s">
        <v>294</v>
      </c>
      <c r="E6954" s="43">
        <v>5000</v>
      </c>
      <c r="F6954" s="43"/>
      <c r="G6954" s="48">
        <f t="shared" si="171"/>
        <v>725465.19354838668</v>
      </c>
      <c r="H6954" s="391" t="s">
        <v>9568</v>
      </c>
    </row>
    <row r="6955" spans="1:8" x14ac:dyDescent="0.3">
      <c r="A6955" s="509">
        <v>45145</v>
      </c>
      <c r="B6955" s="433" t="s">
        <v>5933</v>
      </c>
      <c r="C6955" s="371" t="s">
        <v>54</v>
      </c>
      <c r="D6955" s="371" t="s">
        <v>8636</v>
      </c>
      <c r="E6955" s="372">
        <v>130689.51612903226</v>
      </c>
      <c r="F6955" s="43"/>
      <c r="G6955" s="48">
        <f t="shared" si="171"/>
        <v>594775.67741935444</v>
      </c>
      <c r="H6955" s="391" t="s">
        <v>9568</v>
      </c>
    </row>
    <row r="6956" spans="1:8" x14ac:dyDescent="0.3">
      <c r="A6956" s="509">
        <v>45145</v>
      </c>
      <c r="B6956" s="399" t="s">
        <v>11528</v>
      </c>
      <c r="C6956" s="5" t="s">
        <v>5793</v>
      </c>
      <c r="D6956" s="5" t="s">
        <v>40</v>
      </c>
      <c r="E6956" s="43">
        <v>1800</v>
      </c>
      <c r="F6956" s="43"/>
      <c r="G6956" s="48">
        <f t="shared" si="171"/>
        <v>592975.67741935444</v>
      </c>
      <c r="H6956" s="391" t="s">
        <v>9568</v>
      </c>
    </row>
    <row r="6957" spans="1:8" x14ac:dyDescent="0.3">
      <c r="A6957" s="509">
        <v>45145</v>
      </c>
      <c r="B6957" s="399" t="s">
        <v>5933</v>
      </c>
      <c r="C6957" s="5" t="s">
        <v>6931</v>
      </c>
      <c r="D6957" s="5" t="s">
        <v>11372</v>
      </c>
      <c r="E6957" s="43">
        <v>3000</v>
      </c>
      <c r="F6957" s="43"/>
      <c r="G6957" s="48">
        <f t="shared" si="171"/>
        <v>589975.67741935444</v>
      </c>
      <c r="H6957" s="391" t="s">
        <v>9568</v>
      </c>
    </row>
    <row r="6958" spans="1:8" x14ac:dyDescent="0.3">
      <c r="A6958" s="509">
        <v>45145</v>
      </c>
      <c r="B6958" s="399" t="s">
        <v>5933</v>
      </c>
      <c r="C6958" s="5" t="s">
        <v>6931</v>
      </c>
      <c r="D6958" s="5" t="s">
        <v>11891</v>
      </c>
      <c r="E6958" s="43">
        <v>3000</v>
      </c>
      <c r="F6958" s="43"/>
      <c r="G6958" s="48">
        <f t="shared" si="171"/>
        <v>586975.67741935444</v>
      </c>
      <c r="H6958" s="391" t="s">
        <v>9568</v>
      </c>
    </row>
    <row r="6959" spans="1:8" x14ac:dyDescent="0.3">
      <c r="A6959" s="509">
        <v>45145</v>
      </c>
      <c r="B6959" s="399" t="s">
        <v>5933</v>
      </c>
      <c r="C6959" s="5" t="s">
        <v>30</v>
      </c>
      <c r="D6959" s="5" t="s">
        <v>11901</v>
      </c>
      <c r="E6959" s="43">
        <v>200</v>
      </c>
      <c r="F6959" s="43"/>
      <c r="G6959" s="48">
        <f t="shared" si="171"/>
        <v>586775.67741935444</v>
      </c>
      <c r="H6959" s="391" t="s">
        <v>9568</v>
      </c>
    </row>
    <row r="6960" spans="1:8" x14ac:dyDescent="0.3">
      <c r="A6960" s="509">
        <v>45145</v>
      </c>
      <c r="B6960" s="433" t="s">
        <v>5933</v>
      </c>
      <c r="C6960" s="371" t="s">
        <v>54</v>
      </c>
      <c r="D6960" s="371" t="s">
        <v>11893</v>
      </c>
      <c r="E6960" s="372">
        <v>168846.77419354839</v>
      </c>
      <c r="F6960" s="43"/>
      <c r="G6960" s="48">
        <f t="shared" si="171"/>
        <v>417928.90322580608</v>
      </c>
      <c r="H6960" s="391" t="s">
        <v>9568</v>
      </c>
    </row>
    <row r="6961" spans="1:8" x14ac:dyDescent="0.3">
      <c r="A6961" s="509">
        <v>45145</v>
      </c>
      <c r="B6961" s="433" t="s">
        <v>11821</v>
      </c>
      <c r="C6961" s="371" t="s">
        <v>54</v>
      </c>
      <c r="D6961" s="371" t="s">
        <v>11892</v>
      </c>
      <c r="E6961" s="372">
        <v>130784.27419354839</v>
      </c>
      <c r="F6961" s="43"/>
      <c r="G6961" s="48">
        <f t="shared" si="171"/>
        <v>287144.62903225771</v>
      </c>
      <c r="H6961" s="391" t="s">
        <v>9568</v>
      </c>
    </row>
    <row r="6962" spans="1:8" x14ac:dyDescent="0.3">
      <c r="A6962" s="509">
        <v>45145</v>
      </c>
      <c r="B6962" s="399" t="s">
        <v>12191</v>
      </c>
      <c r="C6962" s="5" t="s">
        <v>5979</v>
      </c>
      <c r="D6962" s="5" t="s">
        <v>11894</v>
      </c>
      <c r="E6962" s="43">
        <v>50000</v>
      </c>
      <c r="F6962" s="43"/>
      <c r="G6962" s="48">
        <f t="shared" si="171"/>
        <v>237144.62903225771</v>
      </c>
      <c r="H6962" s="391" t="s">
        <v>9568</v>
      </c>
    </row>
    <row r="6963" spans="1:8" x14ac:dyDescent="0.3">
      <c r="A6963" s="509">
        <v>45145</v>
      </c>
      <c r="B6963" s="433" t="s">
        <v>11821</v>
      </c>
      <c r="C6963" s="371" t="s">
        <v>54</v>
      </c>
      <c r="D6963" s="371" t="s">
        <v>11898</v>
      </c>
      <c r="E6963" s="372">
        <v>36770</v>
      </c>
      <c r="F6963" s="43"/>
      <c r="G6963" s="48">
        <f t="shared" si="171"/>
        <v>200374.62903225771</v>
      </c>
      <c r="H6963" s="391" t="s">
        <v>9568</v>
      </c>
    </row>
    <row r="6964" spans="1:8" x14ac:dyDescent="0.3">
      <c r="A6964" s="509">
        <v>45145</v>
      </c>
      <c r="B6964" s="399"/>
      <c r="C6964" s="5" t="s">
        <v>84</v>
      </c>
      <c r="D6964" s="5" t="s">
        <v>11895</v>
      </c>
      <c r="E6964" s="43">
        <v>1000</v>
      </c>
      <c r="F6964" s="43"/>
      <c r="G6964" s="48">
        <f t="shared" si="171"/>
        <v>199374.62903225771</v>
      </c>
      <c r="H6964" s="391" t="s">
        <v>9568</v>
      </c>
    </row>
    <row r="6965" spans="1:8" x14ac:dyDescent="0.3">
      <c r="A6965" s="509">
        <v>45145</v>
      </c>
      <c r="B6965" s="433"/>
      <c r="C6965" s="371" t="s">
        <v>1512</v>
      </c>
      <c r="D6965" s="371" t="s">
        <v>11899</v>
      </c>
      <c r="E6965" s="372">
        <f>45500+63000+18000</f>
        <v>126500</v>
      </c>
      <c r="F6965" s="43"/>
      <c r="G6965" s="48">
        <f t="shared" si="171"/>
        <v>72874.629032257712</v>
      </c>
      <c r="H6965" s="391" t="s">
        <v>9568</v>
      </c>
    </row>
    <row r="6966" spans="1:8" x14ac:dyDescent="0.3">
      <c r="A6966" s="509">
        <v>45145</v>
      </c>
      <c r="B6966" s="399" t="s">
        <v>10974</v>
      </c>
      <c r="C6966" s="5" t="s">
        <v>9325</v>
      </c>
      <c r="D6966" s="5" t="s">
        <v>11896</v>
      </c>
      <c r="E6966" s="43">
        <v>30000</v>
      </c>
      <c r="F6966" s="43"/>
      <c r="G6966" s="48">
        <f t="shared" si="171"/>
        <v>42874.629032257712</v>
      </c>
      <c r="H6966" s="391" t="s">
        <v>9568</v>
      </c>
    </row>
    <row r="6967" spans="1:8" x14ac:dyDescent="0.3">
      <c r="A6967" s="509">
        <v>45145</v>
      </c>
      <c r="B6967" s="433"/>
      <c r="C6967" s="371" t="s">
        <v>1512</v>
      </c>
      <c r="D6967" s="371" t="s">
        <v>11897</v>
      </c>
      <c r="E6967" s="372">
        <v>39500</v>
      </c>
      <c r="F6967" s="43"/>
      <c r="G6967" s="48">
        <f t="shared" si="171"/>
        <v>3374.6290322577115</v>
      </c>
      <c r="H6967" s="391" t="s">
        <v>9568</v>
      </c>
    </row>
    <row r="6968" spans="1:8" x14ac:dyDescent="0.3">
      <c r="A6968" s="509">
        <v>45145</v>
      </c>
      <c r="B6968" s="399"/>
      <c r="C6968" s="5" t="s">
        <v>25</v>
      </c>
      <c r="D6968" s="5" t="s">
        <v>11900</v>
      </c>
      <c r="E6968" s="43">
        <v>2500</v>
      </c>
      <c r="F6968" s="43"/>
      <c r="G6968" s="48">
        <f t="shared" si="171"/>
        <v>874.62903225771151</v>
      </c>
      <c r="H6968" s="391" t="s">
        <v>9568</v>
      </c>
    </row>
    <row r="6969" spans="1:8" x14ac:dyDescent="0.3">
      <c r="A6969" s="509">
        <v>45145</v>
      </c>
      <c r="B6969" s="399" t="s">
        <v>12089</v>
      </c>
      <c r="C6969" s="5" t="s">
        <v>11745</v>
      </c>
      <c r="D6969" s="5" t="s">
        <v>11909</v>
      </c>
      <c r="E6969" s="43">
        <v>500</v>
      </c>
      <c r="F6969" s="43"/>
      <c r="G6969" s="48">
        <f t="shared" si="171"/>
        <v>374.62903225771151</v>
      </c>
      <c r="H6969" s="391" t="s">
        <v>9568</v>
      </c>
    </row>
    <row r="6970" spans="1:8" x14ac:dyDescent="0.3">
      <c r="A6970" s="509">
        <v>45147</v>
      </c>
      <c r="B6970" s="399" t="s">
        <v>11772</v>
      </c>
      <c r="C6970" s="5" t="s">
        <v>5793</v>
      </c>
      <c r="D6970" s="5" t="s">
        <v>8924</v>
      </c>
      <c r="E6970" s="43">
        <v>250</v>
      </c>
      <c r="F6970" s="43"/>
      <c r="G6970" s="48">
        <f t="shared" si="171"/>
        <v>124.62903225771151</v>
      </c>
      <c r="H6970" s="391" t="s">
        <v>9568</v>
      </c>
    </row>
    <row r="6971" spans="1:8" x14ac:dyDescent="0.3">
      <c r="A6971" s="509">
        <v>45147</v>
      </c>
      <c r="B6971" s="586"/>
      <c r="C6971" s="486"/>
      <c r="D6971" s="497" t="s">
        <v>11032</v>
      </c>
      <c r="E6971" s="486"/>
      <c r="F6971" s="43">
        <v>98000</v>
      </c>
      <c r="G6971" s="48">
        <f t="shared" si="171"/>
        <v>98124.629032257712</v>
      </c>
      <c r="H6971" s="391" t="s">
        <v>9568</v>
      </c>
    </row>
    <row r="6972" spans="1:8" x14ac:dyDescent="0.3">
      <c r="A6972" s="509">
        <v>45147</v>
      </c>
      <c r="B6972" s="399"/>
      <c r="C6972" s="5" t="s">
        <v>10138</v>
      </c>
      <c r="D6972" s="5" t="s">
        <v>11904</v>
      </c>
      <c r="E6972" s="43">
        <v>22500</v>
      </c>
      <c r="F6972" s="43"/>
      <c r="G6972" s="48">
        <f t="shared" ref="G6972:G6981" si="172">G6971+F6972-E6972</f>
        <v>75624.629032257712</v>
      </c>
      <c r="H6972" s="391" t="s">
        <v>9568</v>
      </c>
    </row>
    <row r="6973" spans="1:8" x14ac:dyDescent="0.3">
      <c r="A6973" s="509">
        <v>45147</v>
      </c>
      <c r="B6973" s="399" t="s">
        <v>12089</v>
      </c>
      <c r="C6973" s="5" t="s">
        <v>9044</v>
      </c>
      <c r="D6973" s="5" t="s">
        <v>5508</v>
      </c>
      <c r="E6973" s="43">
        <v>12000</v>
      </c>
      <c r="F6973" s="43"/>
      <c r="G6973" s="48">
        <f t="shared" si="172"/>
        <v>63624.629032257712</v>
      </c>
      <c r="H6973" s="391" t="s">
        <v>9568</v>
      </c>
    </row>
    <row r="6974" spans="1:8" x14ac:dyDescent="0.3">
      <c r="A6974" s="509">
        <v>45147</v>
      </c>
      <c r="B6974" s="399" t="s">
        <v>25</v>
      </c>
      <c r="C6974" s="5" t="s">
        <v>1512</v>
      </c>
      <c r="D6974" s="5" t="s">
        <v>11905</v>
      </c>
      <c r="E6974" s="43">
        <v>5000</v>
      </c>
      <c r="F6974" s="43"/>
      <c r="G6974" s="48">
        <f t="shared" si="172"/>
        <v>58624.629032257712</v>
      </c>
      <c r="H6974" s="391" t="s">
        <v>9568</v>
      </c>
    </row>
    <row r="6975" spans="1:8" x14ac:dyDescent="0.3">
      <c r="A6975" s="509">
        <v>45147</v>
      </c>
      <c r="B6975" s="399"/>
      <c r="C6975" s="5" t="s">
        <v>25</v>
      </c>
      <c r="D6975" s="5" t="s">
        <v>294</v>
      </c>
      <c r="E6975" s="43">
        <v>1000</v>
      </c>
      <c r="F6975" s="43"/>
      <c r="G6975" s="48">
        <f t="shared" si="172"/>
        <v>57624.629032257712</v>
      </c>
      <c r="H6975" s="391" t="s">
        <v>9568</v>
      </c>
    </row>
    <row r="6976" spans="1:8" x14ac:dyDescent="0.3">
      <c r="A6976" s="509">
        <v>45147</v>
      </c>
      <c r="B6976" s="399" t="s">
        <v>12093</v>
      </c>
      <c r="C6976" s="5" t="s">
        <v>10815</v>
      </c>
      <c r="D6976" s="5" t="s">
        <v>11906</v>
      </c>
      <c r="E6976" s="43">
        <v>10000</v>
      </c>
      <c r="F6976" s="43"/>
      <c r="G6976" s="48">
        <f t="shared" si="172"/>
        <v>47624.629032257712</v>
      </c>
      <c r="H6976" s="391" t="s">
        <v>9568</v>
      </c>
    </row>
    <row r="6977" spans="1:8" x14ac:dyDescent="0.3">
      <c r="A6977" s="509">
        <v>45147</v>
      </c>
      <c r="B6977" s="399" t="s">
        <v>12092</v>
      </c>
      <c r="C6977" s="5" t="s">
        <v>5793</v>
      </c>
      <c r="D6977" s="5" t="s">
        <v>40</v>
      </c>
      <c r="E6977" s="43">
        <v>1000</v>
      </c>
      <c r="F6977" s="43"/>
      <c r="G6977" s="48">
        <f t="shared" si="172"/>
        <v>46624.629032257712</v>
      </c>
      <c r="H6977" s="391" t="s">
        <v>9568</v>
      </c>
    </row>
    <row r="6978" spans="1:8" x14ac:dyDescent="0.3">
      <c r="A6978" s="509">
        <v>45147</v>
      </c>
      <c r="B6978" s="399"/>
      <c r="C6978" s="5" t="s">
        <v>5793</v>
      </c>
      <c r="D6978" s="5"/>
      <c r="E6978" s="43">
        <v>8000</v>
      </c>
      <c r="F6978" s="43"/>
      <c r="G6978" s="48">
        <f t="shared" si="172"/>
        <v>38624.629032257712</v>
      </c>
      <c r="H6978" s="391" t="s">
        <v>9568</v>
      </c>
    </row>
    <row r="6979" spans="1:8" x14ac:dyDescent="0.3">
      <c r="A6979" s="509">
        <v>45147</v>
      </c>
      <c r="B6979" s="399"/>
      <c r="C6979" s="5" t="s">
        <v>14</v>
      </c>
      <c r="D6979" s="5" t="s">
        <v>294</v>
      </c>
      <c r="E6979" s="43">
        <v>1000</v>
      </c>
      <c r="F6979" s="43"/>
      <c r="G6979" s="48">
        <f t="shared" si="172"/>
        <v>37624.629032257712</v>
      </c>
      <c r="H6979" s="391" t="s">
        <v>9568</v>
      </c>
    </row>
    <row r="6980" spans="1:8" x14ac:dyDescent="0.3">
      <c r="A6980" s="509">
        <v>45147</v>
      </c>
      <c r="B6980" s="399" t="s">
        <v>12190</v>
      </c>
      <c r="C6980" s="5" t="s">
        <v>11815</v>
      </c>
      <c r="D6980" s="5" t="s">
        <v>11856</v>
      </c>
      <c r="E6980" s="43">
        <v>4000</v>
      </c>
      <c r="F6980" s="43"/>
      <c r="G6980" s="48">
        <f t="shared" si="172"/>
        <v>33624.629032257712</v>
      </c>
      <c r="H6980" s="391" t="s">
        <v>9568</v>
      </c>
    </row>
    <row r="6981" spans="1:8" x14ac:dyDescent="0.3">
      <c r="A6981" s="509">
        <v>45147</v>
      </c>
      <c r="B6981" s="399" t="s">
        <v>12090</v>
      </c>
      <c r="C6981" s="5" t="s">
        <v>9458</v>
      </c>
      <c r="D6981" s="5" t="s">
        <v>11907</v>
      </c>
      <c r="E6981" s="43">
        <v>3000</v>
      </c>
      <c r="F6981" s="43"/>
      <c r="G6981" s="48">
        <f t="shared" si="172"/>
        <v>30624.629032257712</v>
      </c>
      <c r="H6981" s="391" t="s">
        <v>9568</v>
      </c>
    </row>
    <row r="6982" spans="1:8" x14ac:dyDescent="0.3">
      <c r="A6982" s="509">
        <v>45147</v>
      </c>
      <c r="B6982" s="399" t="s">
        <v>12089</v>
      </c>
      <c r="C6982" s="5" t="s">
        <v>84</v>
      </c>
      <c r="D6982" s="5" t="s">
        <v>11783</v>
      </c>
      <c r="E6982" s="43">
        <v>3000</v>
      </c>
      <c r="F6982" s="43"/>
      <c r="G6982" s="48">
        <f t="shared" ref="G6982" si="173">G6981+F6982-E6982</f>
        <v>27624.629032257712</v>
      </c>
      <c r="H6982" s="391" t="s">
        <v>9568</v>
      </c>
    </row>
    <row r="6983" spans="1:8" x14ac:dyDescent="0.3">
      <c r="A6983" s="509">
        <v>45147</v>
      </c>
      <c r="B6983" s="399" t="s">
        <v>25</v>
      </c>
      <c r="C6983" s="5" t="s">
        <v>25</v>
      </c>
      <c r="D6983" s="5" t="s">
        <v>11455</v>
      </c>
      <c r="E6983" s="43">
        <v>2500</v>
      </c>
      <c r="F6983" s="43"/>
      <c r="G6983" s="48">
        <f t="shared" ref="G6983:G7036" si="174">G6982+F6983-E6983</f>
        <v>25124.629032257712</v>
      </c>
      <c r="H6983" s="391" t="s">
        <v>9568</v>
      </c>
    </row>
    <row r="6984" spans="1:8" x14ac:dyDescent="0.3">
      <c r="A6984" s="509">
        <v>45147</v>
      </c>
      <c r="B6984" s="399"/>
      <c r="C6984" s="5" t="s">
        <v>9756</v>
      </c>
      <c r="D6984" s="5" t="s">
        <v>11908</v>
      </c>
      <c r="E6984" s="43">
        <v>1000</v>
      </c>
      <c r="F6984" s="43"/>
      <c r="G6984" s="48">
        <f t="shared" si="174"/>
        <v>24124.629032257712</v>
      </c>
      <c r="H6984" s="391" t="s">
        <v>9568</v>
      </c>
    </row>
    <row r="6985" spans="1:8" x14ac:dyDescent="0.3">
      <c r="A6985" s="509">
        <v>45147</v>
      </c>
      <c r="B6985" s="399"/>
      <c r="C6985" s="5" t="s">
        <v>11745</v>
      </c>
      <c r="D6985" s="5" t="s">
        <v>11910</v>
      </c>
      <c r="E6985" s="43">
        <v>1000</v>
      </c>
      <c r="F6985" s="43"/>
      <c r="G6985" s="48">
        <f t="shared" si="174"/>
        <v>23124.629032257712</v>
      </c>
      <c r="H6985" s="391" t="s">
        <v>9568</v>
      </c>
    </row>
    <row r="6986" spans="1:8" x14ac:dyDescent="0.3">
      <c r="A6986" s="509">
        <v>45148</v>
      </c>
      <c r="B6986" s="399"/>
      <c r="C6986" s="5" t="s">
        <v>5793</v>
      </c>
      <c r="D6986" s="5" t="s">
        <v>8924</v>
      </c>
      <c r="E6986" s="43">
        <v>500</v>
      </c>
      <c r="F6986" s="43"/>
      <c r="G6986" s="48">
        <f t="shared" si="174"/>
        <v>22624.629032257712</v>
      </c>
      <c r="H6986" s="391" t="s">
        <v>9568</v>
      </c>
    </row>
    <row r="6987" spans="1:8" x14ac:dyDescent="0.3">
      <c r="A6987" s="509">
        <v>45148</v>
      </c>
      <c r="B6987" s="399" t="s">
        <v>11164</v>
      </c>
      <c r="C6987" s="5" t="s">
        <v>9756</v>
      </c>
      <c r="D6987" s="5" t="s">
        <v>11912</v>
      </c>
      <c r="E6987" s="43">
        <v>1630</v>
      </c>
      <c r="F6987" s="43"/>
      <c r="G6987" s="48">
        <f t="shared" si="174"/>
        <v>20994.629032257712</v>
      </c>
      <c r="H6987" s="391" t="s">
        <v>9568</v>
      </c>
    </row>
    <row r="6988" spans="1:8" x14ac:dyDescent="0.3">
      <c r="A6988" s="509">
        <v>45148</v>
      </c>
      <c r="B6988" s="399"/>
      <c r="C6988" s="5" t="s">
        <v>30</v>
      </c>
      <c r="D6988" s="5" t="s">
        <v>2013</v>
      </c>
      <c r="E6988" s="43">
        <v>1340</v>
      </c>
      <c r="F6988" s="43"/>
      <c r="G6988" s="48">
        <f t="shared" si="174"/>
        <v>19654.629032257712</v>
      </c>
      <c r="H6988" s="391" t="s">
        <v>9568</v>
      </c>
    </row>
    <row r="6989" spans="1:8" x14ac:dyDescent="0.3">
      <c r="A6989" s="509">
        <v>45148</v>
      </c>
      <c r="B6989" s="399"/>
      <c r="C6989" s="5" t="s">
        <v>18</v>
      </c>
      <c r="D6989" s="5" t="s">
        <v>294</v>
      </c>
      <c r="E6989" s="43">
        <v>2000</v>
      </c>
      <c r="F6989" s="43"/>
      <c r="G6989" s="48">
        <f t="shared" si="174"/>
        <v>17654.629032257712</v>
      </c>
      <c r="H6989" s="391" t="s">
        <v>9568</v>
      </c>
    </row>
    <row r="6990" spans="1:8" x14ac:dyDescent="0.3">
      <c r="A6990" s="509">
        <v>45148</v>
      </c>
      <c r="B6990" s="399" t="s">
        <v>11528</v>
      </c>
      <c r="C6990" s="5" t="s">
        <v>9452</v>
      </c>
      <c r="D6990" s="5" t="s">
        <v>11913</v>
      </c>
      <c r="E6990" s="43">
        <v>13000</v>
      </c>
      <c r="F6990" s="43"/>
      <c r="G6990" s="48">
        <f t="shared" si="174"/>
        <v>4654.6290322577115</v>
      </c>
      <c r="H6990" s="391" t="s">
        <v>9568</v>
      </c>
    </row>
    <row r="6991" spans="1:8" x14ac:dyDescent="0.3">
      <c r="A6991" s="509">
        <v>45148</v>
      </c>
      <c r="B6991" s="399" t="s">
        <v>25</v>
      </c>
      <c r="C6991" s="5" t="s">
        <v>25</v>
      </c>
      <c r="D6991" s="5" t="s">
        <v>11455</v>
      </c>
      <c r="E6991" s="43">
        <v>2500</v>
      </c>
      <c r="F6991" s="43"/>
      <c r="G6991" s="48">
        <f t="shared" ref="G6991:G6992" si="175">G6990+F6991-E6991</f>
        <v>2154.6290322577115</v>
      </c>
      <c r="H6991" s="391" t="s">
        <v>9568</v>
      </c>
    </row>
    <row r="6992" spans="1:8" x14ac:dyDescent="0.3">
      <c r="A6992" s="509">
        <v>45148</v>
      </c>
      <c r="B6992" s="586"/>
      <c r="C6992" s="486"/>
      <c r="D6992" s="497" t="s">
        <v>11417</v>
      </c>
      <c r="E6992" s="486"/>
      <c r="F6992" s="43">
        <v>500000</v>
      </c>
      <c r="G6992" s="48">
        <f t="shared" si="175"/>
        <v>502154.62903225771</v>
      </c>
      <c r="H6992" s="391" t="s">
        <v>9568</v>
      </c>
    </row>
    <row r="6993" spans="1:8" x14ac:dyDescent="0.3">
      <c r="A6993" s="509">
        <v>45148</v>
      </c>
      <c r="B6993" s="399"/>
      <c r="C6993" s="5" t="s">
        <v>11914</v>
      </c>
      <c r="D6993" s="5" t="s">
        <v>11915</v>
      </c>
      <c r="E6993" s="43">
        <v>30000</v>
      </c>
      <c r="F6993" s="43"/>
      <c r="G6993" s="48">
        <f t="shared" si="174"/>
        <v>472154.62903225771</v>
      </c>
      <c r="H6993" s="391" t="s">
        <v>9568</v>
      </c>
    </row>
    <row r="6994" spans="1:8" x14ac:dyDescent="0.3">
      <c r="A6994" s="509">
        <v>45148</v>
      </c>
      <c r="B6994" s="399"/>
      <c r="C6994" s="5" t="s">
        <v>11745</v>
      </c>
      <c r="D6994" s="5" t="s">
        <v>11910</v>
      </c>
      <c r="E6994" s="43">
        <v>500</v>
      </c>
      <c r="F6994" s="43"/>
      <c r="G6994" s="48">
        <f t="shared" si="174"/>
        <v>471654.62903225771</v>
      </c>
      <c r="H6994" s="391" t="s">
        <v>9568</v>
      </c>
    </row>
    <row r="6995" spans="1:8" x14ac:dyDescent="0.3">
      <c r="A6995" s="509">
        <v>45148</v>
      </c>
      <c r="B6995" s="433"/>
      <c r="C6995" s="371" t="s">
        <v>1512</v>
      </c>
      <c r="D6995" s="371" t="s">
        <v>11916</v>
      </c>
      <c r="E6995" s="372">
        <v>97923.387096774182</v>
      </c>
      <c r="F6995" s="43"/>
      <c r="G6995" s="48">
        <f t="shared" si="174"/>
        <v>373731.24193548353</v>
      </c>
      <c r="H6995" s="391" t="s">
        <v>9568</v>
      </c>
    </row>
    <row r="6996" spans="1:8" x14ac:dyDescent="0.3">
      <c r="A6996" s="509">
        <v>45148</v>
      </c>
      <c r="B6996" s="399"/>
      <c r="C6996" s="5" t="s">
        <v>14</v>
      </c>
      <c r="D6996" s="5" t="s">
        <v>294</v>
      </c>
      <c r="E6996" s="43">
        <v>2000</v>
      </c>
      <c r="F6996" s="43"/>
      <c r="G6996" s="48">
        <f t="shared" si="174"/>
        <v>371731.24193548353</v>
      </c>
      <c r="H6996" s="391" t="s">
        <v>9568</v>
      </c>
    </row>
    <row r="6997" spans="1:8" x14ac:dyDescent="0.3">
      <c r="A6997" s="509">
        <v>45148</v>
      </c>
      <c r="B6997" s="433"/>
      <c r="C6997" s="371" t="s">
        <v>1512</v>
      </c>
      <c r="D6997" s="371" t="s">
        <v>11917</v>
      </c>
      <c r="E6997" s="372">
        <f>80829+60000</f>
        <v>140829</v>
      </c>
      <c r="F6997" s="43"/>
      <c r="G6997" s="48">
        <f t="shared" si="174"/>
        <v>230902.24193548353</v>
      </c>
      <c r="H6997" s="391" t="s">
        <v>9568</v>
      </c>
    </row>
    <row r="6998" spans="1:8" x14ac:dyDescent="0.3">
      <c r="A6998" s="509">
        <v>45148</v>
      </c>
      <c r="B6998" s="433"/>
      <c r="C6998" s="371" t="s">
        <v>1512</v>
      </c>
      <c r="D6998" s="371" t="s">
        <v>11918</v>
      </c>
      <c r="E6998" s="372">
        <f>50000+54520+54200</f>
        <v>158720</v>
      </c>
      <c r="F6998" s="43"/>
      <c r="G6998" s="48">
        <f t="shared" si="174"/>
        <v>72182.241935483529</v>
      </c>
      <c r="H6998" s="391" t="s">
        <v>9568</v>
      </c>
    </row>
    <row r="6999" spans="1:8" x14ac:dyDescent="0.3">
      <c r="A6999" s="509">
        <v>45148</v>
      </c>
      <c r="B6999" s="399" t="s">
        <v>12087</v>
      </c>
      <c r="C6999" s="5" t="s">
        <v>25</v>
      </c>
      <c r="D6999" s="5" t="s">
        <v>11919</v>
      </c>
      <c r="E6999" s="43">
        <v>200</v>
      </c>
      <c r="F6999" s="43"/>
      <c r="G6999" s="48">
        <f t="shared" si="174"/>
        <v>71982.241935483529</v>
      </c>
      <c r="H6999" s="391" t="s">
        <v>9568</v>
      </c>
    </row>
    <row r="7000" spans="1:8" x14ac:dyDescent="0.3">
      <c r="A7000" s="509">
        <v>45149</v>
      </c>
      <c r="B7000" s="399" t="s">
        <v>11772</v>
      </c>
      <c r="C7000" s="5" t="s">
        <v>9525</v>
      </c>
      <c r="D7000" s="5" t="s">
        <v>11931</v>
      </c>
      <c r="E7000" s="43">
        <v>1000</v>
      </c>
      <c r="F7000" s="43"/>
      <c r="G7000" s="48">
        <f t="shared" si="174"/>
        <v>70982.241935483529</v>
      </c>
      <c r="H7000" s="391" t="s">
        <v>9568</v>
      </c>
    </row>
    <row r="7001" spans="1:8" x14ac:dyDescent="0.3">
      <c r="A7001" s="509">
        <v>45149</v>
      </c>
      <c r="B7001" s="399" t="s">
        <v>11772</v>
      </c>
      <c r="C7001" s="5" t="s">
        <v>9525</v>
      </c>
      <c r="D7001" s="5" t="s">
        <v>2013</v>
      </c>
      <c r="E7001" s="43">
        <v>1000</v>
      </c>
      <c r="F7001" s="43"/>
      <c r="G7001" s="48">
        <f t="shared" si="174"/>
        <v>69982.241935483529</v>
      </c>
      <c r="H7001" s="391" t="s">
        <v>9568</v>
      </c>
    </row>
    <row r="7002" spans="1:8" x14ac:dyDescent="0.3">
      <c r="A7002" s="509">
        <v>45149</v>
      </c>
      <c r="B7002" s="399" t="s">
        <v>12093</v>
      </c>
      <c r="C7002" s="206" t="s">
        <v>9756</v>
      </c>
      <c r="D7002" s="206" t="s">
        <v>11921</v>
      </c>
      <c r="E7002" s="545">
        <v>2000</v>
      </c>
      <c r="F7002" s="43"/>
      <c r="G7002" s="48">
        <f t="shared" si="174"/>
        <v>67982.241935483529</v>
      </c>
      <c r="H7002" s="391" t="s">
        <v>9568</v>
      </c>
    </row>
    <row r="7003" spans="1:8" x14ac:dyDescent="0.3">
      <c r="A7003" s="509">
        <v>45149</v>
      </c>
      <c r="B7003" s="399" t="s">
        <v>11934</v>
      </c>
      <c r="C7003" s="5" t="s">
        <v>10815</v>
      </c>
      <c r="D7003" s="5" t="s">
        <v>11935</v>
      </c>
      <c r="E7003" s="43">
        <v>2200</v>
      </c>
      <c r="F7003" s="43"/>
      <c r="G7003" s="48">
        <f t="shared" si="174"/>
        <v>65782.241935483529</v>
      </c>
      <c r="H7003" s="391" t="s">
        <v>9568</v>
      </c>
    </row>
    <row r="7004" spans="1:8" x14ac:dyDescent="0.3">
      <c r="A7004" s="509">
        <v>45149</v>
      </c>
      <c r="B7004" s="399" t="s">
        <v>12089</v>
      </c>
      <c r="C7004" s="5" t="s">
        <v>10815</v>
      </c>
      <c r="D7004" s="5" t="s">
        <v>11922</v>
      </c>
      <c r="E7004" s="43">
        <v>1760</v>
      </c>
      <c r="F7004" s="43"/>
      <c r="G7004" s="48">
        <f t="shared" si="174"/>
        <v>64022.241935483529</v>
      </c>
      <c r="H7004" s="391" t="s">
        <v>9568</v>
      </c>
    </row>
    <row r="7005" spans="1:8" x14ac:dyDescent="0.3">
      <c r="A7005" s="509">
        <v>45149</v>
      </c>
      <c r="B7005" s="399" t="s">
        <v>12191</v>
      </c>
      <c r="C7005" s="5" t="s">
        <v>7737</v>
      </c>
      <c r="D7005" s="5" t="s">
        <v>11923</v>
      </c>
      <c r="E7005" s="43">
        <v>5600</v>
      </c>
      <c r="F7005" s="43"/>
      <c r="G7005" s="48">
        <f t="shared" si="174"/>
        <v>58422.241935483529</v>
      </c>
      <c r="H7005" s="391" t="s">
        <v>9568</v>
      </c>
    </row>
    <row r="7006" spans="1:8" x14ac:dyDescent="0.3">
      <c r="A7006" s="509">
        <v>45149</v>
      </c>
      <c r="B7006" s="399"/>
      <c r="C7006" s="5" t="s">
        <v>247</v>
      </c>
      <c r="D7006" s="5" t="s">
        <v>11924</v>
      </c>
      <c r="E7006" s="43">
        <v>12500</v>
      </c>
      <c r="F7006" s="43"/>
      <c r="G7006" s="48">
        <f t="shared" si="174"/>
        <v>45922.241935483529</v>
      </c>
      <c r="H7006" s="391" t="s">
        <v>9568</v>
      </c>
    </row>
    <row r="7007" spans="1:8" x14ac:dyDescent="0.3">
      <c r="A7007" s="509">
        <v>45149</v>
      </c>
      <c r="B7007" s="399" t="s">
        <v>25</v>
      </c>
      <c r="C7007" s="5" t="s">
        <v>64</v>
      </c>
      <c r="D7007" s="5" t="s">
        <v>40</v>
      </c>
      <c r="E7007" s="43">
        <v>2000</v>
      </c>
      <c r="F7007" s="43"/>
      <c r="G7007" s="48">
        <f t="shared" si="174"/>
        <v>43922.241935483529</v>
      </c>
      <c r="H7007" s="391" t="s">
        <v>9568</v>
      </c>
    </row>
    <row r="7008" spans="1:8" x14ac:dyDescent="0.3">
      <c r="A7008" s="509">
        <v>45149</v>
      </c>
      <c r="B7008" s="433" t="s">
        <v>693</v>
      </c>
      <c r="C7008" s="371" t="s">
        <v>1512</v>
      </c>
      <c r="D7008" s="371" t="s">
        <v>11926</v>
      </c>
      <c r="E7008" s="372">
        <v>17360</v>
      </c>
      <c r="F7008" s="43"/>
      <c r="G7008" s="48">
        <f t="shared" si="174"/>
        <v>26562.241935483529</v>
      </c>
      <c r="H7008" s="391" t="s">
        <v>9568</v>
      </c>
    </row>
    <row r="7009" spans="1:8" x14ac:dyDescent="0.3">
      <c r="A7009" s="509">
        <v>45149</v>
      </c>
      <c r="B7009" s="399"/>
      <c r="C7009" s="5" t="s">
        <v>777</v>
      </c>
      <c r="D7009" s="5" t="s">
        <v>40</v>
      </c>
      <c r="E7009" s="43">
        <v>20000</v>
      </c>
      <c r="F7009" s="43"/>
      <c r="G7009" s="48">
        <f t="shared" si="174"/>
        <v>6562.2419354835292</v>
      </c>
      <c r="H7009" s="391" t="s">
        <v>9568</v>
      </c>
    </row>
    <row r="7010" spans="1:8" x14ac:dyDescent="0.3">
      <c r="A7010" s="509">
        <v>45149</v>
      </c>
      <c r="B7010" s="586"/>
      <c r="C7010" s="486"/>
      <c r="D7010" s="497" t="s">
        <v>4106</v>
      </c>
      <c r="E7010" s="486"/>
      <c r="F7010" s="43">
        <v>450000</v>
      </c>
      <c r="G7010" s="48">
        <f t="shared" si="174"/>
        <v>456562.24193548353</v>
      </c>
      <c r="H7010" s="391" t="s">
        <v>9568</v>
      </c>
    </row>
    <row r="7011" spans="1:8" x14ac:dyDescent="0.3">
      <c r="A7011" s="509">
        <v>45149</v>
      </c>
      <c r="B7011" s="399" t="s">
        <v>10333</v>
      </c>
      <c r="C7011" s="5" t="s">
        <v>5793</v>
      </c>
      <c r="D7011" s="5" t="s">
        <v>40</v>
      </c>
      <c r="E7011" s="43">
        <v>2800</v>
      </c>
      <c r="F7011" s="43"/>
      <c r="G7011" s="48">
        <f t="shared" si="174"/>
        <v>453762.24193548353</v>
      </c>
      <c r="H7011" s="391" t="s">
        <v>9568</v>
      </c>
    </row>
    <row r="7012" spans="1:8" x14ac:dyDescent="0.3">
      <c r="A7012" s="509">
        <v>45149</v>
      </c>
      <c r="B7012" s="399"/>
      <c r="C7012" s="5" t="s">
        <v>4550</v>
      </c>
      <c r="D7012" s="5" t="s">
        <v>5813</v>
      </c>
      <c r="E7012" s="43">
        <v>5000</v>
      </c>
      <c r="F7012" s="43"/>
      <c r="G7012" s="48">
        <f t="shared" si="174"/>
        <v>448762.24193548353</v>
      </c>
      <c r="H7012" s="391" t="s">
        <v>9568</v>
      </c>
    </row>
    <row r="7013" spans="1:8" x14ac:dyDescent="0.3">
      <c r="A7013" s="509">
        <v>45149</v>
      </c>
      <c r="B7013" s="399" t="s">
        <v>10867</v>
      </c>
      <c r="C7013" s="5" t="s">
        <v>116</v>
      </c>
      <c r="D7013" s="5" t="s">
        <v>11928</v>
      </c>
      <c r="E7013" s="43">
        <v>6000</v>
      </c>
      <c r="F7013" s="43"/>
      <c r="G7013" s="48">
        <f t="shared" si="174"/>
        <v>442762.24193548353</v>
      </c>
      <c r="H7013" s="391" t="s">
        <v>9568</v>
      </c>
    </row>
    <row r="7014" spans="1:8" x14ac:dyDescent="0.3">
      <c r="A7014" s="509">
        <v>45149</v>
      </c>
      <c r="B7014" s="433" t="s">
        <v>11821</v>
      </c>
      <c r="C7014" s="371" t="s">
        <v>54</v>
      </c>
      <c r="D7014" s="371" t="s">
        <v>11929</v>
      </c>
      <c r="E7014" s="372">
        <v>138217.74193548388</v>
      </c>
      <c r="F7014" s="43"/>
      <c r="G7014" s="48">
        <f t="shared" si="174"/>
        <v>304544.49999999965</v>
      </c>
      <c r="H7014" s="391" t="s">
        <v>9568</v>
      </c>
    </row>
    <row r="7015" spans="1:8" x14ac:dyDescent="0.3">
      <c r="A7015" s="509">
        <v>45149</v>
      </c>
      <c r="B7015" s="399"/>
      <c r="C7015" s="5" t="s">
        <v>14</v>
      </c>
      <c r="D7015" s="5" t="s">
        <v>294</v>
      </c>
      <c r="E7015" s="43">
        <v>5000</v>
      </c>
      <c r="F7015" s="43"/>
      <c r="G7015" s="48">
        <f t="shared" si="174"/>
        <v>299544.49999999965</v>
      </c>
      <c r="H7015" s="391" t="s">
        <v>9568</v>
      </c>
    </row>
    <row r="7016" spans="1:8" x14ac:dyDescent="0.3">
      <c r="A7016" s="509">
        <v>45149</v>
      </c>
      <c r="B7016" s="399" t="s">
        <v>10615</v>
      </c>
      <c r="C7016" s="371" t="s">
        <v>54</v>
      </c>
      <c r="D7016" s="371" t="s">
        <v>11930</v>
      </c>
      <c r="E7016" s="372">
        <v>265935.4838709677</v>
      </c>
      <c r="F7016" s="43"/>
      <c r="G7016" s="48">
        <f t="shared" si="174"/>
        <v>33609.016129031952</v>
      </c>
      <c r="H7016" s="391" t="s">
        <v>9568</v>
      </c>
    </row>
    <row r="7017" spans="1:8" x14ac:dyDescent="0.3">
      <c r="A7017" s="509">
        <v>45149</v>
      </c>
      <c r="B7017" s="399" t="s">
        <v>12089</v>
      </c>
      <c r="C7017" s="371" t="s">
        <v>54</v>
      </c>
      <c r="D7017" s="371" t="s">
        <v>73</v>
      </c>
      <c r="E7017" s="372">
        <v>7200</v>
      </c>
      <c r="F7017" s="43"/>
      <c r="G7017" s="48">
        <f t="shared" si="174"/>
        <v>26409.016129031952</v>
      </c>
      <c r="H7017" s="391" t="s">
        <v>9568</v>
      </c>
    </row>
    <row r="7018" spans="1:8" x14ac:dyDescent="0.3">
      <c r="A7018" s="509">
        <v>45149</v>
      </c>
      <c r="B7018" s="399"/>
      <c r="C7018" s="5" t="s">
        <v>5482</v>
      </c>
      <c r="D7018" s="5" t="s">
        <v>11932</v>
      </c>
      <c r="E7018" s="43">
        <v>10000</v>
      </c>
      <c r="F7018" s="43"/>
      <c r="G7018" s="48">
        <f t="shared" si="174"/>
        <v>16409.016129031952</v>
      </c>
      <c r="H7018" s="391" t="s">
        <v>9568</v>
      </c>
    </row>
    <row r="7019" spans="1:8" x14ac:dyDescent="0.3">
      <c r="A7019" s="509">
        <v>45149</v>
      </c>
      <c r="B7019" s="399" t="s">
        <v>12089</v>
      </c>
      <c r="C7019" s="5" t="s">
        <v>5162</v>
      </c>
      <c r="D7019" s="5" t="s">
        <v>3910</v>
      </c>
      <c r="E7019" s="43">
        <v>5000</v>
      </c>
      <c r="F7019" s="43"/>
      <c r="G7019" s="48">
        <f t="shared" si="174"/>
        <v>11409.016129031952</v>
      </c>
      <c r="H7019" s="391" t="s">
        <v>9568</v>
      </c>
    </row>
    <row r="7020" spans="1:8" x14ac:dyDescent="0.3">
      <c r="A7020" s="509">
        <v>45149</v>
      </c>
      <c r="B7020" s="399"/>
      <c r="C7020" s="5" t="s">
        <v>247</v>
      </c>
      <c r="D7020" s="5" t="s">
        <v>7561</v>
      </c>
      <c r="E7020" s="43">
        <v>200</v>
      </c>
      <c r="F7020" s="43"/>
      <c r="G7020" s="48">
        <f t="shared" si="174"/>
        <v>11209.016129031952</v>
      </c>
      <c r="H7020" s="391" t="s">
        <v>9568</v>
      </c>
    </row>
    <row r="7021" spans="1:8" x14ac:dyDescent="0.3">
      <c r="A7021" s="509">
        <v>45149</v>
      </c>
      <c r="B7021" s="399" t="s">
        <v>11772</v>
      </c>
      <c r="C7021" s="5" t="s">
        <v>5793</v>
      </c>
      <c r="D7021" s="5" t="s">
        <v>40</v>
      </c>
      <c r="E7021" s="43">
        <v>600</v>
      </c>
      <c r="F7021" s="43"/>
      <c r="G7021" s="48">
        <f t="shared" si="174"/>
        <v>10609.016129031952</v>
      </c>
      <c r="H7021" s="391" t="s">
        <v>9568</v>
      </c>
    </row>
    <row r="7022" spans="1:8" x14ac:dyDescent="0.3">
      <c r="A7022" s="509">
        <v>45150</v>
      </c>
      <c r="B7022" s="399" t="s">
        <v>25</v>
      </c>
      <c r="C7022" s="5" t="s">
        <v>25</v>
      </c>
      <c r="D7022" s="5" t="s">
        <v>11455</v>
      </c>
      <c r="E7022" s="43">
        <v>3500</v>
      </c>
      <c r="F7022" s="43"/>
      <c r="G7022" s="48">
        <f t="shared" si="174"/>
        <v>7109.016129031952</v>
      </c>
      <c r="H7022" s="391" t="s">
        <v>9568</v>
      </c>
    </row>
    <row r="7023" spans="1:8" x14ac:dyDescent="0.3">
      <c r="A7023" s="509">
        <v>45150</v>
      </c>
      <c r="B7023" s="399" t="s">
        <v>12090</v>
      </c>
      <c r="C7023" s="5" t="s">
        <v>5793</v>
      </c>
      <c r="D7023" s="5" t="s">
        <v>40</v>
      </c>
      <c r="E7023" s="43">
        <v>300</v>
      </c>
      <c r="F7023" s="43"/>
      <c r="G7023" s="48">
        <f t="shared" si="174"/>
        <v>6809.016129031952</v>
      </c>
      <c r="H7023" s="391" t="s">
        <v>9568</v>
      </c>
    </row>
    <row r="7024" spans="1:8" x14ac:dyDescent="0.3">
      <c r="A7024" s="509">
        <v>45150</v>
      </c>
      <c r="B7024" s="399" t="s">
        <v>11528</v>
      </c>
      <c r="C7024" s="5" t="s">
        <v>9452</v>
      </c>
      <c r="D7024" s="5" t="s">
        <v>11913</v>
      </c>
      <c r="E7024" s="43">
        <v>2000</v>
      </c>
      <c r="F7024" s="43"/>
      <c r="G7024" s="48">
        <f t="shared" si="174"/>
        <v>4809.016129031952</v>
      </c>
      <c r="H7024" s="391" t="s">
        <v>9568</v>
      </c>
    </row>
    <row r="7025" spans="1:8" x14ac:dyDescent="0.3">
      <c r="A7025" s="509">
        <v>45150</v>
      </c>
      <c r="B7025" s="586"/>
      <c r="C7025" s="486"/>
      <c r="D7025" s="497" t="s">
        <v>11417</v>
      </c>
      <c r="E7025" s="486"/>
      <c r="F7025" s="43">
        <v>550000</v>
      </c>
      <c r="G7025" s="48">
        <f t="shared" si="174"/>
        <v>554809.01612903201</v>
      </c>
      <c r="H7025" s="391" t="s">
        <v>9568</v>
      </c>
    </row>
    <row r="7026" spans="1:8" x14ac:dyDescent="0.3">
      <c r="A7026" s="509">
        <v>45150</v>
      </c>
      <c r="B7026" s="399" t="s">
        <v>12090</v>
      </c>
      <c r="C7026" s="5" t="s">
        <v>11940</v>
      </c>
      <c r="D7026" s="5" t="s">
        <v>11941</v>
      </c>
      <c r="E7026" s="43">
        <v>5000</v>
      </c>
      <c r="F7026" s="43"/>
      <c r="G7026" s="48">
        <f t="shared" si="174"/>
        <v>549809.01612903201</v>
      </c>
      <c r="H7026" s="391" t="s">
        <v>9568</v>
      </c>
    </row>
    <row r="7027" spans="1:8" x14ac:dyDescent="0.3">
      <c r="A7027" s="509">
        <v>45150</v>
      </c>
      <c r="B7027" s="399" t="s">
        <v>11528</v>
      </c>
      <c r="C7027" s="5" t="s">
        <v>9756</v>
      </c>
      <c r="D7027" s="5" t="s">
        <v>11936</v>
      </c>
      <c r="E7027" s="43">
        <v>19300</v>
      </c>
      <c r="F7027" s="43"/>
      <c r="G7027" s="48">
        <f t="shared" si="174"/>
        <v>530509.01612903201</v>
      </c>
      <c r="H7027" s="391" t="s">
        <v>9568</v>
      </c>
    </row>
    <row r="7028" spans="1:8" x14ac:dyDescent="0.3">
      <c r="A7028" s="509">
        <v>45150</v>
      </c>
      <c r="B7028" s="399" t="s">
        <v>12090</v>
      </c>
      <c r="C7028" s="5" t="s">
        <v>9756</v>
      </c>
      <c r="D7028" s="5" t="s">
        <v>11937</v>
      </c>
      <c r="E7028" s="43">
        <v>13000</v>
      </c>
      <c r="F7028" s="43"/>
      <c r="G7028" s="48">
        <f t="shared" si="174"/>
        <v>517509.01612903201</v>
      </c>
      <c r="H7028" s="391" t="s">
        <v>9568</v>
      </c>
    </row>
    <row r="7029" spans="1:8" x14ac:dyDescent="0.3">
      <c r="A7029" s="509">
        <v>45150</v>
      </c>
      <c r="B7029" s="399" t="s">
        <v>10333</v>
      </c>
      <c r="C7029" s="5" t="s">
        <v>10815</v>
      </c>
      <c r="D7029" s="5" t="s">
        <v>11370</v>
      </c>
      <c r="E7029" s="43">
        <v>18500</v>
      </c>
      <c r="F7029" s="43"/>
      <c r="G7029" s="48">
        <f t="shared" si="174"/>
        <v>499009.01612903201</v>
      </c>
      <c r="H7029" s="391" t="s">
        <v>9568</v>
      </c>
    </row>
    <row r="7030" spans="1:8" x14ac:dyDescent="0.3">
      <c r="A7030" s="509">
        <v>45150</v>
      </c>
      <c r="B7030" s="399" t="s">
        <v>10333</v>
      </c>
      <c r="C7030" s="5" t="s">
        <v>10815</v>
      </c>
      <c r="D7030" s="5" t="s">
        <v>11938</v>
      </c>
      <c r="E7030" s="43">
        <v>44020</v>
      </c>
      <c r="F7030" s="43"/>
      <c r="G7030" s="48">
        <f t="shared" si="174"/>
        <v>454989.01612903201</v>
      </c>
      <c r="H7030" s="391" t="s">
        <v>9568</v>
      </c>
    </row>
    <row r="7031" spans="1:8" x14ac:dyDescent="0.3">
      <c r="A7031" s="509">
        <v>45150</v>
      </c>
      <c r="B7031" s="399" t="s">
        <v>10333</v>
      </c>
      <c r="C7031" s="5" t="s">
        <v>10815</v>
      </c>
      <c r="D7031" s="5" t="s">
        <v>11939</v>
      </c>
      <c r="E7031" s="43">
        <v>42500</v>
      </c>
      <c r="F7031" s="43"/>
      <c r="G7031" s="48">
        <f t="shared" si="174"/>
        <v>412489.01612903201</v>
      </c>
      <c r="H7031" s="391" t="s">
        <v>9568</v>
      </c>
    </row>
    <row r="7032" spans="1:8" x14ac:dyDescent="0.3">
      <c r="A7032" s="509">
        <v>45150</v>
      </c>
      <c r="B7032" s="399" t="s">
        <v>11528</v>
      </c>
      <c r="C7032" s="5" t="s">
        <v>11942</v>
      </c>
      <c r="D7032" s="5" t="s">
        <v>11943</v>
      </c>
      <c r="E7032" s="43">
        <v>60000</v>
      </c>
      <c r="F7032" s="43"/>
      <c r="G7032" s="48">
        <f t="shared" si="174"/>
        <v>352489.01612903201</v>
      </c>
      <c r="H7032" s="391" t="s">
        <v>9568</v>
      </c>
    </row>
    <row r="7033" spans="1:8" x14ac:dyDescent="0.3">
      <c r="A7033" s="509">
        <v>45150</v>
      </c>
      <c r="B7033" s="399" t="s">
        <v>11772</v>
      </c>
      <c r="C7033" s="5" t="s">
        <v>10138</v>
      </c>
      <c r="D7033" s="5" t="s">
        <v>11944</v>
      </c>
      <c r="E7033" s="43">
        <v>18000</v>
      </c>
      <c r="F7033" s="43"/>
      <c r="G7033" s="48">
        <f t="shared" si="174"/>
        <v>334489.01612903201</v>
      </c>
      <c r="H7033" s="391" t="s">
        <v>9568</v>
      </c>
    </row>
    <row r="7034" spans="1:8" x14ac:dyDescent="0.3">
      <c r="A7034" s="509">
        <v>45150</v>
      </c>
      <c r="B7034" s="399" t="s">
        <v>10615</v>
      </c>
      <c r="C7034" s="5" t="s">
        <v>84</v>
      </c>
      <c r="D7034" s="5" t="s">
        <v>11945</v>
      </c>
      <c r="E7034" s="43">
        <v>2000</v>
      </c>
      <c r="F7034" s="43"/>
      <c r="G7034" s="48">
        <f t="shared" si="174"/>
        <v>332489.01612903201</v>
      </c>
      <c r="H7034" s="391" t="s">
        <v>9568</v>
      </c>
    </row>
    <row r="7035" spans="1:8" x14ac:dyDescent="0.3">
      <c r="A7035" s="509">
        <v>45150</v>
      </c>
      <c r="B7035" s="399" t="s">
        <v>10615</v>
      </c>
      <c r="C7035" s="5" t="s">
        <v>84</v>
      </c>
      <c r="D7035" s="5" t="s">
        <v>11946</v>
      </c>
      <c r="E7035" s="43">
        <v>25000</v>
      </c>
      <c r="F7035" s="43"/>
      <c r="G7035" s="48">
        <f t="shared" si="174"/>
        <v>307489.01612903201</v>
      </c>
      <c r="H7035" s="391" t="s">
        <v>9568</v>
      </c>
    </row>
    <row r="7036" spans="1:8" x14ac:dyDescent="0.3">
      <c r="A7036" s="509">
        <v>45150</v>
      </c>
      <c r="B7036" s="399" t="s">
        <v>6481</v>
      </c>
      <c r="C7036" s="5" t="s">
        <v>84</v>
      </c>
      <c r="D7036" s="5" t="s">
        <v>11950</v>
      </c>
      <c r="E7036" s="43">
        <v>10000</v>
      </c>
      <c r="F7036" s="43"/>
      <c r="G7036" s="48">
        <f t="shared" si="174"/>
        <v>297489.01612903201</v>
      </c>
      <c r="H7036" s="391" t="s">
        <v>9568</v>
      </c>
    </row>
    <row r="7037" spans="1:8" x14ac:dyDescent="0.3">
      <c r="A7037" s="509">
        <v>45150</v>
      </c>
      <c r="B7037" s="399" t="s">
        <v>12190</v>
      </c>
      <c r="C7037" s="5" t="s">
        <v>11536</v>
      </c>
      <c r="D7037" s="5" t="s">
        <v>11951</v>
      </c>
      <c r="E7037" s="43">
        <v>40000</v>
      </c>
      <c r="F7037" s="43"/>
      <c r="G7037" s="48">
        <f t="shared" ref="G7037:G7106" si="176">G7036+F7037-E7037</f>
        <v>257489.01612903201</v>
      </c>
      <c r="H7037" s="391" t="s">
        <v>9568</v>
      </c>
    </row>
    <row r="7038" spans="1:8" x14ac:dyDescent="0.3">
      <c r="A7038" s="509">
        <v>45153</v>
      </c>
      <c r="B7038" s="399" t="s">
        <v>693</v>
      </c>
      <c r="C7038" s="5" t="s">
        <v>107</v>
      </c>
      <c r="D7038" s="5" t="s">
        <v>11957</v>
      </c>
      <c r="E7038" s="43">
        <v>17000</v>
      </c>
      <c r="F7038" s="43"/>
      <c r="G7038" s="48">
        <f t="shared" si="176"/>
        <v>240489.01612903201</v>
      </c>
      <c r="H7038" s="391" t="s">
        <v>9568</v>
      </c>
    </row>
    <row r="7039" spans="1:8" x14ac:dyDescent="0.3">
      <c r="A7039" s="509">
        <v>45153</v>
      </c>
      <c r="B7039" s="399"/>
      <c r="C7039" s="5" t="s">
        <v>541</v>
      </c>
      <c r="D7039" s="5" t="s">
        <v>11958</v>
      </c>
      <c r="E7039" s="43">
        <v>35000</v>
      </c>
      <c r="F7039" s="43"/>
      <c r="G7039" s="48">
        <f t="shared" si="176"/>
        <v>205489.01612903201</v>
      </c>
      <c r="H7039" s="391" t="s">
        <v>9568</v>
      </c>
    </row>
    <row r="7040" spans="1:8" x14ac:dyDescent="0.3">
      <c r="A7040" s="509">
        <v>45153</v>
      </c>
      <c r="B7040" s="399" t="s">
        <v>11528</v>
      </c>
      <c r="C7040" s="5" t="s">
        <v>84</v>
      </c>
      <c r="D7040" s="5" t="s">
        <v>11965</v>
      </c>
      <c r="E7040" s="43">
        <v>10000</v>
      </c>
      <c r="F7040" s="43"/>
      <c r="G7040" s="48">
        <f t="shared" si="176"/>
        <v>195489.01612903201</v>
      </c>
      <c r="H7040" s="391" t="s">
        <v>9568</v>
      </c>
    </row>
    <row r="7041" spans="1:9" x14ac:dyDescent="0.3">
      <c r="A7041" s="509">
        <v>45153</v>
      </c>
      <c r="B7041" s="399" t="s">
        <v>10974</v>
      </c>
      <c r="C7041" s="5" t="s">
        <v>5288</v>
      </c>
      <c r="D7041" s="5" t="s">
        <v>10820</v>
      </c>
      <c r="E7041" s="43">
        <v>30000</v>
      </c>
      <c r="F7041" s="43"/>
      <c r="G7041" s="48">
        <f t="shared" si="176"/>
        <v>165489.01612903201</v>
      </c>
      <c r="H7041" s="391" t="s">
        <v>9568</v>
      </c>
    </row>
    <row r="7042" spans="1:9" x14ac:dyDescent="0.3">
      <c r="A7042" s="509">
        <v>45153</v>
      </c>
      <c r="B7042" s="399" t="s">
        <v>12090</v>
      </c>
      <c r="C7042" s="5" t="s">
        <v>5288</v>
      </c>
      <c r="D7042" s="5" t="s">
        <v>10820</v>
      </c>
      <c r="E7042" s="43">
        <v>30000</v>
      </c>
      <c r="F7042" s="43"/>
      <c r="G7042" s="48">
        <f t="shared" si="176"/>
        <v>135489.01612903201</v>
      </c>
      <c r="H7042" s="391" t="s">
        <v>9568</v>
      </c>
    </row>
    <row r="7043" spans="1:9" x14ac:dyDescent="0.3">
      <c r="A7043" s="509">
        <v>45153</v>
      </c>
      <c r="B7043" s="586"/>
      <c r="C7043" s="486"/>
      <c r="D7043" s="497" t="s">
        <v>11960</v>
      </c>
      <c r="E7043" s="486"/>
      <c r="F7043" s="43">
        <v>5000</v>
      </c>
      <c r="G7043" s="48">
        <f t="shared" si="176"/>
        <v>140489.01612903201</v>
      </c>
      <c r="H7043" s="391" t="s">
        <v>9568</v>
      </c>
    </row>
    <row r="7044" spans="1:9" x14ac:dyDescent="0.3">
      <c r="A7044" s="509">
        <v>45153</v>
      </c>
      <c r="B7044" s="399" t="s">
        <v>11528</v>
      </c>
      <c r="C7044" s="5" t="s">
        <v>30</v>
      </c>
      <c r="D7044" s="5" t="s">
        <v>40</v>
      </c>
      <c r="E7044" s="43">
        <v>1400</v>
      </c>
      <c r="F7044" s="43"/>
      <c r="G7044" s="48">
        <f t="shared" si="176"/>
        <v>139089.01612903201</v>
      </c>
      <c r="H7044" s="391" t="s">
        <v>9568</v>
      </c>
    </row>
    <row r="7045" spans="1:9" x14ac:dyDescent="0.3">
      <c r="A7045" s="509">
        <v>45153</v>
      </c>
      <c r="B7045" s="399" t="s">
        <v>10333</v>
      </c>
      <c r="C7045" s="5" t="s">
        <v>5793</v>
      </c>
      <c r="D7045" s="5" t="s">
        <v>11961</v>
      </c>
      <c r="E7045" s="43">
        <v>4000</v>
      </c>
      <c r="F7045" s="43"/>
      <c r="G7045" s="48">
        <f t="shared" si="176"/>
        <v>135089.01612903201</v>
      </c>
      <c r="H7045" s="391" t="s">
        <v>9568</v>
      </c>
    </row>
    <row r="7046" spans="1:9" x14ac:dyDescent="0.3">
      <c r="A7046" s="509">
        <v>45153</v>
      </c>
      <c r="B7046" s="399" t="s">
        <v>12090</v>
      </c>
      <c r="C7046" s="5" t="s">
        <v>10815</v>
      </c>
      <c r="D7046" s="5" t="s">
        <v>11962</v>
      </c>
      <c r="E7046" s="43">
        <v>16050</v>
      </c>
      <c r="F7046" s="43"/>
      <c r="G7046" s="48">
        <f t="shared" si="176"/>
        <v>119039.01612903201</v>
      </c>
      <c r="H7046" s="391" t="s">
        <v>9568</v>
      </c>
    </row>
    <row r="7047" spans="1:9" x14ac:dyDescent="0.3">
      <c r="A7047" s="509">
        <v>45153</v>
      </c>
      <c r="B7047" s="399" t="s">
        <v>11164</v>
      </c>
      <c r="C7047" s="5" t="s">
        <v>9044</v>
      </c>
      <c r="D7047" s="5" t="s">
        <v>11964</v>
      </c>
      <c r="E7047" s="43">
        <v>5000</v>
      </c>
      <c r="F7047" s="43"/>
      <c r="G7047" s="48">
        <f t="shared" si="176"/>
        <v>114039.01612903201</v>
      </c>
      <c r="H7047" s="391" t="s">
        <v>9568</v>
      </c>
    </row>
    <row r="7048" spans="1:9" x14ac:dyDescent="0.3">
      <c r="A7048" s="509">
        <v>45153</v>
      </c>
      <c r="B7048" s="399" t="s">
        <v>12190</v>
      </c>
      <c r="C7048" s="5" t="s">
        <v>1616</v>
      </c>
      <c r="D7048" s="5" t="s">
        <v>11966</v>
      </c>
      <c r="E7048" s="43">
        <v>2750</v>
      </c>
      <c r="F7048" s="43"/>
      <c r="G7048" s="48">
        <f t="shared" si="176"/>
        <v>111289.01612903201</v>
      </c>
      <c r="H7048" s="391" t="s">
        <v>9568</v>
      </c>
    </row>
    <row r="7049" spans="1:9" x14ac:dyDescent="0.3">
      <c r="A7049" s="509">
        <v>45153</v>
      </c>
      <c r="B7049" s="399" t="s">
        <v>25</v>
      </c>
      <c r="C7049" s="5" t="s">
        <v>25</v>
      </c>
      <c r="D7049" s="5" t="s">
        <v>11455</v>
      </c>
      <c r="E7049" s="43">
        <v>3500</v>
      </c>
      <c r="F7049" s="43"/>
      <c r="G7049" s="241">
        <f t="shared" si="176"/>
        <v>107789.01612903201</v>
      </c>
      <c r="H7049" s="391" t="s">
        <v>9568</v>
      </c>
    </row>
    <row r="7050" spans="1:9" x14ac:dyDescent="0.3">
      <c r="A7050" s="509">
        <v>45153</v>
      </c>
      <c r="B7050" s="399"/>
      <c r="C7050" s="5" t="s">
        <v>18</v>
      </c>
      <c r="D7050" s="5" t="s">
        <v>294</v>
      </c>
      <c r="E7050" s="43">
        <v>3000</v>
      </c>
      <c r="F7050" s="43"/>
      <c r="G7050" s="48">
        <f t="shared" si="176"/>
        <v>104789.01612903201</v>
      </c>
      <c r="H7050" s="391" t="s">
        <v>9568</v>
      </c>
    </row>
    <row r="7051" spans="1:9" x14ac:dyDescent="0.3">
      <c r="A7051" s="509">
        <v>45154</v>
      </c>
      <c r="B7051" s="399" t="s">
        <v>12090</v>
      </c>
      <c r="C7051" s="5" t="s">
        <v>5793</v>
      </c>
      <c r="D7051" s="5" t="s">
        <v>40</v>
      </c>
      <c r="E7051" s="43">
        <v>1000</v>
      </c>
      <c r="F7051" s="43"/>
      <c r="G7051" s="48">
        <f t="shared" si="176"/>
        <v>103789.01612903201</v>
      </c>
      <c r="H7051" s="391" t="s">
        <v>9568</v>
      </c>
    </row>
    <row r="7052" spans="1:9" x14ac:dyDescent="0.3">
      <c r="A7052" s="509">
        <v>45154</v>
      </c>
      <c r="B7052" s="399" t="s">
        <v>11772</v>
      </c>
      <c r="C7052" s="5" t="s">
        <v>5793</v>
      </c>
      <c r="D7052" s="5" t="s">
        <v>40</v>
      </c>
      <c r="E7052" s="43">
        <v>600</v>
      </c>
      <c r="F7052" s="43"/>
      <c r="G7052" s="48">
        <f t="shared" si="176"/>
        <v>103189.01612903201</v>
      </c>
      <c r="H7052" s="391" t="s">
        <v>9568</v>
      </c>
    </row>
    <row r="7053" spans="1:9" x14ac:dyDescent="0.3">
      <c r="A7053" s="509">
        <v>45154</v>
      </c>
      <c r="B7053" s="399"/>
      <c r="C7053" s="5" t="s">
        <v>5793</v>
      </c>
      <c r="D7053" s="5" t="s">
        <v>11019</v>
      </c>
      <c r="E7053" s="43">
        <v>1200</v>
      </c>
      <c r="F7053" s="43"/>
      <c r="G7053" s="48">
        <f t="shared" si="176"/>
        <v>101989.01612903201</v>
      </c>
      <c r="H7053" s="391" t="s">
        <v>9568</v>
      </c>
    </row>
    <row r="7054" spans="1:9" x14ac:dyDescent="0.3">
      <c r="A7054" s="509">
        <v>45154</v>
      </c>
      <c r="B7054" s="399" t="s">
        <v>12090</v>
      </c>
      <c r="C7054" s="5" t="s">
        <v>9756</v>
      </c>
      <c r="D7054" s="5" t="s">
        <v>4342</v>
      </c>
      <c r="E7054" s="43">
        <v>12776</v>
      </c>
      <c r="F7054" s="43"/>
      <c r="G7054" s="48">
        <f t="shared" si="176"/>
        <v>89213.01612903201</v>
      </c>
      <c r="H7054" s="391" t="s">
        <v>9568</v>
      </c>
    </row>
    <row r="7055" spans="1:9" x14ac:dyDescent="0.3">
      <c r="A7055" s="509">
        <v>45154</v>
      </c>
      <c r="B7055" s="399" t="s">
        <v>10766</v>
      </c>
      <c r="C7055" s="5" t="s">
        <v>5979</v>
      </c>
      <c r="D7055" s="5" t="s">
        <v>40</v>
      </c>
      <c r="E7055" s="43">
        <v>6000</v>
      </c>
      <c r="F7055" s="43"/>
      <c r="G7055" s="48">
        <f t="shared" si="176"/>
        <v>83213.01612903201</v>
      </c>
      <c r="H7055" s="391" t="s">
        <v>9568</v>
      </c>
      <c r="I7055" s="549"/>
    </row>
    <row r="7056" spans="1:9" x14ac:dyDescent="0.3">
      <c r="A7056" s="509">
        <v>45154</v>
      </c>
      <c r="B7056" s="399"/>
      <c r="C7056" s="5" t="s">
        <v>10815</v>
      </c>
      <c r="D7056" s="5" t="s">
        <v>11970</v>
      </c>
      <c r="E7056" s="65">
        <v>18000</v>
      </c>
      <c r="F7056" s="43"/>
      <c r="G7056" s="48">
        <f t="shared" si="176"/>
        <v>65213.01612903201</v>
      </c>
      <c r="H7056" s="391" t="s">
        <v>9568</v>
      </c>
      <c r="I7056" s="549"/>
    </row>
    <row r="7057" spans="1:9" x14ac:dyDescent="0.3">
      <c r="A7057" s="509">
        <v>45154</v>
      </c>
      <c r="B7057" s="399" t="s">
        <v>12090</v>
      </c>
      <c r="C7057" s="5" t="s">
        <v>5793</v>
      </c>
      <c r="D7057" s="5" t="s">
        <v>8924</v>
      </c>
      <c r="E7057" s="43">
        <v>300</v>
      </c>
      <c r="F7057" s="43"/>
      <c r="G7057" s="48">
        <f t="shared" si="176"/>
        <v>64913.01612903201</v>
      </c>
      <c r="H7057" s="391" t="s">
        <v>9568</v>
      </c>
      <c r="I7057" s="549"/>
    </row>
    <row r="7058" spans="1:9" x14ac:dyDescent="0.3">
      <c r="A7058" s="509">
        <v>45154</v>
      </c>
      <c r="B7058" s="399" t="s">
        <v>12090</v>
      </c>
      <c r="C7058" s="5" t="s">
        <v>5793</v>
      </c>
      <c r="D7058" s="5" t="s">
        <v>40</v>
      </c>
      <c r="E7058" s="43">
        <v>2000</v>
      </c>
      <c r="F7058" s="43"/>
      <c r="G7058" s="48">
        <f t="shared" si="176"/>
        <v>62913.01612903201</v>
      </c>
      <c r="H7058" s="391" t="s">
        <v>9568</v>
      </c>
      <c r="I7058" s="549"/>
    </row>
    <row r="7059" spans="1:9" x14ac:dyDescent="0.3">
      <c r="A7059" s="509">
        <v>45154</v>
      </c>
      <c r="B7059" s="399" t="s">
        <v>12087</v>
      </c>
      <c r="C7059" s="5" t="s">
        <v>9801</v>
      </c>
      <c r="D7059" s="5" t="s">
        <v>9802</v>
      </c>
      <c r="E7059" s="43">
        <v>2600</v>
      </c>
      <c r="F7059" s="43"/>
      <c r="G7059" s="48">
        <f t="shared" si="176"/>
        <v>60313.01612903201</v>
      </c>
      <c r="H7059" s="391" t="s">
        <v>9568</v>
      </c>
      <c r="I7059" s="549"/>
    </row>
    <row r="7060" spans="1:9" x14ac:dyDescent="0.3">
      <c r="A7060" s="509">
        <v>45154</v>
      </c>
      <c r="B7060" s="399" t="s">
        <v>10766</v>
      </c>
      <c r="C7060" s="5" t="s">
        <v>5793</v>
      </c>
      <c r="D7060" s="5" t="s">
        <v>40</v>
      </c>
      <c r="E7060" s="43">
        <v>2000</v>
      </c>
      <c r="F7060" s="43"/>
      <c r="G7060" s="48">
        <f t="shared" si="176"/>
        <v>58313.01612903201</v>
      </c>
      <c r="H7060" s="391" t="s">
        <v>9568</v>
      </c>
      <c r="I7060" s="549"/>
    </row>
    <row r="7061" spans="1:9" x14ac:dyDescent="0.3">
      <c r="A7061" s="509">
        <v>45154</v>
      </c>
      <c r="B7061" s="399" t="s">
        <v>12089</v>
      </c>
      <c r="C7061" s="5" t="s">
        <v>5793</v>
      </c>
      <c r="D7061" s="5" t="s">
        <v>40</v>
      </c>
      <c r="E7061" s="43">
        <v>2000</v>
      </c>
      <c r="F7061" s="43"/>
      <c r="G7061" s="48">
        <f t="shared" si="176"/>
        <v>56313.01612903201</v>
      </c>
      <c r="H7061" s="391" t="s">
        <v>9568</v>
      </c>
      <c r="I7061" s="549"/>
    </row>
    <row r="7062" spans="1:9" x14ac:dyDescent="0.3">
      <c r="A7062" s="509">
        <v>45154</v>
      </c>
      <c r="B7062" s="399" t="s">
        <v>12088</v>
      </c>
      <c r="C7062" s="5" t="s">
        <v>5793</v>
      </c>
      <c r="D7062" s="5" t="s">
        <v>40</v>
      </c>
      <c r="E7062" s="43">
        <v>2000</v>
      </c>
      <c r="F7062" s="43"/>
      <c r="G7062" s="48">
        <f t="shared" si="176"/>
        <v>54313.01612903201</v>
      </c>
      <c r="H7062" s="391" t="s">
        <v>9568</v>
      </c>
      <c r="I7062" s="549"/>
    </row>
    <row r="7063" spans="1:9" x14ac:dyDescent="0.3">
      <c r="A7063" s="509">
        <v>45154</v>
      </c>
      <c r="B7063" s="399" t="s">
        <v>12190</v>
      </c>
      <c r="C7063" s="5" t="s">
        <v>1074</v>
      </c>
      <c r="D7063" s="5" t="s">
        <v>6280</v>
      </c>
      <c r="E7063" s="43">
        <v>2500</v>
      </c>
      <c r="F7063" s="43"/>
      <c r="G7063" s="48">
        <f t="shared" si="176"/>
        <v>51813.01612903201</v>
      </c>
      <c r="H7063" s="391" t="s">
        <v>9568</v>
      </c>
      <c r="I7063" s="549"/>
    </row>
    <row r="7064" spans="1:9" x14ac:dyDescent="0.3">
      <c r="A7064" s="509">
        <v>45154</v>
      </c>
      <c r="B7064" s="399" t="s">
        <v>25</v>
      </c>
      <c r="C7064" s="5" t="s">
        <v>1074</v>
      </c>
      <c r="D7064" s="5" t="s">
        <v>6280</v>
      </c>
      <c r="E7064" s="43">
        <v>7000</v>
      </c>
      <c r="F7064" s="43"/>
      <c r="G7064" s="48">
        <f t="shared" si="176"/>
        <v>44813.01612903201</v>
      </c>
      <c r="H7064" s="391" t="s">
        <v>9568</v>
      </c>
      <c r="I7064" s="549"/>
    </row>
    <row r="7065" spans="1:9" x14ac:dyDescent="0.3">
      <c r="A7065" s="509">
        <v>45155</v>
      </c>
      <c r="B7065" s="399" t="s">
        <v>12090</v>
      </c>
      <c r="C7065" s="5" t="s">
        <v>8928</v>
      </c>
      <c r="D7065" s="5" t="s">
        <v>11975</v>
      </c>
      <c r="E7065" s="43">
        <v>20000</v>
      </c>
      <c r="F7065" s="43"/>
      <c r="G7065" s="48">
        <f t="shared" si="176"/>
        <v>24813.01612903201</v>
      </c>
      <c r="H7065" s="391" t="s">
        <v>9568</v>
      </c>
    </row>
    <row r="7066" spans="1:9" x14ac:dyDescent="0.3">
      <c r="A7066" s="509">
        <v>45154</v>
      </c>
      <c r="B7066" s="586"/>
      <c r="C7066" s="486"/>
      <c r="D7066" s="497" t="s">
        <v>11971</v>
      </c>
      <c r="E7066" s="486"/>
      <c r="F7066" s="43">
        <v>156000</v>
      </c>
      <c r="G7066" s="48">
        <f t="shared" si="176"/>
        <v>180813.01612903201</v>
      </c>
      <c r="H7066" s="391" t="s">
        <v>9568</v>
      </c>
      <c r="I7066" s="549"/>
    </row>
    <row r="7067" spans="1:9" x14ac:dyDescent="0.3">
      <c r="A7067" s="509">
        <v>45154</v>
      </c>
      <c r="B7067" s="586"/>
      <c r="C7067" s="486"/>
      <c r="D7067" s="497" t="s">
        <v>4106</v>
      </c>
      <c r="E7067" s="486"/>
      <c r="F7067" s="43">
        <v>139860</v>
      </c>
      <c r="G7067" s="48">
        <f t="shared" si="176"/>
        <v>320673.01612903201</v>
      </c>
      <c r="H7067" s="391" t="s">
        <v>9568</v>
      </c>
      <c r="I7067" s="549"/>
    </row>
    <row r="7068" spans="1:9" x14ac:dyDescent="0.3">
      <c r="A7068" s="509">
        <v>45155</v>
      </c>
      <c r="B7068" s="399"/>
      <c r="C7068" s="5" t="s">
        <v>14</v>
      </c>
      <c r="D7068" s="5" t="s">
        <v>11976</v>
      </c>
      <c r="E7068" s="43">
        <v>102300</v>
      </c>
      <c r="F7068" s="43"/>
      <c r="G7068" s="48">
        <f t="shared" si="176"/>
        <v>218373.01612903201</v>
      </c>
      <c r="H7068" s="391" t="s">
        <v>9568</v>
      </c>
    </row>
    <row r="7069" spans="1:9" x14ac:dyDescent="0.3">
      <c r="A7069" s="509">
        <v>45155</v>
      </c>
      <c r="B7069" s="586"/>
      <c r="C7069" s="486"/>
      <c r="D7069" s="497" t="s">
        <v>12011</v>
      </c>
      <c r="E7069" s="486"/>
      <c r="F7069" s="43">
        <v>325000</v>
      </c>
      <c r="G7069" s="48">
        <f t="shared" si="176"/>
        <v>543373.01612903201</v>
      </c>
      <c r="H7069" s="391" t="s">
        <v>9568</v>
      </c>
      <c r="I7069" s="549"/>
    </row>
    <row r="7070" spans="1:9" x14ac:dyDescent="0.3">
      <c r="A7070" s="509">
        <v>45155</v>
      </c>
      <c r="B7070" s="399"/>
      <c r="C7070" s="5" t="s">
        <v>14</v>
      </c>
      <c r="D7070" s="5" t="s">
        <v>10212</v>
      </c>
      <c r="E7070" s="43">
        <v>2500</v>
      </c>
      <c r="F7070" s="43"/>
      <c r="G7070" s="48">
        <f t="shared" si="176"/>
        <v>540873.01612903201</v>
      </c>
      <c r="H7070" s="391" t="s">
        <v>9568</v>
      </c>
    </row>
    <row r="7071" spans="1:9" x14ac:dyDescent="0.3">
      <c r="A7071" s="509">
        <v>45155</v>
      </c>
      <c r="B7071" s="399" t="s">
        <v>12090</v>
      </c>
      <c r="C7071" s="5" t="s">
        <v>5793</v>
      </c>
      <c r="D7071" s="5" t="s">
        <v>40</v>
      </c>
      <c r="E7071" s="43">
        <v>2000</v>
      </c>
      <c r="F7071" s="43"/>
      <c r="G7071" s="48">
        <f t="shared" si="176"/>
        <v>538873.01612903201</v>
      </c>
      <c r="H7071" s="391" t="s">
        <v>9568</v>
      </c>
    </row>
    <row r="7072" spans="1:9" x14ac:dyDescent="0.3">
      <c r="A7072" s="509">
        <v>45155</v>
      </c>
      <c r="B7072" s="399" t="s">
        <v>12093</v>
      </c>
      <c r="C7072" s="5" t="s">
        <v>10815</v>
      </c>
      <c r="D7072" s="5" t="s">
        <v>11979</v>
      </c>
      <c r="E7072" s="547">
        <v>65000</v>
      </c>
      <c r="F7072" s="43"/>
      <c r="G7072" s="48">
        <f t="shared" si="176"/>
        <v>473873.01612903201</v>
      </c>
      <c r="H7072" s="391" t="s">
        <v>9568</v>
      </c>
    </row>
    <row r="7073" spans="1:8" x14ac:dyDescent="0.3">
      <c r="A7073" s="509">
        <v>45155</v>
      </c>
      <c r="B7073" s="399" t="s">
        <v>12088</v>
      </c>
      <c r="C7073" s="5" t="s">
        <v>10815</v>
      </c>
      <c r="D7073" s="5" t="s">
        <v>11980</v>
      </c>
      <c r="E7073" s="65">
        <v>40000</v>
      </c>
      <c r="F7073" s="43"/>
      <c r="G7073" s="48">
        <f t="shared" si="176"/>
        <v>433873.01612903201</v>
      </c>
      <c r="H7073" s="391" t="s">
        <v>9568</v>
      </c>
    </row>
    <row r="7074" spans="1:8" x14ac:dyDescent="0.3">
      <c r="A7074" s="509">
        <v>45155</v>
      </c>
      <c r="B7074" s="399" t="s">
        <v>11772</v>
      </c>
      <c r="C7074" s="5" t="s">
        <v>9525</v>
      </c>
      <c r="D7074" s="5" t="s">
        <v>11981</v>
      </c>
      <c r="E7074" s="43">
        <v>2000</v>
      </c>
      <c r="F7074" s="43"/>
      <c r="G7074" s="48">
        <f t="shared" si="176"/>
        <v>431873.01612903201</v>
      </c>
      <c r="H7074" s="391" t="s">
        <v>9568</v>
      </c>
    </row>
    <row r="7075" spans="1:8" x14ac:dyDescent="0.3">
      <c r="A7075" s="509">
        <v>45155</v>
      </c>
      <c r="B7075" s="399" t="s">
        <v>12093</v>
      </c>
      <c r="C7075" s="5" t="s">
        <v>5793</v>
      </c>
      <c r="D7075" s="5" t="s">
        <v>8924</v>
      </c>
      <c r="E7075" s="43">
        <v>200</v>
      </c>
      <c r="F7075" s="43"/>
      <c r="G7075" s="48">
        <f t="shared" si="176"/>
        <v>431673.01612903201</v>
      </c>
      <c r="H7075" s="391" t="s">
        <v>9568</v>
      </c>
    </row>
    <row r="7076" spans="1:8" x14ac:dyDescent="0.3">
      <c r="A7076" s="509">
        <v>45155</v>
      </c>
      <c r="B7076" s="399"/>
      <c r="C7076" s="5" t="s">
        <v>25</v>
      </c>
      <c r="D7076" s="5" t="s">
        <v>11455</v>
      </c>
      <c r="E7076" s="43">
        <v>3500</v>
      </c>
      <c r="F7076" s="43"/>
      <c r="G7076" s="48">
        <f t="shared" si="176"/>
        <v>428173.01612903201</v>
      </c>
      <c r="H7076" s="391" t="s">
        <v>9568</v>
      </c>
    </row>
    <row r="7077" spans="1:8" x14ac:dyDescent="0.3">
      <c r="A7077" s="509">
        <v>45155</v>
      </c>
      <c r="B7077" s="399" t="s">
        <v>11528</v>
      </c>
      <c r="C7077" s="5" t="s">
        <v>9756</v>
      </c>
      <c r="D7077" s="5" t="s">
        <v>11982</v>
      </c>
      <c r="E7077" s="43">
        <v>230</v>
      </c>
      <c r="F7077" s="43"/>
      <c r="G7077" s="48">
        <f t="shared" si="176"/>
        <v>427943.01612903201</v>
      </c>
      <c r="H7077" s="391" t="s">
        <v>9568</v>
      </c>
    </row>
    <row r="7078" spans="1:8" x14ac:dyDescent="0.3">
      <c r="A7078" s="509">
        <v>45155</v>
      </c>
      <c r="B7078" s="399" t="s">
        <v>10766</v>
      </c>
      <c r="C7078" s="5" t="s">
        <v>9756</v>
      </c>
      <c r="D7078" s="5" t="s">
        <v>11983</v>
      </c>
      <c r="E7078" s="65">
        <v>12936</v>
      </c>
      <c r="F7078" s="43"/>
      <c r="G7078" s="48">
        <f t="shared" si="176"/>
        <v>415007.01612903201</v>
      </c>
      <c r="H7078" s="391" t="s">
        <v>9568</v>
      </c>
    </row>
    <row r="7079" spans="1:8" x14ac:dyDescent="0.3">
      <c r="A7079" s="509">
        <v>45155</v>
      </c>
      <c r="B7079" s="399" t="s">
        <v>11164</v>
      </c>
      <c r="C7079" s="5" t="s">
        <v>9044</v>
      </c>
      <c r="D7079" s="5" t="s">
        <v>11964</v>
      </c>
      <c r="E7079" s="43">
        <v>4500</v>
      </c>
      <c r="F7079" s="43"/>
      <c r="G7079" s="48">
        <f t="shared" si="176"/>
        <v>410507.01612903201</v>
      </c>
      <c r="H7079" s="391" t="s">
        <v>9568</v>
      </c>
    </row>
    <row r="7080" spans="1:8" x14ac:dyDescent="0.3">
      <c r="A7080" s="509">
        <v>45155</v>
      </c>
      <c r="B7080" s="399" t="s">
        <v>11528</v>
      </c>
      <c r="C7080" s="5" t="s">
        <v>9044</v>
      </c>
      <c r="D7080" s="5" t="s">
        <v>11964</v>
      </c>
      <c r="E7080" s="43">
        <v>5000</v>
      </c>
      <c r="F7080" s="43"/>
      <c r="G7080" s="48">
        <f t="shared" si="176"/>
        <v>405507.01612903201</v>
      </c>
      <c r="H7080" s="391" t="s">
        <v>9568</v>
      </c>
    </row>
    <row r="7081" spans="1:8" x14ac:dyDescent="0.3">
      <c r="A7081" s="509">
        <v>45155</v>
      </c>
      <c r="B7081" s="399"/>
      <c r="C7081" s="5" t="s">
        <v>14</v>
      </c>
      <c r="D7081" s="5" t="s">
        <v>11984</v>
      </c>
      <c r="E7081" s="43">
        <v>20000</v>
      </c>
      <c r="F7081" s="43"/>
      <c r="G7081" s="48">
        <f t="shared" si="176"/>
        <v>385507.01612903201</v>
      </c>
      <c r="H7081" s="391" t="s">
        <v>9568</v>
      </c>
    </row>
    <row r="7082" spans="1:8" x14ac:dyDescent="0.3">
      <c r="A7082" s="509">
        <v>45155</v>
      </c>
      <c r="B7082" s="399" t="s">
        <v>12087</v>
      </c>
      <c r="C7082" s="5" t="s">
        <v>10815</v>
      </c>
      <c r="D7082" s="5" t="s">
        <v>11985</v>
      </c>
      <c r="E7082" s="65">
        <v>48000</v>
      </c>
      <c r="F7082" s="43"/>
      <c r="G7082" s="48">
        <f t="shared" si="176"/>
        <v>337507.01612903201</v>
      </c>
      <c r="H7082" s="391" t="s">
        <v>9568</v>
      </c>
    </row>
    <row r="7083" spans="1:8" x14ac:dyDescent="0.3">
      <c r="A7083" s="509">
        <v>45155</v>
      </c>
      <c r="B7083" s="399" t="s">
        <v>10766</v>
      </c>
      <c r="C7083" s="5" t="s">
        <v>10815</v>
      </c>
      <c r="D7083" s="5" t="s">
        <v>11992</v>
      </c>
      <c r="E7083" s="65">
        <v>13500</v>
      </c>
      <c r="F7083" s="43"/>
      <c r="G7083" s="48">
        <f t="shared" si="176"/>
        <v>324007.01612903201</v>
      </c>
      <c r="H7083" s="391" t="s">
        <v>9568</v>
      </c>
    </row>
    <row r="7084" spans="1:8" x14ac:dyDescent="0.3">
      <c r="A7084" s="509">
        <v>45155</v>
      </c>
      <c r="B7084" s="399"/>
      <c r="C7084" s="5" t="s">
        <v>6430</v>
      </c>
      <c r="D7084" s="5" t="s">
        <v>3910</v>
      </c>
      <c r="E7084" s="43">
        <v>5000</v>
      </c>
      <c r="F7084" s="43"/>
      <c r="G7084" s="48">
        <f t="shared" si="176"/>
        <v>319007.01612903201</v>
      </c>
      <c r="H7084" s="391" t="s">
        <v>9568</v>
      </c>
    </row>
    <row r="7085" spans="1:8" x14ac:dyDescent="0.3">
      <c r="A7085" s="509">
        <v>45155</v>
      </c>
      <c r="B7085" s="399" t="s">
        <v>12092</v>
      </c>
      <c r="C7085" s="5" t="s">
        <v>4055</v>
      </c>
      <c r="D7085" s="5" t="s">
        <v>11986</v>
      </c>
      <c r="E7085" s="43">
        <v>50000</v>
      </c>
      <c r="F7085" s="43"/>
      <c r="G7085" s="48">
        <f t="shared" si="176"/>
        <v>269007.01612903201</v>
      </c>
      <c r="H7085" s="391" t="s">
        <v>9568</v>
      </c>
    </row>
    <row r="7086" spans="1:8" x14ac:dyDescent="0.3">
      <c r="A7086" s="509">
        <v>45155</v>
      </c>
      <c r="B7086" s="399" t="s">
        <v>10766</v>
      </c>
      <c r="C7086" s="5" t="s">
        <v>5793</v>
      </c>
      <c r="D7086" s="5" t="s">
        <v>40</v>
      </c>
      <c r="E7086" s="43">
        <v>600</v>
      </c>
      <c r="F7086" s="43"/>
      <c r="G7086" s="48">
        <f t="shared" si="176"/>
        <v>268407.01612903201</v>
      </c>
      <c r="H7086" s="391" t="s">
        <v>9568</v>
      </c>
    </row>
    <row r="7087" spans="1:8" x14ac:dyDescent="0.3">
      <c r="A7087" s="509">
        <v>45155</v>
      </c>
      <c r="B7087" s="399" t="s">
        <v>10766</v>
      </c>
      <c r="C7087" s="5" t="s">
        <v>5793</v>
      </c>
      <c r="D7087" s="5" t="s">
        <v>8924</v>
      </c>
      <c r="E7087" s="43">
        <v>300</v>
      </c>
      <c r="F7087" s="43"/>
      <c r="G7087" s="48">
        <f t="shared" si="176"/>
        <v>268107.01612903201</v>
      </c>
      <c r="H7087" s="391" t="s">
        <v>9568</v>
      </c>
    </row>
    <row r="7088" spans="1:8" x14ac:dyDescent="0.3">
      <c r="A7088" s="509">
        <v>45156</v>
      </c>
      <c r="B7088" s="399" t="s">
        <v>12088</v>
      </c>
      <c r="C7088" s="5" t="s">
        <v>5793</v>
      </c>
      <c r="D7088" s="5" t="s">
        <v>40</v>
      </c>
      <c r="E7088" s="43">
        <v>1500</v>
      </c>
      <c r="F7088" s="43"/>
      <c r="G7088" s="48">
        <f>G7087+F7088-E7088</f>
        <v>266607.01612903201</v>
      </c>
      <c r="H7088" s="391" t="s">
        <v>9568</v>
      </c>
    </row>
    <row r="7089" spans="1:8" x14ac:dyDescent="0.3">
      <c r="A7089" s="509">
        <v>45156</v>
      </c>
      <c r="B7089" s="399" t="s">
        <v>12088</v>
      </c>
      <c r="C7089" s="5" t="s">
        <v>9756</v>
      </c>
      <c r="D7089" s="5" t="s">
        <v>11993</v>
      </c>
      <c r="E7089" s="65">
        <v>35500</v>
      </c>
      <c r="F7089" s="43"/>
      <c r="G7089" s="48">
        <f t="shared" si="176"/>
        <v>231107.01612903201</v>
      </c>
      <c r="H7089" s="391" t="s">
        <v>9568</v>
      </c>
    </row>
    <row r="7090" spans="1:8" x14ac:dyDescent="0.3">
      <c r="A7090" s="509">
        <v>45156</v>
      </c>
      <c r="B7090" s="399" t="s">
        <v>25</v>
      </c>
      <c r="C7090" s="5" t="s">
        <v>4400</v>
      </c>
      <c r="D7090" s="5" t="s">
        <v>11987</v>
      </c>
      <c r="E7090" s="43">
        <f>4670*2</f>
        <v>9340</v>
      </c>
      <c r="F7090" s="43"/>
      <c r="G7090" s="48">
        <f t="shared" si="176"/>
        <v>221767.01612903201</v>
      </c>
      <c r="H7090" s="391" t="s">
        <v>9568</v>
      </c>
    </row>
    <row r="7091" spans="1:8" x14ac:dyDescent="0.3">
      <c r="A7091" s="509">
        <v>45156</v>
      </c>
      <c r="B7091" s="399" t="s">
        <v>11821</v>
      </c>
      <c r="C7091" s="5" t="s">
        <v>8009</v>
      </c>
      <c r="D7091" s="5" t="s">
        <v>11988</v>
      </c>
      <c r="E7091" s="43">
        <v>10000</v>
      </c>
      <c r="F7091" s="43"/>
      <c r="G7091" s="48">
        <f t="shared" si="176"/>
        <v>211767.01612903201</v>
      </c>
      <c r="H7091" s="391" t="s">
        <v>9568</v>
      </c>
    </row>
    <row r="7092" spans="1:8" x14ac:dyDescent="0.3">
      <c r="A7092" s="509">
        <v>45156</v>
      </c>
      <c r="B7092" s="399" t="s">
        <v>12089</v>
      </c>
      <c r="C7092" s="5" t="s">
        <v>11815</v>
      </c>
      <c r="D7092" s="5" t="s">
        <v>11747</v>
      </c>
      <c r="E7092" s="43">
        <v>900</v>
      </c>
      <c r="F7092" s="43"/>
      <c r="G7092" s="48">
        <f t="shared" si="176"/>
        <v>210867.01612903201</v>
      </c>
      <c r="H7092" s="391" t="s">
        <v>9568</v>
      </c>
    </row>
    <row r="7093" spans="1:8" x14ac:dyDescent="0.3">
      <c r="A7093" s="509">
        <v>45156</v>
      </c>
      <c r="B7093" s="399" t="s">
        <v>12088</v>
      </c>
      <c r="C7093" s="5" t="s">
        <v>5793</v>
      </c>
      <c r="D7093" s="5" t="s">
        <v>40</v>
      </c>
      <c r="E7093" s="43">
        <v>1700</v>
      </c>
      <c r="F7093" s="43"/>
      <c r="G7093" s="48">
        <f t="shared" si="176"/>
        <v>209167.01612903201</v>
      </c>
      <c r="H7093" s="391" t="s">
        <v>9568</v>
      </c>
    </row>
    <row r="7094" spans="1:8" x14ac:dyDescent="0.3">
      <c r="A7094" s="509">
        <v>45156</v>
      </c>
      <c r="B7094" s="399" t="s">
        <v>10867</v>
      </c>
      <c r="C7094" s="5" t="s">
        <v>4550</v>
      </c>
      <c r="D7094" s="5" t="s">
        <v>11989</v>
      </c>
      <c r="E7094" s="43">
        <v>10000</v>
      </c>
      <c r="F7094" s="43"/>
      <c r="G7094" s="48">
        <f t="shared" si="176"/>
        <v>199167.01612903201</v>
      </c>
      <c r="H7094" s="391" t="s">
        <v>9568</v>
      </c>
    </row>
    <row r="7095" spans="1:8" x14ac:dyDescent="0.3">
      <c r="A7095" s="509">
        <v>45156</v>
      </c>
      <c r="B7095" s="399"/>
      <c r="C7095" s="5" t="s">
        <v>84</v>
      </c>
      <c r="D7095" s="5" t="s">
        <v>11990</v>
      </c>
      <c r="E7095" s="43">
        <v>3000</v>
      </c>
      <c r="F7095" s="43"/>
      <c r="G7095" s="48">
        <f t="shared" si="176"/>
        <v>196167.01612903201</v>
      </c>
      <c r="H7095" s="391" t="s">
        <v>9568</v>
      </c>
    </row>
    <row r="7096" spans="1:8" x14ac:dyDescent="0.3">
      <c r="A7096" s="509">
        <v>45156</v>
      </c>
      <c r="B7096" s="399" t="s">
        <v>10333</v>
      </c>
      <c r="C7096" s="5" t="s">
        <v>9756</v>
      </c>
      <c r="D7096" s="5" t="s">
        <v>11991</v>
      </c>
      <c r="E7096" s="43">
        <v>24000</v>
      </c>
      <c r="F7096" s="43"/>
      <c r="G7096" s="48">
        <f t="shared" si="176"/>
        <v>172167.01612903201</v>
      </c>
      <c r="H7096" s="391" t="s">
        <v>9568</v>
      </c>
    </row>
    <row r="7097" spans="1:8" x14ac:dyDescent="0.3">
      <c r="A7097" s="509">
        <v>45156</v>
      </c>
      <c r="B7097" s="399" t="s">
        <v>12090</v>
      </c>
      <c r="C7097" s="5" t="s">
        <v>10815</v>
      </c>
      <c r="D7097" s="5" t="s">
        <v>11996</v>
      </c>
      <c r="E7097" s="43">
        <v>56000</v>
      </c>
      <c r="F7097" s="43"/>
      <c r="G7097" s="48">
        <f t="shared" si="176"/>
        <v>116167.01612903201</v>
      </c>
      <c r="H7097" s="391" t="s">
        <v>9568</v>
      </c>
    </row>
    <row r="7098" spans="1:8" x14ac:dyDescent="0.3">
      <c r="A7098" s="509">
        <v>45156</v>
      </c>
      <c r="B7098" s="345" t="s">
        <v>12096</v>
      </c>
      <c r="C7098" s="5" t="s">
        <v>5134</v>
      </c>
      <c r="D7098" s="5" t="s">
        <v>11997</v>
      </c>
      <c r="E7098" s="43">
        <v>18950</v>
      </c>
      <c r="F7098" s="43"/>
      <c r="G7098" s="48">
        <f t="shared" si="176"/>
        <v>97217.01612903201</v>
      </c>
      <c r="H7098" s="391" t="s">
        <v>9568</v>
      </c>
    </row>
    <row r="7099" spans="1:8" x14ac:dyDescent="0.3">
      <c r="A7099" s="509">
        <v>45156</v>
      </c>
      <c r="B7099" s="399" t="s">
        <v>6481</v>
      </c>
      <c r="C7099" s="5" t="s">
        <v>11998</v>
      </c>
      <c r="D7099" s="5" t="s">
        <v>11999</v>
      </c>
      <c r="E7099" s="43">
        <v>25000</v>
      </c>
      <c r="F7099" s="43"/>
      <c r="G7099" s="48">
        <f t="shared" si="176"/>
        <v>72217.01612903201</v>
      </c>
      <c r="H7099" s="391" t="s">
        <v>9568</v>
      </c>
    </row>
    <row r="7100" spans="1:8" x14ac:dyDescent="0.3">
      <c r="A7100" s="509">
        <v>45157</v>
      </c>
      <c r="B7100" s="399"/>
      <c r="C7100" s="5" t="s">
        <v>25</v>
      </c>
      <c r="D7100" s="5" t="s">
        <v>11455</v>
      </c>
      <c r="E7100" s="43">
        <v>3000</v>
      </c>
      <c r="F7100" s="43"/>
      <c r="G7100" s="48">
        <f t="shared" si="176"/>
        <v>69217.01612903201</v>
      </c>
      <c r="H7100" s="391" t="s">
        <v>9568</v>
      </c>
    </row>
    <row r="7101" spans="1:8" x14ac:dyDescent="0.3">
      <c r="A7101" s="509">
        <v>45157</v>
      </c>
      <c r="B7101" s="399" t="s">
        <v>12090</v>
      </c>
      <c r="C7101" s="5" t="s">
        <v>5793</v>
      </c>
      <c r="D7101" s="5" t="s">
        <v>40</v>
      </c>
      <c r="E7101" s="43">
        <v>2000</v>
      </c>
      <c r="F7101" s="43"/>
      <c r="G7101" s="48">
        <f t="shared" si="176"/>
        <v>67217.01612903201</v>
      </c>
      <c r="H7101" s="391" t="s">
        <v>9568</v>
      </c>
    </row>
    <row r="7102" spans="1:8" x14ac:dyDescent="0.3">
      <c r="A7102" s="509">
        <v>45157</v>
      </c>
      <c r="B7102" s="399" t="s">
        <v>12089</v>
      </c>
      <c r="C7102" s="5" t="s">
        <v>5162</v>
      </c>
      <c r="D7102" s="5" t="s">
        <v>3910</v>
      </c>
      <c r="E7102" s="43">
        <v>5000</v>
      </c>
      <c r="F7102" s="43"/>
      <c r="G7102" s="48">
        <f t="shared" si="176"/>
        <v>62217.01612903201</v>
      </c>
      <c r="H7102" s="391" t="s">
        <v>9568</v>
      </c>
    </row>
    <row r="7103" spans="1:8" x14ac:dyDescent="0.3">
      <c r="A7103" s="509">
        <v>45159</v>
      </c>
      <c r="B7103" s="399" t="s">
        <v>10333</v>
      </c>
      <c r="C7103" s="5" t="s">
        <v>5793</v>
      </c>
      <c r="D7103" s="5" t="s">
        <v>40</v>
      </c>
      <c r="E7103" s="43">
        <v>1600</v>
      </c>
      <c r="F7103" s="43"/>
      <c r="G7103" s="48">
        <f t="shared" si="176"/>
        <v>60617.01612903201</v>
      </c>
      <c r="H7103" s="391" t="s">
        <v>9568</v>
      </c>
    </row>
    <row r="7104" spans="1:8" x14ac:dyDescent="0.3">
      <c r="A7104" s="509">
        <v>45159</v>
      </c>
      <c r="B7104" s="399" t="s">
        <v>12090</v>
      </c>
      <c r="C7104" s="5" t="s">
        <v>5793</v>
      </c>
      <c r="D7104" s="5" t="s">
        <v>40</v>
      </c>
      <c r="E7104" s="43">
        <v>1500</v>
      </c>
      <c r="F7104" s="43"/>
      <c r="G7104" s="48">
        <f t="shared" si="176"/>
        <v>59117.01612903201</v>
      </c>
      <c r="H7104" s="391" t="s">
        <v>9568</v>
      </c>
    </row>
    <row r="7105" spans="1:9" x14ac:dyDescent="0.3">
      <c r="A7105" s="509">
        <v>45159</v>
      </c>
      <c r="B7105" s="399" t="s">
        <v>12089</v>
      </c>
      <c r="C7105" s="5" t="s">
        <v>9756</v>
      </c>
      <c r="D7105" s="5" t="s">
        <v>12016</v>
      </c>
      <c r="E7105" s="43">
        <v>13200</v>
      </c>
      <c r="F7105" s="43"/>
      <c r="G7105" s="48">
        <f t="shared" si="176"/>
        <v>45917.01612903201</v>
      </c>
      <c r="H7105" s="391" t="s">
        <v>9568</v>
      </c>
    </row>
    <row r="7106" spans="1:9" x14ac:dyDescent="0.3">
      <c r="A7106" s="509">
        <v>45159</v>
      </c>
      <c r="B7106" s="399" t="s">
        <v>12089</v>
      </c>
      <c r="C7106" s="5" t="s">
        <v>9756</v>
      </c>
      <c r="D7106" s="5" t="s">
        <v>11307</v>
      </c>
      <c r="E7106" s="43">
        <v>880</v>
      </c>
      <c r="F7106" s="43"/>
      <c r="G7106" s="48">
        <f t="shared" si="176"/>
        <v>45037.01612903201</v>
      </c>
      <c r="H7106" s="391" t="s">
        <v>9568</v>
      </c>
    </row>
    <row r="7107" spans="1:9" x14ac:dyDescent="0.3">
      <c r="A7107" s="509">
        <v>45159</v>
      </c>
      <c r="B7107" s="399" t="s">
        <v>25</v>
      </c>
      <c r="C7107" s="5" t="s">
        <v>11161</v>
      </c>
      <c r="D7107" s="5" t="s">
        <v>9200</v>
      </c>
      <c r="E7107" s="43">
        <v>4500</v>
      </c>
      <c r="F7107" s="43"/>
      <c r="G7107" s="48">
        <f t="shared" ref="G7107:G7170" si="177">G7106+F7107-E7107</f>
        <v>40537.01612903201</v>
      </c>
      <c r="H7107" s="391" t="s">
        <v>9568</v>
      </c>
    </row>
    <row r="7108" spans="1:9" x14ac:dyDescent="0.3">
      <c r="A7108" s="509">
        <v>45159</v>
      </c>
      <c r="B7108" s="399" t="s">
        <v>12087</v>
      </c>
      <c r="C7108" s="5" t="s">
        <v>9756</v>
      </c>
      <c r="D7108" s="5" t="s">
        <v>12007</v>
      </c>
      <c r="E7108" s="43">
        <v>5120</v>
      </c>
      <c r="F7108" s="43"/>
      <c r="G7108" s="48">
        <f t="shared" si="177"/>
        <v>35417.01612903201</v>
      </c>
      <c r="H7108" s="391" t="s">
        <v>9568</v>
      </c>
    </row>
    <row r="7109" spans="1:9" x14ac:dyDescent="0.3">
      <c r="A7109" s="509">
        <v>45159</v>
      </c>
      <c r="B7109" s="399" t="s">
        <v>11528</v>
      </c>
      <c r="C7109" s="5" t="s">
        <v>84</v>
      </c>
      <c r="D7109" s="5" t="s">
        <v>12008</v>
      </c>
      <c r="E7109" s="43">
        <v>2000</v>
      </c>
      <c r="F7109" s="43"/>
      <c r="G7109" s="48">
        <f t="shared" si="177"/>
        <v>33417.01612903201</v>
      </c>
      <c r="H7109" s="391" t="s">
        <v>9568</v>
      </c>
    </row>
    <row r="7110" spans="1:9" x14ac:dyDescent="0.3">
      <c r="A7110" s="509">
        <v>45159</v>
      </c>
      <c r="B7110" s="399" t="s">
        <v>12090</v>
      </c>
      <c r="C7110" s="5" t="s">
        <v>5288</v>
      </c>
      <c r="D7110" s="5" t="s">
        <v>12009</v>
      </c>
      <c r="E7110" s="43">
        <v>31200</v>
      </c>
      <c r="F7110" s="43"/>
      <c r="G7110" s="48">
        <f t="shared" si="177"/>
        <v>2217.0161290320102</v>
      </c>
      <c r="H7110" s="391" t="s">
        <v>9568</v>
      </c>
    </row>
    <row r="7111" spans="1:9" x14ac:dyDescent="0.3">
      <c r="A7111" s="509">
        <v>45159</v>
      </c>
      <c r="B7111" s="399" t="s">
        <v>12090</v>
      </c>
      <c r="C7111" s="5" t="s">
        <v>30</v>
      </c>
      <c r="D7111" s="5" t="s">
        <v>12010</v>
      </c>
      <c r="E7111" s="43">
        <v>250</v>
      </c>
      <c r="F7111" s="43"/>
      <c r="G7111" s="48">
        <f t="shared" si="177"/>
        <v>1967.0161290320102</v>
      </c>
      <c r="H7111" s="391" t="s">
        <v>9568</v>
      </c>
    </row>
    <row r="7112" spans="1:9" x14ac:dyDescent="0.3">
      <c r="A7112" s="509">
        <v>45160</v>
      </c>
      <c r="B7112" s="586"/>
      <c r="C7112" s="486"/>
      <c r="D7112" s="497" t="s">
        <v>11865</v>
      </c>
      <c r="E7112" s="486"/>
      <c r="F7112" s="43">
        <v>50000</v>
      </c>
      <c r="G7112" s="48">
        <f t="shared" si="177"/>
        <v>51967.01612903201</v>
      </c>
      <c r="H7112" s="391" t="s">
        <v>9568</v>
      </c>
      <c r="I7112" s="549"/>
    </row>
    <row r="7113" spans="1:9" x14ac:dyDescent="0.3">
      <c r="A7113" s="509">
        <v>45160</v>
      </c>
      <c r="B7113" s="399" t="s">
        <v>10333</v>
      </c>
      <c r="C7113" s="5" t="s">
        <v>5793</v>
      </c>
      <c r="D7113" s="5" t="s">
        <v>40</v>
      </c>
      <c r="E7113" s="43">
        <v>2900</v>
      </c>
      <c r="F7113" s="43"/>
      <c r="G7113" s="48">
        <f t="shared" si="177"/>
        <v>49067.01612903201</v>
      </c>
      <c r="H7113" s="391" t="s">
        <v>9568</v>
      </c>
    </row>
    <row r="7114" spans="1:9" x14ac:dyDescent="0.3">
      <c r="A7114" s="509">
        <v>45160</v>
      </c>
      <c r="B7114" s="399" t="s">
        <v>10333</v>
      </c>
      <c r="C7114" s="5" t="s">
        <v>5793</v>
      </c>
      <c r="D7114" s="5" t="s">
        <v>40</v>
      </c>
      <c r="E7114" s="43">
        <v>1500</v>
      </c>
      <c r="F7114" s="43"/>
      <c r="G7114" s="48">
        <f t="shared" si="177"/>
        <v>47567.01612903201</v>
      </c>
      <c r="H7114" s="391" t="s">
        <v>9568</v>
      </c>
    </row>
    <row r="7115" spans="1:9" x14ac:dyDescent="0.3">
      <c r="A7115" s="509">
        <v>45160</v>
      </c>
      <c r="B7115" s="399" t="s">
        <v>6481</v>
      </c>
      <c r="C7115" s="5" t="s">
        <v>9801</v>
      </c>
      <c r="D7115" s="5" t="s">
        <v>12013</v>
      </c>
      <c r="E7115" s="43">
        <v>1850</v>
      </c>
      <c r="F7115" s="43"/>
      <c r="G7115" s="48">
        <f t="shared" si="177"/>
        <v>45717.01612903201</v>
      </c>
      <c r="H7115" s="391" t="s">
        <v>9568</v>
      </c>
    </row>
    <row r="7116" spans="1:9" x14ac:dyDescent="0.3">
      <c r="A7116" s="509">
        <v>45160</v>
      </c>
      <c r="B7116" s="399" t="s">
        <v>12089</v>
      </c>
      <c r="C7116" s="5" t="s">
        <v>9756</v>
      </c>
      <c r="D7116" s="5" t="s">
        <v>12014</v>
      </c>
      <c r="E7116" s="43">
        <v>5500</v>
      </c>
      <c r="F7116" s="43"/>
      <c r="G7116" s="48">
        <f t="shared" si="177"/>
        <v>40217.01612903201</v>
      </c>
      <c r="H7116" s="391" t="s">
        <v>9568</v>
      </c>
    </row>
    <row r="7117" spans="1:9" x14ac:dyDescent="0.3">
      <c r="A7117" s="509">
        <v>45160</v>
      </c>
      <c r="B7117" s="399" t="s">
        <v>11528</v>
      </c>
      <c r="C7117" s="5" t="s">
        <v>84</v>
      </c>
      <c r="D7117" s="5" t="s">
        <v>12015</v>
      </c>
      <c r="E7117" s="43">
        <v>5000</v>
      </c>
      <c r="F7117" s="43"/>
      <c r="G7117" s="48">
        <f t="shared" si="177"/>
        <v>35217.01612903201</v>
      </c>
      <c r="H7117" s="391" t="s">
        <v>9568</v>
      </c>
    </row>
    <row r="7118" spans="1:9" x14ac:dyDescent="0.3">
      <c r="A7118" s="509">
        <v>45160</v>
      </c>
      <c r="B7118" s="399" t="s">
        <v>25</v>
      </c>
      <c r="C7118" s="5" t="s">
        <v>9756</v>
      </c>
      <c r="D7118" s="5" t="s">
        <v>2013</v>
      </c>
      <c r="E7118" s="43">
        <v>1200</v>
      </c>
      <c r="F7118" s="43"/>
      <c r="G7118" s="48">
        <f t="shared" si="177"/>
        <v>34017.01612903201</v>
      </c>
      <c r="H7118" s="391" t="s">
        <v>9568</v>
      </c>
    </row>
    <row r="7119" spans="1:9" x14ac:dyDescent="0.3">
      <c r="A7119" s="509">
        <v>45160</v>
      </c>
      <c r="B7119" s="399" t="s">
        <v>12087</v>
      </c>
      <c r="C7119" s="5" t="s">
        <v>9756</v>
      </c>
      <c r="D7119" s="5" t="s">
        <v>12017</v>
      </c>
      <c r="E7119" s="43">
        <v>1740</v>
      </c>
      <c r="F7119" s="43"/>
      <c r="G7119" s="48">
        <f t="shared" si="177"/>
        <v>32277.01612903201</v>
      </c>
      <c r="H7119" s="391" t="s">
        <v>9568</v>
      </c>
    </row>
    <row r="7120" spans="1:9" x14ac:dyDescent="0.3">
      <c r="A7120" s="509">
        <v>45160</v>
      </c>
      <c r="B7120" s="399" t="s">
        <v>10766</v>
      </c>
      <c r="C7120" s="5" t="s">
        <v>10815</v>
      </c>
      <c r="D7120" s="5" t="s">
        <v>12018</v>
      </c>
      <c r="E7120" s="43">
        <v>30000</v>
      </c>
      <c r="F7120" s="43"/>
      <c r="G7120" s="48">
        <f t="shared" si="177"/>
        <v>2277.0161290320102</v>
      </c>
      <c r="H7120" s="391" t="s">
        <v>9568</v>
      </c>
    </row>
    <row r="7121" spans="1:9" x14ac:dyDescent="0.3">
      <c r="A7121" s="509">
        <v>45160</v>
      </c>
      <c r="B7121" s="399" t="s">
        <v>12092</v>
      </c>
      <c r="C7121" s="5" t="s">
        <v>10815</v>
      </c>
      <c r="D7121" s="5" t="s">
        <v>12019</v>
      </c>
      <c r="E7121" s="43">
        <v>1800</v>
      </c>
      <c r="F7121" s="43"/>
      <c r="G7121" s="48">
        <f t="shared" si="177"/>
        <v>477.01612903201021</v>
      </c>
      <c r="H7121" s="391" t="s">
        <v>9568</v>
      </c>
    </row>
    <row r="7122" spans="1:9" x14ac:dyDescent="0.3">
      <c r="A7122" s="509">
        <v>45161</v>
      </c>
      <c r="B7122" s="586"/>
      <c r="C7122" s="486"/>
      <c r="D7122" s="497" t="s">
        <v>12020</v>
      </c>
      <c r="E7122" s="486"/>
      <c r="F7122" s="43">
        <v>200000</v>
      </c>
      <c r="G7122" s="48">
        <f t="shared" ref="G7122" si="178">G7121+F7122-E7122</f>
        <v>200477.01612903201</v>
      </c>
      <c r="H7122" s="391" t="s">
        <v>9568</v>
      </c>
      <c r="I7122" s="549"/>
    </row>
    <row r="7123" spans="1:9" x14ac:dyDescent="0.3">
      <c r="A7123" s="509">
        <v>45161</v>
      </c>
      <c r="B7123" s="399" t="s">
        <v>12090</v>
      </c>
      <c r="C7123" s="5" t="s">
        <v>5288</v>
      </c>
      <c r="D7123" s="5" t="s">
        <v>12021</v>
      </c>
      <c r="E7123" s="43">
        <v>18000</v>
      </c>
      <c r="F7123" s="43"/>
      <c r="G7123" s="48">
        <f t="shared" si="177"/>
        <v>182477.01612903201</v>
      </c>
      <c r="H7123" s="391" t="s">
        <v>9568</v>
      </c>
    </row>
    <row r="7124" spans="1:9" x14ac:dyDescent="0.3">
      <c r="A7124" s="509">
        <v>45161</v>
      </c>
      <c r="B7124" s="399" t="s">
        <v>12090</v>
      </c>
      <c r="C7124" s="5" t="s">
        <v>5288</v>
      </c>
      <c r="D7124" s="5" t="s">
        <v>12022</v>
      </c>
      <c r="E7124" s="43">
        <v>25000</v>
      </c>
      <c r="F7124" s="43"/>
      <c r="G7124" s="48">
        <f t="shared" si="177"/>
        <v>157477.01612903201</v>
      </c>
      <c r="H7124" s="391" t="s">
        <v>9568</v>
      </c>
    </row>
    <row r="7125" spans="1:9" x14ac:dyDescent="0.3">
      <c r="A7125" s="509">
        <v>45161</v>
      </c>
      <c r="B7125" s="586"/>
      <c r="C7125" s="486"/>
      <c r="D7125" s="497" t="s">
        <v>12023</v>
      </c>
      <c r="E7125" s="486"/>
      <c r="F7125" s="43">
        <v>3000</v>
      </c>
      <c r="G7125" s="48">
        <f t="shared" si="177"/>
        <v>160477.01612903201</v>
      </c>
      <c r="H7125" s="391" t="s">
        <v>9568</v>
      </c>
    </row>
    <row r="7126" spans="1:9" x14ac:dyDescent="0.3">
      <c r="A7126" s="509">
        <v>45161</v>
      </c>
      <c r="B7126" s="399" t="s">
        <v>10333</v>
      </c>
      <c r="C7126" s="5" t="s">
        <v>5793</v>
      </c>
      <c r="D7126" s="5" t="s">
        <v>40</v>
      </c>
      <c r="E7126" s="43">
        <v>5500</v>
      </c>
      <c r="F7126" s="43"/>
      <c r="G7126" s="48">
        <f t="shared" si="177"/>
        <v>154977.01612903201</v>
      </c>
      <c r="H7126" s="391" t="s">
        <v>9568</v>
      </c>
    </row>
    <row r="7127" spans="1:9" x14ac:dyDescent="0.3">
      <c r="A7127" s="509">
        <v>45161</v>
      </c>
      <c r="B7127" s="399"/>
      <c r="C7127" s="5" t="s">
        <v>14</v>
      </c>
      <c r="D7127" s="5" t="s">
        <v>11856</v>
      </c>
      <c r="E7127" s="43">
        <v>1000</v>
      </c>
      <c r="F7127" s="43"/>
      <c r="G7127" s="48">
        <f t="shared" si="177"/>
        <v>153977.01612903201</v>
      </c>
      <c r="H7127" s="391" t="s">
        <v>9568</v>
      </c>
    </row>
    <row r="7128" spans="1:9" x14ac:dyDescent="0.3">
      <c r="A7128" s="509">
        <v>45161</v>
      </c>
      <c r="B7128" s="399" t="s">
        <v>25</v>
      </c>
      <c r="C7128" s="5" t="s">
        <v>25</v>
      </c>
      <c r="D7128" s="5" t="s">
        <v>11455</v>
      </c>
      <c r="E7128" s="43">
        <v>3000</v>
      </c>
      <c r="F7128" s="43"/>
      <c r="G7128" s="48">
        <f t="shared" si="177"/>
        <v>150977.01612903201</v>
      </c>
      <c r="H7128" s="391" t="s">
        <v>9568</v>
      </c>
    </row>
    <row r="7129" spans="1:9" x14ac:dyDescent="0.3">
      <c r="A7129" s="509">
        <v>45161</v>
      </c>
      <c r="B7129" s="399" t="s">
        <v>12091</v>
      </c>
      <c r="C7129" s="5" t="s">
        <v>10709</v>
      </c>
      <c r="D7129" s="5" t="s">
        <v>12026</v>
      </c>
      <c r="E7129" s="43">
        <v>1000</v>
      </c>
      <c r="F7129" s="43"/>
      <c r="G7129" s="48">
        <f t="shared" si="177"/>
        <v>149977.01612903201</v>
      </c>
      <c r="H7129" s="391" t="s">
        <v>9568</v>
      </c>
    </row>
    <row r="7130" spans="1:9" x14ac:dyDescent="0.3">
      <c r="A7130" s="509">
        <v>45161</v>
      </c>
      <c r="B7130" s="399" t="s">
        <v>12088</v>
      </c>
      <c r="C7130" s="5" t="s">
        <v>9756</v>
      </c>
      <c r="D7130" s="5" t="s">
        <v>12027</v>
      </c>
      <c r="E7130" s="43">
        <v>1500</v>
      </c>
      <c r="F7130" s="43"/>
      <c r="G7130" s="48">
        <f t="shared" si="177"/>
        <v>148477.01612903201</v>
      </c>
      <c r="H7130" s="391" t="s">
        <v>9568</v>
      </c>
    </row>
    <row r="7131" spans="1:9" x14ac:dyDescent="0.3">
      <c r="A7131" s="509">
        <v>45161</v>
      </c>
      <c r="B7131" s="399" t="s">
        <v>12087</v>
      </c>
      <c r="C7131" s="5" t="s">
        <v>9756</v>
      </c>
      <c r="D7131" s="5" t="s">
        <v>12007</v>
      </c>
      <c r="E7131" s="43">
        <v>9640</v>
      </c>
      <c r="F7131" s="43"/>
      <c r="G7131" s="48">
        <f t="shared" si="177"/>
        <v>138837.01612903201</v>
      </c>
      <c r="H7131" s="391" t="s">
        <v>9568</v>
      </c>
    </row>
    <row r="7132" spans="1:9" x14ac:dyDescent="0.3">
      <c r="A7132" s="509">
        <v>45161</v>
      </c>
      <c r="B7132" s="586"/>
      <c r="C7132" s="486"/>
      <c r="D7132" s="497" t="s">
        <v>12011</v>
      </c>
      <c r="E7132" s="486"/>
      <c r="F7132" s="43">
        <v>70000</v>
      </c>
      <c r="G7132" s="48">
        <f t="shared" si="177"/>
        <v>208837.01612903201</v>
      </c>
      <c r="H7132" s="391" t="s">
        <v>9568</v>
      </c>
      <c r="I7132" s="549"/>
    </row>
    <row r="7133" spans="1:9" x14ac:dyDescent="0.3">
      <c r="A7133" s="509">
        <v>45161</v>
      </c>
      <c r="B7133" s="399" t="s">
        <v>12089</v>
      </c>
      <c r="C7133" s="5" t="s">
        <v>12030</v>
      </c>
      <c r="D7133" s="5" t="s">
        <v>12031</v>
      </c>
      <c r="E7133" s="43">
        <v>3000</v>
      </c>
      <c r="F7133" s="43"/>
      <c r="G7133" s="48">
        <f t="shared" si="177"/>
        <v>205837.01612903201</v>
      </c>
      <c r="H7133" s="391" t="s">
        <v>9568</v>
      </c>
    </row>
    <row r="7134" spans="1:9" x14ac:dyDescent="0.3">
      <c r="A7134" s="509">
        <v>45161</v>
      </c>
      <c r="B7134" s="399" t="s">
        <v>12087</v>
      </c>
      <c r="C7134" s="5" t="s">
        <v>9452</v>
      </c>
      <c r="D7134" s="5" t="s">
        <v>12033</v>
      </c>
      <c r="E7134" s="43">
        <v>8000</v>
      </c>
      <c r="F7134" s="43"/>
      <c r="G7134" s="48">
        <f t="shared" si="177"/>
        <v>197837.01612903201</v>
      </c>
      <c r="H7134" s="391" t="s">
        <v>9568</v>
      </c>
    </row>
    <row r="7135" spans="1:9" x14ac:dyDescent="0.3">
      <c r="A7135" s="509">
        <v>45161</v>
      </c>
      <c r="B7135" s="399" t="s">
        <v>11772</v>
      </c>
      <c r="C7135" s="5" t="s">
        <v>11236</v>
      </c>
      <c r="D7135" s="5" t="s">
        <v>11880</v>
      </c>
      <c r="E7135" s="43">
        <v>10616</v>
      </c>
      <c r="F7135" s="43"/>
      <c r="G7135" s="48">
        <f t="shared" si="177"/>
        <v>187221.01612903201</v>
      </c>
      <c r="H7135" s="391" t="s">
        <v>9568</v>
      </c>
    </row>
    <row r="7136" spans="1:9" x14ac:dyDescent="0.3">
      <c r="A7136" s="509">
        <v>45161</v>
      </c>
      <c r="B7136" s="399" t="s">
        <v>12088</v>
      </c>
      <c r="C7136" s="5" t="s">
        <v>11236</v>
      </c>
      <c r="D7136" s="5" t="s">
        <v>11880</v>
      </c>
      <c r="E7136" s="43">
        <v>9986</v>
      </c>
      <c r="F7136" s="43"/>
      <c r="G7136" s="48">
        <f t="shared" si="177"/>
        <v>177235.01612903201</v>
      </c>
      <c r="H7136" s="391" t="s">
        <v>9568</v>
      </c>
    </row>
    <row r="7137" spans="1:8" x14ac:dyDescent="0.3">
      <c r="A7137" s="509">
        <v>45161</v>
      </c>
      <c r="B7137" s="399" t="s">
        <v>12089</v>
      </c>
      <c r="C7137" s="5" t="s">
        <v>84</v>
      </c>
      <c r="D7137" s="5" t="s">
        <v>12034</v>
      </c>
      <c r="E7137" s="43">
        <v>22000</v>
      </c>
      <c r="F7137" s="43"/>
      <c r="G7137" s="48">
        <f t="shared" si="177"/>
        <v>155235.01612903201</v>
      </c>
      <c r="H7137" s="391" t="s">
        <v>9568</v>
      </c>
    </row>
    <row r="7138" spans="1:8" x14ac:dyDescent="0.3">
      <c r="A7138" s="509">
        <v>45161</v>
      </c>
      <c r="B7138" s="399"/>
      <c r="C7138" s="5" t="s">
        <v>84</v>
      </c>
      <c r="D7138" s="5" t="s">
        <v>12035</v>
      </c>
      <c r="E7138" s="43">
        <v>5000</v>
      </c>
      <c r="F7138" s="43"/>
      <c r="G7138" s="48">
        <f t="shared" si="177"/>
        <v>150235.01612903201</v>
      </c>
      <c r="H7138" s="391" t="s">
        <v>9568</v>
      </c>
    </row>
    <row r="7139" spans="1:8" x14ac:dyDescent="0.3">
      <c r="A7139" s="509">
        <v>45161</v>
      </c>
      <c r="B7139" s="399" t="s">
        <v>10333</v>
      </c>
      <c r="C7139" s="5" t="s">
        <v>5793</v>
      </c>
      <c r="D7139" s="5" t="s">
        <v>40</v>
      </c>
      <c r="E7139" s="43">
        <v>5200</v>
      </c>
      <c r="F7139" s="43"/>
      <c r="G7139" s="48">
        <f t="shared" si="177"/>
        <v>145035.01612903201</v>
      </c>
      <c r="H7139" s="391" t="s">
        <v>9568</v>
      </c>
    </row>
    <row r="7140" spans="1:8" x14ac:dyDescent="0.3">
      <c r="A7140" s="509">
        <v>45161</v>
      </c>
      <c r="B7140" s="399" t="s">
        <v>11821</v>
      </c>
      <c r="C7140" s="5" t="s">
        <v>54</v>
      </c>
      <c r="D7140" s="5" t="s">
        <v>10092</v>
      </c>
      <c r="E7140" s="43">
        <v>20000</v>
      </c>
      <c r="F7140" s="43"/>
      <c r="G7140" s="48">
        <f t="shared" si="177"/>
        <v>125035.01612903201</v>
      </c>
      <c r="H7140" s="391" t="s">
        <v>9568</v>
      </c>
    </row>
    <row r="7141" spans="1:8" x14ac:dyDescent="0.3">
      <c r="A7141" s="509">
        <v>45161</v>
      </c>
      <c r="B7141" s="399" t="s">
        <v>12090</v>
      </c>
      <c r="C7141" s="5" t="s">
        <v>10815</v>
      </c>
      <c r="D7141" s="5" t="s">
        <v>12036</v>
      </c>
      <c r="E7141" s="43">
        <v>44000</v>
      </c>
      <c r="F7141" s="43"/>
      <c r="G7141" s="48">
        <f t="shared" si="177"/>
        <v>81035.01612903201</v>
      </c>
      <c r="H7141" s="391" t="s">
        <v>9568</v>
      </c>
    </row>
    <row r="7142" spans="1:8" x14ac:dyDescent="0.3">
      <c r="A7142" s="509">
        <v>45161</v>
      </c>
      <c r="B7142" s="399" t="s">
        <v>12090</v>
      </c>
      <c r="C7142" s="5" t="s">
        <v>5793</v>
      </c>
      <c r="D7142" s="5" t="s">
        <v>8924</v>
      </c>
      <c r="E7142" s="43">
        <v>200</v>
      </c>
      <c r="F7142" s="43"/>
      <c r="G7142" s="48">
        <f t="shared" si="177"/>
        <v>80835.01612903201</v>
      </c>
      <c r="H7142" s="391" t="s">
        <v>9568</v>
      </c>
    </row>
    <row r="7143" spans="1:8" x14ac:dyDescent="0.3">
      <c r="A7143" s="509">
        <v>45162</v>
      </c>
      <c r="B7143" s="345" t="s">
        <v>12096</v>
      </c>
      <c r="C7143" s="5" t="s">
        <v>9756</v>
      </c>
      <c r="D7143" s="5" t="s">
        <v>12039</v>
      </c>
      <c r="E7143" s="43">
        <v>450</v>
      </c>
      <c r="F7143" s="43"/>
      <c r="G7143" s="48">
        <f t="shared" si="177"/>
        <v>80385.01612903201</v>
      </c>
      <c r="H7143" s="391" t="s">
        <v>9568</v>
      </c>
    </row>
    <row r="7144" spans="1:8" x14ac:dyDescent="0.3">
      <c r="A7144" s="509">
        <v>45162</v>
      </c>
      <c r="B7144" s="399" t="s">
        <v>11528</v>
      </c>
      <c r="C7144" s="5" t="s">
        <v>9756</v>
      </c>
      <c r="D7144" s="5" t="s">
        <v>12040</v>
      </c>
      <c r="E7144" s="43">
        <v>26000</v>
      </c>
      <c r="F7144" s="43"/>
      <c r="G7144" s="48">
        <f t="shared" si="177"/>
        <v>54385.01612903201</v>
      </c>
      <c r="H7144" s="391" t="s">
        <v>9568</v>
      </c>
    </row>
    <row r="7145" spans="1:8" x14ac:dyDescent="0.3">
      <c r="A7145" s="509">
        <v>45162</v>
      </c>
      <c r="B7145" s="399" t="s">
        <v>12087</v>
      </c>
      <c r="C7145" s="5" t="s">
        <v>9756</v>
      </c>
      <c r="D7145" s="5" t="s">
        <v>12041</v>
      </c>
      <c r="E7145" s="43">
        <v>3100</v>
      </c>
      <c r="F7145" s="43"/>
      <c r="G7145" s="48">
        <f t="shared" si="177"/>
        <v>51285.01612903201</v>
      </c>
      <c r="H7145" s="391" t="s">
        <v>9568</v>
      </c>
    </row>
    <row r="7146" spans="1:8" x14ac:dyDescent="0.3">
      <c r="A7146" s="509">
        <v>45163</v>
      </c>
      <c r="B7146" s="399" t="s">
        <v>10615</v>
      </c>
      <c r="C7146" s="5" t="s">
        <v>84</v>
      </c>
      <c r="D7146" s="5" t="s">
        <v>12037</v>
      </c>
      <c r="E7146" s="43">
        <v>5000</v>
      </c>
      <c r="F7146" s="43"/>
      <c r="G7146" s="48">
        <f t="shared" si="177"/>
        <v>46285.01612903201</v>
      </c>
      <c r="H7146" s="391" t="s">
        <v>9568</v>
      </c>
    </row>
    <row r="7147" spans="1:8" x14ac:dyDescent="0.3">
      <c r="A7147" s="509">
        <v>45163</v>
      </c>
      <c r="B7147" s="399" t="s">
        <v>10615</v>
      </c>
      <c r="C7147" s="5" t="s">
        <v>84</v>
      </c>
      <c r="D7147" s="5" t="s">
        <v>12038</v>
      </c>
      <c r="E7147" s="43">
        <v>5000</v>
      </c>
      <c r="F7147" s="43"/>
      <c r="G7147" s="48">
        <f t="shared" si="177"/>
        <v>41285.01612903201</v>
      </c>
      <c r="H7147" s="391" t="s">
        <v>9568</v>
      </c>
    </row>
    <row r="7148" spans="1:8" x14ac:dyDescent="0.3">
      <c r="A7148" s="509">
        <v>45163</v>
      </c>
      <c r="B7148" s="399" t="s">
        <v>10615</v>
      </c>
      <c r="C7148" s="5" t="s">
        <v>6430</v>
      </c>
      <c r="D7148" s="5" t="s">
        <v>4187</v>
      </c>
      <c r="E7148" s="43">
        <v>6000</v>
      </c>
      <c r="F7148" s="43"/>
      <c r="G7148" s="48">
        <f t="shared" si="177"/>
        <v>35285.01612903201</v>
      </c>
      <c r="H7148" s="391" t="s">
        <v>9568</v>
      </c>
    </row>
    <row r="7149" spans="1:8" x14ac:dyDescent="0.3">
      <c r="A7149" s="509">
        <v>45163</v>
      </c>
      <c r="B7149" s="399" t="s">
        <v>25</v>
      </c>
      <c r="C7149" s="5" t="s">
        <v>25</v>
      </c>
      <c r="D7149" s="5" t="s">
        <v>11455</v>
      </c>
      <c r="E7149" s="43">
        <v>3000</v>
      </c>
      <c r="F7149" s="43"/>
      <c r="G7149" s="48">
        <f t="shared" si="177"/>
        <v>32285.01612903201</v>
      </c>
      <c r="H7149" s="391" t="s">
        <v>9568</v>
      </c>
    </row>
    <row r="7150" spans="1:8" x14ac:dyDescent="0.3">
      <c r="A7150" s="509">
        <v>45163</v>
      </c>
      <c r="B7150" s="399" t="s">
        <v>12090</v>
      </c>
      <c r="C7150" s="5" t="s">
        <v>9756</v>
      </c>
      <c r="D7150" s="5" t="s">
        <v>12042</v>
      </c>
      <c r="E7150" s="43">
        <v>1100</v>
      </c>
      <c r="F7150" s="43"/>
      <c r="G7150" s="48">
        <f t="shared" si="177"/>
        <v>31185.01612903201</v>
      </c>
      <c r="H7150" s="391" t="s">
        <v>9568</v>
      </c>
    </row>
    <row r="7151" spans="1:8" x14ac:dyDescent="0.3">
      <c r="A7151" s="509">
        <v>45163</v>
      </c>
      <c r="B7151" s="399" t="s">
        <v>12090</v>
      </c>
      <c r="C7151" s="5" t="s">
        <v>5793</v>
      </c>
      <c r="D7151" s="5" t="s">
        <v>40</v>
      </c>
      <c r="E7151" s="43">
        <f>250+300+300</f>
        <v>850</v>
      </c>
      <c r="F7151" s="43"/>
      <c r="G7151" s="48">
        <f t="shared" si="177"/>
        <v>30335.01612903201</v>
      </c>
      <c r="H7151" s="391" t="s">
        <v>9568</v>
      </c>
    </row>
    <row r="7152" spans="1:8" x14ac:dyDescent="0.3">
      <c r="A7152" s="509">
        <v>45163</v>
      </c>
      <c r="B7152" s="399" t="s">
        <v>12087</v>
      </c>
      <c r="C7152" s="5" t="s">
        <v>5793</v>
      </c>
      <c r="D7152" s="5" t="s">
        <v>40</v>
      </c>
      <c r="E7152" s="43">
        <v>1000</v>
      </c>
      <c r="F7152" s="43"/>
      <c r="G7152" s="48">
        <f t="shared" si="177"/>
        <v>29335.01612903201</v>
      </c>
      <c r="H7152" s="391" t="s">
        <v>9568</v>
      </c>
    </row>
    <row r="7153" spans="1:9" x14ac:dyDescent="0.3">
      <c r="A7153" s="509">
        <v>45163</v>
      </c>
      <c r="B7153" s="399" t="s">
        <v>11528</v>
      </c>
      <c r="C7153" s="5" t="s">
        <v>5793</v>
      </c>
      <c r="D7153" s="5" t="s">
        <v>40</v>
      </c>
      <c r="E7153" s="43">
        <v>1000</v>
      </c>
      <c r="F7153" s="43"/>
      <c r="G7153" s="48">
        <f t="shared" si="177"/>
        <v>28335.01612903201</v>
      </c>
      <c r="H7153" s="391" t="s">
        <v>9568</v>
      </c>
    </row>
    <row r="7154" spans="1:9" x14ac:dyDescent="0.3">
      <c r="A7154" s="509">
        <v>45163</v>
      </c>
      <c r="B7154" s="399" t="s">
        <v>12089</v>
      </c>
      <c r="C7154" s="5" t="s">
        <v>5162</v>
      </c>
      <c r="D7154" s="5" t="s">
        <v>12043</v>
      </c>
      <c r="E7154" s="43">
        <v>5000</v>
      </c>
      <c r="F7154" s="43"/>
      <c r="G7154" s="48">
        <f t="shared" si="177"/>
        <v>23335.01612903201</v>
      </c>
      <c r="H7154" s="391" t="s">
        <v>9568</v>
      </c>
    </row>
    <row r="7155" spans="1:9" x14ac:dyDescent="0.3">
      <c r="A7155" s="509">
        <v>45163</v>
      </c>
      <c r="B7155" s="399" t="s">
        <v>10333</v>
      </c>
      <c r="C7155" s="5" t="s">
        <v>247</v>
      </c>
      <c r="D7155" s="5" t="s">
        <v>11472</v>
      </c>
      <c r="E7155" s="43">
        <v>15000</v>
      </c>
      <c r="F7155" s="43"/>
      <c r="G7155" s="48">
        <f t="shared" si="177"/>
        <v>8335.0161290320102</v>
      </c>
      <c r="H7155" s="391" t="s">
        <v>9568</v>
      </c>
    </row>
    <row r="7156" spans="1:9" x14ac:dyDescent="0.3">
      <c r="A7156" s="509">
        <v>45164</v>
      </c>
      <c r="B7156" s="586"/>
      <c r="C7156" s="486"/>
      <c r="D7156" s="497" t="s">
        <v>12020</v>
      </c>
      <c r="E7156" s="486"/>
      <c r="F7156" s="43">
        <v>398500</v>
      </c>
      <c r="G7156" s="48">
        <f t="shared" si="177"/>
        <v>406835.01612903201</v>
      </c>
      <c r="H7156" s="391" t="s">
        <v>9568</v>
      </c>
      <c r="I7156" s="549"/>
    </row>
    <row r="7157" spans="1:9" x14ac:dyDescent="0.3">
      <c r="A7157" s="509">
        <v>45164</v>
      </c>
      <c r="B7157" s="399" t="s">
        <v>11821</v>
      </c>
      <c r="C7157" s="5" t="s">
        <v>12045</v>
      </c>
      <c r="D7157" s="5" t="s">
        <v>12046</v>
      </c>
      <c r="E7157" s="43">
        <v>100000</v>
      </c>
      <c r="F7157" s="43"/>
      <c r="G7157" s="48">
        <f t="shared" si="177"/>
        <v>306835.01612903201</v>
      </c>
      <c r="H7157" s="391" t="s">
        <v>9568</v>
      </c>
    </row>
    <row r="7158" spans="1:9" x14ac:dyDescent="0.3">
      <c r="A7158" s="509">
        <v>45164</v>
      </c>
      <c r="B7158" s="399" t="s">
        <v>12087</v>
      </c>
      <c r="C7158" s="5" t="s">
        <v>9756</v>
      </c>
      <c r="D7158" s="5" t="s">
        <v>12047</v>
      </c>
      <c r="E7158" s="43">
        <v>133700</v>
      </c>
      <c r="F7158" s="43"/>
      <c r="G7158" s="48">
        <f t="shared" si="177"/>
        <v>173135.01612903201</v>
      </c>
      <c r="H7158" s="391" t="s">
        <v>9568</v>
      </c>
    </row>
    <row r="7159" spans="1:9" x14ac:dyDescent="0.3">
      <c r="A7159" s="509">
        <v>45164</v>
      </c>
      <c r="B7159" s="399"/>
      <c r="C7159" s="5" t="s">
        <v>541</v>
      </c>
      <c r="D7159" s="5" t="s">
        <v>12048</v>
      </c>
      <c r="E7159" s="43">
        <v>4000</v>
      </c>
      <c r="F7159" s="43"/>
      <c r="G7159" s="48">
        <f t="shared" si="177"/>
        <v>169135.01612903201</v>
      </c>
      <c r="H7159" s="391" t="s">
        <v>9568</v>
      </c>
    </row>
    <row r="7160" spans="1:9" x14ac:dyDescent="0.3">
      <c r="A7160" s="509">
        <v>45164</v>
      </c>
      <c r="B7160" s="399" t="s">
        <v>12090</v>
      </c>
      <c r="C7160" s="5" t="s">
        <v>5793</v>
      </c>
      <c r="D7160" s="5" t="s">
        <v>40</v>
      </c>
      <c r="E7160" s="43">
        <v>1700</v>
      </c>
      <c r="F7160" s="43"/>
      <c r="G7160" s="48">
        <f t="shared" si="177"/>
        <v>167435.01612903201</v>
      </c>
      <c r="H7160" s="391" t="s">
        <v>9568</v>
      </c>
    </row>
    <row r="7161" spans="1:9" x14ac:dyDescent="0.3">
      <c r="A7161" s="509">
        <v>45164</v>
      </c>
      <c r="B7161" s="399" t="s">
        <v>11528</v>
      </c>
      <c r="C7161" s="5" t="s">
        <v>11815</v>
      </c>
      <c r="D7161" s="5" t="s">
        <v>12055</v>
      </c>
      <c r="E7161" s="43">
        <v>1000</v>
      </c>
      <c r="F7161" s="43"/>
      <c r="G7161" s="48">
        <f t="shared" si="177"/>
        <v>166435.01612903201</v>
      </c>
      <c r="H7161" s="391" t="s">
        <v>9568</v>
      </c>
    </row>
    <row r="7162" spans="1:9" x14ac:dyDescent="0.3">
      <c r="A7162" s="509">
        <v>45164</v>
      </c>
      <c r="B7162" s="399" t="s">
        <v>25</v>
      </c>
      <c r="C7162" s="5" t="s">
        <v>84</v>
      </c>
      <c r="D7162" s="5" t="s">
        <v>12056</v>
      </c>
      <c r="E7162" s="43">
        <v>5000</v>
      </c>
      <c r="F7162" s="43"/>
      <c r="G7162" s="48">
        <f t="shared" si="177"/>
        <v>161435.01612903201</v>
      </c>
      <c r="H7162" s="391" t="s">
        <v>9568</v>
      </c>
    </row>
    <row r="7163" spans="1:9" x14ac:dyDescent="0.3">
      <c r="A7163" s="509">
        <v>45166</v>
      </c>
      <c r="B7163" s="399" t="s">
        <v>12190</v>
      </c>
      <c r="C7163" s="5" t="s">
        <v>1074</v>
      </c>
      <c r="D7163" s="5" t="s">
        <v>11415</v>
      </c>
      <c r="E7163" s="43">
        <v>110227</v>
      </c>
      <c r="F7163" s="43"/>
      <c r="G7163" s="48">
        <f t="shared" si="177"/>
        <v>51208.01612903201</v>
      </c>
      <c r="H7163" s="391" t="s">
        <v>9568</v>
      </c>
    </row>
    <row r="7164" spans="1:9" x14ac:dyDescent="0.3">
      <c r="A7164" s="509">
        <v>45166</v>
      </c>
      <c r="B7164" s="399" t="s">
        <v>25</v>
      </c>
      <c r="C7164" s="5" t="s">
        <v>1074</v>
      </c>
      <c r="D7164" s="5" t="s">
        <v>11415</v>
      </c>
      <c r="E7164" s="43">
        <v>50343</v>
      </c>
      <c r="F7164" s="43"/>
      <c r="G7164" s="48">
        <f t="shared" si="177"/>
        <v>865.01612903201021</v>
      </c>
      <c r="H7164" s="391" t="s">
        <v>9568</v>
      </c>
    </row>
    <row r="7165" spans="1:9" x14ac:dyDescent="0.3">
      <c r="A7165" s="509">
        <v>45166</v>
      </c>
      <c r="B7165" s="586"/>
      <c r="C7165" s="486"/>
      <c r="D7165" s="497" t="s">
        <v>4106</v>
      </c>
      <c r="E7165" s="486"/>
      <c r="F7165" s="43">
        <v>200000</v>
      </c>
      <c r="G7165" s="48">
        <f t="shared" si="177"/>
        <v>200865.01612903201</v>
      </c>
      <c r="H7165" s="391" t="s">
        <v>9568</v>
      </c>
      <c r="I7165" s="549"/>
    </row>
    <row r="7166" spans="1:9" x14ac:dyDescent="0.3">
      <c r="A7166" s="509">
        <v>45166</v>
      </c>
      <c r="B7166" s="399" t="s">
        <v>11772</v>
      </c>
      <c r="C7166" s="5" t="s">
        <v>10709</v>
      </c>
      <c r="D7166" s="5" t="s">
        <v>12058</v>
      </c>
      <c r="E7166" s="43">
        <v>25000</v>
      </c>
      <c r="F7166" s="43"/>
      <c r="G7166" s="48">
        <f t="shared" si="177"/>
        <v>175865.01612903201</v>
      </c>
      <c r="H7166" s="391" t="s">
        <v>9568</v>
      </c>
    </row>
    <row r="7167" spans="1:9" x14ac:dyDescent="0.3">
      <c r="A7167" s="509">
        <v>45166</v>
      </c>
      <c r="B7167" s="399" t="s">
        <v>25</v>
      </c>
      <c r="C7167" s="5" t="s">
        <v>25</v>
      </c>
      <c r="D7167" s="5" t="s">
        <v>11455</v>
      </c>
      <c r="E7167" s="43">
        <v>3000</v>
      </c>
      <c r="F7167" s="43"/>
      <c r="G7167" s="48">
        <f t="shared" si="177"/>
        <v>172865.01612903201</v>
      </c>
      <c r="H7167" s="391" t="s">
        <v>9568</v>
      </c>
    </row>
    <row r="7168" spans="1:9" x14ac:dyDescent="0.3">
      <c r="A7168" s="509">
        <v>45166</v>
      </c>
      <c r="B7168" s="399" t="s">
        <v>12087</v>
      </c>
      <c r="C7168" s="5" t="s">
        <v>10815</v>
      </c>
      <c r="D7168" s="5" t="s">
        <v>4342</v>
      </c>
      <c r="E7168" s="43">
        <v>10000</v>
      </c>
      <c r="F7168" s="43"/>
      <c r="G7168" s="48">
        <f t="shared" si="177"/>
        <v>162865.01612903201</v>
      </c>
      <c r="H7168" s="391" t="s">
        <v>9568</v>
      </c>
    </row>
    <row r="7169" spans="1:9" x14ac:dyDescent="0.3">
      <c r="A7169" s="509">
        <v>45166</v>
      </c>
      <c r="B7169" s="399" t="s">
        <v>12087</v>
      </c>
      <c r="C7169" s="5" t="s">
        <v>10815</v>
      </c>
      <c r="D7169" s="5" t="s">
        <v>12059</v>
      </c>
      <c r="E7169" s="43">
        <v>51000</v>
      </c>
      <c r="F7169" s="43"/>
      <c r="G7169" s="48">
        <f t="shared" si="177"/>
        <v>111865.01612903201</v>
      </c>
      <c r="H7169" s="391" t="s">
        <v>9568</v>
      </c>
    </row>
    <row r="7170" spans="1:9" x14ac:dyDescent="0.3">
      <c r="A7170" s="509">
        <v>45166</v>
      </c>
      <c r="B7170" s="399" t="s">
        <v>12089</v>
      </c>
      <c r="C7170" s="5" t="s">
        <v>5793</v>
      </c>
      <c r="D7170" s="5" t="s">
        <v>8924</v>
      </c>
      <c r="E7170" s="43">
        <v>500</v>
      </c>
      <c r="F7170" s="43"/>
      <c r="G7170" s="48">
        <f t="shared" si="177"/>
        <v>111365.01612903201</v>
      </c>
      <c r="H7170" s="391" t="s">
        <v>9568</v>
      </c>
    </row>
    <row r="7171" spans="1:9" x14ac:dyDescent="0.3">
      <c r="A7171" s="509">
        <v>45166</v>
      </c>
      <c r="B7171" s="399" t="s">
        <v>12090</v>
      </c>
      <c r="C7171" s="5" t="s">
        <v>5793</v>
      </c>
      <c r="D7171" s="5" t="s">
        <v>40</v>
      </c>
      <c r="E7171" s="43">
        <v>1800</v>
      </c>
      <c r="F7171" s="43"/>
      <c r="G7171" s="48">
        <f t="shared" ref="G7171:G7179" si="179">G7170+F7171-E7171</f>
        <v>109565.01612903201</v>
      </c>
      <c r="H7171" s="391" t="s">
        <v>9568</v>
      </c>
    </row>
    <row r="7172" spans="1:9" x14ac:dyDescent="0.3">
      <c r="A7172" s="509">
        <v>45166</v>
      </c>
      <c r="B7172" s="399" t="s">
        <v>12090</v>
      </c>
      <c r="C7172" s="5" t="s">
        <v>10815</v>
      </c>
      <c r="D7172" s="5" t="s">
        <v>4342</v>
      </c>
      <c r="E7172" s="65">
        <v>22830</v>
      </c>
      <c r="F7172" s="65"/>
      <c r="G7172" s="48">
        <f t="shared" si="179"/>
        <v>86735.01612903201</v>
      </c>
      <c r="H7172" s="391" t="s">
        <v>9568</v>
      </c>
    </row>
    <row r="7173" spans="1:9" x14ac:dyDescent="0.3">
      <c r="A7173" s="509">
        <v>45166</v>
      </c>
      <c r="B7173" s="399" t="s">
        <v>12089</v>
      </c>
      <c r="C7173" s="5" t="s">
        <v>10815</v>
      </c>
      <c r="D7173" s="5" t="s">
        <v>12060</v>
      </c>
      <c r="E7173" s="43">
        <v>69000</v>
      </c>
      <c r="F7173" s="43"/>
      <c r="G7173" s="48">
        <f t="shared" si="179"/>
        <v>17735.01612903201</v>
      </c>
      <c r="H7173" s="391" t="s">
        <v>9568</v>
      </c>
    </row>
    <row r="7174" spans="1:9" x14ac:dyDescent="0.3">
      <c r="A7174" s="509">
        <v>45166</v>
      </c>
      <c r="B7174" s="399" t="s">
        <v>12087</v>
      </c>
      <c r="C7174" s="5" t="s">
        <v>5793</v>
      </c>
      <c r="D7174" s="5" t="s">
        <v>40</v>
      </c>
      <c r="E7174" s="43">
        <v>3500</v>
      </c>
      <c r="F7174" s="43"/>
      <c r="G7174" s="48">
        <f t="shared" si="179"/>
        <v>14235.01612903201</v>
      </c>
      <c r="H7174" s="391" t="s">
        <v>9568</v>
      </c>
    </row>
    <row r="7175" spans="1:9" x14ac:dyDescent="0.3">
      <c r="A7175" s="509">
        <v>45167</v>
      </c>
      <c r="B7175" s="399"/>
      <c r="C7175" s="5" t="s">
        <v>4550</v>
      </c>
      <c r="D7175" s="5" t="s">
        <v>5813</v>
      </c>
      <c r="E7175" s="43">
        <v>8000</v>
      </c>
      <c r="F7175" s="43"/>
      <c r="G7175" s="48">
        <f t="shared" si="179"/>
        <v>6235.0161290320102</v>
      </c>
      <c r="H7175" s="391" t="s">
        <v>9568</v>
      </c>
    </row>
    <row r="7176" spans="1:9" x14ac:dyDescent="0.3">
      <c r="A7176" s="509">
        <v>45167</v>
      </c>
      <c r="B7176" s="399" t="s">
        <v>25</v>
      </c>
      <c r="C7176" s="5" t="s">
        <v>25</v>
      </c>
      <c r="D7176" s="5" t="s">
        <v>11455</v>
      </c>
      <c r="E7176" s="43">
        <v>3500</v>
      </c>
      <c r="F7176" s="43"/>
      <c r="G7176" s="48">
        <f t="shared" si="179"/>
        <v>2735.0161290320102</v>
      </c>
      <c r="H7176" s="391" t="s">
        <v>9568</v>
      </c>
    </row>
    <row r="7177" spans="1:9" x14ac:dyDescent="0.3">
      <c r="A7177" s="509">
        <v>45167</v>
      </c>
      <c r="B7177" s="586"/>
      <c r="C7177" s="486"/>
      <c r="D7177" s="497" t="s">
        <v>12020</v>
      </c>
      <c r="E7177" s="486"/>
      <c r="F7177" s="43">
        <v>100000</v>
      </c>
      <c r="G7177" s="48">
        <f t="shared" si="179"/>
        <v>102735.01612903201</v>
      </c>
      <c r="H7177" s="391" t="s">
        <v>9568</v>
      </c>
      <c r="I7177" s="549"/>
    </row>
    <row r="7178" spans="1:9" x14ac:dyDescent="0.3">
      <c r="A7178" s="509">
        <v>45167</v>
      </c>
      <c r="B7178" s="399"/>
      <c r="C7178" s="5" t="s">
        <v>5162</v>
      </c>
      <c r="D7178" s="5" t="s">
        <v>3910</v>
      </c>
      <c r="E7178" s="43">
        <v>5000</v>
      </c>
      <c r="F7178" s="43"/>
      <c r="G7178" s="48">
        <f t="shared" si="179"/>
        <v>97735.01612903201</v>
      </c>
      <c r="H7178" s="391" t="s">
        <v>9568</v>
      </c>
      <c r="I7178" s="549"/>
    </row>
    <row r="7179" spans="1:9" x14ac:dyDescent="0.3">
      <c r="A7179" s="509">
        <v>45167</v>
      </c>
      <c r="B7179" s="399" t="s">
        <v>11528</v>
      </c>
      <c r="C7179" s="5" t="s">
        <v>9044</v>
      </c>
      <c r="D7179" s="5" t="s">
        <v>11009</v>
      </c>
      <c r="E7179" s="43">
        <v>8000</v>
      </c>
      <c r="F7179" s="43"/>
      <c r="G7179" s="48">
        <f t="shared" si="179"/>
        <v>89735.01612903201</v>
      </c>
      <c r="H7179" s="391" t="s">
        <v>9568</v>
      </c>
    </row>
    <row r="7180" spans="1:9" x14ac:dyDescent="0.3">
      <c r="A7180" s="509">
        <v>45167</v>
      </c>
      <c r="B7180" s="399" t="s">
        <v>12093</v>
      </c>
      <c r="C7180" s="61" t="s">
        <v>10815</v>
      </c>
      <c r="D7180" s="61" t="s">
        <v>12068</v>
      </c>
      <c r="E7180" s="62">
        <v>17400</v>
      </c>
      <c r="F7180" s="43"/>
      <c r="G7180" s="48">
        <f t="shared" ref="G7180:G7244" si="180">G7179+F7180-E7180</f>
        <v>72335.01612903201</v>
      </c>
      <c r="H7180" s="391" t="s">
        <v>9568</v>
      </c>
    </row>
    <row r="7181" spans="1:9" x14ac:dyDescent="0.3">
      <c r="A7181" s="509">
        <v>45167</v>
      </c>
      <c r="B7181" s="399" t="s">
        <v>12087</v>
      </c>
      <c r="C7181" s="5" t="s">
        <v>10815</v>
      </c>
      <c r="D7181" s="5" t="s">
        <v>12069</v>
      </c>
      <c r="E7181" s="43">
        <v>6924</v>
      </c>
      <c r="F7181" s="43"/>
      <c r="G7181" s="48">
        <f t="shared" si="180"/>
        <v>65411.01612903201</v>
      </c>
      <c r="H7181" s="391" t="s">
        <v>9568</v>
      </c>
    </row>
    <row r="7182" spans="1:9" x14ac:dyDescent="0.3">
      <c r="A7182" s="509">
        <v>45167</v>
      </c>
      <c r="B7182" s="399" t="s">
        <v>12088</v>
      </c>
      <c r="C7182" s="5" t="s">
        <v>10815</v>
      </c>
      <c r="D7182" s="5" t="s">
        <v>12070</v>
      </c>
      <c r="E7182" s="43">
        <v>480</v>
      </c>
      <c r="F7182" s="43"/>
      <c r="G7182" s="48">
        <f t="shared" si="180"/>
        <v>64931.01612903201</v>
      </c>
      <c r="H7182" s="391" t="s">
        <v>9568</v>
      </c>
    </row>
    <row r="7183" spans="1:9" x14ac:dyDescent="0.3">
      <c r="A7183" s="509">
        <v>45167</v>
      </c>
      <c r="B7183" s="399" t="s">
        <v>12088</v>
      </c>
      <c r="C7183" s="5" t="s">
        <v>9452</v>
      </c>
      <c r="D7183" s="5" t="s">
        <v>12071</v>
      </c>
      <c r="E7183" s="43">
        <v>7000</v>
      </c>
      <c r="F7183" s="43"/>
      <c r="G7183" s="48">
        <f t="shared" si="180"/>
        <v>57931.01612903201</v>
      </c>
      <c r="H7183" s="391" t="s">
        <v>9568</v>
      </c>
    </row>
    <row r="7184" spans="1:9" x14ac:dyDescent="0.3">
      <c r="A7184" s="509">
        <v>45167</v>
      </c>
      <c r="B7184" s="399" t="s">
        <v>12088</v>
      </c>
      <c r="C7184" s="5" t="s">
        <v>5793</v>
      </c>
      <c r="D7184" s="5" t="s">
        <v>40</v>
      </c>
      <c r="E7184" s="43">
        <v>1600</v>
      </c>
      <c r="F7184" s="43"/>
      <c r="G7184" s="48">
        <f t="shared" si="180"/>
        <v>56331.01612903201</v>
      </c>
      <c r="H7184" s="391" t="s">
        <v>9568</v>
      </c>
    </row>
    <row r="7185" spans="1:9" x14ac:dyDescent="0.3">
      <c r="A7185" s="509">
        <v>45167</v>
      </c>
      <c r="B7185" s="399" t="s">
        <v>12093</v>
      </c>
      <c r="C7185" s="5" t="s">
        <v>5793</v>
      </c>
      <c r="D7185" s="5" t="s">
        <v>40</v>
      </c>
      <c r="E7185" s="43">
        <v>3000</v>
      </c>
      <c r="F7185" s="43"/>
      <c r="G7185" s="48">
        <f t="shared" si="180"/>
        <v>53331.01612903201</v>
      </c>
      <c r="H7185" s="391" t="s">
        <v>9568</v>
      </c>
    </row>
    <row r="7186" spans="1:9" x14ac:dyDescent="0.3">
      <c r="A7186" s="509">
        <v>45167</v>
      </c>
      <c r="B7186" s="399" t="s">
        <v>12088</v>
      </c>
      <c r="C7186" s="5" t="s">
        <v>5793</v>
      </c>
      <c r="D7186" s="5" t="s">
        <v>40</v>
      </c>
      <c r="E7186" s="43">
        <v>1600</v>
      </c>
      <c r="F7186" s="43"/>
      <c r="G7186" s="48">
        <f t="shared" si="180"/>
        <v>51731.01612903201</v>
      </c>
      <c r="H7186" s="391" t="s">
        <v>9568</v>
      </c>
    </row>
    <row r="7187" spans="1:9" x14ac:dyDescent="0.3">
      <c r="A7187" s="509">
        <v>45167</v>
      </c>
      <c r="B7187" s="399" t="s">
        <v>12090</v>
      </c>
      <c r="C7187" s="5" t="s">
        <v>5793</v>
      </c>
      <c r="D7187" s="5" t="s">
        <v>40</v>
      </c>
      <c r="E7187" s="43">
        <v>1000</v>
      </c>
      <c r="F7187" s="43"/>
      <c r="G7187" s="48">
        <f t="shared" si="180"/>
        <v>50731.01612903201</v>
      </c>
      <c r="H7187" s="391" t="s">
        <v>9568</v>
      </c>
    </row>
    <row r="7188" spans="1:9" x14ac:dyDescent="0.3">
      <c r="A7188" s="509">
        <v>45167</v>
      </c>
      <c r="B7188" s="399" t="s">
        <v>11772</v>
      </c>
      <c r="C7188" s="5" t="s">
        <v>30</v>
      </c>
      <c r="D7188" s="5" t="s">
        <v>10651</v>
      </c>
      <c r="E7188" s="43">
        <v>1500</v>
      </c>
      <c r="F7188" s="43"/>
      <c r="G7188" s="48">
        <f t="shared" si="180"/>
        <v>49231.01612903201</v>
      </c>
      <c r="H7188" s="391" t="s">
        <v>9568</v>
      </c>
    </row>
    <row r="7189" spans="1:9" x14ac:dyDescent="0.3">
      <c r="A7189" s="509">
        <v>45167</v>
      </c>
      <c r="B7189" s="399"/>
      <c r="C7189" s="5" t="s">
        <v>14</v>
      </c>
      <c r="D7189" s="5" t="s">
        <v>294</v>
      </c>
      <c r="E7189" s="43">
        <v>10000</v>
      </c>
      <c r="F7189" s="43"/>
      <c r="G7189" s="48">
        <f t="shared" si="180"/>
        <v>39231.01612903201</v>
      </c>
      <c r="H7189" s="391" t="s">
        <v>9568</v>
      </c>
    </row>
    <row r="7190" spans="1:9" x14ac:dyDescent="0.3">
      <c r="A7190" s="509">
        <v>45168</v>
      </c>
      <c r="B7190" s="399"/>
      <c r="C7190" s="5" t="s">
        <v>4550</v>
      </c>
      <c r="D7190" s="5" t="s">
        <v>3910</v>
      </c>
      <c r="E7190" s="43">
        <v>5000</v>
      </c>
      <c r="F7190" s="43"/>
      <c r="G7190" s="48">
        <f t="shared" si="180"/>
        <v>34231.01612903201</v>
      </c>
      <c r="H7190" s="391" t="s">
        <v>9568</v>
      </c>
    </row>
    <row r="7191" spans="1:9" x14ac:dyDescent="0.3">
      <c r="A7191" s="509">
        <v>45168</v>
      </c>
      <c r="B7191" s="399" t="s">
        <v>25</v>
      </c>
      <c r="C7191" s="5" t="s">
        <v>25</v>
      </c>
      <c r="D7191" s="5" t="s">
        <v>11455</v>
      </c>
      <c r="E7191" s="43">
        <v>3500</v>
      </c>
      <c r="F7191" s="43"/>
      <c r="G7191" s="48">
        <f t="shared" si="180"/>
        <v>30731.01612903201</v>
      </c>
      <c r="H7191" s="391" t="s">
        <v>9568</v>
      </c>
    </row>
    <row r="7192" spans="1:9" x14ac:dyDescent="0.3">
      <c r="A7192" s="509">
        <v>45168</v>
      </c>
      <c r="B7192" s="399" t="s">
        <v>11528</v>
      </c>
      <c r="C7192" s="5" t="s">
        <v>12072</v>
      </c>
      <c r="D7192" s="5" t="s">
        <v>12073</v>
      </c>
      <c r="E7192" s="43">
        <v>1500</v>
      </c>
      <c r="F7192" s="43"/>
      <c r="G7192" s="48">
        <f t="shared" si="180"/>
        <v>29231.01612903201</v>
      </c>
      <c r="H7192" s="391" t="s">
        <v>9568</v>
      </c>
    </row>
    <row r="7193" spans="1:9" x14ac:dyDescent="0.3">
      <c r="A7193" s="509">
        <v>45168</v>
      </c>
      <c r="B7193" s="586"/>
      <c r="C7193" s="486"/>
      <c r="D7193" s="497" t="s">
        <v>12074</v>
      </c>
      <c r="E7193" s="486"/>
      <c r="F7193" s="43">
        <v>30000</v>
      </c>
      <c r="G7193" s="48">
        <f t="shared" si="180"/>
        <v>59231.01612903201</v>
      </c>
      <c r="H7193" s="391" t="s">
        <v>9568</v>
      </c>
      <c r="I7193" s="549"/>
    </row>
    <row r="7194" spans="1:9" x14ac:dyDescent="0.3">
      <c r="A7194" s="509">
        <v>45168</v>
      </c>
      <c r="B7194" s="399"/>
      <c r="C7194" s="5" t="s">
        <v>18</v>
      </c>
      <c r="D7194" s="5" t="s">
        <v>294</v>
      </c>
      <c r="E7194" s="43">
        <v>5000</v>
      </c>
      <c r="F7194" s="43"/>
      <c r="G7194" s="48">
        <f t="shared" si="180"/>
        <v>54231.01612903201</v>
      </c>
      <c r="H7194" s="391" t="s">
        <v>9568</v>
      </c>
    </row>
    <row r="7195" spans="1:9" x14ac:dyDescent="0.3">
      <c r="A7195" s="509">
        <v>45168</v>
      </c>
      <c r="B7195" s="399" t="s">
        <v>12087</v>
      </c>
      <c r="C7195" s="5" t="s">
        <v>9756</v>
      </c>
      <c r="D7195" s="5" t="s">
        <v>12076</v>
      </c>
      <c r="E7195" s="43">
        <v>20000</v>
      </c>
      <c r="F7195" s="43"/>
      <c r="G7195" s="48">
        <f t="shared" si="180"/>
        <v>34231.01612903201</v>
      </c>
      <c r="H7195" s="391" t="s">
        <v>9568</v>
      </c>
    </row>
    <row r="7196" spans="1:9" x14ac:dyDescent="0.3">
      <c r="A7196" s="509">
        <v>45168</v>
      </c>
      <c r="B7196" s="399" t="s">
        <v>12088</v>
      </c>
      <c r="C7196" s="5" t="s">
        <v>5793</v>
      </c>
      <c r="D7196" s="5" t="s">
        <v>40</v>
      </c>
      <c r="E7196" s="43">
        <v>1500</v>
      </c>
      <c r="F7196" s="43"/>
      <c r="G7196" s="48">
        <f t="shared" si="180"/>
        <v>32731.01612903201</v>
      </c>
      <c r="H7196" s="391" t="s">
        <v>9568</v>
      </c>
    </row>
    <row r="7197" spans="1:9" x14ac:dyDescent="0.3">
      <c r="A7197" s="509">
        <v>45168</v>
      </c>
      <c r="B7197" s="399"/>
      <c r="C7197" s="5" t="s">
        <v>84</v>
      </c>
      <c r="D7197" s="5" t="s">
        <v>12081</v>
      </c>
      <c r="E7197" s="43">
        <v>1000</v>
      </c>
      <c r="F7197" s="43"/>
      <c r="G7197" s="48">
        <f t="shared" si="180"/>
        <v>31731.01612903201</v>
      </c>
      <c r="H7197" s="391" t="s">
        <v>9568</v>
      </c>
    </row>
    <row r="7198" spans="1:9" x14ac:dyDescent="0.3">
      <c r="A7198" s="509">
        <v>45169</v>
      </c>
      <c r="B7198" s="399" t="s">
        <v>12087</v>
      </c>
      <c r="C7198" s="5" t="s">
        <v>541</v>
      </c>
      <c r="D7198" s="5" t="s">
        <v>11856</v>
      </c>
      <c r="E7198" s="43">
        <v>5000</v>
      </c>
      <c r="F7198" s="43"/>
      <c r="G7198" s="48">
        <f t="shared" si="180"/>
        <v>26731.01612903201</v>
      </c>
      <c r="H7198" s="391" t="s">
        <v>9568</v>
      </c>
    </row>
    <row r="7199" spans="1:9" x14ac:dyDescent="0.3">
      <c r="A7199" s="509">
        <v>45169</v>
      </c>
      <c r="B7199" s="399" t="s">
        <v>25</v>
      </c>
      <c r="C7199" s="5" t="s">
        <v>25</v>
      </c>
      <c r="D7199" s="5" t="s">
        <v>11455</v>
      </c>
      <c r="E7199" s="43">
        <v>3500</v>
      </c>
      <c r="F7199" s="43"/>
      <c r="G7199" s="48">
        <f t="shared" si="180"/>
        <v>23231.01612903201</v>
      </c>
      <c r="H7199" s="391" t="s">
        <v>9568</v>
      </c>
    </row>
    <row r="7200" spans="1:9" x14ac:dyDescent="0.3">
      <c r="A7200" s="509">
        <v>45169</v>
      </c>
      <c r="B7200" s="399"/>
      <c r="C7200" s="5" t="s">
        <v>4550</v>
      </c>
      <c r="D7200" s="5" t="s">
        <v>12079</v>
      </c>
      <c r="E7200" s="43">
        <v>15000</v>
      </c>
      <c r="F7200" s="43"/>
      <c r="G7200" s="48">
        <f t="shared" si="180"/>
        <v>8231.0161290320102</v>
      </c>
      <c r="H7200" s="391" t="s">
        <v>9568</v>
      </c>
    </row>
    <row r="7201" spans="1:9" x14ac:dyDescent="0.3">
      <c r="A7201" s="509">
        <v>45169</v>
      </c>
      <c r="B7201" s="399"/>
      <c r="C7201" s="5" t="s">
        <v>4550</v>
      </c>
      <c r="D7201" s="5" t="s">
        <v>12080</v>
      </c>
      <c r="E7201" s="43">
        <v>5000</v>
      </c>
      <c r="F7201" s="43"/>
      <c r="G7201" s="48">
        <f t="shared" si="180"/>
        <v>3231.0161290320102</v>
      </c>
      <c r="H7201" s="391" t="s">
        <v>9568</v>
      </c>
    </row>
    <row r="7202" spans="1:9" x14ac:dyDescent="0.3">
      <c r="A7202" s="509">
        <v>45169</v>
      </c>
      <c r="B7202" s="399" t="s">
        <v>25</v>
      </c>
      <c r="C7202" s="5" t="s">
        <v>5793</v>
      </c>
      <c r="D7202" s="5" t="s">
        <v>8924</v>
      </c>
      <c r="E7202" s="43">
        <v>350</v>
      </c>
      <c r="F7202" s="43"/>
      <c r="G7202" s="48">
        <f t="shared" si="180"/>
        <v>2881.0161290320102</v>
      </c>
      <c r="H7202" s="391" t="s">
        <v>9568</v>
      </c>
    </row>
    <row r="7203" spans="1:9" x14ac:dyDescent="0.3">
      <c r="A7203" s="509">
        <v>45170</v>
      </c>
      <c r="B7203" s="586"/>
      <c r="C7203" s="486"/>
      <c r="D7203" s="497" t="s">
        <v>4106</v>
      </c>
      <c r="E7203" s="486"/>
      <c r="F7203" s="43">
        <v>150000</v>
      </c>
      <c r="G7203" s="48">
        <f t="shared" si="180"/>
        <v>152881.01612903201</v>
      </c>
      <c r="H7203" s="391" t="s">
        <v>9568</v>
      </c>
      <c r="I7203" s="549"/>
    </row>
    <row r="7204" spans="1:9" x14ac:dyDescent="0.3">
      <c r="A7204" s="509">
        <v>45170</v>
      </c>
      <c r="B7204" s="399" t="s">
        <v>12090</v>
      </c>
      <c r="C7204" s="5" t="s">
        <v>6430</v>
      </c>
      <c r="D7204" s="5" t="s">
        <v>12086</v>
      </c>
      <c r="E7204" s="43">
        <v>6000</v>
      </c>
      <c r="F7204" s="43"/>
      <c r="G7204" s="48">
        <f t="shared" si="180"/>
        <v>146881.01612903201</v>
      </c>
      <c r="H7204" s="391" t="s">
        <v>9568</v>
      </c>
    </row>
    <row r="7205" spans="1:9" x14ac:dyDescent="0.3">
      <c r="A7205" s="509">
        <v>45170</v>
      </c>
      <c r="B7205" s="399" t="s">
        <v>10333</v>
      </c>
      <c r="C7205" s="5" t="s">
        <v>5793</v>
      </c>
      <c r="D7205" s="5" t="s">
        <v>40</v>
      </c>
      <c r="E7205" s="43">
        <v>4400</v>
      </c>
      <c r="F7205" s="43"/>
      <c r="G7205" s="48">
        <f t="shared" si="180"/>
        <v>142481.01612903201</v>
      </c>
      <c r="H7205" s="391" t="s">
        <v>9568</v>
      </c>
    </row>
    <row r="7206" spans="1:9" x14ac:dyDescent="0.3">
      <c r="A7206" s="509">
        <v>45170</v>
      </c>
      <c r="B7206" s="399"/>
      <c r="C7206" s="5" t="s">
        <v>84</v>
      </c>
      <c r="D7206" s="5" t="s">
        <v>11990</v>
      </c>
      <c r="E7206" s="43">
        <v>3000</v>
      </c>
      <c r="F7206" s="43"/>
      <c r="G7206" s="48">
        <f t="shared" si="180"/>
        <v>139481.01612903201</v>
      </c>
      <c r="H7206" s="391" t="s">
        <v>9568</v>
      </c>
    </row>
    <row r="7207" spans="1:9" x14ac:dyDescent="0.3">
      <c r="A7207" s="509">
        <v>45170</v>
      </c>
      <c r="B7207" s="399" t="s">
        <v>12093</v>
      </c>
      <c r="C7207" s="5" t="s">
        <v>12110</v>
      </c>
      <c r="D7207" s="5" t="s">
        <v>12111</v>
      </c>
      <c r="E7207" s="43">
        <v>39000</v>
      </c>
      <c r="F7207" s="43"/>
      <c r="G7207" s="48">
        <f t="shared" si="180"/>
        <v>100481.01612903201</v>
      </c>
      <c r="H7207" s="391" t="s">
        <v>9568</v>
      </c>
    </row>
    <row r="7208" spans="1:9" x14ac:dyDescent="0.3">
      <c r="A7208" s="509">
        <v>45170</v>
      </c>
      <c r="B7208" s="399" t="s">
        <v>12093</v>
      </c>
      <c r="C7208" s="5" t="s">
        <v>10815</v>
      </c>
      <c r="D7208" s="5" t="s">
        <v>12112</v>
      </c>
      <c r="E7208" s="43">
        <v>8640</v>
      </c>
      <c r="F7208" s="43"/>
      <c r="G7208" s="48">
        <f t="shared" si="180"/>
        <v>91841.01612903201</v>
      </c>
      <c r="H7208" s="391" t="s">
        <v>9568</v>
      </c>
    </row>
    <row r="7209" spans="1:9" x14ac:dyDescent="0.3">
      <c r="A7209" s="509">
        <v>45171</v>
      </c>
      <c r="B7209" s="399" t="s">
        <v>25</v>
      </c>
      <c r="C7209" s="5" t="s">
        <v>25</v>
      </c>
      <c r="D7209" s="5" t="s">
        <v>11455</v>
      </c>
      <c r="E7209" s="43">
        <v>3000</v>
      </c>
      <c r="F7209" s="43"/>
      <c r="G7209" s="48">
        <f t="shared" si="180"/>
        <v>88841.01612903201</v>
      </c>
      <c r="H7209" s="391" t="s">
        <v>9568</v>
      </c>
    </row>
    <row r="7210" spans="1:9" x14ac:dyDescent="0.3">
      <c r="A7210" s="509">
        <v>45171</v>
      </c>
      <c r="B7210" s="399"/>
      <c r="C7210" s="5" t="s">
        <v>5162</v>
      </c>
      <c r="D7210" s="5" t="s">
        <v>5813</v>
      </c>
      <c r="E7210" s="43">
        <v>3000</v>
      </c>
      <c r="F7210" s="43"/>
      <c r="G7210" s="48">
        <f t="shared" si="180"/>
        <v>85841.01612903201</v>
      </c>
      <c r="H7210" s="391" t="s">
        <v>9568</v>
      </c>
    </row>
    <row r="7211" spans="1:9" x14ac:dyDescent="0.3">
      <c r="A7211" s="509">
        <v>45171</v>
      </c>
      <c r="B7211" s="399"/>
      <c r="C7211" s="5" t="s">
        <v>25</v>
      </c>
      <c r="D7211" s="5" t="s">
        <v>12100</v>
      </c>
      <c r="E7211" s="43">
        <v>4000</v>
      </c>
      <c r="F7211" s="43"/>
      <c r="G7211" s="48">
        <f t="shared" si="180"/>
        <v>81841.01612903201</v>
      </c>
      <c r="H7211" s="391" t="s">
        <v>9568</v>
      </c>
    </row>
    <row r="7212" spans="1:9" x14ac:dyDescent="0.3">
      <c r="A7212" s="509">
        <v>45171</v>
      </c>
      <c r="B7212" s="399" t="s">
        <v>12089</v>
      </c>
      <c r="C7212" s="5" t="s">
        <v>9044</v>
      </c>
      <c r="D7212" s="5" t="s">
        <v>10820</v>
      </c>
      <c r="E7212" s="43">
        <v>10000</v>
      </c>
      <c r="F7212" s="43"/>
      <c r="G7212" s="48">
        <f t="shared" si="180"/>
        <v>71841.01612903201</v>
      </c>
      <c r="H7212" s="391" t="s">
        <v>9568</v>
      </c>
    </row>
    <row r="7213" spans="1:9" x14ac:dyDescent="0.3">
      <c r="A7213" s="509">
        <v>45171</v>
      </c>
      <c r="B7213" s="399" t="s">
        <v>10333</v>
      </c>
      <c r="C7213" s="5" t="s">
        <v>5793</v>
      </c>
      <c r="D7213" s="5" t="s">
        <v>40</v>
      </c>
      <c r="E7213" s="43">
        <v>3200</v>
      </c>
      <c r="F7213" s="43"/>
      <c r="G7213" s="48">
        <f t="shared" si="180"/>
        <v>68641.01612903201</v>
      </c>
      <c r="H7213" s="391" t="s">
        <v>9568</v>
      </c>
    </row>
    <row r="7214" spans="1:9" x14ac:dyDescent="0.3">
      <c r="A7214" s="509">
        <v>45171</v>
      </c>
      <c r="B7214" s="399" t="s">
        <v>10615</v>
      </c>
      <c r="C7214" s="5" t="s">
        <v>6430</v>
      </c>
      <c r="D7214" s="5" t="s">
        <v>3910</v>
      </c>
      <c r="E7214" s="43">
        <v>3000</v>
      </c>
      <c r="F7214" s="43"/>
      <c r="G7214" s="48">
        <f t="shared" si="180"/>
        <v>65641.01612903201</v>
      </c>
      <c r="H7214" s="391" t="s">
        <v>9568</v>
      </c>
    </row>
    <row r="7215" spans="1:9" x14ac:dyDescent="0.3">
      <c r="A7215" s="509">
        <v>45173</v>
      </c>
      <c r="B7215" s="399" t="s">
        <v>12190</v>
      </c>
      <c r="C7215" s="5" t="s">
        <v>1074</v>
      </c>
      <c r="D7215" s="5" t="s">
        <v>4601</v>
      </c>
      <c r="E7215" s="43">
        <v>240</v>
      </c>
      <c r="F7215" s="43"/>
      <c r="G7215" s="48">
        <f t="shared" si="180"/>
        <v>65401.01612903201</v>
      </c>
      <c r="H7215" s="391" t="s">
        <v>9568</v>
      </c>
    </row>
    <row r="7216" spans="1:9" x14ac:dyDescent="0.3">
      <c r="A7216" s="509">
        <v>45173</v>
      </c>
      <c r="B7216" s="399" t="s">
        <v>25</v>
      </c>
      <c r="C7216" s="5" t="s">
        <v>1074</v>
      </c>
      <c r="D7216" s="5" t="s">
        <v>4601</v>
      </c>
      <c r="E7216" s="43">
        <v>310</v>
      </c>
      <c r="F7216" s="43"/>
      <c r="G7216" s="48">
        <f t="shared" si="180"/>
        <v>65091.01612903201</v>
      </c>
      <c r="H7216" s="391" t="s">
        <v>9568</v>
      </c>
    </row>
    <row r="7217" spans="1:8" x14ac:dyDescent="0.3">
      <c r="A7217" s="509">
        <v>45173</v>
      </c>
      <c r="B7217" s="399"/>
      <c r="C7217" s="5" t="s">
        <v>14</v>
      </c>
      <c r="D7217" s="5" t="s">
        <v>4601</v>
      </c>
      <c r="E7217" s="43">
        <v>190</v>
      </c>
      <c r="F7217" s="43"/>
      <c r="G7217" s="48">
        <f t="shared" si="180"/>
        <v>64901.01612903201</v>
      </c>
      <c r="H7217" s="391" t="s">
        <v>9568</v>
      </c>
    </row>
    <row r="7218" spans="1:8" x14ac:dyDescent="0.3">
      <c r="A7218" s="509">
        <v>45173</v>
      </c>
      <c r="B7218" s="399" t="s">
        <v>25</v>
      </c>
      <c r="C7218" s="5" t="s">
        <v>25</v>
      </c>
      <c r="D7218" s="5" t="s">
        <v>11455</v>
      </c>
      <c r="E7218" s="43">
        <v>3000</v>
      </c>
      <c r="F7218" s="43"/>
      <c r="G7218" s="48">
        <f t="shared" si="180"/>
        <v>61901.01612903201</v>
      </c>
      <c r="H7218" s="391" t="s">
        <v>9568</v>
      </c>
    </row>
    <row r="7219" spans="1:8" x14ac:dyDescent="0.3">
      <c r="A7219" s="509">
        <v>45173</v>
      </c>
      <c r="B7219" s="399"/>
      <c r="C7219" s="5" t="s">
        <v>18</v>
      </c>
      <c r="D7219" s="5" t="s">
        <v>3910</v>
      </c>
      <c r="E7219" s="43">
        <v>10000</v>
      </c>
      <c r="F7219" s="43"/>
      <c r="G7219" s="48">
        <f t="shared" si="180"/>
        <v>51901.01612903201</v>
      </c>
      <c r="H7219" s="391" t="s">
        <v>9568</v>
      </c>
    </row>
    <row r="7220" spans="1:8" x14ac:dyDescent="0.3">
      <c r="A7220" s="509">
        <v>45173</v>
      </c>
      <c r="B7220" s="399" t="s">
        <v>12089</v>
      </c>
      <c r="C7220" s="5"/>
      <c r="D7220" s="5" t="s">
        <v>12109</v>
      </c>
      <c r="E7220" s="43">
        <v>5000</v>
      </c>
      <c r="F7220" s="43"/>
      <c r="G7220" s="48">
        <f t="shared" si="180"/>
        <v>46901.01612903201</v>
      </c>
      <c r="H7220" s="391" t="s">
        <v>9568</v>
      </c>
    </row>
    <row r="7221" spans="1:8" x14ac:dyDescent="0.3">
      <c r="A7221" s="509">
        <v>45173</v>
      </c>
      <c r="B7221" s="399" t="s">
        <v>12087</v>
      </c>
      <c r="C7221" s="5"/>
      <c r="D7221" s="5" t="s">
        <v>12113</v>
      </c>
      <c r="E7221" s="43">
        <v>34000</v>
      </c>
      <c r="F7221" s="43"/>
      <c r="G7221" s="48">
        <f t="shared" si="180"/>
        <v>12901.01612903201</v>
      </c>
      <c r="H7221" s="391" t="s">
        <v>9568</v>
      </c>
    </row>
    <row r="7222" spans="1:8" x14ac:dyDescent="0.3">
      <c r="A7222" s="509">
        <v>45173</v>
      </c>
      <c r="B7222" s="399" t="s">
        <v>12090</v>
      </c>
      <c r="C7222" s="5" t="s">
        <v>5793</v>
      </c>
      <c r="D7222" s="5" t="s">
        <v>40</v>
      </c>
      <c r="E7222" s="43">
        <v>1700</v>
      </c>
      <c r="F7222" s="43"/>
      <c r="G7222" s="48">
        <f t="shared" si="180"/>
        <v>11201.01612903201</v>
      </c>
      <c r="H7222" s="391" t="s">
        <v>9568</v>
      </c>
    </row>
    <row r="7223" spans="1:8" x14ac:dyDescent="0.3">
      <c r="A7223" s="509">
        <v>45173</v>
      </c>
      <c r="B7223" s="399" t="s">
        <v>10333</v>
      </c>
      <c r="C7223" s="5" t="s">
        <v>777</v>
      </c>
      <c r="D7223" s="5" t="s">
        <v>40</v>
      </c>
      <c r="E7223" s="43">
        <v>7000</v>
      </c>
      <c r="F7223" s="43"/>
      <c r="G7223" s="48">
        <f t="shared" si="180"/>
        <v>4201.0161290320102</v>
      </c>
      <c r="H7223" s="391" t="s">
        <v>9568</v>
      </c>
    </row>
    <row r="7224" spans="1:8" x14ac:dyDescent="0.3">
      <c r="A7224" s="509">
        <v>45173</v>
      </c>
      <c r="B7224" s="586"/>
      <c r="C7224" s="486"/>
      <c r="D7224" s="497" t="s">
        <v>4106</v>
      </c>
      <c r="E7224" s="486"/>
      <c r="F7224" s="43">
        <v>150000</v>
      </c>
      <c r="G7224" s="48">
        <f t="shared" si="180"/>
        <v>154201.01612903201</v>
      </c>
      <c r="H7224" s="391" t="s">
        <v>9568</v>
      </c>
    </row>
    <row r="7225" spans="1:8" x14ac:dyDescent="0.3">
      <c r="A7225" s="509">
        <v>45173</v>
      </c>
      <c r="B7225" s="399" t="s">
        <v>12097</v>
      </c>
      <c r="C7225" s="5" t="s">
        <v>4550</v>
      </c>
      <c r="D7225" s="5" t="s">
        <v>294</v>
      </c>
      <c r="E7225" s="43">
        <v>30000</v>
      </c>
      <c r="F7225" s="43"/>
      <c r="G7225" s="48">
        <f t="shared" si="180"/>
        <v>124201.01612903201</v>
      </c>
      <c r="H7225" s="391" t="s">
        <v>9568</v>
      </c>
    </row>
    <row r="7226" spans="1:8" x14ac:dyDescent="0.3">
      <c r="A7226" s="509">
        <v>45173</v>
      </c>
      <c r="B7226" s="399"/>
      <c r="C7226" s="5" t="s">
        <v>84</v>
      </c>
      <c r="D7226" s="5" t="s">
        <v>12114</v>
      </c>
      <c r="E7226" s="43">
        <v>10000</v>
      </c>
      <c r="F7226" s="43"/>
      <c r="G7226" s="48">
        <f t="shared" si="180"/>
        <v>114201.01612903201</v>
      </c>
      <c r="H7226" s="391" t="s">
        <v>9568</v>
      </c>
    </row>
    <row r="7227" spans="1:8" x14ac:dyDescent="0.3">
      <c r="A7227" s="509">
        <v>45173</v>
      </c>
      <c r="B7227" s="399" t="s">
        <v>12090</v>
      </c>
      <c r="C7227" s="5" t="s">
        <v>6430</v>
      </c>
      <c r="D7227" s="5" t="s">
        <v>294</v>
      </c>
      <c r="E7227" s="43">
        <v>20000</v>
      </c>
      <c r="F7227" s="43"/>
      <c r="G7227" s="48">
        <f t="shared" si="180"/>
        <v>94201.01612903201</v>
      </c>
      <c r="H7227" s="391" t="s">
        <v>9568</v>
      </c>
    </row>
    <row r="7228" spans="1:8" x14ac:dyDescent="0.3">
      <c r="A7228" s="509">
        <v>45173</v>
      </c>
      <c r="B7228" s="399" t="s">
        <v>12093</v>
      </c>
      <c r="C7228" s="5" t="s">
        <v>9126</v>
      </c>
      <c r="D7228" s="5" t="s">
        <v>10820</v>
      </c>
      <c r="E7228" s="43">
        <v>50000</v>
      </c>
      <c r="F7228" s="43"/>
      <c r="G7228" s="48">
        <f t="shared" si="180"/>
        <v>44201.01612903201</v>
      </c>
      <c r="H7228" s="391" t="s">
        <v>9568</v>
      </c>
    </row>
    <row r="7229" spans="1:8" x14ac:dyDescent="0.3">
      <c r="A7229" s="509">
        <v>45173</v>
      </c>
      <c r="B7229" s="399"/>
      <c r="C7229" s="5" t="s">
        <v>54</v>
      </c>
      <c r="D7229" s="5" t="s">
        <v>12115</v>
      </c>
      <c r="E7229" s="43">
        <v>23000</v>
      </c>
      <c r="F7229" s="43"/>
      <c r="G7229" s="48">
        <f t="shared" si="180"/>
        <v>21201.01612903201</v>
      </c>
      <c r="H7229" s="391" t="s">
        <v>9568</v>
      </c>
    </row>
    <row r="7230" spans="1:8" x14ac:dyDescent="0.3">
      <c r="A7230" s="509">
        <v>45173</v>
      </c>
      <c r="B7230" s="399" t="s">
        <v>12089</v>
      </c>
      <c r="C7230" s="5" t="s">
        <v>5162</v>
      </c>
      <c r="D7230" s="5" t="s">
        <v>5813</v>
      </c>
      <c r="E7230" s="43">
        <v>2000</v>
      </c>
      <c r="F7230" s="43"/>
      <c r="G7230" s="48">
        <f t="shared" si="180"/>
        <v>19201.01612903201</v>
      </c>
      <c r="H7230" s="391" t="s">
        <v>9568</v>
      </c>
    </row>
    <row r="7231" spans="1:8" x14ac:dyDescent="0.3">
      <c r="A7231" s="509">
        <v>45174</v>
      </c>
      <c r="B7231" s="399" t="s">
        <v>12089</v>
      </c>
      <c r="C7231" s="5" t="s">
        <v>5793</v>
      </c>
      <c r="D7231" s="5" t="s">
        <v>40</v>
      </c>
      <c r="E7231" s="43">
        <v>600</v>
      </c>
      <c r="F7231" s="43"/>
      <c r="G7231" s="48">
        <f t="shared" si="180"/>
        <v>18601.01612903201</v>
      </c>
      <c r="H7231" s="391" t="s">
        <v>9568</v>
      </c>
    </row>
    <row r="7232" spans="1:8" x14ac:dyDescent="0.3">
      <c r="A7232" s="509">
        <v>45174</v>
      </c>
      <c r="B7232" s="399" t="s">
        <v>10333</v>
      </c>
      <c r="C7232" s="5" t="s">
        <v>5793</v>
      </c>
      <c r="D7232" s="5" t="s">
        <v>12116</v>
      </c>
      <c r="E7232" s="43">
        <v>2300</v>
      </c>
      <c r="F7232" s="43"/>
      <c r="G7232" s="48">
        <f t="shared" si="180"/>
        <v>16301.01612903201</v>
      </c>
      <c r="H7232" s="391" t="s">
        <v>9568</v>
      </c>
    </row>
    <row r="7233" spans="1:8" x14ac:dyDescent="0.3">
      <c r="A7233" s="509">
        <v>45174</v>
      </c>
      <c r="B7233" s="399" t="s">
        <v>10333</v>
      </c>
      <c r="C7233" s="5" t="s">
        <v>777</v>
      </c>
      <c r="D7233" s="5" t="s">
        <v>294</v>
      </c>
      <c r="E7233" s="43">
        <v>11500</v>
      </c>
      <c r="F7233" s="43"/>
      <c r="G7233" s="48">
        <f t="shared" si="180"/>
        <v>4801.0161290320102</v>
      </c>
      <c r="H7233" s="391" t="s">
        <v>9568</v>
      </c>
    </row>
    <row r="7234" spans="1:8" x14ac:dyDescent="0.3">
      <c r="A7234" s="509">
        <v>45174</v>
      </c>
      <c r="B7234" s="586"/>
      <c r="C7234" s="486"/>
      <c r="D7234" s="497" t="s">
        <v>4364</v>
      </c>
      <c r="E7234" s="486"/>
      <c r="F7234" s="43">
        <v>100000</v>
      </c>
      <c r="G7234" s="48">
        <f t="shared" si="180"/>
        <v>104801.01612903201</v>
      </c>
      <c r="H7234" s="391" t="s">
        <v>9568</v>
      </c>
    </row>
    <row r="7235" spans="1:8" x14ac:dyDescent="0.3">
      <c r="A7235" s="509">
        <v>45174</v>
      </c>
      <c r="B7235" s="399" t="s">
        <v>12088</v>
      </c>
      <c r="C7235" s="5" t="s">
        <v>9756</v>
      </c>
      <c r="D7235" s="5" t="s">
        <v>4342</v>
      </c>
      <c r="E7235" s="43">
        <v>62965</v>
      </c>
      <c r="F7235" s="43"/>
      <c r="G7235" s="48">
        <f t="shared" si="180"/>
        <v>41836.01612903201</v>
      </c>
      <c r="H7235" s="391" t="s">
        <v>9568</v>
      </c>
    </row>
    <row r="7236" spans="1:8" x14ac:dyDescent="0.3">
      <c r="A7236" s="509">
        <v>45174</v>
      </c>
      <c r="B7236" s="399" t="s">
        <v>12091</v>
      </c>
      <c r="C7236" s="5" t="s">
        <v>9756</v>
      </c>
      <c r="D7236" s="5" t="s">
        <v>4342</v>
      </c>
      <c r="E7236" s="43">
        <v>2800</v>
      </c>
      <c r="F7236" s="43"/>
      <c r="G7236" s="48">
        <f t="shared" si="180"/>
        <v>39036.01612903201</v>
      </c>
      <c r="H7236" s="391" t="s">
        <v>9568</v>
      </c>
    </row>
    <row r="7237" spans="1:8" x14ac:dyDescent="0.3">
      <c r="A7237" s="509">
        <v>45174</v>
      </c>
      <c r="B7237" s="399" t="s">
        <v>12087</v>
      </c>
      <c r="C7237" s="5" t="s">
        <v>9756</v>
      </c>
      <c r="D7237" s="5" t="s">
        <v>12120</v>
      </c>
      <c r="E7237" s="43">
        <v>2950</v>
      </c>
      <c r="F7237" s="43"/>
      <c r="G7237" s="48">
        <f t="shared" si="180"/>
        <v>36086.01612903201</v>
      </c>
      <c r="H7237" s="391" t="s">
        <v>9568</v>
      </c>
    </row>
    <row r="7238" spans="1:8" x14ac:dyDescent="0.3">
      <c r="A7238" s="509">
        <v>45174</v>
      </c>
      <c r="B7238" s="399" t="s">
        <v>12088</v>
      </c>
      <c r="C7238" s="5" t="s">
        <v>9756</v>
      </c>
      <c r="D7238" s="5" t="s">
        <v>12121</v>
      </c>
      <c r="E7238" s="43">
        <v>16500</v>
      </c>
      <c r="F7238" s="43"/>
      <c r="G7238" s="48">
        <f t="shared" si="180"/>
        <v>19586.01612903201</v>
      </c>
      <c r="H7238" s="391" t="s">
        <v>9568</v>
      </c>
    </row>
    <row r="7239" spans="1:8" x14ac:dyDescent="0.3">
      <c r="A7239" s="509">
        <v>45174</v>
      </c>
      <c r="B7239" s="399" t="s">
        <v>12088</v>
      </c>
      <c r="C7239" s="5" t="s">
        <v>5793</v>
      </c>
      <c r="D7239" s="5" t="s">
        <v>40</v>
      </c>
      <c r="E7239" s="43">
        <v>700</v>
      </c>
      <c r="F7239" s="43"/>
      <c r="G7239" s="48">
        <f t="shared" si="180"/>
        <v>18886.01612903201</v>
      </c>
      <c r="H7239" s="391" t="s">
        <v>9568</v>
      </c>
    </row>
    <row r="7240" spans="1:8" x14ac:dyDescent="0.3">
      <c r="A7240" s="509">
        <v>45174</v>
      </c>
      <c r="B7240" s="399" t="s">
        <v>12088</v>
      </c>
      <c r="C7240" s="5" t="s">
        <v>30</v>
      </c>
      <c r="D7240" s="5" t="s">
        <v>10651</v>
      </c>
      <c r="E7240" s="43">
        <v>1330</v>
      </c>
      <c r="F7240" s="43"/>
      <c r="G7240" s="48">
        <f t="shared" si="180"/>
        <v>17556.01612903201</v>
      </c>
      <c r="H7240" s="391" t="s">
        <v>9568</v>
      </c>
    </row>
    <row r="7241" spans="1:8" x14ac:dyDescent="0.3">
      <c r="A7241" s="509">
        <v>45174</v>
      </c>
      <c r="B7241" s="399" t="s">
        <v>25</v>
      </c>
      <c r="C7241" s="5" t="s">
        <v>25</v>
      </c>
      <c r="D7241" s="5" t="s">
        <v>11455</v>
      </c>
      <c r="E7241" s="43">
        <v>3500</v>
      </c>
      <c r="F7241" s="43"/>
      <c r="G7241" s="48">
        <f t="shared" si="180"/>
        <v>14056.01612903201</v>
      </c>
      <c r="H7241" s="391" t="s">
        <v>9568</v>
      </c>
    </row>
    <row r="7242" spans="1:8" x14ac:dyDescent="0.3">
      <c r="A7242" s="509">
        <v>45175</v>
      </c>
      <c r="B7242" s="586"/>
      <c r="C7242" s="486"/>
      <c r="D7242" s="497" t="s">
        <v>4364</v>
      </c>
      <c r="E7242" s="486"/>
      <c r="F7242" s="43">
        <v>1300000</v>
      </c>
      <c r="G7242" s="48">
        <f t="shared" si="180"/>
        <v>1314056.016129032</v>
      </c>
      <c r="H7242" s="391" t="s">
        <v>9568</v>
      </c>
    </row>
    <row r="7243" spans="1:8" x14ac:dyDescent="0.3">
      <c r="A7243" s="509">
        <v>45175</v>
      </c>
      <c r="B7243" s="409"/>
      <c r="C7243" s="61" t="s">
        <v>54</v>
      </c>
      <c r="D7243" s="61" t="s">
        <v>12135</v>
      </c>
      <c r="E7243" s="62">
        <v>47120</v>
      </c>
      <c r="F7243" s="43"/>
      <c r="G7243" s="48">
        <f t="shared" si="180"/>
        <v>1266936.016129032</v>
      </c>
      <c r="H7243" s="391" t="s">
        <v>9568</v>
      </c>
    </row>
    <row r="7244" spans="1:8" x14ac:dyDescent="0.3">
      <c r="A7244" s="509">
        <v>45175</v>
      </c>
      <c r="B7244" s="399" t="s">
        <v>12090</v>
      </c>
      <c r="C7244" s="5" t="s">
        <v>6430</v>
      </c>
      <c r="D7244" s="5" t="s">
        <v>294</v>
      </c>
      <c r="E7244" s="43">
        <v>20000</v>
      </c>
      <c r="F7244" s="43"/>
      <c r="G7244" s="48">
        <f t="shared" si="180"/>
        <v>1246936.016129032</v>
      </c>
      <c r="H7244" s="391" t="s">
        <v>9568</v>
      </c>
    </row>
    <row r="7245" spans="1:8" x14ac:dyDescent="0.3">
      <c r="A7245" s="509">
        <v>45175</v>
      </c>
      <c r="B7245" s="399" t="s">
        <v>12191</v>
      </c>
      <c r="C7245" s="5" t="s">
        <v>5979</v>
      </c>
      <c r="D7245" s="5" t="s">
        <v>438</v>
      </c>
      <c r="E7245" s="43">
        <v>25000</v>
      </c>
      <c r="F7245" s="43"/>
      <c r="G7245" s="48">
        <f t="shared" ref="G7245:G7308" si="181">G7244+F7245-E7245</f>
        <v>1221936.016129032</v>
      </c>
      <c r="H7245" s="391" t="s">
        <v>9568</v>
      </c>
    </row>
    <row r="7246" spans="1:8" x14ac:dyDescent="0.3">
      <c r="A7246" s="509">
        <v>45175</v>
      </c>
      <c r="B7246" s="577" t="s">
        <v>12089</v>
      </c>
      <c r="C7246" s="5" t="s">
        <v>12127</v>
      </c>
      <c r="D7246" s="5" t="s">
        <v>438</v>
      </c>
      <c r="E7246" s="43">
        <v>25000</v>
      </c>
      <c r="F7246" s="43"/>
      <c r="G7246" s="48">
        <f t="shared" si="181"/>
        <v>1196936.016129032</v>
      </c>
      <c r="H7246" s="391" t="s">
        <v>9568</v>
      </c>
    </row>
    <row r="7247" spans="1:8" x14ac:dyDescent="0.3">
      <c r="A7247" s="509">
        <v>45175</v>
      </c>
      <c r="B7247" s="577" t="s">
        <v>12089</v>
      </c>
      <c r="C7247" s="5" t="s">
        <v>12128</v>
      </c>
      <c r="D7247" s="5" t="s">
        <v>12129</v>
      </c>
      <c r="E7247" s="43">
        <v>100000</v>
      </c>
      <c r="F7247" s="43"/>
      <c r="G7247" s="48">
        <f t="shared" si="181"/>
        <v>1096936.016129032</v>
      </c>
      <c r="H7247" s="391" t="s">
        <v>9568</v>
      </c>
    </row>
    <row r="7248" spans="1:8" x14ac:dyDescent="0.3">
      <c r="A7248" s="509">
        <v>45175</v>
      </c>
      <c r="B7248" s="399"/>
      <c r="C7248" s="5" t="s">
        <v>14</v>
      </c>
      <c r="D7248" s="5" t="s">
        <v>5425</v>
      </c>
      <c r="E7248" s="43">
        <v>58129</v>
      </c>
      <c r="F7248" s="43"/>
      <c r="G7248" s="48">
        <f t="shared" si="181"/>
        <v>1038807.016129032</v>
      </c>
      <c r="H7248" s="391" t="s">
        <v>9568</v>
      </c>
    </row>
    <row r="7249" spans="1:8" x14ac:dyDescent="0.3">
      <c r="A7249" s="509">
        <v>45175</v>
      </c>
      <c r="B7249" s="345" t="s">
        <v>12096</v>
      </c>
      <c r="C7249" s="5" t="s">
        <v>5134</v>
      </c>
      <c r="D7249" s="5" t="s">
        <v>12130</v>
      </c>
      <c r="E7249" s="43">
        <v>28950</v>
      </c>
      <c r="F7249" s="43"/>
      <c r="G7249" s="48">
        <f t="shared" si="181"/>
        <v>1009857.016129032</v>
      </c>
      <c r="H7249" s="391" t="s">
        <v>9568</v>
      </c>
    </row>
    <row r="7250" spans="1:8" x14ac:dyDescent="0.3">
      <c r="A7250" s="509">
        <v>45175</v>
      </c>
      <c r="B7250" s="409"/>
      <c r="C7250" s="61" t="s">
        <v>54</v>
      </c>
      <c r="D7250" s="61" t="s">
        <v>12145</v>
      </c>
      <c r="E7250" s="62">
        <f>38000+42100+44950+44000+60000</f>
        <v>229050</v>
      </c>
      <c r="F7250" s="43"/>
      <c r="G7250" s="48">
        <f t="shared" si="181"/>
        <v>780807.01612903201</v>
      </c>
      <c r="H7250" s="391" t="s">
        <v>9568</v>
      </c>
    </row>
    <row r="7251" spans="1:8" x14ac:dyDescent="0.3">
      <c r="A7251" s="509">
        <v>45175</v>
      </c>
      <c r="B7251" s="578" t="s">
        <v>12098</v>
      </c>
      <c r="C7251" s="61" t="s">
        <v>54</v>
      </c>
      <c r="D7251" s="61" t="s">
        <v>12134</v>
      </c>
      <c r="E7251" s="62">
        <f>129794+20000</f>
        <v>149794</v>
      </c>
      <c r="F7251" s="43"/>
      <c r="G7251" s="48">
        <f t="shared" si="181"/>
        <v>631013.01612903201</v>
      </c>
      <c r="H7251" s="391" t="s">
        <v>9568</v>
      </c>
    </row>
    <row r="7252" spans="1:8" x14ac:dyDescent="0.3">
      <c r="A7252" s="509">
        <v>45175</v>
      </c>
      <c r="B7252" s="578" t="s">
        <v>12132</v>
      </c>
      <c r="C7252" s="61" t="s">
        <v>54</v>
      </c>
      <c r="D7252" s="61" t="s">
        <v>8636</v>
      </c>
      <c r="E7252" s="62">
        <v>130524.19354838709</v>
      </c>
      <c r="F7252" s="43"/>
      <c r="G7252" s="48">
        <f t="shared" si="181"/>
        <v>500488.82258064492</v>
      </c>
      <c r="H7252" s="391" t="s">
        <v>9568</v>
      </c>
    </row>
    <row r="7253" spans="1:8" x14ac:dyDescent="0.3">
      <c r="A7253" s="509">
        <v>45175</v>
      </c>
      <c r="B7253" s="399" t="s">
        <v>10333</v>
      </c>
      <c r="C7253" s="5" t="s">
        <v>5793</v>
      </c>
      <c r="D7253" s="5" t="s">
        <v>40</v>
      </c>
      <c r="E7253" s="43">
        <v>1600</v>
      </c>
      <c r="F7253" s="43"/>
      <c r="G7253" s="48">
        <f t="shared" si="181"/>
        <v>498888.82258064492</v>
      </c>
      <c r="H7253" s="391" t="s">
        <v>9568</v>
      </c>
    </row>
    <row r="7254" spans="1:8" x14ac:dyDescent="0.3">
      <c r="A7254" s="509">
        <v>45175</v>
      </c>
      <c r="B7254" s="577" t="s">
        <v>12132</v>
      </c>
      <c r="C7254" s="5" t="s">
        <v>26</v>
      </c>
      <c r="D7254" s="5" t="s">
        <v>11372</v>
      </c>
      <c r="E7254" s="43">
        <v>3000</v>
      </c>
      <c r="F7254" s="43"/>
      <c r="G7254" s="48">
        <f t="shared" si="181"/>
        <v>495888.82258064492</v>
      </c>
      <c r="H7254" s="391" t="s">
        <v>9568</v>
      </c>
    </row>
    <row r="7255" spans="1:8" x14ac:dyDescent="0.3">
      <c r="A7255" s="509">
        <v>45175</v>
      </c>
      <c r="B7255" s="577" t="s">
        <v>12132</v>
      </c>
      <c r="C7255" s="5" t="s">
        <v>30</v>
      </c>
      <c r="D7255" s="5" t="s">
        <v>12133</v>
      </c>
      <c r="E7255" s="43">
        <v>500</v>
      </c>
      <c r="F7255" s="43"/>
      <c r="G7255" s="48">
        <f t="shared" si="181"/>
        <v>495388.82258064492</v>
      </c>
      <c r="H7255" s="391" t="s">
        <v>9568</v>
      </c>
    </row>
    <row r="7256" spans="1:8" x14ac:dyDescent="0.3">
      <c r="A7256" s="509">
        <v>45175</v>
      </c>
      <c r="B7256" s="577" t="s">
        <v>12132</v>
      </c>
      <c r="C7256" s="5"/>
      <c r="D7256" s="5" t="s">
        <v>12141</v>
      </c>
      <c r="E7256" s="43">
        <v>1200</v>
      </c>
      <c r="F7256" s="43"/>
      <c r="G7256" s="48">
        <f t="shared" si="181"/>
        <v>494188.82258064492</v>
      </c>
      <c r="H7256" s="391" t="s">
        <v>9568</v>
      </c>
    </row>
    <row r="7257" spans="1:8" x14ac:dyDescent="0.3">
      <c r="A7257" s="509">
        <v>45175</v>
      </c>
      <c r="B7257" s="399" t="s">
        <v>10333</v>
      </c>
      <c r="C7257" s="5" t="s">
        <v>5793</v>
      </c>
      <c r="D7257" s="5" t="s">
        <v>40</v>
      </c>
      <c r="E7257" s="43">
        <v>3300</v>
      </c>
      <c r="F7257" s="43"/>
      <c r="G7257" s="48">
        <f t="shared" si="181"/>
        <v>490888.82258064492</v>
      </c>
      <c r="H7257" s="391" t="s">
        <v>9568</v>
      </c>
    </row>
    <row r="7258" spans="1:8" x14ac:dyDescent="0.3">
      <c r="A7258" s="509">
        <v>45175</v>
      </c>
      <c r="B7258" s="578" t="s">
        <v>12097</v>
      </c>
      <c r="C7258" s="61" t="s">
        <v>54</v>
      </c>
      <c r="D7258" s="61" t="s">
        <v>12136</v>
      </c>
      <c r="E7258" s="62">
        <f>19350+31450+56935</f>
        <v>107735</v>
      </c>
      <c r="F7258" s="43"/>
      <c r="G7258" s="48">
        <f t="shared" si="181"/>
        <v>383153.82258064492</v>
      </c>
      <c r="H7258" s="391" t="s">
        <v>9568</v>
      </c>
    </row>
    <row r="7259" spans="1:8" x14ac:dyDescent="0.3">
      <c r="A7259" s="509">
        <v>45175</v>
      </c>
      <c r="B7259" s="399"/>
      <c r="C7259" s="5" t="s">
        <v>14</v>
      </c>
      <c r="D7259" s="5" t="s">
        <v>12137</v>
      </c>
      <c r="E7259" s="43">
        <v>5000</v>
      </c>
      <c r="F7259" s="43"/>
      <c r="G7259" s="48">
        <f t="shared" si="181"/>
        <v>378153.82258064492</v>
      </c>
      <c r="H7259" s="391" t="s">
        <v>9568</v>
      </c>
    </row>
    <row r="7260" spans="1:8" x14ac:dyDescent="0.3">
      <c r="A7260" s="509">
        <v>45175</v>
      </c>
      <c r="B7260" s="409" t="s">
        <v>12138</v>
      </c>
      <c r="C7260" s="61" t="s">
        <v>54</v>
      </c>
      <c r="D7260" s="61" t="s">
        <v>12139</v>
      </c>
      <c r="E7260" s="62">
        <v>88065</v>
      </c>
      <c r="F7260" s="43"/>
      <c r="G7260" s="48">
        <f t="shared" si="181"/>
        <v>290088.82258064492</v>
      </c>
      <c r="H7260" s="391" t="s">
        <v>9568</v>
      </c>
    </row>
    <row r="7261" spans="1:8" x14ac:dyDescent="0.3">
      <c r="A7261" s="509">
        <v>45175</v>
      </c>
      <c r="B7261" s="409" t="s">
        <v>11772</v>
      </c>
      <c r="C7261" s="61" t="s">
        <v>54</v>
      </c>
      <c r="D7261" s="61" t="s">
        <v>9864</v>
      </c>
      <c r="E7261" s="62">
        <v>65000</v>
      </c>
      <c r="F7261" s="43"/>
      <c r="G7261" s="48">
        <f t="shared" si="181"/>
        <v>225088.82258064492</v>
      </c>
      <c r="H7261" s="391" t="s">
        <v>9568</v>
      </c>
    </row>
    <row r="7262" spans="1:8" x14ac:dyDescent="0.3">
      <c r="A7262" s="509">
        <v>45175</v>
      </c>
      <c r="B7262" s="578" t="s">
        <v>12131</v>
      </c>
      <c r="C7262" s="61" t="s">
        <v>54</v>
      </c>
      <c r="D7262" s="61" t="s">
        <v>12140</v>
      </c>
      <c r="E7262" s="62">
        <v>126000</v>
      </c>
      <c r="F7262" s="43"/>
      <c r="G7262" s="48">
        <f t="shared" si="181"/>
        <v>99088.822580644919</v>
      </c>
      <c r="H7262" s="391" t="s">
        <v>9568</v>
      </c>
    </row>
    <row r="7263" spans="1:8" x14ac:dyDescent="0.3">
      <c r="A7263" s="509">
        <v>45175</v>
      </c>
      <c r="B7263" s="399" t="s">
        <v>12090</v>
      </c>
      <c r="C7263" s="5" t="s">
        <v>30</v>
      </c>
      <c r="D7263" s="5" t="s">
        <v>12010</v>
      </c>
      <c r="E7263" s="43">
        <v>500</v>
      </c>
      <c r="F7263" s="43"/>
      <c r="G7263" s="48">
        <f t="shared" si="181"/>
        <v>98588.822580644919</v>
      </c>
      <c r="H7263" s="391" t="s">
        <v>9568</v>
      </c>
    </row>
    <row r="7264" spans="1:8" x14ac:dyDescent="0.3">
      <c r="A7264" s="509">
        <v>45175</v>
      </c>
      <c r="B7264" s="577" t="s">
        <v>25</v>
      </c>
      <c r="C7264" s="5"/>
      <c r="D7264" s="5" t="s">
        <v>6543</v>
      </c>
      <c r="E7264" s="43">
        <v>2500</v>
      </c>
      <c r="F7264" s="43"/>
      <c r="G7264" s="48">
        <f t="shared" si="181"/>
        <v>96088.822580644919</v>
      </c>
      <c r="H7264" s="391" t="s">
        <v>9568</v>
      </c>
    </row>
    <row r="7265" spans="1:9" x14ac:dyDescent="0.3">
      <c r="A7265" s="509">
        <v>45175</v>
      </c>
      <c r="B7265" s="577" t="s">
        <v>12131</v>
      </c>
      <c r="C7265" s="5"/>
      <c r="D7265" s="5" t="s">
        <v>11583</v>
      </c>
      <c r="E7265" s="43">
        <v>300</v>
      </c>
      <c r="F7265" s="43"/>
      <c r="G7265" s="48">
        <f t="shared" si="181"/>
        <v>95788.822580644919</v>
      </c>
      <c r="H7265" s="391" t="s">
        <v>9568</v>
      </c>
    </row>
    <row r="7266" spans="1:9" x14ac:dyDescent="0.3">
      <c r="A7266" s="509">
        <v>45175</v>
      </c>
      <c r="B7266" s="399" t="s">
        <v>12092</v>
      </c>
      <c r="C7266" s="5" t="s">
        <v>5793</v>
      </c>
      <c r="D7266" s="5" t="s">
        <v>40</v>
      </c>
      <c r="E7266" s="43">
        <v>500</v>
      </c>
      <c r="F7266" s="43"/>
      <c r="G7266" s="48">
        <f t="shared" si="181"/>
        <v>95288.822580644919</v>
      </c>
      <c r="H7266" s="391" t="s">
        <v>9568</v>
      </c>
    </row>
    <row r="7267" spans="1:9" x14ac:dyDescent="0.3">
      <c r="A7267" s="509">
        <v>45176</v>
      </c>
      <c r="B7267" s="399" t="s">
        <v>12089</v>
      </c>
      <c r="C7267" s="61" t="s">
        <v>54</v>
      </c>
      <c r="D7267" s="61" t="s">
        <v>12144</v>
      </c>
      <c r="E7267" s="62">
        <v>46150</v>
      </c>
      <c r="F7267" s="43"/>
      <c r="G7267" s="48">
        <f t="shared" si="181"/>
        <v>49138.822580644919</v>
      </c>
      <c r="H7267" s="391" t="s">
        <v>9568</v>
      </c>
    </row>
    <row r="7268" spans="1:9" x14ac:dyDescent="0.3">
      <c r="A7268" s="509">
        <v>45176</v>
      </c>
      <c r="B7268" s="345" t="s">
        <v>12095</v>
      </c>
      <c r="C7268" s="5" t="s">
        <v>9452</v>
      </c>
      <c r="D7268" s="5" t="s">
        <v>40</v>
      </c>
      <c r="E7268" s="43">
        <v>6000</v>
      </c>
      <c r="F7268" s="43"/>
      <c r="G7268" s="48">
        <f t="shared" si="181"/>
        <v>43138.822580644919</v>
      </c>
      <c r="H7268" s="391" t="s">
        <v>9568</v>
      </c>
    </row>
    <row r="7269" spans="1:9" x14ac:dyDescent="0.3">
      <c r="A7269" s="509">
        <v>45176</v>
      </c>
      <c r="B7269" s="399"/>
      <c r="C7269" s="5" t="s">
        <v>10788</v>
      </c>
      <c r="D7269" s="5" t="s">
        <v>40</v>
      </c>
      <c r="E7269" s="43">
        <v>20000</v>
      </c>
      <c r="F7269" s="43"/>
      <c r="G7269" s="48">
        <f t="shared" si="181"/>
        <v>23138.822580644919</v>
      </c>
      <c r="H7269" s="391" t="s">
        <v>9568</v>
      </c>
    </row>
    <row r="7270" spans="1:9" x14ac:dyDescent="0.3">
      <c r="A7270" s="509">
        <v>45176</v>
      </c>
      <c r="B7270" s="586"/>
      <c r="C7270" s="486"/>
      <c r="D7270" s="497" t="s">
        <v>4106</v>
      </c>
      <c r="E7270" s="486"/>
      <c r="F7270" s="43">
        <v>180000</v>
      </c>
      <c r="G7270" s="48">
        <f t="shared" si="181"/>
        <v>203138.82258064492</v>
      </c>
      <c r="H7270" s="391" t="s">
        <v>9568</v>
      </c>
    </row>
    <row r="7271" spans="1:9" x14ac:dyDescent="0.3">
      <c r="A7271" s="509">
        <v>45176</v>
      </c>
      <c r="B7271" s="399" t="s">
        <v>12191</v>
      </c>
      <c r="C7271" s="61" t="s">
        <v>54</v>
      </c>
      <c r="D7271" s="61" t="s">
        <v>12146</v>
      </c>
      <c r="E7271" s="62">
        <f>18180+5860</f>
        <v>24040</v>
      </c>
      <c r="F7271" s="43"/>
      <c r="G7271" s="48">
        <f t="shared" si="181"/>
        <v>179098.82258064492</v>
      </c>
      <c r="H7271" s="391" t="s">
        <v>9568</v>
      </c>
      <c r="I7271" s="549"/>
    </row>
    <row r="7272" spans="1:9" x14ac:dyDescent="0.3">
      <c r="A7272" s="509">
        <v>45176</v>
      </c>
      <c r="B7272" s="579"/>
      <c r="C7272" s="61" t="s">
        <v>54</v>
      </c>
      <c r="D7272" s="61" t="s">
        <v>12147</v>
      </c>
      <c r="E7272" s="62">
        <f>14530+55450+37000</f>
        <v>106980</v>
      </c>
      <c r="F7272" s="43"/>
      <c r="G7272" s="48">
        <f t="shared" si="181"/>
        <v>72118.822580644919</v>
      </c>
      <c r="H7272" s="391" t="s">
        <v>9568</v>
      </c>
    </row>
    <row r="7273" spans="1:9" x14ac:dyDescent="0.3">
      <c r="A7273" s="509">
        <v>45177</v>
      </c>
      <c r="B7273" s="399"/>
      <c r="C7273" s="5" t="s">
        <v>84</v>
      </c>
      <c r="D7273" s="5" t="s">
        <v>12148</v>
      </c>
      <c r="E7273" s="43">
        <v>3000</v>
      </c>
      <c r="F7273" s="43"/>
      <c r="G7273" s="48">
        <f t="shared" si="181"/>
        <v>69118.822580644919</v>
      </c>
      <c r="H7273" s="391" t="s">
        <v>9568</v>
      </c>
    </row>
    <row r="7274" spans="1:9" x14ac:dyDescent="0.3">
      <c r="A7274" s="509">
        <v>45177</v>
      </c>
      <c r="B7274" s="399" t="s">
        <v>12092</v>
      </c>
      <c r="C7274" s="5" t="s">
        <v>11194</v>
      </c>
      <c r="D7274" s="5" t="s">
        <v>12041</v>
      </c>
      <c r="E7274" s="43">
        <v>1860</v>
      </c>
      <c r="F7274" s="43"/>
      <c r="G7274" s="48">
        <f t="shared" si="181"/>
        <v>67258.822580644919</v>
      </c>
      <c r="H7274" s="391" t="s">
        <v>9568</v>
      </c>
    </row>
    <row r="7275" spans="1:9" x14ac:dyDescent="0.3">
      <c r="A7275" s="509">
        <v>45177</v>
      </c>
      <c r="B7275" s="399" t="s">
        <v>12087</v>
      </c>
      <c r="C7275" s="5" t="s">
        <v>26</v>
      </c>
      <c r="D7275" s="5" t="s">
        <v>12151</v>
      </c>
      <c r="E7275" s="43">
        <v>3250</v>
      </c>
      <c r="F7275" s="43"/>
      <c r="G7275" s="48">
        <f t="shared" si="181"/>
        <v>64008.822580644919</v>
      </c>
      <c r="H7275" s="391" t="s">
        <v>9568</v>
      </c>
    </row>
    <row r="7276" spans="1:9" x14ac:dyDescent="0.3">
      <c r="A7276" s="509">
        <v>45177</v>
      </c>
      <c r="B7276" s="399" t="s">
        <v>25</v>
      </c>
      <c r="C7276" s="5" t="s">
        <v>25</v>
      </c>
      <c r="D7276" s="5" t="s">
        <v>11455</v>
      </c>
      <c r="E7276" s="43">
        <v>3500</v>
      </c>
      <c r="F7276" s="43"/>
      <c r="G7276" s="48">
        <f t="shared" si="181"/>
        <v>60508.822580644919</v>
      </c>
      <c r="H7276" s="391" t="s">
        <v>9568</v>
      </c>
    </row>
    <row r="7277" spans="1:9" x14ac:dyDescent="0.3">
      <c r="A7277" s="509">
        <v>45177</v>
      </c>
      <c r="B7277" s="399" t="s">
        <v>25</v>
      </c>
      <c r="C7277" s="5" t="s">
        <v>12154</v>
      </c>
      <c r="D7277" s="5" t="s">
        <v>11111</v>
      </c>
      <c r="E7277" s="43">
        <v>5000</v>
      </c>
      <c r="F7277" s="43"/>
      <c r="G7277" s="48">
        <f t="shared" si="181"/>
        <v>55508.822580644919</v>
      </c>
      <c r="H7277" s="391" t="s">
        <v>9568</v>
      </c>
    </row>
    <row r="7278" spans="1:9" x14ac:dyDescent="0.3">
      <c r="A7278" s="509">
        <v>45178</v>
      </c>
      <c r="B7278" s="399"/>
      <c r="C7278" s="5" t="s">
        <v>14</v>
      </c>
      <c r="D7278" s="5" t="s">
        <v>438</v>
      </c>
      <c r="E7278" s="43">
        <v>2000</v>
      </c>
      <c r="F7278" s="43"/>
      <c r="G7278" s="48">
        <f t="shared" si="181"/>
        <v>53508.822580644919</v>
      </c>
      <c r="H7278" s="391" t="s">
        <v>9568</v>
      </c>
    </row>
    <row r="7279" spans="1:9" x14ac:dyDescent="0.3">
      <c r="A7279" s="509">
        <v>45178</v>
      </c>
      <c r="B7279" s="586"/>
      <c r="C7279" s="486"/>
      <c r="D7279" s="497" t="s">
        <v>4364</v>
      </c>
      <c r="E7279" s="486"/>
      <c r="F7279" s="43">
        <v>500000</v>
      </c>
      <c r="G7279" s="48">
        <f t="shared" si="181"/>
        <v>553508.82258064486</v>
      </c>
      <c r="H7279" s="391" t="s">
        <v>9568</v>
      </c>
    </row>
    <row r="7280" spans="1:9" x14ac:dyDescent="0.3">
      <c r="A7280" s="509">
        <v>45178</v>
      </c>
      <c r="B7280" s="399" t="s">
        <v>11528</v>
      </c>
      <c r="C7280" s="5" t="s">
        <v>5793</v>
      </c>
      <c r="D7280" s="5" t="s">
        <v>40</v>
      </c>
      <c r="E7280" s="43">
        <v>1200</v>
      </c>
      <c r="F7280" s="43"/>
      <c r="G7280" s="48">
        <f t="shared" si="181"/>
        <v>552308.82258064486</v>
      </c>
      <c r="H7280" s="391" t="s">
        <v>9568</v>
      </c>
    </row>
    <row r="7281" spans="1:8" x14ac:dyDescent="0.3">
      <c r="A7281" s="509">
        <v>45178</v>
      </c>
      <c r="B7281" s="399"/>
      <c r="C7281" s="5" t="s">
        <v>4550</v>
      </c>
      <c r="D7281" s="5" t="s">
        <v>294</v>
      </c>
      <c r="E7281" s="43">
        <v>10000</v>
      </c>
      <c r="F7281" s="43"/>
      <c r="G7281" s="48">
        <f t="shared" si="181"/>
        <v>542308.82258064486</v>
      </c>
      <c r="H7281" s="391" t="s">
        <v>9568</v>
      </c>
    </row>
    <row r="7282" spans="1:8" x14ac:dyDescent="0.3">
      <c r="A7282" s="509">
        <v>45178</v>
      </c>
      <c r="B7282" s="579" t="s">
        <v>10615</v>
      </c>
      <c r="C7282" s="61" t="s">
        <v>1512</v>
      </c>
      <c r="D7282" s="61" t="s">
        <v>12156</v>
      </c>
      <c r="E7282" s="62">
        <v>292919.35483870964</v>
      </c>
      <c r="F7282" s="43"/>
      <c r="G7282" s="48">
        <f t="shared" si="181"/>
        <v>249389.46774193522</v>
      </c>
      <c r="H7282" s="391" t="s">
        <v>9568</v>
      </c>
    </row>
    <row r="7283" spans="1:8" x14ac:dyDescent="0.3">
      <c r="A7283" s="509">
        <v>45178</v>
      </c>
      <c r="B7283" s="399" t="s">
        <v>25</v>
      </c>
      <c r="C7283" s="5"/>
      <c r="D7283" s="5" t="s">
        <v>12157</v>
      </c>
      <c r="E7283" s="43">
        <v>2870</v>
      </c>
      <c r="F7283" s="43"/>
      <c r="G7283" s="48">
        <f t="shared" si="181"/>
        <v>246519.46774193522</v>
      </c>
      <c r="H7283" s="391" t="s">
        <v>9568</v>
      </c>
    </row>
    <row r="7284" spans="1:8" x14ac:dyDescent="0.3">
      <c r="A7284" s="509">
        <v>45178</v>
      </c>
      <c r="B7284" s="399" t="s">
        <v>12087</v>
      </c>
      <c r="C7284" s="5" t="s">
        <v>12158</v>
      </c>
      <c r="D7284" s="5" t="s">
        <v>11563</v>
      </c>
      <c r="E7284" s="43">
        <v>50000</v>
      </c>
      <c r="F7284" s="43"/>
      <c r="G7284" s="48">
        <f t="shared" si="181"/>
        <v>196519.46774193522</v>
      </c>
      <c r="H7284" s="391" t="s">
        <v>9568</v>
      </c>
    </row>
    <row r="7285" spans="1:8" x14ac:dyDescent="0.3">
      <c r="A7285" s="509">
        <v>45178</v>
      </c>
      <c r="B7285" s="399" t="s">
        <v>12089</v>
      </c>
      <c r="C7285" s="5" t="s">
        <v>5793</v>
      </c>
      <c r="D7285" s="5" t="s">
        <v>40</v>
      </c>
      <c r="E7285" s="43">
        <v>1200</v>
      </c>
      <c r="F7285" s="43"/>
      <c r="G7285" s="48">
        <f t="shared" si="181"/>
        <v>195319.46774193522</v>
      </c>
      <c r="H7285" s="391" t="s">
        <v>9568</v>
      </c>
    </row>
    <row r="7286" spans="1:8" x14ac:dyDescent="0.3">
      <c r="A7286" s="509">
        <v>45178</v>
      </c>
      <c r="B7286" s="399" t="s">
        <v>12087</v>
      </c>
      <c r="C7286" s="61" t="s">
        <v>1512</v>
      </c>
      <c r="D7286" s="61" t="s">
        <v>12159</v>
      </c>
      <c r="E7286" s="62">
        <v>24670</v>
      </c>
      <c r="F7286" s="43"/>
      <c r="G7286" s="48">
        <f t="shared" si="181"/>
        <v>170649.46774193522</v>
      </c>
      <c r="H7286" s="391" t="s">
        <v>9568</v>
      </c>
    </row>
    <row r="7287" spans="1:8" x14ac:dyDescent="0.3">
      <c r="A7287" s="509">
        <v>45180</v>
      </c>
      <c r="B7287" s="399"/>
      <c r="C7287" s="5"/>
      <c r="D7287" s="5" t="s">
        <v>12163</v>
      </c>
      <c r="E7287" s="43">
        <f>7240-300</f>
        <v>6940</v>
      </c>
      <c r="F7287" s="43"/>
      <c r="G7287" s="48">
        <f t="shared" si="181"/>
        <v>163709.46774193522</v>
      </c>
      <c r="H7287" s="391" t="s">
        <v>9568</v>
      </c>
    </row>
    <row r="7288" spans="1:8" x14ac:dyDescent="0.3">
      <c r="A7288" s="509">
        <v>45180</v>
      </c>
      <c r="B7288" s="399" t="s">
        <v>10615</v>
      </c>
      <c r="C7288" s="5" t="s">
        <v>6430</v>
      </c>
      <c r="D7288" s="5" t="s">
        <v>12164</v>
      </c>
      <c r="E7288" s="43">
        <v>10000</v>
      </c>
      <c r="F7288" s="43"/>
      <c r="G7288" s="48">
        <f t="shared" si="181"/>
        <v>153709.46774193522</v>
      </c>
      <c r="H7288" s="391" t="s">
        <v>9568</v>
      </c>
    </row>
    <row r="7289" spans="1:8" x14ac:dyDescent="0.3">
      <c r="A7289" s="509">
        <v>45180</v>
      </c>
      <c r="B7289" s="399" t="s">
        <v>25</v>
      </c>
      <c r="C7289" s="5" t="s">
        <v>25</v>
      </c>
      <c r="D7289" s="5" t="s">
        <v>11455</v>
      </c>
      <c r="E7289" s="43">
        <v>3500</v>
      </c>
      <c r="F7289" s="43"/>
      <c r="G7289" s="48">
        <f t="shared" si="181"/>
        <v>150209.46774193522</v>
      </c>
      <c r="H7289" s="391" t="s">
        <v>9568</v>
      </c>
    </row>
    <row r="7290" spans="1:8" x14ac:dyDescent="0.3">
      <c r="A7290" s="509">
        <v>45180</v>
      </c>
      <c r="B7290" s="579" t="s">
        <v>12090</v>
      </c>
      <c r="C7290" s="61" t="s">
        <v>1512</v>
      </c>
      <c r="D7290" s="61" t="s">
        <v>8824</v>
      </c>
      <c r="E7290" s="62">
        <v>27750</v>
      </c>
      <c r="F7290" s="43"/>
      <c r="G7290" s="48">
        <f t="shared" si="181"/>
        <v>122459.46774193522</v>
      </c>
      <c r="H7290" s="391" t="s">
        <v>9568</v>
      </c>
    </row>
    <row r="7291" spans="1:8" x14ac:dyDescent="0.3">
      <c r="A7291" s="509">
        <v>45180</v>
      </c>
      <c r="B7291" s="399" t="s">
        <v>10333</v>
      </c>
      <c r="C7291" s="5" t="s">
        <v>5793</v>
      </c>
      <c r="D7291" s="5"/>
      <c r="E7291" s="43">
        <v>4400</v>
      </c>
      <c r="F7291" s="43"/>
      <c r="G7291" s="48">
        <f t="shared" si="181"/>
        <v>118059.46774193522</v>
      </c>
      <c r="H7291" s="391" t="s">
        <v>9568</v>
      </c>
    </row>
    <row r="7292" spans="1:8" x14ac:dyDescent="0.3">
      <c r="A7292" s="509">
        <v>45180</v>
      </c>
      <c r="B7292" s="399" t="s">
        <v>12089</v>
      </c>
      <c r="C7292" s="5" t="s">
        <v>5162</v>
      </c>
      <c r="D7292" s="5" t="s">
        <v>294</v>
      </c>
      <c r="E7292" s="43">
        <v>5000</v>
      </c>
      <c r="F7292" s="43"/>
      <c r="G7292" s="48">
        <f t="shared" si="181"/>
        <v>113059.46774193522</v>
      </c>
      <c r="H7292" s="391" t="s">
        <v>9568</v>
      </c>
    </row>
    <row r="7293" spans="1:8" x14ac:dyDescent="0.3">
      <c r="A7293" s="509">
        <v>45180</v>
      </c>
      <c r="B7293" s="399" t="s">
        <v>12089</v>
      </c>
      <c r="C7293" s="5" t="s">
        <v>5288</v>
      </c>
      <c r="D7293" s="5" t="s">
        <v>4319</v>
      </c>
      <c r="E7293" s="43">
        <v>2000</v>
      </c>
      <c r="F7293" s="43"/>
      <c r="G7293" s="48">
        <f t="shared" si="181"/>
        <v>111059.46774193522</v>
      </c>
      <c r="H7293" s="391" t="s">
        <v>9568</v>
      </c>
    </row>
    <row r="7294" spans="1:8" x14ac:dyDescent="0.3">
      <c r="A7294" s="509">
        <v>45180</v>
      </c>
      <c r="B7294" s="399" t="s">
        <v>25</v>
      </c>
      <c r="C7294" s="5"/>
      <c r="D7294" s="5" t="s">
        <v>64</v>
      </c>
      <c r="E7294" s="43">
        <v>2400</v>
      </c>
      <c r="F7294" s="43"/>
      <c r="G7294" s="48">
        <f t="shared" si="181"/>
        <v>108659.46774193522</v>
      </c>
      <c r="H7294" s="391" t="s">
        <v>9568</v>
      </c>
    </row>
    <row r="7295" spans="1:8" x14ac:dyDescent="0.3">
      <c r="A7295" s="509">
        <v>45180</v>
      </c>
      <c r="B7295" s="399" t="s">
        <v>12090</v>
      </c>
      <c r="C7295" s="5" t="s">
        <v>5793</v>
      </c>
      <c r="D7295" s="5" t="s">
        <v>40</v>
      </c>
      <c r="E7295" s="43">
        <v>2900</v>
      </c>
      <c r="F7295" s="43"/>
      <c r="G7295" s="48">
        <f t="shared" si="181"/>
        <v>105759.46774193522</v>
      </c>
      <c r="H7295" s="391" t="s">
        <v>9568</v>
      </c>
    </row>
    <row r="7296" spans="1:8" x14ac:dyDescent="0.3">
      <c r="A7296" s="509">
        <v>45180</v>
      </c>
      <c r="B7296" s="399"/>
      <c r="C7296" s="5" t="s">
        <v>84</v>
      </c>
      <c r="D7296" s="5" t="s">
        <v>12168</v>
      </c>
      <c r="E7296" s="43">
        <v>5000</v>
      </c>
      <c r="F7296" s="43"/>
      <c r="G7296" s="48">
        <f t="shared" si="181"/>
        <v>100759.46774193522</v>
      </c>
      <c r="H7296" s="391" t="s">
        <v>9568</v>
      </c>
    </row>
    <row r="7297" spans="1:8" x14ac:dyDescent="0.3">
      <c r="A7297" s="509">
        <v>45180</v>
      </c>
      <c r="B7297" s="401"/>
      <c r="C7297" s="73" t="s">
        <v>9756</v>
      </c>
      <c r="D7297" s="73" t="s">
        <v>12169</v>
      </c>
      <c r="E7297" s="183">
        <v>14400</v>
      </c>
      <c r="F7297" s="43"/>
      <c r="G7297" s="48">
        <f t="shared" si="181"/>
        <v>86359.467741935223</v>
      </c>
      <c r="H7297" s="391" t="s">
        <v>9568</v>
      </c>
    </row>
    <row r="7298" spans="1:8" x14ac:dyDescent="0.3">
      <c r="A7298" s="509">
        <v>45180</v>
      </c>
      <c r="B7298" s="399" t="s">
        <v>12088</v>
      </c>
      <c r="C7298" s="5" t="s">
        <v>10709</v>
      </c>
      <c r="D7298" s="5" t="s">
        <v>12172</v>
      </c>
      <c r="E7298" s="43">
        <v>2000</v>
      </c>
      <c r="F7298" s="43"/>
      <c r="G7298" s="48">
        <f t="shared" si="181"/>
        <v>84359.467741935223</v>
      </c>
      <c r="H7298" s="391" t="s">
        <v>9568</v>
      </c>
    </row>
    <row r="7299" spans="1:8" x14ac:dyDescent="0.3">
      <c r="A7299" s="509">
        <v>45181</v>
      </c>
      <c r="B7299" s="399"/>
      <c r="C7299" s="5" t="s">
        <v>5162</v>
      </c>
      <c r="D7299" s="5" t="s">
        <v>3910</v>
      </c>
      <c r="E7299" s="43">
        <v>5000</v>
      </c>
      <c r="F7299" s="43"/>
      <c r="G7299" s="48">
        <f t="shared" si="181"/>
        <v>79359.467741935223</v>
      </c>
      <c r="H7299" s="391" t="s">
        <v>9568</v>
      </c>
    </row>
    <row r="7300" spans="1:8" x14ac:dyDescent="0.3">
      <c r="A7300" s="509">
        <v>45181</v>
      </c>
      <c r="B7300" s="399" t="s">
        <v>12088</v>
      </c>
      <c r="C7300" s="5" t="s">
        <v>5793</v>
      </c>
      <c r="D7300" s="5" t="s">
        <v>40</v>
      </c>
      <c r="E7300" s="43">
        <v>1700</v>
      </c>
      <c r="F7300" s="43"/>
      <c r="G7300" s="48">
        <f t="shared" si="181"/>
        <v>77659.467741935223</v>
      </c>
      <c r="H7300" s="391" t="s">
        <v>9568</v>
      </c>
    </row>
    <row r="7301" spans="1:8" x14ac:dyDescent="0.3">
      <c r="A7301" s="509">
        <v>45181</v>
      </c>
      <c r="B7301" s="399" t="s">
        <v>11772</v>
      </c>
      <c r="C7301" s="5" t="s">
        <v>9525</v>
      </c>
      <c r="D7301" s="5" t="s">
        <v>12173</v>
      </c>
      <c r="E7301" s="43">
        <v>1960</v>
      </c>
      <c r="F7301" s="43"/>
      <c r="G7301" s="48">
        <f t="shared" si="181"/>
        <v>75699.467741935223</v>
      </c>
      <c r="H7301" s="391" t="s">
        <v>9568</v>
      </c>
    </row>
    <row r="7302" spans="1:8" x14ac:dyDescent="0.3">
      <c r="A7302" s="509">
        <v>45181</v>
      </c>
      <c r="B7302" s="399" t="s">
        <v>10615</v>
      </c>
      <c r="C7302" s="5" t="s">
        <v>6430</v>
      </c>
      <c r="D7302" s="5" t="s">
        <v>12174</v>
      </c>
      <c r="E7302" s="43">
        <v>10000</v>
      </c>
      <c r="F7302" s="43"/>
      <c r="G7302" s="48">
        <f t="shared" si="181"/>
        <v>65699.467741935223</v>
      </c>
      <c r="H7302" s="391" t="s">
        <v>9568</v>
      </c>
    </row>
    <row r="7303" spans="1:8" x14ac:dyDescent="0.3">
      <c r="A7303" s="509">
        <v>45181</v>
      </c>
      <c r="B7303" s="399"/>
      <c r="C7303" s="5" t="s">
        <v>84</v>
      </c>
      <c r="D7303" s="5" t="s">
        <v>12175</v>
      </c>
      <c r="E7303" s="43">
        <v>3000</v>
      </c>
      <c r="F7303" s="43"/>
      <c r="G7303" s="48">
        <f t="shared" si="181"/>
        <v>62699.467741935223</v>
      </c>
      <c r="H7303" s="391" t="s">
        <v>9568</v>
      </c>
    </row>
    <row r="7304" spans="1:8" x14ac:dyDescent="0.3">
      <c r="A7304" s="509">
        <v>45181</v>
      </c>
      <c r="B7304" s="401"/>
      <c r="C7304" s="73" t="s">
        <v>9756</v>
      </c>
      <c r="D7304" s="73" t="s">
        <v>12169</v>
      </c>
      <c r="E7304" s="183">
        <v>600</v>
      </c>
      <c r="F7304" s="43"/>
      <c r="G7304" s="48">
        <f t="shared" si="181"/>
        <v>62099.467741935223</v>
      </c>
      <c r="H7304" s="391" t="s">
        <v>9568</v>
      </c>
    </row>
    <row r="7305" spans="1:8" x14ac:dyDescent="0.3">
      <c r="A7305" s="509">
        <v>45181</v>
      </c>
      <c r="B7305" s="586"/>
      <c r="C7305" s="486"/>
      <c r="D7305" s="497" t="s">
        <v>4364</v>
      </c>
      <c r="E7305" s="486"/>
      <c r="F7305" s="43">
        <v>148000</v>
      </c>
      <c r="G7305" s="48">
        <f t="shared" si="181"/>
        <v>210099.46774193522</v>
      </c>
      <c r="H7305" s="391" t="s">
        <v>9568</v>
      </c>
    </row>
    <row r="7306" spans="1:8" x14ac:dyDescent="0.3">
      <c r="A7306" s="509">
        <v>45181</v>
      </c>
      <c r="B7306" s="409" t="s">
        <v>25</v>
      </c>
      <c r="C7306" s="61" t="s">
        <v>1512</v>
      </c>
      <c r="D7306" s="61" t="s">
        <v>12188</v>
      </c>
      <c r="E7306" s="62">
        <v>65000</v>
      </c>
      <c r="F7306" s="43"/>
      <c r="G7306" s="48">
        <f t="shared" si="181"/>
        <v>145099.46774193522</v>
      </c>
      <c r="H7306" s="391" t="s">
        <v>9568</v>
      </c>
    </row>
    <row r="7307" spans="1:8" x14ac:dyDescent="0.3">
      <c r="A7307" s="509">
        <v>45182</v>
      </c>
      <c r="B7307" s="399" t="s">
        <v>12087</v>
      </c>
      <c r="C7307" s="5" t="s">
        <v>12178</v>
      </c>
      <c r="D7307" s="5" t="s">
        <v>12179</v>
      </c>
      <c r="E7307" s="43">
        <v>10000</v>
      </c>
      <c r="F7307" s="43"/>
      <c r="G7307" s="48">
        <f t="shared" si="181"/>
        <v>135099.46774193522</v>
      </c>
      <c r="H7307" s="391" t="s">
        <v>9568</v>
      </c>
    </row>
    <row r="7308" spans="1:8" x14ac:dyDescent="0.3">
      <c r="A7308" s="509">
        <v>45182</v>
      </c>
      <c r="B7308" s="399" t="s">
        <v>12090</v>
      </c>
      <c r="C7308" s="5" t="s">
        <v>5793</v>
      </c>
      <c r="D7308" s="5" t="s">
        <v>12180</v>
      </c>
      <c r="E7308" s="43">
        <v>300</v>
      </c>
      <c r="F7308" s="43"/>
      <c r="G7308" s="48">
        <f t="shared" si="181"/>
        <v>134799.46774193522</v>
      </c>
      <c r="H7308" s="391" t="s">
        <v>9568</v>
      </c>
    </row>
    <row r="7309" spans="1:8" x14ac:dyDescent="0.3">
      <c r="A7309" s="509">
        <v>45182</v>
      </c>
      <c r="B7309" s="399" t="s">
        <v>25</v>
      </c>
      <c r="C7309" s="5" t="s">
        <v>25</v>
      </c>
      <c r="D7309" s="5" t="s">
        <v>11455</v>
      </c>
      <c r="E7309" s="43">
        <v>3500</v>
      </c>
      <c r="F7309" s="43"/>
      <c r="G7309" s="48">
        <f t="shared" ref="G7309:G7376" si="182">G7308+F7309-E7309</f>
        <v>131299.46774193522</v>
      </c>
      <c r="H7309" s="391" t="s">
        <v>9568</v>
      </c>
    </row>
    <row r="7310" spans="1:8" x14ac:dyDescent="0.3">
      <c r="A7310" s="509">
        <v>45182</v>
      </c>
      <c r="B7310" s="399" t="s">
        <v>10333</v>
      </c>
      <c r="C7310" s="5" t="s">
        <v>247</v>
      </c>
      <c r="D7310" s="5" t="s">
        <v>12182</v>
      </c>
      <c r="E7310" s="43">
        <v>15800</v>
      </c>
      <c r="F7310" s="43"/>
      <c r="G7310" s="48">
        <f t="shared" si="182"/>
        <v>115499.46774193522</v>
      </c>
      <c r="H7310" s="391" t="s">
        <v>9568</v>
      </c>
    </row>
    <row r="7311" spans="1:8" x14ac:dyDescent="0.3">
      <c r="A7311" s="509">
        <v>45182</v>
      </c>
      <c r="B7311" s="345" t="s">
        <v>12094</v>
      </c>
      <c r="C7311" s="5" t="s">
        <v>11377</v>
      </c>
      <c r="D7311" s="5" t="s">
        <v>5508</v>
      </c>
      <c r="E7311" s="43">
        <v>10000</v>
      </c>
      <c r="F7311" s="43"/>
      <c r="G7311" s="48">
        <f t="shared" si="182"/>
        <v>105499.46774193522</v>
      </c>
      <c r="H7311" s="391" t="s">
        <v>9568</v>
      </c>
    </row>
    <row r="7312" spans="1:8" x14ac:dyDescent="0.3">
      <c r="A7312" s="509">
        <v>45182</v>
      </c>
      <c r="B7312" s="399" t="s">
        <v>12097</v>
      </c>
      <c r="C7312" s="5" t="s">
        <v>7648</v>
      </c>
      <c r="D7312" s="5" t="s">
        <v>12183</v>
      </c>
      <c r="E7312" s="43">
        <v>17000</v>
      </c>
      <c r="F7312" s="43"/>
      <c r="G7312" s="48">
        <f t="shared" si="182"/>
        <v>88499.467741935223</v>
      </c>
      <c r="H7312" s="391" t="s">
        <v>9568</v>
      </c>
    </row>
    <row r="7313" spans="1:14" x14ac:dyDescent="0.3">
      <c r="A7313" s="509">
        <v>45182</v>
      </c>
      <c r="B7313" s="399" t="s">
        <v>12089</v>
      </c>
      <c r="C7313" s="5" t="s">
        <v>11194</v>
      </c>
      <c r="D7313" s="5" t="s">
        <v>12184</v>
      </c>
      <c r="E7313" s="43">
        <v>3140</v>
      </c>
      <c r="F7313" s="43"/>
      <c r="G7313" s="48">
        <f t="shared" si="182"/>
        <v>85359.467741935223</v>
      </c>
      <c r="H7313" s="391" t="s">
        <v>9568</v>
      </c>
    </row>
    <row r="7314" spans="1:14" x14ac:dyDescent="0.3">
      <c r="A7314" s="509">
        <v>45182</v>
      </c>
      <c r="B7314" s="399" t="s">
        <v>12088</v>
      </c>
      <c r="C7314" s="5" t="s">
        <v>11194</v>
      </c>
      <c r="D7314" s="5" t="s">
        <v>12185</v>
      </c>
      <c r="E7314" s="43">
        <v>19870</v>
      </c>
      <c r="F7314" s="43"/>
      <c r="G7314" s="48">
        <f t="shared" si="182"/>
        <v>65489.467741935223</v>
      </c>
      <c r="H7314" s="391" t="s">
        <v>9568</v>
      </c>
    </row>
    <row r="7315" spans="1:14" x14ac:dyDescent="0.3">
      <c r="A7315" s="509">
        <v>45182</v>
      </c>
      <c r="B7315" s="399" t="s">
        <v>10333</v>
      </c>
      <c r="C7315" s="5" t="s">
        <v>5793</v>
      </c>
      <c r="D7315" s="5" t="s">
        <v>40</v>
      </c>
      <c r="E7315" s="43">
        <v>1500</v>
      </c>
      <c r="F7315" s="43"/>
      <c r="G7315" s="48">
        <f t="shared" si="182"/>
        <v>63989.467741935223</v>
      </c>
      <c r="H7315" s="391" t="s">
        <v>9568</v>
      </c>
    </row>
    <row r="7316" spans="1:14" x14ac:dyDescent="0.3">
      <c r="A7316" s="509">
        <v>45182</v>
      </c>
      <c r="B7316" s="399" t="s">
        <v>12089</v>
      </c>
      <c r="C7316" s="5" t="s">
        <v>5793</v>
      </c>
      <c r="D7316" s="5" t="s">
        <v>40</v>
      </c>
      <c r="E7316" s="43">
        <v>1700</v>
      </c>
      <c r="F7316" s="43"/>
      <c r="G7316" s="48">
        <f t="shared" si="182"/>
        <v>62289.467741935223</v>
      </c>
      <c r="H7316" s="391" t="s">
        <v>9568</v>
      </c>
    </row>
    <row r="7317" spans="1:14" x14ac:dyDescent="0.3">
      <c r="A7317" s="509">
        <v>45182</v>
      </c>
      <c r="B7317" s="399" t="s">
        <v>12190</v>
      </c>
      <c r="C7317" s="5" t="s">
        <v>1616</v>
      </c>
      <c r="D7317" s="5" t="s">
        <v>12186</v>
      </c>
      <c r="E7317" s="43">
        <f>1500+800</f>
        <v>2300</v>
      </c>
      <c r="F7317" s="43"/>
      <c r="G7317" s="48">
        <f t="shared" si="182"/>
        <v>59989.467741935223</v>
      </c>
      <c r="H7317" s="391" t="s">
        <v>9568</v>
      </c>
    </row>
    <row r="7318" spans="1:14" x14ac:dyDescent="0.3">
      <c r="A7318" s="509">
        <v>45182</v>
      </c>
      <c r="B7318" s="399"/>
      <c r="C7318" s="5" t="s">
        <v>14</v>
      </c>
      <c r="D7318" s="5" t="s">
        <v>294</v>
      </c>
      <c r="E7318" s="43">
        <v>3000</v>
      </c>
      <c r="F7318" s="43"/>
      <c r="G7318" s="48">
        <f t="shared" si="182"/>
        <v>56989.467741935223</v>
      </c>
      <c r="H7318" s="391" t="s">
        <v>9568</v>
      </c>
    </row>
    <row r="7319" spans="1:14" x14ac:dyDescent="0.3">
      <c r="A7319" s="509">
        <v>45182</v>
      </c>
      <c r="B7319" s="399"/>
      <c r="C7319" s="5" t="s">
        <v>4550</v>
      </c>
      <c r="D7319" s="5" t="s">
        <v>4187</v>
      </c>
      <c r="E7319" s="43">
        <v>25000</v>
      </c>
      <c r="F7319" s="43"/>
      <c r="G7319" s="48">
        <f t="shared" si="182"/>
        <v>31989.467741935223</v>
      </c>
      <c r="H7319" s="391" t="s">
        <v>9568</v>
      </c>
    </row>
    <row r="7320" spans="1:14" x14ac:dyDescent="0.3">
      <c r="A7320" s="509">
        <v>45182</v>
      </c>
      <c r="B7320" s="399" t="s">
        <v>12090</v>
      </c>
      <c r="C7320" s="5" t="s">
        <v>5793</v>
      </c>
      <c r="D7320" s="5" t="s">
        <v>12187</v>
      </c>
      <c r="E7320" s="43">
        <v>1800</v>
      </c>
      <c r="F7320" s="43"/>
      <c r="G7320" s="48">
        <f t="shared" si="182"/>
        <v>30189.467741935223</v>
      </c>
      <c r="H7320" s="391" t="s">
        <v>9568</v>
      </c>
    </row>
    <row r="7321" spans="1:14" x14ac:dyDescent="0.3">
      <c r="A7321" s="509">
        <v>45182</v>
      </c>
      <c r="B7321" s="399" t="s">
        <v>12088</v>
      </c>
      <c r="C7321" s="5" t="s">
        <v>30</v>
      </c>
      <c r="D7321" s="5" t="s">
        <v>10676</v>
      </c>
      <c r="E7321" s="43">
        <v>1500</v>
      </c>
      <c r="F7321" s="43"/>
      <c r="G7321" s="48">
        <f t="shared" si="182"/>
        <v>28689.467741935223</v>
      </c>
      <c r="H7321" s="391" t="s">
        <v>9568</v>
      </c>
    </row>
    <row r="7322" spans="1:14" x14ac:dyDescent="0.3">
      <c r="A7322" s="509">
        <v>45182</v>
      </c>
      <c r="B7322" s="399" t="s">
        <v>12090</v>
      </c>
      <c r="C7322" s="5" t="s">
        <v>5793</v>
      </c>
      <c r="D7322" s="5" t="s">
        <v>40</v>
      </c>
      <c r="E7322" s="43">
        <v>2700</v>
      </c>
      <c r="F7322" s="43"/>
      <c r="G7322" s="48">
        <f t="shared" si="182"/>
        <v>25989.467741935223</v>
      </c>
      <c r="H7322" s="391" t="s">
        <v>9568</v>
      </c>
    </row>
    <row r="7323" spans="1:14" x14ac:dyDescent="0.3">
      <c r="A7323" s="509">
        <v>45182</v>
      </c>
      <c r="B7323" s="399" t="s">
        <v>12138</v>
      </c>
      <c r="C7323" s="5" t="s">
        <v>12192</v>
      </c>
      <c r="D7323" s="5" t="s">
        <v>12193</v>
      </c>
      <c r="E7323" s="43">
        <v>7000</v>
      </c>
      <c r="F7323" s="43"/>
      <c r="G7323" s="48">
        <f t="shared" si="182"/>
        <v>18989.467741935223</v>
      </c>
      <c r="H7323" s="391" t="s">
        <v>9568</v>
      </c>
    </row>
    <row r="7324" spans="1:14" x14ac:dyDescent="0.3">
      <c r="A7324" s="509">
        <v>45182</v>
      </c>
      <c r="B7324" s="399" t="s">
        <v>12138</v>
      </c>
      <c r="C7324" s="5" t="s">
        <v>5793</v>
      </c>
      <c r="D7324" s="5" t="s">
        <v>12194</v>
      </c>
      <c r="E7324" s="43">
        <v>10000</v>
      </c>
      <c r="F7324" s="43"/>
      <c r="G7324" s="48">
        <f t="shared" si="182"/>
        <v>8989.4677419352229</v>
      </c>
      <c r="H7324" s="391" t="s">
        <v>9568</v>
      </c>
    </row>
    <row r="7325" spans="1:14" x14ac:dyDescent="0.3">
      <c r="A7325" s="509">
        <v>45182</v>
      </c>
      <c r="B7325" s="399" t="s">
        <v>12189</v>
      </c>
      <c r="C7325" s="5" t="s">
        <v>11194</v>
      </c>
      <c r="D7325" s="5" t="s">
        <v>12195</v>
      </c>
      <c r="E7325" s="43">
        <v>1800</v>
      </c>
      <c r="F7325" s="43"/>
      <c r="G7325" s="48">
        <f t="shared" si="182"/>
        <v>7189.4677419352229</v>
      </c>
      <c r="H7325" s="391" t="s">
        <v>9568</v>
      </c>
    </row>
    <row r="7326" spans="1:14" x14ac:dyDescent="0.3">
      <c r="A7326" s="509">
        <v>45182</v>
      </c>
      <c r="B7326" s="399" t="s">
        <v>12138</v>
      </c>
      <c r="C7326" s="5"/>
      <c r="D7326" s="5" t="s">
        <v>12212</v>
      </c>
      <c r="E7326" s="43">
        <v>4700</v>
      </c>
      <c r="F7326" s="43"/>
      <c r="G7326" s="48">
        <f t="shared" si="182"/>
        <v>2489.4677419352229</v>
      </c>
      <c r="H7326" s="391" t="s">
        <v>9568</v>
      </c>
    </row>
    <row r="7327" spans="1:14" x14ac:dyDescent="0.3">
      <c r="A7327" s="509">
        <v>45183</v>
      </c>
      <c r="B7327" s="586"/>
      <c r="C7327" s="486"/>
      <c r="D7327" s="497" t="s">
        <v>4364</v>
      </c>
      <c r="E7327" s="486"/>
      <c r="F7327" s="28">
        <v>1500000</v>
      </c>
      <c r="G7327" s="48">
        <f t="shared" si="182"/>
        <v>1502489.4677419353</v>
      </c>
      <c r="H7327" s="391" t="s">
        <v>9568</v>
      </c>
    </row>
    <row r="7328" spans="1:14" s="390" customFormat="1" x14ac:dyDescent="0.3">
      <c r="A7328" s="509">
        <v>45183</v>
      </c>
      <c r="B7328" s="589" t="s">
        <v>11772</v>
      </c>
      <c r="C7328" s="44" t="s">
        <v>12196</v>
      </c>
      <c r="D7328" s="44" t="s">
        <v>5508</v>
      </c>
      <c r="E7328" s="28">
        <v>50000</v>
      </c>
      <c r="F7328" s="28"/>
      <c r="G7328" s="48">
        <f t="shared" si="182"/>
        <v>1452489.4677419353</v>
      </c>
      <c r="H7328" s="391" t="s">
        <v>9568</v>
      </c>
      <c r="I7328" s="155"/>
      <c r="J7328" s="155"/>
      <c r="K7328" s="155"/>
      <c r="N7328" s="155"/>
    </row>
    <row r="7329" spans="1:14" s="390" customFormat="1" x14ac:dyDescent="0.3">
      <c r="A7329" s="509">
        <v>45183</v>
      </c>
      <c r="B7329" s="589" t="s">
        <v>12089</v>
      </c>
      <c r="C7329" s="44" t="s">
        <v>12196</v>
      </c>
      <c r="D7329" s="44" t="s">
        <v>5508</v>
      </c>
      <c r="E7329" s="28">
        <v>100000</v>
      </c>
      <c r="F7329" s="28"/>
      <c r="G7329" s="48">
        <f t="shared" si="182"/>
        <v>1352489.4677419353</v>
      </c>
      <c r="H7329" s="391" t="s">
        <v>9568</v>
      </c>
      <c r="I7329" s="155"/>
      <c r="J7329" s="155"/>
      <c r="K7329" s="155"/>
      <c r="N7329" s="155"/>
    </row>
    <row r="7330" spans="1:14" s="390" customFormat="1" x14ac:dyDescent="0.3">
      <c r="A7330" s="509">
        <v>45183</v>
      </c>
      <c r="B7330" s="589" t="s">
        <v>12197</v>
      </c>
      <c r="C7330" s="44" t="s">
        <v>12196</v>
      </c>
      <c r="D7330" s="44" t="s">
        <v>5508</v>
      </c>
      <c r="E7330" s="28">
        <v>50000</v>
      </c>
      <c r="F7330" s="28"/>
      <c r="G7330" s="48">
        <f t="shared" si="182"/>
        <v>1302489.4677419353</v>
      </c>
      <c r="H7330" s="391" t="s">
        <v>9568</v>
      </c>
      <c r="I7330" s="155"/>
      <c r="J7330" s="155"/>
      <c r="K7330" s="155"/>
      <c r="N7330" s="155"/>
    </row>
    <row r="7331" spans="1:14" s="390" customFormat="1" x14ac:dyDescent="0.3">
      <c r="A7331" s="509">
        <v>45183</v>
      </c>
      <c r="B7331" s="589" t="s">
        <v>12090</v>
      </c>
      <c r="C7331" s="44" t="s">
        <v>5793</v>
      </c>
      <c r="D7331" s="44" t="s">
        <v>12219</v>
      </c>
      <c r="E7331" s="28">
        <v>1000</v>
      </c>
      <c r="F7331" s="28"/>
      <c r="G7331" s="48">
        <f t="shared" si="182"/>
        <v>1301489.4677419353</v>
      </c>
      <c r="H7331" s="391" t="s">
        <v>9568</v>
      </c>
      <c r="I7331" s="155"/>
      <c r="J7331" s="155"/>
      <c r="K7331" s="155"/>
      <c r="N7331" s="155"/>
    </row>
    <row r="7332" spans="1:14" s="390" customFormat="1" x14ac:dyDescent="0.3">
      <c r="A7332" s="509">
        <v>45184</v>
      </c>
      <c r="B7332" s="589" t="s">
        <v>12190</v>
      </c>
      <c r="C7332" s="44" t="s">
        <v>1074</v>
      </c>
      <c r="D7332" s="44" t="s">
        <v>12220</v>
      </c>
      <c r="E7332" s="28">
        <v>2500</v>
      </c>
      <c r="F7332" s="28"/>
      <c r="G7332" s="48">
        <f t="shared" si="182"/>
        <v>1298989.4677419353</v>
      </c>
      <c r="H7332" s="391" t="s">
        <v>9568</v>
      </c>
      <c r="I7332" s="155"/>
      <c r="J7332" s="155"/>
      <c r="K7332" s="155"/>
      <c r="N7332" s="155"/>
    </row>
    <row r="7333" spans="1:14" s="390" customFormat="1" x14ac:dyDescent="0.3">
      <c r="A7333" s="509">
        <v>45184</v>
      </c>
      <c r="B7333" s="589" t="s">
        <v>25</v>
      </c>
      <c r="C7333" s="44" t="s">
        <v>1074</v>
      </c>
      <c r="D7333" s="44" t="s">
        <v>12220</v>
      </c>
      <c r="E7333" s="28">
        <v>8000</v>
      </c>
      <c r="F7333" s="28"/>
      <c r="G7333" s="48">
        <f t="shared" si="182"/>
        <v>1290989.4677419353</v>
      </c>
      <c r="H7333" s="391" t="s">
        <v>9568</v>
      </c>
      <c r="I7333" s="155"/>
      <c r="J7333" s="155"/>
      <c r="K7333" s="155"/>
      <c r="N7333" s="155"/>
    </row>
    <row r="7334" spans="1:14" s="390" customFormat="1" x14ac:dyDescent="0.3">
      <c r="A7334" s="509">
        <v>45184</v>
      </c>
      <c r="B7334" s="589" t="s">
        <v>12088</v>
      </c>
      <c r="C7334" s="44" t="s">
        <v>11194</v>
      </c>
      <c r="D7334" s="44" t="s">
        <v>12198</v>
      </c>
      <c r="E7334" s="28">
        <v>15200</v>
      </c>
      <c r="F7334" s="28"/>
      <c r="G7334" s="48">
        <f t="shared" si="182"/>
        <v>1275789.4677419353</v>
      </c>
      <c r="H7334" s="391" t="s">
        <v>9568</v>
      </c>
      <c r="I7334" s="155"/>
      <c r="J7334" s="155"/>
      <c r="K7334" s="155"/>
      <c r="N7334" s="155"/>
    </row>
    <row r="7335" spans="1:14" s="390" customFormat="1" x14ac:dyDescent="0.3">
      <c r="A7335" s="509"/>
      <c r="B7335" s="589" t="s">
        <v>12089</v>
      </c>
      <c r="C7335" s="44" t="s">
        <v>11194</v>
      </c>
      <c r="D7335" s="44" t="s">
        <v>12211</v>
      </c>
      <c r="E7335" s="28">
        <v>9400</v>
      </c>
      <c r="F7335" s="28"/>
      <c r="G7335" s="48">
        <f t="shared" si="182"/>
        <v>1266389.4677419353</v>
      </c>
      <c r="H7335" s="391" t="s">
        <v>9568</v>
      </c>
      <c r="I7335" s="155"/>
      <c r="J7335" s="155"/>
      <c r="K7335" s="155"/>
      <c r="N7335" s="155"/>
    </row>
    <row r="7336" spans="1:14" s="390" customFormat="1" x14ac:dyDescent="0.3">
      <c r="A7336" s="509">
        <v>45184</v>
      </c>
      <c r="B7336" s="589" t="s">
        <v>11772</v>
      </c>
      <c r="C7336" s="44" t="s">
        <v>11194</v>
      </c>
      <c r="D7336" s="44" t="s">
        <v>12198</v>
      </c>
      <c r="E7336" s="28">
        <v>780</v>
      </c>
      <c r="F7336" s="28"/>
      <c r="G7336" s="48">
        <f t="shared" si="182"/>
        <v>1265609.4677419353</v>
      </c>
      <c r="H7336" s="391" t="s">
        <v>9568</v>
      </c>
      <c r="I7336" s="155"/>
      <c r="J7336" s="155"/>
      <c r="K7336" s="155"/>
      <c r="N7336" s="155"/>
    </row>
    <row r="7337" spans="1:14" s="390" customFormat="1" x14ac:dyDescent="0.3">
      <c r="A7337" s="509">
        <v>45184</v>
      </c>
      <c r="B7337" s="589" t="s">
        <v>12087</v>
      </c>
      <c r="C7337" s="44" t="s">
        <v>12196</v>
      </c>
      <c r="D7337" s="44" t="s">
        <v>11833</v>
      </c>
      <c r="E7337" s="28">
        <v>150000</v>
      </c>
      <c r="F7337" s="28"/>
      <c r="G7337" s="48">
        <f t="shared" si="182"/>
        <v>1115609.4677419353</v>
      </c>
      <c r="H7337" s="391" t="s">
        <v>9568</v>
      </c>
      <c r="I7337" s="155"/>
      <c r="J7337" s="155"/>
      <c r="K7337" s="155"/>
      <c r="N7337" s="155"/>
    </row>
    <row r="7338" spans="1:14" s="390" customFormat="1" x14ac:dyDescent="0.3">
      <c r="A7338" s="509">
        <v>45184</v>
      </c>
      <c r="B7338" s="589" t="s">
        <v>12197</v>
      </c>
      <c r="C7338" s="44" t="s">
        <v>12196</v>
      </c>
      <c r="D7338" s="44" t="s">
        <v>12201</v>
      </c>
      <c r="E7338" s="28">
        <v>5500</v>
      </c>
      <c r="F7338" s="28"/>
      <c r="G7338" s="48">
        <f t="shared" si="182"/>
        <v>1110109.4677419353</v>
      </c>
      <c r="H7338" s="391" t="s">
        <v>9568</v>
      </c>
      <c r="I7338" s="155"/>
      <c r="J7338" s="155"/>
      <c r="K7338" s="155"/>
      <c r="N7338" s="155"/>
    </row>
    <row r="7339" spans="1:14" s="390" customFormat="1" x14ac:dyDescent="0.3">
      <c r="A7339" s="509">
        <v>45184</v>
      </c>
      <c r="B7339" s="589" t="s">
        <v>12091</v>
      </c>
      <c r="C7339" s="44"/>
      <c r="D7339" s="44" t="s">
        <v>12202</v>
      </c>
      <c r="E7339" s="28">
        <v>500</v>
      </c>
      <c r="F7339" s="28"/>
      <c r="G7339" s="48">
        <f t="shared" si="182"/>
        <v>1109609.4677419353</v>
      </c>
      <c r="H7339" s="391" t="s">
        <v>9568</v>
      </c>
      <c r="I7339" s="155"/>
      <c r="J7339" s="155"/>
      <c r="K7339" s="155"/>
      <c r="N7339" s="155"/>
    </row>
    <row r="7340" spans="1:14" s="390" customFormat="1" x14ac:dyDescent="0.3">
      <c r="A7340" s="509">
        <v>45184</v>
      </c>
      <c r="B7340" s="589"/>
      <c r="C7340" s="44" t="s">
        <v>5162</v>
      </c>
      <c r="D7340" s="44" t="s">
        <v>3910</v>
      </c>
      <c r="E7340" s="28">
        <v>5000</v>
      </c>
      <c r="F7340" s="28"/>
      <c r="G7340" s="48">
        <f t="shared" si="182"/>
        <v>1104609.4677419353</v>
      </c>
      <c r="H7340" s="391" t="s">
        <v>9568</v>
      </c>
      <c r="I7340" s="155"/>
      <c r="J7340" s="155"/>
      <c r="K7340" s="155"/>
      <c r="N7340" s="155"/>
    </row>
    <row r="7341" spans="1:14" s="390" customFormat="1" x14ac:dyDescent="0.3">
      <c r="A7341" s="509">
        <v>45184</v>
      </c>
      <c r="B7341" s="589" t="s">
        <v>25</v>
      </c>
      <c r="C7341" s="44" t="s">
        <v>25</v>
      </c>
      <c r="D7341" s="44" t="s">
        <v>11455</v>
      </c>
      <c r="E7341" s="28">
        <v>3000</v>
      </c>
      <c r="F7341" s="28"/>
      <c r="G7341" s="48">
        <f t="shared" si="182"/>
        <v>1101609.4677419353</v>
      </c>
      <c r="H7341" s="391" t="s">
        <v>9568</v>
      </c>
      <c r="I7341" s="155"/>
      <c r="J7341" s="155"/>
      <c r="K7341" s="155"/>
      <c r="N7341" s="155"/>
    </row>
    <row r="7342" spans="1:14" s="390" customFormat="1" x14ac:dyDescent="0.3">
      <c r="A7342" s="509">
        <v>45184</v>
      </c>
      <c r="B7342" s="589" t="s">
        <v>12197</v>
      </c>
      <c r="C7342" s="44" t="s">
        <v>9647</v>
      </c>
      <c r="D7342" s="44" t="s">
        <v>12203</v>
      </c>
      <c r="E7342" s="28">
        <v>35000</v>
      </c>
      <c r="F7342" s="28"/>
      <c r="G7342" s="48">
        <f t="shared" si="182"/>
        <v>1066609.4677419353</v>
      </c>
      <c r="H7342" s="391" t="s">
        <v>9568</v>
      </c>
      <c r="I7342" s="155"/>
      <c r="J7342" s="155"/>
      <c r="K7342" s="155"/>
      <c r="N7342" s="155"/>
    </row>
    <row r="7343" spans="1:14" s="390" customFormat="1" x14ac:dyDescent="0.3">
      <c r="A7343" s="509">
        <v>45184</v>
      </c>
      <c r="B7343" s="589" t="s">
        <v>12204</v>
      </c>
      <c r="C7343" s="44" t="s">
        <v>9647</v>
      </c>
      <c r="D7343" s="44" t="s">
        <v>12203</v>
      </c>
      <c r="E7343" s="28">
        <v>25000</v>
      </c>
      <c r="F7343" s="28"/>
      <c r="G7343" s="48">
        <f t="shared" si="182"/>
        <v>1041609.4677419353</v>
      </c>
      <c r="H7343" s="391" t="s">
        <v>9568</v>
      </c>
      <c r="I7343" s="155"/>
      <c r="J7343" s="155"/>
      <c r="K7343" s="155"/>
      <c r="N7343" s="155"/>
    </row>
    <row r="7344" spans="1:14" s="390" customFormat="1" x14ac:dyDescent="0.3">
      <c r="A7344" s="509">
        <v>45184</v>
      </c>
      <c r="B7344" s="589" t="s">
        <v>12089</v>
      </c>
      <c r="C7344" s="44" t="s">
        <v>11194</v>
      </c>
      <c r="D7344" s="44" t="s">
        <v>12214</v>
      </c>
      <c r="E7344" s="28">
        <v>16000</v>
      </c>
      <c r="F7344" s="28"/>
      <c r="G7344" s="48">
        <f t="shared" si="182"/>
        <v>1025609.4677419353</v>
      </c>
      <c r="H7344" s="391" t="s">
        <v>9568</v>
      </c>
      <c r="I7344" s="155"/>
      <c r="J7344" s="155"/>
      <c r="K7344" s="155"/>
      <c r="N7344" s="155"/>
    </row>
    <row r="7345" spans="1:14" s="390" customFormat="1" x14ac:dyDescent="0.3">
      <c r="A7345" s="509">
        <v>45184</v>
      </c>
      <c r="B7345" s="589" t="s">
        <v>12197</v>
      </c>
      <c r="C7345" s="44" t="s">
        <v>11194</v>
      </c>
      <c r="D7345" s="44" t="s">
        <v>12215</v>
      </c>
      <c r="E7345" s="28">
        <v>850</v>
      </c>
      <c r="F7345" s="28"/>
      <c r="G7345" s="48">
        <f t="shared" si="182"/>
        <v>1024759.4677419353</v>
      </c>
      <c r="H7345" s="391" t="s">
        <v>9568</v>
      </c>
      <c r="I7345" s="155"/>
      <c r="J7345" s="155"/>
      <c r="K7345" s="155"/>
      <c r="N7345" s="155"/>
    </row>
    <row r="7346" spans="1:14" s="390" customFormat="1" x14ac:dyDescent="0.3">
      <c r="A7346" s="509">
        <v>45184</v>
      </c>
      <c r="B7346" s="589"/>
      <c r="C7346" s="44" t="s">
        <v>84</v>
      </c>
      <c r="D7346" s="44" t="s">
        <v>12205</v>
      </c>
      <c r="E7346" s="28">
        <v>10000</v>
      </c>
      <c r="F7346" s="28"/>
      <c r="G7346" s="48">
        <f t="shared" si="182"/>
        <v>1014759.4677419353</v>
      </c>
      <c r="H7346" s="391" t="s">
        <v>9568</v>
      </c>
      <c r="I7346" s="155"/>
      <c r="J7346" s="155"/>
      <c r="K7346" s="155"/>
      <c r="N7346" s="155"/>
    </row>
    <row r="7347" spans="1:14" s="390" customFormat="1" x14ac:dyDescent="0.3">
      <c r="A7347" s="509">
        <v>45184</v>
      </c>
      <c r="B7347" s="589"/>
      <c r="C7347" s="44" t="s">
        <v>84</v>
      </c>
      <c r="D7347" s="44" t="s">
        <v>12206</v>
      </c>
      <c r="E7347" s="28">
        <v>10000</v>
      </c>
      <c r="F7347" s="28"/>
      <c r="G7347" s="48">
        <f t="shared" si="182"/>
        <v>1004759.4677419353</v>
      </c>
      <c r="H7347" s="391" t="s">
        <v>9568</v>
      </c>
      <c r="I7347" s="155"/>
      <c r="J7347" s="155"/>
      <c r="K7347" s="155"/>
      <c r="N7347" s="155"/>
    </row>
    <row r="7348" spans="1:14" s="390" customFormat="1" x14ac:dyDescent="0.3">
      <c r="A7348" s="509">
        <v>45184</v>
      </c>
      <c r="B7348" s="589" t="s">
        <v>12098</v>
      </c>
      <c r="C7348" s="44" t="s">
        <v>12045</v>
      </c>
      <c r="D7348" s="44" t="s">
        <v>12208</v>
      </c>
      <c r="E7348" s="28">
        <v>100000</v>
      </c>
      <c r="F7348" s="28"/>
      <c r="G7348" s="48">
        <f t="shared" si="182"/>
        <v>904759.46774193528</v>
      </c>
      <c r="H7348" s="391" t="s">
        <v>9568</v>
      </c>
      <c r="I7348" s="155"/>
      <c r="J7348" s="155"/>
      <c r="K7348" s="155"/>
      <c r="N7348" s="155"/>
    </row>
    <row r="7349" spans="1:14" s="390" customFormat="1" x14ac:dyDescent="0.3">
      <c r="A7349" s="509">
        <v>45184</v>
      </c>
      <c r="B7349" s="589"/>
      <c r="C7349" s="44" t="s">
        <v>14</v>
      </c>
      <c r="D7349" s="44" t="s">
        <v>294</v>
      </c>
      <c r="E7349" s="28">
        <v>55000</v>
      </c>
      <c r="F7349" s="28"/>
      <c r="G7349" s="48">
        <f t="shared" si="182"/>
        <v>849759.46774193528</v>
      </c>
      <c r="H7349" s="391" t="s">
        <v>9568</v>
      </c>
      <c r="I7349" s="155"/>
      <c r="J7349" s="155"/>
      <c r="K7349" s="155"/>
      <c r="N7349" s="155"/>
    </row>
    <row r="7350" spans="1:14" s="390" customFormat="1" x14ac:dyDescent="0.3">
      <c r="A7350" s="509">
        <v>45184</v>
      </c>
      <c r="B7350" s="589"/>
      <c r="C7350" s="44" t="s">
        <v>14</v>
      </c>
      <c r="D7350" s="124" t="s">
        <v>294</v>
      </c>
      <c r="E7350" s="28">
        <v>5000</v>
      </c>
      <c r="F7350" s="28"/>
      <c r="G7350" s="48">
        <f t="shared" si="182"/>
        <v>844759.46774193528</v>
      </c>
      <c r="H7350" s="391" t="s">
        <v>9568</v>
      </c>
      <c r="I7350" s="155"/>
      <c r="J7350" s="155"/>
      <c r="K7350" s="155"/>
      <c r="N7350" s="155"/>
    </row>
    <row r="7351" spans="1:14" s="390" customFormat="1" x14ac:dyDescent="0.3">
      <c r="A7351" s="509">
        <v>45184</v>
      </c>
      <c r="B7351" s="589" t="s">
        <v>12090</v>
      </c>
      <c r="C7351" s="44" t="s">
        <v>12210</v>
      </c>
      <c r="D7351" s="124" t="s">
        <v>12203</v>
      </c>
      <c r="E7351" s="28">
        <v>40000</v>
      </c>
      <c r="F7351" s="28"/>
      <c r="G7351" s="48">
        <f t="shared" si="182"/>
        <v>804759.46774193528</v>
      </c>
      <c r="H7351" s="391" t="s">
        <v>9568</v>
      </c>
      <c r="I7351" s="155"/>
      <c r="J7351" s="155"/>
      <c r="K7351" s="155"/>
      <c r="N7351" s="155"/>
    </row>
    <row r="7352" spans="1:14" s="390" customFormat="1" x14ac:dyDescent="0.3">
      <c r="A7352" s="509">
        <v>45184</v>
      </c>
      <c r="B7352" s="589" t="s">
        <v>12213</v>
      </c>
      <c r="C7352" s="44" t="s">
        <v>10788</v>
      </c>
      <c r="D7352" s="124" t="s">
        <v>294</v>
      </c>
      <c r="E7352" s="28">
        <v>20000</v>
      </c>
      <c r="F7352" s="28"/>
      <c r="G7352" s="48">
        <f t="shared" si="182"/>
        <v>784759.46774193528</v>
      </c>
      <c r="H7352" s="391" t="s">
        <v>9568</v>
      </c>
      <c r="I7352" s="155"/>
      <c r="J7352" s="155"/>
      <c r="K7352" s="155"/>
      <c r="N7352" s="155"/>
    </row>
    <row r="7353" spans="1:14" s="390" customFormat="1" x14ac:dyDescent="0.3">
      <c r="A7353" s="509">
        <v>45184</v>
      </c>
      <c r="B7353" s="589" t="s">
        <v>12088</v>
      </c>
      <c r="C7353" s="44" t="s">
        <v>5793</v>
      </c>
      <c r="D7353" s="124" t="s">
        <v>40</v>
      </c>
      <c r="E7353" s="28">
        <v>1200</v>
      </c>
      <c r="F7353" s="28"/>
      <c r="G7353" s="48">
        <f t="shared" si="182"/>
        <v>783559.46774193528</v>
      </c>
      <c r="H7353" s="391" t="s">
        <v>9568</v>
      </c>
      <c r="I7353" s="155"/>
      <c r="J7353" s="155"/>
      <c r="K7353" s="155"/>
      <c r="N7353" s="155"/>
    </row>
    <row r="7354" spans="1:14" s="390" customFormat="1" x14ac:dyDescent="0.3">
      <c r="A7354" s="509">
        <v>45184</v>
      </c>
      <c r="B7354" s="589" t="s">
        <v>12189</v>
      </c>
      <c r="C7354" s="44" t="s">
        <v>5793</v>
      </c>
      <c r="D7354" s="124" t="s">
        <v>40</v>
      </c>
      <c r="E7354" s="28">
        <v>1500</v>
      </c>
      <c r="F7354" s="28"/>
      <c r="G7354" s="48">
        <f t="shared" si="182"/>
        <v>782059.46774193528</v>
      </c>
      <c r="H7354" s="391" t="s">
        <v>9568</v>
      </c>
      <c r="I7354" s="155"/>
      <c r="J7354" s="155"/>
      <c r="K7354" s="155"/>
      <c r="N7354" s="155"/>
    </row>
    <row r="7355" spans="1:14" s="390" customFormat="1" x14ac:dyDescent="0.3">
      <c r="A7355" s="509">
        <v>45185</v>
      </c>
      <c r="B7355" s="589" t="s">
        <v>12087</v>
      </c>
      <c r="C7355" s="44" t="s">
        <v>12154</v>
      </c>
      <c r="D7355" s="124" t="s">
        <v>12218</v>
      </c>
      <c r="E7355" s="28">
        <v>9500</v>
      </c>
      <c r="F7355" s="28"/>
      <c r="G7355" s="48">
        <f t="shared" si="182"/>
        <v>772559.46774193528</v>
      </c>
      <c r="H7355" s="391" t="s">
        <v>9568</v>
      </c>
      <c r="I7355" s="155"/>
      <c r="J7355" s="155"/>
      <c r="K7355" s="155"/>
      <c r="N7355" s="155"/>
    </row>
    <row r="7356" spans="1:14" s="390" customFormat="1" x14ac:dyDescent="0.25">
      <c r="A7356" s="509">
        <v>45185</v>
      </c>
      <c r="B7356" s="589"/>
      <c r="C7356" s="44" t="s">
        <v>5162</v>
      </c>
      <c r="D7356" s="124" t="s">
        <v>5813</v>
      </c>
      <c r="E7356" s="28">
        <v>10000</v>
      </c>
      <c r="F7356" s="28"/>
      <c r="G7356" s="48">
        <f t="shared" si="182"/>
        <v>762559.46774193528</v>
      </c>
      <c r="H7356" s="400" t="s">
        <v>9568</v>
      </c>
      <c r="I7356" s="155"/>
      <c r="J7356" s="155"/>
      <c r="K7356" s="155"/>
      <c r="N7356" s="155"/>
    </row>
    <row r="7357" spans="1:14" s="390" customFormat="1" x14ac:dyDescent="0.25">
      <c r="A7357" s="509">
        <v>45185</v>
      </c>
      <c r="B7357" s="589" t="s">
        <v>12089</v>
      </c>
      <c r="C7357" s="44" t="s">
        <v>5793</v>
      </c>
      <c r="D7357" s="124" t="s">
        <v>40</v>
      </c>
      <c r="E7357" s="28">
        <v>1800</v>
      </c>
      <c r="F7357" s="28"/>
      <c r="G7357" s="48">
        <f t="shared" si="182"/>
        <v>760759.46774193528</v>
      </c>
      <c r="H7357" s="400" t="s">
        <v>9568</v>
      </c>
      <c r="I7357" s="155"/>
      <c r="J7357" s="155"/>
      <c r="K7357" s="155"/>
      <c r="N7357" s="155"/>
    </row>
    <row r="7358" spans="1:14" s="390" customFormat="1" x14ac:dyDescent="0.25">
      <c r="A7358" s="509">
        <v>45185</v>
      </c>
      <c r="B7358" s="589" t="s">
        <v>12088</v>
      </c>
      <c r="C7358" s="44" t="s">
        <v>5793</v>
      </c>
      <c r="D7358" s="124" t="s">
        <v>5793</v>
      </c>
      <c r="E7358" s="28">
        <v>900</v>
      </c>
      <c r="F7358" s="28"/>
      <c r="G7358" s="48">
        <f t="shared" si="182"/>
        <v>759859.46774193528</v>
      </c>
      <c r="H7358" s="400" t="s">
        <v>9568</v>
      </c>
      <c r="I7358" s="155"/>
      <c r="J7358" s="155"/>
      <c r="K7358" s="155"/>
      <c r="N7358" s="155"/>
    </row>
    <row r="7359" spans="1:14" s="390" customFormat="1" x14ac:dyDescent="0.25">
      <c r="A7359" s="509">
        <v>45185</v>
      </c>
      <c r="B7359" s="589" t="s">
        <v>12138</v>
      </c>
      <c r="C7359" s="44" t="s">
        <v>5793</v>
      </c>
      <c r="D7359" s="124" t="s">
        <v>8924</v>
      </c>
      <c r="E7359" s="28">
        <v>210</v>
      </c>
      <c r="F7359" s="28"/>
      <c r="G7359" s="48">
        <f t="shared" si="182"/>
        <v>759649.46774193528</v>
      </c>
      <c r="H7359" s="400" t="s">
        <v>9568</v>
      </c>
      <c r="I7359" s="155"/>
      <c r="J7359" s="155"/>
      <c r="K7359" s="155"/>
      <c r="N7359" s="155"/>
    </row>
    <row r="7360" spans="1:14" s="390" customFormat="1" x14ac:dyDescent="0.25">
      <c r="A7360" s="509">
        <v>45185</v>
      </c>
      <c r="B7360" s="589" t="s">
        <v>12138</v>
      </c>
      <c r="C7360" s="44" t="s">
        <v>11194</v>
      </c>
      <c r="D7360" s="124" t="s">
        <v>12221</v>
      </c>
      <c r="E7360" s="28">
        <v>16350</v>
      </c>
      <c r="F7360" s="28"/>
      <c r="G7360" s="48">
        <f t="shared" si="182"/>
        <v>743299.46774193528</v>
      </c>
      <c r="H7360" s="400" t="s">
        <v>9568</v>
      </c>
      <c r="I7360" s="155"/>
      <c r="J7360" s="155"/>
      <c r="K7360" s="155"/>
      <c r="N7360" s="155"/>
    </row>
    <row r="7361" spans="1:14" s="390" customFormat="1" x14ac:dyDescent="0.25">
      <c r="A7361" s="509">
        <v>45185</v>
      </c>
      <c r="B7361" s="589" t="s">
        <v>25</v>
      </c>
      <c r="C7361" s="44" t="s">
        <v>4400</v>
      </c>
      <c r="D7361" s="124" t="s">
        <v>40</v>
      </c>
      <c r="E7361" s="28">
        <v>4670</v>
      </c>
      <c r="F7361" s="28"/>
      <c r="G7361" s="48">
        <f t="shared" si="182"/>
        <v>738629.46774193528</v>
      </c>
      <c r="H7361" s="400" t="s">
        <v>9568</v>
      </c>
      <c r="I7361" s="155"/>
      <c r="J7361" s="155"/>
      <c r="K7361" s="155"/>
      <c r="N7361" s="155"/>
    </row>
    <row r="7362" spans="1:14" x14ac:dyDescent="0.3">
      <c r="A7362" s="509">
        <v>45185</v>
      </c>
      <c r="B7362" s="589" t="s">
        <v>25</v>
      </c>
      <c r="C7362" s="44" t="s">
        <v>26</v>
      </c>
      <c r="D7362" s="124" t="s">
        <v>12225</v>
      </c>
      <c r="E7362" s="28">
        <v>1100</v>
      </c>
      <c r="F7362" s="28"/>
      <c r="G7362" s="48">
        <f t="shared" si="182"/>
        <v>737529.46774193528</v>
      </c>
      <c r="H7362" s="400" t="s">
        <v>9568</v>
      </c>
    </row>
    <row r="7363" spans="1:14" x14ac:dyDescent="0.3">
      <c r="A7363" s="509">
        <v>45187</v>
      </c>
      <c r="B7363" s="589"/>
      <c r="C7363" s="44" t="s">
        <v>57</v>
      </c>
      <c r="D7363" s="124" t="s">
        <v>12226</v>
      </c>
      <c r="E7363" s="28">
        <v>5560</v>
      </c>
      <c r="F7363" s="28"/>
      <c r="G7363" s="48">
        <f t="shared" si="182"/>
        <v>731969.46774193528</v>
      </c>
      <c r="H7363" s="391" t="s">
        <v>9568</v>
      </c>
    </row>
    <row r="7364" spans="1:14" s="390" customFormat="1" x14ac:dyDescent="0.3">
      <c r="A7364" s="509">
        <v>45187</v>
      </c>
      <c r="B7364" s="589" t="s">
        <v>12088</v>
      </c>
      <c r="C7364" s="44" t="s">
        <v>11194</v>
      </c>
      <c r="D7364" s="124" t="s">
        <v>12228</v>
      </c>
      <c r="E7364" s="28">
        <v>8450</v>
      </c>
      <c r="F7364" s="28"/>
      <c r="G7364" s="48">
        <f t="shared" si="182"/>
        <v>723519.46774193528</v>
      </c>
      <c r="H7364" s="391" t="s">
        <v>9568</v>
      </c>
      <c r="I7364" s="155"/>
      <c r="J7364" s="155"/>
      <c r="K7364" s="155"/>
      <c r="N7364" s="155"/>
    </row>
    <row r="7365" spans="1:14" s="390" customFormat="1" x14ac:dyDescent="0.3">
      <c r="A7365" s="509">
        <v>45187</v>
      </c>
      <c r="B7365" s="589" t="s">
        <v>12138</v>
      </c>
      <c r="C7365" s="44" t="s">
        <v>11194</v>
      </c>
      <c r="D7365" s="124" t="s">
        <v>12230</v>
      </c>
      <c r="E7365" s="28">
        <v>62125</v>
      </c>
      <c r="F7365" s="28"/>
      <c r="G7365" s="48">
        <f t="shared" si="182"/>
        <v>661394.46774193528</v>
      </c>
      <c r="H7365" s="391" t="s">
        <v>9568</v>
      </c>
      <c r="I7365" s="155"/>
      <c r="J7365" s="155"/>
      <c r="K7365" s="155"/>
      <c r="N7365" s="155"/>
    </row>
    <row r="7366" spans="1:14" s="390" customFormat="1" x14ac:dyDescent="0.3">
      <c r="A7366" s="509">
        <v>45187</v>
      </c>
      <c r="B7366" s="589" t="s">
        <v>12092</v>
      </c>
      <c r="C7366" s="44" t="s">
        <v>11194</v>
      </c>
      <c r="D7366" s="124" t="s">
        <v>4342</v>
      </c>
      <c r="E7366" s="28">
        <v>1885</v>
      </c>
      <c r="F7366" s="28"/>
      <c r="G7366" s="48">
        <f t="shared" si="182"/>
        <v>659509.46774193528</v>
      </c>
      <c r="H7366" s="391" t="s">
        <v>9568</v>
      </c>
      <c r="I7366" s="155"/>
      <c r="J7366" s="155"/>
      <c r="K7366" s="155"/>
      <c r="N7366" s="155"/>
    </row>
    <row r="7367" spans="1:14" s="390" customFormat="1" x14ac:dyDescent="0.3">
      <c r="A7367" s="509">
        <v>45187</v>
      </c>
      <c r="B7367" s="589" t="s">
        <v>12231</v>
      </c>
      <c r="C7367" s="44" t="s">
        <v>11194</v>
      </c>
      <c r="D7367" s="124" t="s">
        <v>12232</v>
      </c>
      <c r="E7367" s="28">
        <v>6500</v>
      </c>
      <c r="F7367" s="28"/>
      <c r="G7367" s="48">
        <f t="shared" si="182"/>
        <v>653009.46774193528</v>
      </c>
      <c r="H7367" s="391" t="s">
        <v>9568</v>
      </c>
      <c r="I7367" s="155"/>
      <c r="J7367" s="155"/>
      <c r="K7367" s="155"/>
      <c r="N7367" s="155"/>
    </row>
    <row r="7368" spans="1:14" s="390" customFormat="1" x14ac:dyDescent="0.3">
      <c r="A7368" s="509">
        <v>45187</v>
      </c>
      <c r="B7368" s="589" t="s">
        <v>12138</v>
      </c>
      <c r="C7368" s="44" t="s">
        <v>5793</v>
      </c>
      <c r="D7368" s="124" t="s">
        <v>40</v>
      </c>
      <c r="E7368" s="28">
        <v>3000</v>
      </c>
      <c r="F7368" s="28"/>
      <c r="G7368" s="48">
        <f t="shared" si="182"/>
        <v>650009.46774193528</v>
      </c>
      <c r="H7368" s="391" t="s">
        <v>9568</v>
      </c>
      <c r="I7368" s="155"/>
      <c r="J7368" s="155"/>
      <c r="K7368" s="155"/>
      <c r="N7368" s="155"/>
    </row>
    <row r="7369" spans="1:14" s="390" customFormat="1" x14ac:dyDescent="0.3">
      <c r="A7369" s="509">
        <v>45187</v>
      </c>
      <c r="B7369" s="589" t="s">
        <v>12092</v>
      </c>
      <c r="C7369" s="44" t="s">
        <v>5793</v>
      </c>
      <c r="D7369" s="124" t="s">
        <v>40</v>
      </c>
      <c r="E7369" s="28">
        <v>800</v>
      </c>
      <c r="F7369" s="28"/>
      <c r="G7369" s="48">
        <f t="shared" si="182"/>
        <v>649209.46774193528</v>
      </c>
      <c r="H7369" s="391" t="s">
        <v>9568</v>
      </c>
      <c r="I7369" s="155"/>
      <c r="J7369" s="155"/>
      <c r="K7369" s="155"/>
      <c r="N7369" s="155"/>
    </row>
    <row r="7370" spans="1:14" s="390" customFormat="1" x14ac:dyDescent="0.3">
      <c r="A7370" s="509">
        <v>45188</v>
      </c>
      <c r="B7370" s="589"/>
      <c r="C7370" s="44" t="s">
        <v>6430</v>
      </c>
      <c r="D7370" s="124" t="s">
        <v>3183</v>
      </c>
      <c r="E7370" s="28">
        <v>15000</v>
      </c>
      <c r="F7370" s="28"/>
      <c r="G7370" s="48">
        <f t="shared" si="182"/>
        <v>634209.46774193528</v>
      </c>
      <c r="H7370" s="391" t="s">
        <v>9568</v>
      </c>
      <c r="I7370" s="155"/>
      <c r="J7370" s="155"/>
      <c r="K7370" s="155"/>
      <c r="N7370" s="155"/>
    </row>
    <row r="7371" spans="1:14" s="390" customFormat="1" x14ac:dyDescent="0.3">
      <c r="A7371" s="509">
        <v>45188</v>
      </c>
      <c r="B7371" s="589" t="s">
        <v>12089</v>
      </c>
      <c r="C7371" s="44" t="s">
        <v>11194</v>
      </c>
      <c r="D7371" s="124" t="s">
        <v>12242</v>
      </c>
      <c r="E7371" s="28">
        <v>5080</v>
      </c>
      <c r="F7371" s="28"/>
      <c r="G7371" s="48">
        <f t="shared" si="182"/>
        <v>629129.46774193528</v>
      </c>
      <c r="H7371" s="391" t="s">
        <v>9568</v>
      </c>
      <c r="I7371" s="155"/>
      <c r="J7371" s="155"/>
      <c r="K7371" s="155"/>
      <c r="N7371" s="155"/>
    </row>
    <row r="7372" spans="1:14" s="390" customFormat="1" x14ac:dyDescent="0.3">
      <c r="A7372" s="509">
        <v>45188</v>
      </c>
      <c r="B7372" s="589"/>
      <c r="C7372" s="44" t="s">
        <v>5162</v>
      </c>
      <c r="D7372" s="124" t="s">
        <v>294</v>
      </c>
      <c r="E7372" s="28">
        <v>5000</v>
      </c>
      <c r="F7372" s="28"/>
      <c r="G7372" s="48">
        <f t="shared" si="182"/>
        <v>624129.46774193528</v>
      </c>
      <c r="H7372" s="391" t="s">
        <v>9568</v>
      </c>
      <c r="I7372" s="155"/>
      <c r="J7372" s="155"/>
      <c r="K7372" s="155"/>
      <c r="N7372" s="155"/>
    </row>
    <row r="7373" spans="1:14" s="390" customFormat="1" x14ac:dyDescent="0.3">
      <c r="A7373" s="509">
        <v>45188</v>
      </c>
      <c r="B7373" s="589" t="s">
        <v>25</v>
      </c>
      <c r="C7373" s="44" t="s">
        <v>25</v>
      </c>
      <c r="D7373" s="44" t="s">
        <v>11455</v>
      </c>
      <c r="E7373" s="28">
        <v>3000</v>
      </c>
      <c r="F7373" s="28"/>
      <c r="G7373" s="48">
        <f t="shared" si="182"/>
        <v>621129.46774193528</v>
      </c>
      <c r="H7373" s="391" t="s">
        <v>9568</v>
      </c>
      <c r="I7373" s="155"/>
      <c r="J7373" s="155"/>
      <c r="K7373" s="155"/>
      <c r="N7373" s="155"/>
    </row>
    <row r="7374" spans="1:14" x14ac:dyDescent="0.3">
      <c r="A7374" s="509">
        <v>45188</v>
      </c>
      <c r="B7374" s="589"/>
      <c r="C7374" s="44" t="s">
        <v>57</v>
      </c>
      <c r="D7374" s="124" t="s">
        <v>12234</v>
      </c>
      <c r="E7374" s="28">
        <v>30000</v>
      </c>
      <c r="F7374" s="28"/>
      <c r="G7374" s="48">
        <f t="shared" si="182"/>
        <v>591129.46774193528</v>
      </c>
      <c r="H7374" s="391" t="s">
        <v>9568</v>
      </c>
    </row>
    <row r="7375" spans="1:14" ht="37.5" x14ac:dyDescent="0.3">
      <c r="A7375" s="509">
        <v>45188</v>
      </c>
      <c r="B7375" s="589" t="s">
        <v>10333</v>
      </c>
      <c r="C7375" s="44" t="s">
        <v>11194</v>
      </c>
      <c r="D7375" s="124" t="s">
        <v>12243</v>
      </c>
      <c r="E7375" s="28">
        <f>28000+250</f>
        <v>28250</v>
      </c>
      <c r="F7375" s="28"/>
      <c r="G7375" s="48">
        <f t="shared" si="182"/>
        <v>562879.46774193528</v>
      </c>
      <c r="H7375" s="391" t="s">
        <v>9568</v>
      </c>
    </row>
    <row r="7376" spans="1:14" ht="37.5" x14ac:dyDescent="0.3">
      <c r="A7376" s="509">
        <v>45188</v>
      </c>
      <c r="B7376" s="589" t="s">
        <v>12089</v>
      </c>
      <c r="C7376" s="44" t="s">
        <v>11194</v>
      </c>
      <c r="D7376" s="124" t="s">
        <v>12237</v>
      </c>
      <c r="E7376" s="28">
        <v>161000</v>
      </c>
      <c r="F7376" s="28"/>
      <c r="G7376" s="48">
        <f t="shared" si="182"/>
        <v>401879.46774193528</v>
      </c>
      <c r="H7376" s="391" t="s">
        <v>9568</v>
      </c>
    </row>
    <row r="7377" spans="1:10" x14ac:dyDescent="0.3">
      <c r="A7377" s="45">
        <v>45188</v>
      </c>
      <c r="B7377" s="589" t="s">
        <v>12089</v>
      </c>
      <c r="C7377" s="44" t="s">
        <v>9044</v>
      </c>
      <c r="D7377" s="124" t="s">
        <v>12239</v>
      </c>
      <c r="E7377" s="28">
        <v>42300</v>
      </c>
      <c r="F7377" s="28"/>
      <c r="G7377" s="48">
        <f t="shared" ref="G7377:G7444" si="183">G7376+F7377-E7377</f>
        <v>359579.46774193528</v>
      </c>
      <c r="H7377" s="391" t="s">
        <v>9568</v>
      </c>
    </row>
    <row r="7378" spans="1:10" x14ac:dyDescent="0.3">
      <c r="A7378" s="45">
        <v>45188</v>
      </c>
      <c r="B7378" s="589" t="s">
        <v>12138</v>
      </c>
      <c r="C7378" s="44" t="s">
        <v>5793</v>
      </c>
      <c r="D7378" s="124" t="s">
        <v>40</v>
      </c>
      <c r="E7378" s="28">
        <v>800</v>
      </c>
      <c r="F7378" s="28"/>
      <c r="G7378" s="48">
        <f t="shared" si="183"/>
        <v>358779.46774193528</v>
      </c>
      <c r="H7378" s="391" t="s">
        <v>9568</v>
      </c>
    </row>
    <row r="7379" spans="1:10" x14ac:dyDescent="0.3">
      <c r="A7379" s="45">
        <v>45188</v>
      </c>
      <c r="B7379" s="589" t="s">
        <v>12138</v>
      </c>
      <c r="C7379" s="44" t="s">
        <v>6430</v>
      </c>
      <c r="D7379" s="124" t="s">
        <v>12241</v>
      </c>
      <c r="E7379" s="28">
        <v>5000</v>
      </c>
      <c r="F7379" s="28"/>
      <c r="G7379" s="48">
        <f t="shared" si="183"/>
        <v>353779.46774193528</v>
      </c>
      <c r="H7379" s="391" t="s">
        <v>9568</v>
      </c>
    </row>
    <row r="7380" spans="1:10" x14ac:dyDescent="0.3">
      <c r="A7380" s="45">
        <v>45188</v>
      </c>
      <c r="B7380" s="589" t="s">
        <v>12089</v>
      </c>
      <c r="C7380" s="44" t="s">
        <v>11194</v>
      </c>
      <c r="D7380" s="124" t="s">
        <v>12244</v>
      </c>
      <c r="E7380" s="28">
        <v>1800</v>
      </c>
      <c r="F7380" s="28"/>
      <c r="G7380" s="48">
        <f t="shared" si="183"/>
        <v>351979.46774193528</v>
      </c>
      <c r="H7380" s="391" t="s">
        <v>9568</v>
      </c>
    </row>
    <row r="7381" spans="1:10" x14ac:dyDescent="0.3">
      <c r="A7381" s="45">
        <v>45188</v>
      </c>
      <c r="B7381" s="589" t="s">
        <v>12092</v>
      </c>
      <c r="C7381" s="44" t="s">
        <v>5979</v>
      </c>
      <c r="D7381" s="124" t="s">
        <v>12239</v>
      </c>
      <c r="E7381" s="28">
        <v>45000</v>
      </c>
      <c r="F7381" s="28"/>
      <c r="G7381" s="48">
        <f t="shared" si="183"/>
        <v>306979.46774193528</v>
      </c>
      <c r="H7381" s="391" t="s">
        <v>9568</v>
      </c>
    </row>
    <row r="7382" spans="1:10" x14ac:dyDescent="0.3">
      <c r="A7382" s="45">
        <v>45188</v>
      </c>
      <c r="B7382" s="589" t="s">
        <v>12191</v>
      </c>
      <c r="C7382" s="44" t="s">
        <v>5979</v>
      </c>
      <c r="D7382" s="124" t="s">
        <v>12239</v>
      </c>
      <c r="E7382" s="28">
        <v>5000</v>
      </c>
      <c r="F7382" s="28"/>
      <c r="G7382" s="48">
        <f t="shared" si="183"/>
        <v>301979.46774193528</v>
      </c>
      <c r="H7382" s="391" t="s">
        <v>9568</v>
      </c>
    </row>
    <row r="7383" spans="1:10" x14ac:dyDescent="0.3">
      <c r="A7383" s="45">
        <v>45189</v>
      </c>
      <c r="B7383" s="589" t="s">
        <v>10333</v>
      </c>
      <c r="C7383" s="44" t="s">
        <v>11194</v>
      </c>
      <c r="D7383" s="124" t="s">
        <v>12246</v>
      </c>
      <c r="E7383" s="28">
        <v>76555</v>
      </c>
      <c r="F7383" s="28"/>
      <c r="G7383" s="48">
        <f t="shared" si="183"/>
        <v>225424.46774193528</v>
      </c>
      <c r="H7383" s="391" t="s">
        <v>9568</v>
      </c>
    </row>
    <row r="7384" spans="1:10" x14ac:dyDescent="0.3">
      <c r="A7384" s="45">
        <v>45189</v>
      </c>
      <c r="B7384" s="589" t="s">
        <v>10333</v>
      </c>
      <c r="C7384" s="44" t="s">
        <v>11194</v>
      </c>
      <c r="D7384" s="124" t="s">
        <v>12247</v>
      </c>
      <c r="E7384" s="28">
        <v>35165</v>
      </c>
      <c r="F7384" s="28"/>
      <c r="G7384" s="48">
        <f t="shared" si="183"/>
        <v>190259.46774193528</v>
      </c>
      <c r="H7384" s="391" t="s">
        <v>9568</v>
      </c>
    </row>
    <row r="7385" spans="1:10" x14ac:dyDescent="0.3">
      <c r="A7385" s="45">
        <v>45189</v>
      </c>
      <c r="B7385" s="589" t="s">
        <v>12087</v>
      </c>
      <c r="C7385" s="44" t="s">
        <v>11194</v>
      </c>
      <c r="D7385" s="124" t="s">
        <v>12248</v>
      </c>
      <c r="E7385" s="28">
        <v>913</v>
      </c>
      <c r="F7385" s="28"/>
      <c r="G7385" s="48">
        <f t="shared" si="183"/>
        <v>189346.46774193528</v>
      </c>
      <c r="H7385" s="391" t="s">
        <v>9568</v>
      </c>
    </row>
    <row r="7386" spans="1:10" x14ac:dyDescent="0.3">
      <c r="A7386" s="45">
        <v>45189</v>
      </c>
      <c r="B7386" s="589"/>
      <c r="C7386" s="44" t="s">
        <v>18</v>
      </c>
      <c r="D7386" s="124" t="s">
        <v>12245</v>
      </c>
      <c r="E7386" s="28">
        <v>1500</v>
      </c>
      <c r="F7386" s="28"/>
      <c r="G7386" s="48">
        <f t="shared" si="183"/>
        <v>187846.46774193528</v>
      </c>
      <c r="H7386" s="391" t="s">
        <v>9568</v>
      </c>
    </row>
    <row r="7387" spans="1:10" x14ac:dyDescent="0.3">
      <c r="A7387" s="45">
        <v>45189</v>
      </c>
      <c r="B7387" s="589" t="s">
        <v>10333</v>
      </c>
      <c r="C7387" s="44" t="s">
        <v>5793</v>
      </c>
      <c r="D7387" s="124" t="s">
        <v>40</v>
      </c>
      <c r="E7387" s="28">
        <v>1500</v>
      </c>
      <c r="F7387" s="28"/>
      <c r="G7387" s="48">
        <f t="shared" si="183"/>
        <v>186346.46774193528</v>
      </c>
      <c r="H7387" s="391" t="s">
        <v>9568</v>
      </c>
    </row>
    <row r="7388" spans="1:10" x14ac:dyDescent="0.3">
      <c r="A7388" s="45">
        <v>45189</v>
      </c>
      <c r="B7388" s="589"/>
      <c r="C7388" s="44" t="s">
        <v>84</v>
      </c>
      <c r="D7388" s="124" t="s">
        <v>12249</v>
      </c>
      <c r="E7388" s="28">
        <v>100000</v>
      </c>
      <c r="F7388" s="28"/>
      <c r="G7388" s="48">
        <f t="shared" si="183"/>
        <v>86346.467741935281</v>
      </c>
      <c r="H7388" s="391" t="s">
        <v>9568</v>
      </c>
    </row>
    <row r="7389" spans="1:10" x14ac:dyDescent="0.3">
      <c r="A7389" s="45">
        <v>45189</v>
      </c>
      <c r="B7389" s="589" t="s">
        <v>12088</v>
      </c>
      <c r="C7389" s="44" t="s">
        <v>5793</v>
      </c>
      <c r="D7389" s="124" t="s">
        <v>40</v>
      </c>
      <c r="E7389" s="28">
        <v>300</v>
      </c>
      <c r="F7389" s="28"/>
      <c r="G7389" s="48">
        <f t="shared" si="183"/>
        <v>86046.467741935281</v>
      </c>
      <c r="H7389" s="391" t="s">
        <v>9568</v>
      </c>
      <c r="J7389" s="52" t="s">
        <v>12253</v>
      </c>
    </row>
    <row r="7390" spans="1:10" x14ac:dyDescent="0.3">
      <c r="A7390" s="45">
        <v>45189</v>
      </c>
      <c r="B7390" s="589" t="s">
        <v>11772</v>
      </c>
      <c r="C7390" s="44" t="s">
        <v>11194</v>
      </c>
      <c r="D7390" s="124" t="s">
        <v>12250</v>
      </c>
      <c r="E7390" s="28">
        <v>18950</v>
      </c>
      <c r="F7390" s="28"/>
      <c r="G7390" s="48">
        <f t="shared" si="183"/>
        <v>67096.467741935281</v>
      </c>
      <c r="H7390" s="391" t="s">
        <v>9568</v>
      </c>
      <c r="J7390" s="52">
        <v>20000</v>
      </c>
    </row>
    <row r="7391" spans="1:10" x14ac:dyDescent="0.3">
      <c r="A7391" s="45">
        <v>45190</v>
      </c>
      <c r="B7391" s="589" t="s">
        <v>12089</v>
      </c>
      <c r="C7391" s="44" t="s">
        <v>5162</v>
      </c>
      <c r="D7391" s="124" t="s">
        <v>5813</v>
      </c>
      <c r="E7391" s="28">
        <v>5000</v>
      </c>
      <c r="F7391" s="43"/>
      <c r="G7391" s="48">
        <f t="shared" si="183"/>
        <v>62096.467741935281</v>
      </c>
      <c r="H7391" s="391" t="s">
        <v>9568</v>
      </c>
      <c r="J7391" s="52">
        <v>18950</v>
      </c>
    </row>
    <row r="7392" spans="1:10" x14ac:dyDescent="0.3">
      <c r="A7392" s="45">
        <v>45190</v>
      </c>
      <c r="B7392" s="589" t="s">
        <v>10333</v>
      </c>
      <c r="C7392" s="44" t="s">
        <v>5793</v>
      </c>
      <c r="D7392" s="124" t="s">
        <v>40</v>
      </c>
      <c r="E7392" s="28">
        <v>2900</v>
      </c>
      <c r="F7392" s="43"/>
      <c r="G7392" s="48">
        <f t="shared" si="183"/>
        <v>59196.467741935281</v>
      </c>
      <c r="H7392" s="391" t="s">
        <v>9568</v>
      </c>
      <c r="J7392" s="52">
        <f>J7390-J7391</f>
        <v>1050</v>
      </c>
    </row>
    <row r="7393" spans="1:10" x14ac:dyDescent="0.3">
      <c r="A7393" s="45">
        <v>45190</v>
      </c>
      <c r="B7393" s="589" t="s">
        <v>25</v>
      </c>
      <c r="C7393" s="44" t="s">
        <v>25</v>
      </c>
      <c r="D7393" s="44" t="s">
        <v>11455</v>
      </c>
      <c r="E7393" s="28">
        <v>3500</v>
      </c>
      <c r="F7393" s="43"/>
      <c r="G7393" s="48">
        <f t="shared" si="183"/>
        <v>55696.467741935281</v>
      </c>
      <c r="H7393" s="391" t="s">
        <v>9568</v>
      </c>
      <c r="J7393" s="52">
        <v>612</v>
      </c>
    </row>
    <row r="7394" spans="1:10" x14ac:dyDescent="0.3">
      <c r="A7394" s="45">
        <v>45190</v>
      </c>
      <c r="B7394" s="589" t="s">
        <v>12089</v>
      </c>
      <c r="C7394" s="44" t="s">
        <v>11194</v>
      </c>
      <c r="D7394" s="124" t="s">
        <v>12251</v>
      </c>
      <c r="E7394" s="28">
        <v>5612</v>
      </c>
      <c r="F7394" s="43"/>
      <c r="G7394" s="48">
        <f t="shared" si="183"/>
        <v>50084.467741935281</v>
      </c>
      <c r="H7394" s="391" t="s">
        <v>9568</v>
      </c>
      <c r="J7394" s="52">
        <f>J7392-J7393</f>
        <v>438</v>
      </c>
    </row>
    <row r="7395" spans="1:10" x14ac:dyDescent="0.3">
      <c r="A7395" s="45">
        <v>45190</v>
      </c>
      <c r="B7395" s="589"/>
      <c r="C7395" s="44" t="s">
        <v>30</v>
      </c>
      <c r="D7395" s="124" t="s">
        <v>10651</v>
      </c>
      <c r="E7395" s="28">
        <v>1000</v>
      </c>
      <c r="F7395" s="43"/>
      <c r="G7395" s="48">
        <f t="shared" si="183"/>
        <v>49084.467741935281</v>
      </c>
      <c r="H7395" s="391" t="s">
        <v>9568</v>
      </c>
      <c r="J7395" s="52">
        <v>300</v>
      </c>
    </row>
    <row r="7396" spans="1:10" x14ac:dyDescent="0.3">
      <c r="A7396" s="45">
        <v>45190</v>
      </c>
      <c r="B7396" s="589" t="s">
        <v>12189</v>
      </c>
      <c r="C7396" s="44" t="s">
        <v>9452</v>
      </c>
      <c r="D7396" s="124" t="s">
        <v>40</v>
      </c>
      <c r="E7396" s="28">
        <v>6000</v>
      </c>
      <c r="F7396" s="43"/>
      <c r="G7396" s="48">
        <f t="shared" si="183"/>
        <v>43084.467741935281</v>
      </c>
      <c r="H7396" s="391" t="s">
        <v>9568</v>
      </c>
      <c r="J7396" s="52">
        <f>J7394-J7395</f>
        <v>138</v>
      </c>
    </row>
    <row r="7397" spans="1:10" x14ac:dyDescent="0.3">
      <c r="A7397" s="45">
        <v>45190</v>
      </c>
      <c r="B7397" s="589"/>
      <c r="C7397" s="44" t="s">
        <v>30</v>
      </c>
      <c r="D7397" s="124" t="s">
        <v>7561</v>
      </c>
      <c r="E7397" s="28">
        <v>750</v>
      </c>
      <c r="F7397" s="43"/>
      <c r="G7397" s="48">
        <f t="shared" si="183"/>
        <v>42334.467741935281</v>
      </c>
      <c r="H7397" s="391" t="s">
        <v>9568</v>
      </c>
      <c r="J7397" s="52">
        <v>100</v>
      </c>
    </row>
    <row r="7398" spans="1:10" x14ac:dyDescent="0.3">
      <c r="A7398" s="45">
        <v>45191</v>
      </c>
      <c r="B7398" s="589" t="s">
        <v>10615</v>
      </c>
      <c r="C7398" s="44" t="s">
        <v>5793</v>
      </c>
      <c r="D7398" s="124" t="s">
        <v>40</v>
      </c>
      <c r="E7398" s="28">
        <v>1600</v>
      </c>
      <c r="F7398" s="43"/>
      <c r="G7398" s="48">
        <f t="shared" si="183"/>
        <v>40734.467741935281</v>
      </c>
      <c r="H7398" s="391" t="s">
        <v>9568</v>
      </c>
      <c r="J7398" s="52">
        <f>J7397+J7396</f>
        <v>238</v>
      </c>
    </row>
    <row r="7399" spans="1:10" x14ac:dyDescent="0.3">
      <c r="A7399" s="45">
        <v>45191</v>
      </c>
      <c r="B7399" s="589" t="s">
        <v>25</v>
      </c>
      <c r="C7399" s="44" t="s">
        <v>25</v>
      </c>
      <c r="D7399" s="44" t="s">
        <v>11455</v>
      </c>
      <c r="E7399" s="28">
        <v>3500</v>
      </c>
      <c r="F7399" s="43"/>
      <c r="G7399" s="48">
        <f t="shared" si="183"/>
        <v>37234.467741935281</v>
      </c>
      <c r="H7399" s="391" t="s">
        <v>9568</v>
      </c>
      <c r="J7399" s="52">
        <v>100</v>
      </c>
    </row>
    <row r="7400" spans="1:10" x14ac:dyDescent="0.3">
      <c r="A7400" s="45">
        <v>45191</v>
      </c>
      <c r="B7400" s="589"/>
      <c r="C7400" s="44" t="s">
        <v>30</v>
      </c>
      <c r="D7400" s="124" t="s">
        <v>10651</v>
      </c>
      <c r="E7400" s="28">
        <v>300</v>
      </c>
      <c r="F7400" s="43"/>
      <c r="G7400" s="48">
        <f t="shared" si="183"/>
        <v>36934.467741935281</v>
      </c>
      <c r="H7400" s="391" t="s">
        <v>9568</v>
      </c>
      <c r="J7400" s="52">
        <f>J7398-J7399</f>
        <v>138</v>
      </c>
    </row>
    <row r="7401" spans="1:10" x14ac:dyDescent="0.3">
      <c r="A7401" s="45">
        <v>45191</v>
      </c>
      <c r="B7401" s="589"/>
      <c r="C7401" s="5" t="s">
        <v>6430</v>
      </c>
      <c r="D7401" s="124" t="s">
        <v>294</v>
      </c>
      <c r="E7401" s="43">
        <v>10000</v>
      </c>
      <c r="F7401" s="43"/>
      <c r="G7401" s="48">
        <f t="shared" si="183"/>
        <v>26934.467741935281</v>
      </c>
      <c r="H7401" s="391" t="s">
        <v>9568</v>
      </c>
    </row>
    <row r="7402" spans="1:10" x14ac:dyDescent="0.3">
      <c r="A7402" s="45">
        <v>45191</v>
      </c>
      <c r="B7402" s="589"/>
      <c r="C7402" s="5" t="s">
        <v>5288</v>
      </c>
      <c r="D7402" s="124" t="s">
        <v>12255</v>
      </c>
      <c r="E7402" s="43">
        <v>2000</v>
      </c>
      <c r="F7402" s="43"/>
      <c r="G7402" s="48">
        <f t="shared" si="183"/>
        <v>24934.467741935281</v>
      </c>
      <c r="H7402" s="391" t="s">
        <v>9568</v>
      </c>
    </row>
    <row r="7403" spans="1:10" x14ac:dyDescent="0.3">
      <c r="A7403" s="45">
        <v>45191</v>
      </c>
      <c r="B7403" s="589" t="s">
        <v>11772</v>
      </c>
      <c r="C7403" s="5" t="s">
        <v>9525</v>
      </c>
      <c r="D7403" s="124" t="s">
        <v>12256</v>
      </c>
      <c r="E7403" s="43">
        <v>1000</v>
      </c>
      <c r="F7403" s="43"/>
      <c r="G7403" s="48">
        <f t="shared" si="183"/>
        <v>23934.467741935281</v>
      </c>
      <c r="H7403" s="391" t="s">
        <v>9568</v>
      </c>
    </row>
    <row r="7404" spans="1:10" x14ac:dyDescent="0.3">
      <c r="A7404" s="45">
        <v>45191</v>
      </c>
      <c r="B7404" s="589" t="s">
        <v>11772</v>
      </c>
      <c r="C7404" s="5" t="s">
        <v>9525</v>
      </c>
      <c r="D7404" s="124" t="s">
        <v>12257</v>
      </c>
      <c r="E7404" s="43">
        <v>1500</v>
      </c>
      <c r="F7404" s="43"/>
      <c r="G7404" s="48">
        <f t="shared" si="183"/>
        <v>22434.467741935281</v>
      </c>
      <c r="H7404" s="391" t="s">
        <v>9568</v>
      </c>
    </row>
    <row r="7405" spans="1:10" x14ac:dyDescent="0.3">
      <c r="A7405" s="45">
        <v>45191</v>
      </c>
      <c r="B7405" s="589" t="s">
        <v>12088</v>
      </c>
      <c r="C7405" s="5" t="s">
        <v>5793</v>
      </c>
      <c r="D7405" s="124" t="s">
        <v>8924</v>
      </c>
      <c r="E7405" s="43">
        <v>300</v>
      </c>
      <c r="F7405" s="43"/>
      <c r="G7405" s="48">
        <f t="shared" si="183"/>
        <v>22134.467741935281</v>
      </c>
      <c r="H7405" s="391" t="s">
        <v>9568</v>
      </c>
      <c r="J7405" s="52">
        <v>26190</v>
      </c>
    </row>
    <row r="7406" spans="1:10" x14ac:dyDescent="0.3">
      <c r="A7406" s="45">
        <v>45191</v>
      </c>
      <c r="B7406" s="586"/>
      <c r="C7406" s="486"/>
      <c r="D7406" s="497" t="s">
        <v>4364</v>
      </c>
      <c r="E7406" s="486"/>
      <c r="F7406" s="28">
        <v>100000</v>
      </c>
      <c r="G7406" s="48">
        <f t="shared" si="183"/>
        <v>122134.46774193528</v>
      </c>
      <c r="H7406" s="391" t="s">
        <v>9568</v>
      </c>
      <c r="J7406" s="52">
        <v>22000</v>
      </c>
    </row>
    <row r="7407" spans="1:10" x14ac:dyDescent="0.3">
      <c r="A7407" s="45">
        <v>45191</v>
      </c>
      <c r="B7407" s="589" t="s">
        <v>12093</v>
      </c>
      <c r="C7407" s="5" t="s">
        <v>11194</v>
      </c>
      <c r="D7407" s="124" t="s">
        <v>12259</v>
      </c>
      <c r="E7407" s="43">
        <v>57600</v>
      </c>
      <c r="F7407" s="43"/>
      <c r="G7407" s="48">
        <f t="shared" si="183"/>
        <v>64534.467741935281</v>
      </c>
      <c r="H7407" s="391" t="s">
        <v>9568</v>
      </c>
      <c r="J7407" s="52">
        <f>J7405-J7406</f>
        <v>4190</v>
      </c>
    </row>
    <row r="7408" spans="1:10" x14ac:dyDescent="0.3">
      <c r="A7408" s="45">
        <v>45191</v>
      </c>
      <c r="B7408" s="589" t="s">
        <v>11528</v>
      </c>
      <c r="C7408" s="5" t="s">
        <v>9258</v>
      </c>
      <c r="D7408" s="124" t="s">
        <v>40</v>
      </c>
      <c r="E7408" s="43">
        <v>40000</v>
      </c>
      <c r="F7408" s="43"/>
      <c r="G7408" s="48">
        <f t="shared" si="183"/>
        <v>24534.467741935281</v>
      </c>
      <c r="H7408" s="391" t="s">
        <v>9568</v>
      </c>
      <c r="J7408" s="52">
        <f>J7407-J7400</f>
        <v>4052</v>
      </c>
    </row>
    <row r="7409" spans="1:11" x14ac:dyDescent="0.3">
      <c r="A7409" s="45">
        <v>45192</v>
      </c>
      <c r="B7409" s="586"/>
      <c r="C7409" s="486"/>
      <c r="D7409" s="497" t="s">
        <v>4364</v>
      </c>
      <c r="E7409" s="486"/>
      <c r="F7409" s="28">
        <v>50000</v>
      </c>
      <c r="G7409" s="48">
        <f t="shared" si="183"/>
        <v>74534.467741935281</v>
      </c>
      <c r="H7409" s="391" t="s">
        <v>9568</v>
      </c>
    </row>
    <row r="7410" spans="1:11" x14ac:dyDescent="0.3">
      <c r="A7410" s="45">
        <v>45191</v>
      </c>
      <c r="B7410" s="589"/>
      <c r="C7410" s="5" t="s">
        <v>9756</v>
      </c>
      <c r="D7410" s="124" t="s">
        <v>12260</v>
      </c>
      <c r="E7410" s="43">
        <v>26190</v>
      </c>
      <c r="F7410" s="43"/>
      <c r="G7410" s="48">
        <f t="shared" si="183"/>
        <v>48344.467741935281</v>
      </c>
      <c r="H7410" s="391" t="s">
        <v>9568</v>
      </c>
    </row>
    <row r="7411" spans="1:11" x14ac:dyDescent="0.3">
      <c r="A7411" s="45">
        <v>45192</v>
      </c>
      <c r="B7411" s="589" t="s">
        <v>12089</v>
      </c>
      <c r="C7411" s="5" t="s">
        <v>5162</v>
      </c>
      <c r="D7411" s="124" t="s">
        <v>294</v>
      </c>
      <c r="E7411" s="43">
        <v>5000</v>
      </c>
      <c r="F7411" s="43"/>
      <c r="G7411" s="48">
        <f t="shared" si="183"/>
        <v>43344.467741935281</v>
      </c>
      <c r="H7411" s="391" t="s">
        <v>9568</v>
      </c>
    </row>
    <row r="7412" spans="1:11" x14ac:dyDescent="0.3">
      <c r="A7412" s="45">
        <v>45192</v>
      </c>
      <c r="B7412" s="589" t="s">
        <v>10333</v>
      </c>
      <c r="C7412" s="5" t="s">
        <v>5793</v>
      </c>
      <c r="D7412" s="124" t="s">
        <v>40</v>
      </c>
      <c r="E7412" s="43">
        <v>1850</v>
      </c>
      <c r="F7412" s="43"/>
      <c r="G7412" s="48">
        <f t="shared" si="183"/>
        <v>41494.467741935281</v>
      </c>
      <c r="H7412" s="391" t="s">
        <v>9568</v>
      </c>
    </row>
    <row r="7413" spans="1:11" x14ac:dyDescent="0.3">
      <c r="A7413" s="45">
        <v>45194</v>
      </c>
      <c r="B7413" s="586"/>
      <c r="C7413" s="486"/>
      <c r="D7413" s="497" t="s">
        <v>12338</v>
      </c>
      <c r="E7413" s="486"/>
      <c r="F7413" s="28">
        <v>1000000</v>
      </c>
      <c r="G7413" s="48">
        <f t="shared" si="183"/>
        <v>1041494.4677419353</v>
      </c>
      <c r="H7413" s="391" t="s">
        <v>9568</v>
      </c>
    </row>
    <row r="7414" spans="1:11" x14ac:dyDescent="0.3">
      <c r="A7414" s="45">
        <v>45194</v>
      </c>
      <c r="B7414" s="589" t="s">
        <v>12091</v>
      </c>
      <c r="C7414" s="5" t="s">
        <v>30</v>
      </c>
      <c r="D7414" s="124" t="s">
        <v>12261</v>
      </c>
      <c r="E7414" s="43">
        <v>1000</v>
      </c>
      <c r="F7414" s="43"/>
      <c r="G7414" s="48">
        <f t="shared" si="183"/>
        <v>1040494.4677419353</v>
      </c>
      <c r="H7414" s="391" t="s">
        <v>9568</v>
      </c>
    </row>
    <row r="7415" spans="1:11" x14ac:dyDescent="0.3">
      <c r="A7415" s="45">
        <v>45194</v>
      </c>
      <c r="B7415" s="590" t="s">
        <v>12262</v>
      </c>
      <c r="C7415" s="591" t="s">
        <v>14</v>
      </c>
      <c r="D7415" s="592" t="s">
        <v>12263</v>
      </c>
      <c r="E7415" s="593">
        <v>500000</v>
      </c>
      <c r="F7415" s="43"/>
      <c r="G7415" s="48">
        <f t="shared" si="183"/>
        <v>540494.46774193528</v>
      </c>
      <c r="H7415" s="391" t="s">
        <v>9568</v>
      </c>
    </row>
    <row r="7416" spans="1:11" x14ac:dyDescent="0.3">
      <c r="A7416" s="45">
        <v>45194</v>
      </c>
      <c r="B7416" s="589" t="s">
        <v>25</v>
      </c>
      <c r="C7416" s="44" t="s">
        <v>25</v>
      </c>
      <c r="D7416" s="44" t="s">
        <v>11455</v>
      </c>
      <c r="E7416" s="28">
        <v>3000</v>
      </c>
      <c r="F7416" s="43"/>
      <c r="G7416" s="48">
        <f t="shared" si="183"/>
        <v>537494.46774193528</v>
      </c>
      <c r="H7416" s="391" t="s">
        <v>9568</v>
      </c>
    </row>
    <row r="7417" spans="1:11" x14ac:dyDescent="0.3">
      <c r="A7417" s="45">
        <v>45194</v>
      </c>
      <c r="B7417" s="589" t="s">
        <v>12087</v>
      </c>
      <c r="C7417" s="5" t="s">
        <v>12158</v>
      </c>
      <c r="D7417" s="124" t="s">
        <v>294</v>
      </c>
      <c r="E7417" s="43">
        <v>100000</v>
      </c>
      <c r="F7417" s="43"/>
      <c r="G7417" s="48">
        <f t="shared" si="183"/>
        <v>437494.46774193528</v>
      </c>
      <c r="H7417" s="391" t="s">
        <v>9568</v>
      </c>
      <c r="J7417" s="52">
        <v>900</v>
      </c>
    </row>
    <row r="7418" spans="1:11" x14ac:dyDescent="0.3">
      <c r="A7418" s="45">
        <v>45194</v>
      </c>
      <c r="B7418" s="589" t="s">
        <v>12089</v>
      </c>
      <c r="C7418" s="5" t="s">
        <v>11194</v>
      </c>
      <c r="D7418" s="124" t="s">
        <v>12264</v>
      </c>
      <c r="E7418" s="43">
        <v>850</v>
      </c>
      <c r="F7418" s="43"/>
      <c r="G7418" s="48">
        <f t="shared" si="183"/>
        <v>436644.46774193528</v>
      </c>
      <c r="H7418" s="391" t="s">
        <v>9568</v>
      </c>
      <c r="I7418" s="52" t="s">
        <v>8924</v>
      </c>
      <c r="J7418" s="52">
        <v>150</v>
      </c>
    </row>
    <row r="7419" spans="1:11" x14ac:dyDescent="0.3">
      <c r="A7419" s="45">
        <v>45194</v>
      </c>
      <c r="B7419" s="589" t="s">
        <v>12213</v>
      </c>
      <c r="C7419" s="5" t="s">
        <v>5793</v>
      </c>
      <c r="D7419" s="124" t="s">
        <v>40</v>
      </c>
      <c r="E7419" s="43">
        <v>1500</v>
      </c>
      <c r="F7419" s="43"/>
      <c r="G7419" s="48">
        <f t="shared" si="183"/>
        <v>435144.46774193528</v>
      </c>
      <c r="H7419" s="391" t="s">
        <v>9568</v>
      </c>
      <c r="J7419" s="52">
        <v>850</v>
      </c>
      <c r="K7419" s="52">
        <v>1000</v>
      </c>
    </row>
    <row r="7420" spans="1:11" x14ac:dyDescent="0.3">
      <c r="A7420" s="45">
        <v>45194</v>
      </c>
      <c r="B7420" s="589" t="s">
        <v>12087</v>
      </c>
      <c r="C7420" s="5" t="s">
        <v>11194</v>
      </c>
      <c r="D7420" s="124" t="s">
        <v>12258</v>
      </c>
      <c r="E7420" s="43">
        <v>1000</v>
      </c>
      <c r="F7420" s="43"/>
      <c r="G7420" s="48">
        <f t="shared" si="183"/>
        <v>434144.46774193528</v>
      </c>
      <c r="H7420" s="391" t="s">
        <v>9568</v>
      </c>
      <c r="J7420" s="52">
        <v>1000</v>
      </c>
      <c r="K7420" s="52">
        <v>1200</v>
      </c>
    </row>
    <row r="7421" spans="1:11" x14ac:dyDescent="0.3">
      <c r="A7421" s="45">
        <v>45194</v>
      </c>
      <c r="B7421" s="589"/>
      <c r="C7421" s="5" t="s">
        <v>84</v>
      </c>
      <c r="D7421" s="124" t="s">
        <v>12268</v>
      </c>
      <c r="E7421" s="43">
        <v>3000</v>
      </c>
      <c r="F7421" s="43"/>
      <c r="G7421" s="48">
        <f t="shared" si="183"/>
        <v>431144.46774193528</v>
      </c>
      <c r="H7421" s="391" t="s">
        <v>9568</v>
      </c>
      <c r="J7421" s="52">
        <v>46590</v>
      </c>
      <c r="K7421" s="52">
        <v>50000</v>
      </c>
    </row>
    <row r="7422" spans="1:11" x14ac:dyDescent="0.3">
      <c r="A7422" s="45">
        <v>45194</v>
      </c>
      <c r="B7422" s="589" t="s">
        <v>12087</v>
      </c>
      <c r="C7422" s="5" t="s">
        <v>5793</v>
      </c>
      <c r="D7422" s="124" t="s">
        <v>40</v>
      </c>
      <c r="E7422" s="43">
        <v>2000</v>
      </c>
      <c r="F7422" s="43"/>
      <c r="G7422" s="48">
        <f t="shared" si="183"/>
        <v>429144.46774193528</v>
      </c>
      <c r="H7422" s="391" t="s">
        <v>9568</v>
      </c>
      <c r="J7422" s="52">
        <v>21820</v>
      </c>
      <c r="K7422" s="52">
        <v>25000</v>
      </c>
    </row>
    <row r="7423" spans="1:11" x14ac:dyDescent="0.3">
      <c r="A7423" s="45">
        <v>45194</v>
      </c>
      <c r="B7423" s="589"/>
      <c r="C7423" s="5" t="s">
        <v>84</v>
      </c>
      <c r="D7423" s="124" t="s">
        <v>12269</v>
      </c>
      <c r="E7423" s="43">
        <v>6000</v>
      </c>
      <c r="F7423" s="43"/>
      <c r="G7423" s="48">
        <f t="shared" si="183"/>
        <v>423144.46774193528</v>
      </c>
      <c r="H7423" s="391" t="s">
        <v>9568</v>
      </c>
      <c r="J7423" s="52">
        <f>SUM(J7417:J7422)</f>
        <v>71310</v>
      </c>
      <c r="K7423" s="52">
        <f>SUM(K7419:K7422)</f>
        <v>77200</v>
      </c>
    </row>
    <row r="7424" spans="1:11" x14ac:dyDescent="0.3">
      <c r="A7424" s="45">
        <v>45195</v>
      </c>
      <c r="B7424" s="589" t="s">
        <v>12090</v>
      </c>
      <c r="C7424" s="5" t="s">
        <v>3554</v>
      </c>
      <c r="D7424" s="124" t="s">
        <v>294</v>
      </c>
      <c r="E7424" s="43">
        <v>30000</v>
      </c>
      <c r="F7424" s="43"/>
      <c r="G7424" s="48">
        <f t="shared" si="183"/>
        <v>393144.46774193528</v>
      </c>
      <c r="H7424" s="391" t="s">
        <v>9568</v>
      </c>
      <c r="K7424" s="52">
        <f>K7423-J7423</f>
        <v>5890</v>
      </c>
    </row>
    <row r="7425" spans="1:11" x14ac:dyDescent="0.3">
      <c r="A7425" s="45">
        <v>45195</v>
      </c>
      <c r="B7425" s="589" t="s">
        <v>12138</v>
      </c>
      <c r="C7425" s="5" t="s">
        <v>11194</v>
      </c>
      <c r="D7425" s="124" t="s">
        <v>12284</v>
      </c>
      <c r="E7425" s="43">
        <v>46590</v>
      </c>
      <c r="F7425" s="43"/>
      <c r="G7425" s="48">
        <f t="shared" si="183"/>
        <v>346554.46774193528</v>
      </c>
      <c r="H7425" s="391" t="s">
        <v>9568</v>
      </c>
      <c r="K7425" s="52">
        <v>6000</v>
      </c>
    </row>
    <row r="7426" spans="1:11" x14ac:dyDescent="0.3">
      <c r="A7426" s="45">
        <v>45195</v>
      </c>
      <c r="B7426" s="589" t="s">
        <v>25</v>
      </c>
      <c r="C7426" s="5"/>
      <c r="D7426" s="124" t="s">
        <v>12280</v>
      </c>
      <c r="E7426" s="43">
        <v>21820</v>
      </c>
      <c r="F7426" s="43"/>
      <c r="G7426" s="48">
        <f t="shared" si="183"/>
        <v>324734.46774193528</v>
      </c>
      <c r="H7426" s="391" t="s">
        <v>9568</v>
      </c>
    </row>
    <row r="7427" spans="1:11" x14ac:dyDescent="0.3">
      <c r="A7427" s="45">
        <v>45195</v>
      </c>
      <c r="B7427" s="589" t="s">
        <v>12138</v>
      </c>
      <c r="C7427" s="5" t="s">
        <v>5793</v>
      </c>
      <c r="D7427" s="124" t="s">
        <v>40</v>
      </c>
      <c r="E7427" s="43">
        <v>900</v>
      </c>
      <c r="F7427" s="43"/>
      <c r="G7427" s="48">
        <f t="shared" si="183"/>
        <v>323834.46774193528</v>
      </c>
      <c r="H7427" s="391" t="s">
        <v>9568</v>
      </c>
    </row>
    <row r="7428" spans="1:11" x14ac:dyDescent="0.3">
      <c r="A7428" s="45">
        <v>45195</v>
      </c>
      <c r="B7428" s="589" t="s">
        <v>12138</v>
      </c>
      <c r="C7428" s="5" t="s">
        <v>5793</v>
      </c>
      <c r="D7428" s="124" t="s">
        <v>8924</v>
      </c>
      <c r="E7428" s="43">
        <v>150</v>
      </c>
      <c r="F7428" s="43"/>
      <c r="G7428" s="48">
        <f t="shared" si="183"/>
        <v>323684.46774193528</v>
      </c>
      <c r="H7428" s="391" t="s">
        <v>9568</v>
      </c>
    </row>
    <row r="7429" spans="1:11" x14ac:dyDescent="0.3">
      <c r="A7429" s="45">
        <v>45195</v>
      </c>
      <c r="B7429" s="589" t="s">
        <v>25</v>
      </c>
      <c r="C7429" s="5" t="s">
        <v>5793</v>
      </c>
      <c r="D7429" s="124" t="s">
        <v>12286</v>
      </c>
      <c r="E7429" s="43">
        <v>530</v>
      </c>
      <c r="F7429" s="43"/>
      <c r="G7429" s="48">
        <f t="shared" si="183"/>
        <v>323154.46774193528</v>
      </c>
      <c r="H7429" s="391" t="s">
        <v>9568</v>
      </c>
    </row>
    <row r="7430" spans="1:11" x14ac:dyDescent="0.3">
      <c r="A7430" s="45">
        <v>45195</v>
      </c>
      <c r="B7430" s="589"/>
      <c r="C7430" s="5" t="s">
        <v>5162</v>
      </c>
      <c r="D7430" s="124" t="s">
        <v>294</v>
      </c>
      <c r="E7430" s="43">
        <v>5000</v>
      </c>
      <c r="F7430" s="43"/>
      <c r="G7430" s="48">
        <f t="shared" si="183"/>
        <v>318154.46774193528</v>
      </c>
      <c r="H7430" s="391" t="s">
        <v>9568</v>
      </c>
    </row>
    <row r="7431" spans="1:11" x14ac:dyDescent="0.3">
      <c r="A7431" s="45">
        <v>45195</v>
      </c>
      <c r="B7431" s="589" t="s">
        <v>10333</v>
      </c>
      <c r="C7431" s="5" t="s">
        <v>11194</v>
      </c>
      <c r="D7431" s="124" t="s">
        <v>12283</v>
      </c>
      <c r="E7431" s="43">
        <v>24000</v>
      </c>
      <c r="F7431" s="43"/>
      <c r="G7431" s="48">
        <f t="shared" si="183"/>
        <v>294154.46774193528</v>
      </c>
      <c r="H7431" s="391" t="s">
        <v>9568</v>
      </c>
      <c r="K7431" s="52">
        <v>180</v>
      </c>
    </row>
    <row r="7432" spans="1:11" x14ac:dyDescent="0.3">
      <c r="A7432" s="45">
        <v>45195</v>
      </c>
      <c r="B7432" s="589" t="s">
        <v>10333</v>
      </c>
      <c r="C7432" s="5" t="s">
        <v>11194</v>
      </c>
      <c r="D7432" s="124" t="s">
        <v>12282</v>
      </c>
      <c r="E7432" s="43">
        <v>27000</v>
      </c>
      <c r="F7432" s="43"/>
      <c r="G7432" s="48">
        <f t="shared" si="183"/>
        <v>267154.46774193528</v>
      </c>
      <c r="H7432" s="391" t="s">
        <v>9568</v>
      </c>
      <c r="K7432" s="52">
        <v>350</v>
      </c>
    </row>
    <row r="7433" spans="1:11" x14ac:dyDescent="0.3">
      <c r="A7433" s="45">
        <v>45195</v>
      </c>
      <c r="B7433" s="589" t="s">
        <v>10333</v>
      </c>
      <c r="C7433" s="5" t="s">
        <v>11194</v>
      </c>
      <c r="D7433" s="124" t="s">
        <v>12281</v>
      </c>
      <c r="E7433" s="43">
        <v>11000</v>
      </c>
      <c r="F7433" s="43"/>
      <c r="G7433" s="48">
        <f t="shared" si="183"/>
        <v>256154.46774193528</v>
      </c>
      <c r="H7433" s="391" t="s">
        <v>9568</v>
      </c>
      <c r="K7433" s="52">
        <f>SUM(K7431:K7432)</f>
        <v>530</v>
      </c>
    </row>
    <row r="7434" spans="1:11" x14ac:dyDescent="0.3">
      <c r="A7434" s="45">
        <v>45195</v>
      </c>
      <c r="B7434" s="589" t="s">
        <v>12197</v>
      </c>
      <c r="C7434" s="5" t="s">
        <v>9647</v>
      </c>
      <c r="D7434" s="124" t="s">
        <v>12270</v>
      </c>
      <c r="E7434" s="43">
        <v>15000</v>
      </c>
      <c r="F7434" s="43"/>
      <c r="G7434" s="48">
        <f t="shared" si="183"/>
        <v>241154.46774193528</v>
      </c>
      <c r="H7434" s="391" t="s">
        <v>9568</v>
      </c>
      <c r="K7434" s="52" t="s">
        <v>12285</v>
      </c>
    </row>
    <row r="7435" spans="1:11" x14ac:dyDescent="0.3">
      <c r="A7435" s="45">
        <v>45195</v>
      </c>
      <c r="B7435" s="589" t="s">
        <v>12287</v>
      </c>
      <c r="C7435" s="5" t="s">
        <v>1074</v>
      </c>
      <c r="D7435" s="124" t="s">
        <v>4601</v>
      </c>
      <c r="E7435" s="43">
        <v>210</v>
      </c>
      <c r="F7435" s="43"/>
      <c r="G7435" s="48">
        <f t="shared" si="183"/>
        <v>240944.46774193528</v>
      </c>
      <c r="H7435" s="391" t="s">
        <v>9568</v>
      </c>
    </row>
    <row r="7436" spans="1:11" ht="37.5" x14ac:dyDescent="0.3">
      <c r="A7436" s="45">
        <v>45195</v>
      </c>
      <c r="B7436" s="589" t="s">
        <v>25</v>
      </c>
      <c r="C7436" s="5" t="s">
        <v>7214</v>
      </c>
      <c r="D7436" s="124" t="s">
        <v>12273</v>
      </c>
      <c r="E7436" s="43">
        <v>7500</v>
      </c>
      <c r="F7436" s="43"/>
      <c r="G7436" s="48">
        <f t="shared" si="183"/>
        <v>233444.46774193528</v>
      </c>
      <c r="H7436" s="391" t="s">
        <v>9568</v>
      </c>
    </row>
    <row r="7437" spans="1:11" x14ac:dyDescent="0.3">
      <c r="A7437" s="45">
        <v>45195</v>
      </c>
      <c r="B7437" s="589" t="s">
        <v>25</v>
      </c>
      <c r="C7437" s="44" t="s">
        <v>25</v>
      </c>
      <c r="D7437" s="44" t="s">
        <v>11455</v>
      </c>
      <c r="E7437" s="28">
        <v>3500</v>
      </c>
      <c r="F7437" s="43"/>
      <c r="G7437" s="48">
        <f t="shared" si="183"/>
        <v>229944.46774193528</v>
      </c>
      <c r="H7437" s="391" t="s">
        <v>9568</v>
      </c>
    </row>
    <row r="7438" spans="1:11" x14ac:dyDescent="0.3">
      <c r="A7438" s="45">
        <v>45195</v>
      </c>
      <c r="B7438" s="399" t="s">
        <v>12138</v>
      </c>
      <c r="C7438" s="5" t="s">
        <v>11194</v>
      </c>
      <c r="D7438" s="5" t="s">
        <v>12274</v>
      </c>
      <c r="E7438" s="43">
        <v>68500</v>
      </c>
      <c r="F7438" s="43"/>
      <c r="G7438" s="48">
        <f t="shared" si="183"/>
        <v>161444.46774193528</v>
      </c>
      <c r="H7438" s="391" t="s">
        <v>9568</v>
      </c>
    </row>
    <row r="7439" spans="1:11" x14ac:dyDescent="0.3">
      <c r="A7439" s="45">
        <v>45195</v>
      </c>
      <c r="B7439" s="399" t="s">
        <v>12138</v>
      </c>
      <c r="C7439" s="5" t="s">
        <v>5793</v>
      </c>
      <c r="D7439" s="124" t="s">
        <v>40</v>
      </c>
      <c r="E7439" s="43">
        <v>1700</v>
      </c>
      <c r="F7439" s="43"/>
      <c r="G7439" s="48">
        <f t="shared" si="183"/>
        <v>159744.46774193528</v>
      </c>
      <c r="H7439" s="391" t="s">
        <v>9568</v>
      </c>
    </row>
    <row r="7440" spans="1:11" ht="37.5" x14ac:dyDescent="0.3">
      <c r="A7440" s="45">
        <v>45195</v>
      </c>
      <c r="B7440" s="589" t="s">
        <v>12189</v>
      </c>
      <c r="C7440" s="44" t="s">
        <v>4156</v>
      </c>
      <c r="D7440" s="124" t="s">
        <v>12298</v>
      </c>
      <c r="E7440" s="43">
        <v>10000</v>
      </c>
      <c r="F7440" s="43"/>
      <c r="G7440" s="48">
        <f t="shared" si="183"/>
        <v>149744.46774193528</v>
      </c>
      <c r="H7440" s="391" t="s">
        <v>9568</v>
      </c>
    </row>
    <row r="7441" spans="1:8" x14ac:dyDescent="0.3">
      <c r="A7441" s="45">
        <v>45195</v>
      </c>
      <c r="B7441" s="589" t="s">
        <v>12197</v>
      </c>
      <c r="C7441" s="5" t="s">
        <v>5288</v>
      </c>
      <c r="D7441" s="124" t="s">
        <v>12275</v>
      </c>
      <c r="E7441" s="43">
        <v>10000</v>
      </c>
      <c r="F7441" s="43"/>
      <c r="G7441" s="48">
        <f t="shared" si="183"/>
        <v>139744.46774193528</v>
      </c>
      <c r="H7441" s="391" t="s">
        <v>9568</v>
      </c>
    </row>
    <row r="7442" spans="1:8" x14ac:dyDescent="0.3">
      <c r="A7442" s="45">
        <v>45195</v>
      </c>
      <c r="B7442" s="589"/>
      <c r="C7442" s="5" t="s">
        <v>84</v>
      </c>
      <c r="D7442" s="124" t="s">
        <v>12279</v>
      </c>
      <c r="E7442" s="43">
        <v>5000</v>
      </c>
      <c r="F7442" s="43"/>
      <c r="G7442" s="48">
        <f t="shared" si="183"/>
        <v>134744.46774193528</v>
      </c>
      <c r="H7442" s="391" t="s">
        <v>9568</v>
      </c>
    </row>
    <row r="7443" spans="1:8" x14ac:dyDescent="0.3">
      <c r="A7443" s="45">
        <v>45195</v>
      </c>
      <c r="B7443" s="589" t="s">
        <v>10333</v>
      </c>
      <c r="C7443" s="5" t="s">
        <v>5793</v>
      </c>
      <c r="D7443" s="124" t="s">
        <v>3332</v>
      </c>
      <c r="E7443" s="43">
        <v>4800</v>
      </c>
      <c r="F7443" s="43"/>
      <c r="G7443" s="48">
        <f t="shared" si="183"/>
        <v>129944.46774193528</v>
      </c>
      <c r="H7443" s="391" t="s">
        <v>9568</v>
      </c>
    </row>
    <row r="7444" spans="1:8" x14ac:dyDescent="0.3">
      <c r="A7444" s="45">
        <v>45195</v>
      </c>
      <c r="B7444" s="589" t="s">
        <v>25</v>
      </c>
      <c r="C7444" s="5" t="s">
        <v>4400</v>
      </c>
      <c r="D7444" s="124" t="s">
        <v>40</v>
      </c>
      <c r="E7444" s="43">
        <v>5360</v>
      </c>
      <c r="F7444" s="43"/>
      <c r="G7444" s="48">
        <f t="shared" si="183"/>
        <v>124584.46774193528</v>
      </c>
      <c r="H7444" s="391" t="s">
        <v>9568</v>
      </c>
    </row>
    <row r="7445" spans="1:8" x14ac:dyDescent="0.3">
      <c r="A7445" s="45">
        <v>45195</v>
      </c>
      <c r="B7445" s="589" t="s">
        <v>25</v>
      </c>
      <c r="C7445" s="5" t="s">
        <v>1074</v>
      </c>
      <c r="D7445" s="124" t="s">
        <v>12272</v>
      </c>
      <c r="E7445" s="43">
        <f>2618+33641</f>
        <v>36259</v>
      </c>
      <c r="F7445" s="43"/>
      <c r="G7445" s="48">
        <f t="shared" ref="G7445:G7452" si="184">G7444+F7445-E7445</f>
        <v>88325.467741935281</v>
      </c>
      <c r="H7445" s="391" t="s">
        <v>9568</v>
      </c>
    </row>
    <row r="7446" spans="1:8" x14ac:dyDescent="0.3">
      <c r="A7446" s="45">
        <v>45195</v>
      </c>
      <c r="B7446" s="589" t="s">
        <v>12287</v>
      </c>
      <c r="C7446" s="5" t="s">
        <v>1074</v>
      </c>
      <c r="D7446" s="124" t="s">
        <v>12272</v>
      </c>
      <c r="E7446" s="43">
        <v>16436</v>
      </c>
      <c r="F7446" s="43"/>
      <c r="G7446" s="48">
        <f t="shared" si="184"/>
        <v>71889.467741935281</v>
      </c>
      <c r="H7446" s="391" t="s">
        <v>9568</v>
      </c>
    </row>
    <row r="7447" spans="1:8" x14ac:dyDescent="0.3">
      <c r="A7447" s="45">
        <v>45195</v>
      </c>
      <c r="B7447" s="589" t="s">
        <v>12287</v>
      </c>
      <c r="C7447" s="5" t="s">
        <v>25</v>
      </c>
      <c r="D7447" s="124" t="s">
        <v>12278</v>
      </c>
      <c r="E7447" s="43">
        <v>46501</v>
      </c>
      <c r="F7447" s="43"/>
      <c r="G7447" s="48">
        <f t="shared" si="184"/>
        <v>25388.467741935281</v>
      </c>
      <c r="H7447" s="391" t="s">
        <v>9568</v>
      </c>
    </row>
    <row r="7448" spans="1:8" x14ac:dyDescent="0.3">
      <c r="A7448" s="45">
        <v>45195</v>
      </c>
      <c r="B7448" s="589" t="s">
        <v>12288</v>
      </c>
      <c r="C7448" s="5" t="s">
        <v>5793</v>
      </c>
      <c r="D7448" s="124" t="s">
        <v>8924</v>
      </c>
      <c r="E7448" s="43">
        <v>250</v>
      </c>
      <c r="F7448" s="43"/>
      <c r="G7448" s="48">
        <f t="shared" si="184"/>
        <v>25138.467741935281</v>
      </c>
      <c r="H7448" s="391" t="s">
        <v>9568</v>
      </c>
    </row>
    <row r="7449" spans="1:8" x14ac:dyDescent="0.3">
      <c r="A7449" s="45">
        <v>45195</v>
      </c>
      <c r="B7449" s="589" t="s">
        <v>12089</v>
      </c>
      <c r="C7449" s="5" t="s">
        <v>11194</v>
      </c>
      <c r="D7449" s="124" t="s">
        <v>12289</v>
      </c>
      <c r="E7449" s="43">
        <v>10300</v>
      </c>
      <c r="F7449" s="43"/>
      <c r="G7449" s="48">
        <f t="shared" si="184"/>
        <v>14838.467741935281</v>
      </c>
      <c r="H7449" s="391" t="s">
        <v>9568</v>
      </c>
    </row>
    <row r="7450" spans="1:8" ht="37.5" x14ac:dyDescent="0.3">
      <c r="A7450" s="45">
        <v>45196</v>
      </c>
      <c r="B7450" s="589" t="s">
        <v>25</v>
      </c>
      <c r="C7450" s="5"/>
      <c r="D7450" s="124" t="s">
        <v>12297</v>
      </c>
      <c r="E7450" s="28">
        <v>8000</v>
      </c>
      <c r="F7450" s="43"/>
      <c r="G7450" s="48">
        <f t="shared" si="184"/>
        <v>6838.4677419352811</v>
      </c>
      <c r="H7450" s="391" t="s">
        <v>9568</v>
      </c>
    </row>
    <row r="7451" spans="1:8" x14ac:dyDescent="0.3">
      <c r="A7451" s="45">
        <v>45196</v>
      </c>
      <c r="B7451" s="589" t="s">
        <v>12087</v>
      </c>
      <c r="C7451" s="5" t="s">
        <v>5793</v>
      </c>
      <c r="D7451" s="124" t="s">
        <v>8924</v>
      </c>
      <c r="E7451" s="43">
        <v>210</v>
      </c>
      <c r="F7451" s="43"/>
      <c r="G7451" s="48">
        <f t="shared" si="184"/>
        <v>6628.4677419352811</v>
      </c>
      <c r="H7451" s="391" t="s">
        <v>9568</v>
      </c>
    </row>
    <row r="7452" spans="1:8" x14ac:dyDescent="0.3">
      <c r="A7452" s="45">
        <v>45196</v>
      </c>
      <c r="B7452" s="589" t="s">
        <v>12097</v>
      </c>
      <c r="C7452" s="5" t="s">
        <v>25</v>
      </c>
      <c r="D7452" s="124" t="s">
        <v>8924</v>
      </c>
      <c r="E7452" s="43">
        <v>250</v>
      </c>
      <c r="F7452" s="43"/>
      <c r="G7452" s="48">
        <f t="shared" si="184"/>
        <v>6378.4677419352811</v>
      </c>
      <c r="H7452" s="391" t="s">
        <v>9568</v>
      </c>
    </row>
    <row r="7453" spans="1:8" x14ac:dyDescent="0.3">
      <c r="A7453" s="45">
        <v>45196</v>
      </c>
      <c r="B7453" s="589" t="s">
        <v>12087</v>
      </c>
      <c r="C7453" s="5" t="s">
        <v>5793</v>
      </c>
      <c r="D7453" s="124" t="s">
        <v>8924</v>
      </c>
      <c r="E7453" s="43">
        <v>550</v>
      </c>
      <c r="F7453" s="43"/>
      <c r="G7453" s="48">
        <f t="shared" ref="G7453:G7523" si="185">G7452+F7453-E7453</f>
        <v>5828.4677419352811</v>
      </c>
      <c r="H7453" s="391" t="s">
        <v>9568</v>
      </c>
    </row>
    <row r="7454" spans="1:8" x14ac:dyDescent="0.3">
      <c r="A7454" s="45">
        <v>45197</v>
      </c>
      <c r="B7454" s="586"/>
      <c r="C7454" s="486"/>
      <c r="D7454" s="497" t="s">
        <v>4364</v>
      </c>
      <c r="E7454" s="486"/>
      <c r="F7454" s="28">
        <v>100000</v>
      </c>
      <c r="G7454" s="48">
        <f t="shared" si="185"/>
        <v>105828.46774193528</v>
      </c>
      <c r="H7454" s="391" t="s">
        <v>9568</v>
      </c>
    </row>
    <row r="7455" spans="1:8" x14ac:dyDescent="0.3">
      <c r="A7455" s="45">
        <v>45197</v>
      </c>
      <c r="B7455" s="589" t="s">
        <v>12088</v>
      </c>
      <c r="C7455" s="5" t="s">
        <v>11194</v>
      </c>
      <c r="D7455" s="124" t="s">
        <v>12301</v>
      </c>
      <c r="E7455" s="43">
        <v>5300</v>
      </c>
      <c r="F7455" s="43"/>
      <c r="G7455" s="48">
        <f t="shared" si="185"/>
        <v>100528.46774193528</v>
      </c>
      <c r="H7455" s="391" t="s">
        <v>9568</v>
      </c>
    </row>
    <row r="7456" spans="1:8" x14ac:dyDescent="0.3">
      <c r="A7456" s="45">
        <v>45197</v>
      </c>
      <c r="B7456" s="589" t="s">
        <v>12088</v>
      </c>
      <c r="C7456" s="5" t="s">
        <v>11194</v>
      </c>
      <c r="D7456" s="124" t="s">
        <v>12302</v>
      </c>
      <c r="E7456" s="43">
        <v>1500</v>
      </c>
      <c r="F7456" s="43"/>
      <c r="G7456" s="48">
        <f t="shared" si="185"/>
        <v>99028.467741935281</v>
      </c>
      <c r="H7456" s="391" t="s">
        <v>9568</v>
      </c>
    </row>
    <row r="7457" spans="1:10" x14ac:dyDescent="0.3">
      <c r="A7457" s="45">
        <v>45197</v>
      </c>
      <c r="B7457" s="589" t="s">
        <v>12087</v>
      </c>
      <c r="C7457" s="5" t="s">
        <v>11194</v>
      </c>
      <c r="D7457" s="124" t="s">
        <v>12303</v>
      </c>
      <c r="E7457" s="43">
        <v>2555</v>
      </c>
      <c r="F7457" s="43"/>
      <c r="G7457" s="48">
        <f t="shared" si="185"/>
        <v>96473.467741935281</v>
      </c>
      <c r="H7457" s="391" t="s">
        <v>9568</v>
      </c>
    </row>
    <row r="7458" spans="1:10" x14ac:dyDescent="0.3">
      <c r="A7458" s="45">
        <v>45197</v>
      </c>
      <c r="B7458" s="589" t="s">
        <v>12087</v>
      </c>
      <c r="C7458" s="5" t="s">
        <v>30</v>
      </c>
      <c r="D7458" s="124" t="s">
        <v>10651</v>
      </c>
      <c r="E7458" s="43">
        <v>1100</v>
      </c>
      <c r="F7458" s="43"/>
      <c r="G7458" s="48">
        <f t="shared" si="185"/>
        <v>95373.467741935281</v>
      </c>
      <c r="H7458" s="391" t="s">
        <v>9568</v>
      </c>
    </row>
    <row r="7459" spans="1:10" x14ac:dyDescent="0.3">
      <c r="A7459" s="45">
        <v>45197</v>
      </c>
      <c r="B7459" s="589" t="s">
        <v>12093</v>
      </c>
      <c r="C7459" s="5" t="s">
        <v>9784</v>
      </c>
      <c r="D7459" s="124" t="s">
        <v>12304</v>
      </c>
      <c r="E7459" s="43">
        <v>20000</v>
      </c>
      <c r="F7459" s="43"/>
      <c r="G7459" s="48">
        <f t="shared" si="185"/>
        <v>75373.467741935281</v>
      </c>
      <c r="H7459" s="391" t="s">
        <v>9568</v>
      </c>
    </row>
    <row r="7460" spans="1:10" x14ac:dyDescent="0.3">
      <c r="A7460" s="45">
        <v>45197</v>
      </c>
      <c r="B7460" s="589" t="s">
        <v>25</v>
      </c>
      <c r="C7460" s="44" t="s">
        <v>25</v>
      </c>
      <c r="D7460" s="44" t="s">
        <v>11455</v>
      </c>
      <c r="E7460" s="28">
        <v>3500</v>
      </c>
      <c r="F7460" s="43"/>
      <c r="G7460" s="48">
        <f t="shared" si="185"/>
        <v>71873.467741935281</v>
      </c>
      <c r="H7460" s="391" t="s">
        <v>9568</v>
      </c>
    </row>
    <row r="7461" spans="1:10" x14ac:dyDescent="0.3">
      <c r="A7461" s="45">
        <v>45197</v>
      </c>
      <c r="B7461" s="589"/>
      <c r="C7461" s="5" t="s">
        <v>84</v>
      </c>
      <c r="D7461" s="124" t="s">
        <v>12305</v>
      </c>
      <c r="E7461" s="43">
        <v>10000</v>
      </c>
      <c r="F7461" s="43"/>
      <c r="G7461" s="48">
        <f t="shared" si="185"/>
        <v>61873.467741935281</v>
      </c>
      <c r="H7461" s="391" t="s">
        <v>9568</v>
      </c>
    </row>
    <row r="7462" spans="1:10" x14ac:dyDescent="0.3">
      <c r="A7462" s="45">
        <v>45197</v>
      </c>
      <c r="B7462" s="589"/>
      <c r="C7462" s="5" t="s">
        <v>6430</v>
      </c>
      <c r="D7462" s="124" t="s">
        <v>12306</v>
      </c>
      <c r="E7462" s="43">
        <v>6000</v>
      </c>
      <c r="F7462" s="43"/>
      <c r="G7462" s="48">
        <f t="shared" si="185"/>
        <v>55873.467741935281</v>
      </c>
      <c r="H7462" s="391" t="s">
        <v>9568</v>
      </c>
      <c r="J7462" s="598"/>
    </row>
    <row r="7463" spans="1:10" x14ac:dyDescent="0.3">
      <c r="A7463" s="45">
        <v>45197</v>
      </c>
      <c r="B7463" s="589" t="s">
        <v>12138</v>
      </c>
      <c r="C7463" s="5" t="s">
        <v>9452</v>
      </c>
      <c r="D7463" s="124" t="s">
        <v>12307</v>
      </c>
      <c r="E7463" s="43">
        <v>12000</v>
      </c>
      <c r="F7463" s="43"/>
      <c r="G7463" s="48">
        <f t="shared" si="185"/>
        <v>43873.467741935281</v>
      </c>
      <c r="H7463" s="391" t="s">
        <v>9568</v>
      </c>
    </row>
    <row r="7464" spans="1:10" x14ac:dyDescent="0.3">
      <c r="A7464" s="45">
        <v>45197</v>
      </c>
      <c r="B7464" s="589" t="s">
        <v>12138</v>
      </c>
      <c r="C7464" s="5" t="s">
        <v>11194</v>
      </c>
      <c r="D7464" s="124" t="s">
        <v>12221</v>
      </c>
      <c r="E7464" s="43">
        <v>8820</v>
      </c>
      <c r="F7464" s="43"/>
      <c r="G7464" s="48">
        <f t="shared" si="185"/>
        <v>35053.467741935281</v>
      </c>
      <c r="H7464" s="391" t="s">
        <v>9568</v>
      </c>
    </row>
    <row r="7465" spans="1:10" x14ac:dyDescent="0.3">
      <c r="A7465" s="45">
        <v>45197</v>
      </c>
      <c r="B7465" s="589"/>
      <c r="C7465" s="5" t="s">
        <v>5162</v>
      </c>
      <c r="D7465" s="124" t="s">
        <v>12308</v>
      </c>
      <c r="E7465" s="43">
        <v>5000</v>
      </c>
      <c r="F7465" s="43"/>
      <c r="G7465" s="48">
        <f t="shared" si="185"/>
        <v>30053.467741935281</v>
      </c>
      <c r="H7465" s="391" t="s">
        <v>9568</v>
      </c>
    </row>
    <row r="7466" spans="1:10" x14ac:dyDescent="0.3">
      <c r="A7466" s="45">
        <v>45197</v>
      </c>
      <c r="B7466" s="586"/>
      <c r="C7466" s="486"/>
      <c r="D7466" s="497" t="s">
        <v>12309</v>
      </c>
      <c r="E7466" s="486"/>
      <c r="F7466" s="28">
        <v>100000</v>
      </c>
      <c r="G7466" s="48">
        <f t="shared" ref="G7466" si="186">G7465+F7466-E7466</f>
        <v>130053.46774193528</v>
      </c>
      <c r="H7466" s="391" t="s">
        <v>9568</v>
      </c>
    </row>
    <row r="7467" spans="1:10" x14ac:dyDescent="0.3">
      <c r="A7467" s="45">
        <v>45197</v>
      </c>
      <c r="B7467" s="589" t="s">
        <v>25</v>
      </c>
      <c r="C7467" s="5" t="s">
        <v>12310</v>
      </c>
      <c r="D7467" s="124" t="s">
        <v>12311</v>
      </c>
      <c r="E7467" s="43">
        <v>25000</v>
      </c>
      <c r="F7467" s="43"/>
      <c r="G7467" s="48">
        <f t="shared" si="185"/>
        <v>105053.46774193528</v>
      </c>
      <c r="H7467" s="391" t="s">
        <v>9568</v>
      </c>
    </row>
    <row r="7468" spans="1:10" x14ac:dyDescent="0.3">
      <c r="A7468" s="45">
        <v>45199</v>
      </c>
      <c r="B7468" s="589"/>
      <c r="C7468" s="5" t="s">
        <v>5162</v>
      </c>
      <c r="D7468" s="124" t="s">
        <v>4187</v>
      </c>
      <c r="E7468" s="43">
        <v>5000</v>
      </c>
      <c r="F7468" s="43"/>
      <c r="G7468" s="48">
        <f t="shared" si="185"/>
        <v>100053.46774193528</v>
      </c>
      <c r="H7468" s="391" t="s">
        <v>9568</v>
      </c>
    </row>
    <row r="7469" spans="1:10" x14ac:dyDescent="0.3">
      <c r="A7469" s="45">
        <v>45199</v>
      </c>
      <c r="B7469" s="589" t="s">
        <v>12287</v>
      </c>
      <c r="C7469" s="5" t="s">
        <v>12313</v>
      </c>
      <c r="D7469" s="124" t="s">
        <v>12314</v>
      </c>
      <c r="E7469" s="43">
        <v>5340</v>
      </c>
      <c r="F7469" s="43"/>
      <c r="G7469" s="48">
        <f t="shared" si="185"/>
        <v>94713.467741935281</v>
      </c>
      <c r="H7469" s="391" t="s">
        <v>9568</v>
      </c>
    </row>
    <row r="7470" spans="1:10" x14ac:dyDescent="0.3">
      <c r="A7470" s="45">
        <v>45199</v>
      </c>
      <c r="B7470" s="589" t="s">
        <v>10333</v>
      </c>
      <c r="C7470" s="5" t="s">
        <v>5793</v>
      </c>
      <c r="D7470" s="124" t="s">
        <v>40</v>
      </c>
      <c r="E7470" s="43">
        <v>1500</v>
      </c>
      <c r="F7470" s="43"/>
      <c r="G7470" s="48">
        <f t="shared" si="185"/>
        <v>93213.467741935281</v>
      </c>
      <c r="H7470" s="391" t="s">
        <v>9568</v>
      </c>
    </row>
    <row r="7471" spans="1:10" x14ac:dyDescent="0.3">
      <c r="A7471" s="45">
        <v>45199</v>
      </c>
      <c r="B7471" s="589" t="s">
        <v>10333</v>
      </c>
      <c r="C7471" s="5" t="s">
        <v>5793</v>
      </c>
      <c r="D7471" s="124" t="s">
        <v>40</v>
      </c>
      <c r="E7471" s="43">
        <v>2700</v>
      </c>
      <c r="F7471" s="43"/>
      <c r="G7471" s="48">
        <f t="shared" si="185"/>
        <v>90513.467741935281</v>
      </c>
      <c r="H7471" s="391" t="s">
        <v>9568</v>
      </c>
    </row>
    <row r="7472" spans="1:10" x14ac:dyDescent="0.3">
      <c r="A7472" s="45">
        <v>45199</v>
      </c>
      <c r="B7472" s="589" t="s">
        <v>12087</v>
      </c>
      <c r="C7472" s="5" t="s">
        <v>11194</v>
      </c>
      <c r="D7472" s="124" t="s">
        <v>12315</v>
      </c>
      <c r="E7472" s="43">
        <v>10000</v>
      </c>
      <c r="F7472" s="43"/>
      <c r="G7472" s="48">
        <f t="shared" si="185"/>
        <v>80513.467741935281</v>
      </c>
      <c r="H7472" s="391" t="s">
        <v>9568</v>
      </c>
    </row>
    <row r="7473" spans="1:14" x14ac:dyDescent="0.3">
      <c r="A7473" s="45">
        <v>45199</v>
      </c>
      <c r="B7473" s="589" t="s">
        <v>12087</v>
      </c>
      <c r="C7473" s="5" t="s">
        <v>84</v>
      </c>
      <c r="D7473" s="124" t="s">
        <v>12316</v>
      </c>
      <c r="E7473" s="43">
        <v>10000</v>
      </c>
      <c r="F7473" s="43"/>
      <c r="G7473" s="48">
        <f t="shared" si="185"/>
        <v>70513.467741935281</v>
      </c>
      <c r="H7473" s="391" t="s">
        <v>9568</v>
      </c>
    </row>
    <row r="7474" spans="1:14" x14ac:dyDescent="0.3">
      <c r="A7474" s="45">
        <v>45199</v>
      </c>
      <c r="B7474" s="589" t="s">
        <v>12089</v>
      </c>
      <c r="C7474" s="5" t="s">
        <v>9044</v>
      </c>
      <c r="D7474" s="124" t="s">
        <v>12318</v>
      </c>
      <c r="E7474" s="43">
        <v>40000</v>
      </c>
      <c r="F7474" s="43"/>
      <c r="G7474" s="48">
        <f t="shared" si="185"/>
        <v>30513.467741935281</v>
      </c>
      <c r="H7474" s="391" t="s">
        <v>9568</v>
      </c>
    </row>
    <row r="7475" spans="1:14" x14ac:dyDescent="0.3">
      <c r="A7475" s="45">
        <v>45199</v>
      </c>
      <c r="B7475" s="589" t="s">
        <v>25</v>
      </c>
      <c r="C7475" s="5" t="s">
        <v>5793</v>
      </c>
      <c r="D7475" s="124" t="s">
        <v>12319</v>
      </c>
      <c r="E7475" s="43">
        <v>250</v>
      </c>
      <c r="F7475" s="43"/>
      <c r="G7475" s="48">
        <f t="shared" si="185"/>
        <v>30263.467741935281</v>
      </c>
      <c r="H7475" s="391" t="s">
        <v>9568</v>
      </c>
    </row>
    <row r="7476" spans="1:14" x14ac:dyDescent="0.3">
      <c r="A7476" s="45">
        <v>45201</v>
      </c>
      <c r="B7476" s="589"/>
      <c r="C7476" s="5" t="s">
        <v>14</v>
      </c>
      <c r="D7476" s="124" t="s">
        <v>12323</v>
      </c>
      <c r="E7476" s="43">
        <f>180+15478</f>
        <v>15658</v>
      </c>
      <c r="F7476" s="43"/>
      <c r="G7476" s="48">
        <f t="shared" si="185"/>
        <v>14605.467741935281</v>
      </c>
      <c r="H7476" s="391" t="s">
        <v>9568</v>
      </c>
    </row>
    <row r="7477" spans="1:14" x14ac:dyDescent="0.3">
      <c r="A7477" s="45">
        <v>45201</v>
      </c>
      <c r="B7477" s="589" t="s">
        <v>25</v>
      </c>
      <c r="C7477" s="5" t="s">
        <v>1074</v>
      </c>
      <c r="D7477" s="124" t="s">
        <v>4601</v>
      </c>
      <c r="E7477" s="43">
        <v>300</v>
      </c>
      <c r="F7477" s="43"/>
      <c r="G7477" s="48">
        <f t="shared" si="185"/>
        <v>14305.467741935281</v>
      </c>
      <c r="H7477" s="391" t="s">
        <v>9568</v>
      </c>
    </row>
    <row r="7478" spans="1:14" x14ac:dyDescent="0.3">
      <c r="A7478" s="45">
        <v>45201</v>
      </c>
      <c r="B7478" s="589" t="s">
        <v>25</v>
      </c>
      <c r="C7478" s="44" t="s">
        <v>25</v>
      </c>
      <c r="D7478" s="44" t="s">
        <v>11455</v>
      </c>
      <c r="E7478" s="28">
        <v>3500</v>
      </c>
      <c r="F7478" s="43"/>
      <c r="G7478" s="48">
        <f t="shared" si="185"/>
        <v>10805.467741935281</v>
      </c>
      <c r="H7478" s="391" t="s">
        <v>9568</v>
      </c>
    </row>
    <row r="7479" spans="1:14" x14ac:dyDescent="0.3">
      <c r="A7479" s="45">
        <v>45201</v>
      </c>
      <c r="B7479" s="589"/>
      <c r="C7479" s="5" t="s">
        <v>5162</v>
      </c>
      <c r="D7479" s="124" t="s">
        <v>12324</v>
      </c>
      <c r="E7479" s="43">
        <v>5000</v>
      </c>
      <c r="F7479" s="43"/>
      <c r="G7479" s="48">
        <f t="shared" si="185"/>
        <v>5805.4677419352811</v>
      </c>
      <c r="H7479" s="391" t="s">
        <v>9568</v>
      </c>
    </row>
    <row r="7480" spans="1:14" x14ac:dyDescent="0.3">
      <c r="A7480" s="45">
        <v>45201</v>
      </c>
      <c r="B7480" s="586"/>
      <c r="C7480" s="486"/>
      <c r="D7480" s="497" t="s">
        <v>4364</v>
      </c>
      <c r="E7480" s="486"/>
      <c r="F7480" s="28">
        <v>100000</v>
      </c>
      <c r="G7480" s="48">
        <f t="shared" si="185"/>
        <v>105805.46774193528</v>
      </c>
      <c r="H7480" s="391" t="s">
        <v>9568</v>
      </c>
    </row>
    <row r="7481" spans="1:14" x14ac:dyDescent="0.3">
      <c r="A7481" s="45">
        <v>45201</v>
      </c>
      <c r="B7481" s="589" t="s">
        <v>12093</v>
      </c>
      <c r="C7481" s="5" t="s">
        <v>9784</v>
      </c>
      <c r="D7481" s="124" t="s">
        <v>12239</v>
      </c>
      <c r="E7481" s="43">
        <v>45000</v>
      </c>
      <c r="F7481" s="43"/>
      <c r="G7481" s="48">
        <f t="shared" si="185"/>
        <v>60805.467741935281</v>
      </c>
      <c r="H7481" s="391" t="s">
        <v>9568</v>
      </c>
    </row>
    <row r="7482" spans="1:14" s="390" customFormat="1" x14ac:dyDescent="0.3">
      <c r="A7482" s="45">
        <v>45201</v>
      </c>
      <c r="B7482" s="589" t="s">
        <v>12092</v>
      </c>
      <c r="C7482" s="44" t="s">
        <v>5793</v>
      </c>
      <c r="D7482" s="124" t="s">
        <v>40</v>
      </c>
      <c r="E7482" s="28">
        <v>700</v>
      </c>
      <c r="F7482" s="28"/>
      <c r="G7482" s="48">
        <f t="shared" si="185"/>
        <v>60105.467741935281</v>
      </c>
      <c r="H7482" s="391" t="s">
        <v>9568</v>
      </c>
      <c r="I7482" s="155"/>
      <c r="J7482" s="155"/>
      <c r="K7482" s="155"/>
      <c r="N7482" s="155"/>
    </row>
    <row r="7483" spans="1:14" x14ac:dyDescent="0.3">
      <c r="A7483" s="45">
        <v>45201</v>
      </c>
      <c r="B7483" s="589"/>
      <c r="C7483" s="5" t="s">
        <v>4039</v>
      </c>
      <c r="D7483" s="124" t="s">
        <v>294</v>
      </c>
      <c r="E7483" s="43">
        <v>25000</v>
      </c>
      <c r="F7483" s="43"/>
      <c r="G7483" s="48">
        <f t="shared" si="185"/>
        <v>35105.467741935281</v>
      </c>
      <c r="H7483" s="391" t="s">
        <v>9568</v>
      </c>
    </row>
    <row r="7484" spans="1:14" x14ac:dyDescent="0.3">
      <c r="A7484" s="45">
        <v>45201</v>
      </c>
      <c r="B7484" s="589" t="s">
        <v>12088</v>
      </c>
      <c r="C7484" s="5" t="s">
        <v>4550</v>
      </c>
      <c r="D7484" s="124" t="s">
        <v>5813</v>
      </c>
      <c r="E7484" s="43">
        <v>23000</v>
      </c>
      <c r="F7484" s="43"/>
      <c r="G7484" s="48">
        <f t="shared" si="185"/>
        <v>12105.467741935281</v>
      </c>
      <c r="H7484" s="391" t="s">
        <v>9568</v>
      </c>
    </row>
    <row r="7485" spans="1:14" x14ac:dyDescent="0.3">
      <c r="A7485" s="45">
        <v>45202</v>
      </c>
      <c r="B7485" s="586"/>
      <c r="C7485" s="486"/>
      <c r="D7485" s="497" t="s">
        <v>4364</v>
      </c>
      <c r="E7485" s="486"/>
      <c r="F7485" s="28">
        <v>100000</v>
      </c>
      <c r="G7485" s="48">
        <f t="shared" si="185"/>
        <v>112105.46774193528</v>
      </c>
      <c r="H7485" s="391" t="s">
        <v>9568</v>
      </c>
    </row>
    <row r="7486" spans="1:14" x14ac:dyDescent="0.3">
      <c r="A7486" s="45">
        <v>45202</v>
      </c>
      <c r="B7486" s="589" t="s">
        <v>12090</v>
      </c>
      <c r="C7486" s="5" t="s">
        <v>11194</v>
      </c>
      <c r="D7486" s="124" t="s">
        <v>12328</v>
      </c>
      <c r="E7486" s="43">
        <v>10000</v>
      </c>
      <c r="F7486" s="43"/>
      <c r="G7486" s="48">
        <f t="shared" si="185"/>
        <v>102105.46774193528</v>
      </c>
      <c r="H7486" s="391" t="s">
        <v>9568</v>
      </c>
    </row>
    <row r="7487" spans="1:14" x14ac:dyDescent="0.3">
      <c r="A7487" s="45">
        <v>45202</v>
      </c>
      <c r="B7487" s="589" t="s">
        <v>12092</v>
      </c>
      <c r="C7487" s="5" t="s">
        <v>3554</v>
      </c>
      <c r="D7487" s="124" t="s">
        <v>12329</v>
      </c>
      <c r="E7487" s="43">
        <v>40000</v>
      </c>
      <c r="F7487" s="43"/>
      <c r="G7487" s="48">
        <f t="shared" si="185"/>
        <v>62105.467741935281</v>
      </c>
      <c r="H7487" s="391" t="s">
        <v>9568</v>
      </c>
    </row>
    <row r="7488" spans="1:14" x14ac:dyDescent="0.3">
      <c r="A7488" s="45">
        <v>45202</v>
      </c>
      <c r="B7488" s="589"/>
      <c r="C7488" s="5" t="s">
        <v>68</v>
      </c>
      <c r="D7488" s="124" t="s">
        <v>12330</v>
      </c>
      <c r="E7488" s="43">
        <v>5000</v>
      </c>
      <c r="F7488" s="43"/>
      <c r="G7488" s="48">
        <f t="shared" si="185"/>
        <v>57105.467741935281</v>
      </c>
      <c r="H7488" s="391" t="s">
        <v>9568</v>
      </c>
    </row>
    <row r="7489" spans="1:10" x14ac:dyDescent="0.3">
      <c r="A7489" s="45">
        <v>45202</v>
      </c>
      <c r="B7489" s="586"/>
      <c r="C7489" s="486"/>
      <c r="D7489" s="497" t="s">
        <v>12333</v>
      </c>
      <c r="E7489" s="486"/>
      <c r="F7489" s="28">
        <v>50000</v>
      </c>
      <c r="G7489" s="48">
        <f t="shared" si="185"/>
        <v>107105.46774193528</v>
      </c>
      <c r="H7489" s="391" t="s">
        <v>9568</v>
      </c>
    </row>
    <row r="7490" spans="1:10" x14ac:dyDescent="0.3">
      <c r="A7490" s="45">
        <v>45202</v>
      </c>
      <c r="B7490" s="589" t="s">
        <v>12138</v>
      </c>
      <c r="C7490" s="5" t="s">
        <v>11194</v>
      </c>
      <c r="D7490" s="124" t="s">
        <v>12331</v>
      </c>
      <c r="E7490" s="43">
        <v>25200</v>
      </c>
      <c r="F7490" s="43"/>
      <c r="G7490" s="48">
        <f t="shared" si="185"/>
        <v>81905.467741935281</v>
      </c>
      <c r="H7490" s="391" t="s">
        <v>9568</v>
      </c>
    </row>
    <row r="7491" spans="1:10" x14ac:dyDescent="0.3">
      <c r="A7491" s="45">
        <v>45202</v>
      </c>
      <c r="B7491" s="589" t="s">
        <v>12138</v>
      </c>
      <c r="C7491" s="5" t="s">
        <v>11194</v>
      </c>
      <c r="D7491" s="124" t="s">
        <v>12332</v>
      </c>
      <c r="E7491" s="43">
        <v>5000</v>
      </c>
      <c r="F7491" s="43"/>
      <c r="G7491" s="48">
        <f t="shared" si="185"/>
        <v>76905.467741935281</v>
      </c>
      <c r="H7491" s="391" t="s">
        <v>9568</v>
      </c>
    </row>
    <row r="7492" spans="1:10" x14ac:dyDescent="0.3">
      <c r="A7492" s="45">
        <v>45202</v>
      </c>
      <c r="B7492" s="589" t="s">
        <v>12093</v>
      </c>
      <c r="C7492" s="5" t="s">
        <v>6430</v>
      </c>
      <c r="D7492" s="124" t="s">
        <v>11276</v>
      </c>
      <c r="E7492" s="43">
        <v>6000</v>
      </c>
      <c r="F7492" s="43"/>
      <c r="G7492" s="48">
        <f t="shared" si="185"/>
        <v>70905.467741935281</v>
      </c>
      <c r="H7492" s="391" t="s">
        <v>9568</v>
      </c>
    </row>
    <row r="7493" spans="1:10" x14ac:dyDescent="0.3">
      <c r="A7493" s="45">
        <v>45202</v>
      </c>
      <c r="B7493" s="589"/>
      <c r="C7493" s="5" t="s">
        <v>6430</v>
      </c>
      <c r="D7493" s="124" t="s">
        <v>294</v>
      </c>
      <c r="E7493" s="43">
        <v>2000</v>
      </c>
      <c r="F7493" s="43"/>
      <c r="G7493" s="48">
        <f t="shared" si="185"/>
        <v>68905.467741935281</v>
      </c>
      <c r="H7493" s="391" t="s">
        <v>9568</v>
      </c>
    </row>
    <row r="7494" spans="1:10" x14ac:dyDescent="0.3">
      <c r="A7494" s="45">
        <v>45202</v>
      </c>
      <c r="B7494" s="589" t="s">
        <v>12089</v>
      </c>
      <c r="C7494" s="5" t="s">
        <v>57</v>
      </c>
      <c r="D7494" s="124" t="s">
        <v>12164</v>
      </c>
      <c r="E7494" s="43">
        <v>2000</v>
      </c>
      <c r="F7494" s="43"/>
      <c r="G7494" s="48">
        <f t="shared" si="185"/>
        <v>66905.467741935281</v>
      </c>
      <c r="H7494" s="391" t="s">
        <v>9568</v>
      </c>
    </row>
    <row r="7495" spans="1:10" x14ac:dyDescent="0.3">
      <c r="A7495" s="45">
        <v>45202</v>
      </c>
      <c r="B7495" s="589" t="s">
        <v>12088</v>
      </c>
      <c r="C7495" s="5" t="s">
        <v>5793</v>
      </c>
      <c r="D7495" s="124" t="s">
        <v>8924</v>
      </c>
      <c r="E7495" s="43">
        <v>250</v>
      </c>
      <c r="F7495" s="43"/>
      <c r="G7495" s="48">
        <f t="shared" si="185"/>
        <v>66655.467741935281</v>
      </c>
      <c r="H7495" s="391" t="s">
        <v>9568</v>
      </c>
    </row>
    <row r="7496" spans="1:10" x14ac:dyDescent="0.3">
      <c r="A7496" s="45">
        <v>45202</v>
      </c>
      <c r="B7496" s="589" t="s">
        <v>12132</v>
      </c>
      <c r="C7496" s="5" t="s">
        <v>5793</v>
      </c>
      <c r="D7496" s="124" t="s">
        <v>12335</v>
      </c>
      <c r="E7496" s="43">
        <v>250</v>
      </c>
      <c r="F7496" s="43"/>
      <c r="G7496" s="48">
        <f t="shared" si="185"/>
        <v>66405.467741935281</v>
      </c>
      <c r="H7496" s="391" t="s">
        <v>9568</v>
      </c>
    </row>
    <row r="7497" spans="1:10" x14ac:dyDescent="0.3">
      <c r="A7497" s="45">
        <v>45202</v>
      </c>
      <c r="B7497" s="589" t="s">
        <v>25</v>
      </c>
      <c r="C7497" s="44" t="s">
        <v>25</v>
      </c>
      <c r="D7497" s="44" t="s">
        <v>11455</v>
      </c>
      <c r="E7497" s="28">
        <v>4000</v>
      </c>
      <c r="F7497" s="43"/>
      <c r="G7497" s="48">
        <f t="shared" si="185"/>
        <v>62405.467741935281</v>
      </c>
      <c r="H7497" s="391" t="s">
        <v>9568</v>
      </c>
      <c r="I7497" s="52">
        <v>9500000</v>
      </c>
    </row>
    <row r="7498" spans="1:10" x14ac:dyDescent="0.3">
      <c r="A7498" s="45">
        <v>45202</v>
      </c>
      <c r="B7498" s="589"/>
      <c r="C7498" s="5" t="s">
        <v>57</v>
      </c>
      <c r="D7498" s="124" t="s">
        <v>294</v>
      </c>
      <c r="E7498" s="43">
        <v>1000</v>
      </c>
      <c r="F7498" s="43"/>
      <c r="G7498" s="48">
        <f t="shared" si="185"/>
        <v>61405.467741935281</v>
      </c>
      <c r="H7498" s="391" t="s">
        <v>9568</v>
      </c>
      <c r="I7498" s="52">
        <f>I7497*1.8</f>
        <v>17100000</v>
      </c>
    </row>
    <row r="7499" spans="1:10" x14ac:dyDescent="0.3">
      <c r="A7499" s="45">
        <v>45202</v>
      </c>
      <c r="B7499" s="589" t="s">
        <v>12089</v>
      </c>
      <c r="C7499" s="5" t="s">
        <v>11194</v>
      </c>
      <c r="D7499" s="124" t="s">
        <v>12336</v>
      </c>
      <c r="E7499" s="43">
        <v>6500</v>
      </c>
      <c r="F7499" s="43"/>
      <c r="G7499" s="48">
        <f t="shared" si="185"/>
        <v>54905.467741935281</v>
      </c>
      <c r="H7499" s="391" t="s">
        <v>9568</v>
      </c>
    </row>
    <row r="7500" spans="1:10" x14ac:dyDescent="0.3">
      <c r="A7500" s="45">
        <v>45202</v>
      </c>
      <c r="B7500" s="589"/>
      <c r="C7500" s="5" t="s">
        <v>5793</v>
      </c>
      <c r="D7500" s="124" t="s">
        <v>40</v>
      </c>
      <c r="E7500" s="43">
        <v>2200</v>
      </c>
      <c r="F7500" s="43"/>
      <c r="G7500" s="48">
        <f t="shared" si="185"/>
        <v>52705.467741935281</v>
      </c>
      <c r="H7500" s="391" t="s">
        <v>9568</v>
      </c>
    </row>
    <row r="7501" spans="1:10" ht="37.5" x14ac:dyDescent="0.3">
      <c r="A7501" s="45">
        <v>45202</v>
      </c>
      <c r="B7501" s="589" t="s">
        <v>12138</v>
      </c>
      <c r="C7501" s="5" t="s">
        <v>11194</v>
      </c>
      <c r="D7501" s="124" t="s">
        <v>12334</v>
      </c>
      <c r="E7501" s="43">
        <v>36675</v>
      </c>
      <c r="F7501" s="43"/>
      <c r="G7501" s="48">
        <f t="shared" si="185"/>
        <v>16030.467741935281</v>
      </c>
      <c r="H7501" s="391" t="s">
        <v>9568</v>
      </c>
    </row>
    <row r="7502" spans="1:10" x14ac:dyDescent="0.3">
      <c r="A7502" s="45">
        <v>45202</v>
      </c>
      <c r="B7502" s="589" t="s">
        <v>12189</v>
      </c>
      <c r="C7502" s="5" t="s">
        <v>11194</v>
      </c>
      <c r="D7502" s="124" t="s">
        <v>12343</v>
      </c>
      <c r="E7502" s="43">
        <v>3500</v>
      </c>
      <c r="F7502" s="43"/>
      <c r="G7502" s="48">
        <f t="shared" si="185"/>
        <v>12530.467741935281</v>
      </c>
      <c r="H7502" s="391" t="s">
        <v>9568</v>
      </c>
    </row>
    <row r="7503" spans="1:10" x14ac:dyDescent="0.3">
      <c r="A7503" s="45">
        <v>45202</v>
      </c>
      <c r="B7503" s="589" t="s">
        <v>12138</v>
      </c>
      <c r="C7503" s="5" t="s">
        <v>30</v>
      </c>
      <c r="D7503" s="124" t="s">
        <v>10651</v>
      </c>
      <c r="E7503" s="43">
        <v>500</v>
      </c>
      <c r="F7503" s="43"/>
      <c r="G7503" s="48">
        <f t="shared" si="185"/>
        <v>12030.467741935281</v>
      </c>
      <c r="H7503" s="391" t="s">
        <v>9568</v>
      </c>
    </row>
    <row r="7504" spans="1:10" x14ac:dyDescent="0.3">
      <c r="A7504" s="45">
        <v>45202</v>
      </c>
      <c r="B7504" s="589" t="s">
        <v>12138</v>
      </c>
      <c r="C7504" s="5" t="s">
        <v>5793</v>
      </c>
      <c r="D7504" s="124" t="s">
        <v>40</v>
      </c>
      <c r="E7504" s="43">
        <v>1000</v>
      </c>
      <c r="F7504" s="43"/>
      <c r="G7504" s="48">
        <f t="shared" si="185"/>
        <v>11030.467741935281</v>
      </c>
      <c r="H7504" s="391" t="s">
        <v>9568</v>
      </c>
      <c r="J7504" s="52">
        <v>36675</v>
      </c>
    </row>
    <row r="7505" spans="1:10" x14ac:dyDescent="0.3">
      <c r="A7505" s="45">
        <v>45202</v>
      </c>
      <c r="B7505" s="589" t="s">
        <v>10333</v>
      </c>
      <c r="C7505" s="5" t="s">
        <v>5793</v>
      </c>
      <c r="D7505" s="124" t="s">
        <v>40</v>
      </c>
      <c r="E7505" s="43">
        <v>2000</v>
      </c>
      <c r="F7505" s="43"/>
      <c r="G7505" s="48">
        <f t="shared" si="185"/>
        <v>9030.4677419352811</v>
      </c>
      <c r="H7505" s="391" t="s">
        <v>9568</v>
      </c>
      <c r="J7505" s="52">
        <v>3500</v>
      </c>
    </row>
    <row r="7506" spans="1:10" x14ac:dyDescent="0.3">
      <c r="A7506" s="45">
        <v>45202</v>
      </c>
      <c r="B7506" s="589" t="s">
        <v>12138</v>
      </c>
      <c r="C7506" s="5" t="s">
        <v>5793</v>
      </c>
      <c r="D7506" s="124" t="s">
        <v>40</v>
      </c>
      <c r="E7506" s="43">
        <v>1500</v>
      </c>
      <c r="F7506" s="43"/>
      <c r="G7506" s="48">
        <f t="shared" si="185"/>
        <v>7530.4677419352811</v>
      </c>
      <c r="H7506" s="391" t="s">
        <v>9568</v>
      </c>
      <c r="J7506" s="52">
        <v>1000</v>
      </c>
    </row>
    <row r="7507" spans="1:10" x14ac:dyDescent="0.3">
      <c r="A7507" s="45">
        <v>45203</v>
      </c>
      <c r="B7507" s="586"/>
      <c r="C7507" s="486"/>
      <c r="D7507" s="497" t="s">
        <v>12333</v>
      </c>
      <c r="E7507" s="486"/>
      <c r="F7507" s="28">
        <v>179200</v>
      </c>
      <c r="G7507" s="48">
        <f t="shared" si="185"/>
        <v>186730.46774193528</v>
      </c>
      <c r="H7507" s="391" t="s">
        <v>9568</v>
      </c>
    </row>
    <row r="7508" spans="1:10" x14ac:dyDescent="0.3">
      <c r="A7508" s="45">
        <v>45203</v>
      </c>
      <c r="B7508" s="589" t="s">
        <v>12138</v>
      </c>
      <c r="C7508" s="5" t="s">
        <v>11194</v>
      </c>
      <c r="D7508" s="124" t="s">
        <v>12344</v>
      </c>
      <c r="E7508" s="43">
        <v>16865</v>
      </c>
      <c r="F7508" s="43"/>
      <c r="G7508" s="48">
        <f t="shared" si="185"/>
        <v>169865.46774193528</v>
      </c>
      <c r="H7508" s="391" t="s">
        <v>9568</v>
      </c>
      <c r="J7508" s="52">
        <v>2000</v>
      </c>
    </row>
    <row r="7509" spans="1:10" x14ac:dyDescent="0.3">
      <c r="A7509" s="45">
        <v>45203</v>
      </c>
      <c r="B7509" s="589"/>
      <c r="C7509" s="5" t="s">
        <v>14</v>
      </c>
      <c r="D7509" s="124" t="s">
        <v>294</v>
      </c>
      <c r="E7509" s="43">
        <v>79200</v>
      </c>
      <c r="F7509" s="43"/>
      <c r="G7509" s="48">
        <f t="shared" si="185"/>
        <v>90665.467741935281</v>
      </c>
      <c r="H7509" s="391" t="s">
        <v>9568</v>
      </c>
    </row>
    <row r="7510" spans="1:10" x14ac:dyDescent="0.3">
      <c r="A7510" s="45">
        <v>45203</v>
      </c>
      <c r="B7510" s="589" t="s">
        <v>10333</v>
      </c>
      <c r="C7510" s="5" t="s">
        <v>11194</v>
      </c>
      <c r="D7510" s="124" t="s">
        <v>12345</v>
      </c>
      <c r="E7510" s="43">
        <v>11220</v>
      </c>
      <c r="F7510" s="43"/>
      <c r="G7510" s="48">
        <f t="shared" si="185"/>
        <v>79445.467741935281</v>
      </c>
      <c r="H7510" s="391" t="s">
        <v>9568</v>
      </c>
      <c r="J7510" s="52">
        <f>SUM(J7504:J7508)</f>
        <v>43175</v>
      </c>
    </row>
    <row r="7511" spans="1:10" x14ac:dyDescent="0.3">
      <c r="A7511" s="45">
        <v>45203</v>
      </c>
      <c r="B7511" s="589" t="s">
        <v>12138</v>
      </c>
      <c r="C7511" s="5" t="s">
        <v>30</v>
      </c>
      <c r="D7511" s="124" t="s">
        <v>10651</v>
      </c>
      <c r="E7511" s="43">
        <v>800</v>
      </c>
      <c r="F7511" s="43"/>
      <c r="G7511" s="48">
        <f t="shared" si="185"/>
        <v>78645.467741935281</v>
      </c>
      <c r="H7511" s="391" t="s">
        <v>9568</v>
      </c>
      <c r="J7511" s="52">
        <v>40000</v>
      </c>
    </row>
    <row r="7512" spans="1:10" x14ac:dyDescent="0.3">
      <c r="A7512" s="45">
        <v>45204</v>
      </c>
      <c r="B7512" s="589" t="s">
        <v>25</v>
      </c>
      <c r="C7512" s="44" t="s">
        <v>25</v>
      </c>
      <c r="D7512" s="44" t="s">
        <v>11455</v>
      </c>
      <c r="E7512" s="28">
        <v>3500</v>
      </c>
      <c r="F7512" s="43"/>
      <c r="G7512" s="48">
        <f t="shared" si="185"/>
        <v>75145.467741935281</v>
      </c>
      <c r="H7512" s="391" t="s">
        <v>9568</v>
      </c>
      <c r="J7512" s="52">
        <f>J7510-J7511</f>
        <v>3175</v>
      </c>
    </row>
    <row r="7513" spans="1:10" x14ac:dyDescent="0.3">
      <c r="A7513" s="45">
        <v>45204</v>
      </c>
      <c r="B7513" s="589" t="s">
        <v>12138</v>
      </c>
      <c r="C7513" s="5" t="s">
        <v>5793</v>
      </c>
      <c r="D7513" s="124" t="s">
        <v>40</v>
      </c>
      <c r="E7513" s="43">
        <v>1700</v>
      </c>
      <c r="F7513" s="43"/>
      <c r="G7513" s="48">
        <f t="shared" si="185"/>
        <v>73445.467741935281</v>
      </c>
      <c r="H7513" s="391" t="s">
        <v>9568</v>
      </c>
      <c r="J7513" s="52">
        <v>16865</v>
      </c>
    </row>
    <row r="7514" spans="1:10" x14ac:dyDescent="0.3">
      <c r="A7514" s="45">
        <v>45204</v>
      </c>
      <c r="B7514" s="589" t="s">
        <v>10615</v>
      </c>
      <c r="C7514" s="5" t="s">
        <v>84</v>
      </c>
      <c r="D7514" s="124" t="s">
        <v>12346</v>
      </c>
      <c r="E7514" s="43">
        <v>1000</v>
      </c>
      <c r="F7514" s="43"/>
      <c r="G7514" s="48">
        <f t="shared" si="185"/>
        <v>72445.467741935281</v>
      </c>
      <c r="H7514" s="391" t="s">
        <v>9568</v>
      </c>
      <c r="J7514" s="52">
        <v>11220</v>
      </c>
    </row>
    <row r="7515" spans="1:10" x14ac:dyDescent="0.3">
      <c r="A7515" s="45">
        <v>45204</v>
      </c>
      <c r="B7515" s="589" t="s">
        <v>10615</v>
      </c>
      <c r="C7515" s="5" t="s">
        <v>84</v>
      </c>
      <c r="D7515" s="124" t="s">
        <v>12347</v>
      </c>
      <c r="E7515" s="43">
        <v>2000</v>
      </c>
      <c r="F7515" s="43"/>
      <c r="G7515" s="48">
        <f t="shared" si="185"/>
        <v>70445.467741935281</v>
      </c>
      <c r="H7515" s="391" t="s">
        <v>9568</v>
      </c>
      <c r="J7515" s="52">
        <f>J7514+J7513+J7512</f>
        <v>31260</v>
      </c>
    </row>
    <row r="7516" spans="1:10" x14ac:dyDescent="0.3">
      <c r="A7516" s="45">
        <v>45204</v>
      </c>
      <c r="B7516" s="589" t="s">
        <v>10615</v>
      </c>
      <c r="C7516" s="5" t="s">
        <v>84</v>
      </c>
      <c r="D7516" s="124" t="s">
        <v>12348</v>
      </c>
      <c r="E7516" s="43">
        <v>2000</v>
      </c>
      <c r="F7516" s="43"/>
      <c r="G7516" s="48">
        <f t="shared" si="185"/>
        <v>68445.467741935281</v>
      </c>
      <c r="H7516" s="391" t="s">
        <v>9568</v>
      </c>
      <c r="J7516" s="52">
        <v>800</v>
      </c>
    </row>
    <row r="7517" spans="1:10" x14ac:dyDescent="0.3">
      <c r="A7517" s="45">
        <v>45204</v>
      </c>
      <c r="B7517" s="589" t="s">
        <v>10615</v>
      </c>
      <c r="C7517" s="5" t="s">
        <v>84</v>
      </c>
      <c r="D7517" s="124" t="s">
        <v>12349</v>
      </c>
      <c r="E7517" s="43">
        <v>15000</v>
      </c>
      <c r="F7517" s="43"/>
      <c r="G7517" s="48">
        <f t="shared" si="185"/>
        <v>53445.467741935281</v>
      </c>
      <c r="H7517" s="391" t="s">
        <v>9568</v>
      </c>
      <c r="J7517" s="52">
        <f>J7516+J7515</f>
        <v>32060</v>
      </c>
    </row>
    <row r="7518" spans="1:10" x14ac:dyDescent="0.3">
      <c r="A7518" s="45">
        <v>45204</v>
      </c>
      <c r="B7518" s="589" t="s">
        <v>10333</v>
      </c>
      <c r="C7518" s="5" t="s">
        <v>5793</v>
      </c>
      <c r="D7518" s="124" t="s">
        <v>40</v>
      </c>
      <c r="E7518" s="43">
        <v>3300</v>
      </c>
      <c r="F7518" s="43"/>
      <c r="G7518" s="48">
        <f t="shared" si="185"/>
        <v>50145.467741935281</v>
      </c>
      <c r="H7518" s="391" t="s">
        <v>9568</v>
      </c>
      <c r="J7518" s="52">
        <v>30000</v>
      </c>
    </row>
    <row r="7519" spans="1:10" x14ac:dyDescent="0.3">
      <c r="A7519" s="45">
        <v>45204</v>
      </c>
      <c r="B7519" s="589" t="s">
        <v>12138</v>
      </c>
      <c r="C7519" s="5" t="s">
        <v>11194</v>
      </c>
      <c r="D7519" s="124" t="s">
        <v>12350</v>
      </c>
      <c r="E7519" s="43">
        <v>400</v>
      </c>
      <c r="F7519" s="43"/>
      <c r="G7519" s="48">
        <f t="shared" si="185"/>
        <v>49745.467741935281</v>
      </c>
      <c r="H7519" s="391" t="s">
        <v>9568</v>
      </c>
      <c r="J7519" s="52">
        <f>J7517-J7518</f>
        <v>2060</v>
      </c>
    </row>
    <row r="7520" spans="1:10" x14ac:dyDescent="0.3">
      <c r="A7520" s="45">
        <v>45204</v>
      </c>
      <c r="B7520" s="589" t="s">
        <v>12087</v>
      </c>
      <c r="C7520" s="5" t="s">
        <v>5793</v>
      </c>
      <c r="D7520" s="124" t="s">
        <v>40</v>
      </c>
      <c r="E7520" s="43">
        <v>1000</v>
      </c>
      <c r="F7520" s="43"/>
      <c r="G7520" s="48">
        <f t="shared" si="185"/>
        <v>48745.467741935281</v>
      </c>
      <c r="H7520" s="391" t="s">
        <v>9568</v>
      </c>
    </row>
    <row r="7521" spans="1:11" x14ac:dyDescent="0.3">
      <c r="A7521" s="45">
        <v>45205</v>
      </c>
      <c r="B7521" s="589" t="s">
        <v>10333</v>
      </c>
      <c r="C7521" s="5" t="s">
        <v>5793</v>
      </c>
      <c r="D7521" s="124" t="s">
        <v>40</v>
      </c>
      <c r="E7521" s="43">
        <v>2300</v>
      </c>
      <c r="F7521" s="43"/>
      <c r="G7521" s="48">
        <f t="shared" si="185"/>
        <v>46445.467741935281</v>
      </c>
      <c r="H7521" s="391" t="s">
        <v>9568</v>
      </c>
    </row>
    <row r="7522" spans="1:11" x14ac:dyDescent="0.3">
      <c r="A7522" s="45">
        <v>45205</v>
      </c>
      <c r="B7522" s="589" t="s">
        <v>11772</v>
      </c>
      <c r="C7522" s="5" t="s">
        <v>11194</v>
      </c>
      <c r="D7522" s="124" t="s">
        <v>12352</v>
      </c>
      <c r="E7522" s="43">
        <v>800</v>
      </c>
      <c r="F7522" s="43"/>
      <c r="G7522" s="48">
        <f t="shared" si="185"/>
        <v>45645.467741935281</v>
      </c>
      <c r="H7522" s="391" t="s">
        <v>9568</v>
      </c>
    </row>
    <row r="7523" spans="1:11" x14ac:dyDescent="0.3">
      <c r="A7523" s="45">
        <v>45205</v>
      </c>
      <c r="B7523" s="589"/>
      <c r="C7523" s="5" t="s">
        <v>18</v>
      </c>
      <c r="D7523" s="124" t="s">
        <v>4319</v>
      </c>
      <c r="E7523" s="43">
        <v>500</v>
      </c>
      <c r="F7523" s="43"/>
      <c r="G7523" s="48">
        <f t="shared" si="185"/>
        <v>45145.467741935281</v>
      </c>
      <c r="H7523" s="391" t="s">
        <v>9568</v>
      </c>
    </row>
    <row r="7524" spans="1:11" x14ac:dyDescent="0.3">
      <c r="A7524" s="45">
        <v>45205</v>
      </c>
      <c r="B7524" s="589" t="s">
        <v>25</v>
      </c>
      <c r="C7524" s="44" t="s">
        <v>25</v>
      </c>
      <c r="D7524" s="44" t="s">
        <v>11455</v>
      </c>
      <c r="E7524" s="28">
        <v>3500</v>
      </c>
      <c r="F7524" s="43"/>
      <c r="G7524" s="48">
        <f t="shared" ref="G7524:G7602" si="187">G7523+F7524-E7524</f>
        <v>41645.467741935281</v>
      </c>
      <c r="H7524" s="391" t="s">
        <v>9568</v>
      </c>
    </row>
    <row r="7525" spans="1:11" x14ac:dyDescent="0.3">
      <c r="A7525" s="45">
        <v>45205</v>
      </c>
      <c r="B7525" s="589" t="s">
        <v>12089</v>
      </c>
      <c r="C7525" s="5" t="s">
        <v>12127</v>
      </c>
      <c r="D7525" s="124" t="s">
        <v>12239</v>
      </c>
      <c r="E7525" s="43">
        <v>15000</v>
      </c>
      <c r="F7525" s="43"/>
      <c r="G7525" s="48">
        <f t="shared" si="187"/>
        <v>26645.467741935281</v>
      </c>
      <c r="H7525" s="391" t="s">
        <v>9568</v>
      </c>
    </row>
    <row r="7526" spans="1:11" x14ac:dyDescent="0.3">
      <c r="A7526" s="45">
        <v>45205</v>
      </c>
      <c r="B7526" s="586"/>
      <c r="C7526" s="486"/>
      <c r="D7526" s="497" t="s">
        <v>4106</v>
      </c>
      <c r="E7526" s="486"/>
      <c r="F7526" s="28">
        <v>483000</v>
      </c>
      <c r="G7526" s="48">
        <f t="shared" si="187"/>
        <v>509645.46774193528</v>
      </c>
      <c r="H7526" s="391" t="s">
        <v>9568</v>
      </c>
    </row>
    <row r="7527" spans="1:11" x14ac:dyDescent="0.3">
      <c r="A7527" s="45">
        <v>45205</v>
      </c>
      <c r="B7527" s="399" t="s">
        <v>10333</v>
      </c>
      <c r="C7527" s="5" t="s">
        <v>11194</v>
      </c>
      <c r="D7527" s="124" t="s">
        <v>12355</v>
      </c>
      <c r="E7527" s="43">
        <v>24000</v>
      </c>
      <c r="F7527" s="43"/>
      <c r="G7527" s="48">
        <f t="shared" si="187"/>
        <v>485645.46774193528</v>
      </c>
      <c r="H7527" s="391" t="s">
        <v>9568</v>
      </c>
    </row>
    <row r="7528" spans="1:11" x14ac:dyDescent="0.3">
      <c r="A7528" s="45">
        <v>45205</v>
      </c>
      <c r="B7528" s="399" t="s">
        <v>11772</v>
      </c>
      <c r="C7528" s="5" t="s">
        <v>11194</v>
      </c>
      <c r="D7528" s="124" t="s">
        <v>12356</v>
      </c>
      <c r="E7528" s="43">
        <v>6370</v>
      </c>
      <c r="F7528" s="43"/>
      <c r="G7528" s="48">
        <f t="shared" si="187"/>
        <v>479275.46774193528</v>
      </c>
      <c r="H7528" s="391" t="s">
        <v>9568</v>
      </c>
      <c r="I7528" s="52" t="e">
        <f>#REF!</f>
        <v>#REF!</v>
      </c>
    </row>
    <row r="7529" spans="1:11" x14ac:dyDescent="0.3">
      <c r="A7529" s="45">
        <v>45205</v>
      </c>
      <c r="B7529" s="399" t="s">
        <v>12087</v>
      </c>
      <c r="C7529" s="5" t="s">
        <v>11194</v>
      </c>
      <c r="D7529" s="124" t="s">
        <v>12356</v>
      </c>
      <c r="E7529" s="43">
        <v>36500</v>
      </c>
      <c r="F7529" s="43"/>
      <c r="G7529" s="48">
        <f t="shared" si="187"/>
        <v>442775.46774193528</v>
      </c>
      <c r="H7529" s="391" t="s">
        <v>9568</v>
      </c>
      <c r="I7529" s="52">
        <f ca="1">SUMIF(C7519:E7567,"salary",E7519:E7567)</f>
        <v>1543659</v>
      </c>
      <c r="K7529" s="52">
        <v>35000</v>
      </c>
    </row>
    <row r="7530" spans="1:11" x14ac:dyDescent="0.3">
      <c r="A7530" s="45">
        <v>45205</v>
      </c>
      <c r="B7530" s="586"/>
      <c r="C7530" s="486"/>
      <c r="D7530" s="497" t="s">
        <v>12364</v>
      </c>
      <c r="E7530" s="486"/>
      <c r="F7530" s="28">
        <v>1000000</v>
      </c>
      <c r="G7530" s="48">
        <f t="shared" si="187"/>
        <v>1442775.4677419353</v>
      </c>
      <c r="H7530" s="391" t="s">
        <v>9568</v>
      </c>
      <c r="I7530" s="52" t="e">
        <f ca="1">I7528-I7529</f>
        <v>#REF!</v>
      </c>
    </row>
    <row r="7531" spans="1:11" x14ac:dyDescent="0.3">
      <c r="A7531" s="45">
        <v>45205</v>
      </c>
      <c r="B7531" s="399" t="s">
        <v>12093</v>
      </c>
      <c r="C7531" s="5" t="s">
        <v>11194</v>
      </c>
      <c r="D7531" s="124" t="s">
        <v>12357</v>
      </c>
      <c r="E7531" s="43">
        <v>2800</v>
      </c>
      <c r="F7531" s="43"/>
      <c r="G7531" s="48">
        <f t="shared" si="187"/>
        <v>1439975.4677419353</v>
      </c>
      <c r="H7531" s="391" t="s">
        <v>9568</v>
      </c>
    </row>
    <row r="7532" spans="1:11" x14ac:dyDescent="0.3">
      <c r="A7532" s="45">
        <v>45205</v>
      </c>
      <c r="B7532" s="399"/>
      <c r="C7532" s="5" t="s">
        <v>54</v>
      </c>
      <c r="D7532" s="124" t="s">
        <v>12373</v>
      </c>
      <c r="E7532" s="43">
        <f>5000+17000</f>
        <v>22000</v>
      </c>
      <c r="F7532" s="43"/>
      <c r="G7532" s="48">
        <f t="shared" si="187"/>
        <v>1417975.4677419353</v>
      </c>
      <c r="H7532" s="391" t="s">
        <v>9568</v>
      </c>
    </row>
    <row r="7533" spans="1:11" x14ac:dyDescent="0.3">
      <c r="A7533" s="45">
        <v>45205</v>
      </c>
      <c r="B7533" s="399"/>
      <c r="C7533" s="5" t="s">
        <v>54</v>
      </c>
      <c r="D7533" s="124" t="s">
        <v>12368</v>
      </c>
      <c r="E7533" s="43">
        <v>207637.5</v>
      </c>
      <c r="F7533" s="43"/>
      <c r="G7533" s="48">
        <f t="shared" si="187"/>
        <v>1210337.9677419353</v>
      </c>
      <c r="H7533" s="391" t="s">
        <v>9568</v>
      </c>
      <c r="K7533" s="52">
        <v>10000</v>
      </c>
    </row>
    <row r="7534" spans="1:11" x14ac:dyDescent="0.3">
      <c r="A7534" s="45">
        <v>45205</v>
      </c>
      <c r="B7534" s="399"/>
      <c r="C7534" s="5" t="s">
        <v>54</v>
      </c>
      <c r="D7534" s="124" t="s">
        <v>12370</v>
      </c>
      <c r="E7534" s="43">
        <v>127466.66666666666</v>
      </c>
      <c r="F7534" s="43"/>
      <c r="G7534" s="48">
        <f t="shared" si="187"/>
        <v>1082871.3010752685</v>
      </c>
      <c r="H7534" s="391" t="s">
        <v>9568</v>
      </c>
    </row>
    <row r="7535" spans="1:11" x14ac:dyDescent="0.3">
      <c r="A7535" s="45">
        <v>45205</v>
      </c>
      <c r="B7535" s="399"/>
      <c r="C7535" s="5" t="s">
        <v>54</v>
      </c>
      <c r="D7535" s="124" t="s">
        <v>12371</v>
      </c>
      <c r="E7535" s="43">
        <v>298300.00000000006</v>
      </c>
      <c r="F7535" s="43"/>
      <c r="G7535" s="48">
        <f t="shared" si="187"/>
        <v>784571.30107526854</v>
      </c>
      <c r="H7535" s="391" t="s">
        <v>9568</v>
      </c>
    </row>
    <row r="7536" spans="1:11" x14ac:dyDescent="0.3">
      <c r="A7536" s="45">
        <v>45205</v>
      </c>
      <c r="B7536" s="399"/>
      <c r="C7536" s="5" t="s">
        <v>54</v>
      </c>
      <c r="D7536" s="124" t="s">
        <v>12369</v>
      </c>
      <c r="E7536" s="43">
        <v>168295.83333333331</v>
      </c>
      <c r="F7536" s="43"/>
      <c r="G7536" s="48">
        <f t="shared" si="187"/>
        <v>616275.46774193528</v>
      </c>
      <c r="H7536" s="391" t="s">
        <v>9568</v>
      </c>
    </row>
    <row r="7537" spans="1:9" x14ac:dyDescent="0.3">
      <c r="A7537" s="45">
        <v>45205</v>
      </c>
      <c r="B7537" s="399"/>
      <c r="C7537" s="5" t="s">
        <v>54</v>
      </c>
      <c r="D7537" s="124" t="s">
        <v>12372</v>
      </c>
      <c r="E7537" s="43">
        <v>45000</v>
      </c>
      <c r="F7537" s="43"/>
      <c r="G7537" s="48">
        <f t="shared" si="187"/>
        <v>571275.46774193528</v>
      </c>
      <c r="H7537" s="391" t="s">
        <v>9568</v>
      </c>
    </row>
    <row r="7538" spans="1:9" x14ac:dyDescent="0.3">
      <c r="A7538" s="45">
        <v>45205</v>
      </c>
      <c r="B7538" s="399"/>
      <c r="C7538" s="5" t="s">
        <v>4550</v>
      </c>
      <c r="D7538" s="124" t="s">
        <v>3910</v>
      </c>
      <c r="E7538" s="43">
        <v>150000</v>
      </c>
      <c r="F7538" s="43"/>
      <c r="G7538" s="48">
        <f t="shared" si="187"/>
        <v>421275.46774193528</v>
      </c>
      <c r="H7538" s="391" t="s">
        <v>9568</v>
      </c>
    </row>
    <row r="7539" spans="1:9" x14ac:dyDescent="0.3">
      <c r="A7539" s="45">
        <v>45206</v>
      </c>
      <c r="B7539" s="399" t="s">
        <v>12093</v>
      </c>
      <c r="C7539" s="5" t="s">
        <v>5793</v>
      </c>
      <c r="D7539" s="124" t="s">
        <v>40</v>
      </c>
      <c r="E7539" s="43">
        <v>1400</v>
      </c>
      <c r="F7539" s="43"/>
      <c r="G7539" s="48">
        <f t="shared" si="187"/>
        <v>419875.46774193528</v>
      </c>
      <c r="H7539" s="391" t="s">
        <v>9568</v>
      </c>
    </row>
    <row r="7540" spans="1:9" x14ac:dyDescent="0.3">
      <c r="A7540" s="45">
        <v>45206</v>
      </c>
      <c r="B7540" s="399" t="s">
        <v>12138</v>
      </c>
      <c r="C7540" s="5" t="s">
        <v>11194</v>
      </c>
      <c r="D7540" s="124" t="s">
        <v>12358</v>
      </c>
      <c r="E7540" s="43">
        <v>66400</v>
      </c>
      <c r="F7540" s="43"/>
      <c r="G7540" s="48">
        <f t="shared" si="187"/>
        <v>353475.46774193528</v>
      </c>
      <c r="H7540" s="391" t="s">
        <v>9568</v>
      </c>
    </row>
    <row r="7541" spans="1:9" x14ac:dyDescent="0.3">
      <c r="A7541" s="45">
        <v>45206</v>
      </c>
      <c r="B7541" s="399" t="s">
        <v>25</v>
      </c>
      <c r="C7541" s="5" t="s">
        <v>64</v>
      </c>
      <c r="D7541" s="124" t="s">
        <v>3332</v>
      </c>
      <c r="E7541" s="43">
        <v>2100</v>
      </c>
      <c r="F7541" s="43"/>
      <c r="G7541" s="48">
        <f t="shared" si="187"/>
        <v>351375.46774193528</v>
      </c>
      <c r="H7541" s="391" t="s">
        <v>9568</v>
      </c>
    </row>
    <row r="7542" spans="1:9" x14ac:dyDescent="0.3">
      <c r="A7542" s="45">
        <v>45206</v>
      </c>
      <c r="B7542" s="399"/>
      <c r="C7542" s="5" t="s">
        <v>84</v>
      </c>
      <c r="D7542" s="124" t="s">
        <v>12359</v>
      </c>
      <c r="E7542" s="43">
        <v>20000</v>
      </c>
      <c r="F7542" s="43"/>
      <c r="G7542" s="48">
        <f t="shared" si="187"/>
        <v>331375.46774193528</v>
      </c>
      <c r="H7542" s="391" t="s">
        <v>9568</v>
      </c>
    </row>
    <row r="7543" spans="1:9" x14ac:dyDescent="0.3">
      <c r="A7543" s="45">
        <v>45206</v>
      </c>
      <c r="B7543" s="399" t="s">
        <v>12092</v>
      </c>
      <c r="C7543" s="5" t="s">
        <v>11194</v>
      </c>
      <c r="D7543" s="124" t="s">
        <v>12360</v>
      </c>
      <c r="E7543" s="43">
        <v>15180</v>
      </c>
      <c r="F7543" s="43"/>
      <c r="G7543" s="48">
        <f t="shared" si="187"/>
        <v>316195.46774193528</v>
      </c>
      <c r="H7543" s="391" t="s">
        <v>9568</v>
      </c>
    </row>
    <row r="7544" spans="1:9" x14ac:dyDescent="0.3">
      <c r="A7544" s="45">
        <v>45206</v>
      </c>
      <c r="B7544" s="399" t="s">
        <v>12092</v>
      </c>
      <c r="C7544" s="5" t="s">
        <v>30</v>
      </c>
      <c r="D7544" s="124" t="s">
        <v>12367</v>
      </c>
      <c r="E7544" s="43">
        <v>300</v>
      </c>
      <c r="F7544" s="43"/>
      <c r="G7544" s="48">
        <f t="shared" si="187"/>
        <v>315895.46774193528</v>
      </c>
      <c r="H7544" s="391" t="s">
        <v>9568</v>
      </c>
    </row>
    <row r="7545" spans="1:9" x14ac:dyDescent="0.3">
      <c r="A7545" s="45">
        <v>45206</v>
      </c>
      <c r="B7545" s="399"/>
      <c r="C7545" s="5" t="s">
        <v>12361</v>
      </c>
      <c r="D7545" s="124" t="s">
        <v>12362</v>
      </c>
      <c r="E7545" s="43">
        <v>30000</v>
      </c>
      <c r="F7545" s="43"/>
      <c r="G7545" s="48">
        <f t="shared" si="187"/>
        <v>285895.46774193528</v>
      </c>
      <c r="H7545" s="391" t="s">
        <v>9568</v>
      </c>
    </row>
    <row r="7546" spans="1:9" x14ac:dyDescent="0.3">
      <c r="A7546" s="45">
        <v>45206</v>
      </c>
      <c r="B7546" s="399"/>
      <c r="C7546" s="5" t="s">
        <v>12363</v>
      </c>
      <c r="D7546" s="124" t="s">
        <v>11372</v>
      </c>
      <c r="E7546" s="43">
        <v>3000</v>
      </c>
      <c r="F7546" s="43"/>
      <c r="G7546" s="48">
        <f t="shared" si="187"/>
        <v>282895.46774193528</v>
      </c>
      <c r="H7546" s="391" t="s">
        <v>9568</v>
      </c>
    </row>
    <row r="7547" spans="1:9" x14ac:dyDescent="0.3">
      <c r="A7547" s="45">
        <v>45205</v>
      </c>
      <c r="B7547" s="586"/>
      <c r="C7547" s="486"/>
      <c r="D7547" s="497" t="s">
        <v>12364</v>
      </c>
      <c r="E7547" s="486"/>
      <c r="F7547" s="28">
        <v>900000</v>
      </c>
      <c r="G7547" s="48">
        <f t="shared" si="187"/>
        <v>1182895.4677419353</v>
      </c>
      <c r="H7547" s="391" t="s">
        <v>9568</v>
      </c>
      <c r="I7547" s="52">
        <f>I7545-I7546</f>
        <v>0</v>
      </c>
    </row>
    <row r="7548" spans="1:9" x14ac:dyDescent="0.3">
      <c r="A7548" s="45">
        <v>45206</v>
      </c>
      <c r="B7548" s="399" t="s">
        <v>12087</v>
      </c>
      <c r="C7548" s="5" t="s">
        <v>11785</v>
      </c>
      <c r="D7548" s="124" t="s">
        <v>5508</v>
      </c>
      <c r="E7548" s="43">
        <v>200000</v>
      </c>
      <c r="F7548" s="43"/>
      <c r="G7548" s="48">
        <f>G7547+F7548-E7548</f>
        <v>982895.46774193528</v>
      </c>
      <c r="H7548" s="391" t="s">
        <v>9568</v>
      </c>
    </row>
    <row r="7549" spans="1:9" x14ac:dyDescent="0.3">
      <c r="A7549" s="45">
        <v>45206</v>
      </c>
      <c r="B7549" s="399"/>
      <c r="C7549" s="5" t="s">
        <v>5793</v>
      </c>
      <c r="D7549" s="124" t="s">
        <v>40</v>
      </c>
      <c r="E7549" s="43">
        <v>800</v>
      </c>
      <c r="F7549" s="43"/>
      <c r="G7549" s="48">
        <f t="shared" si="187"/>
        <v>982095.46774193528</v>
      </c>
      <c r="H7549" s="391" t="s">
        <v>9568</v>
      </c>
    </row>
    <row r="7550" spans="1:9" x14ac:dyDescent="0.3">
      <c r="A7550" s="45">
        <v>45206</v>
      </c>
      <c r="B7550" s="399" t="s">
        <v>25</v>
      </c>
      <c r="C7550" s="5" t="s">
        <v>3205</v>
      </c>
      <c r="D7550" s="124" t="s">
        <v>4834</v>
      </c>
      <c r="E7550" s="43">
        <v>1400</v>
      </c>
      <c r="F7550" s="43"/>
      <c r="G7550" s="48">
        <f t="shared" si="187"/>
        <v>980695.46774193528</v>
      </c>
      <c r="H7550" s="391" t="s">
        <v>9568</v>
      </c>
    </row>
    <row r="7551" spans="1:9" x14ac:dyDescent="0.3">
      <c r="A7551" s="45">
        <v>45206</v>
      </c>
      <c r="B7551" s="399" t="s">
        <v>10333</v>
      </c>
      <c r="C7551" s="5" t="s">
        <v>5793</v>
      </c>
      <c r="D7551" s="124" t="s">
        <v>40</v>
      </c>
      <c r="E7551" s="43">
        <f>1500+1000+200+410+280</f>
        <v>3390</v>
      </c>
      <c r="F7551" s="43"/>
      <c r="G7551" s="48">
        <f t="shared" si="187"/>
        <v>977305.46774193528</v>
      </c>
      <c r="H7551" s="391" t="s">
        <v>9568</v>
      </c>
    </row>
    <row r="7552" spans="1:9" x14ac:dyDescent="0.3">
      <c r="A7552" s="45">
        <v>45206</v>
      </c>
      <c r="B7552" s="399"/>
      <c r="C7552" s="5" t="s">
        <v>54</v>
      </c>
      <c r="D7552" s="124" t="s">
        <v>11399</v>
      </c>
      <c r="E7552" s="65">
        <f>40000+65000+65000+38000</f>
        <v>208000</v>
      </c>
      <c r="F7552" s="43"/>
      <c r="G7552" s="48">
        <f t="shared" si="187"/>
        <v>769305.46774193528</v>
      </c>
      <c r="H7552" s="391" t="s">
        <v>9568</v>
      </c>
    </row>
    <row r="7553" spans="1:9" x14ac:dyDescent="0.3">
      <c r="A7553" s="45">
        <v>45206</v>
      </c>
      <c r="B7553" s="399" t="s">
        <v>12092</v>
      </c>
      <c r="C7553" s="5" t="s">
        <v>11194</v>
      </c>
      <c r="D7553" s="124" t="s">
        <v>12376</v>
      </c>
      <c r="E7553" s="43">
        <v>58000</v>
      </c>
      <c r="F7553" s="43"/>
      <c r="G7553" s="48">
        <f t="shared" si="187"/>
        <v>711305.46774193528</v>
      </c>
      <c r="H7553" s="391" t="s">
        <v>9568</v>
      </c>
      <c r="I7553" s="52">
        <v>550226</v>
      </c>
    </row>
    <row r="7554" spans="1:9" x14ac:dyDescent="0.3">
      <c r="A7554" s="45">
        <v>45206</v>
      </c>
      <c r="B7554" s="399"/>
      <c r="C7554" s="5" t="s">
        <v>54</v>
      </c>
      <c r="D7554" s="124" t="s">
        <v>12365</v>
      </c>
      <c r="E7554" s="43">
        <f>131879+20000</f>
        <v>151879</v>
      </c>
      <c r="F7554" s="43"/>
      <c r="G7554" s="48">
        <f t="shared" si="187"/>
        <v>559426.46774193528</v>
      </c>
      <c r="H7554" s="391" t="s">
        <v>9568</v>
      </c>
    </row>
    <row r="7555" spans="1:9" x14ac:dyDescent="0.3">
      <c r="A7555" s="45">
        <v>45206</v>
      </c>
      <c r="B7555" s="399" t="s">
        <v>25</v>
      </c>
      <c r="C7555" s="5" t="s">
        <v>12154</v>
      </c>
      <c r="D7555" s="124" t="s">
        <v>12377</v>
      </c>
      <c r="E7555" s="43">
        <v>5000</v>
      </c>
      <c r="F7555" s="43"/>
      <c r="G7555" s="48">
        <f t="shared" si="187"/>
        <v>554426.46774193528</v>
      </c>
      <c r="H7555" s="391" t="s">
        <v>9568</v>
      </c>
    </row>
    <row r="7556" spans="1:9" x14ac:dyDescent="0.3">
      <c r="A7556" s="45">
        <v>45208</v>
      </c>
      <c r="B7556" s="399"/>
      <c r="C7556" s="5" t="s">
        <v>54</v>
      </c>
      <c r="D7556" s="124" t="s">
        <v>12374</v>
      </c>
      <c r="E7556" s="43">
        <v>126700</v>
      </c>
      <c r="F7556" s="43"/>
      <c r="G7556" s="48">
        <f t="shared" si="187"/>
        <v>427726.46774193528</v>
      </c>
      <c r="H7556" s="391" t="s">
        <v>9568</v>
      </c>
    </row>
    <row r="7557" spans="1:9" x14ac:dyDescent="0.3">
      <c r="A7557" s="45">
        <v>45208</v>
      </c>
      <c r="B7557" s="399"/>
      <c r="C7557" s="5" t="s">
        <v>54</v>
      </c>
      <c r="D7557" s="124" t="s">
        <v>12375</v>
      </c>
      <c r="E7557" s="43">
        <v>45000</v>
      </c>
      <c r="F7557" s="43"/>
      <c r="G7557" s="48">
        <f t="shared" si="187"/>
        <v>382726.46774193528</v>
      </c>
      <c r="H7557" s="391" t="s">
        <v>9568</v>
      </c>
    </row>
    <row r="7558" spans="1:9" ht="37.5" x14ac:dyDescent="0.3">
      <c r="A7558" s="45">
        <v>45208</v>
      </c>
      <c r="B7558" s="399"/>
      <c r="C7558" s="5" t="s">
        <v>54</v>
      </c>
      <c r="D7558" s="124" t="s">
        <v>12379</v>
      </c>
      <c r="E7558" s="43">
        <v>76670</v>
      </c>
      <c r="F7558" s="43"/>
      <c r="G7558" s="48">
        <f t="shared" si="187"/>
        <v>306056.46774193528</v>
      </c>
      <c r="H7558" s="391" t="s">
        <v>9568</v>
      </c>
    </row>
    <row r="7559" spans="1:9" x14ac:dyDescent="0.3">
      <c r="A7559" s="45">
        <v>45208</v>
      </c>
      <c r="B7559" s="399" t="s">
        <v>12088</v>
      </c>
      <c r="C7559" s="5" t="s">
        <v>11194</v>
      </c>
      <c r="D7559" s="124" t="s">
        <v>12378</v>
      </c>
      <c r="E7559" s="43">
        <v>3000</v>
      </c>
      <c r="F7559" s="43"/>
      <c r="G7559" s="48">
        <f t="shared" si="187"/>
        <v>303056.46774193528</v>
      </c>
      <c r="H7559" s="391" t="s">
        <v>9568</v>
      </c>
    </row>
    <row r="7560" spans="1:9" x14ac:dyDescent="0.3">
      <c r="A7560" s="45">
        <v>45208</v>
      </c>
      <c r="B7560" s="589" t="s">
        <v>25</v>
      </c>
      <c r="C7560" s="44" t="s">
        <v>25</v>
      </c>
      <c r="D7560" s="44" t="s">
        <v>11455</v>
      </c>
      <c r="E7560" s="28">
        <v>3500</v>
      </c>
      <c r="F7560" s="43"/>
      <c r="G7560" s="48">
        <f t="shared" si="187"/>
        <v>299556.46774193528</v>
      </c>
      <c r="H7560" s="391" t="s">
        <v>9568</v>
      </c>
    </row>
    <row r="7561" spans="1:9" x14ac:dyDescent="0.3">
      <c r="A7561" s="45">
        <v>45208</v>
      </c>
      <c r="B7561" s="399" t="s">
        <v>12088</v>
      </c>
      <c r="C7561" s="5" t="s">
        <v>30</v>
      </c>
      <c r="D7561" s="124" t="s">
        <v>10676</v>
      </c>
      <c r="E7561" s="43">
        <v>1500</v>
      </c>
      <c r="F7561" s="43"/>
      <c r="G7561" s="48">
        <f t="shared" si="187"/>
        <v>298056.46774193528</v>
      </c>
      <c r="H7561" s="391" t="s">
        <v>9568</v>
      </c>
    </row>
    <row r="7562" spans="1:9" x14ac:dyDescent="0.3">
      <c r="A7562" s="45">
        <v>45208</v>
      </c>
      <c r="B7562" s="399" t="s">
        <v>12138</v>
      </c>
      <c r="C7562" s="5" t="s">
        <v>11194</v>
      </c>
      <c r="D7562" s="124" t="s">
        <v>12385</v>
      </c>
      <c r="E7562" s="43">
        <v>11770</v>
      </c>
      <c r="F7562" s="43"/>
      <c r="G7562" s="48">
        <f t="shared" si="187"/>
        <v>286286.46774193528</v>
      </c>
      <c r="H7562" s="391" t="s">
        <v>9568</v>
      </c>
      <c r="I7562" s="52">
        <v>12000</v>
      </c>
    </row>
    <row r="7563" spans="1:9" x14ac:dyDescent="0.3">
      <c r="A7563" s="45">
        <v>45208</v>
      </c>
      <c r="B7563" s="399"/>
      <c r="C7563" s="5" t="s">
        <v>54</v>
      </c>
      <c r="D7563" s="124" t="s">
        <v>6245</v>
      </c>
      <c r="E7563" s="43">
        <v>66710</v>
      </c>
      <c r="F7563" s="43"/>
      <c r="G7563" s="48">
        <f t="shared" si="187"/>
        <v>219576.46774193528</v>
      </c>
      <c r="H7563" s="391" t="s">
        <v>9568</v>
      </c>
    </row>
    <row r="7564" spans="1:9" x14ac:dyDescent="0.3">
      <c r="A7564" s="45">
        <v>45208</v>
      </c>
      <c r="B7564" s="399" t="s">
        <v>12092</v>
      </c>
      <c r="C7564" s="5" t="s">
        <v>5793</v>
      </c>
      <c r="D7564" s="124" t="s">
        <v>40</v>
      </c>
      <c r="E7564" s="43">
        <v>1500</v>
      </c>
      <c r="F7564" s="43"/>
      <c r="G7564" s="48">
        <f t="shared" si="187"/>
        <v>218076.46774193528</v>
      </c>
      <c r="H7564" s="391" t="s">
        <v>9568</v>
      </c>
      <c r="I7564" s="52">
        <v>11770</v>
      </c>
    </row>
    <row r="7565" spans="1:9" x14ac:dyDescent="0.3">
      <c r="A7565" s="45">
        <v>45208</v>
      </c>
      <c r="B7565" s="399" t="s">
        <v>12197</v>
      </c>
      <c r="C7565" s="5" t="s">
        <v>11194</v>
      </c>
      <c r="D7565" s="124" t="s">
        <v>12386</v>
      </c>
      <c r="E7565" s="43">
        <v>600</v>
      </c>
      <c r="F7565" s="43"/>
      <c r="G7565" s="48">
        <f t="shared" si="187"/>
        <v>217476.46774193528</v>
      </c>
      <c r="H7565" s="391" t="s">
        <v>9568</v>
      </c>
      <c r="I7565" s="52">
        <f>I7562-I7564</f>
        <v>230</v>
      </c>
    </row>
    <row r="7566" spans="1:9" x14ac:dyDescent="0.3">
      <c r="A7566" s="45">
        <v>45209</v>
      </c>
      <c r="B7566" s="399" t="s">
        <v>12388</v>
      </c>
      <c r="C7566" s="5" t="s">
        <v>11888</v>
      </c>
      <c r="D7566" s="124" t="s">
        <v>12058</v>
      </c>
      <c r="E7566" s="43">
        <v>30000</v>
      </c>
      <c r="F7566" s="43"/>
      <c r="G7566" s="48">
        <f t="shared" si="187"/>
        <v>187476.46774193528</v>
      </c>
      <c r="H7566" s="391" t="s">
        <v>9568</v>
      </c>
    </row>
    <row r="7567" spans="1:9" x14ac:dyDescent="0.3">
      <c r="A7567" s="45">
        <v>45209</v>
      </c>
      <c r="B7567" s="399" t="s">
        <v>12138</v>
      </c>
      <c r="C7567" s="5" t="s">
        <v>11194</v>
      </c>
      <c r="D7567" s="124" t="s">
        <v>12389</v>
      </c>
      <c r="E7567" s="43">
        <v>250</v>
      </c>
      <c r="F7567" s="43"/>
      <c r="G7567" s="48">
        <f t="shared" si="187"/>
        <v>187226.46774193528</v>
      </c>
      <c r="H7567" s="391" t="s">
        <v>9568</v>
      </c>
      <c r="I7567" s="52">
        <f>I7566+I7565</f>
        <v>230</v>
      </c>
    </row>
    <row r="7568" spans="1:9" x14ac:dyDescent="0.3">
      <c r="A7568" s="45">
        <v>45209</v>
      </c>
      <c r="B7568" s="399" t="s">
        <v>12138</v>
      </c>
      <c r="C7568" s="5" t="s">
        <v>5793</v>
      </c>
      <c r="D7568" s="124" t="s">
        <v>8924</v>
      </c>
      <c r="E7568" s="43">
        <v>250</v>
      </c>
      <c r="F7568" s="43"/>
      <c r="G7568" s="48">
        <f t="shared" si="187"/>
        <v>186976.46774193528</v>
      </c>
      <c r="H7568" s="391" t="s">
        <v>9568</v>
      </c>
      <c r="I7568" s="52">
        <v>130</v>
      </c>
    </row>
    <row r="7569" spans="1:10" x14ac:dyDescent="0.3">
      <c r="A7569" s="45">
        <v>45209</v>
      </c>
      <c r="B7569" s="399" t="s">
        <v>12388</v>
      </c>
      <c r="C7569" s="5" t="s">
        <v>11194</v>
      </c>
      <c r="D7569" s="124" t="s">
        <v>12390</v>
      </c>
      <c r="E7569" s="43">
        <v>16300</v>
      </c>
      <c r="F7569" s="43"/>
      <c r="G7569" s="48">
        <f t="shared" si="187"/>
        <v>170676.46774193528</v>
      </c>
      <c r="H7569" s="391" t="s">
        <v>9568</v>
      </c>
    </row>
    <row r="7570" spans="1:10" x14ac:dyDescent="0.3">
      <c r="A7570" s="45">
        <v>45209</v>
      </c>
      <c r="B7570" s="399" t="s">
        <v>12138</v>
      </c>
      <c r="C7570" s="5" t="s">
        <v>5793</v>
      </c>
      <c r="D7570" s="124" t="s">
        <v>40</v>
      </c>
      <c r="E7570" s="43">
        <v>2600</v>
      </c>
      <c r="F7570" s="43"/>
      <c r="G7570" s="48">
        <f t="shared" si="187"/>
        <v>168076.46774193528</v>
      </c>
      <c r="H7570" s="391" t="s">
        <v>9568</v>
      </c>
    </row>
    <row r="7571" spans="1:10" x14ac:dyDescent="0.3">
      <c r="A7571" s="45">
        <v>45209</v>
      </c>
      <c r="B7571" s="399" t="s">
        <v>10333</v>
      </c>
      <c r="C7571" s="5" t="s">
        <v>5156</v>
      </c>
      <c r="D7571" s="124" t="s">
        <v>12391</v>
      </c>
      <c r="E7571" s="43">
        <v>18400</v>
      </c>
      <c r="F7571" s="43"/>
      <c r="G7571" s="48">
        <f t="shared" si="187"/>
        <v>149676.46774193528</v>
      </c>
      <c r="H7571" s="391" t="s">
        <v>9568</v>
      </c>
    </row>
    <row r="7572" spans="1:10" x14ac:dyDescent="0.3">
      <c r="A7572" s="45">
        <v>45209</v>
      </c>
      <c r="B7572" s="399" t="s">
        <v>12087</v>
      </c>
      <c r="C7572" s="5" t="s">
        <v>30</v>
      </c>
      <c r="D7572" s="124" t="s">
        <v>10643</v>
      </c>
      <c r="E7572" s="43">
        <v>1100</v>
      </c>
      <c r="F7572" s="43"/>
      <c r="G7572" s="48">
        <f t="shared" si="187"/>
        <v>148576.46774193528</v>
      </c>
      <c r="H7572" s="391" t="s">
        <v>9568</v>
      </c>
    </row>
    <row r="7573" spans="1:10" x14ac:dyDescent="0.3">
      <c r="A7573" s="45">
        <v>45209</v>
      </c>
      <c r="B7573" s="399"/>
      <c r="C7573" s="5" t="s">
        <v>84</v>
      </c>
      <c r="D7573" s="124" t="s">
        <v>12392</v>
      </c>
      <c r="E7573" s="43">
        <v>3000</v>
      </c>
      <c r="F7573" s="43"/>
      <c r="G7573" s="48">
        <f t="shared" si="187"/>
        <v>145576.46774193528</v>
      </c>
      <c r="H7573" s="391" t="s">
        <v>9568</v>
      </c>
    </row>
    <row r="7574" spans="1:10" x14ac:dyDescent="0.3">
      <c r="A7574" s="45">
        <v>45209</v>
      </c>
      <c r="B7574" s="399"/>
      <c r="C7574" s="5" t="s">
        <v>54</v>
      </c>
      <c r="D7574" s="124" t="s">
        <v>12393</v>
      </c>
      <c r="E7574" s="43">
        <v>6230</v>
      </c>
      <c r="F7574" s="43"/>
      <c r="G7574" s="48">
        <f t="shared" si="187"/>
        <v>139346.46774193528</v>
      </c>
      <c r="H7574" s="391" t="s">
        <v>9568</v>
      </c>
    </row>
    <row r="7575" spans="1:10" x14ac:dyDescent="0.3">
      <c r="A7575" s="45">
        <v>45209</v>
      </c>
      <c r="B7575" s="399"/>
      <c r="C7575" s="5" t="s">
        <v>84</v>
      </c>
      <c r="D7575" s="124" t="s">
        <v>12394</v>
      </c>
      <c r="E7575" s="43">
        <v>10000</v>
      </c>
      <c r="F7575" s="43"/>
      <c r="G7575" s="48">
        <f t="shared" si="187"/>
        <v>129346.46774193528</v>
      </c>
      <c r="H7575" s="391" t="s">
        <v>9568</v>
      </c>
    </row>
    <row r="7576" spans="1:10" x14ac:dyDescent="0.3">
      <c r="A7576" s="45">
        <v>45210</v>
      </c>
      <c r="B7576" s="399" t="s">
        <v>12090</v>
      </c>
      <c r="C7576" s="5" t="s">
        <v>11194</v>
      </c>
      <c r="D7576" s="124" t="s">
        <v>12396</v>
      </c>
      <c r="E7576" s="43">
        <v>29000</v>
      </c>
      <c r="F7576" s="43"/>
      <c r="G7576" s="48">
        <f t="shared" si="187"/>
        <v>100346.46774193528</v>
      </c>
      <c r="H7576" s="391" t="s">
        <v>9568</v>
      </c>
      <c r="J7576" s="52">
        <v>941759</v>
      </c>
    </row>
    <row r="7577" spans="1:10" x14ac:dyDescent="0.3">
      <c r="A7577" s="45">
        <v>45210</v>
      </c>
      <c r="B7577" s="399" t="s">
        <v>12138</v>
      </c>
      <c r="C7577" s="5" t="s">
        <v>11194</v>
      </c>
      <c r="D7577" s="124" t="s">
        <v>12397</v>
      </c>
      <c r="E7577" s="43">
        <v>4860</v>
      </c>
      <c r="F7577" s="43"/>
      <c r="G7577" s="48">
        <f t="shared" si="187"/>
        <v>95486.467741935281</v>
      </c>
      <c r="H7577" s="391" t="s">
        <v>9568</v>
      </c>
    </row>
    <row r="7578" spans="1:10" x14ac:dyDescent="0.3">
      <c r="A7578" s="45">
        <v>45210</v>
      </c>
      <c r="B7578" s="399" t="s">
        <v>12138</v>
      </c>
      <c r="C7578" s="5" t="s">
        <v>11194</v>
      </c>
      <c r="D7578" s="124" t="s">
        <v>4342</v>
      </c>
      <c r="E7578" s="43">
        <v>27241</v>
      </c>
      <c r="F7578" s="43"/>
      <c r="G7578" s="48">
        <f t="shared" si="187"/>
        <v>68245.467741935281</v>
      </c>
      <c r="H7578" s="391" t="s">
        <v>9568</v>
      </c>
      <c r="J7578" s="52">
        <f>J7576*10%</f>
        <v>94175.900000000009</v>
      </c>
    </row>
    <row r="7579" spans="1:10" x14ac:dyDescent="0.3">
      <c r="A7579" s="45">
        <v>45210</v>
      </c>
      <c r="B7579" s="399" t="s">
        <v>12138</v>
      </c>
      <c r="C7579" s="5" t="s">
        <v>5793</v>
      </c>
      <c r="D7579" s="124" t="s">
        <v>40</v>
      </c>
      <c r="E7579" s="43">
        <v>1000</v>
      </c>
      <c r="F7579" s="43"/>
      <c r="G7579" s="48">
        <f t="shared" si="187"/>
        <v>67245.467741935281</v>
      </c>
      <c r="H7579" s="391" t="s">
        <v>9568</v>
      </c>
    </row>
    <row r="7580" spans="1:10" x14ac:dyDescent="0.3">
      <c r="A7580" s="45">
        <v>45210</v>
      </c>
      <c r="B7580" s="399" t="s">
        <v>12088</v>
      </c>
      <c r="C7580" s="5" t="s">
        <v>5793</v>
      </c>
      <c r="D7580" s="124" t="s">
        <v>40</v>
      </c>
      <c r="E7580" s="43">
        <v>900</v>
      </c>
      <c r="F7580" s="43"/>
      <c r="G7580" s="48">
        <f t="shared" si="187"/>
        <v>66345.467741935281</v>
      </c>
      <c r="H7580" s="391" t="s">
        <v>9568</v>
      </c>
      <c r="I7580" s="52">
        <f>E7578+E7577</f>
        <v>32101</v>
      </c>
      <c r="J7580" s="52">
        <f>J7576-J7578</f>
        <v>847583.1</v>
      </c>
    </row>
    <row r="7581" spans="1:10" x14ac:dyDescent="0.3">
      <c r="A7581" s="45">
        <v>45210</v>
      </c>
      <c r="B7581" s="589" t="s">
        <v>25</v>
      </c>
      <c r="C7581" s="44" t="s">
        <v>25</v>
      </c>
      <c r="D7581" s="44" t="s">
        <v>11455</v>
      </c>
      <c r="E7581" s="28">
        <v>3000</v>
      </c>
      <c r="F7581" s="43"/>
      <c r="G7581" s="48">
        <f t="shared" si="187"/>
        <v>63345.467741935281</v>
      </c>
      <c r="H7581" s="391" t="s">
        <v>9568</v>
      </c>
      <c r="I7581" s="52">
        <v>60000</v>
      </c>
    </row>
    <row r="7582" spans="1:10" x14ac:dyDescent="0.3">
      <c r="A7582" s="45">
        <v>45210</v>
      </c>
      <c r="B7582" s="399" t="s">
        <v>12093</v>
      </c>
      <c r="C7582" s="5" t="s">
        <v>11194</v>
      </c>
      <c r="D7582" s="124" t="s">
        <v>12399</v>
      </c>
      <c r="E7582" s="43">
        <v>2000</v>
      </c>
      <c r="F7582" s="43"/>
      <c r="G7582" s="48">
        <f t="shared" si="187"/>
        <v>61345.467741935281</v>
      </c>
      <c r="H7582" s="391" t="s">
        <v>9568</v>
      </c>
      <c r="I7582" s="52">
        <f>I7581-I7580</f>
        <v>27899</v>
      </c>
    </row>
    <row r="7583" spans="1:10" x14ac:dyDescent="0.3">
      <c r="A7583" s="45">
        <v>45210</v>
      </c>
      <c r="B7583" s="399" t="s">
        <v>12092</v>
      </c>
      <c r="C7583" s="5" t="s">
        <v>11194</v>
      </c>
      <c r="D7583" s="124" t="s">
        <v>12400</v>
      </c>
      <c r="E7583" s="43">
        <v>14600</v>
      </c>
      <c r="F7583" s="43"/>
      <c r="G7583" s="48">
        <f t="shared" si="187"/>
        <v>46745.467741935281</v>
      </c>
      <c r="H7583" s="391" t="s">
        <v>9568</v>
      </c>
      <c r="I7583" s="52">
        <v>1000</v>
      </c>
    </row>
    <row r="7584" spans="1:10" x14ac:dyDescent="0.3">
      <c r="A7584" s="45">
        <v>45210</v>
      </c>
      <c r="B7584" s="399" t="s">
        <v>10333</v>
      </c>
      <c r="C7584" s="5" t="s">
        <v>5793</v>
      </c>
      <c r="D7584" s="124" t="s">
        <v>40</v>
      </c>
      <c r="E7584" s="43">
        <v>3000</v>
      </c>
      <c r="F7584" s="43"/>
      <c r="G7584" s="48">
        <f t="shared" si="187"/>
        <v>43745.467741935281</v>
      </c>
      <c r="H7584" s="391" t="s">
        <v>9568</v>
      </c>
      <c r="I7584" s="52">
        <f>I7582-I7583</f>
        <v>26899</v>
      </c>
    </row>
    <row r="7585" spans="1:9" x14ac:dyDescent="0.3">
      <c r="A7585" s="45">
        <v>45210</v>
      </c>
      <c r="B7585" s="399" t="s">
        <v>12388</v>
      </c>
      <c r="C7585" s="5" t="s">
        <v>11194</v>
      </c>
      <c r="D7585" s="124" t="s">
        <v>12390</v>
      </c>
      <c r="E7585" s="43">
        <v>36250</v>
      </c>
      <c r="F7585" s="43"/>
      <c r="G7585" s="48">
        <f t="shared" si="187"/>
        <v>7495.4677419352811</v>
      </c>
      <c r="H7585" s="391" t="s">
        <v>9568</v>
      </c>
    </row>
    <row r="7586" spans="1:9" x14ac:dyDescent="0.3">
      <c r="A7586" s="45">
        <v>45210</v>
      </c>
      <c r="B7586" s="399" t="s">
        <v>12089</v>
      </c>
      <c r="C7586" s="5" t="s">
        <v>5162</v>
      </c>
      <c r="D7586" s="124" t="s">
        <v>5813</v>
      </c>
      <c r="E7586" s="43">
        <v>2000</v>
      </c>
      <c r="F7586" s="43"/>
      <c r="G7586" s="48">
        <f t="shared" si="187"/>
        <v>5495.4677419352811</v>
      </c>
      <c r="H7586" s="391" t="s">
        <v>9568</v>
      </c>
    </row>
    <row r="7587" spans="1:9" x14ac:dyDescent="0.3">
      <c r="A7587" s="45">
        <v>45210</v>
      </c>
      <c r="B7587" s="399" t="s">
        <v>12089</v>
      </c>
      <c r="C7587" s="5" t="s">
        <v>5793</v>
      </c>
      <c r="D7587" s="124" t="s">
        <v>40</v>
      </c>
      <c r="E7587" s="43">
        <f>500+295</f>
        <v>795</v>
      </c>
      <c r="F7587" s="43"/>
      <c r="G7587" s="48">
        <f t="shared" si="187"/>
        <v>4700.4677419352811</v>
      </c>
      <c r="H7587" s="391" t="s">
        <v>9568</v>
      </c>
    </row>
    <row r="7588" spans="1:9" x14ac:dyDescent="0.3">
      <c r="A7588" s="45">
        <v>45211</v>
      </c>
      <c r="B7588" s="399" t="s">
        <v>12388</v>
      </c>
      <c r="C7588" s="5" t="s">
        <v>11194</v>
      </c>
      <c r="D7588" s="124" t="s">
        <v>12402</v>
      </c>
      <c r="E7588" s="43">
        <v>4700</v>
      </c>
      <c r="F7588" s="43"/>
      <c r="G7588" s="48">
        <f t="shared" si="187"/>
        <v>0.46774193528108299</v>
      </c>
      <c r="H7588" s="391" t="s">
        <v>9568</v>
      </c>
    </row>
    <row r="7589" spans="1:9" x14ac:dyDescent="0.3">
      <c r="A7589" s="45">
        <v>45212</v>
      </c>
      <c r="B7589" s="586"/>
      <c r="C7589" s="486"/>
      <c r="D7589" s="497" t="s">
        <v>12411</v>
      </c>
      <c r="E7589" s="486"/>
      <c r="F7589" s="28">
        <v>100000</v>
      </c>
      <c r="G7589" s="48">
        <f t="shared" si="187"/>
        <v>100000.46774193528</v>
      </c>
      <c r="H7589" s="391" t="s">
        <v>9568</v>
      </c>
      <c r="I7589" s="52">
        <f>I7587-I7588</f>
        <v>0</v>
      </c>
    </row>
    <row r="7590" spans="1:9" x14ac:dyDescent="0.3">
      <c r="A7590" s="45">
        <v>45212</v>
      </c>
      <c r="B7590" s="399" t="s">
        <v>12088</v>
      </c>
      <c r="C7590" s="5" t="s">
        <v>5793</v>
      </c>
      <c r="D7590" s="124" t="s">
        <v>40</v>
      </c>
      <c r="E7590" s="43">
        <v>850</v>
      </c>
      <c r="F7590" s="43"/>
      <c r="G7590" s="48">
        <f t="shared" si="187"/>
        <v>99150.467741935281</v>
      </c>
      <c r="H7590" s="391" t="s">
        <v>9568</v>
      </c>
    </row>
    <row r="7591" spans="1:9" x14ac:dyDescent="0.3">
      <c r="A7591" s="45">
        <v>45212</v>
      </c>
      <c r="B7591" s="399" t="s">
        <v>12138</v>
      </c>
      <c r="C7591" s="5" t="s">
        <v>11194</v>
      </c>
      <c r="D7591" s="124" t="s">
        <v>12412</v>
      </c>
      <c r="E7591" s="43">
        <v>62671</v>
      </c>
      <c r="F7591" s="43"/>
      <c r="G7591" s="48">
        <f t="shared" si="187"/>
        <v>36479.467741935281</v>
      </c>
      <c r="H7591" s="391" t="s">
        <v>9568</v>
      </c>
    </row>
    <row r="7592" spans="1:9" x14ac:dyDescent="0.3">
      <c r="A7592" s="45">
        <v>45212</v>
      </c>
      <c r="B7592" s="586"/>
      <c r="C7592" s="486"/>
      <c r="D7592" s="497" t="s">
        <v>12405</v>
      </c>
      <c r="E7592" s="486"/>
      <c r="F7592" s="28">
        <v>100000</v>
      </c>
      <c r="G7592" s="48">
        <f t="shared" si="187"/>
        <v>136479.46774193528</v>
      </c>
      <c r="H7592" s="391" t="s">
        <v>9568</v>
      </c>
      <c r="I7592" s="52">
        <f>I7589-I7590</f>
        <v>0</v>
      </c>
    </row>
    <row r="7593" spans="1:9" x14ac:dyDescent="0.3">
      <c r="A7593" s="45">
        <v>45212</v>
      </c>
      <c r="B7593" s="399" t="s">
        <v>12087</v>
      </c>
      <c r="C7593" s="5" t="s">
        <v>11194</v>
      </c>
      <c r="D7593" s="124" t="s">
        <v>12413</v>
      </c>
      <c r="E7593" s="43">
        <v>39600</v>
      </c>
      <c r="F7593" s="43"/>
      <c r="G7593" s="48">
        <f t="shared" si="187"/>
        <v>96879.467741935281</v>
      </c>
      <c r="H7593" s="391" t="s">
        <v>9568</v>
      </c>
    </row>
    <row r="7594" spans="1:9" x14ac:dyDescent="0.3">
      <c r="A7594" s="45">
        <v>45212</v>
      </c>
      <c r="B7594" s="399" t="s">
        <v>12406</v>
      </c>
      <c r="C7594" s="5" t="s">
        <v>11194</v>
      </c>
      <c r="D7594" s="124" t="s">
        <v>12414</v>
      </c>
      <c r="E7594" s="43">
        <v>940</v>
      </c>
      <c r="F7594" s="43"/>
      <c r="G7594" s="48">
        <f t="shared" si="187"/>
        <v>95939.467741935281</v>
      </c>
      <c r="H7594" s="391" t="s">
        <v>9568</v>
      </c>
    </row>
    <row r="7595" spans="1:9" x14ac:dyDescent="0.3">
      <c r="A7595" s="45">
        <v>45212</v>
      </c>
      <c r="B7595" s="399" t="s">
        <v>12406</v>
      </c>
      <c r="C7595" s="5" t="s">
        <v>11194</v>
      </c>
      <c r="D7595" s="124" t="s">
        <v>12415</v>
      </c>
      <c r="E7595" s="43">
        <v>8780</v>
      </c>
      <c r="F7595" s="43"/>
      <c r="G7595" s="48">
        <f t="shared" si="187"/>
        <v>87159.467741935281</v>
      </c>
      <c r="H7595" s="391" t="s">
        <v>9568</v>
      </c>
    </row>
    <row r="7596" spans="1:9" x14ac:dyDescent="0.3">
      <c r="A7596" s="45">
        <v>45212</v>
      </c>
      <c r="B7596" s="399" t="s">
        <v>12406</v>
      </c>
      <c r="C7596" s="5" t="s">
        <v>12409</v>
      </c>
      <c r="D7596" s="124" t="s">
        <v>12410</v>
      </c>
      <c r="E7596" s="43">
        <v>400</v>
      </c>
      <c r="F7596" s="43"/>
      <c r="G7596" s="48">
        <f t="shared" si="187"/>
        <v>86759.467741935281</v>
      </c>
      <c r="H7596" s="391" t="s">
        <v>9568</v>
      </c>
    </row>
    <row r="7597" spans="1:9" x14ac:dyDescent="0.3">
      <c r="A7597" s="45">
        <v>45212</v>
      </c>
      <c r="B7597" s="399" t="s">
        <v>11528</v>
      </c>
      <c r="C7597" s="5" t="s">
        <v>54</v>
      </c>
      <c r="D7597" s="124" t="s">
        <v>8824</v>
      </c>
      <c r="E7597" s="43">
        <v>26350</v>
      </c>
      <c r="F7597" s="43"/>
      <c r="G7597" s="48">
        <f t="shared" si="187"/>
        <v>60409.467741935281</v>
      </c>
      <c r="H7597" s="391" t="s">
        <v>9568</v>
      </c>
    </row>
    <row r="7598" spans="1:9" x14ac:dyDescent="0.3">
      <c r="A7598" s="45">
        <v>45212</v>
      </c>
      <c r="B7598" s="589" t="s">
        <v>25</v>
      </c>
      <c r="C7598" s="44" t="s">
        <v>25</v>
      </c>
      <c r="D7598" s="44" t="s">
        <v>11455</v>
      </c>
      <c r="E7598" s="28">
        <v>3500</v>
      </c>
      <c r="F7598" s="43"/>
      <c r="G7598" s="48">
        <f t="shared" si="187"/>
        <v>56909.467741935281</v>
      </c>
      <c r="H7598" s="391" t="s">
        <v>9568</v>
      </c>
    </row>
    <row r="7599" spans="1:9" x14ac:dyDescent="0.3">
      <c r="A7599" s="45">
        <v>45212</v>
      </c>
      <c r="B7599" s="589" t="s">
        <v>12213</v>
      </c>
      <c r="C7599" s="44" t="s">
        <v>26</v>
      </c>
      <c r="D7599" s="44" t="s">
        <v>12408</v>
      </c>
      <c r="E7599" s="28">
        <v>1000</v>
      </c>
      <c r="F7599" s="43"/>
      <c r="G7599" s="48">
        <f t="shared" si="187"/>
        <v>55909.467741935281</v>
      </c>
      <c r="H7599" s="391" t="s">
        <v>9568</v>
      </c>
    </row>
    <row r="7600" spans="1:9" x14ac:dyDescent="0.3">
      <c r="A7600" s="45">
        <v>45212</v>
      </c>
      <c r="B7600" s="589" t="s">
        <v>12088</v>
      </c>
      <c r="C7600" s="44" t="s">
        <v>5793</v>
      </c>
      <c r="D7600" s="44" t="s">
        <v>40</v>
      </c>
      <c r="E7600" s="28">
        <v>900</v>
      </c>
      <c r="F7600" s="43"/>
      <c r="G7600" s="48">
        <f t="shared" si="187"/>
        <v>55009.467741935281</v>
      </c>
      <c r="H7600" s="391" t="s">
        <v>9568</v>
      </c>
    </row>
    <row r="7601" spans="1:9" x14ac:dyDescent="0.3">
      <c r="A7601" s="45">
        <v>45213</v>
      </c>
      <c r="B7601" s="399"/>
      <c r="C7601" s="5" t="s">
        <v>84</v>
      </c>
      <c r="D7601" s="124" t="s">
        <v>12407</v>
      </c>
      <c r="E7601" s="43">
        <v>2000</v>
      </c>
      <c r="F7601" s="43"/>
      <c r="G7601" s="48">
        <f t="shared" si="187"/>
        <v>53009.467741935281</v>
      </c>
      <c r="H7601" s="391" t="s">
        <v>9568</v>
      </c>
    </row>
    <row r="7602" spans="1:9" x14ac:dyDescent="0.3">
      <c r="A7602" s="45">
        <v>45213</v>
      </c>
      <c r="B7602" s="399" t="s">
        <v>12138</v>
      </c>
      <c r="C7602" s="5" t="s">
        <v>5793</v>
      </c>
      <c r="D7602" s="124" t="s">
        <v>8924</v>
      </c>
      <c r="E7602" s="43">
        <v>280</v>
      </c>
      <c r="F7602" s="43"/>
      <c r="G7602" s="48">
        <f t="shared" si="187"/>
        <v>52729.467741935281</v>
      </c>
      <c r="H7602" s="391" t="s">
        <v>9568</v>
      </c>
      <c r="I7602" s="52">
        <v>1500</v>
      </c>
    </row>
    <row r="7603" spans="1:9" x14ac:dyDescent="0.3">
      <c r="A7603" s="45">
        <v>45213</v>
      </c>
      <c r="B7603" s="399" t="s">
        <v>12287</v>
      </c>
      <c r="C7603" s="5" t="s">
        <v>1616</v>
      </c>
      <c r="D7603" s="124" t="s">
        <v>12416</v>
      </c>
      <c r="E7603" s="43">
        <v>2350</v>
      </c>
      <c r="F7603" s="43"/>
      <c r="G7603" s="48">
        <f t="shared" ref="G7603:G7604" si="188">G7602+F7603-E7603</f>
        <v>50379.467741935281</v>
      </c>
      <c r="H7603" s="391" t="s">
        <v>9568</v>
      </c>
      <c r="I7603" s="52">
        <v>850</v>
      </c>
    </row>
    <row r="7604" spans="1:9" x14ac:dyDescent="0.3">
      <c r="A7604" s="45">
        <v>45213</v>
      </c>
      <c r="B7604" s="399" t="s">
        <v>12092</v>
      </c>
      <c r="C7604" s="5" t="s">
        <v>5793</v>
      </c>
      <c r="D7604" s="124" t="s">
        <v>40</v>
      </c>
      <c r="E7604" s="43">
        <v>2200</v>
      </c>
      <c r="F7604" s="43"/>
      <c r="G7604" s="48">
        <f t="shared" si="188"/>
        <v>48179.467741935281</v>
      </c>
      <c r="H7604" s="391" t="s">
        <v>9568</v>
      </c>
      <c r="I7604" s="52">
        <f>I7603+I7602</f>
        <v>2350</v>
      </c>
    </row>
    <row r="7605" spans="1:9" x14ac:dyDescent="0.3">
      <c r="A7605" s="45">
        <v>45213</v>
      </c>
      <c r="B7605" s="399" t="s">
        <v>12089</v>
      </c>
      <c r="C7605" s="5" t="s">
        <v>12418</v>
      </c>
      <c r="D7605" s="124" t="s">
        <v>12417</v>
      </c>
      <c r="E7605" s="43">
        <v>3000</v>
      </c>
      <c r="F7605" s="43"/>
      <c r="G7605" s="48">
        <f t="shared" ref="G7605:G7613" si="189">G7604+F7605-E7605</f>
        <v>45179.467741935281</v>
      </c>
      <c r="H7605" s="391" t="s">
        <v>9568</v>
      </c>
    </row>
    <row r="7606" spans="1:9" x14ac:dyDescent="0.3">
      <c r="A7606" s="45">
        <v>45214</v>
      </c>
      <c r="B7606" s="586"/>
      <c r="C7606" s="486"/>
      <c r="D7606" s="497" t="s">
        <v>12364</v>
      </c>
      <c r="E7606" s="486"/>
      <c r="F7606" s="28">
        <v>200000</v>
      </c>
      <c r="G7606" s="48">
        <f t="shared" si="189"/>
        <v>245179.46774193528</v>
      </c>
      <c r="H7606" s="391" t="s">
        <v>9568</v>
      </c>
      <c r="I7606" s="52">
        <f>I7604-I7605</f>
        <v>2350</v>
      </c>
    </row>
    <row r="7607" spans="1:9" x14ac:dyDescent="0.3">
      <c r="A7607" s="45">
        <v>45214</v>
      </c>
      <c r="B7607" s="399" t="s">
        <v>12287</v>
      </c>
      <c r="C7607" s="5" t="s">
        <v>1074</v>
      </c>
      <c r="D7607" s="124" t="s">
        <v>6280</v>
      </c>
      <c r="E7607" s="43">
        <f>5000+3700</f>
        <v>8700</v>
      </c>
      <c r="F7607" s="43"/>
      <c r="G7607" s="48">
        <f t="shared" si="189"/>
        <v>236479.46774193528</v>
      </c>
      <c r="H7607" s="391" t="s">
        <v>9568</v>
      </c>
    </row>
    <row r="7608" spans="1:9" x14ac:dyDescent="0.3">
      <c r="A7608" s="45">
        <v>45214</v>
      </c>
      <c r="B7608" s="399" t="s">
        <v>25</v>
      </c>
      <c r="C7608" s="5" t="s">
        <v>1074</v>
      </c>
      <c r="D7608" s="124" t="s">
        <v>6280</v>
      </c>
      <c r="E7608" s="43">
        <f>1100+1000</f>
        <v>2100</v>
      </c>
      <c r="F7608" s="43"/>
      <c r="G7608" s="48">
        <f t="shared" si="189"/>
        <v>234379.46774193528</v>
      </c>
      <c r="H7608" s="391" t="s">
        <v>9568</v>
      </c>
    </row>
    <row r="7609" spans="1:9" ht="37.5" x14ac:dyDescent="0.3">
      <c r="A7609" s="45">
        <v>45214</v>
      </c>
      <c r="B7609" s="399" t="s">
        <v>12087</v>
      </c>
      <c r="C7609" s="5" t="s">
        <v>1512</v>
      </c>
      <c r="D7609" s="124" t="s">
        <v>12420</v>
      </c>
      <c r="E7609" s="43">
        <v>24000</v>
      </c>
      <c r="F7609" s="43"/>
      <c r="G7609" s="48">
        <f t="shared" si="189"/>
        <v>210379.46774193528</v>
      </c>
      <c r="H7609" s="391" t="s">
        <v>9568</v>
      </c>
    </row>
    <row r="7610" spans="1:9" x14ac:dyDescent="0.3">
      <c r="A7610" s="45">
        <v>45214</v>
      </c>
      <c r="B7610" s="399" t="s">
        <v>12092</v>
      </c>
      <c r="C7610" s="5" t="s">
        <v>11194</v>
      </c>
      <c r="D7610" s="124" t="s">
        <v>12421</v>
      </c>
      <c r="E7610" s="43">
        <v>161000</v>
      </c>
      <c r="F7610" s="43"/>
      <c r="G7610" s="48">
        <f t="shared" si="189"/>
        <v>49379.467741935281</v>
      </c>
      <c r="H7610" s="391" t="s">
        <v>9568</v>
      </c>
    </row>
    <row r="7611" spans="1:9" x14ac:dyDescent="0.3">
      <c r="A7611" s="45">
        <v>45214</v>
      </c>
      <c r="B7611" s="399" t="s">
        <v>25</v>
      </c>
      <c r="C7611" s="5" t="s">
        <v>5793</v>
      </c>
      <c r="D7611" s="124" t="s">
        <v>12422</v>
      </c>
      <c r="E7611" s="43">
        <v>250</v>
      </c>
      <c r="F7611" s="43"/>
      <c r="G7611" s="48">
        <f t="shared" si="189"/>
        <v>49129.467741935281</v>
      </c>
      <c r="H7611" s="391" t="s">
        <v>9568</v>
      </c>
    </row>
    <row r="7612" spans="1:9" x14ac:dyDescent="0.3">
      <c r="A7612" s="45">
        <v>45214</v>
      </c>
      <c r="B7612" s="589" t="s">
        <v>25</v>
      </c>
      <c r="C7612" s="44" t="s">
        <v>25</v>
      </c>
      <c r="D7612" s="44" t="s">
        <v>11455</v>
      </c>
      <c r="E7612" s="28">
        <v>3000</v>
      </c>
      <c r="F7612" s="43"/>
      <c r="G7612" s="48">
        <f t="shared" si="189"/>
        <v>46129.467741935281</v>
      </c>
      <c r="H7612" s="391" t="s">
        <v>9568</v>
      </c>
    </row>
    <row r="7613" spans="1:9" x14ac:dyDescent="0.3">
      <c r="A7613" s="45">
        <v>45214</v>
      </c>
      <c r="B7613" s="586"/>
      <c r="C7613" s="486"/>
      <c r="D7613" s="497" t="s">
        <v>12411</v>
      </c>
      <c r="E7613" s="486"/>
      <c r="F7613" s="28">
        <v>100000</v>
      </c>
      <c r="G7613" s="48">
        <f t="shared" si="189"/>
        <v>146129.46774193528</v>
      </c>
      <c r="H7613" s="391" t="s">
        <v>9568</v>
      </c>
      <c r="I7613" s="52">
        <f>I7604-I7605</f>
        <v>2350</v>
      </c>
    </row>
    <row r="7614" spans="1:9" x14ac:dyDescent="0.3">
      <c r="A7614" s="45">
        <v>45214</v>
      </c>
      <c r="B7614" s="399" t="s">
        <v>12093</v>
      </c>
      <c r="C7614" s="5" t="s">
        <v>11194</v>
      </c>
      <c r="D7614" s="124" t="s">
        <v>12423</v>
      </c>
      <c r="E7614" s="43">
        <v>1600</v>
      </c>
      <c r="F7614" s="43"/>
      <c r="G7614" s="48">
        <f t="shared" ref="G7614" si="190">G7613+F7614-E7614</f>
        <v>144529.46774193528</v>
      </c>
      <c r="H7614" s="391" t="s">
        <v>9568</v>
      </c>
    </row>
    <row r="7615" spans="1:9" x14ac:dyDescent="0.3">
      <c r="A7615" s="45">
        <v>45214</v>
      </c>
      <c r="B7615" s="399" t="s">
        <v>12092</v>
      </c>
      <c r="C7615" s="5" t="s">
        <v>3554</v>
      </c>
      <c r="D7615" s="124" t="s">
        <v>12058</v>
      </c>
      <c r="E7615" s="43">
        <v>10000</v>
      </c>
      <c r="F7615" s="43"/>
      <c r="G7615" s="48">
        <f t="shared" ref="G7615:G7617" si="191">G7614+F7615-E7615</f>
        <v>134529.46774193528</v>
      </c>
      <c r="H7615" s="391" t="s">
        <v>9568</v>
      </c>
    </row>
    <row r="7616" spans="1:9" x14ac:dyDescent="0.3">
      <c r="A7616" s="45">
        <v>45214</v>
      </c>
      <c r="B7616" s="399" t="s">
        <v>10333</v>
      </c>
      <c r="C7616" s="5" t="s">
        <v>5793</v>
      </c>
      <c r="D7616" s="124" t="s">
        <v>40</v>
      </c>
      <c r="E7616" s="43">
        <v>5000</v>
      </c>
      <c r="F7616" s="43"/>
      <c r="G7616" s="48">
        <f t="shared" si="191"/>
        <v>129529.46774193528</v>
      </c>
      <c r="H7616" s="391" t="s">
        <v>9568</v>
      </c>
    </row>
    <row r="7617" spans="1:9" x14ac:dyDescent="0.3">
      <c r="A7617" s="45">
        <v>45216</v>
      </c>
      <c r="B7617" s="399" t="s">
        <v>12138</v>
      </c>
      <c r="C7617" s="5" t="s">
        <v>9647</v>
      </c>
      <c r="D7617" s="124" t="s">
        <v>12426</v>
      </c>
      <c r="E7617" s="43">
        <v>30000</v>
      </c>
      <c r="F7617" s="43"/>
      <c r="G7617" s="48">
        <f t="shared" si="191"/>
        <v>99529.467741935281</v>
      </c>
      <c r="H7617" s="391" t="s">
        <v>9568</v>
      </c>
    </row>
    <row r="7618" spans="1:9" ht="22.5" customHeight="1" x14ac:dyDescent="0.3">
      <c r="A7618" s="45">
        <v>45216</v>
      </c>
      <c r="B7618" s="399" t="s">
        <v>12088</v>
      </c>
      <c r="C7618" s="5" t="s">
        <v>11194</v>
      </c>
      <c r="D7618" s="124" t="s">
        <v>12427</v>
      </c>
      <c r="E7618" s="43">
        <v>42200</v>
      </c>
      <c r="F7618" s="43"/>
      <c r="G7618" s="48">
        <f t="shared" ref="G7618:G7689" si="192">G7617+F7618-E7618</f>
        <v>57329.467741935281</v>
      </c>
      <c r="H7618" s="391" t="s">
        <v>9568</v>
      </c>
    </row>
    <row r="7619" spans="1:9" x14ac:dyDescent="0.3">
      <c r="A7619" s="45">
        <v>45216</v>
      </c>
      <c r="B7619" s="399" t="s">
        <v>12088</v>
      </c>
      <c r="C7619" s="5" t="s">
        <v>11194</v>
      </c>
      <c r="D7619" s="124" t="s">
        <v>12428</v>
      </c>
      <c r="E7619" s="43">
        <v>2400</v>
      </c>
      <c r="F7619" s="43"/>
      <c r="G7619" s="48">
        <f t="shared" si="192"/>
        <v>54929.467741935281</v>
      </c>
      <c r="H7619" s="391" t="s">
        <v>9568</v>
      </c>
    </row>
    <row r="7620" spans="1:9" x14ac:dyDescent="0.3">
      <c r="A7620" s="45">
        <v>45216</v>
      </c>
      <c r="B7620" s="399" t="s">
        <v>12088</v>
      </c>
      <c r="C7620" s="5" t="s">
        <v>5793</v>
      </c>
      <c r="D7620" s="124" t="s">
        <v>40</v>
      </c>
      <c r="E7620" s="43">
        <v>500</v>
      </c>
      <c r="F7620" s="43"/>
      <c r="G7620" s="48">
        <f t="shared" si="192"/>
        <v>54429.467741935281</v>
      </c>
      <c r="H7620" s="391" t="s">
        <v>9568</v>
      </c>
    </row>
    <row r="7621" spans="1:9" x14ac:dyDescent="0.3">
      <c r="A7621" s="45">
        <v>45216</v>
      </c>
      <c r="B7621" s="399" t="s">
        <v>12092</v>
      </c>
      <c r="C7621" s="5" t="s">
        <v>5793</v>
      </c>
      <c r="D7621" s="124" t="s">
        <v>40</v>
      </c>
      <c r="E7621" s="43">
        <v>2000</v>
      </c>
      <c r="F7621" s="43"/>
      <c r="G7621" s="48">
        <f t="shared" si="192"/>
        <v>52429.467741935281</v>
      </c>
      <c r="H7621" s="391" t="s">
        <v>9568</v>
      </c>
      <c r="I7621" s="52">
        <v>14320</v>
      </c>
    </row>
    <row r="7622" spans="1:9" x14ac:dyDescent="0.3">
      <c r="A7622" s="45">
        <v>45216</v>
      </c>
      <c r="B7622" s="399" t="s">
        <v>12138</v>
      </c>
      <c r="C7622" s="5" t="s">
        <v>5793</v>
      </c>
      <c r="D7622" s="124" t="s">
        <v>40</v>
      </c>
      <c r="E7622" s="43">
        <v>1000</v>
      </c>
      <c r="F7622" s="43"/>
      <c r="G7622" s="48">
        <f t="shared" si="192"/>
        <v>51429.467741935281</v>
      </c>
      <c r="H7622" s="391" t="s">
        <v>9568</v>
      </c>
    </row>
    <row r="7623" spans="1:9" x14ac:dyDescent="0.3">
      <c r="A7623" s="45">
        <v>45216</v>
      </c>
      <c r="B7623" s="399"/>
      <c r="C7623" s="5" t="s">
        <v>68</v>
      </c>
      <c r="D7623" s="124" t="s">
        <v>12429</v>
      </c>
      <c r="E7623" s="43">
        <v>2000</v>
      </c>
      <c r="F7623" s="43"/>
      <c r="G7623" s="48">
        <f t="shared" si="192"/>
        <v>49429.467741935281</v>
      </c>
      <c r="H7623" s="391" t="s">
        <v>9568</v>
      </c>
    </row>
    <row r="7624" spans="1:9" x14ac:dyDescent="0.3">
      <c r="A7624" s="45">
        <v>45216</v>
      </c>
      <c r="B7624" s="399" t="s">
        <v>12087</v>
      </c>
      <c r="C7624" s="5" t="s">
        <v>5793</v>
      </c>
      <c r="D7624" s="124" t="s">
        <v>40</v>
      </c>
      <c r="E7624" s="43">
        <v>1000</v>
      </c>
      <c r="F7624" s="43"/>
      <c r="G7624" s="48">
        <f t="shared" si="192"/>
        <v>48429.467741935281</v>
      </c>
      <c r="H7624" s="391" t="s">
        <v>9568</v>
      </c>
    </row>
    <row r="7625" spans="1:9" x14ac:dyDescent="0.3">
      <c r="A7625" s="45">
        <v>45216</v>
      </c>
      <c r="B7625" s="399" t="s">
        <v>12138</v>
      </c>
      <c r="C7625" s="5" t="s">
        <v>5793</v>
      </c>
      <c r="D7625" s="124" t="s">
        <v>40</v>
      </c>
      <c r="E7625" s="43">
        <v>300</v>
      </c>
      <c r="F7625" s="43"/>
      <c r="G7625" s="48">
        <f t="shared" si="192"/>
        <v>48129.467741935281</v>
      </c>
      <c r="H7625" s="391" t="s">
        <v>9568</v>
      </c>
    </row>
    <row r="7626" spans="1:9" x14ac:dyDescent="0.3">
      <c r="A7626" s="45">
        <v>45216</v>
      </c>
      <c r="B7626" s="399" t="s">
        <v>12088</v>
      </c>
      <c r="C7626" s="5" t="s">
        <v>11194</v>
      </c>
      <c r="D7626" s="124" t="s">
        <v>12430</v>
      </c>
      <c r="E7626" s="43">
        <v>1550</v>
      </c>
      <c r="F7626" s="43"/>
      <c r="G7626" s="48">
        <f t="shared" si="192"/>
        <v>46579.467741935281</v>
      </c>
      <c r="H7626" s="391" t="s">
        <v>9568</v>
      </c>
    </row>
    <row r="7627" spans="1:9" x14ac:dyDescent="0.3">
      <c r="A7627" s="45">
        <v>45216</v>
      </c>
      <c r="B7627" s="399" t="s">
        <v>12098</v>
      </c>
      <c r="C7627" s="5" t="s">
        <v>30</v>
      </c>
      <c r="D7627" s="124" t="s">
        <v>12431</v>
      </c>
      <c r="E7627" s="43">
        <v>2000</v>
      </c>
      <c r="F7627" s="43"/>
      <c r="G7627" s="48">
        <f t="shared" si="192"/>
        <v>44579.467741935281</v>
      </c>
      <c r="H7627" s="391" t="s">
        <v>9568</v>
      </c>
    </row>
    <row r="7628" spans="1:9" x14ac:dyDescent="0.3">
      <c r="A7628" s="45">
        <v>45216</v>
      </c>
      <c r="B7628" s="399" t="s">
        <v>12098</v>
      </c>
      <c r="C7628" s="5" t="s">
        <v>11194</v>
      </c>
      <c r="D7628" s="124" t="s">
        <v>12432</v>
      </c>
      <c r="E7628" s="43">
        <v>500</v>
      </c>
      <c r="F7628" s="43"/>
      <c r="G7628" s="48">
        <f t="shared" si="192"/>
        <v>44079.467741935281</v>
      </c>
      <c r="H7628" s="391" t="s">
        <v>9568</v>
      </c>
    </row>
    <row r="7629" spans="1:9" x14ac:dyDescent="0.3">
      <c r="A7629" s="45">
        <v>45216</v>
      </c>
      <c r="B7629" s="399" t="s">
        <v>12098</v>
      </c>
      <c r="C7629" s="5" t="s">
        <v>11194</v>
      </c>
      <c r="D7629" s="124" t="s">
        <v>12433</v>
      </c>
      <c r="E7629" s="43">
        <v>2000</v>
      </c>
      <c r="F7629" s="43"/>
      <c r="G7629" s="48">
        <f t="shared" si="192"/>
        <v>42079.467741935281</v>
      </c>
      <c r="H7629" s="391" t="s">
        <v>9568</v>
      </c>
    </row>
    <row r="7630" spans="1:9" x14ac:dyDescent="0.3">
      <c r="A7630" s="45">
        <v>45216</v>
      </c>
      <c r="B7630" s="399" t="s">
        <v>12092</v>
      </c>
      <c r="C7630" s="5" t="s">
        <v>5793</v>
      </c>
      <c r="D7630" s="124" t="s">
        <v>40</v>
      </c>
      <c r="E7630" s="43">
        <v>400</v>
      </c>
      <c r="F7630" s="43"/>
      <c r="G7630" s="48">
        <f t="shared" si="192"/>
        <v>41679.467741935281</v>
      </c>
      <c r="H7630" s="391" t="s">
        <v>9568</v>
      </c>
    </row>
    <row r="7631" spans="1:9" x14ac:dyDescent="0.3">
      <c r="A7631" s="45">
        <v>45216</v>
      </c>
      <c r="B7631" s="586"/>
      <c r="C7631" s="486"/>
      <c r="D7631" s="497" t="s">
        <v>12364</v>
      </c>
      <c r="E7631" s="486"/>
      <c r="F7631" s="28">
        <v>500000</v>
      </c>
      <c r="G7631" s="48">
        <f t="shared" si="192"/>
        <v>541679.46774193528</v>
      </c>
      <c r="H7631" s="391" t="s">
        <v>9568</v>
      </c>
    </row>
    <row r="7632" spans="1:9" x14ac:dyDescent="0.3">
      <c r="A7632" s="45">
        <v>45217</v>
      </c>
      <c r="B7632" s="399" t="s">
        <v>12097</v>
      </c>
      <c r="C7632" s="5" t="s">
        <v>1086</v>
      </c>
      <c r="D7632" s="124" t="s">
        <v>12435</v>
      </c>
      <c r="E7632" s="43">
        <v>250000</v>
      </c>
      <c r="F7632" s="43"/>
      <c r="G7632" s="48">
        <f t="shared" si="192"/>
        <v>291679.46774193528</v>
      </c>
      <c r="H7632" s="391" t="s">
        <v>9568</v>
      </c>
    </row>
    <row r="7633" spans="1:11" x14ac:dyDescent="0.3">
      <c r="A7633" s="45">
        <v>45217</v>
      </c>
      <c r="B7633" s="399" t="s">
        <v>10615</v>
      </c>
      <c r="C7633" s="5" t="s">
        <v>12436</v>
      </c>
      <c r="D7633" s="124" t="s">
        <v>12437</v>
      </c>
      <c r="E7633" s="43">
        <v>150000</v>
      </c>
      <c r="F7633" s="43"/>
      <c r="G7633" s="48">
        <f t="shared" si="192"/>
        <v>141679.46774193528</v>
      </c>
      <c r="H7633" s="391" t="s">
        <v>9568</v>
      </c>
    </row>
    <row r="7634" spans="1:11" x14ac:dyDescent="0.3">
      <c r="A7634" s="45">
        <v>45217</v>
      </c>
      <c r="B7634" s="399" t="s">
        <v>12092</v>
      </c>
      <c r="C7634" s="5" t="s">
        <v>11194</v>
      </c>
      <c r="D7634" s="124" t="s">
        <v>12438</v>
      </c>
      <c r="E7634" s="43">
        <v>80000</v>
      </c>
      <c r="F7634" s="43"/>
      <c r="G7634" s="48">
        <f t="shared" si="192"/>
        <v>61679.467741935281</v>
      </c>
      <c r="H7634" s="391" t="s">
        <v>9568</v>
      </c>
    </row>
    <row r="7635" spans="1:11" x14ac:dyDescent="0.3">
      <c r="A7635" s="45">
        <v>45217</v>
      </c>
      <c r="B7635" s="589" t="s">
        <v>25</v>
      </c>
      <c r="C7635" s="44" t="s">
        <v>25</v>
      </c>
      <c r="D7635" s="44" t="s">
        <v>11455</v>
      </c>
      <c r="E7635" s="28">
        <v>3000</v>
      </c>
      <c r="F7635" s="43"/>
      <c r="G7635" s="48">
        <f t="shared" si="192"/>
        <v>58679.467741935281</v>
      </c>
      <c r="H7635" s="391" t="s">
        <v>9568</v>
      </c>
    </row>
    <row r="7636" spans="1:11" x14ac:dyDescent="0.3">
      <c r="A7636" s="45">
        <v>45217</v>
      </c>
      <c r="B7636" s="399" t="s">
        <v>12089</v>
      </c>
      <c r="C7636" s="5" t="s">
        <v>5162</v>
      </c>
      <c r="D7636" s="124" t="s">
        <v>3910</v>
      </c>
      <c r="E7636" s="43">
        <v>5000</v>
      </c>
      <c r="F7636" s="43"/>
      <c r="G7636" s="48">
        <f t="shared" si="192"/>
        <v>53679.467741935281</v>
      </c>
      <c r="H7636" s="391" t="s">
        <v>9568</v>
      </c>
    </row>
    <row r="7637" spans="1:11" x14ac:dyDescent="0.3">
      <c r="A7637" s="45">
        <v>45217</v>
      </c>
      <c r="B7637" s="399" t="s">
        <v>12088</v>
      </c>
      <c r="C7637" s="5" t="s">
        <v>30</v>
      </c>
      <c r="D7637" s="124" t="s">
        <v>11592</v>
      </c>
      <c r="E7637" s="43">
        <v>1400</v>
      </c>
      <c r="F7637" s="43"/>
      <c r="G7637" s="48">
        <f t="shared" si="192"/>
        <v>52279.467741935281</v>
      </c>
      <c r="H7637" s="391" t="s">
        <v>9568</v>
      </c>
    </row>
    <row r="7638" spans="1:11" x14ac:dyDescent="0.3">
      <c r="A7638" s="45">
        <v>45217</v>
      </c>
      <c r="B7638" s="399" t="s">
        <v>12087</v>
      </c>
      <c r="C7638" s="5" t="s">
        <v>5793</v>
      </c>
      <c r="D7638" s="124" t="s">
        <v>12439</v>
      </c>
      <c r="E7638" s="43">
        <v>300</v>
      </c>
      <c r="F7638" s="43"/>
      <c r="G7638" s="48">
        <f t="shared" si="192"/>
        <v>51979.467741935281</v>
      </c>
      <c r="H7638" s="391" t="s">
        <v>9568</v>
      </c>
    </row>
    <row r="7639" spans="1:11" x14ac:dyDescent="0.3">
      <c r="A7639" s="45">
        <v>45217</v>
      </c>
      <c r="B7639" s="586"/>
      <c r="C7639" s="486"/>
      <c r="D7639" s="497" t="s">
        <v>12448</v>
      </c>
      <c r="E7639" s="486"/>
      <c r="F7639" s="28">
        <v>500000</v>
      </c>
      <c r="G7639" s="48">
        <f t="shared" si="192"/>
        <v>551979.46774193528</v>
      </c>
      <c r="H7639" s="391" t="s">
        <v>9568</v>
      </c>
      <c r="I7639" s="52">
        <f>I7637-I7638</f>
        <v>0</v>
      </c>
    </row>
    <row r="7640" spans="1:11" x14ac:dyDescent="0.3">
      <c r="A7640" s="45">
        <v>45217</v>
      </c>
      <c r="B7640" s="399"/>
      <c r="C7640" s="5" t="s">
        <v>4550</v>
      </c>
      <c r="D7640" s="124" t="s">
        <v>12440</v>
      </c>
      <c r="E7640" s="43">
        <v>30000</v>
      </c>
      <c r="F7640" s="43"/>
      <c r="G7640" s="48">
        <f t="shared" si="192"/>
        <v>521979.46774193528</v>
      </c>
      <c r="H7640" s="391" t="s">
        <v>9568</v>
      </c>
      <c r="K7640" s="52">
        <v>7500</v>
      </c>
    </row>
    <row r="7641" spans="1:11" x14ac:dyDescent="0.3">
      <c r="A7641" s="45">
        <v>45217</v>
      </c>
      <c r="B7641" s="399" t="s">
        <v>12089</v>
      </c>
      <c r="C7641" s="5" t="s">
        <v>10760</v>
      </c>
      <c r="D7641" s="124" t="s">
        <v>12441</v>
      </c>
      <c r="E7641" s="43">
        <v>100000</v>
      </c>
      <c r="F7641" s="43"/>
      <c r="G7641" s="48">
        <f t="shared" si="192"/>
        <v>421979.46774193528</v>
      </c>
      <c r="H7641" s="391" t="s">
        <v>9568</v>
      </c>
      <c r="K7641" s="52">
        <v>2900</v>
      </c>
    </row>
    <row r="7642" spans="1:11" x14ac:dyDescent="0.3">
      <c r="A7642" s="45">
        <v>45217</v>
      </c>
      <c r="B7642" s="399" t="s">
        <v>12093</v>
      </c>
      <c r="C7642" s="5" t="s">
        <v>11194</v>
      </c>
      <c r="D7642" s="124" t="s">
        <v>12442</v>
      </c>
      <c r="E7642" s="43">
        <v>4500</v>
      </c>
      <c r="F7642" s="43"/>
      <c r="G7642" s="48">
        <f t="shared" si="192"/>
        <v>417479.46774193528</v>
      </c>
      <c r="H7642" s="391" t="s">
        <v>9568</v>
      </c>
      <c r="K7642" s="52">
        <v>39300</v>
      </c>
    </row>
    <row r="7643" spans="1:11" x14ac:dyDescent="0.3">
      <c r="A7643" s="45">
        <v>45217</v>
      </c>
      <c r="B7643" s="586"/>
      <c r="C7643" s="486"/>
      <c r="D7643" s="497" t="s">
        <v>12449</v>
      </c>
      <c r="E7643" s="486"/>
      <c r="F7643" s="28">
        <v>50000</v>
      </c>
      <c r="G7643" s="48">
        <f t="shared" si="192"/>
        <v>467479.46774193528</v>
      </c>
      <c r="H7643" s="391" t="s">
        <v>9568</v>
      </c>
      <c r="I7643" s="52">
        <f>I7641-I7642</f>
        <v>0</v>
      </c>
      <c r="K7643" s="52">
        <v>1000</v>
      </c>
    </row>
    <row r="7644" spans="1:11" x14ac:dyDescent="0.3">
      <c r="A7644" s="45">
        <v>45217</v>
      </c>
      <c r="B7644" s="399" t="s">
        <v>12092</v>
      </c>
      <c r="C7644" s="5" t="s">
        <v>5793</v>
      </c>
      <c r="D7644" s="124" t="s">
        <v>40</v>
      </c>
      <c r="E7644" s="43">
        <v>1500</v>
      </c>
      <c r="F7644" s="43"/>
      <c r="G7644" s="48">
        <f t="shared" si="192"/>
        <v>465979.46774193528</v>
      </c>
      <c r="H7644" s="391" t="s">
        <v>9568</v>
      </c>
      <c r="K7644" s="52">
        <v>4200</v>
      </c>
    </row>
    <row r="7645" spans="1:11" x14ac:dyDescent="0.3">
      <c r="A7645" s="45">
        <v>45217</v>
      </c>
      <c r="B7645" s="399" t="s">
        <v>10615</v>
      </c>
      <c r="C7645" s="5" t="s">
        <v>6430</v>
      </c>
      <c r="D7645" s="124" t="s">
        <v>4187</v>
      </c>
      <c r="E7645" s="43">
        <v>10000</v>
      </c>
      <c r="F7645" s="43"/>
      <c r="G7645" s="48">
        <f t="shared" si="192"/>
        <v>455979.46774193528</v>
      </c>
      <c r="H7645" s="391" t="s">
        <v>9568</v>
      </c>
      <c r="K7645" s="52">
        <f>SUM(K7640:K7644)</f>
        <v>54900</v>
      </c>
    </row>
    <row r="7646" spans="1:11" x14ac:dyDescent="0.3">
      <c r="A7646" s="45">
        <v>45217</v>
      </c>
      <c r="B7646" s="399" t="s">
        <v>12088</v>
      </c>
      <c r="C7646" s="5" t="s">
        <v>4156</v>
      </c>
      <c r="D7646" s="124" t="s">
        <v>12443</v>
      </c>
      <c r="E7646" s="43">
        <v>250000</v>
      </c>
      <c r="F7646" s="43"/>
      <c r="G7646" s="48">
        <f t="shared" si="192"/>
        <v>205979.46774193528</v>
      </c>
      <c r="H7646" s="391" t="s">
        <v>9568</v>
      </c>
      <c r="K7646" s="52">
        <v>1000</v>
      </c>
    </row>
    <row r="7647" spans="1:11" x14ac:dyDescent="0.3">
      <c r="A7647" s="45">
        <v>45217</v>
      </c>
      <c r="B7647" s="399"/>
      <c r="C7647" s="5" t="s">
        <v>84</v>
      </c>
      <c r="D7647" s="124" t="s">
        <v>12444</v>
      </c>
      <c r="E7647" s="43">
        <v>40000</v>
      </c>
      <c r="F7647" s="43"/>
      <c r="G7647" s="48">
        <f t="shared" si="192"/>
        <v>165979.46774193528</v>
      </c>
      <c r="H7647" s="391" t="s">
        <v>9568</v>
      </c>
      <c r="K7647" s="52">
        <f>K7646+K7645</f>
        <v>55900</v>
      </c>
    </row>
    <row r="7648" spans="1:11" x14ac:dyDescent="0.3">
      <c r="A7648" s="45">
        <v>45217</v>
      </c>
      <c r="B7648" s="399"/>
      <c r="C7648" s="5" t="s">
        <v>84</v>
      </c>
      <c r="D7648" s="124" t="s">
        <v>12445</v>
      </c>
      <c r="E7648" s="43">
        <v>15000</v>
      </c>
      <c r="F7648" s="43"/>
      <c r="G7648" s="48">
        <f t="shared" si="192"/>
        <v>150979.46774193528</v>
      </c>
      <c r="H7648" s="391" t="s">
        <v>9568</v>
      </c>
    </row>
    <row r="7649" spans="1:11" x14ac:dyDescent="0.3">
      <c r="A7649" s="45">
        <v>45217</v>
      </c>
      <c r="B7649" s="399"/>
      <c r="C7649" s="5" t="s">
        <v>57</v>
      </c>
      <c r="D7649" s="124" t="s">
        <v>294</v>
      </c>
      <c r="E7649" s="43">
        <v>20000</v>
      </c>
      <c r="F7649" s="43"/>
      <c r="G7649" s="48">
        <f t="shared" si="192"/>
        <v>130979.46774193528</v>
      </c>
      <c r="H7649" s="391" t="s">
        <v>9568</v>
      </c>
    </row>
    <row r="7650" spans="1:11" x14ac:dyDescent="0.3">
      <c r="A7650" s="45">
        <v>45217</v>
      </c>
      <c r="B7650" s="399" t="s">
        <v>12088</v>
      </c>
      <c r="C7650" s="5" t="s">
        <v>5793</v>
      </c>
      <c r="D7650" s="124" t="s">
        <v>40</v>
      </c>
      <c r="E7650" s="43">
        <v>300</v>
      </c>
      <c r="F7650" s="43"/>
      <c r="G7650" s="48">
        <f t="shared" si="192"/>
        <v>130679.46774193528</v>
      </c>
      <c r="H7650" s="391" t="s">
        <v>9568</v>
      </c>
    </row>
    <row r="7651" spans="1:11" x14ac:dyDescent="0.3">
      <c r="A7651" s="45">
        <v>45217</v>
      </c>
      <c r="B7651" s="399" t="s">
        <v>12189</v>
      </c>
      <c r="C7651" s="5" t="s">
        <v>12446</v>
      </c>
      <c r="D7651" s="124" t="s">
        <v>12456</v>
      </c>
      <c r="E7651" s="43">
        <v>4200</v>
      </c>
      <c r="F7651" s="43"/>
      <c r="G7651" s="48">
        <f t="shared" si="192"/>
        <v>126479.46774193528</v>
      </c>
      <c r="H7651" s="391" t="s">
        <v>9568</v>
      </c>
    </row>
    <row r="7652" spans="1:11" x14ac:dyDescent="0.3">
      <c r="A7652" s="45">
        <v>45217</v>
      </c>
      <c r="B7652" s="399" t="s">
        <v>11528</v>
      </c>
      <c r="C7652" s="5" t="s">
        <v>12446</v>
      </c>
      <c r="D7652" s="124" t="s">
        <v>12457</v>
      </c>
      <c r="E7652" s="43">
        <v>1000</v>
      </c>
      <c r="F7652" s="43"/>
      <c r="G7652" s="48">
        <f t="shared" si="192"/>
        <v>125479.46774193528</v>
      </c>
      <c r="H7652" s="391" t="s">
        <v>9568</v>
      </c>
    </row>
    <row r="7653" spans="1:11" x14ac:dyDescent="0.3">
      <c r="A7653" s="45">
        <v>45217</v>
      </c>
      <c r="B7653" s="399" t="s">
        <v>12138</v>
      </c>
      <c r="C7653" s="5" t="s">
        <v>12446</v>
      </c>
      <c r="D7653" s="124" t="s">
        <v>12458</v>
      </c>
      <c r="E7653" s="43">
        <v>2900</v>
      </c>
      <c r="F7653" s="43"/>
      <c r="G7653" s="48">
        <f t="shared" si="192"/>
        <v>122579.46774193528</v>
      </c>
      <c r="H7653" s="391" t="s">
        <v>9568</v>
      </c>
    </row>
    <row r="7654" spans="1:11" x14ac:dyDescent="0.3">
      <c r="A7654" s="45">
        <v>45217</v>
      </c>
      <c r="B7654" s="399" t="s">
        <v>12088</v>
      </c>
      <c r="C7654" s="5" t="s">
        <v>12446</v>
      </c>
      <c r="D7654" s="124" t="s">
        <v>12459</v>
      </c>
      <c r="E7654" s="43">
        <v>7500</v>
      </c>
      <c r="F7654" s="43"/>
      <c r="G7654" s="48">
        <f t="shared" si="192"/>
        <v>115079.46774193528</v>
      </c>
      <c r="H7654" s="391" t="s">
        <v>9568</v>
      </c>
    </row>
    <row r="7655" spans="1:11" x14ac:dyDescent="0.3">
      <c r="A7655" s="45">
        <v>45217</v>
      </c>
      <c r="B7655" s="399" t="s">
        <v>12088</v>
      </c>
      <c r="C7655" s="5" t="s">
        <v>12446</v>
      </c>
      <c r="D7655" s="124" t="s">
        <v>12460</v>
      </c>
      <c r="E7655" s="43">
        <v>39300</v>
      </c>
      <c r="F7655" s="43"/>
      <c r="G7655" s="48">
        <f t="shared" si="192"/>
        <v>75779.467741935281</v>
      </c>
      <c r="H7655" s="391" t="s">
        <v>9568</v>
      </c>
    </row>
    <row r="7656" spans="1:11" x14ac:dyDescent="0.3">
      <c r="A7656" s="45">
        <v>45217</v>
      </c>
      <c r="B7656" s="399" t="s">
        <v>12088</v>
      </c>
      <c r="C7656" s="5" t="s">
        <v>5793</v>
      </c>
      <c r="D7656" s="124" t="s">
        <v>40</v>
      </c>
      <c r="E7656" s="43">
        <v>1000</v>
      </c>
      <c r="F7656" s="43"/>
      <c r="G7656" s="48">
        <f t="shared" si="192"/>
        <v>74779.467741935281</v>
      </c>
      <c r="H7656" s="391" t="s">
        <v>9568</v>
      </c>
    </row>
    <row r="7657" spans="1:11" x14ac:dyDescent="0.3">
      <c r="A7657" s="45">
        <v>45217</v>
      </c>
      <c r="B7657" s="399" t="s">
        <v>12097</v>
      </c>
      <c r="C7657" s="5" t="s">
        <v>5793</v>
      </c>
      <c r="D7657" s="124" t="s">
        <v>12455</v>
      </c>
      <c r="E7657" s="43">
        <v>250</v>
      </c>
      <c r="F7657" s="43"/>
      <c r="G7657" s="48">
        <f t="shared" si="192"/>
        <v>74529.467741935281</v>
      </c>
      <c r="H7657" s="391" t="s">
        <v>9568</v>
      </c>
    </row>
    <row r="7658" spans="1:11" x14ac:dyDescent="0.3">
      <c r="A7658" s="45">
        <v>45217</v>
      </c>
      <c r="B7658" s="399" t="s">
        <v>12138</v>
      </c>
      <c r="C7658" s="5" t="s">
        <v>5793</v>
      </c>
      <c r="D7658" s="124" t="s">
        <v>40</v>
      </c>
      <c r="E7658" s="43">
        <v>3300</v>
      </c>
      <c r="F7658" s="43"/>
      <c r="G7658" s="48">
        <f t="shared" si="192"/>
        <v>71229.467741935281</v>
      </c>
      <c r="H7658" s="391" t="s">
        <v>9568</v>
      </c>
      <c r="K7658" s="52">
        <v>75590</v>
      </c>
    </row>
    <row r="7659" spans="1:11" x14ac:dyDescent="0.3">
      <c r="A7659" s="45">
        <v>45217</v>
      </c>
      <c r="B7659" s="399" t="s">
        <v>10333</v>
      </c>
      <c r="C7659" s="5" t="s">
        <v>12446</v>
      </c>
      <c r="D7659" s="124" t="s">
        <v>12461</v>
      </c>
      <c r="E7659" s="43">
        <v>27600</v>
      </c>
      <c r="F7659" s="43"/>
      <c r="G7659" s="48">
        <f t="shared" si="192"/>
        <v>43629.467741935281</v>
      </c>
      <c r="H7659" s="391" t="s">
        <v>9568</v>
      </c>
      <c r="K7659" s="52">
        <v>1670</v>
      </c>
    </row>
    <row r="7660" spans="1:11" x14ac:dyDescent="0.3">
      <c r="A7660" s="45">
        <v>45217</v>
      </c>
      <c r="B7660" s="399" t="s">
        <v>12089</v>
      </c>
      <c r="C7660" s="5" t="s">
        <v>12462</v>
      </c>
      <c r="D7660" s="124" t="s">
        <v>12463</v>
      </c>
      <c r="E7660" s="43">
        <v>13000</v>
      </c>
      <c r="F7660" s="43"/>
      <c r="G7660" s="48">
        <f t="shared" si="192"/>
        <v>30629.467741935281</v>
      </c>
      <c r="H7660" s="391" t="s">
        <v>9568</v>
      </c>
      <c r="K7660" s="52">
        <f>SUM(K7658:K7659)</f>
        <v>77260</v>
      </c>
    </row>
    <row r="7661" spans="1:11" x14ac:dyDescent="0.3">
      <c r="A7661" s="45">
        <v>45217</v>
      </c>
      <c r="B7661" s="399" t="s">
        <v>12213</v>
      </c>
      <c r="C7661" s="5" t="s">
        <v>5793</v>
      </c>
      <c r="D7661" s="124" t="s">
        <v>40</v>
      </c>
      <c r="E7661" s="43">
        <v>600</v>
      </c>
      <c r="F7661" s="43"/>
      <c r="G7661" s="48">
        <f t="shared" si="192"/>
        <v>30029.467741935281</v>
      </c>
      <c r="H7661" s="391" t="s">
        <v>9568</v>
      </c>
      <c r="K7661" s="52">
        <v>1000</v>
      </c>
    </row>
    <row r="7662" spans="1:11" x14ac:dyDescent="0.3">
      <c r="A7662" s="45">
        <v>45217</v>
      </c>
      <c r="B7662" s="589" t="s">
        <v>25</v>
      </c>
      <c r="C7662" s="44" t="s">
        <v>25</v>
      </c>
      <c r="D7662" s="44" t="s">
        <v>11455</v>
      </c>
      <c r="E7662" s="28">
        <v>3000</v>
      </c>
      <c r="F7662" s="43"/>
      <c r="G7662" s="48">
        <f t="shared" si="192"/>
        <v>27029.467741935281</v>
      </c>
      <c r="H7662" s="391" t="s">
        <v>9568</v>
      </c>
    </row>
    <row r="7663" spans="1:11" x14ac:dyDescent="0.3">
      <c r="A7663" s="45">
        <v>45217</v>
      </c>
      <c r="B7663" s="399" t="s">
        <v>12088</v>
      </c>
      <c r="C7663" s="5" t="s">
        <v>5793</v>
      </c>
      <c r="D7663" s="124" t="s">
        <v>40</v>
      </c>
      <c r="E7663" s="43">
        <v>2500</v>
      </c>
      <c r="F7663" s="43"/>
      <c r="G7663" s="48">
        <f t="shared" si="192"/>
        <v>24529.467741935281</v>
      </c>
      <c r="H7663" s="391" t="s">
        <v>9568</v>
      </c>
      <c r="K7663" s="52">
        <f>K7661+K7660</f>
        <v>78260</v>
      </c>
    </row>
    <row r="7664" spans="1:11" x14ac:dyDescent="0.3">
      <c r="A7664" s="45">
        <v>45219</v>
      </c>
      <c r="B7664" s="586"/>
      <c r="C7664" s="486"/>
      <c r="D7664" s="497" t="s">
        <v>5431</v>
      </c>
      <c r="E7664" s="486"/>
      <c r="F7664" s="28">
        <v>390000</v>
      </c>
      <c r="G7664" s="48">
        <f t="shared" ref="G7664" si="193">G7663+F7664-E7664</f>
        <v>414529.46774193528</v>
      </c>
      <c r="H7664" s="391" t="s">
        <v>9568</v>
      </c>
      <c r="I7664" s="52">
        <f>I7661-I7663</f>
        <v>0</v>
      </c>
      <c r="K7664" s="52">
        <f>K7663-80000</f>
        <v>-1740</v>
      </c>
    </row>
    <row r="7665" spans="1:11" x14ac:dyDescent="0.3">
      <c r="A7665" s="45">
        <v>45219</v>
      </c>
      <c r="B7665" s="399" t="s">
        <v>12138</v>
      </c>
      <c r="C7665" s="5" t="s">
        <v>11194</v>
      </c>
      <c r="D7665" s="124" t="s">
        <v>12460</v>
      </c>
      <c r="E7665" s="43">
        <v>45590</v>
      </c>
      <c r="F7665" s="43"/>
      <c r="G7665" s="48">
        <f t="shared" si="192"/>
        <v>368939.46774193528</v>
      </c>
      <c r="H7665" s="391" t="s">
        <v>9568</v>
      </c>
      <c r="K7665" s="52">
        <v>500</v>
      </c>
    </row>
    <row r="7666" spans="1:11" x14ac:dyDescent="0.3">
      <c r="A7666" s="45">
        <v>45219</v>
      </c>
      <c r="B7666" s="399" t="s">
        <v>12088</v>
      </c>
      <c r="C7666" s="5" t="s">
        <v>11194</v>
      </c>
      <c r="D7666" s="124" t="s">
        <v>12460</v>
      </c>
      <c r="E7666" s="43">
        <v>30000</v>
      </c>
      <c r="F7666" s="43"/>
      <c r="G7666" s="48">
        <f t="shared" si="192"/>
        <v>338939.46774193528</v>
      </c>
      <c r="H7666" s="391" t="s">
        <v>9568</v>
      </c>
    </row>
    <row r="7667" spans="1:11" x14ac:dyDescent="0.3">
      <c r="A7667" s="45">
        <v>45219</v>
      </c>
      <c r="B7667" s="399" t="s">
        <v>12092</v>
      </c>
      <c r="C7667" s="5" t="s">
        <v>11194</v>
      </c>
      <c r="D7667" s="124" t="s">
        <v>12469</v>
      </c>
      <c r="E7667" s="43">
        <v>1670</v>
      </c>
      <c r="F7667" s="43"/>
      <c r="G7667" s="48">
        <f t="shared" si="192"/>
        <v>337269.46774193528</v>
      </c>
      <c r="H7667" s="391" t="s">
        <v>9568</v>
      </c>
    </row>
    <row r="7668" spans="1:11" x14ac:dyDescent="0.3">
      <c r="A7668" s="45">
        <v>45219</v>
      </c>
      <c r="B7668" s="399" t="s">
        <v>12093</v>
      </c>
      <c r="C7668" s="5" t="s">
        <v>5793</v>
      </c>
      <c r="D7668" s="124" t="s">
        <v>40</v>
      </c>
      <c r="E7668" s="43">
        <v>1500</v>
      </c>
      <c r="F7668" s="43"/>
      <c r="G7668" s="48">
        <f t="shared" si="192"/>
        <v>335769.46774193528</v>
      </c>
      <c r="H7668" s="391" t="s">
        <v>9568</v>
      </c>
    </row>
    <row r="7669" spans="1:11" x14ac:dyDescent="0.3">
      <c r="A7669" s="45">
        <v>45219</v>
      </c>
      <c r="B7669" s="399" t="s">
        <v>12197</v>
      </c>
      <c r="C7669" s="5" t="s">
        <v>9325</v>
      </c>
      <c r="D7669" s="124" t="s">
        <v>40</v>
      </c>
      <c r="E7669" s="43">
        <v>200000</v>
      </c>
      <c r="F7669" s="43"/>
      <c r="G7669" s="48">
        <f t="shared" si="192"/>
        <v>135769.46774193528</v>
      </c>
      <c r="H7669" s="391" t="s">
        <v>9568</v>
      </c>
    </row>
    <row r="7670" spans="1:11" x14ac:dyDescent="0.3">
      <c r="A7670" s="45">
        <v>45219</v>
      </c>
      <c r="B7670" s="399"/>
      <c r="C7670" s="5" t="s">
        <v>84</v>
      </c>
      <c r="D7670" s="124" t="s">
        <v>12465</v>
      </c>
      <c r="E7670" s="43">
        <v>15000</v>
      </c>
      <c r="F7670" s="43"/>
      <c r="G7670" s="48">
        <f t="shared" si="192"/>
        <v>120769.46774193528</v>
      </c>
      <c r="H7670" s="391" t="s">
        <v>9568</v>
      </c>
    </row>
    <row r="7671" spans="1:11" x14ac:dyDescent="0.3">
      <c r="A7671" s="45">
        <v>45219</v>
      </c>
      <c r="B7671" s="586"/>
      <c r="C7671" s="486"/>
      <c r="D7671" s="497" t="s">
        <v>12466</v>
      </c>
      <c r="E7671" s="486"/>
      <c r="F7671" s="28">
        <v>400000</v>
      </c>
      <c r="G7671" s="48">
        <f t="shared" si="192"/>
        <v>520769.46774193528</v>
      </c>
      <c r="H7671" s="391" t="s">
        <v>9568</v>
      </c>
      <c r="I7671" s="52">
        <f>I7669-I7670</f>
        <v>0</v>
      </c>
      <c r="K7671" s="52">
        <v>1000</v>
      </c>
    </row>
    <row r="7672" spans="1:11" x14ac:dyDescent="0.3">
      <c r="A7672" s="45">
        <v>45219</v>
      </c>
      <c r="B7672" s="399"/>
      <c r="C7672" s="5" t="s">
        <v>4550</v>
      </c>
      <c r="D7672" s="124" t="s">
        <v>12467</v>
      </c>
      <c r="E7672" s="43">
        <v>100000</v>
      </c>
      <c r="F7672" s="43"/>
      <c r="G7672" s="48">
        <f t="shared" si="192"/>
        <v>420769.46774193528</v>
      </c>
      <c r="H7672" s="391" t="s">
        <v>9568</v>
      </c>
    </row>
    <row r="7673" spans="1:11" x14ac:dyDescent="0.3">
      <c r="A7673" s="45">
        <v>45219</v>
      </c>
      <c r="B7673" s="399" t="s">
        <v>12092</v>
      </c>
      <c r="C7673" s="5" t="s">
        <v>3554</v>
      </c>
      <c r="D7673" s="124" t="s">
        <v>12468</v>
      </c>
      <c r="E7673" s="43">
        <v>100000</v>
      </c>
      <c r="F7673" s="43"/>
      <c r="G7673" s="48">
        <f t="shared" si="192"/>
        <v>320769.46774193528</v>
      </c>
      <c r="H7673" s="391" t="s">
        <v>9568</v>
      </c>
    </row>
    <row r="7674" spans="1:11" x14ac:dyDescent="0.3">
      <c r="A7674" s="45">
        <v>45219</v>
      </c>
      <c r="B7674" s="399" t="s">
        <v>12092</v>
      </c>
      <c r="C7674" s="5" t="s">
        <v>3554</v>
      </c>
      <c r="D7674" s="124" t="s">
        <v>12474</v>
      </c>
      <c r="E7674" s="43">
        <v>50000</v>
      </c>
      <c r="F7674" s="43"/>
      <c r="G7674" s="48">
        <f t="shared" si="192"/>
        <v>270769.46774193528</v>
      </c>
      <c r="H7674" s="391" t="s">
        <v>9568</v>
      </c>
    </row>
    <row r="7675" spans="1:11" x14ac:dyDescent="0.3">
      <c r="A7675" s="45">
        <v>45219</v>
      </c>
      <c r="B7675" s="589" t="s">
        <v>25</v>
      </c>
      <c r="C7675" s="44" t="s">
        <v>25</v>
      </c>
      <c r="D7675" s="44" t="s">
        <v>11455</v>
      </c>
      <c r="E7675" s="28">
        <v>2000</v>
      </c>
      <c r="F7675" s="43"/>
      <c r="G7675" s="48">
        <f t="shared" si="192"/>
        <v>268769.46774193528</v>
      </c>
      <c r="H7675" s="391" t="s">
        <v>9568</v>
      </c>
    </row>
    <row r="7676" spans="1:11" x14ac:dyDescent="0.3">
      <c r="A7676" s="45">
        <v>45219</v>
      </c>
      <c r="B7676" s="399" t="s">
        <v>12092</v>
      </c>
      <c r="C7676" s="5" t="s">
        <v>12446</v>
      </c>
      <c r="D7676" s="124" t="s">
        <v>12472</v>
      </c>
      <c r="E7676" s="43">
        <v>77000</v>
      </c>
      <c r="F7676" s="43"/>
      <c r="G7676" s="48">
        <f t="shared" si="192"/>
        <v>191769.46774193528</v>
      </c>
      <c r="H7676" s="391" t="s">
        <v>9568</v>
      </c>
    </row>
    <row r="7677" spans="1:11" x14ac:dyDescent="0.3">
      <c r="A7677" s="45">
        <v>45219</v>
      </c>
      <c r="B7677" s="399" t="s">
        <v>12092</v>
      </c>
      <c r="C7677" s="5" t="s">
        <v>5793</v>
      </c>
      <c r="D7677" s="124" t="s">
        <v>40</v>
      </c>
      <c r="E7677" s="43">
        <v>1600</v>
      </c>
      <c r="F7677" s="43"/>
      <c r="G7677" s="48">
        <f t="shared" si="192"/>
        <v>190169.46774193528</v>
      </c>
      <c r="H7677" s="391" t="s">
        <v>9568</v>
      </c>
    </row>
    <row r="7678" spans="1:11" ht="37.5" x14ac:dyDescent="0.3">
      <c r="A7678" s="45">
        <v>45219</v>
      </c>
      <c r="B7678" s="399" t="s">
        <v>25</v>
      </c>
      <c r="C7678" s="5" t="s">
        <v>12473</v>
      </c>
      <c r="D7678" s="124" t="s">
        <v>12477</v>
      </c>
      <c r="E7678" s="43">
        <v>19000</v>
      </c>
      <c r="F7678" s="43"/>
      <c r="G7678" s="48">
        <f t="shared" si="192"/>
        <v>171169.46774193528</v>
      </c>
      <c r="H7678" s="391" t="s">
        <v>9568</v>
      </c>
      <c r="J7678" s="52">
        <v>9500</v>
      </c>
    </row>
    <row r="7679" spans="1:11" x14ac:dyDescent="0.3">
      <c r="A7679" s="45">
        <v>45219</v>
      </c>
      <c r="B7679" s="399" t="s">
        <v>25</v>
      </c>
      <c r="C7679" s="5" t="s">
        <v>12473</v>
      </c>
      <c r="D7679" s="124" t="s">
        <v>12478</v>
      </c>
      <c r="E7679" s="43">
        <v>1800</v>
      </c>
      <c r="F7679" s="43"/>
      <c r="G7679" s="48">
        <f t="shared" si="192"/>
        <v>169369.46774193528</v>
      </c>
      <c r="H7679" s="391" t="s">
        <v>9568</v>
      </c>
    </row>
    <row r="7680" spans="1:11" x14ac:dyDescent="0.3">
      <c r="A7680" s="45">
        <v>45219</v>
      </c>
      <c r="B7680" s="399" t="s">
        <v>25</v>
      </c>
      <c r="C7680" s="5" t="s">
        <v>12473</v>
      </c>
      <c r="D7680" s="124" t="s">
        <v>12479</v>
      </c>
      <c r="E7680" s="43">
        <v>9500</v>
      </c>
      <c r="F7680" s="43"/>
      <c r="G7680" s="48">
        <f t="shared" si="192"/>
        <v>159869.46774193528</v>
      </c>
      <c r="H7680" s="391" t="s">
        <v>9568</v>
      </c>
    </row>
    <row r="7681" spans="1:11" x14ac:dyDescent="0.3">
      <c r="A7681" s="45">
        <v>45220</v>
      </c>
      <c r="B7681" s="399" t="s">
        <v>12287</v>
      </c>
      <c r="C7681" s="5" t="s">
        <v>12470</v>
      </c>
      <c r="D7681" s="124" t="s">
        <v>12471</v>
      </c>
      <c r="E7681" s="43">
        <v>40000</v>
      </c>
      <c r="F7681" s="43"/>
      <c r="G7681" s="48">
        <f t="shared" si="192"/>
        <v>119869.46774193528</v>
      </c>
      <c r="H7681" s="391" t="s">
        <v>9568</v>
      </c>
      <c r="J7681" s="52">
        <v>19000</v>
      </c>
    </row>
    <row r="7682" spans="1:11" x14ac:dyDescent="0.3">
      <c r="A7682" s="45">
        <v>45220</v>
      </c>
      <c r="B7682" s="399" t="s">
        <v>12093</v>
      </c>
      <c r="C7682" s="5" t="s">
        <v>12446</v>
      </c>
      <c r="D7682" s="124" t="s">
        <v>12475</v>
      </c>
      <c r="E7682" s="43">
        <v>9300</v>
      </c>
      <c r="F7682" s="43"/>
      <c r="G7682" s="48">
        <f t="shared" si="192"/>
        <v>110569.46774193528</v>
      </c>
      <c r="H7682" s="391" t="s">
        <v>9568</v>
      </c>
      <c r="J7682" s="52">
        <v>1800</v>
      </c>
    </row>
    <row r="7683" spans="1:11" x14ac:dyDescent="0.3">
      <c r="A7683" s="45">
        <v>45220</v>
      </c>
      <c r="B7683" s="399" t="s">
        <v>12092</v>
      </c>
      <c r="C7683" s="5" t="s">
        <v>5793</v>
      </c>
      <c r="D7683" s="124" t="s">
        <v>40</v>
      </c>
      <c r="E7683" s="43">
        <v>1500</v>
      </c>
      <c r="F7683" s="43"/>
      <c r="G7683" s="48">
        <f t="shared" si="192"/>
        <v>109069.46774193528</v>
      </c>
      <c r="H7683" s="391" t="s">
        <v>9568</v>
      </c>
    </row>
    <row r="7684" spans="1:11" x14ac:dyDescent="0.3">
      <c r="A7684" s="45">
        <v>45220</v>
      </c>
      <c r="B7684" s="399" t="s">
        <v>25</v>
      </c>
      <c r="C7684" s="5" t="s">
        <v>5793</v>
      </c>
      <c r="D7684" s="124" t="s">
        <v>8924</v>
      </c>
      <c r="E7684" s="43">
        <v>200</v>
      </c>
      <c r="F7684" s="43"/>
      <c r="G7684" s="48">
        <f t="shared" si="192"/>
        <v>108869.46774193528</v>
      </c>
      <c r="H7684" s="391" t="s">
        <v>9568</v>
      </c>
    </row>
    <row r="7685" spans="1:11" x14ac:dyDescent="0.3">
      <c r="A7685" s="45">
        <v>45220</v>
      </c>
      <c r="B7685" s="399" t="s">
        <v>12088</v>
      </c>
      <c r="C7685" s="5" t="s">
        <v>12480</v>
      </c>
      <c r="D7685" s="124" t="s">
        <v>12481</v>
      </c>
      <c r="E7685" s="43">
        <v>500</v>
      </c>
      <c r="F7685" s="43"/>
      <c r="G7685" s="48">
        <f t="shared" si="192"/>
        <v>108369.46774193528</v>
      </c>
      <c r="H7685" s="391" t="s">
        <v>9568</v>
      </c>
    </row>
    <row r="7686" spans="1:11" x14ac:dyDescent="0.3">
      <c r="A7686" s="45">
        <v>45220</v>
      </c>
      <c r="B7686" s="589" t="s">
        <v>25</v>
      </c>
      <c r="C7686" s="44" t="s">
        <v>25</v>
      </c>
      <c r="D7686" s="44" t="s">
        <v>11455</v>
      </c>
      <c r="E7686" s="28">
        <v>2500</v>
      </c>
      <c r="F7686" s="43"/>
      <c r="G7686" s="48">
        <f t="shared" si="192"/>
        <v>105869.46774193528</v>
      </c>
      <c r="H7686" s="391" t="s">
        <v>9568</v>
      </c>
    </row>
    <row r="7687" spans="1:11" x14ac:dyDescent="0.3">
      <c r="A7687" s="45">
        <v>45220</v>
      </c>
      <c r="B7687" s="399" t="s">
        <v>12088</v>
      </c>
      <c r="C7687" s="5" t="s">
        <v>5793</v>
      </c>
      <c r="D7687" s="124" t="s">
        <v>40</v>
      </c>
      <c r="E7687" s="43">
        <v>1500</v>
      </c>
      <c r="F7687" s="43"/>
      <c r="G7687" s="48">
        <f t="shared" si="192"/>
        <v>104369.46774193528</v>
      </c>
      <c r="H7687" s="391" t="s">
        <v>9568</v>
      </c>
    </row>
    <row r="7688" spans="1:11" x14ac:dyDescent="0.3">
      <c r="A7688" s="45">
        <v>45220</v>
      </c>
      <c r="B7688" s="399" t="s">
        <v>12138</v>
      </c>
      <c r="C7688" s="5" t="s">
        <v>5793</v>
      </c>
      <c r="D7688" s="124" t="s">
        <v>40</v>
      </c>
      <c r="E7688" s="43">
        <v>3000</v>
      </c>
      <c r="F7688" s="43"/>
      <c r="G7688" s="48">
        <f t="shared" si="192"/>
        <v>101369.46774193528</v>
      </c>
      <c r="H7688" s="391" t="s">
        <v>9568</v>
      </c>
    </row>
    <row r="7689" spans="1:11" x14ac:dyDescent="0.3">
      <c r="A7689" s="45">
        <v>45220</v>
      </c>
      <c r="B7689" s="399" t="s">
        <v>12138</v>
      </c>
      <c r="C7689" s="5" t="s">
        <v>5793</v>
      </c>
      <c r="D7689" s="124" t="s">
        <v>40</v>
      </c>
      <c r="E7689" s="43">
        <v>250</v>
      </c>
      <c r="F7689" s="43"/>
      <c r="G7689" s="48">
        <f t="shared" si="192"/>
        <v>101119.46774193528</v>
      </c>
      <c r="H7689" s="391" t="s">
        <v>9568</v>
      </c>
    </row>
    <row r="7690" spans="1:11" x14ac:dyDescent="0.3">
      <c r="A7690" s="45">
        <v>45222</v>
      </c>
      <c r="B7690" s="399" t="s">
        <v>12088</v>
      </c>
      <c r="C7690" s="5" t="s">
        <v>11194</v>
      </c>
      <c r="D7690" s="124" t="s">
        <v>12476</v>
      </c>
      <c r="E7690" s="43">
        <v>95000</v>
      </c>
      <c r="F7690" s="43"/>
      <c r="G7690" s="48">
        <f t="shared" ref="G7690:G7754" si="194">G7689+F7690-E7690</f>
        <v>6119.4677419352811</v>
      </c>
      <c r="H7690" s="391" t="s">
        <v>9568</v>
      </c>
      <c r="J7690" s="52">
        <f>SUM(J7678:J7682)</f>
        <v>30300</v>
      </c>
    </row>
    <row r="7691" spans="1:11" x14ac:dyDescent="0.3">
      <c r="A7691" s="45">
        <v>45223</v>
      </c>
      <c r="B7691" s="399" t="s">
        <v>12138</v>
      </c>
      <c r="C7691" s="5" t="s">
        <v>11194</v>
      </c>
      <c r="D7691" s="124" t="s">
        <v>12486</v>
      </c>
      <c r="E7691" s="43">
        <f>1150+400+1400</f>
        <v>2950</v>
      </c>
      <c r="F7691" s="43"/>
      <c r="G7691" s="48">
        <f t="shared" si="194"/>
        <v>3169.4677419352811</v>
      </c>
      <c r="H7691" s="391" t="s">
        <v>9568</v>
      </c>
    </row>
    <row r="7692" spans="1:11" x14ac:dyDescent="0.3">
      <c r="A7692" s="45">
        <v>45223</v>
      </c>
      <c r="B7692" s="399" t="s">
        <v>25</v>
      </c>
      <c r="C7692" s="5" t="s">
        <v>12418</v>
      </c>
      <c r="D7692" s="124" t="s">
        <v>12485</v>
      </c>
      <c r="E7692" s="43">
        <v>1050</v>
      </c>
      <c r="F7692" s="43"/>
      <c r="G7692" s="48">
        <f t="shared" si="194"/>
        <v>2119.4677419352811</v>
      </c>
      <c r="H7692" s="391" t="s">
        <v>9568</v>
      </c>
    </row>
    <row r="7693" spans="1:11" x14ac:dyDescent="0.3">
      <c r="A7693" s="45">
        <v>45223</v>
      </c>
      <c r="B7693" s="399" t="s">
        <v>12138</v>
      </c>
      <c r="C7693" s="5" t="s">
        <v>30</v>
      </c>
      <c r="D7693" s="124" t="s">
        <v>10651</v>
      </c>
      <c r="E7693" s="43">
        <v>1300</v>
      </c>
      <c r="F7693" s="43"/>
      <c r="G7693" s="48">
        <f t="shared" si="194"/>
        <v>819.46774193528108</v>
      </c>
      <c r="H7693" s="391" t="s">
        <v>9568</v>
      </c>
    </row>
    <row r="7694" spans="1:11" x14ac:dyDescent="0.3">
      <c r="A7694" s="45">
        <v>45223</v>
      </c>
      <c r="B7694" s="589" t="s">
        <v>25</v>
      </c>
      <c r="C7694" s="44" t="s">
        <v>25</v>
      </c>
      <c r="D7694" s="44" t="s">
        <v>11455</v>
      </c>
      <c r="E7694" s="28">
        <v>600</v>
      </c>
      <c r="F7694" s="43"/>
      <c r="G7694" s="48">
        <f t="shared" si="194"/>
        <v>219.46774193528108</v>
      </c>
      <c r="H7694" s="391" t="s">
        <v>9568</v>
      </c>
    </row>
    <row r="7695" spans="1:11" x14ac:dyDescent="0.3">
      <c r="A7695" s="45">
        <v>45223</v>
      </c>
      <c r="B7695" s="586"/>
      <c r="C7695" s="486"/>
      <c r="D7695" s="497" t="s">
        <v>12493</v>
      </c>
      <c r="E7695" s="486"/>
      <c r="F7695" s="28">
        <v>100000</v>
      </c>
      <c r="G7695" s="48">
        <f t="shared" si="194"/>
        <v>100219.46774193528</v>
      </c>
      <c r="H7695" s="391" t="s">
        <v>9568</v>
      </c>
      <c r="I7695" s="52">
        <f>I7693-I7694</f>
        <v>0</v>
      </c>
      <c r="K7695" s="52">
        <v>1000</v>
      </c>
    </row>
    <row r="7696" spans="1:11" x14ac:dyDescent="0.3">
      <c r="A7696" s="45">
        <v>45223</v>
      </c>
      <c r="B7696" s="399"/>
      <c r="C7696" s="5" t="s">
        <v>84</v>
      </c>
      <c r="D7696" s="124" t="s">
        <v>12494</v>
      </c>
      <c r="E7696" s="43">
        <v>5000</v>
      </c>
      <c r="F7696" s="43"/>
      <c r="G7696" s="48">
        <f t="shared" si="194"/>
        <v>95219.467741935281</v>
      </c>
      <c r="H7696" s="391" t="s">
        <v>9568</v>
      </c>
    </row>
    <row r="7697" spans="1:14" s="390" customFormat="1" ht="34.5" x14ac:dyDescent="0.3">
      <c r="A7697" s="45">
        <v>45223</v>
      </c>
      <c r="B7697" s="322" t="s">
        <v>12088</v>
      </c>
      <c r="C7697" s="44" t="s">
        <v>11194</v>
      </c>
      <c r="D7697" s="602" t="s">
        <v>12508</v>
      </c>
      <c r="E7697" s="28">
        <v>28000</v>
      </c>
      <c r="F7697" s="28"/>
      <c r="G7697" s="48">
        <f t="shared" si="194"/>
        <v>67219.467741935281</v>
      </c>
      <c r="H7697" s="391" t="s">
        <v>9568</v>
      </c>
      <c r="I7697" s="155"/>
      <c r="J7697" s="155"/>
      <c r="K7697" s="155"/>
      <c r="N7697" s="155"/>
    </row>
    <row r="7698" spans="1:14" x14ac:dyDescent="0.3">
      <c r="A7698" s="45">
        <v>45224</v>
      </c>
      <c r="B7698" s="586"/>
      <c r="C7698" s="486"/>
      <c r="D7698" s="497" t="s">
        <v>4106</v>
      </c>
      <c r="E7698" s="486"/>
      <c r="F7698" s="28">
        <v>192000</v>
      </c>
      <c r="G7698" s="48">
        <f t="shared" si="194"/>
        <v>259219.46774193528</v>
      </c>
      <c r="H7698" s="391" t="s">
        <v>9568</v>
      </c>
    </row>
    <row r="7699" spans="1:14" x14ac:dyDescent="0.3">
      <c r="A7699" s="45">
        <v>45224</v>
      </c>
      <c r="B7699" s="399" t="s">
        <v>12088</v>
      </c>
      <c r="C7699" s="5" t="s">
        <v>11194</v>
      </c>
      <c r="D7699" s="124" t="s">
        <v>12502</v>
      </c>
      <c r="E7699" s="43">
        <v>45000</v>
      </c>
      <c r="F7699" s="43"/>
      <c r="G7699" s="48">
        <f t="shared" si="194"/>
        <v>214219.46774193528</v>
      </c>
      <c r="H7699" s="391" t="s">
        <v>9568</v>
      </c>
    </row>
    <row r="7700" spans="1:14" x14ac:dyDescent="0.3">
      <c r="A7700" s="45">
        <v>45224</v>
      </c>
      <c r="B7700" s="399" t="s">
        <v>12088</v>
      </c>
      <c r="C7700" s="5" t="s">
        <v>5793</v>
      </c>
      <c r="D7700" s="124" t="s">
        <v>40</v>
      </c>
      <c r="E7700" s="43">
        <v>1000</v>
      </c>
      <c r="F7700" s="43"/>
      <c r="G7700" s="48">
        <f t="shared" si="194"/>
        <v>213219.46774193528</v>
      </c>
      <c r="H7700" s="391" t="s">
        <v>9568</v>
      </c>
    </row>
    <row r="7701" spans="1:14" x14ac:dyDescent="0.3">
      <c r="A7701" s="45">
        <v>45224</v>
      </c>
      <c r="B7701" s="399" t="s">
        <v>12097</v>
      </c>
      <c r="C7701" s="5" t="s">
        <v>14</v>
      </c>
      <c r="D7701" s="124" t="s">
        <v>640</v>
      </c>
      <c r="E7701" s="43">
        <v>1000</v>
      </c>
      <c r="F7701" s="43"/>
      <c r="G7701" s="48">
        <f t="shared" si="194"/>
        <v>212219.46774193528</v>
      </c>
      <c r="H7701" s="391" t="s">
        <v>9568</v>
      </c>
    </row>
    <row r="7702" spans="1:14" x14ac:dyDescent="0.3">
      <c r="A7702" s="45">
        <v>45224</v>
      </c>
      <c r="B7702" s="399" t="s">
        <v>12088</v>
      </c>
      <c r="C7702" s="5" t="s">
        <v>11194</v>
      </c>
      <c r="D7702" s="124" t="s">
        <v>12503</v>
      </c>
      <c r="E7702" s="43">
        <v>25380</v>
      </c>
      <c r="F7702" s="43"/>
      <c r="G7702" s="48">
        <f t="shared" si="194"/>
        <v>186839.46774193528</v>
      </c>
      <c r="H7702" s="391" t="s">
        <v>9568</v>
      </c>
      <c r="J7702" s="52">
        <f>E7713+E7712+E7707+E7706+E7705+E7704+E7703+E7702+E7697</f>
        <v>134290</v>
      </c>
    </row>
    <row r="7703" spans="1:14" x14ac:dyDescent="0.3">
      <c r="A7703" s="45">
        <v>45224</v>
      </c>
      <c r="B7703" s="399" t="s">
        <v>12087</v>
      </c>
      <c r="C7703" s="5" t="s">
        <v>11194</v>
      </c>
      <c r="D7703" s="124" t="s">
        <v>12504</v>
      </c>
      <c r="E7703" s="43">
        <v>34000</v>
      </c>
      <c r="F7703" s="43"/>
      <c r="G7703" s="48">
        <f t="shared" si="194"/>
        <v>152839.46774193528</v>
      </c>
      <c r="H7703" s="391" t="s">
        <v>9568</v>
      </c>
      <c r="J7703" s="52">
        <v>135000</v>
      </c>
    </row>
    <row r="7704" spans="1:14" x14ac:dyDescent="0.3">
      <c r="A7704" s="45">
        <v>45224</v>
      </c>
      <c r="B7704" s="399" t="s">
        <v>11772</v>
      </c>
      <c r="C7704" s="5" t="s">
        <v>11194</v>
      </c>
      <c r="D7704" s="124" t="s">
        <v>12459</v>
      </c>
      <c r="E7704" s="43">
        <v>14025</v>
      </c>
      <c r="F7704" s="43"/>
      <c r="G7704" s="48">
        <f t="shared" si="194"/>
        <v>138814.46774193528</v>
      </c>
      <c r="H7704" s="391" t="s">
        <v>9568</v>
      </c>
      <c r="J7704" s="52">
        <f>J7703-J7702</f>
        <v>710</v>
      </c>
    </row>
    <row r="7705" spans="1:14" x14ac:dyDescent="0.3">
      <c r="A7705" s="45">
        <v>45224</v>
      </c>
      <c r="B7705" s="399" t="s">
        <v>12138</v>
      </c>
      <c r="C7705" s="5" t="s">
        <v>11194</v>
      </c>
      <c r="D7705" s="124" t="s">
        <v>12503</v>
      </c>
      <c r="E7705" s="43">
        <v>4485</v>
      </c>
      <c r="F7705" s="43"/>
      <c r="G7705" s="48">
        <f t="shared" si="194"/>
        <v>134329.46774193528</v>
      </c>
      <c r="H7705" s="391" t="s">
        <v>9568</v>
      </c>
    </row>
    <row r="7706" spans="1:14" ht="34.5" x14ac:dyDescent="0.3">
      <c r="A7706" s="45">
        <v>45224</v>
      </c>
      <c r="B7706" s="399" t="s">
        <v>12388</v>
      </c>
      <c r="C7706" s="5" t="s">
        <v>11194</v>
      </c>
      <c r="D7706" s="602" t="s">
        <v>12505</v>
      </c>
      <c r="E7706" s="43">
        <v>19500</v>
      </c>
      <c r="F7706" s="43"/>
      <c r="G7706" s="48">
        <f t="shared" si="194"/>
        <v>114829.46774193528</v>
      </c>
      <c r="H7706" s="391" t="s">
        <v>9568</v>
      </c>
    </row>
    <row r="7707" spans="1:14" x14ac:dyDescent="0.3">
      <c r="A7707" s="45">
        <v>45224</v>
      </c>
      <c r="B7707" s="399" t="s">
        <v>12506</v>
      </c>
      <c r="C7707" s="5" t="s">
        <v>11194</v>
      </c>
      <c r="D7707" s="124" t="s">
        <v>12507</v>
      </c>
      <c r="E7707" s="43">
        <v>8400</v>
      </c>
      <c r="F7707" s="43"/>
      <c r="G7707" s="48">
        <f t="shared" si="194"/>
        <v>106429.46774193528</v>
      </c>
      <c r="H7707" s="391" t="s">
        <v>9568</v>
      </c>
    </row>
    <row r="7708" spans="1:14" x14ac:dyDescent="0.3">
      <c r="A7708" s="45">
        <v>45224</v>
      </c>
      <c r="B7708" s="399" t="s">
        <v>12138</v>
      </c>
      <c r="C7708" s="5" t="s">
        <v>11194</v>
      </c>
      <c r="D7708" s="124" t="s">
        <v>12495</v>
      </c>
      <c r="E7708" s="43">
        <v>8000</v>
      </c>
      <c r="F7708" s="43"/>
      <c r="G7708" s="48">
        <f t="shared" si="194"/>
        <v>98429.467741935281</v>
      </c>
      <c r="H7708" s="391" t="s">
        <v>9568</v>
      </c>
    </row>
    <row r="7709" spans="1:14" x14ac:dyDescent="0.3">
      <c r="A7709" s="45">
        <v>45224</v>
      </c>
      <c r="B7709" s="399" t="s">
        <v>12138</v>
      </c>
      <c r="C7709" s="5" t="s">
        <v>5793</v>
      </c>
      <c r="D7709" s="124" t="s">
        <v>40</v>
      </c>
      <c r="E7709" s="43">
        <v>5000</v>
      </c>
      <c r="F7709" s="43"/>
      <c r="G7709" s="48">
        <f t="shared" si="194"/>
        <v>93429.467741935281</v>
      </c>
      <c r="H7709" s="391" t="s">
        <v>9568</v>
      </c>
      <c r="I7709" s="52">
        <v>120000</v>
      </c>
    </row>
    <row r="7710" spans="1:14" x14ac:dyDescent="0.3">
      <c r="A7710" s="45">
        <v>45224</v>
      </c>
      <c r="B7710" s="399" t="s">
        <v>12087</v>
      </c>
      <c r="C7710" s="5" t="s">
        <v>12178</v>
      </c>
      <c r="D7710" s="124" t="s">
        <v>12500</v>
      </c>
      <c r="E7710" s="43">
        <v>27300</v>
      </c>
      <c r="F7710" s="43"/>
      <c r="G7710" s="48">
        <f t="shared" si="194"/>
        <v>66129.467741935281</v>
      </c>
      <c r="H7710" s="391" t="s">
        <v>9568</v>
      </c>
      <c r="I7710" s="52">
        <v>32000</v>
      </c>
    </row>
    <row r="7711" spans="1:14" x14ac:dyDescent="0.3">
      <c r="A7711" s="45">
        <v>45224</v>
      </c>
      <c r="B7711" s="399" t="s">
        <v>12138</v>
      </c>
      <c r="C7711" s="5" t="s">
        <v>9647</v>
      </c>
      <c r="D7711" s="124" t="s">
        <v>294</v>
      </c>
      <c r="E7711" s="43">
        <v>25000</v>
      </c>
      <c r="F7711" s="43"/>
      <c r="G7711" s="48">
        <f t="shared" si="194"/>
        <v>41129.467741935281</v>
      </c>
      <c r="H7711" s="391" t="s">
        <v>9568</v>
      </c>
      <c r="I7711" s="52">
        <v>27000</v>
      </c>
    </row>
    <row r="7712" spans="1:14" x14ac:dyDescent="0.3">
      <c r="A7712" s="45">
        <v>45224</v>
      </c>
      <c r="B7712" s="399" t="s">
        <v>12087</v>
      </c>
      <c r="C7712" s="5" t="s">
        <v>5793</v>
      </c>
      <c r="D7712" s="124" t="s">
        <v>8924</v>
      </c>
      <c r="E7712" s="43">
        <v>250</v>
      </c>
      <c r="F7712" s="43"/>
      <c r="G7712" s="48">
        <f t="shared" si="194"/>
        <v>40879.467741935281</v>
      </c>
      <c r="H7712" s="391" t="s">
        <v>9568</v>
      </c>
    </row>
    <row r="7713" spans="1:12" x14ac:dyDescent="0.3">
      <c r="A7713" s="45">
        <v>45224</v>
      </c>
      <c r="B7713" s="399" t="s">
        <v>12132</v>
      </c>
      <c r="C7713" s="5" t="s">
        <v>5793</v>
      </c>
      <c r="D7713" s="124" t="s">
        <v>8924</v>
      </c>
      <c r="E7713" s="43">
        <v>250</v>
      </c>
      <c r="F7713" s="43"/>
      <c r="G7713" s="48">
        <f t="shared" si="194"/>
        <v>40629.467741935281</v>
      </c>
      <c r="H7713" s="391" t="s">
        <v>9568</v>
      </c>
    </row>
    <row r="7714" spans="1:12" x14ac:dyDescent="0.3">
      <c r="A7714" s="45">
        <v>45224</v>
      </c>
      <c r="B7714" s="399" t="s">
        <v>11772</v>
      </c>
      <c r="C7714" s="5" t="s">
        <v>54</v>
      </c>
      <c r="D7714" s="124" t="s">
        <v>12497</v>
      </c>
      <c r="E7714" s="43">
        <v>32000</v>
      </c>
      <c r="F7714" s="43"/>
      <c r="G7714" s="48">
        <f t="shared" si="194"/>
        <v>8629.4677419352811</v>
      </c>
      <c r="H7714" s="391" t="s">
        <v>9568</v>
      </c>
      <c r="I7714" s="52">
        <v>25000</v>
      </c>
    </row>
    <row r="7715" spans="1:12" x14ac:dyDescent="0.3">
      <c r="A7715" s="45">
        <v>45224</v>
      </c>
      <c r="B7715" s="399" t="s">
        <v>11528</v>
      </c>
      <c r="C7715" s="5" t="s">
        <v>9331</v>
      </c>
      <c r="D7715" s="124" t="s">
        <v>12496</v>
      </c>
      <c r="E7715" s="43">
        <v>1000</v>
      </c>
      <c r="F7715" s="43"/>
      <c r="G7715" s="48">
        <f t="shared" si="194"/>
        <v>7629.4677419352811</v>
      </c>
      <c r="H7715" s="391" t="s">
        <v>9568</v>
      </c>
      <c r="I7715" s="52">
        <f>SUM(I7709:I7714)</f>
        <v>204000</v>
      </c>
    </row>
    <row r="7716" spans="1:12" x14ac:dyDescent="0.3">
      <c r="A7716" s="45">
        <v>45224</v>
      </c>
      <c r="B7716" s="399"/>
      <c r="C7716" s="5" t="s">
        <v>84</v>
      </c>
      <c r="D7716" s="124" t="s">
        <v>12498</v>
      </c>
      <c r="E7716" s="43">
        <v>4000</v>
      </c>
      <c r="F7716" s="43"/>
      <c r="G7716" s="48">
        <f t="shared" si="194"/>
        <v>3629.4677419352811</v>
      </c>
      <c r="H7716" s="391" t="s">
        <v>9568</v>
      </c>
    </row>
    <row r="7717" spans="1:12" x14ac:dyDescent="0.3">
      <c r="A7717" s="45">
        <v>45224</v>
      </c>
      <c r="B7717" s="399" t="s">
        <v>12087</v>
      </c>
      <c r="C7717" s="5" t="s">
        <v>4122</v>
      </c>
      <c r="D7717" s="124" t="s">
        <v>12499</v>
      </c>
      <c r="E7717" s="43">
        <v>2000</v>
      </c>
      <c r="F7717" s="43"/>
      <c r="G7717" s="48">
        <f t="shared" si="194"/>
        <v>1629.4677419352811</v>
      </c>
      <c r="H7717" s="391" t="s">
        <v>9568</v>
      </c>
    </row>
    <row r="7718" spans="1:12" x14ac:dyDescent="0.3">
      <c r="A7718" s="45">
        <v>45225</v>
      </c>
      <c r="B7718" s="589" t="s">
        <v>25</v>
      </c>
      <c r="C7718" s="44" t="s">
        <v>25</v>
      </c>
      <c r="D7718" s="44" t="s">
        <v>11455</v>
      </c>
      <c r="E7718" s="28">
        <v>1600</v>
      </c>
      <c r="F7718" s="43"/>
      <c r="G7718" s="48">
        <f t="shared" si="194"/>
        <v>29.467741935281083</v>
      </c>
      <c r="H7718" s="391" t="s">
        <v>9568</v>
      </c>
    </row>
    <row r="7719" spans="1:12" x14ac:dyDescent="0.3">
      <c r="A7719" s="45">
        <v>45225</v>
      </c>
      <c r="B7719" s="586"/>
      <c r="C7719" s="486"/>
      <c r="D7719" s="497" t="s">
        <v>4106</v>
      </c>
      <c r="E7719" s="486"/>
      <c r="F7719" s="28">
        <v>300000</v>
      </c>
      <c r="G7719" s="48">
        <f t="shared" si="194"/>
        <v>300029.46774193528</v>
      </c>
      <c r="H7719" s="391" t="s">
        <v>9568</v>
      </c>
    </row>
    <row r="7720" spans="1:12" x14ac:dyDescent="0.3">
      <c r="A7720" s="45">
        <v>45225</v>
      </c>
      <c r="B7720" s="399" t="s">
        <v>12287</v>
      </c>
      <c r="C7720" s="5" t="s">
        <v>1074</v>
      </c>
      <c r="D7720" s="124" t="s">
        <v>12272</v>
      </c>
      <c r="E7720" s="43">
        <v>45373</v>
      </c>
      <c r="F7720" s="43"/>
      <c r="G7720" s="48">
        <f t="shared" si="194"/>
        <v>254656.46774193528</v>
      </c>
      <c r="H7720" s="391" t="s">
        <v>9568</v>
      </c>
    </row>
    <row r="7721" spans="1:12" x14ac:dyDescent="0.3">
      <c r="A7721" s="45">
        <v>45225</v>
      </c>
      <c r="B7721" s="399" t="s">
        <v>25</v>
      </c>
      <c r="C7721" s="5" t="s">
        <v>1074</v>
      </c>
      <c r="D7721" s="124" t="s">
        <v>12272</v>
      </c>
      <c r="E7721" s="43">
        <v>74660</v>
      </c>
      <c r="F7721" s="43"/>
      <c r="G7721" s="48">
        <f t="shared" si="194"/>
        <v>179996.46774193528</v>
      </c>
      <c r="H7721" s="391" t="s">
        <v>9568</v>
      </c>
    </row>
    <row r="7722" spans="1:12" x14ac:dyDescent="0.3">
      <c r="A7722" s="45">
        <v>45225</v>
      </c>
      <c r="B7722" s="399" t="s">
        <v>10333</v>
      </c>
      <c r="C7722" s="5" t="s">
        <v>11011</v>
      </c>
      <c r="D7722" s="124" t="s">
        <v>12509</v>
      </c>
      <c r="E7722" s="43">
        <v>40800</v>
      </c>
      <c r="F7722" s="43"/>
      <c r="G7722" s="48">
        <f t="shared" si="194"/>
        <v>139196.46774193528</v>
      </c>
      <c r="H7722" s="391" t="s">
        <v>9568</v>
      </c>
      <c r="L7722" s="601"/>
    </row>
    <row r="7723" spans="1:12" x14ac:dyDescent="0.3">
      <c r="A7723" s="45">
        <v>45225</v>
      </c>
      <c r="B7723" s="399" t="s">
        <v>12088</v>
      </c>
      <c r="C7723" s="5" t="s">
        <v>12510</v>
      </c>
      <c r="D7723" s="124" t="s">
        <v>12511</v>
      </c>
      <c r="E7723" s="43">
        <v>80000</v>
      </c>
      <c r="F7723" s="43"/>
      <c r="G7723" s="48">
        <f t="shared" si="194"/>
        <v>59196.467741935281</v>
      </c>
      <c r="H7723" s="391" t="s">
        <v>9568</v>
      </c>
    </row>
    <row r="7724" spans="1:12" ht="37.5" x14ac:dyDescent="0.3">
      <c r="A7724" s="45">
        <v>45225</v>
      </c>
      <c r="B7724" s="399"/>
      <c r="C7724" s="5" t="s">
        <v>14</v>
      </c>
      <c r="D7724" s="124" t="s">
        <v>12512</v>
      </c>
      <c r="E7724" s="43">
        <v>12200</v>
      </c>
      <c r="F7724" s="43"/>
      <c r="G7724" s="48">
        <f t="shared" si="194"/>
        <v>46996.467741935281</v>
      </c>
      <c r="H7724" s="391" t="s">
        <v>9568</v>
      </c>
    </row>
    <row r="7725" spans="1:12" x14ac:dyDescent="0.3">
      <c r="A7725" s="45">
        <v>45225</v>
      </c>
      <c r="B7725" s="399"/>
      <c r="C7725" s="5" t="s">
        <v>14</v>
      </c>
      <c r="D7725" s="124" t="s">
        <v>12513</v>
      </c>
      <c r="E7725" s="43">
        <v>11150</v>
      </c>
      <c r="F7725" s="43"/>
      <c r="G7725" s="48">
        <f t="shared" si="194"/>
        <v>35846.467741935281</v>
      </c>
      <c r="H7725" s="391" t="s">
        <v>9568</v>
      </c>
      <c r="L7725" s="52"/>
    </row>
    <row r="7726" spans="1:12" x14ac:dyDescent="0.3">
      <c r="A7726" s="45">
        <v>45225</v>
      </c>
      <c r="B7726" s="399" t="s">
        <v>12093</v>
      </c>
      <c r="C7726" s="5" t="s">
        <v>107</v>
      </c>
      <c r="D7726" s="124" t="s">
        <v>5813</v>
      </c>
      <c r="E7726" s="43">
        <v>5000</v>
      </c>
      <c r="F7726" s="43"/>
      <c r="G7726" s="48">
        <f t="shared" si="194"/>
        <v>30846.467741935281</v>
      </c>
      <c r="H7726" s="391" t="s">
        <v>9568</v>
      </c>
    </row>
    <row r="7727" spans="1:12" x14ac:dyDescent="0.3">
      <c r="A7727" s="45">
        <v>45225</v>
      </c>
      <c r="B7727" s="399" t="s">
        <v>12506</v>
      </c>
      <c r="C7727" s="5" t="s">
        <v>11194</v>
      </c>
      <c r="D7727" s="124" t="s">
        <v>12514</v>
      </c>
      <c r="E7727" s="43">
        <v>1200</v>
      </c>
      <c r="F7727" s="43"/>
      <c r="G7727" s="48">
        <f t="shared" si="194"/>
        <v>29646.467741935281</v>
      </c>
      <c r="H7727" s="391" t="s">
        <v>9568</v>
      </c>
    </row>
    <row r="7728" spans="1:12" x14ac:dyDescent="0.3">
      <c r="A7728" s="45">
        <v>45225</v>
      </c>
      <c r="B7728" s="399" t="s">
        <v>12138</v>
      </c>
      <c r="C7728" s="5" t="s">
        <v>9801</v>
      </c>
      <c r="D7728" s="124" t="s">
        <v>40</v>
      </c>
      <c r="E7728" s="43">
        <v>2670</v>
      </c>
      <c r="F7728" s="43"/>
      <c r="G7728" s="48">
        <f t="shared" si="194"/>
        <v>26976.467741935281</v>
      </c>
      <c r="H7728" s="391" t="s">
        <v>9568</v>
      </c>
    </row>
    <row r="7729" spans="1:12" x14ac:dyDescent="0.3">
      <c r="A7729" s="45">
        <v>45225</v>
      </c>
      <c r="B7729" s="399" t="s">
        <v>12088</v>
      </c>
      <c r="C7729" s="5" t="s">
        <v>5793</v>
      </c>
      <c r="D7729" s="124" t="s">
        <v>40</v>
      </c>
      <c r="E7729" s="43">
        <v>4000</v>
      </c>
      <c r="F7729" s="43"/>
      <c r="G7729" s="48">
        <f t="shared" si="194"/>
        <v>22976.467741935281</v>
      </c>
      <c r="H7729" s="391" t="s">
        <v>9568</v>
      </c>
    </row>
    <row r="7730" spans="1:12" x14ac:dyDescent="0.3">
      <c r="A7730" s="45">
        <v>45225</v>
      </c>
      <c r="B7730" s="399" t="s">
        <v>12138</v>
      </c>
      <c r="C7730" s="5" t="s">
        <v>5793</v>
      </c>
      <c r="D7730" s="124" t="s">
        <v>40</v>
      </c>
      <c r="E7730" s="43">
        <v>200</v>
      </c>
      <c r="F7730" s="43"/>
      <c r="G7730" s="48">
        <f t="shared" si="194"/>
        <v>22776.467741935281</v>
      </c>
      <c r="H7730" s="391" t="s">
        <v>9568</v>
      </c>
      <c r="L7730" s="93"/>
    </row>
    <row r="7731" spans="1:12" x14ac:dyDescent="0.3">
      <c r="A7731" s="45">
        <v>45225</v>
      </c>
      <c r="B7731" s="399"/>
      <c r="C7731" s="5" t="s">
        <v>84</v>
      </c>
      <c r="D7731" s="124" t="s">
        <v>12515</v>
      </c>
      <c r="E7731" s="43">
        <v>10000</v>
      </c>
      <c r="F7731" s="43"/>
      <c r="G7731" s="48">
        <f t="shared" si="194"/>
        <v>12776.467741935281</v>
      </c>
      <c r="H7731" s="391" t="s">
        <v>9568</v>
      </c>
    </row>
    <row r="7732" spans="1:12" x14ac:dyDescent="0.3">
      <c r="A7732" s="45">
        <v>45225</v>
      </c>
      <c r="B7732" s="399" t="s">
        <v>10615</v>
      </c>
      <c r="C7732" s="5" t="s">
        <v>6430</v>
      </c>
      <c r="D7732" s="124" t="s">
        <v>3910</v>
      </c>
      <c r="E7732" s="43">
        <v>6000</v>
      </c>
      <c r="F7732" s="43"/>
      <c r="G7732" s="48">
        <f t="shared" si="194"/>
        <v>6776.4677419352811</v>
      </c>
      <c r="H7732" s="391" t="s">
        <v>9568</v>
      </c>
    </row>
    <row r="7733" spans="1:12" x14ac:dyDescent="0.3">
      <c r="A7733" s="45">
        <v>45225</v>
      </c>
      <c r="B7733" s="399" t="s">
        <v>12138</v>
      </c>
      <c r="C7733" s="5" t="s">
        <v>5793</v>
      </c>
      <c r="D7733" s="124" t="s">
        <v>8924</v>
      </c>
      <c r="E7733" s="43">
        <v>500</v>
      </c>
      <c r="F7733" s="43"/>
      <c r="G7733" s="48">
        <f t="shared" si="194"/>
        <v>6276.4677419352811</v>
      </c>
      <c r="H7733" s="391" t="s">
        <v>9568</v>
      </c>
    </row>
    <row r="7734" spans="1:12" x14ac:dyDescent="0.3">
      <c r="A7734" s="45">
        <v>45225</v>
      </c>
      <c r="B7734" s="589" t="s">
        <v>25</v>
      </c>
      <c r="C7734" s="44" t="s">
        <v>25</v>
      </c>
      <c r="D7734" s="44" t="s">
        <v>11455</v>
      </c>
      <c r="E7734" s="43">
        <v>4000</v>
      </c>
      <c r="F7734" s="43"/>
      <c r="G7734" s="48">
        <f t="shared" si="194"/>
        <v>2276.4677419352811</v>
      </c>
      <c r="H7734" s="391" t="s">
        <v>9568</v>
      </c>
    </row>
    <row r="7735" spans="1:12" x14ac:dyDescent="0.3">
      <c r="A7735" s="45">
        <v>45226</v>
      </c>
      <c r="B7735" s="586"/>
      <c r="C7735" s="486"/>
      <c r="D7735" s="497" t="s">
        <v>4106</v>
      </c>
      <c r="E7735" s="486"/>
      <c r="F7735" s="28">
        <v>150000</v>
      </c>
      <c r="G7735" s="48">
        <f t="shared" si="194"/>
        <v>152276.46774193528</v>
      </c>
      <c r="H7735" s="391" t="s">
        <v>9568</v>
      </c>
    </row>
    <row r="7736" spans="1:12" x14ac:dyDescent="0.3">
      <c r="A7736" s="45">
        <v>45227</v>
      </c>
      <c r="B7736" s="399"/>
      <c r="C7736" s="5" t="s">
        <v>84</v>
      </c>
      <c r="D7736" s="124" t="s">
        <v>12521</v>
      </c>
      <c r="E7736" s="43">
        <v>30000</v>
      </c>
      <c r="F7736" s="43"/>
      <c r="G7736" s="48">
        <f t="shared" si="194"/>
        <v>122276.46774193528</v>
      </c>
      <c r="H7736" s="391" t="s">
        <v>9568</v>
      </c>
    </row>
    <row r="7737" spans="1:12" x14ac:dyDescent="0.3">
      <c r="A7737" s="45">
        <v>45227</v>
      </c>
      <c r="B7737" s="399" t="s">
        <v>12097</v>
      </c>
      <c r="C7737" s="5" t="s">
        <v>9765</v>
      </c>
      <c r="D7737" s="124" t="s">
        <v>12522</v>
      </c>
      <c r="E7737" s="43">
        <v>20000</v>
      </c>
      <c r="F7737" s="43"/>
      <c r="G7737" s="48">
        <f t="shared" si="194"/>
        <v>102276.46774193528</v>
      </c>
      <c r="H7737" s="391" t="s">
        <v>9568</v>
      </c>
    </row>
    <row r="7738" spans="1:12" x14ac:dyDescent="0.3">
      <c r="A7738" s="45">
        <v>45227</v>
      </c>
      <c r="B7738" s="399" t="s">
        <v>10615</v>
      </c>
      <c r="C7738" s="5" t="s">
        <v>9765</v>
      </c>
      <c r="D7738" s="124" t="s">
        <v>12547</v>
      </c>
      <c r="E7738" s="43">
        <v>10000</v>
      </c>
      <c r="F7738" s="43"/>
      <c r="G7738" s="48">
        <f t="shared" si="194"/>
        <v>92276.467741935281</v>
      </c>
      <c r="H7738" s="391" t="s">
        <v>9568</v>
      </c>
    </row>
    <row r="7739" spans="1:12" x14ac:dyDescent="0.3">
      <c r="A7739" s="45">
        <v>45227</v>
      </c>
      <c r="B7739" s="399" t="s">
        <v>12089</v>
      </c>
      <c r="C7739" s="5" t="s">
        <v>12418</v>
      </c>
      <c r="D7739" s="124" t="s">
        <v>12548</v>
      </c>
      <c r="E7739" s="43">
        <v>3000</v>
      </c>
      <c r="F7739" s="43"/>
      <c r="G7739" s="48">
        <f t="shared" si="194"/>
        <v>89276.467741935281</v>
      </c>
      <c r="H7739" s="391" t="s">
        <v>9568</v>
      </c>
    </row>
    <row r="7740" spans="1:12" x14ac:dyDescent="0.3">
      <c r="A7740" s="45">
        <v>45227</v>
      </c>
      <c r="B7740" s="399" t="s">
        <v>12506</v>
      </c>
      <c r="C7740" s="5" t="s">
        <v>11194</v>
      </c>
      <c r="D7740" s="124" t="s">
        <v>12523</v>
      </c>
      <c r="E7740" s="43">
        <v>1600</v>
      </c>
      <c r="F7740" s="43"/>
      <c r="G7740" s="48">
        <f t="shared" si="194"/>
        <v>87676.467741935281</v>
      </c>
      <c r="H7740" s="391" t="s">
        <v>9568</v>
      </c>
    </row>
    <row r="7741" spans="1:12" x14ac:dyDescent="0.3">
      <c r="A7741" s="45">
        <v>45227</v>
      </c>
      <c r="B7741" s="399" t="s">
        <v>12138</v>
      </c>
      <c r="C7741" s="5" t="s">
        <v>11194</v>
      </c>
      <c r="D7741" s="124" t="s">
        <v>10837</v>
      </c>
      <c r="E7741" s="43">
        <v>3700</v>
      </c>
      <c r="F7741" s="43"/>
      <c r="G7741" s="48">
        <f t="shared" si="194"/>
        <v>83976.467741935281</v>
      </c>
      <c r="H7741" s="391" t="s">
        <v>9568</v>
      </c>
    </row>
    <row r="7742" spans="1:12" x14ac:dyDescent="0.3">
      <c r="A7742" s="45">
        <v>45227</v>
      </c>
      <c r="B7742" s="589" t="s">
        <v>25</v>
      </c>
      <c r="C7742" s="44" t="s">
        <v>25</v>
      </c>
      <c r="D7742" s="44" t="s">
        <v>11455</v>
      </c>
      <c r="E7742" s="43">
        <v>4000</v>
      </c>
      <c r="F7742" s="43"/>
      <c r="G7742" s="48">
        <f t="shared" si="194"/>
        <v>79976.467741935281</v>
      </c>
      <c r="H7742" s="391" t="s">
        <v>9568</v>
      </c>
    </row>
    <row r="7743" spans="1:12" x14ac:dyDescent="0.3">
      <c r="A7743" s="45">
        <v>45227</v>
      </c>
      <c r="B7743" s="603" t="s">
        <v>12087</v>
      </c>
      <c r="C7743" s="219" t="s">
        <v>9765</v>
      </c>
      <c r="D7743" s="604" t="s">
        <v>12524</v>
      </c>
      <c r="E7743" s="220">
        <v>10500</v>
      </c>
      <c r="F7743" s="43"/>
      <c r="G7743" s="48">
        <f t="shared" si="194"/>
        <v>69476.467741935281</v>
      </c>
      <c r="H7743" s="391" t="s">
        <v>9568</v>
      </c>
      <c r="K7743" s="52">
        <v>105000</v>
      </c>
    </row>
    <row r="7744" spans="1:12" x14ac:dyDescent="0.3">
      <c r="A7744" s="45">
        <v>45227</v>
      </c>
      <c r="B7744" s="399" t="s">
        <v>12388</v>
      </c>
      <c r="C7744" s="5" t="s">
        <v>11194</v>
      </c>
      <c r="D7744" s="124" t="s">
        <v>12525</v>
      </c>
      <c r="E7744" s="43">
        <v>280</v>
      </c>
      <c r="F7744" s="43"/>
      <c r="G7744" s="48">
        <f t="shared" si="194"/>
        <v>69196.467741935281</v>
      </c>
      <c r="H7744" s="391" t="s">
        <v>9568</v>
      </c>
      <c r="K7744" s="52">
        <v>35400</v>
      </c>
    </row>
    <row r="7745" spans="1:11" x14ac:dyDescent="0.3">
      <c r="A7745" s="45">
        <v>45227</v>
      </c>
      <c r="B7745" s="399" t="s">
        <v>12388</v>
      </c>
      <c r="C7745" s="5" t="s">
        <v>5793</v>
      </c>
      <c r="D7745" s="124" t="s">
        <v>40</v>
      </c>
      <c r="E7745" s="43">
        <v>3000</v>
      </c>
      <c r="F7745" s="43"/>
      <c r="G7745" s="48">
        <f t="shared" si="194"/>
        <v>66196.467741935281</v>
      </c>
      <c r="H7745" s="391" t="s">
        <v>9568</v>
      </c>
      <c r="K7745" s="52">
        <v>57000</v>
      </c>
    </row>
    <row r="7746" spans="1:11" x14ac:dyDescent="0.3">
      <c r="A7746" s="45">
        <v>45227</v>
      </c>
      <c r="B7746" s="399" t="s">
        <v>12093</v>
      </c>
      <c r="C7746" s="5" t="s">
        <v>5793</v>
      </c>
      <c r="D7746" s="124" t="s">
        <v>40</v>
      </c>
      <c r="E7746" s="43">
        <v>3000</v>
      </c>
      <c r="F7746" s="43"/>
      <c r="G7746" s="48">
        <f t="shared" si="194"/>
        <v>63196.467741935281</v>
      </c>
      <c r="H7746" s="391" t="s">
        <v>9568</v>
      </c>
      <c r="K7746" s="52">
        <v>390000</v>
      </c>
    </row>
    <row r="7747" spans="1:11" x14ac:dyDescent="0.3">
      <c r="A7747" s="45">
        <v>45227</v>
      </c>
      <c r="B7747" s="399" t="s">
        <v>12138</v>
      </c>
      <c r="C7747" s="5" t="s">
        <v>5793</v>
      </c>
      <c r="D7747" s="124" t="s">
        <v>40</v>
      </c>
      <c r="E7747" s="43">
        <v>3000</v>
      </c>
      <c r="F7747" s="43"/>
      <c r="G7747" s="48">
        <f t="shared" si="194"/>
        <v>60196.467741935281</v>
      </c>
      <c r="H7747" s="391" t="s">
        <v>9568</v>
      </c>
      <c r="K7747" s="52">
        <v>93900</v>
      </c>
    </row>
    <row r="7748" spans="1:11" x14ac:dyDescent="0.3">
      <c r="A7748" s="45">
        <v>45227</v>
      </c>
      <c r="B7748" s="399" t="s">
        <v>10615</v>
      </c>
      <c r="C7748" s="5" t="s">
        <v>11194</v>
      </c>
      <c r="D7748" s="124" t="s">
        <v>12529</v>
      </c>
      <c r="E7748" s="43">
        <v>35150</v>
      </c>
      <c r="F7748" s="43"/>
      <c r="G7748" s="48">
        <f t="shared" si="194"/>
        <v>25046.467741935281</v>
      </c>
      <c r="H7748" s="391" t="s">
        <v>9568</v>
      </c>
      <c r="K7748" s="52">
        <v>1500</v>
      </c>
    </row>
    <row r="7749" spans="1:11" x14ac:dyDescent="0.3">
      <c r="A7749" s="45">
        <v>45227</v>
      </c>
      <c r="B7749" s="586"/>
      <c r="C7749" s="486"/>
      <c r="D7749" s="497" t="s">
        <v>5431</v>
      </c>
      <c r="E7749" s="486"/>
      <c r="F7749" s="28">
        <v>200000</v>
      </c>
      <c r="G7749" s="48">
        <f t="shared" si="194"/>
        <v>225046.46774193528</v>
      </c>
      <c r="H7749" s="391" t="s">
        <v>9568</v>
      </c>
      <c r="K7749" s="52">
        <v>529000</v>
      </c>
    </row>
    <row r="7750" spans="1:11" x14ac:dyDescent="0.3">
      <c r="A7750" s="45">
        <v>45227</v>
      </c>
      <c r="B7750" s="399" t="s">
        <v>11528</v>
      </c>
      <c r="C7750" s="5" t="s">
        <v>12446</v>
      </c>
      <c r="D7750" s="124" t="s">
        <v>12526</v>
      </c>
      <c r="E7750" s="43">
        <v>850</v>
      </c>
      <c r="F7750" s="43"/>
      <c r="G7750" s="48">
        <f t="shared" si="194"/>
        <v>224196.46774193528</v>
      </c>
      <c r="H7750" s="391" t="s">
        <v>9568</v>
      </c>
      <c r="K7750" s="52">
        <v>6000</v>
      </c>
    </row>
    <row r="7751" spans="1:11" x14ac:dyDescent="0.3">
      <c r="A7751" s="45">
        <v>45227</v>
      </c>
      <c r="B7751" s="399" t="s">
        <v>12506</v>
      </c>
      <c r="C7751" s="5" t="s">
        <v>12446</v>
      </c>
      <c r="D7751" s="124" t="s">
        <v>12527</v>
      </c>
      <c r="E7751" s="43">
        <v>2340</v>
      </c>
      <c r="F7751" s="43"/>
      <c r="G7751" s="48">
        <f t="shared" si="194"/>
        <v>221856.46774193528</v>
      </c>
      <c r="H7751" s="391" t="s">
        <v>9568</v>
      </c>
      <c r="I7751" s="52">
        <v>2000</v>
      </c>
      <c r="K7751" s="52">
        <v>72682</v>
      </c>
    </row>
    <row r="7752" spans="1:11" x14ac:dyDescent="0.3">
      <c r="A7752" s="45">
        <v>45227</v>
      </c>
      <c r="B7752" s="399" t="s">
        <v>12506</v>
      </c>
      <c r="C7752" s="5" t="s">
        <v>5793</v>
      </c>
      <c r="D7752" s="124" t="s">
        <v>8924</v>
      </c>
      <c r="E7752" s="43">
        <v>200</v>
      </c>
      <c r="F7752" s="43"/>
      <c r="G7752" s="48">
        <f t="shared" si="194"/>
        <v>221656.46774193528</v>
      </c>
      <c r="H7752" s="391" t="s">
        <v>9568</v>
      </c>
      <c r="I7752" s="52">
        <v>850</v>
      </c>
      <c r="K7752" s="52">
        <v>14170</v>
      </c>
    </row>
    <row r="7753" spans="1:11" x14ac:dyDescent="0.3">
      <c r="A7753" s="45">
        <v>45227</v>
      </c>
      <c r="B7753" s="399" t="s">
        <v>12087</v>
      </c>
      <c r="C7753" s="5" t="s">
        <v>11194</v>
      </c>
      <c r="D7753" s="124" t="s">
        <v>12528</v>
      </c>
      <c r="E7753" s="43">
        <v>600</v>
      </c>
      <c r="F7753" s="43"/>
      <c r="G7753" s="48">
        <f t="shared" si="194"/>
        <v>221056.46774193528</v>
      </c>
      <c r="H7753" s="391" t="s">
        <v>9568</v>
      </c>
      <c r="I7753" s="52">
        <f>I7751-I7752</f>
        <v>1150</v>
      </c>
    </row>
    <row r="7754" spans="1:11" x14ac:dyDescent="0.3">
      <c r="A7754" s="45">
        <v>45227</v>
      </c>
      <c r="B7754" s="399" t="s">
        <v>12093</v>
      </c>
      <c r="C7754" s="5" t="s">
        <v>11194</v>
      </c>
      <c r="D7754" s="124" t="s">
        <v>12530</v>
      </c>
      <c r="E7754" s="43">
        <v>5450</v>
      </c>
      <c r="F7754" s="43"/>
      <c r="G7754" s="48">
        <f t="shared" si="194"/>
        <v>215606.46774193528</v>
      </c>
      <c r="H7754" s="391" t="s">
        <v>9568</v>
      </c>
      <c r="I7754" s="52">
        <v>340</v>
      </c>
      <c r="K7754" s="52">
        <f>SUM(K7743:K7753)</f>
        <v>1304652</v>
      </c>
    </row>
    <row r="7755" spans="1:11" x14ac:dyDescent="0.3">
      <c r="A7755" s="45">
        <v>45227</v>
      </c>
      <c r="B7755" s="399" t="s">
        <v>12506</v>
      </c>
      <c r="C7755" s="5" t="s">
        <v>12533</v>
      </c>
      <c r="D7755" s="124" t="s">
        <v>12534</v>
      </c>
      <c r="E7755" s="43">
        <v>1300</v>
      </c>
      <c r="F7755" s="43"/>
      <c r="G7755" s="48">
        <f t="shared" ref="G7755:G7794" si="195">G7754+F7755-E7755</f>
        <v>214306.46774193528</v>
      </c>
      <c r="H7755" s="391" t="s">
        <v>9568</v>
      </c>
      <c r="I7755" s="52">
        <f>I7753-I7754</f>
        <v>810</v>
      </c>
      <c r="K7755" s="52">
        <v>131000</v>
      </c>
    </row>
    <row r="7756" spans="1:11" x14ac:dyDescent="0.3">
      <c r="A7756" s="45">
        <v>45227</v>
      </c>
      <c r="B7756" s="399"/>
      <c r="C7756" s="5" t="s">
        <v>84</v>
      </c>
      <c r="D7756" s="124" t="s">
        <v>12535</v>
      </c>
      <c r="E7756" s="43">
        <v>1000</v>
      </c>
      <c r="F7756" s="43"/>
      <c r="G7756" s="48">
        <f t="shared" si="195"/>
        <v>213306.46774193528</v>
      </c>
      <c r="H7756" s="391" t="s">
        <v>9568</v>
      </c>
      <c r="K7756" s="52">
        <f>K7754-K7755</f>
        <v>1173652</v>
      </c>
    </row>
    <row r="7757" spans="1:11" x14ac:dyDescent="0.3">
      <c r="A7757" s="45">
        <v>45229</v>
      </c>
      <c r="B7757" s="399"/>
      <c r="C7757" s="5" t="s">
        <v>84</v>
      </c>
      <c r="D7757" s="124" t="s">
        <v>12536</v>
      </c>
      <c r="E7757" s="43">
        <v>1000</v>
      </c>
      <c r="F7757" s="43"/>
      <c r="G7757" s="48">
        <f t="shared" si="195"/>
        <v>212306.46774193528</v>
      </c>
      <c r="H7757" s="391" t="s">
        <v>9568</v>
      </c>
      <c r="K7757" s="52">
        <v>53800</v>
      </c>
    </row>
    <row r="7758" spans="1:11" ht="37.5" x14ac:dyDescent="0.3">
      <c r="A7758" s="45">
        <v>45229</v>
      </c>
      <c r="B7758" s="399" t="s">
        <v>12213</v>
      </c>
      <c r="C7758" s="5" t="s">
        <v>12418</v>
      </c>
      <c r="D7758" s="124" t="s">
        <v>12537</v>
      </c>
      <c r="E7758" s="43">
        <v>500</v>
      </c>
      <c r="F7758" s="43"/>
      <c r="G7758" s="48">
        <f t="shared" si="195"/>
        <v>211806.46774193528</v>
      </c>
      <c r="H7758" s="391" t="s">
        <v>9568</v>
      </c>
      <c r="K7758" s="52">
        <f>K7756-K7757</f>
        <v>1119852</v>
      </c>
    </row>
    <row r="7759" spans="1:11" x14ac:dyDescent="0.3">
      <c r="A7759" s="45">
        <v>45229</v>
      </c>
      <c r="B7759" s="399" t="s">
        <v>12087</v>
      </c>
      <c r="C7759" s="5" t="s">
        <v>5793</v>
      </c>
      <c r="D7759" s="124" t="s">
        <v>40</v>
      </c>
      <c r="E7759" s="43">
        <v>2000</v>
      </c>
      <c r="F7759" s="43"/>
      <c r="G7759" s="48">
        <f t="shared" si="195"/>
        <v>209806.46774193528</v>
      </c>
      <c r="H7759" s="391" t="s">
        <v>9568</v>
      </c>
      <c r="K7759" s="52">
        <v>200000</v>
      </c>
    </row>
    <row r="7760" spans="1:11" x14ac:dyDescent="0.3">
      <c r="A7760" s="45">
        <v>45229</v>
      </c>
      <c r="B7760" s="399" t="s">
        <v>11528</v>
      </c>
      <c r="C7760" s="5" t="s">
        <v>18</v>
      </c>
      <c r="D7760" s="124" t="s">
        <v>294</v>
      </c>
      <c r="E7760" s="43">
        <v>3000</v>
      </c>
      <c r="F7760" s="43"/>
      <c r="G7760" s="48">
        <f t="shared" si="195"/>
        <v>206806.46774193528</v>
      </c>
      <c r="H7760" s="391" t="s">
        <v>9568</v>
      </c>
      <c r="K7760" s="52">
        <f>K7758-K7759</f>
        <v>919852</v>
      </c>
    </row>
    <row r="7761" spans="1:9" x14ac:dyDescent="0.3">
      <c r="A7761" s="45">
        <v>45229</v>
      </c>
      <c r="B7761" s="399" t="s">
        <v>12506</v>
      </c>
      <c r="C7761" s="5" t="s">
        <v>11194</v>
      </c>
      <c r="D7761" s="124" t="s">
        <v>12540</v>
      </c>
      <c r="E7761" s="43">
        <v>80000</v>
      </c>
      <c r="F7761" s="43"/>
      <c r="G7761" s="48">
        <f t="shared" si="195"/>
        <v>126806.46774193528</v>
      </c>
      <c r="H7761" s="391" t="s">
        <v>9568</v>
      </c>
    </row>
    <row r="7762" spans="1:9" x14ac:dyDescent="0.3">
      <c r="A7762" s="45">
        <v>45229</v>
      </c>
      <c r="B7762" s="399" t="s">
        <v>12088</v>
      </c>
      <c r="C7762" s="5" t="s">
        <v>11194</v>
      </c>
      <c r="D7762" s="124" t="s">
        <v>12546</v>
      </c>
      <c r="E7762" s="43">
        <v>16000</v>
      </c>
      <c r="F7762" s="43"/>
      <c r="G7762" s="48">
        <f t="shared" si="195"/>
        <v>110806.46774193528</v>
      </c>
      <c r="H7762" s="391" t="s">
        <v>9568</v>
      </c>
    </row>
    <row r="7763" spans="1:9" x14ac:dyDescent="0.3">
      <c r="A7763" s="45">
        <v>45229</v>
      </c>
      <c r="B7763" s="399" t="s">
        <v>12138</v>
      </c>
      <c r="C7763" s="5" t="s">
        <v>11194</v>
      </c>
      <c r="D7763" s="124" t="s">
        <v>12546</v>
      </c>
      <c r="E7763" s="43">
        <v>39000</v>
      </c>
      <c r="F7763" s="43"/>
      <c r="G7763" s="48">
        <f t="shared" si="195"/>
        <v>71806.467741935281</v>
      </c>
      <c r="H7763" s="391" t="s">
        <v>9568</v>
      </c>
    </row>
    <row r="7764" spans="1:9" x14ac:dyDescent="0.3">
      <c r="A7764" s="45">
        <v>45229</v>
      </c>
      <c r="B7764" s="399" t="s">
        <v>12506</v>
      </c>
      <c r="C7764" s="5" t="s">
        <v>5793</v>
      </c>
      <c r="D7764" s="124" t="s">
        <v>40</v>
      </c>
      <c r="E7764" s="43">
        <v>2700</v>
      </c>
      <c r="F7764" s="43"/>
      <c r="G7764" s="48">
        <f>G7763+F7764-E7764</f>
        <v>69106.467741935281</v>
      </c>
      <c r="H7764" s="391" t="s">
        <v>9568</v>
      </c>
    </row>
    <row r="7765" spans="1:9" x14ac:dyDescent="0.3">
      <c r="A7765" s="45">
        <v>45229</v>
      </c>
      <c r="B7765" s="399" t="s">
        <v>12092</v>
      </c>
      <c r="C7765" s="5" t="s">
        <v>5793</v>
      </c>
      <c r="D7765" s="124" t="s">
        <v>40</v>
      </c>
      <c r="E7765" s="43">
        <v>1300</v>
      </c>
      <c r="F7765" s="43"/>
      <c r="G7765" s="48">
        <f t="shared" si="195"/>
        <v>67806.467741935281</v>
      </c>
      <c r="H7765" s="391" t="s">
        <v>9568</v>
      </c>
    </row>
    <row r="7766" spans="1:9" x14ac:dyDescent="0.3">
      <c r="A7766" s="45">
        <v>45229</v>
      </c>
      <c r="B7766" s="399" t="s">
        <v>12087</v>
      </c>
      <c r="C7766" s="5" t="s">
        <v>5793</v>
      </c>
      <c r="D7766" s="124" t="s">
        <v>40</v>
      </c>
      <c r="E7766" s="43">
        <v>1500</v>
      </c>
      <c r="F7766" s="43"/>
      <c r="G7766" s="48">
        <f t="shared" si="195"/>
        <v>66306.467741935281</v>
      </c>
      <c r="H7766" s="391" t="s">
        <v>9568</v>
      </c>
    </row>
    <row r="7767" spans="1:9" x14ac:dyDescent="0.3">
      <c r="A7767" s="45">
        <v>45229</v>
      </c>
      <c r="B7767" s="399"/>
      <c r="C7767" s="5" t="s">
        <v>11194</v>
      </c>
      <c r="D7767" s="124" t="s">
        <v>12541</v>
      </c>
      <c r="E7767" s="43">
        <f>3900*7</f>
        <v>27300</v>
      </c>
      <c r="F7767" s="43"/>
      <c r="G7767" s="48">
        <f t="shared" si="195"/>
        <v>39006.467741935281</v>
      </c>
      <c r="H7767" s="391" t="s">
        <v>9568</v>
      </c>
    </row>
    <row r="7768" spans="1:9" x14ac:dyDescent="0.3">
      <c r="A7768" s="45">
        <v>45229</v>
      </c>
      <c r="B7768" s="399"/>
      <c r="C7768" s="5" t="s">
        <v>11194</v>
      </c>
      <c r="D7768" s="124" t="s">
        <v>12542</v>
      </c>
      <c r="E7768" s="43">
        <f>1800*8</f>
        <v>14400</v>
      </c>
      <c r="F7768" s="43"/>
      <c r="G7768" s="48">
        <f t="shared" si="195"/>
        <v>24606.467741935281</v>
      </c>
      <c r="H7768" s="391" t="s">
        <v>9568</v>
      </c>
    </row>
    <row r="7769" spans="1:9" x14ac:dyDescent="0.3">
      <c r="A7769" s="45">
        <v>45229</v>
      </c>
      <c r="B7769" s="399" t="s">
        <v>12213</v>
      </c>
      <c r="C7769" s="5" t="s">
        <v>9754</v>
      </c>
      <c r="D7769" s="124" t="s">
        <v>12544</v>
      </c>
      <c r="E7769" s="43">
        <v>20000</v>
      </c>
      <c r="F7769" s="43"/>
      <c r="G7769" s="48">
        <f t="shared" si="195"/>
        <v>4606.4677419352811</v>
      </c>
      <c r="H7769" s="391" t="s">
        <v>9568</v>
      </c>
    </row>
    <row r="7770" spans="1:9" x14ac:dyDescent="0.3">
      <c r="A7770" s="45">
        <v>45230</v>
      </c>
      <c r="B7770" s="399" t="s">
        <v>12138</v>
      </c>
      <c r="C7770" s="5" t="s">
        <v>5793</v>
      </c>
      <c r="D7770" s="124" t="s">
        <v>40</v>
      </c>
      <c r="E7770" s="43">
        <v>3000</v>
      </c>
      <c r="F7770" s="43"/>
      <c r="G7770" s="48">
        <f t="shared" si="195"/>
        <v>1606.4677419352811</v>
      </c>
      <c r="H7770" s="391" t="s">
        <v>9568</v>
      </c>
    </row>
    <row r="7771" spans="1:9" x14ac:dyDescent="0.3">
      <c r="A7771" s="45">
        <v>45230</v>
      </c>
      <c r="B7771" s="586"/>
      <c r="C7771" s="486"/>
      <c r="D7771" s="497" t="s">
        <v>4106</v>
      </c>
      <c r="E7771" s="486"/>
      <c r="F7771" s="28">
        <v>200000</v>
      </c>
      <c r="G7771" s="48">
        <f t="shared" si="195"/>
        <v>201606.46774193528</v>
      </c>
      <c r="H7771" s="391" t="s">
        <v>9568</v>
      </c>
    </row>
    <row r="7772" spans="1:9" x14ac:dyDescent="0.3">
      <c r="A7772" s="45">
        <v>45230</v>
      </c>
      <c r="B7772" s="399" t="s">
        <v>12550</v>
      </c>
      <c r="C7772" s="5" t="s">
        <v>11194</v>
      </c>
      <c r="D7772" s="124" t="s">
        <v>12545</v>
      </c>
      <c r="E7772" s="43">
        <v>33600</v>
      </c>
      <c r="F7772" s="43"/>
      <c r="G7772" s="48">
        <f t="shared" si="195"/>
        <v>168006.46774193528</v>
      </c>
      <c r="H7772" s="391" t="s">
        <v>9568</v>
      </c>
    </row>
    <row r="7773" spans="1:9" x14ac:dyDescent="0.3">
      <c r="A7773" s="45">
        <v>45230</v>
      </c>
      <c r="B7773" s="399" t="s">
        <v>12093</v>
      </c>
      <c r="C7773" s="5" t="s">
        <v>11194</v>
      </c>
      <c r="D7773" s="124" t="s">
        <v>12041</v>
      </c>
      <c r="E7773" s="43">
        <v>8700</v>
      </c>
      <c r="F7773" s="43"/>
      <c r="G7773" s="48">
        <f t="shared" si="195"/>
        <v>159306.46774193528</v>
      </c>
      <c r="H7773" s="391" t="s">
        <v>9568</v>
      </c>
    </row>
    <row r="7774" spans="1:9" x14ac:dyDescent="0.3">
      <c r="A7774" s="45">
        <v>45230</v>
      </c>
      <c r="B7774" s="399" t="s">
        <v>12550</v>
      </c>
      <c r="C7774" s="5" t="s">
        <v>11194</v>
      </c>
      <c r="D7774" s="124" t="s">
        <v>12551</v>
      </c>
      <c r="E7774" s="43">
        <v>10000</v>
      </c>
      <c r="F7774" s="43"/>
      <c r="G7774" s="48">
        <f t="shared" si="195"/>
        <v>149306.46774193528</v>
      </c>
      <c r="H7774" s="391" t="s">
        <v>9568</v>
      </c>
    </row>
    <row r="7775" spans="1:9" x14ac:dyDescent="0.3">
      <c r="A7775" s="45">
        <v>45230</v>
      </c>
      <c r="B7775" s="399" t="s">
        <v>10333</v>
      </c>
      <c r="C7775" s="5" t="s">
        <v>11194</v>
      </c>
      <c r="D7775" s="124" t="s">
        <v>12545</v>
      </c>
      <c r="E7775" s="43">
        <v>28000</v>
      </c>
      <c r="F7775" s="43"/>
      <c r="G7775" s="48">
        <f t="shared" si="195"/>
        <v>121306.46774193528</v>
      </c>
      <c r="H7775" s="391" t="s">
        <v>9568</v>
      </c>
    </row>
    <row r="7776" spans="1:9" x14ac:dyDescent="0.3">
      <c r="A7776" s="45">
        <v>45230</v>
      </c>
      <c r="B7776" s="399" t="s">
        <v>12087</v>
      </c>
      <c r="C7776" s="5" t="s">
        <v>11194</v>
      </c>
      <c r="D7776" s="124" t="s">
        <v>12352</v>
      </c>
      <c r="E7776" s="43">
        <v>2400</v>
      </c>
      <c r="F7776" s="43"/>
      <c r="G7776" s="48">
        <f t="shared" si="195"/>
        <v>118906.46774193528</v>
      </c>
      <c r="H7776" s="391" t="s">
        <v>9568</v>
      </c>
      <c r="I7776" s="52">
        <v>250</v>
      </c>
    </row>
    <row r="7777" spans="1:8" x14ac:dyDescent="0.3">
      <c r="A7777" s="45">
        <v>45230</v>
      </c>
      <c r="B7777" s="399" t="s">
        <v>12087</v>
      </c>
      <c r="C7777" s="5" t="s">
        <v>11194</v>
      </c>
      <c r="D7777" s="124" t="s">
        <v>12552</v>
      </c>
      <c r="E7777" s="43">
        <v>4180</v>
      </c>
      <c r="F7777" s="43"/>
      <c r="G7777" s="48">
        <f t="shared" si="195"/>
        <v>114726.46774193528</v>
      </c>
      <c r="H7777" s="391" t="s">
        <v>9568</v>
      </c>
    </row>
    <row r="7778" spans="1:8" x14ac:dyDescent="0.3">
      <c r="A7778" s="45">
        <v>45230</v>
      </c>
      <c r="B7778" s="399" t="s">
        <v>12093</v>
      </c>
      <c r="C7778" s="5" t="s">
        <v>11194</v>
      </c>
      <c r="D7778" s="124" t="s">
        <v>12553</v>
      </c>
      <c r="E7778" s="43">
        <v>5800</v>
      </c>
      <c r="F7778" s="43"/>
      <c r="G7778" s="48">
        <f t="shared" si="195"/>
        <v>108926.46774193528</v>
      </c>
      <c r="H7778" s="391" t="s">
        <v>9568</v>
      </c>
    </row>
    <row r="7779" spans="1:8" x14ac:dyDescent="0.3">
      <c r="A7779" s="45">
        <v>45230</v>
      </c>
      <c r="B7779" s="399" t="s">
        <v>12138</v>
      </c>
      <c r="C7779" s="5" t="s">
        <v>5793</v>
      </c>
      <c r="D7779" s="124" t="s">
        <v>40</v>
      </c>
      <c r="E7779" s="43">
        <v>750</v>
      </c>
      <c r="F7779" s="43"/>
      <c r="G7779" s="48">
        <f t="shared" si="195"/>
        <v>108176.46774193528</v>
      </c>
      <c r="H7779" s="391" t="s">
        <v>9568</v>
      </c>
    </row>
    <row r="7780" spans="1:8" x14ac:dyDescent="0.3">
      <c r="A7780" s="45">
        <v>45230</v>
      </c>
      <c r="B7780" s="399" t="s">
        <v>12287</v>
      </c>
      <c r="C7780" s="5" t="s">
        <v>1074</v>
      </c>
      <c r="D7780" s="124" t="s">
        <v>4601</v>
      </c>
      <c r="E7780" s="43">
        <v>280</v>
      </c>
      <c r="F7780" s="43"/>
      <c r="G7780" s="48">
        <f t="shared" si="195"/>
        <v>107896.46774193528</v>
      </c>
      <c r="H7780" s="391" t="s">
        <v>9568</v>
      </c>
    </row>
    <row r="7781" spans="1:8" x14ac:dyDescent="0.3">
      <c r="A7781" s="45">
        <v>45230</v>
      </c>
      <c r="B7781" s="399" t="s">
        <v>25</v>
      </c>
      <c r="C7781" s="5" t="s">
        <v>1074</v>
      </c>
      <c r="D7781" s="124" t="s">
        <v>4601</v>
      </c>
      <c r="E7781" s="43">
        <v>180</v>
      </c>
      <c r="F7781" s="43"/>
      <c r="G7781" s="48">
        <f t="shared" si="195"/>
        <v>107716.46774193528</v>
      </c>
      <c r="H7781" s="391" t="s">
        <v>9568</v>
      </c>
    </row>
    <row r="7782" spans="1:8" x14ac:dyDescent="0.3">
      <c r="A7782" s="45">
        <v>45230</v>
      </c>
      <c r="B7782" s="399"/>
      <c r="C7782" s="5" t="s">
        <v>14</v>
      </c>
      <c r="D7782" s="124" t="s">
        <v>4601</v>
      </c>
      <c r="E7782" s="43">
        <v>190</v>
      </c>
      <c r="F7782" s="43"/>
      <c r="G7782" s="48">
        <f t="shared" si="195"/>
        <v>107526.46774193528</v>
      </c>
      <c r="H7782" s="391" t="s">
        <v>9568</v>
      </c>
    </row>
    <row r="7783" spans="1:8" x14ac:dyDescent="0.3">
      <c r="A7783" s="45">
        <v>45230</v>
      </c>
      <c r="B7783" s="589" t="s">
        <v>25</v>
      </c>
      <c r="C7783" s="44" t="s">
        <v>25</v>
      </c>
      <c r="D7783" s="44" t="s">
        <v>11455</v>
      </c>
      <c r="E7783" s="43">
        <v>3000</v>
      </c>
      <c r="F7783" s="43"/>
      <c r="G7783" s="48">
        <f t="shared" si="195"/>
        <v>104526.46774193528</v>
      </c>
      <c r="H7783" s="391" t="s">
        <v>9568</v>
      </c>
    </row>
    <row r="7784" spans="1:8" x14ac:dyDescent="0.3">
      <c r="A7784" s="45">
        <v>45230</v>
      </c>
      <c r="B7784" s="399" t="s">
        <v>12388</v>
      </c>
      <c r="C7784" s="5" t="s">
        <v>5162</v>
      </c>
      <c r="D7784" s="124" t="s">
        <v>5813</v>
      </c>
      <c r="E7784" s="43">
        <v>1000</v>
      </c>
      <c r="F7784" s="43"/>
      <c r="G7784" s="48">
        <f t="shared" si="195"/>
        <v>103526.46774193528</v>
      </c>
      <c r="H7784" s="391" t="s">
        <v>9568</v>
      </c>
    </row>
    <row r="7785" spans="1:8" x14ac:dyDescent="0.3">
      <c r="A7785" s="45">
        <v>45230</v>
      </c>
      <c r="B7785" s="399" t="s">
        <v>12197</v>
      </c>
      <c r="C7785" s="5" t="s">
        <v>68</v>
      </c>
      <c r="D7785" s="124" t="s">
        <v>12549</v>
      </c>
      <c r="E7785" s="43">
        <v>5000</v>
      </c>
      <c r="F7785" s="43"/>
      <c r="G7785" s="48">
        <f t="shared" si="195"/>
        <v>98526.467741935281</v>
      </c>
      <c r="H7785" s="391" t="s">
        <v>9568</v>
      </c>
    </row>
    <row r="7786" spans="1:8" x14ac:dyDescent="0.3">
      <c r="A7786" s="45">
        <v>45231</v>
      </c>
      <c r="B7786" s="399" t="s">
        <v>12287</v>
      </c>
      <c r="C7786" s="5" t="s">
        <v>12418</v>
      </c>
      <c r="D7786" s="124" t="s">
        <v>12565</v>
      </c>
      <c r="E7786" s="43">
        <v>15000</v>
      </c>
      <c r="F7786" s="43"/>
      <c r="G7786" s="48">
        <f t="shared" si="195"/>
        <v>83526.467741935281</v>
      </c>
      <c r="H7786" s="391" t="s">
        <v>9568</v>
      </c>
    </row>
    <row r="7787" spans="1:8" x14ac:dyDescent="0.3">
      <c r="A7787" s="45">
        <v>45231</v>
      </c>
      <c r="B7787" s="399" t="s">
        <v>12138</v>
      </c>
      <c r="C7787" s="5" t="s">
        <v>11194</v>
      </c>
      <c r="D7787" s="124" t="s">
        <v>11730</v>
      </c>
      <c r="E7787" s="43">
        <v>1820</v>
      </c>
      <c r="F7787" s="43"/>
      <c r="G7787" s="48">
        <f t="shared" si="195"/>
        <v>81706.467741935281</v>
      </c>
      <c r="H7787" s="391" t="s">
        <v>9568</v>
      </c>
    </row>
    <row r="7788" spans="1:8" x14ac:dyDescent="0.3">
      <c r="A7788" s="45">
        <v>45231</v>
      </c>
      <c r="B7788" s="399" t="s">
        <v>11772</v>
      </c>
      <c r="C7788" s="5" t="s">
        <v>5793</v>
      </c>
      <c r="D7788" s="124" t="s">
        <v>12555</v>
      </c>
      <c r="E7788" s="43">
        <v>1500</v>
      </c>
      <c r="F7788" s="43"/>
      <c r="G7788" s="48">
        <f t="shared" si="195"/>
        <v>80206.467741935281</v>
      </c>
      <c r="H7788" s="391" t="s">
        <v>9568</v>
      </c>
    </row>
    <row r="7789" spans="1:8" x14ac:dyDescent="0.3">
      <c r="A7789" s="45">
        <v>45231</v>
      </c>
      <c r="B7789" s="399"/>
      <c r="C7789" s="5" t="s">
        <v>14</v>
      </c>
      <c r="D7789" s="124" t="s">
        <v>294</v>
      </c>
      <c r="E7789" s="43">
        <v>10000</v>
      </c>
      <c r="F7789" s="43"/>
      <c r="G7789" s="48">
        <f t="shared" si="195"/>
        <v>70206.467741935281</v>
      </c>
      <c r="H7789" s="391" t="s">
        <v>9568</v>
      </c>
    </row>
    <row r="7790" spans="1:8" x14ac:dyDescent="0.3">
      <c r="A7790" s="45">
        <v>45231</v>
      </c>
      <c r="B7790" s="399" t="s">
        <v>11772</v>
      </c>
      <c r="C7790" s="5" t="s">
        <v>12559</v>
      </c>
      <c r="D7790" s="124" t="s">
        <v>12560</v>
      </c>
      <c r="E7790" s="43">
        <v>8000</v>
      </c>
      <c r="F7790" s="43"/>
      <c r="G7790" s="48">
        <f t="shared" si="195"/>
        <v>62206.467741935281</v>
      </c>
      <c r="H7790" s="391" t="s">
        <v>9568</v>
      </c>
    </row>
    <row r="7791" spans="1:8" x14ac:dyDescent="0.3">
      <c r="A7791" s="45">
        <v>45231</v>
      </c>
      <c r="B7791" s="399" t="s">
        <v>10333</v>
      </c>
      <c r="C7791" s="5" t="s">
        <v>5793</v>
      </c>
      <c r="D7791" s="124" t="s">
        <v>40</v>
      </c>
      <c r="E7791" s="43">
        <v>3000</v>
      </c>
      <c r="F7791" s="43"/>
      <c r="G7791" s="48">
        <f t="shared" si="195"/>
        <v>59206.467741935281</v>
      </c>
      <c r="H7791" s="391" t="s">
        <v>9568</v>
      </c>
    </row>
    <row r="7792" spans="1:8" x14ac:dyDescent="0.3">
      <c r="A7792" s="45">
        <v>45231</v>
      </c>
      <c r="B7792" s="399"/>
      <c r="C7792" s="5" t="s">
        <v>84</v>
      </c>
      <c r="D7792" s="124" t="s">
        <v>12561</v>
      </c>
      <c r="E7792" s="43">
        <v>2000</v>
      </c>
      <c r="F7792" s="43"/>
      <c r="G7792" s="48">
        <f t="shared" si="195"/>
        <v>57206.467741935281</v>
      </c>
      <c r="H7792" s="391" t="s">
        <v>9568</v>
      </c>
    </row>
    <row r="7793" spans="1:8" x14ac:dyDescent="0.3">
      <c r="A7793" s="45">
        <v>45231</v>
      </c>
      <c r="B7793" s="589" t="s">
        <v>25</v>
      </c>
      <c r="C7793" s="44" t="s">
        <v>25</v>
      </c>
      <c r="D7793" s="44" t="s">
        <v>11455</v>
      </c>
      <c r="E7793" s="43">
        <v>3000</v>
      </c>
      <c r="F7793" s="43"/>
      <c r="G7793" s="48">
        <f t="shared" si="195"/>
        <v>54206.467741935281</v>
      </c>
      <c r="H7793" s="391" t="s">
        <v>9568</v>
      </c>
    </row>
    <row r="7794" spans="1:8" x14ac:dyDescent="0.3">
      <c r="A7794" s="45">
        <v>45232</v>
      </c>
      <c r="B7794" s="586"/>
      <c r="C7794" s="486"/>
      <c r="D7794" s="497" t="s">
        <v>5431</v>
      </c>
      <c r="E7794" s="486"/>
      <c r="F7794" s="28">
        <v>199000</v>
      </c>
      <c r="G7794" s="48">
        <f t="shared" si="195"/>
        <v>253206.46774193528</v>
      </c>
      <c r="H7794" s="391" t="s">
        <v>9568</v>
      </c>
    </row>
    <row r="7795" spans="1:8" x14ac:dyDescent="0.3">
      <c r="A7795" s="45">
        <v>45232</v>
      </c>
      <c r="B7795" s="399"/>
      <c r="C7795" s="5" t="s">
        <v>5162</v>
      </c>
      <c r="D7795" s="124" t="s">
        <v>5813</v>
      </c>
      <c r="E7795" s="43">
        <v>500</v>
      </c>
      <c r="F7795" s="43"/>
      <c r="G7795" s="48">
        <f t="shared" ref="G7795:G7858" si="196">G7794+F7795-E7795</f>
        <v>252706.46774193528</v>
      </c>
      <c r="H7795" s="391" t="s">
        <v>9568</v>
      </c>
    </row>
    <row r="7796" spans="1:8" x14ac:dyDescent="0.3">
      <c r="A7796" s="45">
        <v>45232</v>
      </c>
      <c r="B7796" s="605" t="s">
        <v>12568</v>
      </c>
      <c r="C7796" s="606"/>
      <c r="D7796" s="607" t="s">
        <v>12569</v>
      </c>
      <c r="E7796" s="608">
        <v>12500</v>
      </c>
      <c r="F7796" s="43"/>
      <c r="G7796" s="48">
        <f t="shared" si="196"/>
        <v>240206.46774193528</v>
      </c>
      <c r="H7796" s="391" t="s">
        <v>9568</v>
      </c>
    </row>
    <row r="7797" spans="1:8" x14ac:dyDescent="0.3">
      <c r="A7797" s="45">
        <v>45232</v>
      </c>
      <c r="B7797" s="399" t="s">
        <v>12090</v>
      </c>
      <c r="C7797" s="5" t="s">
        <v>26</v>
      </c>
      <c r="D7797" s="124" t="s">
        <v>12570</v>
      </c>
      <c r="E7797" s="43">
        <v>650</v>
      </c>
      <c r="F7797" s="43"/>
      <c r="G7797" s="48">
        <f t="shared" si="196"/>
        <v>239556.46774193528</v>
      </c>
      <c r="H7797" s="391" t="s">
        <v>9568</v>
      </c>
    </row>
    <row r="7798" spans="1:8" x14ac:dyDescent="0.3">
      <c r="A7798" s="45">
        <v>45232</v>
      </c>
      <c r="B7798" s="399" t="s">
        <v>12197</v>
      </c>
      <c r="C7798" s="5" t="s">
        <v>5793</v>
      </c>
      <c r="D7798" s="124" t="s">
        <v>12570</v>
      </c>
      <c r="E7798" s="43">
        <v>600</v>
      </c>
      <c r="F7798" s="43"/>
      <c r="G7798" s="48">
        <f t="shared" si="196"/>
        <v>238956.46774193528</v>
      </c>
      <c r="H7798" s="391" t="s">
        <v>9568</v>
      </c>
    </row>
    <row r="7799" spans="1:8" x14ac:dyDescent="0.3">
      <c r="A7799" s="45">
        <v>45232</v>
      </c>
      <c r="B7799" s="399" t="s">
        <v>12506</v>
      </c>
      <c r="C7799" s="5" t="s">
        <v>11194</v>
      </c>
      <c r="D7799" s="124" t="s">
        <v>12571</v>
      </c>
      <c r="E7799" s="43">
        <v>2350</v>
      </c>
      <c r="F7799" s="43"/>
      <c r="G7799" s="48">
        <f t="shared" si="196"/>
        <v>236606.46774193528</v>
      </c>
      <c r="H7799" s="391" t="s">
        <v>9568</v>
      </c>
    </row>
    <row r="7800" spans="1:8" x14ac:dyDescent="0.3">
      <c r="A7800" s="45">
        <v>45232</v>
      </c>
      <c r="B7800" s="399" t="s">
        <v>12506</v>
      </c>
      <c r="C7800" s="5" t="s">
        <v>11194</v>
      </c>
      <c r="D7800" s="124" t="s">
        <v>12041</v>
      </c>
      <c r="E7800" s="43">
        <v>9000</v>
      </c>
      <c r="F7800" s="43"/>
      <c r="G7800" s="48">
        <f t="shared" si="196"/>
        <v>227606.46774193528</v>
      </c>
      <c r="H7800" s="391" t="s">
        <v>9568</v>
      </c>
    </row>
    <row r="7801" spans="1:8" x14ac:dyDescent="0.3">
      <c r="A7801" s="45">
        <v>45232</v>
      </c>
      <c r="B7801" s="399" t="s">
        <v>12092</v>
      </c>
      <c r="C7801" s="5" t="s">
        <v>5793</v>
      </c>
      <c r="D7801" s="124" t="s">
        <v>40</v>
      </c>
      <c r="E7801" s="43">
        <v>3000</v>
      </c>
      <c r="F7801" s="43"/>
      <c r="G7801" s="48">
        <f t="shared" si="196"/>
        <v>224606.46774193528</v>
      </c>
      <c r="H7801" s="391" t="s">
        <v>9568</v>
      </c>
    </row>
    <row r="7802" spans="1:8" x14ac:dyDescent="0.3">
      <c r="A7802" s="45">
        <v>45232</v>
      </c>
      <c r="B7802" s="399"/>
      <c r="C7802" s="5" t="s">
        <v>5793</v>
      </c>
      <c r="D7802" s="124" t="s">
        <v>40</v>
      </c>
      <c r="E7802" s="43">
        <v>200</v>
      </c>
      <c r="F7802" s="43"/>
      <c r="G7802" s="48">
        <f t="shared" si="196"/>
        <v>224406.46774193528</v>
      </c>
      <c r="H7802" s="391" t="s">
        <v>9568</v>
      </c>
    </row>
    <row r="7803" spans="1:8" x14ac:dyDescent="0.3">
      <c r="A7803" s="45">
        <v>45233</v>
      </c>
      <c r="B7803" s="399" t="s">
        <v>12088</v>
      </c>
      <c r="C7803" s="5" t="s">
        <v>11194</v>
      </c>
      <c r="D7803" s="124" t="s">
        <v>12572</v>
      </c>
      <c r="E7803" s="43">
        <v>2880</v>
      </c>
      <c r="F7803" s="43"/>
      <c r="G7803" s="48">
        <f t="shared" si="196"/>
        <v>221526.46774193528</v>
      </c>
      <c r="H7803" s="391" t="s">
        <v>9568</v>
      </c>
    </row>
    <row r="7804" spans="1:8" x14ac:dyDescent="0.3">
      <c r="A7804" s="45">
        <v>45233</v>
      </c>
      <c r="B7804" s="589" t="s">
        <v>25</v>
      </c>
      <c r="C7804" s="44" t="s">
        <v>25</v>
      </c>
      <c r="D7804" s="44" t="s">
        <v>11455</v>
      </c>
      <c r="E7804" s="43">
        <v>3000</v>
      </c>
      <c r="F7804" s="43"/>
      <c r="G7804" s="48">
        <f t="shared" si="196"/>
        <v>218526.46774193528</v>
      </c>
      <c r="H7804" s="391" t="s">
        <v>9568</v>
      </c>
    </row>
    <row r="7805" spans="1:8" x14ac:dyDescent="0.3">
      <c r="A7805" s="45">
        <v>45233</v>
      </c>
      <c r="B7805" s="399"/>
      <c r="C7805" s="5" t="s">
        <v>6430</v>
      </c>
      <c r="D7805" s="124" t="s">
        <v>3910</v>
      </c>
      <c r="E7805" s="43">
        <v>5000</v>
      </c>
      <c r="F7805" s="43"/>
      <c r="G7805" s="48">
        <f t="shared" si="196"/>
        <v>213526.46774193528</v>
      </c>
      <c r="H7805" s="391" t="s">
        <v>9568</v>
      </c>
    </row>
    <row r="7806" spans="1:8" x14ac:dyDescent="0.3">
      <c r="A7806" s="45">
        <v>45233</v>
      </c>
      <c r="B7806" s="399"/>
      <c r="C7806" s="5" t="s">
        <v>84</v>
      </c>
      <c r="D7806" s="124" t="s">
        <v>12573</v>
      </c>
      <c r="E7806" s="43">
        <v>15000</v>
      </c>
      <c r="F7806" s="43"/>
      <c r="G7806" s="48">
        <f t="shared" si="196"/>
        <v>198526.46774193528</v>
      </c>
      <c r="H7806" s="391" t="s">
        <v>9568</v>
      </c>
    </row>
    <row r="7807" spans="1:8" x14ac:dyDescent="0.3">
      <c r="A7807" s="45">
        <v>45233</v>
      </c>
      <c r="B7807" s="399" t="s">
        <v>12584</v>
      </c>
      <c r="C7807" s="5" t="s">
        <v>9452</v>
      </c>
      <c r="D7807" s="124" t="s">
        <v>12590</v>
      </c>
      <c r="E7807" s="43">
        <v>4500</v>
      </c>
      <c r="F7807" s="43"/>
      <c r="G7807" s="48">
        <f t="shared" si="196"/>
        <v>194026.46774193528</v>
      </c>
      <c r="H7807" s="391" t="s">
        <v>9568</v>
      </c>
    </row>
    <row r="7808" spans="1:8" x14ac:dyDescent="0.3">
      <c r="A7808" s="45">
        <v>45233</v>
      </c>
      <c r="B7808" s="399" t="s">
        <v>10333</v>
      </c>
      <c r="C7808" s="5" t="s">
        <v>5793</v>
      </c>
      <c r="D7808" s="124"/>
      <c r="E7808" s="43">
        <v>3500</v>
      </c>
      <c r="F7808" s="43"/>
      <c r="G7808" s="48">
        <f t="shared" si="196"/>
        <v>190526.46774193528</v>
      </c>
      <c r="H7808" s="391" t="s">
        <v>9568</v>
      </c>
    </row>
    <row r="7809" spans="1:8" x14ac:dyDescent="0.3">
      <c r="A7809" s="45">
        <v>45233</v>
      </c>
      <c r="B7809" s="399"/>
      <c r="C7809" s="5" t="s">
        <v>84</v>
      </c>
      <c r="D7809" s="124" t="s">
        <v>12574</v>
      </c>
      <c r="E7809" s="43">
        <v>2000</v>
      </c>
      <c r="F7809" s="43"/>
      <c r="G7809" s="48">
        <f t="shared" si="196"/>
        <v>188526.46774193528</v>
      </c>
      <c r="H7809" s="391" t="s">
        <v>9568</v>
      </c>
    </row>
    <row r="7810" spans="1:8" x14ac:dyDescent="0.3">
      <c r="A7810" s="45">
        <v>45233</v>
      </c>
      <c r="B7810" s="610" t="s">
        <v>12191</v>
      </c>
      <c r="C7810" s="546" t="s">
        <v>54</v>
      </c>
      <c r="D7810" s="611" t="s">
        <v>12372</v>
      </c>
      <c r="E7810" s="547">
        <v>41000</v>
      </c>
      <c r="F7810" s="43"/>
      <c r="G7810" s="48">
        <f t="shared" si="196"/>
        <v>147526.46774193528</v>
      </c>
      <c r="H7810" s="391" t="s">
        <v>9568</v>
      </c>
    </row>
    <row r="7811" spans="1:8" x14ac:dyDescent="0.3">
      <c r="A7811" s="45">
        <v>45233</v>
      </c>
      <c r="B7811" s="610" t="s">
        <v>12088</v>
      </c>
      <c r="C7811" s="546" t="s">
        <v>54</v>
      </c>
      <c r="D7811" s="611" t="s">
        <v>12575</v>
      </c>
      <c r="E7811" s="547">
        <v>45000</v>
      </c>
      <c r="F7811" s="43"/>
      <c r="G7811" s="48">
        <f t="shared" si="196"/>
        <v>102526.46774193528</v>
      </c>
      <c r="H7811" s="391" t="s">
        <v>9568</v>
      </c>
    </row>
    <row r="7812" spans="1:8" x14ac:dyDescent="0.3">
      <c r="A7812" s="45">
        <v>45233</v>
      </c>
      <c r="B7812" s="610" t="s">
        <v>25</v>
      </c>
      <c r="C7812" s="546" t="s">
        <v>54</v>
      </c>
      <c r="D7812" s="611" t="s">
        <v>6673</v>
      </c>
      <c r="E7812" s="547">
        <v>65000</v>
      </c>
      <c r="F7812" s="43"/>
      <c r="G7812" s="48">
        <f t="shared" si="196"/>
        <v>37526.467741935281</v>
      </c>
      <c r="H7812" s="391" t="s">
        <v>9568</v>
      </c>
    </row>
    <row r="7813" spans="1:8" x14ac:dyDescent="0.3">
      <c r="A7813" s="45">
        <v>45233</v>
      </c>
      <c r="B7813" s="610" t="s">
        <v>25</v>
      </c>
      <c r="C7813" s="546" t="s">
        <v>54</v>
      </c>
      <c r="D7813" s="611" t="s">
        <v>12577</v>
      </c>
      <c r="E7813" s="547">
        <v>22000</v>
      </c>
      <c r="F7813" s="43"/>
      <c r="G7813" s="48">
        <f t="shared" si="196"/>
        <v>15526.467741935281</v>
      </c>
      <c r="H7813" s="391" t="s">
        <v>9568</v>
      </c>
    </row>
    <row r="7814" spans="1:8" x14ac:dyDescent="0.3">
      <c r="A7814" s="45">
        <v>45233</v>
      </c>
      <c r="B7814" s="399" t="s">
        <v>25</v>
      </c>
      <c r="C7814" s="5" t="s">
        <v>12418</v>
      </c>
      <c r="D7814" s="124" t="s">
        <v>6543</v>
      </c>
      <c r="E7814" s="43">
        <v>1400</v>
      </c>
      <c r="F7814" s="43"/>
      <c r="G7814" s="48">
        <f t="shared" si="196"/>
        <v>14126.467741935281</v>
      </c>
      <c r="H7814" s="391" t="s">
        <v>9568</v>
      </c>
    </row>
    <row r="7815" spans="1:8" x14ac:dyDescent="0.3">
      <c r="A7815" s="45">
        <v>45233</v>
      </c>
      <c r="B7815" s="586"/>
      <c r="C7815" s="486"/>
      <c r="D7815" s="497" t="s">
        <v>4106</v>
      </c>
      <c r="E7815" s="486"/>
      <c r="F7815" s="28">
        <v>500000</v>
      </c>
      <c r="G7815" s="48">
        <f t="shared" si="196"/>
        <v>514126.46774193528</v>
      </c>
      <c r="H7815" s="391" t="s">
        <v>9568</v>
      </c>
    </row>
    <row r="7816" spans="1:8" x14ac:dyDescent="0.3">
      <c r="A7816" s="45">
        <v>45233</v>
      </c>
      <c r="B7816" s="610" t="s">
        <v>12089</v>
      </c>
      <c r="C7816" s="546" t="s">
        <v>54</v>
      </c>
      <c r="D7816" s="611" t="s">
        <v>12576</v>
      </c>
      <c r="E7816" s="547">
        <v>40800</v>
      </c>
      <c r="F7816" s="43"/>
      <c r="G7816" s="48">
        <f t="shared" si="196"/>
        <v>473326.46774193528</v>
      </c>
      <c r="H7816" s="391" t="s">
        <v>9568</v>
      </c>
    </row>
    <row r="7817" spans="1:8" x14ac:dyDescent="0.3">
      <c r="A7817" s="45">
        <v>45233</v>
      </c>
      <c r="B7817" s="399" t="s">
        <v>12584</v>
      </c>
      <c r="C7817" s="5" t="s">
        <v>5793</v>
      </c>
      <c r="D7817" s="124" t="s">
        <v>40</v>
      </c>
      <c r="E7817" s="43">
        <v>250</v>
      </c>
      <c r="F7817" s="43"/>
      <c r="G7817" s="48">
        <f t="shared" si="196"/>
        <v>473076.46774193528</v>
      </c>
      <c r="H7817" s="391" t="s">
        <v>9568</v>
      </c>
    </row>
    <row r="7818" spans="1:8" x14ac:dyDescent="0.3">
      <c r="A7818" s="45">
        <v>45233</v>
      </c>
      <c r="B7818" s="399" t="s">
        <v>12584</v>
      </c>
      <c r="C7818" s="5" t="s">
        <v>11194</v>
      </c>
      <c r="D7818" s="124" t="s">
        <v>12578</v>
      </c>
      <c r="E7818" s="43">
        <v>4200</v>
      </c>
      <c r="F7818" s="43"/>
      <c r="G7818" s="48">
        <f t="shared" si="196"/>
        <v>468876.46774193528</v>
      </c>
      <c r="H7818" s="391" t="s">
        <v>9568</v>
      </c>
    </row>
    <row r="7819" spans="1:8" x14ac:dyDescent="0.3">
      <c r="A7819" s="45">
        <v>45234</v>
      </c>
      <c r="B7819" s="399" t="s">
        <v>12092</v>
      </c>
      <c r="C7819" s="5" t="s">
        <v>12582</v>
      </c>
      <c r="D7819" s="124" t="s">
        <v>12583</v>
      </c>
      <c r="E7819" s="43">
        <v>2000</v>
      </c>
      <c r="F7819" s="43"/>
      <c r="G7819" s="48">
        <f t="shared" si="196"/>
        <v>466876.46774193528</v>
      </c>
      <c r="H7819" s="391" t="s">
        <v>9568</v>
      </c>
    </row>
    <row r="7820" spans="1:8" x14ac:dyDescent="0.3">
      <c r="A7820" s="45">
        <v>45234</v>
      </c>
      <c r="B7820" s="399" t="s">
        <v>12584</v>
      </c>
      <c r="C7820" s="5" t="s">
        <v>9452</v>
      </c>
      <c r="D7820" s="124" t="s">
        <v>12591</v>
      </c>
      <c r="E7820" s="43">
        <v>2500</v>
      </c>
      <c r="F7820" s="43"/>
      <c r="G7820" s="48">
        <f t="shared" si="196"/>
        <v>464376.46774193528</v>
      </c>
      <c r="H7820" s="391" t="s">
        <v>9568</v>
      </c>
    </row>
    <row r="7821" spans="1:8" x14ac:dyDescent="0.3">
      <c r="A7821" s="45">
        <v>45234</v>
      </c>
      <c r="B7821" s="589" t="s">
        <v>25</v>
      </c>
      <c r="C7821" s="44" t="s">
        <v>25</v>
      </c>
      <c r="D7821" s="44" t="s">
        <v>11455</v>
      </c>
      <c r="E7821" s="43">
        <v>3000</v>
      </c>
      <c r="F7821" s="43"/>
      <c r="G7821" s="48">
        <f t="shared" si="196"/>
        <v>461376.46774193528</v>
      </c>
      <c r="H7821" s="391" t="s">
        <v>9568</v>
      </c>
    </row>
    <row r="7822" spans="1:8" x14ac:dyDescent="0.3">
      <c r="A7822" s="45">
        <v>45234</v>
      </c>
      <c r="B7822" s="610" t="s">
        <v>12087</v>
      </c>
      <c r="C7822" s="612" t="s">
        <v>54</v>
      </c>
      <c r="D7822" s="612" t="s">
        <v>12587</v>
      </c>
      <c r="E7822" s="547">
        <v>39200</v>
      </c>
      <c r="F7822" s="43"/>
      <c r="G7822" s="48">
        <f t="shared" si="196"/>
        <v>422176.46774193528</v>
      </c>
      <c r="H7822" s="391" t="s">
        <v>9568</v>
      </c>
    </row>
    <row r="7823" spans="1:8" x14ac:dyDescent="0.3">
      <c r="A7823" s="45">
        <v>45234</v>
      </c>
      <c r="B7823" s="399" t="s">
        <v>12087</v>
      </c>
      <c r="C7823" s="44" t="s">
        <v>12418</v>
      </c>
      <c r="D7823" s="44" t="s">
        <v>12588</v>
      </c>
      <c r="E7823" s="43">
        <v>400</v>
      </c>
      <c r="F7823" s="43"/>
      <c r="G7823" s="48">
        <f t="shared" si="196"/>
        <v>421776.46774193528</v>
      </c>
      <c r="H7823" s="391" t="s">
        <v>9568</v>
      </c>
    </row>
    <row r="7824" spans="1:8" x14ac:dyDescent="0.3">
      <c r="A7824" s="45">
        <v>45234</v>
      </c>
      <c r="B7824" s="399" t="s">
        <v>12584</v>
      </c>
      <c r="C7824" s="44" t="s">
        <v>5793</v>
      </c>
      <c r="D7824" s="124" t="s">
        <v>12592</v>
      </c>
      <c r="E7824" s="43">
        <v>1600</v>
      </c>
      <c r="F7824" s="43"/>
      <c r="G7824" s="48">
        <f t="shared" si="196"/>
        <v>420176.46774193528</v>
      </c>
      <c r="H7824" s="391" t="s">
        <v>9568</v>
      </c>
    </row>
    <row r="7825" spans="1:8" x14ac:dyDescent="0.3">
      <c r="A7825" s="45">
        <v>45234</v>
      </c>
      <c r="B7825" s="613" t="s">
        <v>12132</v>
      </c>
      <c r="C7825" s="612" t="s">
        <v>54</v>
      </c>
      <c r="D7825" s="612" t="s">
        <v>8636</v>
      </c>
      <c r="E7825" s="547">
        <v>128774.19354838709</v>
      </c>
      <c r="F7825" s="43"/>
      <c r="G7825" s="48">
        <f t="shared" si="196"/>
        <v>291402.27419354819</v>
      </c>
      <c r="H7825" s="391" t="s">
        <v>9568</v>
      </c>
    </row>
    <row r="7826" spans="1:8" x14ac:dyDescent="0.3">
      <c r="A7826" s="45">
        <v>45234</v>
      </c>
      <c r="B7826" s="613" t="s">
        <v>12098</v>
      </c>
      <c r="C7826" s="612" t="s">
        <v>54</v>
      </c>
      <c r="D7826" s="612" t="s">
        <v>12589</v>
      </c>
      <c r="E7826" s="547">
        <v>120084.67741935485</v>
      </c>
      <c r="F7826" s="43"/>
      <c r="G7826" s="48">
        <f t="shared" si="196"/>
        <v>171317.59677419334</v>
      </c>
      <c r="H7826" s="391" t="s">
        <v>9568</v>
      </c>
    </row>
    <row r="7827" spans="1:8" x14ac:dyDescent="0.3">
      <c r="A7827" s="45">
        <v>45234</v>
      </c>
      <c r="B7827" s="613" t="s">
        <v>12098</v>
      </c>
      <c r="C7827" s="612" t="s">
        <v>54</v>
      </c>
      <c r="D7827" s="612" t="s">
        <v>6239</v>
      </c>
      <c r="E7827" s="547">
        <v>20000</v>
      </c>
      <c r="F7827" s="43"/>
      <c r="G7827" s="48">
        <f t="shared" si="196"/>
        <v>151317.59677419334</v>
      </c>
      <c r="H7827" s="391" t="s">
        <v>9568</v>
      </c>
    </row>
    <row r="7828" spans="1:8" x14ac:dyDescent="0.3">
      <c r="A7828" s="45">
        <v>45234</v>
      </c>
      <c r="B7828" s="589" t="s">
        <v>12132</v>
      </c>
      <c r="C7828" s="44" t="s">
        <v>12418</v>
      </c>
      <c r="D7828" s="44" t="s">
        <v>12593</v>
      </c>
      <c r="E7828" s="43">
        <v>3000</v>
      </c>
      <c r="F7828" s="43"/>
      <c r="G7828" s="48">
        <f t="shared" si="196"/>
        <v>148317.59677419334</v>
      </c>
      <c r="H7828" s="391" t="s">
        <v>9568</v>
      </c>
    </row>
    <row r="7829" spans="1:8" x14ac:dyDescent="0.3">
      <c r="A7829" s="45">
        <v>45234</v>
      </c>
      <c r="B7829" s="589" t="s">
        <v>12213</v>
      </c>
      <c r="C7829" s="44" t="s">
        <v>12418</v>
      </c>
      <c r="D7829" s="44" t="s">
        <v>12594</v>
      </c>
      <c r="E7829" s="43">
        <v>730</v>
      </c>
      <c r="F7829" s="43"/>
      <c r="G7829" s="48">
        <f t="shared" si="196"/>
        <v>147587.59677419334</v>
      </c>
      <c r="H7829" s="391" t="s">
        <v>9568</v>
      </c>
    </row>
    <row r="7830" spans="1:8" x14ac:dyDescent="0.3">
      <c r="A7830" s="45">
        <v>45234</v>
      </c>
      <c r="B7830" s="399" t="s">
        <v>12088</v>
      </c>
      <c r="C7830" s="73" t="s">
        <v>10709</v>
      </c>
      <c r="D7830" s="614" t="s">
        <v>4319</v>
      </c>
      <c r="E7830" s="58">
        <v>2000</v>
      </c>
      <c r="F7830" s="43"/>
      <c r="G7830" s="48">
        <f t="shared" si="196"/>
        <v>145587.59677419334</v>
      </c>
      <c r="H7830" s="391" t="s">
        <v>9568</v>
      </c>
    </row>
    <row r="7831" spans="1:8" x14ac:dyDescent="0.3">
      <c r="A7831" s="45">
        <v>45234</v>
      </c>
      <c r="B7831" s="399" t="s">
        <v>10615</v>
      </c>
      <c r="C7831" s="5" t="s">
        <v>6430</v>
      </c>
      <c r="D7831" s="614" t="s">
        <v>4319</v>
      </c>
      <c r="E7831" s="58">
        <v>5000</v>
      </c>
      <c r="F7831" s="43"/>
      <c r="G7831" s="48">
        <f t="shared" si="196"/>
        <v>140587.59677419334</v>
      </c>
      <c r="H7831" s="391" t="s">
        <v>9568</v>
      </c>
    </row>
    <row r="7832" spans="1:8" x14ac:dyDescent="0.3">
      <c r="A7832" s="45">
        <v>45234</v>
      </c>
      <c r="B7832" s="399" t="s">
        <v>12087</v>
      </c>
      <c r="C7832" s="5" t="s">
        <v>11194</v>
      </c>
      <c r="D7832" s="124" t="s">
        <v>12595</v>
      </c>
      <c r="E7832" s="43">
        <v>24400</v>
      </c>
      <c r="F7832" s="43"/>
      <c r="G7832" s="48">
        <f t="shared" si="196"/>
        <v>116187.59677419334</v>
      </c>
      <c r="H7832" s="391" t="s">
        <v>9568</v>
      </c>
    </row>
    <row r="7833" spans="1:8" x14ac:dyDescent="0.3">
      <c r="A7833" s="45">
        <v>45234</v>
      </c>
      <c r="B7833" s="399" t="s">
        <v>12092</v>
      </c>
      <c r="C7833" s="5" t="s">
        <v>5793</v>
      </c>
      <c r="D7833" s="124" t="s">
        <v>40</v>
      </c>
      <c r="E7833" s="43">
        <v>400</v>
      </c>
      <c r="F7833" s="43"/>
      <c r="G7833" s="48">
        <f t="shared" si="196"/>
        <v>115787.59677419334</v>
      </c>
      <c r="H7833" s="391" t="s">
        <v>9568</v>
      </c>
    </row>
    <row r="7834" spans="1:8" x14ac:dyDescent="0.3">
      <c r="A7834" s="45">
        <v>45234</v>
      </c>
      <c r="B7834" s="399" t="s">
        <v>12584</v>
      </c>
      <c r="C7834" s="5" t="s">
        <v>5793</v>
      </c>
      <c r="D7834" s="124" t="s">
        <v>40</v>
      </c>
      <c r="E7834" s="43">
        <v>270</v>
      </c>
      <c r="F7834" s="43"/>
      <c r="G7834" s="48">
        <f t="shared" si="196"/>
        <v>115517.59677419334</v>
      </c>
      <c r="H7834" s="391" t="s">
        <v>9568</v>
      </c>
    </row>
    <row r="7835" spans="1:8" x14ac:dyDescent="0.3">
      <c r="A7835" s="45">
        <v>45234</v>
      </c>
      <c r="B7835" s="613" t="s">
        <v>12092</v>
      </c>
      <c r="C7835" s="612" t="s">
        <v>54</v>
      </c>
      <c r="D7835" s="612" t="s">
        <v>12596</v>
      </c>
      <c r="E7835" s="547">
        <v>36800</v>
      </c>
      <c r="F7835" s="43"/>
      <c r="G7835" s="48">
        <f t="shared" si="196"/>
        <v>78717.596774193342</v>
      </c>
      <c r="H7835" s="391" t="s">
        <v>9568</v>
      </c>
    </row>
    <row r="7836" spans="1:8" x14ac:dyDescent="0.3">
      <c r="A7836" s="45">
        <v>45236</v>
      </c>
      <c r="B7836" s="613" t="s">
        <v>11772</v>
      </c>
      <c r="C7836" s="612" t="s">
        <v>54</v>
      </c>
      <c r="D7836" s="612" t="s">
        <v>6245</v>
      </c>
      <c r="E7836" s="547">
        <v>76750</v>
      </c>
      <c r="F7836" s="43"/>
      <c r="G7836" s="48">
        <f t="shared" si="196"/>
        <v>1967.5967741933418</v>
      </c>
      <c r="H7836" s="391" t="s">
        <v>9568</v>
      </c>
    </row>
    <row r="7837" spans="1:8" x14ac:dyDescent="0.3">
      <c r="A7837" s="45">
        <v>45236</v>
      </c>
      <c r="B7837" s="399" t="s">
        <v>12388</v>
      </c>
      <c r="C7837" s="5" t="s">
        <v>11194</v>
      </c>
      <c r="D7837" s="124" t="s">
        <v>12597</v>
      </c>
      <c r="E7837" s="43">
        <v>2480</v>
      </c>
      <c r="F7837" s="43"/>
      <c r="G7837" s="48">
        <f t="shared" si="196"/>
        <v>-512.40322580665816</v>
      </c>
      <c r="H7837" s="391" t="s">
        <v>9568</v>
      </c>
    </row>
    <row r="7838" spans="1:8" x14ac:dyDescent="0.3">
      <c r="A7838" s="45">
        <v>45236</v>
      </c>
      <c r="B7838" s="586"/>
      <c r="C7838" s="486"/>
      <c r="D7838" s="497" t="s">
        <v>4106</v>
      </c>
      <c r="E7838" s="486"/>
      <c r="F7838" s="28">
        <v>500000</v>
      </c>
      <c r="G7838" s="48">
        <f t="shared" si="196"/>
        <v>499487.59677419334</v>
      </c>
      <c r="H7838" s="391" t="s">
        <v>9568</v>
      </c>
    </row>
    <row r="7839" spans="1:8" x14ac:dyDescent="0.3">
      <c r="A7839" s="45">
        <v>45236</v>
      </c>
      <c r="B7839" s="399" t="s">
        <v>12087</v>
      </c>
      <c r="C7839" s="5" t="s">
        <v>11194</v>
      </c>
      <c r="D7839" s="124" t="s">
        <v>12598</v>
      </c>
      <c r="E7839" s="43">
        <v>18850</v>
      </c>
      <c r="F7839" s="43"/>
      <c r="G7839" s="48">
        <f t="shared" si="196"/>
        <v>480637.59677419334</v>
      </c>
      <c r="H7839" s="391" t="s">
        <v>9568</v>
      </c>
    </row>
    <row r="7840" spans="1:8" x14ac:dyDescent="0.3">
      <c r="A7840" s="45">
        <v>45236</v>
      </c>
      <c r="B7840" s="399" t="s">
        <v>12087</v>
      </c>
      <c r="C7840" s="5" t="s">
        <v>11194</v>
      </c>
      <c r="D7840" s="124" t="s">
        <v>4342</v>
      </c>
      <c r="E7840" s="43">
        <v>1850</v>
      </c>
      <c r="F7840" s="43"/>
      <c r="G7840" s="48">
        <f t="shared" si="196"/>
        <v>478787.59677419334</v>
      </c>
      <c r="H7840" s="391" t="s">
        <v>9568</v>
      </c>
    </row>
    <row r="7841" spans="1:11" x14ac:dyDescent="0.3">
      <c r="A7841" s="45">
        <v>45236</v>
      </c>
      <c r="B7841" s="399" t="s">
        <v>12584</v>
      </c>
      <c r="C7841" s="5" t="s">
        <v>11194</v>
      </c>
      <c r="D7841" s="124" t="s">
        <v>4342</v>
      </c>
      <c r="E7841" s="43">
        <v>7560</v>
      </c>
      <c r="F7841" s="43"/>
      <c r="G7841" s="48">
        <f t="shared" si="196"/>
        <v>471227.59677419334</v>
      </c>
      <c r="H7841" s="391" t="s">
        <v>9568</v>
      </c>
    </row>
    <row r="7842" spans="1:11" x14ac:dyDescent="0.3">
      <c r="A7842" s="45">
        <v>45236</v>
      </c>
      <c r="B7842" s="399" t="s">
        <v>12584</v>
      </c>
      <c r="C7842" s="5" t="s">
        <v>11194</v>
      </c>
      <c r="D7842" s="124" t="s">
        <v>4342</v>
      </c>
      <c r="E7842" s="43">
        <v>1500</v>
      </c>
      <c r="F7842" s="43"/>
      <c r="G7842" s="48">
        <f t="shared" si="196"/>
        <v>469727.59677419334</v>
      </c>
      <c r="H7842" s="391" t="s">
        <v>9568</v>
      </c>
    </row>
    <row r="7843" spans="1:11" x14ac:dyDescent="0.3">
      <c r="A7843" s="45">
        <v>45236</v>
      </c>
      <c r="B7843" s="399" t="s">
        <v>12087</v>
      </c>
      <c r="C7843" s="5" t="s">
        <v>5793</v>
      </c>
      <c r="D7843" s="124" t="s">
        <v>40</v>
      </c>
      <c r="E7843" s="43">
        <v>700</v>
      </c>
      <c r="F7843" s="43"/>
      <c r="G7843" s="48">
        <f t="shared" si="196"/>
        <v>469027.59677419334</v>
      </c>
      <c r="H7843" s="391" t="s">
        <v>9568</v>
      </c>
    </row>
    <row r="7844" spans="1:11" x14ac:dyDescent="0.3">
      <c r="A7844" s="45">
        <v>45236</v>
      </c>
      <c r="B7844" s="399" t="s">
        <v>12189</v>
      </c>
      <c r="C7844" s="5" t="s">
        <v>6430</v>
      </c>
      <c r="D7844" s="124" t="s">
        <v>4187</v>
      </c>
      <c r="E7844" s="43">
        <v>5000</v>
      </c>
      <c r="F7844" s="43"/>
      <c r="G7844" s="48">
        <f t="shared" si="196"/>
        <v>464027.59677419334</v>
      </c>
      <c r="H7844" s="391" t="s">
        <v>9568</v>
      </c>
    </row>
    <row r="7845" spans="1:11" x14ac:dyDescent="0.3">
      <c r="A7845" s="45">
        <v>45236</v>
      </c>
      <c r="B7845" s="613" t="s">
        <v>12089</v>
      </c>
      <c r="C7845" s="612" t="s">
        <v>54</v>
      </c>
      <c r="D7845" s="612" t="s">
        <v>12599</v>
      </c>
      <c r="E7845" s="547">
        <v>63910</v>
      </c>
      <c r="F7845" s="43"/>
      <c r="G7845" s="48">
        <f t="shared" si="196"/>
        <v>400117.59677419334</v>
      </c>
      <c r="H7845" s="391" t="s">
        <v>9568</v>
      </c>
    </row>
    <row r="7846" spans="1:11" x14ac:dyDescent="0.3">
      <c r="A7846" s="45">
        <v>45236</v>
      </c>
      <c r="B7846" s="399" t="s">
        <v>12506</v>
      </c>
      <c r="C7846" s="5" t="s">
        <v>11194</v>
      </c>
      <c r="D7846" s="124" t="s">
        <v>12601</v>
      </c>
      <c r="E7846" s="43">
        <v>9000</v>
      </c>
      <c r="F7846" s="43"/>
      <c r="G7846" s="48">
        <f t="shared" si="196"/>
        <v>391117.59677419334</v>
      </c>
      <c r="H7846" s="391" t="s">
        <v>9568</v>
      </c>
    </row>
    <row r="7847" spans="1:11" x14ac:dyDescent="0.3">
      <c r="A7847" s="45">
        <v>45236</v>
      </c>
      <c r="B7847" s="399" t="s">
        <v>12138</v>
      </c>
      <c r="C7847" s="5" t="s">
        <v>11194</v>
      </c>
      <c r="D7847" s="124" t="s">
        <v>12600</v>
      </c>
      <c r="E7847" s="43">
        <v>9000</v>
      </c>
      <c r="F7847" s="43"/>
      <c r="G7847" s="48">
        <f t="shared" si="196"/>
        <v>382117.59677419334</v>
      </c>
      <c r="H7847" s="391" t="s">
        <v>9568</v>
      </c>
    </row>
    <row r="7848" spans="1:11" x14ac:dyDescent="0.3">
      <c r="A7848" s="45">
        <v>45236</v>
      </c>
      <c r="B7848" s="399" t="s">
        <v>12138</v>
      </c>
      <c r="C7848" s="5" t="s">
        <v>5793</v>
      </c>
      <c r="D7848" s="124" t="s">
        <v>40</v>
      </c>
      <c r="E7848" s="43">
        <v>1600</v>
      </c>
      <c r="F7848" s="43"/>
      <c r="G7848" s="48">
        <f t="shared" si="196"/>
        <v>380517.59677419334</v>
      </c>
      <c r="H7848" s="391" t="s">
        <v>9568</v>
      </c>
      <c r="K7848" s="52">
        <f>18000-16320</f>
        <v>1680</v>
      </c>
    </row>
    <row r="7849" spans="1:11" x14ac:dyDescent="0.3">
      <c r="A7849" s="45">
        <v>45236</v>
      </c>
      <c r="B7849" s="399" t="s">
        <v>12087</v>
      </c>
      <c r="C7849" s="5" t="s">
        <v>11194</v>
      </c>
      <c r="D7849" s="124" t="s">
        <v>11420</v>
      </c>
      <c r="E7849" s="43">
        <v>9750</v>
      </c>
      <c r="F7849" s="43"/>
      <c r="G7849" s="241">
        <f t="shared" si="196"/>
        <v>370767.59677419334</v>
      </c>
      <c r="H7849" s="391" t="s">
        <v>9568</v>
      </c>
    </row>
    <row r="7850" spans="1:11" x14ac:dyDescent="0.3">
      <c r="A7850" s="45">
        <v>45236</v>
      </c>
      <c r="B7850" s="399" t="s">
        <v>12088</v>
      </c>
      <c r="C7850" s="5" t="s">
        <v>11194</v>
      </c>
      <c r="D7850" s="124" t="s">
        <v>11420</v>
      </c>
      <c r="E7850" s="43">
        <v>9750</v>
      </c>
      <c r="F7850" s="43"/>
      <c r="G7850" s="241">
        <f t="shared" si="196"/>
        <v>361017.59677419334</v>
      </c>
      <c r="H7850" s="391" t="s">
        <v>9568</v>
      </c>
    </row>
    <row r="7851" spans="1:11" x14ac:dyDescent="0.3">
      <c r="A7851" s="45">
        <v>45236</v>
      </c>
      <c r="B7851" s="399" t="s">
        <v>12602</v>
      </c>
      <c r="C7851" s="5" t="s">
        <v>12603</v>
      </c>
      <c r="D7851" s="124" t="s">
        <v>294</v>
      </c>
      <c r="E7851" s="43">
        <v>25000</v>
      </c>
      <c r="F7851" s="43"/>
      <c r="G7851" s="241">
        <f t="shared" si="196"/>
        <v>336017.59677419334</v>
      </c>
      <c r="H7851" s="391" t="s">
        <v>9568</v>
      </c>
    </row>
    <row r="7852" spans="1:11" x14ac:dyDescent="0.3">
      <c r="A7852" s="45">
        <v>45236</v>
      </c>
      <c r="B7852" s="613" t="s">
        <v>12097</v>
      </c>
      <c r="C7852" s="612" t="s">
        <v>54</v>
      </c>
      <c r="D7852" s="612" t="s">
        <v>12604</v>
      </c>
      <c r="E7852" s="547">
        <f>30560+44500</f>
        <v>75060</v>
      </c>
      <c r="F7852" s="43"/>
      <c r="G7852" s="241">
        <f t="shared" si="196"/>
        <v>260957.59677419334</v>
      </c>
      <c r="H7852" s="391" t="s">
        <v>9568</v>
      </c>
    </row>
    <row r="7853" spans="1:11" x14ac:dyDescent="0.3">
      <c r="A7853" s="45">
        <v>45236</v>
      </c>
      <c r="B7853" s="589" t="s">
        <v>25</v>
      </c>
      <c r="C7853" s="44" t="s">
        <v>25</v>
      </c>
      <c r="D7853" s="44" t="s">
        <v>11455</v>
      </c>
      <c r="E7853" s="43">
        <v>3000</v>
      </c>
      <c r="F7853" s="43"/>
      <c r="G7853" s="241">
        <f t="shared" si="196"/>
        <v>257957.59677419334</v>
      </c>
      <c r="H7853" s="391" t="s">
        <v>9568</v>
      </c>
    </row>
    <row r="7854" spans="1:11" x14ac:dyDescent="0.3">
      <c r="A7854" s="45">
        <v>45236</v>
      </c>
      <c r="B7854" s="613" t="s">
        <v>25</v>
      </c>
      <c r="C7854" s="612" t="s">
        <v>54</v>
      </c>
      <c r="D7854" s="612" t="s">
        <v>12608</v>
      </c>
      <c r="E7854" s="547">
        <v>39000</v>
      </c>
      <c r="F7854" s="43"/>
      <c r="G7854" s="241">
        <f t="shared" si="196"/>
        <v>218957.59677419334</v>
      </c>
      <c r="H7854" s="391" t="s">
        <v>9568</v>
      </c>
    </row>
    <row r="7855" spans="1:11" x14ac:dyDescent="0.3">
      <c r="A7855" s="45">
        <v>45237</v>
      </c>
      <c r="B7855" s="613" t="s">
        <v>25</v>
      </c>
      <c r="C7855" s="612" t="s">
        <v>54</v>
      </c>
      <c r="D7855" s="612" t="s">
        <v>12609</v>
      </c>
      <c r="E7855" s="547">
        <v>200000</v>
      </c>
      <c r="F7855" s="43"/>
      <c r="G7855" s="241">
        <f t="shared" si="196"/>
        <v>18957.596774193342</v>
      </c>
      <c r="H7855" s="391" t="s">
        <v>9568</v>
      </c>
    </row>
    <row r="7856" spans="1:11" x14ac:dyDescent="0.3">
      <c r="A7856" s="45">
        <v>45237</v>
      </c>
      <c r="B7856" s="399"/>
      <c r="C7856" s="5" t="s">
        <v>84</v>
      </c>
      <c r="D7856" s="124" t="s">
        <v>12610</v>
      </c>
      <c r="E7856" s="43">
        <v>1000</v>
      </c>
      <c r="F7856" s="43"/>
      <c r="G7856" s="241">
        <f t="shared" si="196"/>
        <v>17957.596774193342</v>
      </c>
      <c r="H7856" s="391" t="s">
        <v>9568</v>
      </c>
    </row>
    <row r="7857" spans="1:11" x14ac:dyDescent="0.3">
      <c r="A7857" s="45">
        <v>45237</v>
      </c>
      <c r="B7857" s="399" t="s">
        <v>12088</v>
      </c>
      <c r="C7857" s="5" t="s">
        <v>11194</v>
      </c>
      <c r="D7857" s="124" t="s">
        <v>12611</v>
      </c>
      <c r="E7857" s="43">
        <v>3100</v>
      </c>
      <c r="F7857" s="43"/>
      <c r="G7857" s="241">
        <f t="shared" si="196"/>
        <v>14857.596774193342</v>
      </c>
      <c r="H7857" s="391" t="s">
        <v>9568</v>
      </c>
    </row>
    <row r="7858" spans="1:11" x14ac:dyDescent="0.3">
      <c r="A7858" s="45">
        <v>45237</v>
      </c>
      <c r="B7858" s="399" t="s">
        <v>12087</v>
      </c>
      <c r="C7858" s="5" t="s">
        <v>12418</v>
      </c>
      <c r="D7858" s="124" t="s">
        <v>12612</v>
      </c>
      <c r="E7858" s="43">
        <v>2000</v>
      </c>
      <c r="F7858" s="43"/>
      <c r="G7858" s="241">
        <f t="shared" si="196"/>
        <v>12857.596774193342</v>
      </c>
      <c r="H7858" s="391" t="s">
        <v>9568</v>
      </c>
      <c r="I7858" s="609" t="s">
        <v>12581</v>
      </c>
      <c r="J7858" s="187" t="e">
        <f>#REF!</f>
        <v>#REF!</v>
      </c>
    </row>
    <row r="7859" spans="1:11" x14ac:dyDescent="0.3">
      <c r="A7859" s="45">
        <v>45237</v>
      </c>
      <c r="B7859" s="586"/>
      <c r="C7859" s="486"/>
      <c r="D7859" s="497" t="s">
        <v>4106</v>
      </c>
      <c r="E7859" s="486"/>
      <c r="F7859" s="28">
        <v>500000</v>
      </c>
      <c r="G7859" s="241">
        <f t="shared" ref="G7859:G7922" si="197">G7858+F7859-E7859</f>
        <v>512857.59677419334</v>
      </c>
      <c r="H7859" s="391" t="s">
        <v>9568</v>
      </c>
      <c r="I7859" s="609" t="s">
        <v>55</v>
      </c>
      <c r="J7859" s="187">
        <f ca="1">SUMIF(C7801:E7904,"salary",E7801:E7904)</f>
        <v>1639330.3629032257</v>
      </c>
    </row>
    <row r="7860" spans="1:11" x14ac:dyDescent="0.3">
      <c r="A7860" s="45">
        <v>45237</v>
      </c>
      <c r="B7860" s="399" t="s">
        <v>12087</v>
      </c>
      <c r="C7860" s="5" t="s">
        <v>11194</v>
      </c>
      <c r="D7860" s="124" t="s">
        <v>12636</v>
      </c>
      <c r="E7860" s="43">
        <v>59990</v>
      </c>
      <c r="F7860" s="43"/>
      <c r="G7860" s="241">
        <f t="shared" si="197"/>
        <v>452867.59677419334</v>
      </c>
      <c r="H7860" s="391" t="s">
        <v>9568</v>
      </c>
      <c r="I7860" s="609" t="s">
        <v>12294</v>
      </c>
      <c r="J7860" s="187" t="e">
        <f ca="1">J7858-J7859</f>
        <v>#REF!</v>
      </c>
    </row>
    <row r="7861" spans="1:11" x14ac:dyDescent="0.3">
      <c r="A7861" s="45">
        <v>45237</v>
      </c>
      <c r="B7861" s="399" t="s">
        <v>12189</v>
      </c>
      <c r="C7861" s="5" t="s">
        <v>11194</v>
      </c>
      <c r="D7861" s="124" t="s">
        <v>12637</v>
      </c>
      <c r="E7861" s="43">
        <v>15500</v>
      </c>
      <c r="F7861" s="43"/>
      <c r="G7861" s="241">
        <f t="shared" si="197"/>
        <v>437367.59677419334</v>
      </c>
      <c r="H7861" s="391" t="s">
        <v>9568</v>
      </c>
      <c r="I7861" s="615"/>
      <c r="J7861" s="616"/>
    </row>
    <row r="7862" spans="1:11" x14ac:dyDescent="0.3">
      <c r="A7862" s="45">
        <v>45237</v>
      </c>
      <c r="B7862" s="399" t="s">
        <v>12506</v>
      </c>
      <c r="C7862" s="5" t="s">
        <v>11194</v>
      </c>
      <c r="D7862" s="124" t="s">
        <v>12638</v>
      </c>
      <c r="E7862" s="43">
        <v>3750</v>
      </c>
      <c r="F7862" s="43"/>
      <c r="G7862" s="241">
        <f t="shared" si="197"/>
        <v>433617.59677419334</v>
      </c>
      <c r="H7862" s="391" t="s">
        <v>9568</v>
      </c>
      <c r="I7862" s="615"/>
      <c r="J7862" s="616"/>
    </row>
    <row r="7863" spans="1:11" x14ac:dyDescent="0.3">
      <c r="A7863" s="45">
        <v>45237</v>
      </c>
      <c r="B7863" s="399" t="s">
        <v>25</v>
      </c>
      <c r="C7863" s="5" t="s">
        <v>64</v>
      </c>
      <c r="D7863" s="124" t="s">
        <v>40</v>
      </c>
      <c r="E7863" s="43">
        <v>2200</v>
      </c>
      <c r="F7863" s="43"/>
      <c r="G7863" s="241">
        <f t="shared" si="197"/>
        <v>431417.59677419334</v>
      </c>
      <c r="H7863" s="391" t="s">
        <v>9568</v>
      </c>
    </row>
    <row r="7864" spans="1:11" x14ac:dyDescent="0.3">
      <c r="A7864" s="45">
        <v>45237</v>
      </c>
      <c r="B7864" s="399"/>
      <c r="C7864" s="5" t="s">
        <v>4039</v>
      </c>
      <c r="D7864" s="124" t="s">
        <v>12613</v>
      </c>
      <c r="E7864" s="43">
        <v>5000</v>
      </c>
      <c r="F7864" s="43"/>
      <c r="G7864" s="241">
        <f t="shared" si="197"/>
        <v>426417.59677419334</v>
      </c>
      <c r="H7864" s="391" t="s">
        <v>9568</v>
      </c>
    </row>
    <row r="7865" spans="1:11" x14ac:dyDescent="0.3">
      <c r="A7865" s="45">
        <v>45237</v>
      </c>
      <c r="B7865" s="613" t="s">
        <v>10615</v>
      </c>
      <c r="C7865" s="612" t="s">
        <v>54</v>
      </c>
      <c r="D7865" s="612" t="s">
        <v>12156</v>
      </c>
      <c r="E7865" s="547">
        <v>325011.49193548388</v>
      </c>
      <c r="F7865" s="43"/>
      <c r="G7865" s="241">
        <f t="shared" si="197"/>
        <v>101406.10483870946</v>
      </c>
      <c r="H7865" s="391" t="s">
        <v>9568</v>
      </c>
    </row>
    <row r="7866" spans="1:11" x14ac:dyDescent="0.3">
      <c r="A7866" s="45">
        <v>45237</v>
      </c>
      <c r="B7866" s="399" t="s">
        <v>12087</v>
      </c>
      <c r="C7866" s="5" t="s">
        <v>5793</v>
      </c>
      <c r="D7866" s="124" t="s">
        <v>40</v>
      </c>
      <c r="E7866" s="43">
        <v>1600</v>
      </c>
      <c r="F7866" s="43"/>
      <c r="G7866" s="241">
        <f t="shared" si="197"/>
        <v>99806.104838709463</v>
      </c>
      <c r="H7866" s="391" t="s">
        <v>9568</v>
      </c>
    </row>
    <row r="7867" spans="1:11" x14ac:dyDescent="0.3">
      <c r="A7867" s="45">
        <v>45237</v>
      </c>
      <c r="B7867" s="399" t="s">
        <v>12506</v>
      </c>
      <c r="C7867" s="5" t="s">
        <v>5793</v>
      </c>
      <c r="D7867" s="124" t="s">
        <v>40</v>
      </c>
      <c r="E7867" s="43">
        <v>500</v>
      </c>
      <c r="F7867" s="43"/>
      <c r="G7867" s="241">
        <f t="shared" si="197"/>
        <v>99306.104838709463</v>
      </c>
      <c r="H7867" s="391" t="s">
        <v>9568</v>
      </c>
    </row>
    <row r="7868" spans="1:11" x14ac:dyDescent="0.3">
      <c r="A7868" s="45">
        <v>45237</v>
      </c>
      <c r="B7868" s="399" t="s">
        <v>12189</v>
      </c>
      <c r="C7868" s="5" t="s">
        <v>5793</v>
      </c>
      <c r="D7868" s="124" t="s">
        <v>40</v>
      </c>
      <c r="E7868" s="43">
        <v>250</v>
      </c>
      <c r="F7868" s="43"/>
      <c r="G7868" s="241">
        <f t="shared" si="197"/>
        <v>99056.104838709463</v>
      </c>
      <c r="H7868" s="391" t="s">
        <v>9568</v>
      </c>
    </row>
    <row r="7869" spans="1:11" x14ac:dyDescent="0.3">
      <c r="A7869" s="45">
        <v>45237</v>
      </c>
      <c r="B7869" s="613" t="s">
        <v>12615</v>
      </c>
      <c r="C7869" s="612" t="s">
        <v>54</v>
      </c>
      <c r="D7869" s="612" t="s">
        <v>12616</v>
      </c>
      <c r="E7869" s="547">
        <v>65000</v>
      </c>
      <c r="F7869" s="43"/>
      <c r="G7869" s="241">
        <f t="shared" si="197"/>
        <v>34056.104838709463</v>
      </c>
      <c r="H7869" s="391" t="s">
        <v>9568</v>
      </c>
    </row>
    <row r="7870" spans="1:11" x14ac:dyDescent="0.3">
      <c r="A7870" s="45">
        <v>45238</v>
      </c>
      <c r="B7870" s="399" t="s">
        <v>12618</v>
      </c>
      <c r="C7870" s="5" t="s">
        <v>8863</v>
      </c>
      <c r="D7870" s="124" t="s">
        <v>12619</v>
      </c>
      <c r="E7870" s="43">
        <v>20000</v>
      </c>
      <c r="F7870" s="43"/>
      <c r="G7870" s="241">
        <f t="shared" si="197"/>
        <v>14056.104838709463</v>
      </c>
      <c r="H7870" s="391" t="s">
        <v>9568</v>
      </c>
      <c r="K7870" s="52">
        <v>49590</v>
      </c>
    </row>
    <row r="7871" spans="1:11" x14ac:dyDescent="0.3">
      <c r="A7871" s="45">
        <v>45238</v>
      </c>
      <c r="B7871" s="399"/>
      <c r="C7871" s="5" t="s">
        <v>68</v>
      </c>
      <c r="D7871" s="124" t="s">
        <v>4187</v>
      </c>
      <c r="E7871" s="43">
        <v>3000</v>
      </c>
      <c r="F7871" s="43"/>
      <c r="G7871" s="241">
        <f t="shared" si="197"/>
        <v>11056.104838709463</v>
      </c>
      <c r="H7871" s="391" t="s">
        <v>9568</v>
      </c>
      <c r="K7871" s="52">
        <v>51000</v>
      </c>
    </row>
    <row r="7872" spans="1:11" x14ac:dyDescent="0.3">
      <c r="A7872" s="45">
        <v>45238</v>
      </c>
      <c r="B7872" s="613" t="s">
        <v>12092</v>
      </c>
      <c r="C7872" s="612" t="s">
        <v>54</v>
      </c>
      <c r="D7872" s="612" t="s">
        <v>12620</v>
      </c>
      <c r="E7872" s="547">
        <v>5000</v>
      </c>
      <c r="F7872" s="43"/>
      <c r="G7872" s="241">
        <f t="shared" si="197"/>
        <v>6056.1048387094634</v>
      </c>
      <c r="H7872" s="391" t="s">
        <v>9568</v>
      </c>
      <c r="K7872" s="52">
        <f>K7871-K7870</f>
        <v>1410</v>
      </c>
    </row>
    <row r="7873" spans="1:11" x14ac:dyDescent="0.3">
      <c r="A7873" s="45">
        <v>45238</v>
      </c>
      <c r="B7873" s="586"/>
      <c r="C7873" s="486"/>
      <c r="D7873" s="497" t="s">
        <v>4106</v>
      </c>
      <c r="E7873" s="486"/>
      <c r="F7873" s="28">
        <v>300000</v>
      </c>
      <c r="G7873" s="241">
        <f t="shared" si="197"/>
        <v>306056.10483870946</v>
      </c>
      <c r="H7873" s="391" t="s">
        <v>9568</v>
      </c>
    </row>
    <row r="7874" spans="1:11" x14ac:dyDescent="0.3">
      <c r="A7874" s="45">
        <v>45238</v>
      </c>
      <c r="B7874" s="586"/>
      <c r="C7874" s="486"/>
      <c r="D7874" s="497" t="s">
        <v>4106</v>
      </c>
      <c r="E7874" s="486"/>
      <c r="F7874" s="28">
        <v>100000</v>
      </c>
      <c r="G7874" s="241">
        <f t="shared" si="197"/>
        <v>406056.10483870946</v>
      </c>
      <c r="H7874" s="391" t="s">
        <v>9568</v>
      </c>
    </row>
    <row r="7875" spans="1:11" x14ac:dyDescent="0.3">
      <c r="A7875" s="45">
        <v>45238</v>
      </c>
      <c r="B7875" s="399"/>
      <c r="C7875" s="5" t="s">
        <v>84</v>
      </c>
      <c r="D7875" s="124" t="s">
        <v>12622</v>
      </c>
      <c r="E7875" s="43">
        <v>5000</v>
      </c>
      <c r="F7875" s="43"/>
      <c r="G7875" s="241">
        <f t="shared" si="197"/>
        <v>401056.10483870946</v>
      </c>
      <c r="H7875" s="391" t="s">
        <v>9568</v>
      </c>
    </row>
    <row r="7876" spans="1:11" x14ac:dyDescent="0.3">
      <c r="A7876" s="45">
        <v>45238</v>
      </c>
      <c r="B7876" s="589" t="s">
        <v>25</v>
      </c>
      <c r="C7876" s="44" t="s">
        <v>25</v>
      </c>
      <c r="D7876" s="44" t="s">
        <v>11455</v>
      </c>
      <c r="E7876" s="43">
        <v>3000</v>
      </c>
      <c r="F7876" s="43"/>
      <c r="G7876" s="241">
        <f t="shared" si="197"/>
        <v>398056.10483870946</v>
      </c>
      <c r="H7876" s="391" t="s">
        <v>9568</v>
      </c>
    </row>
    <row r="7877" spans="1:11" x14ac:dyDescent="0.3">
      <c r="A7877" s="45">
        <v>45238</v>
      </c>
      <c r="B7877" s="613" t="s">
        <v>25</v>
      </c>
      <c r="C7877" s="612" t="s">
        <v>54</v>
      </c>
      <c r="D7877" s="612" t="s">
        <v>12623</v>
      </c>
      <c r="E7877" s="547">
        <v>60000</v>
      </c>
      <c r="F7877" s="43"/>
      <c r="G7877" s="241">
        <f t="shared" si="197"/>
        <v>338056.10483870946</v>
      </c>
      <c r="H7877" s="391" t="s">
        <v>9568</v>
      </c>
      <c r="K7877" s="52">
        <f>3750+23100+2800</f>
        <v>29650</v>
      </c>
    </row>
    <row r="7878" spans="1:11" x14ac:dyDescent="0.3">
      <c r="A7878" s="45">
        <v>45238</v>
      </c>
      <c r="B7878" s="613" t="s">
        <v>12089</v>
      </c>
      <c r="C7878" s="612" t="s">
        <v>54</v>
      </c>
      <c r="D7878" s="612" t="s">
        <v>12617</v>
      </c>
      <c r="E7878" s="547">
        <v>33450</v>
      </c>
      <c r="F7878" s="43"/>
      <c r="G7878" s="241">
        <f t="shared" si="197"/>
        <v>304606.10483870946</v>
      </c>
      <c r="H7878" s="391" t="s">
        <v>9568</v>
      </c>
    </row>
    <row r="7879" spans="1:11" x14ac:dyDescent="0.3">
      <c r="A7879" s="45">
        <v>45238</v>
      </c>
      <c r="B7879" s="399" t="s">
        <v>12089</v>
      </c>
      <c r="C7879" s="5" t="s">
        <v>12418</v>
      </c>
      <c r="D7879" s="124" t="s">
        <v>12624</v>
      </c>
      <c r="E7879" s="43">
        <v>1000</v>
      </c>
      <c r="F7879" s="43"/>
      <c r="G7879" s="241">
        <f t="shared" si="197"/>
        <v>303606.10483870946</v>
      </c>
      <c r="H7879" s="391" t="s">
        <v>9568</v>
      </c>
      <c r="K7879" s="52">
        <v>30000</v>
      </c>
    </row>
    <row r="7880" spans="1:11" x14ac:dyDescent="0.3">
      <c r="A7880" s="45">
        <v>45238</v>
      </c>
      <c r="B7880" s="399" t="s">
        <v>12584</v>
      </c>
      <c r="C7880" s="5" t="s">
        <v>11194</v>
      </c>
      <c r="D7880" s="124" t="s">
        <v>12627</v>
      </c>
      <c r="E7880" s="43">
        <v>4920</v>
      </c>
      <c r="F7880" s="43"/>
      <c r="G7880" s="241">
        <f t="shared" si="197"/>
        <v>298686.10483870946</v>
      </c>
      <c r="H7880" s="391" t="s">
        <v>9568</v>
      </c>
    </row>
    <row r="7881" spans="1:11" x14ac:dyDescent="0.3">
      <c r="A7881" s="45">
        <v>45238</v>
      </c>
      <c r="B7881" s="399" t="s">
        <v>12087</v>
      </c>
      <c r="C7881" s="5" t="s">
        <v>11194</v>
      </c>
      <c r="D7881" s="124" t="s">
        <v>12627</v>
      </c>
      <c r="E7881" s="43">
        <v>6120</v>
      </c>
      <c r="F7881" s="43"/>
      <c r="G7881" s="241">
        <f t="shared" si="197"/>
        <v>292566.10483870946</v>
      </c>
      <c r="H7881" s="391" t="s">
        <v>9568</v>
      </c>
    </row>
    <row r="7882" spans="1:11" x14ac:dyDescent="0.3">
      <c r="A7882" s="45">
        <v>45238</v>
      </c>
      <c r="B7882" s="399" t="s">
        <v>12388</v>
      </c>
      <c r="C7882" s="5" t="s">
        <v>12628</v>
      </c>
      <c r="D7882" s="124" t="s">
        <v>12629</v>
      </c>
      <c r="E7882" s="43">
        <v>7200</v>
      </c>
      <c r="F7882" s="43"/>
      <c r="G7882" s="241">
        <f t="shared" si="197"/>
        <v>285366.10483870946</v>
      </c>
      <c r="H7882" s="391" t="s">
        <v>9568</v>
      </c>
    </row>
    <row r="7883" spans="1:11" x14ac:dyDescent="0.3">
      <c r="A7883" s="45">
        <v>45238</v>
      </c>
      <c r="B7883" s="399"/>
      <c r="C7883" s="5" t="s">
        <v>9765</v>
      </c>
      <c r="D7883" s="124" t="s">
        <v>12377</v>
      </c>
      <c r="E7883" s="43">
        <v>5000</v>
      </c>
      <c r="F7883" s="43"/>
      <c r="G7883" s="241">
        <f t="shared" si="197"/>
        <v>280366.10483870946</v>
      </c>
      <c r="H7883" s="391" t="s">
        <v>9568</v>
      </c>
    </row>
    <row r="7884" spans="1:11" x14ac:dyDescent="0.3">
      <c r="A7884" s="45">
        <v>45238</v>
      </c>
      <c r="B7884" s="399" t="s">
        <v>12640</v>
      </c>
      <c r="C7884" s="5" t="s">
        <v>5793</v>
      </c>
      <c r="D7884" s="124" t="s">
        <v>40</v>
      </c>
      <c r="E7884" s="43">
        <v>2700</v>
      </c>
      <c r="F7884" s="43"/>
      <c r="G7884" s="241">
        <f t="shared" si="197"/>
        <v>277666.10483870946</v>
      </c>
      <c r="H7884" s="391" t="s">
        <v>9568</v>
      </c>
    </row>
    <row r="7885" spans="1:11" x14ac:dyDescent="0.3">
      <c r="A7885" s="45">
        <v>45238</v>
      </c>
      <c r="B7885" s="399" t="s">
        <v>12584</v>
      </c>
      <c r="C7885" s="5" t="s">
        <v>5793</v>
      </c>
      <c r="D7885" s="124" t="s">
        <v>12630</v>
      </c>
      <c r="E7885" s="43">
        <v>770</v>
      </c>
      <c r="F7885" s="43"/>
      <c r="G7885" s="241">
        <f t="shared" si="197"/>
        <v>276896.10483870946</v>
      </c>
      <c r="H7885" s="391" t="s">
        <v>9568</v>
      </c>
    </row>
    <row r="7886" spans="1:11" x14ac:dyDescent="0.3">
      <c r="A7886" s="45">
        <v>45240</v>
      </c>
      <c r="B7886" s="586"/>
      <c r="C7886" s="486"/>
      <c r="D7886" s="497" t="s">
        <v>12020</v>
      </c>
      <c r="E7886" s="486"/>
      <c r="F7886" s="28">
        <v>100000</v>
      </c>
      <c r="G7886" s="241">
        <f t="shared" si="197"/>
        <v>376896.10483870946</v>
      </c>
      <c r="H7886" s="391" t="s">
        <v>9568</v>
      </c>
    </row>
    <row r="7887" spans="1:11" x14ac:dyDescent="0.3">
      <c r="A7887" s="45">
        <v>45240</v>
      </c>
      <c r="B7887" s="399" t="s">
        <v>12189</v>
      </c>
      <c r="C7887" s="5" t="s">
        <v>5793</v>
      </c>
      <c r="D7887" s="124" t="s">
        <v>40</v>
      </c>
      <c r="E7887" s="43">
        <v>2400</v>
      </c>
      <c r="F7887" s="43"/>
      <c r="G7887" s="241">
        <f t="shared" si="197"/>
        <v>374496.10483870946</v>
      </c>
      <c r="H7887" s="391" t="s">
        <v>9568</v>
      </c>
    </row>
    <row r="7888" spans="1:11" x14ac:dyDescent="0.3">
      <c r="A7888" s="45">
        <v>45240</v>
      </c>
      <c r="B7888" s="399"/>
      <c r="C7888" s="5" t="s">
        <v>84</v>
      </c>
      <c r="D7888" s="124" t="s">
        <v>12631</v>
      </c>
      <c r="E7888" s="43">
        <v>30000</v>
      </c>
      <c r="F7888" s="43"/>
      <c r="G7888" s="241">
        <f t="shared" si="197"/>
        <v>344496.10483870946</v>
      </c>
      <c r="H7888" s="391" t="s">
        <v>9568</v>
      </c>
      <c r="I7888" s="52">
        <f>E7842+E7841+E7840+E7839</f>
        <v>29760</v>
      </c>
    </row>
    <row r="7889" spans="1:11" x14ac:dyDescent="0.3">
      <c r="A7889" s="45">
        <v>45240</v>
      </c>
      <c r="B7889" s="399" t="s">
        <v>10615</v>
      </c>
      <c r="C7889" s="5" t="s">
        <v>6430</v>
      </c>
      <c r="D7889" s="124" t="s">
        <v>12632</v>
      </c>
      <c r="E7889" s="43">
        <v>10000</v>
      </c>
      <c r="F7889" s="43"/>
      <c r="G7889" s="241">
        <f t="shared" si="197"/>
        <v>334496.10483870946</v>
      </c>
      <c r="H7889" s="391" t="s">
        <v>9568</v>
      </c>
      <c r="I7889" s="52">
        <v>30000</v>
      </c>
    </row>
    <row r="7890" spans="1:11" x14ac:dyDescent="0.3">
      <c r="A7890" s="45">
        <v>45240</v>
      </c>
      <c r="B7890" s="613" t="s">
        <v>12131</v>
      </c>
      <c r="C7890" s="612" t="s">
        <v>54</v>
      </c>
      <c r="D7890" s="612" t="s">
        <v>12633</v>
      </c>
      <c r="E7890" s="547">
        <v>135890</v>
      </c>
      <c r="F7890" s="43"/>
      <c r="G7890" s="241">
        <f t="shared" si="197"/>
        <v>198606.10483870946</v>
      </c>
      <c r="H7890" s="391" t="s">
        <v>9568</v>
      </c>
      <c r="I7890" s="52">
        <f>I7889-I7888</f>
        <v>240</v>
      </c>
    </row>
    <row r="7891" spans="1:11" x14ac:dyDescent="0.3">
      <c r="A7891" s="45">
        <v>45240</v>
      </c>
      <c r="B7891" s="399"/>
      <c r="C7891" s="5" t="s">
        <v>12634</v>
      </c>
      <c r="D7891" s="124" t="s">
        <v>12635</v>
      </c>
      <c r="E7891" s="43">
        <v>65600</v>
      </c>
      <c r="F7891" s="43"/>
      <c r="G7891" s="241">
        <f t="shared" si="197"/>
        <v>133006.10483870946</v>
      </c>
      <c r="H7891" s="391" t="s">
        <v>9568</v>
      </c>
      <c r="I7891" s="52">
        <v>11500</v>
      </c>
    </row>
    <row r="7892" spans="1:11" x14ac:dyDescent="0.3">
      <c r="A7892" s="45">
        <v>45240</v>
      </c>
      <c r="B7892" s="399" t="s">
        <v>12388</v>
      </c>
      <c r="C7892" s="5" t="s">
        <v>11888</v>
      </c>
      <c r="D7892" s="124" t="s">
        <v>582</v>
      </c>
      <c r="E7892" s="43">
        <v>50000</v>
      </c>
      <c r="F7892" s="43"/>
      <c r="G7892" s="241">
        <f t="shared" si="197"/>
        <v>83006.104838709463</v>
      </c>
      <c r="H7892" s="391" t="s">
        <v>9568</v>
      </c>
      <c r="I7892" s="52">
        <f>I7891+I7890</f>
        <v>11740</v>
      </c>
    </row>
    <row r="7893" spans="1:11" x14ac:dyDescent="0.3">
      <c r="A7893" s="45">
        <v>45240</v>
      </c>
      <c r="B7893" s="399" t="s">
        <v>10333</v>
      </c>
      <c r="C7893" s="5" t="s">
        <v>7737</v>
      </c>
      <c r="D7893" s="124" t="s">
        <v>12639</v>
      </c>
      <c r="E7893" s="43">
        <v>9500</v>
      </c>
      <c r="F7893" s="43"/>
      <c r="G7893" s="241">
        <f t="shared" si="197"/>
        <v>73506.104838709463</v>
      </c>
      <c r="H7893" s="391" t="s">
        <v>9568</v>
      </c>
      <c r="I7893" s="52">
        <v>1680</v>
      </c>
    </row>
    <row r="7894" spans="1:11" x14ac:dyDescent="0.3">
      <c r="A7894" s="45">
        <v>45240</v>
      </c>
      <c r="B7894" s="399" t="s">
        <v>12138</v>
      </c>
      <c r="C7894" s="5" t="s">
        <v>30</v>
      </c>
      <c r="D7894" s="124" t="s">
        <v>10651</v>
      </c>
      <c r="E7894" s="43">
        <v>1000</v>
      </c>
      <c r="F7894" s="43"/>
      <c r="G7894" s="241">
        <f t="shared" si="197"/>
        <v>72506.104838709463</v>
      </c>
      <c r="H7894" s="391" t="s">
        <v>9568</v>
      </c>
      <c r="I7894" s="52">
        <f>I7893+I7892</f>
        <v>13420</v>
      </c>
    </row>
    <row r="7895" spans="1:11" x14ac:dyDescent="0.3">
      <c r="A7895" s="45">
        <v>45240</v>
      </c>
      <c r="B7895" s="399" t="s">
        <v>10333</v>
      </c>
      <c r="C7895" s="5" t="s">
        <v>8924</v>
      </c>
      <c r="D7895" s="124" t="s">
        <v>40</v>
      </c>
      <c r="E7895" s="43">
        <v>750</v>
      </c>
      <c r="F7895" s="43"/>
      <c r="G7895" s="241">
        <f t="shared" si="197"/>
        <v>71756.104838709463</v>
      </c>
      <c r="H7895" s="391" t="s">
        <v>9568</v>
      </c>
    </row>
    <row r="7896" spans="1:11" x14ac:dyDescent="0.3">
      <c r="A7896" s="45">
        <v>45240</v>
      </c>
      <c r="B7896" s="399" t="s">
        <v>10333</v>
      </c>
      <c r="C7896" s="5" t="s">
        <v>5793</v>
      </c>
      <c r="D7896" s="124" t="s">
        <v>40</v>
      </c>
      <c r="E7896" s="43">
        <v>4200</v>
      </c>
      <c r="F7896" s="43"/>
      <c r="G7896" s="241">
        <f t="shared" si="197"/>
        <v>67556.104838709463</v>
      </c>
      <c r="H7896" s="391" t="s">
        <v>9568</v>
      </c>
    </row>
    <row r="7897" spans="1:11" x14ac:dyDescent="0.3">
      <c r="A7897" s="45">
        <v>45240</v>
      </c>
      <c r="B7897" s="399"/>
      <c r="C7897" s="5" t="s">
        <v>10760</v>
      </c>
      <c r="D7897" s="124" t="s">
        <v>5398</v>
      </c>
      <c r="E7897" s="43">
        <v>1000</v>
      </c>
      <c r="F7897" s="43"/>
      <c r="G7897" s="241">
        <f t="shared" si="197"/>
        <v>66556.104838709463</v>
      </c>
      <c r="H7897" s="391" t="s">
        <v>9568</v>
      </c>
    </row>
    <row r="7898" spans="1:11" x14ac:dyDescent="0.3">
      <c r="A7898" s="45">
        <v>45240</v>
      </c>
      <c r="B7898" s="399" t="s">
        <v>12138</v>
      </c>
      <c r="C7898" s="5" t="s">
        <v>5793</v>
      </c>
      <c r="D7898" s="124" t="s">
        <v>40</v>
      </c>
      <c r="E7898" s="43">
        <v>1500</v>
      </c>
      <c r="F7898" s="43"/>
      <c r="G7898" s="241">
        <f t="shared" si="197"/>
        <v>65056.104838709463</v>
      </c>
      <c r="H7898" s="391" t="s">
        <v>9568</v>
      </c>
      <c r="K7898" s="52">
        <v>51000</v>
      </c>
    </row>
    <row r="7899" spans="1:11" x14ac:dyDescent="0.3">
      <c r="A7899" s="45">
        <v>45240</v>
      </c>
      <c r="B7899" s="399" t="s">
        <v>12089</v>
      </c>
      <c r="C7899" s="612" t="s">
        <v>54</v>
      </c>
      <c r="D7899" s="612" t="s">
        <v>12641</v>
      </c>
      <c r="E7899" s="547">
        <v>1600</v>
      </c>
      <c r="F7899" s="43"/>
      <c r="G7899" s="241">
        <f t="shared" si="197"/>
        <v>63456.104838709463</v>
      </c>
      <c r="H7899" s="391" t="s">
        <v>9568</v>
      </c>
      <c r="K7899" s="52">
        <v>4200</v>
      </c>
    </row>
    <row r="7900" spans="1:11" x14ac:dyDescent="0.3">
      <c r="A7900" s="45">
        <v>45240</v>
      </c>
      <c r="B7900" s="399" t="s">
        <v>12640</v>
      </c>
      <c r="C7900" s="5" t="s">
        <v>30</v>
      </c>
      <c r="D7900" s="124" t="s">
        <v>10643</v>
      </c>
      <c r="E7900" s="43">
        <v>800</v>
      </c>
      <c r="F7900" s="43"/>
      <c r="G7900" s="241">
        <f t="shared" si="197"/>
        <v>62656.104838709463</v>
      </c>
      <c r="H7900" s="391" t="s">
        <v>9568</v>
      </c>
      <c r="K7900" s="52">
        <v>10100</v>
      </c>
    </row>
    <row r="7901" spans="1:11" x14ac:dyDescent="0.3">
      <c r="A7901" s="45">
        <v>45240</v>
      </c>
      <c r="B7901" s="399" t="s">
        <v>12138</v>
      </c>
      <c r="C7901" s="5" t="s">
        <v>9452</v>
      </c>
      <c r="D7901" s="124" t="s">
        <v>12642</v>
      </c>
      <c r="E7901" s="43">
        <v>10100</v>
      </c>
      <c r="F7901" s="43"/>
      <c r="G7901" s="241">
        <f t="shared" si="197"/>
        <v>52556.104838709463</v>
      </c>
      <c r="H7901" s="391" t="s">
        <v>9568</v>
      </c>
      <c r="K7901" s="52">
        <v>5000</v>
      </c>
    </row>
    <row r="7902" spans="1:11" x14ac:dyDescent="0.3">
      <c r="A7902" s="45">
        <v>45240</v>
      </c>
      <c r="B7902" s="399" t="s">
        <v>12138</v>
      </c>
      <c r="C7902" s="5" t="s">
        <v>11194</v>
      </c>
      <c r="D7902" s="124" t="s">
        <v>12643</v>
      </c>
      <c r="E7902" s="43">
        <v>14630</v>
      </c>
      <c r="F7902" s="43"/>
      <c r="G7902" s="241">
        <f t="shared" si="197"/>
        <v>37926.104838709463</v>
      </c>
      <c r="H7902" s="391" t="s">
        <v>9568</v>
      </c>
      <c r="K7902" s="52">
        <v>14630</v>
      </c>
    </row>
    <row r="7903" spans="1:11" x14ac:dyDescent="0.3">
      <c r="A7903" s="45">
        <v>45241</v>
      </c>
      <c r="B7903" s="399" t="s">
        <v>10333</v>
      </c>
      <c r="C7903" s="5" t="s">
        <v>5793</v>
      </c>
      <c r="D7903" s="124" t="s">
        <v>40</v>
      </c>
      <c r="E7903" s="43">
        <v>1200</v>
      </c>
      <c r="F7903" s="43"/>
      <c r="G7903" s="241">
        <f t="shared" si="197"/>
        <v>36726.104838709463</v>
      </c>
      <c r="H7903" s="391" t="s">
        <v>9568</v>
      </c>
    </row>
    <row r="7904" spans="1:11" x14ac:dyDescent="0.3">
      <c r="A7904" s="45">
        <v>45241</v>
      </c>
      <c r="B7904" s="399" t="s">
        <v>25</v>
      </c>
      <c r="C7904" s="5" t="s">
        <v>11888</v>
      </c>
      <c r="D7904" s="124" t="s">
        <v>12649</v>
      </c>
      <c r="E7904" s="43">
        <v>3000</v>
      </c>
      <c r="F7904" s="43"/>
      <c r="G7904" s="241">
        <f t="shared" si="197"/>
        <v>33726.104838709463</v>
      </c>
      <c r="H7904" s="391" t="s">
        <v>9568</v>
      </c>
    </row>
    <row r="7905" spans="1:10" x14ac:dyDescent="0.3">
      <c r="A7905" s="45">
        <v>45241</v>
      </c>
      <c r="B7905" s="399" t="s">
        <v>12388</v>
      </c>
      <c r="C7905" s="5" t="s">
        <v>12418</v>
      </c>
      <c r="D7905" s="124" t="s">
        <v>12650</v>
      </c>
      <c r="E7905" s="43">
        <f>860+1220</f>
        <v>2080</v>
      </c>
      <c r="F7905" s="43"/>
      <c r="G7905" s="241">
        <f t="shared" si="197"/>
        <v>31646.104838709463</v>
      </c>
      <c r="H7905" s="391" t="s">
        <v>9568</v>
      </c>
    </row>
    <row r="7906" spans="1:10" x14ac:dyDescent="0.3">
      <c r="A7906" s="45">
        <v>45241</v>
      </c>
      <c r="B7906" s="399" t="s">
        <v>25</v>
      </c>
      <c r="C7906" s="5" t="s">
        <v>4400</v>
      </c>
      <c r="D7906" s="124" t="s">
        <v>40</v>
      </c>
      <c r="E7906" s="43">
        <v>5000</v>
      </c>
      <c r="F7906" s="43"/>
      <c r="G7906" s="241">
        <f t="shared" si="197"/>
        <v>26646.104838709463</v>
      </c>
      <c r="H7906" s="391" t="s">
        <v>9568</v>
      </c>
    </row>
    <row r="7907" spans="1:10" x14ac:dyDescent="0.3">
      <c r="A7907" s="45">
        <v>45241</v>
      </c>
      <c r="B7907" s="586"/>
      <c r="C7907" s="486"/>
      <c r="D7907" s="497" t="s">
        <v>12651</v>
      </c>
      <c r="E7907" s="486"/>
      <c r="F7907" s="28">
        <v>100000</v>
      </c>
      <c r="G7907" s="241">
        <f t="shared" si="197"/>
        <v>126646.10483870946</v>
      </c>
      <c r="H7907" s="391" t="s">
        <v>9568</v>
      </c>
    </row>
    <row r="7908" spans="1:10" x14ac:dyDescent="0.3">
      <c r="A7908" s="45">
        <v>45241</v>
      </c>
      <c r="B7908" s="399" t="s">
        <v>12506</v>
      </c>
      <c r="C7908" s="5" t="s">
        <v>12628</v>
      </c>
      <c r="D7908" s="124" t="s">
        <v>12652</v>
      </c>
      <c r="E7908" s="43">
        <v>44000</v>
      </c>
      <c r="F7908" s="43"/>
      <c r="G7908" s="241">
        <f t="shared" si="197"/>
        <v>82646.104838709463</v>
      </c>
      <c r="H7908" s="391" t="s">
        <v>9568</v>
      </c>
    </row>
    <row r="7909" spans="1:10" x14ac:dyDescent="0.3">
      <c r="A7909" s="45">
        <v>45241</v>
      </c>
      <c r="B7909" s="399" t="s">
        <v>12092</v>
      </c>
      <c r="C7909" s="5" t="s">
        <v>12656</v>
      </c>
      <c r="D7909" s="124" t="s">
        <v>12655</v>
      </c>
      <c r="E7909" s="43">
        <v>60200</v>
      </c>
      <c r="F7909" s="43"/>
      <c r="G7909" s="241">
        <f t="shared" si="197"/>
        <v>22446.104838709463</v>
      </c>
      <c r="H7909" s="391" t="s">
        <v>9568</v>
      </c>
    </row>
    <row r="7910" spans="1:10" x14ac:dyDescent="0.3">
      <c r="A7910" s="45">
        <v>45241</v>
      </c>
      <c r="B7910" s="399" t="s">
        <v>12098</v>
      </c>
      <c r="C7910" s="5" t="s">
        <v>26</v>
      </c>
      <c r="D7910" s="124" t="s">
        <v>12653</v>
      </c>
      <c r="E7910" s="43">
        <v>5000</v>
      </c>
      <c r="F7910" s="43"/>
      <c r="G7910" s="241">
        <f>G7909+F7910-E7910</f>
        <v>17446.104838709463</v>
      </c>
      <c r="H7910" s="391" t="s">
        <v>9568</v>
      </c>
    </row>
    <row r="7911" spans="1:10" x14ac:dyDescent="0.3">
      <c r="A7911" s="45">
        <v>45241</v>
      </c>
      <c r="B7911" s="399" t="s">
        <v>12138</v>
      </c>
      <c r="C7911" s="5" t="s">
        <v>11194</v>
      </c>
      <c r="D7911" s="124" t="s">
        <v>12654</v>
      </c>
      <c r="E7911" s="43">
        <v>16000</v>
      </c>
      <c r="F7911" s="43"/>
      <c r="G7911" s="241">
        <f t="shared" si="197"/>
        <v>1446.1048387094634</v>
      </c>
      <c r="H7911" s="391" t="s">
        <v>9568</v>
      </c>
    </row>
    <row r="7912" spans="1:10" x14ac:dyDescent="0.3">
      <c r="A7912" s="45">
        <v>45241</v>
      </c>
      <c r="B7912" s="399" t="s">
        <v>10333</v>
      </c>
      <c r="C7912" s="5" t="s">
        <v>8924</v>
      </c>
      <c r="D7912" s="124" t="s">
        <v>40</v>
      </c>
      <c r="E7912" s="43">
        <v>500</v>
      </c>
      <c r="F7912" s="43"/>
      <c r="G7912" s="241">
        <f t="shared" si="197"/>
        <v>946.10483870946337</v>
      </c>
      <c r="H7912" s="391" t="s">
        <v>9568</v>
      </c>
    </row>
    <row r="7913" spans="1:10" x14ac:dyDescent="0.3">
      <c r="A7913" s="45">
        <v>45243</v>
      </c>
      <c r="B7913" s="586"/>
      <c r="C7913" s="486"/>
      <c r="D7913" s="497" t="s">
        <v>4106</v>
      </c>
      <c r="E7913" s="486"/>
      <c r="F7913" s="28">
        <v>300000</v>
      </c>
      <c r="G7913" s="241">
        <f t="shared" si="197"/>
        <v>300946.10483870946</v>
      </c>
      <c r="H7913" s="391" t="s">
        <v>9568</v>
      </c>
    </row>
    <row r="7914" spans="1:10" x14ac:dyDescent="0.3">
      <c r="A7914" s="45">
        <v>45243</v>
      </c>
      <c r="B7914" s="399" t="s">
        <v>12640</v>
      </c>
      <c r="C7914" s="5" t="s">
        <v>5288</v>
      </c>
      <c r="D7914" s="124" t="s">
        <v>12058</v>
      </c>
      <c r="E7914" s="43">
        <v>50000</v>
      </c>
      <c r="F7914" s="43"/>
      <c r="G7914" s="241">
        <f t="shared" si="197"/>
        <v>250946.10483870946</v>
      </c>
      <c r="H7914" s="391" t="s">
        <v>9568</v>
      </c>
      <c r="I7914" s="52">
        <v>5100</v>
      </c>
      <c r="J7914" s="52">
        <f>I7914*1.18</f>
        <v>6018</v>
      </c>
    </row>
    <row r="7915" spans="1:10" x14ac:dyDescent="0.3">
      <c r="A7915" s="45">
        <v>45243</v>
      </c>
      <c r="B7915" s="399" t="s">
        <v>12138</v>
      </c>
      <c r="C7915" s="5" t="s">
        <v>12663</v>
      </c>
      <c r="D7915" s="124" t="s">
        <v>294</v>
      </c>
      <c r="E7915" s="43">
        <v>100000</v>
      </c>
      <c r="F7915" s="43"/>
      <c r="G7915" s="241">
        <f t="shared" si="197"/>
        <v>150946.10483870946</v>
      </c>
      <c r="H7915" s="391" t="s">
        <v>9568</v>
      </c>
      <c r="I7915" s="52">
        <v>63750</v>
      </c>
      <c r="J7915" s="52">
        <f>I7915*1.18</f>
        <v>75225</v>
      </c>
    </row>
    <row r="7916" spans="1:10" x14ac:dyDescent="0.3">
      <c r="A7916" s="45">
        <v>45243</v>
      </c>
      <c r="B7916" s="399" t="s">
        <v>12506</v>
      </c>
      <c r="C7916" s="5" t="s">
        <v>11194</v>
      </c>
      <c r="D7916" s="124" t="s">
        <v>12664</v>
      </c>
      <c r="E7916" s="43">
        <v>40000</v>
      </c>
      <c r="F7916" s="43"/>
      <c r="G7916" s="241">
        <f t="shared" si="197"/>
        <v>110946.10483870946</v>
      </c>
      <c r="H7916" s="391" t="s">
        <v>9568</v>
      </c>
    </row>
    <row r="7917" spans="1:10" x14ac:dyDescent="0.3">
      <c r="A7917" s="45">
        <v>45243</v>
      </c>
      <c r="B7917" s="399" t="s">
        <v>12506</v>
      </c>
      <c r="C7917" s="5" t="s">
        <v>11194</v>
      </c>
      <c r="D7917" s="124" t="s">
        <v>12665</v>
      </c>
      <c r="E7917" s="43">
        <v>8600</v>
      </c>
      <c r="F7917" s="43"/>
      <c r="G7917" s="241">
        <f t="shared" si="197"/>
        <v>102346.10483870946</v>
      </c>
      <c r="H7917" s="391" t="s">
        <v>9568</v>
      </c>
    </row>
    <row r="7918" spans="1:10" x14ac:dyDescent="0.3">
      <c r="A7918" s="45">
        <v>45243</v>
      </c>
      <c r="B7918" s="399" t="s">
        <v>12506</v>
      </c>
      <c r="C7918" s="5" t="s">
        <v>11194</v>
      </c>
      <c r="D7918" s="124" t="s">
        <v>12664</v>
      </c>
      <c r="E7918" s="43">
        <v>46500</v>
      </c>
      <c r="F7918" s="43"/>
      <c r="G7918" s="241">
        <f t="shared" si="197"/>
        <v>55846.104838709463</v>
      </c>
      <c r="H7918" s="391" t="s">
        <v>9568</v>
      </c>
    </row>
    <row r="7919" spans="1:10" x14ac:dyDescent="0.3">
      <c r="A7919" s="45">
        <v>45243</v>
      </c>
      <c r="B7919" s="399" t="s">
        <v>12615</v>
      </c>
      <c r="C7919" s="5" t="s">
        <v>5793</v>
      </c>
      <c r="D7919" s="124" t="s">
        <v>40</v>
      </c>
      <c r="E7919" s="43">
        <v>1500</v>
      </c>
      <c r="F7919" s="43"/>
      <c r="G7919" s="241">
        <f t="shared" si="197"/>
        <v>54346.104838709463</v>
      </c>
      <c r="H7919" s="391" t="s">
        <v>9568</v>
      </c>
    </row>
    <row r="7920" spans="1:10" x14ac:dyDescent="0.3">
      <c r="A7920" s="45">
        <v>45243</v>
      </c>
      <c r="B7920" s="399" t="s">
        <v>12138</v>
      </c>
      <c r="C7920" s="5" t="s">
        <v>5793</v>
      </c>
      <c r="D7920" s="124" t="s">
        <v>40</v>
      </c>
      <c r="E7920" s="43">
        <v>1600</v>
      </c>
      <c r="F7920" s="43"/>
      <c r="G7920" s="241">
        <f t="shared" si="197"/>
        <v>52746.104838709463</v>
      </c>
      <c r="H7920" s="391" t="s">
        <v>9568</v>
      </c>
    </row>
    <row r="7921" spans="1:10" x14ac:dyDescent="0.3">
      <c r="A7921" s="45">
        <v>45243</v>
      </c>
      <c r="B7921" s="399" t="s">
        <v>12088</v>
      </c>
      <c r="C7921" s="5" t="s">
        <v>5793</v>
      </c>
      <c r="D7921" s="124" t="s">
        <v>40</v>
      </c>
      <c r="E7921" s="43">
        <v>1600</v>
      </c>
      <c r="F7921" s="43"/>
      <c r="G7921" s="241">
        <f t="shared" si="197"/>
        <v>51146.104838709463</v>
      </c>
      <c r="H7921" s="391" t="s">
        <v>9568</v>
      </c>
    </row>
    <row r="7922" spans="1:10" x14ac:dyDescent="0.3">
      <c r="A7922" s="45">
        <v>45243</v>
      </c>
      <c r="B7922" s="586"/>
      <c r="C7922" s="486"/>
      <c r="D7922" s="497" t="s">
        <v>12775</v>
      </c>
      <c r="E7922" s="486"/>
      <c r="F7922" s="28">
        <v>50000</v>
      </c>
      <c r="G7922" s="241">
        <f t="shared" si="197"/>
        <v>101146.10483870946</v>
      </c>
      <c r="H7922" s="391" t="s">
        <v>9568</v>
      </c>
    </row>
    <row r="7923" spans="1:10" x14ac:dyDescent="0.3">
      <c r="A7923" s="45">
        <v>45243</v>
      </c>
      <c r="B7923" s="399" t="s">
        <v>12092</v>
      </c>
      <c r="C7923" s="5" t="s">
        <v>5793</v>
      </c>
      <c r="D7923" s="124" t="s">
        <v>40</v>
      </c>
      <c r="E7923" s="43">
        <v>2000</v>
      </c>
      <c r="F7923" s="43"/>
      <c r="G7923" s="241">
        <f t="shared" ref="G7923" si="198">G7922+F7923-E7923</f>
        <v>99146.104838709463</v>
      </c>
      <c r="H7923" s="391" t="s">
        <v>9568</v>
      </c>
    </row>
    <row r="7924" spans="1:10" x14ac:dyDescent="0.3">
      <c r="A7924" s="45">
        <v>45243</v>
      </c>
      <c r="B7924" s="399" t="s">
        <v>11528</v>
      </c>
      <c r="C7924" s="5" t="s">
        <v>9044</v>
      </c>
      <c r="D7924" s="124" t="s">
        <v>12669</v>
      </c>
      <c r="E7924" s="43">
        <v>20000</v>
      </c>
      <c r="F7924" s="43"/>
      <c r="G7924" s="241">
        <f>G7923+F7924-E7924</f>
        <v>79146.104838709463</v>
      </c>
      <c r="H7924" s="391" t="s">
        <v>9568</v>
      </c>
    </row>
    <row r="7925" spans="1:10" x14ac:dyDescent="0.3">
      <c r="A7925" s="45">
        <v>45243</v>
      </c>
      <c r="B7925" s="399" t="s">
        <v>12138</v>
      </c>
      <c r="C7925" s="5" t="s">
        <v>11194</v>
      </c>
      <c r="D7925" s="124" t="s">
        <v>12670</v>
      </c>
      <c r="E7925" s="43">
        <v>58000</v>
      </c>
      <c r="F7925" s="43"/>
      <c r="G7925" s="241">
        <f>G7924+F7925-E7925</f>
        <v>21146.104838709463</v>
      </c>
      <c r="H7925" s="391" t="s">
        <v>9568</v>
      </c>
    </row>
    <row r="7926" spans="1:10" x14ac:dyDescent="0.3">
      <c r="A7926" s="45">
        <v>45243</v>
      </c>
      <c r="B7926" s="399" t="s">
        <v>12506</v>
      </c>
      <c r="C7926" s="5" t="s">
        <v>5793</v>
      </c>
      <c r="D7926" s="124" t="s">
        <v>40</v>
      </c>
      <c r="E7926" s="43">
        <v>1000</v>
      </c>
      <c r="F7926" s="43"/>
      <c r="G7926" s="241">
        <f t="shared" ref="G7926:G7962" si="199">G7925+F7926-E7926</f>
        <v>20146.104838709463</v>
      </c>
      <c r="H7926" s="391" t="s">
        <v>9568</v>
      </c>
    </row>
    <row r="7927" spans="1:10" x14ac:dyDescent="0.3">
      <c r="A7927" s="45">
        <v>45243</v>
      </c>
      <c r="B7927" s="399" t="s">
        <v>12138</v>
      </c>
      <c r="C7927" s="5" t="s">
        <v>5793</v>
      </c>
      <c r="D7927" s="124" t="s">
        <v>40</v>
      </c>
      <c r="E7927" s="43">
        <v>1600</v>
      </c>
      <c r="F7927" s="43"/>
      <c r="G7927" s="241">
        <f t="shared" si="199"/>
        <v>18546.104838709463</v>
      </c>
      <c r="H7927" s="391" t="s">
        <v>9568</v>
      </c>
    </row>
    <row r="7928" spans="1:10" x14ac:dyDescent="0.3">
      <c r="A7928" s="45">
        <v>45243</v>
      </c>
      <c r="B7928" s="399" t="s">
        <v>12138</v>
      </c>
      <c r="C7928" s="5" t="s">
        <v>9756</v>
      </c>
      <c r="D7928" s="124" t="s">
        <v>12667</v>
      </c>
      <c r="E7928" s="43">
        <v>20000</v>
      </c>
      <c r="F7928" s="43"/>
      <c r="G7928" s="241">
        <f t="shared" si="199"/>
        <v>-1453.8951612905366</v>
      </c>
      <c r="H7928" s="391" t="s">
        <v>9568</v>
      </c>
    </row>
    <row r="7929" spans="1:10" x14ac:dyDescent="0.3">
      <c r="A7929" s="45">
        <v>45243</v>
      </c>
      <c r="B7929" s="586"/>
      <c r="C7929" s="486"/>
      <c r="D7929" s="497" t="s">
        <v>12020</v>
      </c>
      <c r="E7929" s="486"/>
      <c r="F7929" s="28">
        <v>25000</v>
      </c>
      <c r="G7929" s="241">
        <f t="shared" si="199"/>
        <v>23546.104838709463</v>
      </c>
      <c r="H7929" s="391" t="s">
        <v>9568</v>
      </c>
    </row>
    <row r="7930" spans="1:10" x14ac:dyDescent="0.3">
      <c r="A7930" s="45">
        <v>45243</v>
      </c>
      <c r="B7930" s="399" t="s">
        <v>12678</v>
      </c>
      <c r="C7930" s="5" t="s">
        <v>6430</v>
      </c>
      <c r="D7930" s="124" t="s">
        <v>294</v>
      </c>
      <c r="E7930" s="43">
        <v>22000</v>
      </c>
      <c r="F7930" s="43"/>
      <c r="G7930" s="241">
        <f t="shared" si="199"/>
        <v>1546.1048387094634</v>
      </c>
      <c r="H7930" s="391" t="s">
        <v>9568</v>
      </c>
      <c r="J7930" s="169"/>
    </row>
    <row r="7931" spans="1:10" x14ac:dyDescent="0.3">
      <c r="A7931" s="45">
        <v>45244</v>
      </c>
      <c r="B7931" s="586"/>
      <c r="C7931" s="486"/>
      <c r="D7931" s="497" t="s">
        <v>7348</v>
      </c>
      <c r="E7931" s="486"/>
      <c r="F7931" s="28">
        <v>100000</v>
      </c>
      <c r="G7931" s="241">
        <f t="shared" si="199"/>
        <v>101546.10483870946</v>
      </c>
      <c r="H7931" s="391" t="s">
        <v>9568</v>
      </c>
    </row>
    <row r="7932" spans="1:10" x14ac:dyDescent="0.3">
      <c r="A7932" s="45">
        <v>45244</v>
      </c>
      <c r="B7932" s="399" t="s">
        <v>12191</v>
      </c>
      <c r="C7932" s="5" t="s">
        <v>12675</v>
      </c>
      <c r="D7932" s="124" t="s">
        <v>49</v>
      </c>
      <c r="E7932" s="43">
        <v>10000</v>
      </c>
      <c r="F7932" s="43"/>
      <c r="G7932" s="241">
        <f t="shared" si="199"/>
        <v>91546.104838709463</v>
      </c>
      <c r="H7932" s="391" t="s">
        <v>9568</v>
      </c>
      <c r="J7932" s="169"/>
    </row>
    <row r="7933" spans="1:10" x14ac:dyDescent="0.3">
      <c r="A7933" s="45">
        <v>45244</v>
      </c>
      <c r="B7933" s="399"/>
      <c r="C7933" s="5" t="s">
        <v>14</v>
      </c>
      <c r="D7933" s="124" t="s">
        <v>12272</v>
      </c>
      <c r="E7933" s="43">
        <v>19000</v>
      </c>
      <c r="F7933" s="43"/>
      <c r="G7933" s="241">
        <f t="shared" si="199"/>
        <v>72546.104838709463</v>
      </c>
      <c r="H7933" s="391" t="s">
        <v>9568</v>
      </c>
      <c r="J7933" s="169"/>
    </row>
    <row r="7934" spans="1:10" x14ac:dyDescent="0.3">
      <c r="A7934" s="45">
        <v>45244</v>
      </c>
      <c r="B7934" s="399" t="s">
        <v>12189</v>
      </c>
      <c r="C7934" s="5" t="s">
        <v>11194</v>
      </c>
      <c r="D7934" s="124" t="s">
        <v>12679</v>
      </c>
      <c r="E7934" s="43">
        <v>1500</v>
      </c>
      <c r="F7934" s="43"/>
      <c r="G7934" s="241">
        <f t="shared" si="199"/>
        <v>71046.104838709463</v>
      </c>
      <c r="H7934" s="391" t="s">
        <v>9568</v>
      </c>
      <c r="J7934" s="169"/>
    </row>
    <row r="7935" spans="1:10" x14ac:dyDescent="0.3">
      <c r="A7935" s="45">
        <v>45244</v>
      </c>
      <c r="B7935" s="399" t="s">
        <v>12093</v>
      </c>
      <c r="C7935" s="5" t="s">
        <v>11194</v>
      </c>
      <c r="D7935" s="124" t="s">
        <v>12680</v>
      </c>
      <c r="E7935" s="43">
        <v>750</v>
      </c>
      <c r="F7935" s="43"/>
      <c r="G7935" s="241">
        <f t="shared" si="199"/>
        <v>70296.104838709463</v>
      </c>
      <c r="H7935" s="391" t="s">
        <v>9568</v>
      </c>
    </row>
    <row r="7936" spans="1:10" x14ac:dyDescent="0.3">
      <c r="A7936" s="45">
        <v>45244</v>
      </c>
      <c r="B7936" s="399" t="s">
        <v>12093</v>
      </c>
      <c r="C7936" s="5" t="s">
        <v>11194</v>
      </c>
      <c r="D7936" s="124" t="s">
        <v>12681</v>
      </c>
      <c r="E7936" s="43">
        <v>1500</v>
      </c>
      <c r="F7936" s="43"/>
      <c r="G7936" s="241">
        <f t="shared" si="199"/>
        <v>68796.104838709463</v>
      </c>
      <c r="H7936" s="391" t="s">
        <v>9568</v>
      </c>
    </row>
    <row r="7937" spans="1:8" x14ac:dyDescent="0.3">
      <c r="A7937" s="45">
        <v>45244</v>
      </c>
      <c r="B7937" s="399" t="s">
        <v>12189</v>
      </c>
      <c r="C7937" s="5" t="s">
        <v>5162</v>
      </c>
      <c r="D7937" s="124" t="s">
        <v>294</v>
      </c>
      <c r="E7937" s="43">
        <v>4000</v>
      </c>
      <c r="F7937" s="43"/>
      <c r="G7937" s="241">
        <f t="shared" si="199"/>
        <v>64796.104838709463</v>
      </c>
      <c r="H7937" s="391" t="s">
        <v>9568</v>
      </c>
    </row>
    <row r="7938" spans="1:8" x14ac:dyDescent="0.3">
      <c r="A7938" s="45">
        <v>45244</v>
      </c>
      <c r="B7938" s="399" t="s">
        <v>12189</v>
      </c>
      <c r="C7938" s="5" t="s">
        <v>84</v>
      </c>
      <c r="D7938" s="124" t="s">
        <v>12677</v>
      </c>
      <c r="E7938" s="43">
        <v>1000</v>
      </c>
      <c r="F7938" s="43"/>
      <c r="G7938" s="241">
        <f t="shared" si="199"/>
        <v>63796.104838709463</v>
      </c>
      <c r="H7938" s="391" t="s">
        <v>9568</v>
      </c>
    </row>
    <row r="7939" spans="1:8" x14ac:dyDescent="0.3">
      <c r="A7939" s="45">
        <v>45244</v>
      </c>
      <c r="B7939" s="589" t="s">
        <v>25</v>
      </c>
      <c r="C7939" s="44" t="s">
        <v>25</v>
      </c>
      <c r="D7939" s="44" t="s">
        <v>11455</v>
      </c>
      <c r="E7939" s="43">
        <v>4000</v>
      </c>
      <c r="F7939" s="43"/>
      <c r="G7939" s="241">
        <f t="shared" si="199"/>
        <v>59796.104838709463</v>
      </c>
      <c r="H7939" s="391" t="s">
        <v>9568</v>
      </c>
    </row>
    <row r="7940" spans="1:8" x14ac:dyDescent="0.3">
      <c r="A7940" s="45">
        <v>45244</v>
      </c>
      <c r="B7940" s="399" t="s">
        <v>12138</v>
      </c>
      <c r="C7940" s="5" t="s">
        <v>5793</v>
      </c>
      <c r="D7940" s="124" t="s">
        <v>40</v>
      </c>
      <c r="E7940" s="43">
        <v>800</v>
      </c>
      <c r="F7940" s="43"/>
      <c r="G7940" s="241">
        <f t="shared" si="199"/>
        <v>58996.104838709463</v>
      </c>
      <c r="H7940" s="391" t="s">
        <v>9568</v>
      </c>
    </row>
    <row r="7941" spans="1:8" x14ac:dyDescent="0.3">
      <c r="A7941" s="45">
        <v>45244</v>
      </c>
      <c r="B7941" s="399" t="s">
        <v>12138</v>
      </c>
      <c r="C7941" s="5" t="s">
        <v>5793</v>
      </c>
      <c r="D7941" s="124" t="s">
        <v>40</v>
      </c>
      <c r="E7941" s="43">
        <v>2000</v>
      </c>
      <c r="F7941" s="43"/>
      <c r="G7941" s="241">
        <f t="shared" si="199"/>
        <v>56996.104838709463</v>
      </c>
      <c r="H7941" s="391" t="s">
        <v>9568</v>
      </c>
    </row>
    <row r="7942" spans="1:8" x14ac:dyDescent="0.3">
      <c r="A7942" s="45">
        <v>45244</v>
      </c>
      <c r="B7942" s="399" t="s">
        <v>12138</v>
      </c>
      <c r="C7942" s="5" t="s">
        <v>5793</v>
      </c>
      <c r="D7942" s="124" t="s">
        <v>8924</v>
      </c>
      <c r="E7942" s="43">
        <v>950</v>
      </c>
      <c r="F7942" s="43"/>
      <c r="G7942" s="241">
        <f t="shared" si="199"/>
        <v>56046.104838709463</v>
      </c>
      <c r="H7942" s="391" t="s">
        <v>9568</v>
      </c>
    </row>
    <row r="7943" spans="1:8" x14ac:dyDescent="0.3">
      <c r="A7943" s="45">
        <v>45244</v>
      </c>
      <c r="B7943" s="399" t="s">
        <v>12138</v>
      </c>
      <c r="C7943" s="5" t="s">
        <v>11194</v>
      </c>
      <c r="D7943" s="124" t="s">
        <v>12684</v>
      </c>
      <c r="E7943" s="43">
        <v>1200</v>
      </c>
      <c r="F7943" s="43"/>
      <c r="G7943" s="241">
        <f t="shared" si="199"/>
        <v>54846.104838709463</v>
      </c>
      <c r="H7943" s="391" t="s">
        <v>9568</v>
      </c>
    </row>
    <row r="7944" spans="1:8" x14ac:dyDescent="0.3">
      <c r="A7944" s="45">
        <v>45244</v>
      </c>
      <c r="B7944" s="399" t="s">
        <v>12088</v>
      </c>
      <c r="C7944" s="5" t="s">
        <v>5793</v>
      </c>
      <c r="D7944" s="124" t="s">
        <v>40</v>
      </c>
      <c r="E7944" s="43">
        <v>3000</v>
      </c>
      <c r="F7944" s="43"/>
      <c r="G7944" s="241">
        <f t="shared" si="199"/>
        <v>51846.104838709463</v>
      </c>
      <c r="H7944" s="391" t="s">
        <v>9568</v>
      </c>
    </row>
    <row r="7945" spans="1:8" x14ac:dyDescent="0.3">
      <c r="A7945" s="45">
        <v>45244</v>
      </c>
      <c r="B7945" s="399" t="s">
        <v>12640</v>
      </c>
      <c r="C7945" s="5" t="s">
        <v>11194</v>
      </c>
      <c r="D7945" s="124" t="s">
        <v>12685</v>
      </c>
      <c r="E7945" s="43">
        <v>11200</v>
      </c>
      <c r="F7945" s="43"/>
      <c r="G7945" s="241">
        <f t="shared" si="199"/>
        <v>40646.104838709463</v>
      </c>
      <c r="H7945" s="391" t="s">
        <v>9568</v>
      </c>
    </row>
    <row r="7946" spans="1:8" x14ac:dyDescent="0.3">
      <c r="A7946" s="45">
        <v>45245</v>
      </c>
      <c r="B7946" s="399"/>
      <c r="C7946" s="5" t="s">
        <v>84</v>
      </c>
      <c r="D7946" s="124" t="s">
        <v>12683</v>
      </c>
      <c r="E7946" s="43">
        <v>1000</v>
      </c>
      <c r="F7946" s="43"/>
      <c r="G7946" s="241">
        <f t="shared" si="199"/>
        <v>39646.104838709463</v>
      </c>
      <c r="H7946" s="391" t="s">
        <v>9568</v>
      </c>
    </row>
    <row r="7947" spans="1:8" x14ac:dyDescent="0.3">
      <c r="A7947" s="45">
        <v>45245</v>
      </c>
      <c r="B7947" s="399" t="s">
        <v>12287</v>
      </c>
      <c r="C7947" s="5" t="s">
        <v>26</v>
      </c>
      <c r="D7947" s="124" t="s">
        <v>6169</v>
      </c>
      <c r="E7947" s="43">
        <v>1500</v>
      </c>
      <c r="F7947" s="43"/>
      <c r="G7947" s="241">
        <f t="shared" si="199"/>
        <v>38146.104838709463</v>
      </c>
      <c r="H7947" s="391" t="s">
        <v>9568</v>
      </c>
    </row>
    <row r="7948" spans="1:8" x14ac:dyDescent="0.3">
      <c r="A7948" s="45">
        <v>45245</v>
      </c>
      <c r="B7948" s="586"/>
      <c r="C7948" s="486"/>
      <c r="D7948" s="497" t="s">
        <v>7348</v>
      </c>
      <c r="E7948" s="486"/>
      <c r="F7948" s="28">
        <v>100000</v>
      </c>
      <c r="G7948" s="241">
        <f t="shared" si="199"/>
        <v>138146.10483870946</v>
      </c>
      <c r="H7948" s="391" t="s">
        <v>9568</v>
      </c>
    </row>
    <row r="7949" spans="1:8" x14ac:dyDescent="0.3">
      <c r="A7949" s="45">
        <v>45245</v>
      </c>
      <c r="B7949" s="399" t="s">
        <v>12388</v>
      </c>
      <c r="C7949" s="5" t="s">
        <v>11888</v>
      </c>
      <c r="D7949" s="124" t="s">
        <v>582</v>
      </c>
      <c r="E7949" s="43">
        <v>50000</v>
      </c>
      <c r="F7949" s="43"/>
      <c r="G7949" s="241">
        <f t="shared" si="199"/>
        <v>88146.104838709463</v>
      </c>
      <c r="H7949" s="391" t="s">
        <v>9568</v>
      </c>
    </row>
    <row r="7950" spans="1:8" x14ac:dyDescent="0.3">
      <c r="A7950" s="45">
        <v>45245</v>
      </c>
      <c r="B7950" s="399" t="s">
        <v>12138</v>
      </c>
      <c r="C7950" s="5" t="s">
        <v>5793</v>
      </c>
      <c r="D7950" s="124" t="s">
        <v>40</v>
      </c>
      <c r="E7950" s="43">
        <v>3000</v>
      </c>
      <c r="F7950" s="43"/>
      <c r="G7950" s="241">
        <f t="shared" si="199"/>
        <v>85146.104838709463</v>
      </c>
      <c r="H7950" s="391" t="s">
        <v>9568</v>
      </c>
    </row>
    <row r="7951" spans="1:8" x14ac:dyDescent="0.3">
      <c r="A7951" s="45">
        <v>45245</v>
      </c>
      <c r="B7951" s="589" t="s">
        <v>25</v>
      </c>
      <c r="C7951" s="44" t="s">
        <v>25</v>
      </c>
      <c r="D7951" s="44" t="s">
        <v>11455</v>
      </c>
      <c r="E7951" s="43">
        <v>4000</v>
      </c>
      <c r="F7951" s="43"/>
      <c r="G7951" s="241">
        <f t="shared" si="199"/>
        <v>81146.104838709463</v>
      </c>
      <c r="H7951" s="391" t="s">
        <v>9568</v>
      </c>
    </row>
    <row r="7952" spans="1:8" x14ac:dyDescent="0.3">
      <c r="A7952" s="45">
        <v>45245</v>
      </c>
      <c r="B7952" s="399" t="s">
        <v>12138</v>
      </c>
      <c r="C7952" s="5" t="s">
        <v>11194</v>
      </c>
      <c r="D7952" s="124" t="s">
        <v>12686</v>
      </c>
      <c r="E7952" s="43">
        <v>15000</v>
      </c>
      <c r="F7952" s="43"/>
      <c r="G7952" s="241">
        <f t="shared" si="199"/>
        <v>66146.104838709463</v>
      </c>
      <c r="H7952" s="391" t="s">
        <v>9568</v>
      </c>
    </row>
    <row r="7953" spans="1:8" x14ac:dyDescent="0.3">
      <c r="A7953" s="45">
        <v>45245</v>
      </c>
      <c r="B7953" s="399" t="s">
        <v>12138</v>
      </c>
      <c r="C7953" s="5" t="s">
        <v>11194</v>
      </c>
      <c r="D7953" s="124" t="s">
        <v>12685</v>
      </c>
      <c r="E7953" s="43">
        <v>13500</v>
      </c>
      <c r="F7953" s="43"/>
      <c r="G7953" s="241">
        <f t="shared" si="199"/>
        <v>52646.104838709463</v>
      </c>
      <c r="H7953" s="391" t="s">
        <v>9568</v>
      </c>
    </row>
    <row r="7954" spans="1:8" x14ac:dyDescent="0.3">
      <c r="A7954" s="45">
        <v>45245</v>
      </c>
      <c r="B7954" s="399" t="s">
        <v>12138</v>
      </c>
      <c r="C7954" s="5" t="s">
        <v>11194</v>
      </c>
      <c r="D7954" s="124" t="s">
        <v>12687</v>
      </c>
      <c r="E7954" s="43">
        <v>7200</v>
      </c>
      <c r="F7954" s="43"/>
      <c r="G7954" s="241">
        <f t="shared" si="199"/>
        <v>45446.104838709463</v>
      </c>
      <c r="H7954" s="391" t="s">
        <v>9568</v>
      </c>
    </row>
    <row r="7955" spans="1:8" x14ac:dyDescent="0.3">
      <c r="A7955" s="45">
        <v>45245</v>
      </c>
      <c r="B7955" s="399" t="s">
        <v>12088</v>
      </c>
      <c r="C7955" s="5" t="s">
        <v>11194</v>
      </c>
      <c r="D7955" s="124" t="s">
        <v>12688</v>
      </c>
      <c r="E7955" s="43">
        <v>600</v>
      </c>
      <c r="F7955" s="43"/>
      <c r="G7955" s="241">
        <f t="shared" si="199"/>
        <v>44846.104838709463</v>
      </c>
      <c r="H7955" s="391" t="s">
        <v>9568</v>
      </c>
    </row>
    <row r="7956" spans="1:8" x14ac:dyDescent="0.3">
      <c r="A7956" s="45">
        <v>45245</v>
      </c>
      <c r="B7956" s="399" t="s">
        <v>12138</v>
      </c>
      <c r="C7956" s="5" t="s">
        <v>11194</v>
      </c>
      <c r="D7956" s="124" t="s">
        <v>12689</v>
      </c>
      <c r="E7956" s="43">
        <v>2250</v>
      </c>
      <c r="F7956" s="43"/>
      <c r="G7956" s="241">
        <f t="shared" si="199"/>
        <v>42596.104838709463</v>
      </c>
      <c r="H7956" s="391" t="s">
        <v>9568</v>
      </c>
    </row>
    <row r="7957" spans="1:8" x14ac:dyDescent="0.3">
      <c r="A7957" s="45">
        <v>45245</v>
      </c>
      <c r="B7957" s="399"/>
      <c r="C7957" s="5" t="s">
        <v>14</v>
      </c>
      <c r="D7957" s="124" t="s">
        <v>294</v>
      </c>
      <c r="E7957" s="43">
        <v>1000</v>
      </c>
      <c r="F7957" s="43"/>
      <c r="G7957" s="241">
        <f t="shared" si="199"/>
        <v>41596.104838709463</v>
      </c>
      <c r="H7957" s="391" t="s">
        <v>9568</v>
      </c>
    </row>
    <row r="7958" spans="1:8" x14ac:dyDescent="0.3">
      <c r="A7958" s="45">
        <v>45245</v>
      </c>
      <c r="B7958" s="399" t="s">
        <v>12618</v>
      </c>
      <c r="C7958" s="5" t="s">
        <v>8863</v>
      </c>
      <c r="D7958" s="124" t="s">
        <v>294</v>
      </c>
      <c r="E7958" s="43">
        <v>15000</v>
      </c>
      <c r="F7958" s="43"/>
      <c r="G7958" s="241">
        <f t="shared" si="199"/>
        <v>26596.104838709463</v>
      </c>
      <c r="H7958" s="391" t="s">
        <v>9568</v>
      </c>
    </row>
    <row r="7959" spans="1:8" x14ac:dyDescent="0.3">
      <c r="A7959" s="45">
        <v>45245</v>
      </c>
      <c r="B7959" s="399" t="s">
        <v>12640</v>
      </c>
      <c r="C7959" s="5" t="s">
        <v>5793</v>
      </c>
      <c r="D7959" s="124" t="s">
        <v>40</v>
      </c>
      <c r="E7959" s="43">
        <v>3000</v>
      </c>
      <c r="F7959" s="43"/>
      <c r="G7959" s="241">
        <f t="shared" si="199"/>
        <v>23596.104838709463</v>
      </c>
      <c r="H7959" s="391" t="s">
        <v>9568</v>
      </c>
    </row>
    <row r="7960" spans="1:8" x14ac:dyDescent="0.3">
      <c r="A7960" s="45">
        <v>45246</v>
      </c>
      <c r="B7960" s="399" t="s">
        <v>12287</v>
      </c>
      <c r="C7960" s="5" t="s">
        <v>1074</v>
      </c>
      <c r="D7960" s="124" t="s">
        <v>12690</v>
      </c>
      <c r="E7960" s="43">
        <f>700+1300</f>
        <v>2000</v>
      </c>
      <c r="F7960" s="43"/>
      <c r="G7960" s="241">
        <f t="shared" si="199"/>
        <v>21596.104838709463</v>
      </c>
      <c r="H7960" s="391" t="s">
        <v>9568</v>
      </c>
    </row>
    <row r="7961" spans="1:8" x14ac:dyDescent="0.3">
      <c r="A7961" s="45">
        <v>45246</v>
      </c>
      <c r="B7961" s="399" t="s">
        <v>25</v>
      </c>
      <c r="C7961" s="5" t="s">
        <v>1074</v>
      </c>
      <c r="D7961" s="124" t="s">
        <v>12690</v>
      </c>
      <c r="E7961" s="43">
        <f>5000+3700</f>
        <v>8700</v>
      </c>
      <c r="F7961" s="43"/>
      <c r="G7961" s="241">
        <f t="shared" si="199"/>
        <v>12896.104838709463</v>
      </c>
      <c r="H7961" s="391" t="s">
        <v>9568</v>
      </c>
    </row>
    <row r="7962" spans="1:8" x14ac:dyDescent="0.3">
      <c r="A7962" s="45">
        <v>45246</v>
      </c>
      <c r="B7962" s="399" t="s">
        <v>12092</v>
      </c>
      <c r="C7962" s="5" t="s">
        <v>8924</v>
      </c>
      <c r="D7962" s="124" t="s">
        <v>40</v>
      </c>
      <c r="E7962" s="43">
        <v>350</v>
      </c>
      <c r="F7962" s="43"/>
      <c r="G7962" s="241">
        <f t="shared" si="199"/>
        <v>12546.104838709463</v>
      </c>
      <c r="H7962" s="391" t="s">
        <v>9568</v>
      </c>
    </row>
    <row r="7963" spans="1:8" x14ac:dyDescent="0.3">
      <c r="A7963" s="45">
        <v>45246</v>
      </c>
      <c r="B7963" s="586"/>
      <c r="C7963" s="486"/>
      <c r="D7963" s="497" t="s">
        <v>7348</v>
      </c>
      <c r="E7963" s="486"/>
      <c r="F7963" s="28">
        <v>100000</v>
      </c>
      <c r="G7963" s="241">
        <f t="shared" ref="G7963:G8033" si="200">G7962+F7963-E7963</f>
        <v>112546.10483870946</v>
      </c>
      <c r="H7963" s="391" t="s">
        <v>9568</v>
      </c>
    </row>
    <row r="7964" spans="1:8" x14ac:dyDescent="0.3">
      <c r="A7964" s="45">
        <v>45247</v>
      </c>
      <c r="B7964" s="399" t="s">
        <v>12191</v>
      </c>
      <c r="C7964" s="5" t="s">
        <v>12675</v>
      </c>
      <c r="D7964" s="124" t="s">
        <v>49</v>
      </c>
      <c r="E7964" s="43">
        <v>10000</v>
      </c>
      <c r="F7964" s="43"/>
      <c r="G7964" s="241">
        <f t="shared" si="200"/>
        <v>102546.10483870946</v>
      </c>
      <c r="H7964" s="391" t="s">
        <v>9568</v>
      </c>
    </row>
    <row r="7965" spans="1:8" x14ac:dyDescent="0.3">
      <c r="A7965" s="45">
        <v>45247</v>
      </c>
      <c r="B7965" s="399" t="s">
        <v>12138</v>
      </c>
      <c r="C7965" s="5" t="s">
        <v>11194</v>
      </c>
      <c r="D7965" s="124" t="s">
        <v>12745</v>
      </c>
      <c r="E7965" s="43">
        <v>65000</v>
      </c>
      <c r="F7965" s="43"/>
      <c r="G7965" s="241">
        <f t="shared" si="200"/>
        <v>37546.104838709463</v>
      </c>
      <c r="H7965" s="391" t="s">
        <v>9568</v>
      </c>
    </row>
    <row r="7966" spans="1:8" x14ac:dyDescent="0.3">
      <c r="A7966" s="45">
        <v>45247</v>
      </c>
      <c r="B7966" s="399" t="s">
        <v>12138</v>
      </c>
      <c r="C7966" s="5" t="s">
        <v>11194</v>
      </c>
      <c r="D7966" s="124" t="s">
        <v>12697</v>
      </c>
      <c r="E7966" s="43">
        <v>4000</v>
      </c>
      <c r="F7966" s="43"/>
      <c r="G7966" s="241">
        <f t="shared" si="200"/>
        <v>33546.104838709463</v>
      </c>
      <c r="H7966" s="391" t="s">
        <v>9568</v>
      </c>
    </row>
    <row r="7967" spans="1:8" x14ac:dyDescent="0.3">
      <c r="A7967" s="45">
        <v>45247</v>
      </c>
      <c r="B7967" s="399" t="s">
        <v>12138</v>
      </c>
      <c r="C7967" s="5" t="s">
        <v>11194</v>
      </c>
      <c r="D7967" s="124" t="s">
        <v>12698</v>
      </c>
      <c r="E7967" s="43">
        <v>11200</v>
      </c>
      <c r="F7967" s="43"/>
      <c r="G7967" s="241">
        <f t="shared" si="200"/>
        <v>22346.104838709463</v>
      </c>
      <c r="H7967" s="391" t="s">
        <v>9568</v>
      </c>
    </row>
    <row r="7968" spans="1:8" x14ac:dyDescent="0.3">
      <c r="A7968" s="45">
        <v>45247</v>
      </c>
      <c r="B7968" s="399" t="s">
        <v>12138</v>
      </c>
      <c r="C7968" s="5" t="s">
        <v>11194</v>
      </c>
      <c r="D7968" s="124" t="s">
        <v>12699</v>
      </c>
      <c r="E7968" s="43">
        <v>5720</v>
      </c>
      <c r="F7968" s="43"/>
      <c r="G7968" s="241">
        <f t="shared" si="200"/>
        <v>16626.104838709463</v>
      </c>
      <c r="H7968" s="391" t="s">
        <v>9568</v>
      </c>
    </row>
    <row r="7969" spans="1:12" x14ac:dyDescent="0.3">
      <c r="A7969" s="45">
        <v>45247</v>
      </c>
      <c r="B7969" s="399" t="s">
        <v>12615</v>
      </c>
      <c r="C7969" s="5" t="s">
        <v>11194</v>
      </c>
      <c r="D7969" s="124" t="s">
        <v>12700</v>
      </c>
      <c r="E7969" s="43">
        <v>6480</v>
      </c>
      <c r="F7969" s="43"/>
      <c r="G7969" s="241">
        <f t="shared" si="200"/>
        <v>10146.104838709463</v>
      </c>
      <c r="H7969" s="391" t="s">
        <v>9568</v>
      </c>
    </row>
    <row r="7970" spans="1:12" x14ac:dyDescent="0.3">
      <c r="A7970" s="45">
        <v>45247</v>
      </c>
      <c r="B7970" s="586"/>
      <c r="C7970" s="486"/>
      <c r="D7970" s="497" t="s">
        <v>7348</v>
      </c>
      <c r="E7970" s="486"/>
      <c r="F7970" s="28">
        <v>200000</v>
      </c>
      <c r="G7970" s="241">
        <f t="shared" si="200"/>
        <v>210146.10483870946</v>
      </c>
      <c r="H7970" s="391" t="s">
        <v>9568</v>
      </c>
    </row>
    <row r="7971" spans="1:12" x14ac:dyDescent="0.3">
      <c r="A7971" s="45">
        <v>45247</v>
      </c>
      <c r="B7971" s="399" t="s">
        <v>12615</v>
      </c>
      <c r="C7971" s="5" t="s">
        <v>10885</v>
      </c>
      <c r="D7971" s="124" t="s">
        <v>12701</v>
      </c>
      <c r="E7971" s="43">
        <v>14400</v>
      </c>
      <c r="F7971" s="43"/>
      <c r="G7971" s="241">
        <f t="shared" si="200"/>
        <v>195746.10483870946</v>
      </c>
      <c r="H7971" s="391" t="s">
        <v>9568</v>
      </c>
    </row>
    <row r="7972" spans="1:12" x14ac:dyDescent="0.3">
      <c r="A7972" s="45">
        <v>45248</v>
      </c>
      <c r="B7972" s="399" t="s">
        <v>12615</v>
      </c>
      <c r="C7972" s="5" t="s">
        <v>5793</v>
      </c>
      <c r="D7972" s="124" t="s">
        <v>40</v>
      </c>
      <c r="E7972" s="43">
        <v>2000</v>
      </c>
      <c r="F7972" s="43"/>
      <c r="G7972" s="241">
        <f t="shared" si="200"/>
        <v>193746.10483870946</v>
      </c>
      <c r="H7972" s="391" t="s">
        <v>9568</v>
      </c>
    </row>
    <row r="7973" spans="1:12" x14ac:dyDescent="0.3">
      <c r="A7973" s="45">
        <v>45248</v>
      </c>
      <c r="B7973" s="399" t="s">
        <v>12138</v>
      </c>
      <c r="C7973" s="5" t="s">
        <v>5793</v>
      </c>
      <c r="D7973" s="124" t="s">
        <v>40</v>
      </c>
      <c r="E7973" s="43">
        <v>1250</v>
      </c>
      <c r="F7973" s="43"/>
      <c r="G7973" s="241">
        <f t="shared" si="200"/>
        <v>192496.10483870946</v>
      </c>
      <c r="H7973" s="391" t="s">
        <v>9568</v>
      </c>
    </row>
    <row r="7974" spans="1:12" x14ac:dyDescent="0.3">
      <c r="A7974" s="45">
        <v>45248</v>
      </c>
      <c r="B7974" s="399" t="s">
        <v>12098</v>
      </c>
      <c r="C7974" s="5" t="s">
        <v>54</v>
      </c>
      <c r="D7974" s="124" t="s">
        <v>12702</v>
      </c>
      <c r="E7974" s="43">
        <v>5000</v>
      </c>
      <c r="F7974" s="43"/>
      <c r="G7974" s="241">
        <f t="shared" si="200"/>
        <v>187496.10483870946</v>
      </c>
      <c r="H7974" s="391" t="s">
        <v>9568</v>
      </c>
      <c r="I7974" s="52">
        <v>495000</v>
      </c>
    </row>
    <row r="7975" spans="1:12" x14ac:dyDescent="0.3">
      <c r="A7975" s="45">
        <v>45248</v>
      </c>
      <c r="B7975" s="399" t="s">
        <v>12093</v>
      </c>
      <c r="C7975" s="5" t="s">
        <v>10760</v>
      </c>
      <c r="D7975" s="124" t="s">
        <v>294</v>
      </c>
      <c r="E7975" s="43">
        <v>20000</v>
      </c>
      <c r="F7975" s="43"/>
      <c r="G7975" s="241">
        <f t="shared" si="200"/>
        <v>167496.10483870946</v>
      </c>
      <c r="H7975" s="391" t="s">
        <v>9568</v>
      </c>
      <c r="I7975" s="52">
        <v>490000</v>
      </c>
    </row>
    <row r="7976" spans="1:12" x14ac:dyDescent="0.3">
      <c r="A7976" s="45">
        <v>45248</v>
      </c>
      <c r="B7976" s="399" t="s">
        <v>12703</v>
      </c>
      <c r="C7976" s="5" t="s">
        <v>11194</v>
      </c>
      <c r="D7976" s="124" t="s">
        <v>12704</v>
      </c>
      <c r="E7976" s="43">
        <v>42000</v>
      </c>
      <c r="F7976" s="43"/>
      <c r="G7976" s="241">
        <f t="shared" si="200"/>
        <v>125496.10483870946</v>
      </c>
      <c r="H7976" s="391" t="s">
        <v>9568</v>
      </c>
      <c r="I7976" s="52">
        <v>417729</v>
      </c>
    </row>
    <row r="7977" spans="1:12" x14ac:dyDescent="0.3">
      <c r="A7977" s="45">
        <v>45248</v>
      </c>
      <c r="B7977" s="399" t="s">
        <v>10333</v>
      </c>
      <c r="C7977" s="5" t="s">
        <v>11194</v>
      </c>
      <c r="D7977" s="124" t="s">
        <v>12687</v>
      </c>
      <c r="E7977" s="43">
        <v>25920</v>
      </c>
      <c r="F7977" s="43"/>
      <c r="G7977" s="241">
        <f t="shared" si="200"/>
        <v>99576.104838709463</v>
      </c>
      <c r="H7977" s="391" t="s">
        <v>9568</v>
      </c>
      <c r="I7977" s="52">
        <v>500000</v>
      </c>
      <c r="K7977" s="52">
        <v>200000</v>
      </c>
    </row>
    <row r="7978" spans="1:12" x14ac:dyDescent="0.3">
      <c r="A7978" s="45">
        <v>45248</v>
      </c>
      <c r="B7978" s="399" t="s">
        <v>10333</v>
      </c>
      <c r="C7978" s="5" t="s">
        <v>11194</v>
      </c>
      <c r="D7978" s="124" t="s">
        <v>12709</v>
      </c>
      <c r="E7978" s="43">
        <v>39000</v>
      </c>
      <c r="F7978" s="43"/>
      <c r="G7978" s="241">
        <f t="shared" si="200"/>
        <v>60576.104838709463</v>
      </c>
      <c r="H7978" s="391" t="s">
        <v>9568</v>
      </c>
      <c r="I7978" s="52">
        <v>500000</v>
      </c>
      <c r="K7978" s="52">
        <v>20000</v>
      </c>
      <c r="L7978" s="4" t="s">
        <v>12693</v>
      </c>
    </row>
    <row r="7979" spans="1:12" x14ac:dyDescent="0.3">
      <c r="A7979" s="45">
        <v>45248</v>
      </c>
      <c r="B7979" s="399" t="s">
        <v>12138</v>
      </c>
      <c r="C7979" s="5" t="s">
        <v>11194</v>
      </c>
      <c r="D7979" s="124" t="s">
        <v>12710</v>
      </c>
      <c r="E7979" s="43">
        <v>29320</v>
      </c>
      <c r="F7979" s="43"/>
      <c r="G7979" s="241">
        <f t="shared" si="200"/>
        <v>31256.104838709463</v>
      </c>
      <c r="H7979" s="391" t="s">
        <v>9568</v>
      </c>
      <c r="I7979" s="52">
        <v>500000</v>
      </c>
      <c r="K7979" s="52">
        <v>5000</v>
      </c>
      <c r="L7979" s="4" t="s">
        <v>12694</v>
      </c>
    </row>
    <row r="7980" spans="1:12" x14ac:dyDescent="0.3">
      <c r="A7980" s="45">
        <v>45248</v>
      </c>
      <c r="B7980" s="399" t="s">
        <v>12138</v>
      </c>
      <c r="C7980" s="5" t="s">
        <v>11194</v>
      </c>
      <c r="D7980" s="124" t="s">
        <v>12711</v>
      </c>
      <c r="E7980" s="43">
        <v>4300</v>
      </c>
      <c r="F7980" s="43"/>
      <c r="G7980" s="241">
        <f t="shared" si="200"/>
        <v>26956.104838709463</v>
      </c>
      <c r="H7980" s="391" t="s">
        <v>9568</v>
      </c>
      <c r="I7980" s="52">
        <v>500000</v>
      </c>
      <c r="K7980" s="52">
        <f>K7977-K7978-K7979</f>
        <v>175000</v>
      </c>
    </row>
    <row r="7981" spans="1:12" x14ac:dyDescent="0.3">
      <c r="A7981" s="45">
        <v>45248</v>
      </c>
      <c r="B7981" s="399" t="s">
        <v>12138</v>
      </c>
      <c r="C7981" s="5" t="s">
        <v>11194</v>
      </c>
      <c r="D7981" s="124" t="s">
        <v>12712</v>
      </c>
      <c r="E7981" s="43">
        <v>1250</v>
      </c>
      <c r="F7981" s="43"/>
      <c r="G7981" s="241">
        <f t="shared" si="200"/>
        <v>25706.104838709463</v>
      </c>
      <c r="H7981" s="391" t="s">
        <v>9568</v>
      </c>
      <c r="I7981" s="52">
        <v>450000</v>
      </c>
      <c r="K7981" s="52">
        <v>42000</v>
      </c>
      <c r="L7981" s="4" t="s">
        <v>12695</v>
      </c>
    </row>
    <row r="7982" spans="1:12" x14ac:dyDescent="0.3">
      <c r="A7982" s="45">
        <v>45248</v>
      </c>
      <c r="B7982" s="399" t="s">
        <v>12703</v>
      </c>
      <c r="C7982" s="5" t="s">
        <v>11194</v>
      </c>
      <c r="D7982" s="124" t="s">
        <v>12713</v>
      </c>
      <c r="E7982" s="43">
        <v>4730</v>
      </c>
      <c r="F7982" s="43"/>
      <c r="G7982" s="241">
        <f t="shared" si="200"/>
        <v>20976.104838709463</v>
      </c>
      <c r="H7982" s="391" t="s">
        <v>9568</v>
      </c>
      <c r="I7982" s="52">
        <v>400000</v>
      </c>
      <c r="K7982" s="52">
        <v>25920</v>
      </c>
      <c r="L7982" s="4" t="s">
        <v>12696</v>
      </c>
    </row>
    <row r="7983" spans="1:12" x14ac:dyDescent="0.3">
      <c r="A7983" s="45">
        <v>45248</v>
      </c>
      <c r="B7983" s="399" t="s">
        <v>12703</v>
      </c>
      <c r="C7983" s="5" t="s">
        <v>11194</v>
      </c>
      <c r="D7983" s="124" t="s">
        <v>12714</v>
      </c>
      <c r="E7983" s="43">
        <v>18000</v>
      </c>
      <c r="F7983" s="43"/>
      <c r="G7983" s="241">
        <f t="shared" si="200"/>
        <v>2976.1048387094634</v>
      </c>
      <c r="H7983" s="391" t="s">
        <v>9568</v>
      </c>
      <c r="I7983" s="52">
        <v>300000</v>
      </c>
      <c r="K7983" s="52">
        <v>39000</v>
      </c>
      <c r="L7983" s="4" t="s">
        <v>12696</v>
      </c>
    </row>
    <row r="7984" spans="1:12" x14ac:dyDescent="0.3">
      <c r="A7984" s="45">
        <v>45248</v>
      </c>
      <c r="B7984" s="399" t="s">
        <v>12138</v>
      </c>
      <c r="C7984" s="5" t="s">
        <v>5793</v>
      </c>
      <c r="D7984" s="124" t="s">
        <v>8924</v>
      </c>
      <c r="E7984" s="43">
        <v>300</v>
      </c>
      <c r="F7984" s="43"/>
      <c r="G7984" s="241">
        <f t="shared" si="200"/>
        <v>2676.1048387094634</v>
      </c>
      <c r="H7984" s="391" t="s">
        <v>9568</v>
      </c>
      <c r="I7984" s="52">
        <v>300000</v>
      </c>
      <c r="K7984" s="52">
        <v>29320</v>
      </c>
      <c r="L7984" s="4" t="s">
        <v>12705</v>
      </c>
    </row>
    <row r="7985" spans="1:12" x14ac:dyDescent="0.3">
      <c r="A7985" s="45">
        <v>45248</v>
      </c>
      <c r="B7985" s="586"/>
      <c r="C7985" s="486"/>
      <c r="D7985" s="497" t="s">
        <v>12020</v>
      </c>
      <c r="E7985" s="486"/>
      <c r="F7985" s="28">
        <v>1000000</v>
      </c>
      <c r="G7985" s="241">
        <f t="shared" si="200"/>
        <v>1002676.1048387095</v>
      </c>
      <c r="H7985" s="391" t="s">
        <v>9568</v>
      </c>
    </row>
    <row r="7986" spans="1:12" x14ac:dyDescent="0.3">
      <c r="A7986" s="45">
        <v>45250</v>
      </c>
      <c r="B7986" s="399" t="s">
        <v>12138</v>
      </c>
      <c r="C7986" s="5" t="s">
        <v>26</v>
      </c>
      <c r="D7986" s="124" t="s">
        <v>12725</v>
      </c>
      <c r="E7986" s="43">
        <v>5000</v>
      </c>
      <c r="F7986" s="43"/>
      <c r="G7986" s="241">
        <f t="shared" si="200"/>
        <v>997676.10483870946</v>
      </c>
      <c r="H7986" s="391" t="s">
        <v>9568</v>
      </c>
      <c r="K7986" s="52">
        <v>1250</v>
      </c>
      <c r="L7986" s="4" t="s">
        <v>12706</v>
      </c>
    </row>
    <row r="7987" spans="1:12" x14ac:dyDescent="0.3">
      <c r="A7987" s="45">
        <v>45250</v>
      </c>
      <c r="B7987" s="399" t="s">
        <v>12678</v>
      </c>
      <c r="C7987" s="5" t="s">
        <v>54</v>
      </c>
      <c r="D7987" s="124" t="s">
        <v>12727</v>
      </c>
      <c r="E7987" s="43">
        <v>2260</v>
      </c>
      <c r="F7987" s="43"/>
      <c r="G7987" s="241">
        <f t="shared" si="200"/>
        <v>995416.10483870946</v>
      </c>
      <c r="H7987" s="391" t="s">
        <v>9568</v>
      </c>
      <c r="K7987" s="52">
        <v>4730</v>
      </c>
      <c r="L7987" s="4" t="s">
        <v>12707</v>
      </c>
    </row>
    <row r="7988" spans="1:12" x14ac:dyDescent="0.3">
      <c r="A7988" s="45">
        <v>45250</v>
      </c>
      <c r="B7988" s="399" t="s">
        <v>12678</v>
      </c>
      <c r="C7988" s="5" t="s">
        <v>26</v>
      </c>
      <c r="D7988" s="124" t="s">
        <v>12729</v>
      </c>
      <c r="E7988" s="43">
        <v>1350</v>
      </c>
      <c r="F7988" s="43"/>
      <c r="G7988" s="241">
        <f t="shared" si="200"/>
        <v>994066.10483870946</v>
      </c>
      <c r="H7988" s="391" t="s">
        <v>9568</v>
      </c>
      <c r="K7988" s="52">
        <v>9000</v>
      </c>
    </row>
    <row r="7989" spans="1:12" x14ac:dyDescent="0.3">
      <c r="A7989" s="45">
        <v>45250</v>
      </c>
      <c r="B7989" s="399" t="s">
        <v>12678</v>
      </c>
      <c r="C7989" s="5" t="s">
        <v>54</v>
      </c>
      <c r="D7989" s="124" t="s">
        <v>12726</v>
      </c>
      <c r="E7989" s="43">
        <v>2100</v>
      </c>
      <c r="F7989" s="43"/>
      <c r="G7989" s="241">
        <f t="shared" si="200"/>
        <v>991966.10483870946</v>
      </c>
      <c r="H7989" s="391" t="s">
        <v>9568</v>
      </c>
      <c r="I7989" s="52">
        <v>5106241</v>
      </c>
      <c r="K7989" s="52">
        <f>K7980-K7981-K7982-K7983-K7984-K7985-K7986-K7987-K7988</f>
        <v>23780</v>
      </c>
    </row>
    <row r="7990" spans="1:12" x14ac:dyDescent="0.3">
      <c r="A7990" s="45">
        <v>45250</v>
      </c>
      <c r="B7990" s="399" t="s">
        <v>12678</v>
      </c>
      <c r="C7990" s="5" t="s">
        <v>84</v>
      </c>
      <c r="D7990" s="124" t="s">
        <v>12728</v>
      </c>
      <c r="E7990" s="43">
        <v>2000</v>
      </c>
      <c r="F7990" s="43"/>
      <c r="G7990" s="241">
        <f t="shared" si="200"/>
        <v>989966.10483870946</v>
      </c>
      <c r="H7990" s="391" t="s">
        <v>9568</v>
      </c>
      <c r="I7990" s="52">
        <v>4806488</v>
      </c>
      <c r="K7990" s="52">
        <v>18000</v>
      </c>
    </row>
    <row r="7991" spans="1:12" x14ac:dyDescent="0.3">
      <c r="A7991" s="45">
        <v>45250</v>
      </c>
      <c r="B7991" s="399" t="s">
        <v>12640</v>
      </c>
      <c r="C7991" s="5" t="s">
        <v>6430</v>
      </c>
      <c r="D7991" s="124" t="s">
        <v>12730</v>
      </c>
      <c r="E7991" s="43">
        <v>2000</v>
      </c>
      <c r="F7991" s="43"/>
      <c r="G7991" s="241">
        <f t="shared" si="200"/>
        <v>987966.10483870946</v>
      </c>
      <c r="H7991" s="391" t="s">
        <v>9568</v>
      </c>
      <c r="I7991" s="52">
        <f>I7990+I7989</f>
        <v>9912729</v>
      </c>
      <c r="K7991" s="52">
        <f>K7989-K7990</f>
        <v>5780</v>
      </c>
    </row>
    <row r="7992" spans="1:12" x14ac:dyDescent="0.3">
      <c r="A7992" s="45">
        <v>45250</v>
      </c>
      <c r="B7992" s="399" t="s">
        <v>10333</v>
      </c>
      <c r="C7992" s="5" t="s">
        <v>12731</v>
      </c>
      <c r="D7992" s="124" t="s">
        <v>12732</v>
      </c>
      <c r="E7992" s="43">
        <v>500000</v>
      </c>
      <c r="F7992" s="43"/>
      <c r="G7992" s="241">
        <f t="shared" si="200"/>
        <v>487966.10483870946</v>
      </c>
      <c r="H7992" s="391" t="s">
        <v>9568</v>
      </c>
      <c r="K7992" s="52">
        <v>300</v>
      </c>
      <c r="L7992" s="4" t="s">
        <v>12708</v>
      </c>
    </row>
    <row r="7993" spans="1:12" x14ac:dyDescent="0.3">
      <c r="A7993" s="45">
        <v>45250</v>
      </c>
      <c r="B7993" s="399" t="s">
        <v>25</v>
      </c>
      <c r="C7993" s="5" t="s">
        <v>25</v>
      </c>
      <c r="D7993" s="124" t="s">
        <v>12737</v>
      </c>
      <c r="E7993" s="43">
        <v>5000</v>
      </c>
      <c r="F7993" s="43"/>
      <c r="G7993" s="241">
        <f t="shared" si="200"/>
        <v>482966.10483870946</v>
      </c>
      <c r="H7993" s="391" t="s">
        <v>9568</v>
      </c>
      <c r="K7993" s="52">
        <f>K7991-K7992</f>
        <v>5480</v>
      </c>
    </row>
    <row r="7994" spans="1:12" x14ac:dyDescent="0.3">
      <c r="A7994" s="45">
        <v>45250</v>
      </c>
      <c r="B7994" s="399" t="s">
        <v>12138</v>
      </c>
      <c r="C7994" s="5" t="s">
        <v>11194</v>
      </c>
      <c r="D7994" s="124" t="s">
        <v>12739</v>
      </c>
      <c r="E7994" s="43">
        <v>110000</v>
      </c>
      <c r="F7994" s="43"/>
      <c r="G7994" s="241">
        <f t="shared" si="200"/>
        <v>372966.10483870946</v>
      </c>
      <c r="H7994" s="391" t="s">
        <v>9568</v>
      </c>
      <c r="K7994" s="52">
        <v>2500</v>
      </c>
      <c r="L7994" s="4" t="s">
        <v>5793</v>
      </c>
    </row>
    <row r="7995" spans="1:12" x14ac:dyDescent="0.3">
      <c r="A7995" s="45">
        <v>45250</v>
      </c>
      <c r="B7995" s="399" t="s">
        <v>12388</v>
      </c>
      <c r="C7995" s="5" t="s">
        <v>4550</v>
      </c>
      <c r="D7995" s="124" t="s">
        <v>12733</v>
      </c>
      <c r="E7995" s="43">
        <v>28600</v>
      </c>
      <c r="F7995" s="43"/>
      <c r="G7995" s="241">
        <f t="shared" si="200"/>
        <v>344366.10483870946</v>
      </c>
      <c r="H7995" s="391" t="s">
        <v>9568</v>
      </c>
      <c r="K7995" s="52">
        <f>K7993-K7994</f>
        <v>2980</v>
      </c>
    </row>
    <row r="7996" spans="1:12" x14ac:dyDescent="0.3">
      <c r="A7996" s="45">
        <v>45250</v>
      </c>
      <c r="B7996" s="399" t="s">
        <v>12089</v>
      </c>
      <c r="C7996" s="5" t="s">
        <v>84</v>
      </c>
      <c r="D7996" s="124" t="s">
        <v>12736</v>
      </c>
      <c r="E7996" s="43">
        <v>5000</v>
      </c>
      <c r="F7996" s="43"/>
      <c r="G7996" s="241">
        <f t="shared" si="200"/>
        <v>339366.10483870946</v>
      </c>
      <c r="H7996" s="391" t="s">
        <v>9568</v>
      </c>
    </row>
    <row r="7997" spans="1:12" x14ac:dyDescent="0.3">
      <c r="A7997" s="45">
        <v>45250</v>
      </c>
      <c r="B7997" s="399" t="s">
        <v>10333</v>
      </c>
      <c r="C7997" s="5" t="s">
        <v>5793</v>
      </c>
      <c r="D7997" s="124" t="s">
        <v>40</v>
      </c>
      <c r="E7997" s="43">
        <v>5300</v>
      </c>
      <c r="F7997" s="43"/>
      <c r="G7997" s="241">
        <f t="shared" si="200"/>
        <v>334066.10483870946</v>
      </c>
      <c r="H7997" s="391" t="s">
        <v>9568</v>
      </c>
    </row>
    <row r="7998" spans="1:12" x14ac:dyDescent="0.3">
      <c r="A7998" s="45">
        <v>45250</v>
      </c>
      <c r="B7998" s="399" t="s">
        <v>12089</v>
      </c>
      <c r="C7998" s="5" t="s">
        <v>5162</v>
      </c>
      <c r="D7998" s="124" t="s">
        <v>294</v>
      </c>
      <c r="E7998" s="43">
        <v>2000</v>
      </c>
      <c r="F7998" s="43"/>
      <c r="G7998" s="241">
        <f t="shared" si="200"/>
        <v>332066.10483870946</v>
      </c>
      <c r="H7998" s="391" t="s">
        <v>9568</v>
      </c>
    </row>
    <row r="7999" spans="1:12" x14ac:dyDescent="0.3">
      <c r="A7999" s="45">
        <v>45250</v>
      </c>
      <c r="B7999" s="399" t="s">
        <v>10333</v>
      </c>
      <c r="C7999" s="5" t="s">
        <v>5793</v>
      </c>
      <c r="D7999" s="124" t="s">
        <v>40</v>
      </c>
      <c r="E7999" s="43">
        <v>5200</v>
      </c>
      <c r="F7999" s="43"/>
      <c r="G7999" s="241">
        <f t="shared" si="200"/>
        <v>326866.10483870946</v>
      </c>
      <c r="H7999" s="391" t="s">
        <v>9568</v>
      </c>
      <c r="I7999" s="52">
        <v>24200</v>
      </c>
    </row>
    <row r="8000" spans="1:12" ht="37.5" x14ac:dyDescent="0.3">
      <c r="A8000" s="45">
        <v>45251</v>
      </c>
      <c r="B8000" s="399" t="s">
        <v>12138</v>
      </c>
      <c r="C8000" s="5" t="s">
        <v>11194</v>
      </c>
      <c r="D8000" s="124" t="s">
        <v>12751</v>
      </c>
      <c r="E8000" s="43">
        <v>13400</v>
      </c>
      <c r="F8000" s="43"/>
      <c r="G8000" s="241">
        <f t="shared" si="200"/>
        <v>313466.10483870946</v>
      </c>
      <c r="H8000" s="391" t="s">
        <v>9568</v>
      </c>
      <c r="I8000" s="52">
        <v>67140</v>
      </c>
    </row>
    <row r="8001" spans="1:13" x14ac:dyDescent="0.3">
      <c r="A8001" s="45">
        <v>45251</v>
      </c>
      <c r="B8001" s="399" t="s">
        <v>12640</v>
      </c>
      <c r="C8001" s="5" t="s">
        <v>11194</v>
      </c>
      <c r="D8001" s="124" t="s">
        <v>12752</v>
      </c>
      <c r="E8001" s="43">
        <v>6000</v>
      </c>
      <c r="F8001" s="43"/>
      <c r="G8001" s="241">
        <f t="shared" si="200"/>
        <v>307466.10483870946</v>
      </c>
      <c r="H8001" s="391" t="s">
        <v>9568</v>
      </c>
    </row>
    <row r="8002" spans="1:13" x14ac:dyDescent="0.3">
      <c r="A8002" s="45">
        <v>45251</v>
      </c>
      <c r="B8002" s="399" t="s">
        <v>12138</v>
      </c>
      <c r="C8002" s="5" t="s">
        <v>5793</v>
      </c>
      <c r="D8002" s="124" t="s">
        <v>40</v>
      </c>
      <c r="E8002" s="43">
        <v>1500</v>
      </c>
      <c r="F8002" s="43"/>
      <c r="G8002" s="241">
        <f t="shared" si="200"/>
        <v>305966.10483870946</v>
      </c>
      <c r="H8002" s="391" t="s">
        <v>9568</v>
      </c>
      <c r="I8002" s="52">
        <v>59680</v>
      </c>
    </row>
    <row r="8003" spans="1:13" x14ac:dyDescent="0.3">
      <c r="A8003" s="45">
        <v>45251</v>
      </c>
      <c r="B8003" s="399" t="s">
        <v>12138</v>
      </c>
      <c r="C8003" s="5" t="s">
        <v>30</v>
      </c>
      <c r="D8003" s="124" t="s">
        <v>10651</v>
      </c>
      <c r="E8003" s="43">
        <v>1000</v>
      </c>
      <c r="F8003" s="43"/>
      <c r="G8003" s="241">
        <f t="shared" si="200"/>
        <v>304966.10483870946</v>
      </c>
      <c r="H8003" s="391" t="s">
        <v>9568</v>
      </c>
      <c r="I8003" s="52">
        <v>386760</v>
      </c>
      <c r="L8003" s="4">
        <v>5500</v>
      </c>
    </row>
    <row r="8004" spans="1:13" x14ac:dyDescent="0.3">
      <c r="A8004" s="45">
        <v>45251</v>
      </c>
      <c r="B8004" s="399" t="s">
        <v>12089</v>
      </c>
      <c r="C8004" s="5" t="s">
        <v>5793</v>
      </c>
      <c r="D8004" s="124" t="s">
        <v>40</v>
      </c>
      <c r="E8004" s="43">
        <v>1000</v>
      </c>
      <c r="F8004" s="43"/>
      <c r="G8004" s="241">
        <f t="shared" si="200"/>
        <v>303966.10483870946</v>
      </c>
      <c r="H8004" s="391" t="s">
        <v>9568</v>
      </c>
      <c r="I8004" s="52">
        <v>74282</v>
      </c>
      <c r="L8004" s="4">
        <v>2000</v>
      </c>
    </row>
    <row r="8005" spans="1:13" x14ac:dyDescent="0.3">
      <c r="A8005" s="45">
        <v>45251</v>
      </c>
      <c r="B8005" s="399" t="s">
        <v>25</v>
      </c>
      <c r="C8005" s="5" t="s">
        <v>25</v>
      </c>
      <c r="D8005" s="124" t="s">
        <v>12754</v>
      </c>
      <c r="E8005" s="43">
        <v>5000</v>
      </c>
      <c r="F8005" s="43"/>
      <c r="G8005" s="241">
        <f t="shared" si="200"/>
        <v>298966.10483870946</v>
      </c>
      <c r="H8005" s="391" t="s">
        <v>9568</v>
      </c>
      <c r="I8005" s="52">
        <v>19640</v>
      </c>
      <c r="L8005" s="4">
        <v>5600</v>
      </c>
    </row>
    <row r="8006" spans="1:13" x14ac:dyDescent="0.3">
      <c r="A8006" s="45">
        <v>45251</v>
      </c>
      <c r="B8006" s="399" t="s">
        <v>12189</v>
      </c>
      <c r="C8006" s="5" t="s">
        <v>12746</v>
      </c>
      <c r="D8006" s="124" t="s">
        <v>12747</v>
      </c>
      <c r="E8006" s="43">
        <v>87000</v>
      </c>
      <c r="F8006" s="43"/>
      <c r="G8006" s="241">
        <f t="shared" si="200"/>
        <v>211966.10483870946</v>
      </c>
      <c r="H8006" s="391" t="s">
        <v>9568</v>
      </c>
      <c r="I8006" s="52">
        <v>55000</v>
      </c>
      <c r="L8006" s="4">
        <v>300</v>
      </c>
      <c r="M8006" s="4">
        <f>L8003+L8004+L8005+L8006</f>
        <v>13400</v>
      </c>
    </row>
    <row r="8007" spans="1:13" x14ac:dyDescent="0.3">
      <c r="A8007" s="45">
        <v>45251</v>
      </c>
      <c r="B8007" s="399" t="s">
        <v>12189</v>
      </c>
      <c r="C8007" s="5" t="s">
        <v>5793</v>
      </c>
      <c r="D8007" s="124" t="s">
        <v>40</v>
      </c>
      <c r="E8007" s="43">
        <v>1500</v>
      </c>
      <c r="F8007" s="43"/>
      <c r="G8007" s="241">
        <f t="shared" si="200"/>
        <v>210466.10483870946</v>
      </c>
      <c r="H8007" s="391" t="s">
        <v>9568</v>
      </c>
      <c r="I8007" s="52">
        <v>53000</v>
      </c>
      <c r="L8007" s="4">
        <v>6000</v>
      </c>
    </row>
    <row r="8008" spans="1:13" x14ac:dyDescent="0.3">
      <c r="A8008" s="45">
        <v>45251</v>
      </c>
      <c r="B8008" s="399" t="s">
        <v>12138</v>
      </c>
      <c r="C8008" s="5" t="s">
        <v>5793</v>
      </c>
      <c r="D8008" s="124" t="s">
        <v>40</v>
      </c>
      <c r="E8008" s="43">
        <v>650</v>
      </c>
      <c r="F8008" s="43"/>
      <c r="G8008" s="241">
        <f t="shared" si="200"/>
        <v>209816.10483870946</v>
      </c>
      <c r="H8008" s="391" t="s">
        <v>9568</v>
      </c>
      <c r="I8008" s="52">
        <v>55094</v>
      </c>
      <c r="L8008" s="4">
        <f>SUM(L8003:L8007)</f>
        <v>19400</v>
      </c>
    </row>
    <row r="8009" spans="1:13" x14ac:dyDescent="0.3">
      <c r="A8009" s="45">
        <v>45251</v>
      </c>
      <c r="B8009" s="399" t="s">
        <v>12640</v>
      </c>
      <c r="C8009" s="5" t="s">
        <v>5793</v>
      </c>
      <c r="D8009" s="124" t="s">
        <v>40</v>
      </c>
      <c r="E8009" s="43">
        <v>2100</v>
      </c>
      <c r="F8009" s="43"/>
      <c r="G8009" s="241">
        <f t="shared" si="200"/>
        <v>207716.10483870946</v>
      </c>
      <c r="H8009" s="391" t="s">
        <v>9568</v>
      </c>
    </row>
    <row r="8010" spans="1:13" x14ac:dyDescent="0.3">
      <c r="A8010" s="45">
        <v>45252</v>
      </c>
      <c r="B8010" s="399" t="s">
        <v>12138</v>
      </c>
      <c r="C8010" s="5" t="s">
        <v>12749</v>
      </c>
      <c r="D8010" s="124" t="s">
        <v>12748</v>
      </c>
      <c r="E8010" s="43">
        <v>50000</v>
      </c>
      <c r="F8010" s="43"/>
      <c r="G8010" s="241">
        <f t="shared" si="200"/>
        <v>157716.10483870946</v>
      </c>
      <c r="H8010" s="391" t="s">
        <v>9568</v>
      </c>
      <c r="I8010" s="52">
        <v>90200</v>
      </c>
      <c r="L8010" s="4">
        <f>20000-L8008</f>
        <v>600</v>
      </c>
    </row>
    <row r="8011" spans="1:13" x14ac:dyDescent="0.3">
      <c r="A8011" s="45">
        <v>45252</v>
      </c>
      <c r="B8011" s="399"/>
      <c r="C8011" s="5" t="s">
        <v>14</v>
      </c>
      <c r="D8011" s="124" t="s">
        <v>294</v>
      </c>
      <c r="E8011" s="43">
        <v>10000</v>
      </c>
      <c r="F8011" s="43"/>
      <c r="G8011" s="241">
        <f t="shared" si="200"/>
        <v>147716.10483870946</v>
      </c>
      <c r="H8011" s="391" t="s">
        <v>9568</v>
      </c>
      <c r="I8011" s="52">
        <v>44000</v>
      </c>
    </row>
    <row r="8012" spans="1:13" x14ac:dyDescent="0.3">
      <c r="A8012" s="45">
        <v>45252</v>
      </c>
      <c r="B8012" s="399" t="s">
        <v>12189</v>
      </c>
      <c r="C8012" s="5" t="s">
        <v>11194</v>
      </c>
      <c r="D8012" s="124" t="s">
        <v>12793</v>
      </c>
      <c r="E8012" s="43">
        <v>2400</v>
      </c>
      <c r="F8012" s="43"/>
      <c r="G8012" s="241">
        <f t="shared" si="200"/>
        <v>145316.10483870946</v>
      </c>
      <c r="H8012" s="391" t="s">
        <v>9568</v>
      </c>
    </row>
    <row r="8013" spans="1:13" x14ac:dyDescent="0.3">
      <c r="A8013" s="45">
        <v>45252</v>
      </c>
      <c r="B8013" s="399" t="s">
        <v>12615</v>
      </c>
      <c r="C8013" s="5" t="s">
        <v>11194</v>
      </c>
      <c r="D8013" s="124" t="s">
        <v>12783</v>
      </c>
      <c r="E8013" s="43">
        <v>4500</v>
      </c>
      <c r="F8013" s="43"/>
      <c r="G8013" s="241">
        <f t="shared" si="200"/>
        <v>140816.10483870946</v>
      </c>
      <c r="H8013" s="391" t="s">
        <v>9568</v>
      </c>
    </row>
    <row r="8014" spans="1:13" x14ac:dyDescent="0.3">
      <c r="A8014" s="45">
        <v>45252</v>
      </c>
      <c r="B8014" s="399" t="s">
        <v>12138</v>
      </c>
      <c r="C8014" s="5" t="s">
        <v>5793</v>
      </c>
      <c r="D8014" s="124"/>
      <c r="E8014" s="43">
        <v>3500</v>
      </c>
      <c r="F8014" s="43"/>
      <c r="G8014" s="241">
        <f t="shared" si="200"/>
        <v>137316.10483870946</v>
      </c>
      <c r="H8014" s="391" t="s">
        <v>9568</v>
      </c>
    </row>
    <row r="8015" spans="1:13" x14ac:dyDescent="0.3">
      <c r="A8015" s="45">
        <v>45252</v>
      </c>
      <c r="B8015" s="399" t="s">
        <v>12640</v>
      </c>
      <c r="C8015" s="5" t="s">
        <v>5793</v>
      </c>
      <c r="D8015" s="124" t="s">
        <v>40</v>
      </c>
      <c r="E8015" s="43">
        <v>2100</v>
      </c>
      <c r="F8015" s="43"/>
      <c r="G8015" s="241">
        <f t="shared" si="200"/>
        <v>135216.10483870946</v>
      </c>
      <c r="H8015" s="391" t="s">
        <v>9568</v>
      </c>
    </row>
    <row r="8016" spans="1:13" x14ac:dyDescent="0.3">
      <c r="A8016" s="45">
        <v>45252</v>
      </c>
      <c r="B8016" s="399" t="s">
        <v>25</v>
      </c>
      <c r="C8016" s="5" t="s">
        <v>54</v>
      </c>
      <c r="D8016" s="124" t="s">
        <v>12753</v>
      </c>
      <c r="E8016" s="43">
        <v>25000</v>
      </c>
      <c r="F8016" s="43"/>
      <c r="G8016" s="241">
        <f t="shared" si="200"/>
        <v>110216.10483870946</v>
      </c>
      <c r="H8016" s="391" t="s">
        <v>9568</v>
      </c>
      <c r="I8016" s="52">
        <v>3780</v>
      </c>
      <c r="J8016" s="52">
        <v>808745</v>
      </c>
    </row>
    <row r="8017" spans="1:11" x14ac:dyDescent="0.3">
      <c r="A8017" s="45">
        <v>45252</v>
      </c>
      <c r="B8017" s="399" t="s">
        <v>12189</v>
      </c>
      <c r="C8017" s="5" t="s">
        <v>5793</v>
      </c>
      <c r="D8017" s="124" t="s">
        <v>40</v>
      </c>
      <c r="E8017" s="43">
        <v>2800</v>
      </c>
      <c r="F8017" s="43"/>
      <c r="G8017" s="241">
        <f t="shared" si="200"/>
        <v>107416.10483870946</v>
      </c>
      <c r="H8017" s="391" t="s">
        <v>9568</v>
      </c>
      <c r="I8017" s="52">
        <f>SUM(I7999:I8016)</f>
        <v>932776</v>
      </c>
      <c r="J8017" s="52" t="e">
        <f>#REF!-J8016</f>
        <v>#REF!</v>
      </c>
    </row>
    <row r="8018" spans="1:11" x14ac:dyDescent="0.3">
      <c r="A8018" s="45">
        <v>45253</v>
      </c>
      <c r="B8018" s="399"/>
      <c r="C8018" s="5" t="s">
        <v>6430</v>
      </c>
      <c r="D8018" s="124" t="s">
        <v>12770</v>
      </c>
      <c r="E8018" s="43">
        <v>20000</v>
      </c>
      <c r="F8018" s="43"/>
      <c r="G8018" s="241">
        <f t="shared" si="200"/>
        <v>87416.104838709463</v>
      </c>
      <c r="H8018" s="391" t="s">
        <v>9568</v>
      </c>
      <c r="I8018" s="52">
        <v>1864502</v>
      </c>
    </row>
    <row r="8019" spans="1:11" x14ac:dyDescent="0.3">
      <c r="A8019" s="45">
        <v>45253</v>
      </c>
      <c r="B8019" s="399" t="s">
        <v>12089</v>
      </c>
      <c r="C8019" s="5" t="s">
        <v>84</v>
      </c>
      <c r="D8019" s="124" t="s">
        <v>12771</v>
      </c>
      <c r="E8019" s="43">
        <v>5000</v>
      </c>
      <c r="F8019" s="43"/>
      <c r="G8019" s="241">
        <f t="shared" si="200"/>
        <v>82416.104838709463</v>
      </c>
      <c r="H8019" s="391" t="s">
        <v>9568</v>
      </c>
      <c r="I8019" s="52">
        <v>472526</v>
      </c>
    </row>
    <row r="8020" spans="1:11" x14ac:dyDescent="0.3">
      <c r="A8020" s="45">
        <v>45253</v>
      </c>
      <c r="B8020" s="399" t="s">
        <v>12615</v>
      </c>
      <c r="C8020" s="5" t="s">
        <v>6028</v>
      </c>
      <c r="D8020" s="124" t="s">
        <v>12772</v>
      </c>
      <c r="E8020" s="43">
        <v>61200</v>
      </c>
      <c r="F8020" s="43"/>
      <c r="G8020" s="241">
        <f t="shared" si="200"/>
        <v>21216.104838709463</v>
      </c>
      <c r="H8020" s="391" t="s">
        <v>9568</v>
      </c>
      <c r="I8020" s="52">
        <f>I8019+I8018+I8017</f>
        <v>3269804</v>
      </c>
    </row>
    <row r="8021" spans="1:11" x14ac:dyDescent="0.3">
      <c r="A8021" s="45">
        <v>45253</v>
      </c>
      <c r="B8021" s="586"/>
      <c r="C8021" s="486"/>
      <c r="D8021" s="497" t="s">
        <v>7348</v>
      </c>
      <c r="E8021" s="486"/>
      <c r="F8021" s="43">
        <v>20000</v>
      </c>
      <c r="G8021" s="241">
        <f t="shared" si="200"/>
        <v>41216.104838709463</v>
      </c>
      <c r="H8021" s="391" t="s">
        <v>9568</v>
      </c>
    </row>
    <row r="8022" spans="1:11" x14ac:dyDescent="0.3">
      <c r="A8022" s="45">
        <v>45254</v>
      </c>
      <c r="B8022" s="399" t="s">
        <v>12618</v>
      </c>
      <c r="C8022" s="5" t="s">
        <v>8863</v>
      </c>
      <c r="D8022" s="124" t="s">
        <v>294</v>
      </c>
      <c r="E8022" s="43">
        <v>15000</v>
      </c>
      <c r="F8022" s="43"/>
      <c r="G8022" s="241">
        <f t="shared" si="200"/>
        <v>26216.104838709463</v>
      </c>
      <c r="H8022" s="391" t="s">
        <v>9568</v>
      </c>
    </row>
    <row r="8023" spans="1:11" x14ac:dyDescent="0.3">
      <c r="A8023" s="45">
        <v>45254</v>
      </c>
      <c r="B8023" s="399" t="s">
        <v>25</v>
      </c>
      <c r="C8023" s="5" t="s">
        <v>25</v>
      </c>
      <c r="D8023" s="124" t="s">
        <v>12754</v>
      </c>
      <c r="E8023" s="43">
        <v>6000</v>
      </c>
      <c r="F8023" s="43"/>
      <c r="G8023" s="241">
        <f t="shared" si="200"/>
        <v>20216.104838709463</v>
      </c>
      <c r="H8023" s="391" t="s">
        <v>9568</v>
      </c>
      <c r="I8023" s="345" t="s">
        <v>12085</v>
      </c>
      <c r="J8023" s="52" t="s">
        <v>12715</v>
      </c>
      <c r="K8023" s="52" t="s">
        <v>12716</v>
      </c>
    </row>
    <row r="8024" spans="1:11" x14ac:dyDescent="0.3">
      <c r="A8024" s="45">
        <v>45254</v>
      </c>
      <c r="B8024" s="399"/>
      <c r="C8024" s="5" t="s">
        <v>6430</v>
      </c>
      <c r="D8024" s="124" t="s">
        <v>5813</v>
      </c>
      <c r="E8024" s="43">
        <v>15000</v>
      </c>
      <c r="F8024" s="43"/>
      <c r="G8024" s="241">
        <f t="shared" si="200"/>
        <v>5216.1048387094634</v>
      </c>
      <c r="H8024" s="391" t="s">
        <v>9568</v>
      </c>
      <c r="I8024" s="52">
        <v>472526</v>
      </c>
      <c r="J8024" s="52">
        <v>3313804</v>
      </c>
      <c r="K8024" s="52">
        <v>5008480</v>
      </c>
    </row>
    <row r="8025" spans="1:11" x14ac:dyDescent="0.3">
      <c r="A8025" s="45">
        <v>45254</v>
      </c>
      <c r="B8025" s="399" t="s">
        <v>12138</v>
      </c>
      <c r="C8025" s="5" t="s">
        <v>26</v>
      </c>
      <c r="D8025" s="124" t="s">
        <v>12778</v>
      </c>
      <c r="E8025" s="43">
        <v>850</v>
      </c>
      <c r="F8025" s="43"/>
      <c r="G8025" s="241">
        <f t="shared" si="200"/>
        <v>4366.1048387094634</v>
      </c>
      <c r="H8025" s="391" t="s">
        <v>9568</v>
      </c>
    </row>
    <row r="8026" spans="1:11" x14ac:dyDescent="0.3">
      <c r="A8026" s="45">
        <v>45254</v>
      </c>
      <c r="B8026" s="399"/>
      <c r="C8026" s="5" t="s">
        <v>18</v>
      </c>
      <c r="D8026" s="124" t="s">
        <v>5813</v>
      </c>
      <c r="E8026" s="43">
        <v>2500</v>
      </c>
      <c r="F8026" s="43"/>
      <c r="G8026" s="241">
        <f t="shared" si="200"/>
        <v>1866.1048387094634</v>
      </c>
      <c r="H8026" s="391" t="s">
        <v>9568</v>
      </c>
    </row>
    <row r="8027" spans="1:11" x14ac:dyDescent="0.3">
      <c r="A8027" s="45">
        <v>45254</v>
      </c>
      <c r="B8027" s="586"/>
      <c r="C8027" s="486"/>
      <c r="D8027" s="497" t="s">
        <v>7348</v>
      </c>
      <c r="E8027" s="486"/>
      <c r="F8027" s="43">
        <v>80000</v>
      </c>
      <c r="G8027" s="241">
        <f t="shared" si="200"/>
        <v>81866.104838709463</v>
      </c>
      <c r="H8027" s="391" t="s">
        <v>9568</v>
      </c>
    </row>
    <row r="8028" spans="1:11" x14ac:dyDescent="0.3">
      <c r="A8028" s="45">
        <v>45254</v>
      </c>
      <c r="B8028" s="586"/>
      <c r="C8028" s="486"/>
      <c r="D8028" s="497" t="s">
        <v>12776</v>
      </c>
      <c r="E8028" s="486"/>
      <c r="F8028" s="43">
        <v>28200</v>
      </c>
      <c r="G8028" s="241">
        <f t="shared" si="200"/>
        <v>110066.10483870946</v>
      </c>
      <c r="H8028" s="391" t="s">
        <v>9568</v>
      </c>
    </row>
    <row r="8029" spans="1:11" x14ac:dyDescent="0.3">
      <c r="A8029" s="45">
        <v>45255</v>
      </c>
      <c r="B8029" s="399" t="s">
        <v>12138</v>
      </c>
      <c r="C8029" s="5" t="s">
        <v>5793</v>
      </c>
      <c r="D8029" s="124" t="s">
        <v>40</v>
      </c>
      <c r="E8029" s="43">
        <v>2500</v>
      </c>
      <c r="F8029" s="43"/>
      <c r="G8029" s="241">
        <f t="shared" si="200"/>
        <v>107566.10483870946</v>
      </c>
      <c r="H8029" s="391" t="s">
        <v>9568</v>
      </c>
    </row>
    <row r="8030" spans="1:11" x14ac:dyDescent="0.3">
      <c r="A8030" s="45">
        <v>45255</v>
      </c>
      <c r="B8030" s="399" t="s">
        <v>25</v>
      </c>
      <c r="C8030" s="5" t="s">
        <v>25</v>
      </c>
      <c r="D8030" s="124" t="s">
        <v>12754</v>
      </c>
      <c r="E8030" s="43">
        <v>5000</v>
      </c>
      <c r="F8030" s="43"/>
      <c r="G8030" s="241">
        <f t="shared" si="200"/>
        <v>102566.10483870946</v>
      </c>
      <c r="H8030" s="391" t="s">
        <v>9568</v>
      </c>
      <c r="J8030" s="52">
        <f>K8024+J8024+I8024</f>
        <v>8794810</v>
      </c>
    </row>
    <row r="8031" spans="1:11" ht="37.5" x14ac:dyDescent="0.3">
      <c r="A8031" s="45">
        <v>45255</v>
      </c>
      <c r="B8031" s="399" t="s">
        <v>12779</v>
      </c>
      <c r="C8031" s="5" t="s">
        <v>11194</v>
      </c>
      <c r="D8031" s="124" t="s">
        <v>12781</v>
      </c>
      <c r="E8031" s="43">
        <v>4400</v>
      </c>
      <c r="F8031" s="43"/>
      <c r="G8031" s="241">
        <f t="shared" si="200"/>
        <v>98166.104838709463</v>
      </c>
      <c r="H8031" s="391" t="s">
        <v>9568</v>
      </c>
      <c r="J8031" s="52">
        <v>8000000</v>
      </c>
    </row>
    <row r="8032" spans="1:11" ht="37.5" x14ac:dyDescent="0.3">
      <c r="A8032" s="45">
        <v>45255</v>
      </c>
      <c r="B8032" s="399" t="s">
        <v>12189</v>
      </c>
      <c r="C8032" s="5" t="s">
        <v>26</v>
      </c>
      <c r="D8032" s="124" t="s">
        <v>12780</v>
      </c>
      <c r="E8032" s="43">
        <v>4000</v>
      </c>
      <c r="F8032" s="43"/>
      <c r="G8032" s="241">
        <f t="shared" si="200"/>
        <v>94166.104838709463</v>
      </c>
      <c r="H8032" s="391" t="s">
        <v>9568</v>
      </c>
      <c r="J8032" s="52">
        <f>J8030-J8031</f>
        <v>794810</v>
      </c>
      <c r="K8032" s="52">
        <v>120</v>
      </c>
    </row>
    <row r="8033" spans="1:12" x14ac:dyDescent="0.3">
      <c r="A8033" s="45">
        <v>45255</v>
      </c>
      <c r="B8033" s="399" t="s">
        <v>12678</v>
      </c>
      <c r="C8033" s="5" t="s">
        <v>6430</v>
      </c>
      <c r="D8033" s="124" t="s">
        <v>10807</v>
      </c>
      <c r="E8033" s="43">
        <v>15000</v>
      </c>
      <c r="F8033" s="43"/>
      <c r="G8033" s="241">
        <f t="shared" si="200"/>
        <v>79166.104838709463</v>
      </c>
      <c r="H8033" s="391" t="s">
        <v>9568</v>
      </c>
      <c r="J8033" s="52">
        <v>930395</v>
      </c>
      <c r="K8033" s="52">
        <v>36303</v>
      </c>
    </row>
    <row r="8034" spans="1:12" x14ac:dyDescent="0.3">
      <c r="A8034" s="45">
        <v>45255</v>
      </c>
      <c r="B8034" s="399" t="s">
        <v>12092</v>
      </c>
      <c r="C8034" s="5" t="s">
        <v>4550</v>
      </c>
      <c r="D8034" s="124" t="s">
        <v>12782</v>
      </c>
      <c r="E8034" s="43">
        <v>500</v>
      </c>
      <c r="F8034" s="43"/>
      <c r="G8034" s="241">
        <f t="shared" ref="G8034" si="201">G8033+F8034-E8034</f>
        <v>78666.104838709463</v>
      </c>
      <c r="H8034" s="391" t="s">
        <v>9568</v>
      </c>
      <c r="J8034" s="52">
        <f>J8033-J8032</f>
        <v>135585</v>
      </c>
      <c r="K8034" s="52">
        <f>K8033*15%</f>
        <v>5445.45</v>
      </c>
    </row>
    <row r="8035" spans="1:12" x14ac:dyDescent="0.3">
      <c r="A8035" s="45">
        <v>45255</v>
      </c>
      <c r="B8035" s="399" t="s">
        <v>12640</v>
      </c>
      <c r="C8035" s="5" t="s">
        <v>11194</v>
      </c>
      <c r="D8035" s="124" t="s">
        <v>12783</v>
      </c>
      <c r="E8035" s="43">
        <v>5000</v>
      </c>
      <c r="F8035" s="43"/>
      <c r="G8035" s="241">
        <f t="shared" ref="G8035:G8036" si="202">G8034+F8035-E8035</f>
        <v>73666.104838709463</v>
      </c>
      <c r="H8035" s="391" t="s">
        <v>9568</v>
      </c>
      <c r="K8035" s="52">
        <f>K8032*15%</f>
        <v>18</v>
      </c>
    </row>
    <row r="8036" spans="1:12" x14ac:dyDescent="0.3">
      <c r="A8036" s="45">
        <v>45255</v>
      </c>
      <c r="B8036" s="399" t="s">
        <v>12189</v>
      </c>
      <c r="C8036" s="5" t="s">
        <v>5162</v>
      </c>
      <c r="D8036" s="124" t="s">
        <v>5813</v>
      </c>
      <c r="E8036" s="43">
        <v>5000</v>
      </c>
      <c r="F8036" s="43"/>
      <c r="G8036" s="241">
        <f t="shared" si="202"/>
        <v>68666.104838709463</v>
      </c>
      <c r="H8036" s="391" t="s">
        <v>9568</v>
      </c>
      <c r="K8036" s="52">
        <f>K8032-K8035</f>
        <v>102</v>
      </c>
    </row>
    <row r="8037" spans="1:12" x14ac:dyDescent="0.3">
      <c r="A8037" s="45">
        <v>45255</v>
      </c>
      <c r="B8037" s="399" t="s">
        <v>12189</v>
      </c>
      <c r="C8037" s="5" t="s">
        <v>26</v>
      </c>
      <c r="D8037" s="124" t="s">
        <v>12784</v>
      </c>
      <c r="E8037" s="43">
        <v>1000</v>
      </c>
      <c r="F8037" s="43"/>
      <c r="G8037" s="241">
        <f t="shared" ref="G8037:G8042" si="203">G8036+F8037-E8037</f>
        <v>67666.104838709463</v>
      </c>
      <c r="H8037" s="391" t="s">
        <v>9568</v>
      </c>
    </row>
    <row r="8038" spans="1:12" x14ac:dyDescent="0.3">
      <c r="A8038" s="45">
        <v>45257</v>
      </c>
      <c r="B8038" s="399"/>
      <c r="C8038" s="5" t="s">
        <v>18</v>
      </c>
      <c r="D8038" s="124" t="s">
        <v>294</v>
      </c>
      <c r="E8038" s="43">
        <v>5000</v>
      </c>
      <c r="F8038" s="43"/>
      <c r="G8038" s="241">
        <f t="shared" si="203"/>
        <v>62666.104838709463</v>
      </c>
      <c r="H8038" s="391" t="s">
        <v>9568</v>
      </c>
      <c r="I8038" s="169">
        <v>100000</v>
      </c>
    </row>
    <row r="8039" spans="1:12" x14ac:dyDescent="0.3">
      <c r="A8039" s="45">
        <v>45257</v>
      </c>
      <c r="B8039" s="399" t="s">
        <v>12388</v>
      </c>
      <c r="C8039" s="5" t="s">
        <v>4550</v>
      </c>
      <c r="D8039" s="124" t="s">
        <v>12785</v>
      </c>
      <c r="E8039" s="43">
        <v>50000</v>
      </c>
      <c r="F8039" s="43"/>
      <c r="G8039" s="241">
        <f t="shared" si="203"/>
        <v>12666.104838709463</v>
      </c>
      <c r="H8039" s="391" t="s">
        <v>9568</v>
      </c>
      <c r="I8039" s="169">
        <v>82924</v>
      </c>
    </row>
    <row r="8040" spans="1:12" x14ac:dyDescent="0.3">
      <c r="A8040" s="45">
        <v>45257</v>
      </c>
      <c r="B8040" s="399" t="s">
        <v>12138</v>
      </c>
      <c r="C8040" s="5" t="s">
        <v>5793</v>
      </c>
      <c r="D8040" s="124" t="s">
        <v>40</v>
      </c>
      <c r="E8040" s="43">
        <v>3200</v>
      </c>
      <c r="F8040" s="43"/>
      <c r="G8040" s="241">
        <f t="shared" si="203"/>
        <v>9466.1048387094634</v>
      </c>
      <c r="H8040" s="391" t="s">
        <v>9568</v>
      </c>
      <c r="I8040" s="169">
        <v>399840</v>
      </c>
    </row>
    <row r="8041" spans="1:12" x14ac:dyDescent="0.3">
      <c r="A8041" s="45">
        <v>45257</v>
      </c>
      <c r="B8041" s="399" t="s">
        <v>25</v>
      </c>
      <c r="C8041" s="5" t="s">
        <v>25</v>
      </c>
      <c r="D8041" s="124" t="s">
        <v>12754</v>
      </c>
      <c r="E8041" s="43">
        <v>5000</v>
      </c>
      <c r="F8041" s="43"/>
      <c r="G8041" s="241">
        <f t="shared" si="203"/>
        <v>4466.1048387094634</v>
      </c>
      <c r="H8041" s="391" t="s">
        <v>9568</v>
      </c>
      <c r="I8041" s="169">
        <v>48749</v>
      </c>
    </row>
    <row r="8042" spans="1:12" x14ac:dyDescent="0.3">
      <c r="A8042" s="45">
        <v>45258</v>
      </c>
      <c r="B8042" s="399"/>
      <c r="C8042" s="5" t="s">
        <v>84</v>
      </c>
      <c r="D8042" s="124" t="s">
        <v>12790</v>
      </c>
      <c r="E8042" s="43">
        <v>10000</v>
      </c>
      <c r="F8042" s="43"/>
      <c r="G8042" s="241">
        <f t="shared" si="203"/>
        <v>-5533.8951612905366</v>
      </c>
      <c r="H8042" s="391" t="s">
        <v>9568</v>
      </c>
      <c r="I8042" s="169">
        <v>214220</v>
      </c>
      <c r="K8042" s="169">
        <v>1523704</v>
      </c>
    </row>
    <row r="8043" spans="1:12" x14ac:dyDescent="0.3">
      <c r="A8043" s="45">
        <v>45258</v>
      </c>
      <c r="B8043" s="399" t="s">
        <v>12506</v>
      </c>
      <c r="C8043" s="5" t="s">
        <v>5793</v>
      </c>
      <c r="D8043" s="124" t="s">
        <v>40</v>
      </c>
      <c r="E8043" s="43">
        <v>250</v>
      </c>
      <c r="F8043" s="43"/>
      <c r="G8043" s="48">
        <f t="shared" ref="G8043:G8115" si="204">G8042+F8043-E8043</f>
        <v>-5783.8951612905366</v>
      </c>
      <c r="H8043" s="391" t="s">
        <v>9568</v>
      </c>
      <c r="I8043" s="169">
        <v>13500</v>
      </c>
      <c r="K8043" s="169">
        <v>1741376</v>
      </c>
    </row>
    <row r="8044" spans="1:12" x14ac:dyDescent="0.3">
      <c r="A8044" s="45">
        <v>45258</v>
      </c>
      <c r="B8044" s="399" t="s">
        <v>12189</v>
      </c>
      <c r="C8044" s="5" t="s">
        <v>5162</v>
      </c>
      <c r="D8044" s="124" t="s">
        <v>5813</v>
      </c>
      <c r="E8044" s="43">
        <v>1000</v>
      </c>
      <c r="F8044" s="43"/>
      <c r="G8044" s="48">
        <f t="shared" si="204"/>
        <v>-6783.8951612905366</v>
      </c>
      <c r="H8044" s="391" t="s">
        <v>9568</v>
      </c>
      <c r="I8044" s="169">
        <v>9820</v>
      </c>
      <c r="K8044" s="169">
        <v>1554800</v>
      </c>
    </row>
    <row r="8045" spans="1:12" x14ac:dyDescent="0.3">
      <c r="A8045" s="45">
        <v>45259</v>
      </c>
      <c r="B8045" s="586"/>
      <c r="C8045" s="486"/>
      <c r="D8045" s="497" t="s">
        <v>12020</v>
      </c>
      <c r="E8045" s="486"/>
      <c r="F8045" s="28">
        <v>20000</v>
      </c>
      <c r="G8045" s="48">
        <f t="shared" si="204"/>
        <v>13216.104838709463</v>
      </c>
      <c r="H8045" s="391" t="s">
        <v>9568</v>
      </c>
      <c r="I8045" s="169">
        <v>91053</v>
      </c>
      <c r="K8045" s="169">
        <v>90200</v>
      </c>
    </row>
    <row r="8046" spans="1:12" x14ac:dyDescent="0.3">
      <c r="A8046" s="45">
        <v>45259</v>
      </c>
      <c r="B8046" s="399" t="s">
        <v>25</v>
      </c>
      <c r="C8046" s="5" t="s">
        <v>25</v>
      </c>
      <c r="D8046" s="124" t="s">
        <v>12754</v>
      </c>
      <c r="E8046" s="43">
        <v>4000</v>
      </c>
      <c r="F8046" s="43"/>
      <c r="G8046" s="48">
        <f t="shared" si="204"/>
        <v>9216.1048387094634</v>
      </c>
      <c r="H8046" s="391" t="s">
        <v>9568</v>
      </c>
      <c r="I8046" s="169">
        <v>92000</v>
      </c>
      <c r="K8046" s="169">
        <v>98400</v>
      </c>
    </row>
    <row r="8047" spans="1:12" x14ac:dyDescent="0.3">
      <c r="A8047" s="45">
        <v>45259</v>
      </c>
      <c r="B8047" s="399" t="s">
        <v>12138</v>
      </c>
      <c r="C8047" s="5" t="s">
        <v>5793</v>
      </c>
      <c r="D8047" s="124" t="s">
        <v>40</v>
      </c>
      <c r="E8047" s="43">
        <v>200</v>
      </c>
      <c r="F8047" s="43"/>
      <c r="G8047" s="48">
        <f t="shared" si="204"/>
        <v>9016.1048387094634</v>
      </c>
      <c r="H8047" s="391" t="s">
        <v>9568</v>
      </c>
      <c r="I8047" s="169">
        <v>188000</v>
      </c>
      <c r="K8047" s="52">
        <f>SUM(K8042:K8046)</f>
        <v>5008480</v>
      </c>
      <c r="L8047" s="93">
        <f>K8047+I8065+K8065</f>
        <v>6873982</v>
      </c>
    </row>
    <row r="8048" spans="1:12" x14ac:dyDescent="0.3">
      <c r="A8048" s="45">
        <v>45259</v>
      </c>
      <c r="B8048" s="399" t="s">
        <v>12287</v>
      </c>
      <c r="C8048" s="5" t="s">
        <v>1616</v>
      </c>
      <c r="D8048" s="124" t="s">
        <v>640</v>
      </c>
      <c r="E8048" s="43">
        <v>850</v>
      </c>
      <c r="F8048" s="43"/>
      <c r="G8048" s="48">
        <f t="shared" si="204"/>
        <v>8166.1048387094634</v>
      </c>
      <c r="H8048" s="391" t="s">
        <v>9568</v>
      </c>
      <c r="I8048" s="169">
        <v>24000</v>
      </c>
      <c r="L8048" s="52">
        <v>8000000</v>
      </c>
    </row>
    <row r="8049" spans="1:12" x14ac:dyDescent="0.3">
      <c r="A8049" s="45">
        <v>45260</v>
      </c>
      <c r="B8049" s="399" t="s">
        <v>25</v>
      </c>
      <c r="C8049" s="5" t="s">
        <v>4400</v>
      </c>
      <c r="D8049" s="124" t="s">
        <v>40</v>
      </c>
      <c r="E8049" s="43">
        <v>6000</v>
      </c>
      <c r="F8049" s="43"/>
      <c r="G8049" s="48">
        <f t="shared" si="204"/>
        <v>2166.1048387094634</v>
      </c>
      <c r="H8049" s="391" t="s">
        <v>9568</v>
      </c>
      <c r="I8049" s="169">
        <v>83200</v>
      </c>
      <c r="L8049" s="93">
        <f>L8048-L8047</f>
        <v>1126018</v>
      </c>
    </row>
    <row r="8050" spans="1:12" x14ac:dyDescent="0.3">
      <c r="A8050" s="45">
        <v>45260</v>
      </c>
      <c r="B8050" s="399" t="s">
        <v>12703</v>
      </c>
      <c r="C8050" s="5" t="s">
        <v>11194</v>
      </c>
      <c r="D8050" s="124" t="s">
        <v>12794</v>
      </c>
      <c r="E8050" s="43">
        <v>850</v>
      </c>
      <c r="F8050" s="43"/>
      <c r="G8050" s="48">
        <f t="shared" si="204"/>
        <v>1316.1048387094634</v>
      </c>
      <c r="H8050" s="391" t="s">
        <v>9568</v>
      </c>
      <c r="I8050" s="169">
        <v>88971</v>
      </c>
    </row>
    <row r="8051" spans="1:12" x14ac:dyDescent="0.3">
      <c r="A8051" s="45">
        <v>45260</v>
      </c>
      <c r="B8051" s="399" t="s">
        <v>12703</v>
      </c>
      <c r="C8051" s="5" t="s">
        <v>5793</v>
      </c>
      <c r="D8051" s="124" t="s">
        <v>40</v>
      </c>
      <c r="E8051" s="43">
        <v>2000</v>
      </c>
      <c r="F8051" s="43"/>
      <c r="G8051" s="48">
        <f t="shared" si="204"/>
        <v>-683.89516129053663</v>
      </c>
      <c r="H8051" s="391" t="s">
        <v>9568</v>
      </c>
      <c r="I8051" s="169">
        <v>16864</v>
      </c>
      <c r="K8051" s="52">
        <v>1787501</v>
      </c>
    </row>
    <row r="8052" spans="1:12" x14ac:dyDescent="0.3">
      <c r="A8052" s="45">
        <v>45260</v>
      </c>
      <c r="B8052" s="399" t="s">
        <v>12131</v>
      </c>
      <c r="C8052" s="5" t="s">
        <v>30</v>
      </c>
      <c r="D8052" s="124" t="s">
        <v>12431</v>
      </c>
      <c r="E8052" s="43">
        <v>500</v>
      </c>
      <c r="F8052" s="43"/>
      <c r="G8052" s="48">
        <f t="shared" si="204"/>
        <v>-1183.8951612905366</v>
      </c>
      <c r="H8052" s="391" t="s">
        <v>9568</v>
      </c>
      <c r="I8052" s="169">
        <v>10980</v>
      </c>
      <c r="K8052" s="169">
        <v>3780</v>
      </c>
    </row>
    <row r="8053" spans="1:12" x14ac:dyDescent="0.3">
      <c r="A8053" s="45">
        <v>45260</v>
      </c>
      <c r="B8053" s="399" t="s">
        <v>12640</v>
      </c>
      <c r="C8053" s="5" t="s">
        <v>5793</v>
      </c>
      <c r="D8053" s="124" t="s">
        <v>40</v>
      </c>
      <c r="E8053" s="43">
        <v>500</v>
      </c>
      <c r="F8053" s="43"/>
      <c r="G8053" s="48">
        <f t="shared" si="204"/>
        <v>-1683.8951612905366</v>
      </c>
      <c r="H8053" s="391" t="s">
        <v>9568</v>
      </c>
      <c r="I8053" s="169">
        <v>104470</v>
      </c>
      <c r="K8053" s="169">
        <v>44000</v>
      </c>
    </row>
    <row r="8054" spans="1:12" x14ac:dyDescent="0.3">
      <c r="A8054" s="45">
        <v>45260</v>
      </c>
      <c r="B8054" s="399" t="s">
        <v>12189</v>
      </c>
      <c r="C8054" s="5" t="s">
        <v>5162</v>
      </c>
      <c r="D8054" s="124" t="s">
        <v>5813</v>
      </c>
      <c r="E8054" s="43">
        <v>1000</v>
      </c>
      <c r="F8054" s="43"/>
      <c r="G8054" s="48">
        <f t="shared" si="204"/>
        <v>-2683.8951612905366</v>
      </c>
      <c r="H8054" s="391" t="s">
        <v>9568</v>
      </c>
      <c r="I8054" s="169">
        <v>14520</v>
      </c>
      <c r="K8054" s="169">
        <v>44000</v>
      </c>
    </row>
    <row r="8055" spans="1:12" x14ac:dyDescent="0.3">
      <c r="A8055" s="45">
        <v>45260</v>
      </c>
      <c r="B8055" s="399" t="s">
        <v>12138</v>
      </c>
      <c r="C8055" s="5" t="s">
        <v>11194</v>
      </c>
      <c r="D8055" s="124" t="s">
        <v>12796</v>
      </c>
      <c r="E8055" s="43">
        <v>2800</v>
      </c>
      <c r="F8055" s="43"/>
      <c r="G8055" s="48">
        <f t="shared" si="204"/>
        <v>-5483.8951612905366</v>
      </c>
      <c r="H8055" s="391" t="s">
        <v>9568</v>
      </c>
      <c r="I8055" s="169">
        <v>22800</v>
      </c>
      <c r="K8055" s="169">
        <v>90200</v>
      </c>
    </row>
    <row r="8056" spans="1:12" x14ac:dyDescent="0.3">
      <c r="A8056" s="45">
        <v>45261</v>
      </c>
      <c r="B8056" s="399" t="s">
        <v>25</v>
      </c>
      <c r="C8056" s="5" t="s">
        <v>25</v>
      </c>
      <c r="D8056" s="124" t="s">
        <v>12754</v>
      </c>
      <c r="E8056" s="43">
        <v>5000</v>
      </c>
      <c r="F8056" s="43"/>
      <c r="G8056" s="48">
        <f t="shared" si="204"/>
        <v>-10483.895161290537</v>
      </c>
      <c r="H8056" s="391" t="s">
        <v>9568</v>
      </c>
      <c r="I8056" s="169">
        <v>13500</v>
      </c>
      <c r="K8056" s="169">
        <v>55094</v>
      </c>
    </row>
    <row r="8057" spans="1:12" x14ac:dyDescent="0.3">
      <c r="A8057" s="45">
        <v>45261</v>
      </c>
      <c r="B8057" s="586"/>
      <c r="C8057" s="486"/>
      <c r="D8057" s="497" t="s">
        <v>12020</v>
      </c>
      <c r="E8057" s="486"/>
      <c r="F8057" s="28">
        <v>100000</v>
      </c>
      <c r="G8057" s="48">
        <f t="shared" si="204"/>
        <v>89516.104838709463</v>
      </c>
      <c r="H8057" s="391" t="s">
        <v>9568</v>
      </c>
      <c r="I8057" s="169">
        <v>529131</v>
      </c>
      <c r="K8057" s="169">
        <v>53000</v>
      </c>
      <c r="L8057" s="93">
        <f>I8065+K8052+K8053+K8054+K8055+K8056+K8057+K8058+K8059+K8060+K8061+K8062+K8063+K8064</f>
        <v>2764278</v>
      </c>
    </row>
    <row r="8058" spans="1:12" x14ac:dyDescent="0.3">
      <c r="A8058" s="45">
        <v>45261</v>
      </c>
      <c r="B8058" s="399" t="s">
        <v>12093</v>
      </c>
      <c r="C8058" s="5" t="s">
        <v>10760</v>
      </c>
      <c r="D8058" s="124" t="s">
        <v>294</v>
      </c>
      <c r="E8058" s="43">
        <v>20000</v>
      </c>
      <c r="F8058" s="43"/>
      <c r="G8058" s="48">
        <f t="shared" si="204"/>
        <v>69516.104838709463</v>
      </c>
      <c r="H8058" s="391" t="s">
        <v>9568</v>
      </c>
      <c r="I8058" s="169">
        <v>38500</v>
      </c>
      <c r="K8058" s="169">
        <v>55000</v>
      </c>
    </row>
    <row r="8059" spans="1:12" x14ac:dyDescent="0.3">
      <c r="A8059" s="45">
        <v>45261</v>
      </c>
      <c r="B8059" s="399" t="s">
        <v>12640</v>
      </c>
      <c r="C8059" s="5" t="s">
        <v>9452</v>
      </c>
      <c r="D8059" s="124" t="s">
        <v>40</v>
      </c>
      <c r="E8059" s="43">
        <v>6000</v>
      </c>
      <c r="F8059" s="43"/>
      <c r="G8059" s="48">
        <f t="shared" si="204"/>
        <v>63516.104838709463</v>
      </c>
      <c r="H8059" s="391" t="s">
        <v>9568</v>
      </c>
      <c r="I8059" s="169">
        <v>1600</v>
      </c>
      <c r="K8059" s="169">
        <v>19640</v>
      </c>
    </row>
    <row r="8060" spans="1:12" x14ac:dyDescent="0.3">
      <c r="A8060" s="45">
        <v>45261</v>
      </c>
      <c r="B8060" s="399" t="s">
        <v>25</v>
      </c>
      <c r="C8060" s="5" t="s">
        <v>26</v>
      </c>
      <c r="D8060" s="124" t="s">
        <v>12802</v>
      </c>
      <c r="E8060" s="43">
        <v>450</v>
      </c>
      <c r="F8060" s="43"/>
      <c r="G8060" s="48">
        <f t="shared" si="204"/>
        <v>63066.104838709463</v>
      </c>
      <c r="H8060" s="391" t="s">
        <v>9568</v>
      </c>
      <c r="I8060" s="169">
        <v>15000</v>
      </c>
      <c r="K8060" s="169">
        <v>74282</v>
      </c>
    </row>
    <row r="8061" spans="1:12" x14ac:dyDescent="0.3">
      <c r="A8061" s="45">
        <v>45261</v>
      </c>
      <c r="B8061" s="399" t="s">
        <v>12615</v>
      </c>
      <c r="C8061" s="5" t="s">
        <v>30</v>
      </c>
      <c r="D8061" s="124" t="s">
        <v>10651</v>
      </c>
      <c r="E8061" s="43">
        <v>1450</v>
      </c>
      <c r="F8061" s="43"/>
      <c r="G8061" s="48">
        <f t="shared" si="204"/>
        <v>61616.104838709463</v>
      </c>
      <c r="H8061" s="391" t="s">
        <v>9568</v>
      </c>
      <c r="I8061" s="169">
        <v>34690</v>
      </c>
      <c r="K8061" s="169">
        <v>386760</v>
      </c>
    </row>
    <row r="8062" spans="1:12" x14ac:dyDescent="0.3">
      <c r="A8062" s="45">
        <v>45261</v>
      </c>
      <c r="B8062" s="399" t="s">
        <v>12191</v>
      </c>
      <c r="C8062" s="5" t="s">
        <v>12675</v>
      </c>
      <c r="D8062" s="124" t="s">
        <v>438</v>
      </c>
      <c r="E8062" s="43">
        <v>25000</v>
      </c>
      <c r="F8062" s="43"/>
      <c r="G8062" s="48">
        <f t="shared" si="204"/>
        <v>36616.104838709463</v>
      </c>
      <c r="H8062" s="391" t="s">
        <v>9568</v>
      </c>
      <c r="I8062" s="169">
        <v>49170</v>
      </c>
      <c r="K8062" s="169">
        <v>59680</v>
      </c>
    </row>
    <row r="8063" spans="1:12" x14ac:dyDescent="0.3">
      <c r="A8063" s="45">
        <v>45261</v>
      </c>
      <c r="B8063" s="399" t="s">
        <v>12615</v>
      </c>
      <c r="C8063" s="5" t="s">
        <v>5793</v>
      </c>
      <c r="D8063" s="124" t="s">
        <v>40</v>
      </c>
      <c r="E8063" s="43">
        <v>5000</v>
      </c>
      <c r="F8063" s="43"/>
      <c r="G8063" s="48">
        <f t="shared" si="204"/>
        <v>31616.104838709463</v>
      </c>
      <c r="H8063" s="391" t="s">
        <v>9568</v>
      </c>
      <c r="I8063" s="52">
        <f>SUM(I8038:I8062)</f>
        <v>2287502</v>
      </c>
      <c r="K8063" s="169">
        <v>67140</v>
      </c>
    </row>
    <row r="8064" spans="1:12" x14ac:dyDescent="0.3">
      <c r="A8064" s="45">
        <v>45262</v>
      </c>
      <c r="B8064" s="399" t="s">
        <v>12678</v>
      </c>
      <c r="C8064" s="5" t="s">
        <v>6430</v>
      </c>
      <c r="D8064" s="124" t="s">
        <v>12164</v>
      </c>
      <c r="E8064" s="43">
        <v>6000</v>
      </c>
      <c r="F8064" s="43"/>
      <c r="G8064" s="48">
        <f t="shared" si="204"/>
        <v>25616.104838709463</v>
      </c>
      <c r="H8064" s="391" t="s">
        <v>9568</v>
      </c>
      <c r="I8064" s="52">
        <v>500000</v>
      </c>
      <c r="K8064" s="169">
        <v>24200</v>
      </c>
    </row>
    <row r="8065" spans="1:11" x14ac:dyDescent="0.3">
      <c r="A8065" s="45">
        <v>45262</v>
      </c>
      <c r="B8065" s="399" t="s">
        <v>12287</v>
      </c>
      <c r="C8065" s="5" t="s">
        <v>110</v>
      </c>
      <c r="D8065" s="124" t="s">
        <v>640</v>
      </c>
      <c r="E8065" s="43">
        <v>4500</v>
      </c>
      <c r="F8065" s="43"/>
      <c r="G8065" s="48">
        <f t="shared" si="204"/>
        <v>21116.104838709463</v>
      </c>
      <c r="H8065" s="391" t="s">
        <v>9568</v>
      </c>
      <c r="I8065" s="52">
        <f>I8063-I8064</f>
        <v>1787502</v>
      </c>
      <c r="K8065" s="52">
        <v>78000</v>
      </c>
    </row>
    <row r="8066" spans="1:11" x14ac:dyDescent="0.3">
      <c r="A8066" s="45">
        <v>45262</v>
      </c>
      <c r="B8066" s="399" t="s">
        <v>12138</v>
      </c>
      <c r="C8066" s="5" t="s">
        <v>11194</v>
      </c>
      <c r="D8066" s="124" t="s">
        <v>12352</v>
      </c>
      <c r="E8066" s="43">
        <v>1500</v>
      </c>
      <c r="F8066" s="43"/>
      <c r="G8066" s="48">
        <f t="shared" si="204"/>
        <v>19616.104838709463</v>
      </c>
      <c r="H8066" s="391" t="s">
        <v>9568</v>
      </c>
      <c r="I8066" s="52">
        <v>5008480</v>
      </c>
      <c r="K8066" s="52">
        <v>2952685</v>
      </c>
    </row>
    <row r="8067" spans="1:11" x14ac:dyDescent="0.3">
      <c r="A8067" s="45">
        <v>45262</v>
      </c>
      <c r="B8067" s="399" t="s">
        <v>12506</v>
      </c>
      <c r="C8067" s="5" t="s">
        <v>11194</v>
      </c>
      <c r="D8067" s="124" t="s">
        <v>12803</v>
      </c>
      <c r="E8067" s="43">
        <v>5000</v>
      </c>
      <c r="F8067" s="43"/>
      <c r="G8067" s="48">
        <f t="shared" si="204"/>
        <v>14616.104838709463</v>
      </c>
      <c r="H8067" s="391" t="s">
        <v>9568</v>
      </c>
      <c r="K8067" s="52">
        <v>-2000000</v>
      </c>
    </row>
    <row r="8068" spans="1:11" x14ac:dyDescent="0.3">
      <c r="A8068" s="45">
        <v>45262</v>
      </c>
      <c r="B8068" s="399" t="s">
        <v>12506</v>
      </c>
      <c r="C8068" s="5" t="s">
        <v>11194</v>
      </c>
      <c r="D8068" s="124" t="s">
        <v>12805</v>
      </c>
      <c r="E8068" s="43">
        <v>11620</v>
      </c>
      <c r="F8068" s="43"/>
      <c r="G8068" s="48">
        <f t="shared" si="204"/>
        <v>2996.1048387094634</v>
      </c>
      <c r="H8068" s="391" t="s">
        <v>9568</v>
      </c>
      <c r="K8068" s="52">
        <v>-1000000</v>
      </c>
    </row>
    <row r="8069" spans="1:11" x14ac:dyDescent="0.3">
      <c r="A8069" s="45">
        <v>45262</v>
      </c>
      <c r="B8069" s="586"/>
      <c r="C8069" s="486"/>
      <c r="D8069" s="497" t="s">
        <v>4106</v>
      </c>
      <c r="E8069" s="486"/>
      <c r="F8069" s="43">
        <v>500000</v>
      </c>
      <c r="G8069" s="48">
        <f t="shared" si="204"/>
        <v>502996.10483870946</v>
      </c>
      <c r="H8069" s="391" t="s">
        <v>9568</v>
      </c>
      <c r="K8069" s="52">
        <v>45000</v>
      </c>
    </row>
    <row r="8070" spans="1:11" x14ac:dyDescent="0.3">
      <c r="A8070" s="45">
        <v>45264</v>
      </c>
      <c r="B8070" s="399" t="s">
        <v>12506</v>
      </c>
      <c r="C8070" s="5" t="s">
        <v>11194</v>
      </c>
      <c r="D8070" s="124" t="s">
        <v>12804</v>
      </c>
      <c r="E8070" s="43">
        <v>45000</v>
      </c>
      <c r="F8070" s="43"/>
      <c r="G8070" s="48">
        <f t="shared" si="204"/>
        <v>457996.10483870946</v>
      </c>
      <c r="H8070" s="391" t="s">
        <v>9568</v>
      </c>
      <c r="K8070" s="52">
        <v>55000</v>
      </c>
    </row>
    <row r="8071" spans="1:11" x14ac:dyDescent="0.3">
      <c r="A8071" s="45">
        <v>45264</v>
      </c>
      <c r="B8071" s="399" t="s">
        <v>12138</v>
      </c>
      <c r="C8071" s="5" t="s">
        <v>5793</v>
      </c>
      <c r="D8071" s="124" t="s">
        <v>8924</v>
      </c>
      <c r="E8071" s="43">
        <v>300</v>
      </c>
      <c r="F8071" s="43"/>
      <c r="G8071" s="48">
        <f t="shared" si="204"/>
        <v>457696.10483870946</v>
      </c>
      <c r="H8071" s="391" t="s">
        <v>9568</v>
      </c>
      <c r="I8071" s="52">
        <v>3400</v>
      </c>
      <c r="J8071" s="52" t="s">
        <v>12806</v>
      </c>
      <c r="K8071" s="52">
        <v>55000</v>
      </c>
    </row>
    <row r="8072" spans="1:11" x14ac:dyDescent="0.3">
      <c r="A8072" s="45">
        <v>45264</v>
      </c>
      <c r="B8072" s="399" t="s">
        <v>12615</v>
      </c>
      <c r="C8072" s="5" t="s">
        <v>5793</v>
      </c>
      <c r="D8072" s="124" t="s">
        <v>40</v>
      </c>
      <c r="E8072" s="43">
        <v>5000</v>
      </c>
      <c r="F8072" s="43"/>
      <c r="G8072" s="48">
        <f t="shared" si="204"/>
        <v>452696.10483870946</v>
      </c>
      <c r="H8072" s="391" t="s">
        <v>9568</v>
      </c>
      <c r="I8072" s="52">
        <v>1700</v>
      </c>
      <c r="J8072" s="52" t="s">
        <v>12807</v>
      </c>
      <c r="K8072" s="52">
        <v>45000</v>
      </c>
    </row>
    <row r="8073" spans="1:11" x14ac:dyDescent="0.3">
      <c r="A8073" s="45">
        <v>45264</v>
      </c>
      <c r="B8073" s="399" t="s">
        <v>25</v>
      </c>
      <c r="C8073" s="5" t="s">
        <v>25</v>
      </c>
      <c r="D8073" s="124" t="s">
        <v>12754</v>
      </c>
      <c r="E8073" s="43">
        <v>2000</v>
      </c>
      <c r="F8073" s="43"/>
      <c r="G8073" s="48">
        <f t="shared" si="204"/>
        <v>450696.10483870946</v>
      </c>
      <c r="H8073" s="391" t="s">
        <v>9568</v>
      </c>
      <c r="I8073" s="52">
        <v>3200</v>
      </c>
      <c r="J8073" s="52" t="s">
        <v>12807</v>
      </c>
    </row>
    <row r="8074" spans="1:11" x14ac:dyDescent="0.3">
      <c r="A8074" s="45">
        <v>45264</v>
      </c>
      <c r="B8074" s="399" t="s">
        <v>12640</v>
      </c>
      <c r="C8074" s="5" t="s">
        <v>5793</v>
      </c>
      <c r="D8074" s="124" t="s">
        <v>40</v>
      </c>
      <c r="E8074" s="43">
        <v>1700</v>
      </c>
      <c r="F8074" s="43"/>
      <c r="G8074" s="48">
        <f t="shared" si="204"/>
        <v>448996.10483870946</v>
      </c>
      <c r="H8074" s="391" t="s">
        <v>9568</v>
      </c>
      <c r="I8074" s="52">
        <f>SUM(I8071:I8073)</f>
        <v>8300</v>
      </c>
    </row>
    <row r="8075" spans="1:11" x14ac:dyDescent="0.3">
      <c r="A8075" s="45">
        <v>45265</v>
      </c>
      <c r="B8075" s="399"/>
      <c r="C8075" s="5" t="s">
        <v>68</v>
      </c>
      <c r="D8075" s="124" t="s">
        <v>294</v>
      </c>
      <c r="E8075" s="43">
        <v>1000</v>
      </c>
      <c r="F8075" s="43"/>
      <c r="G8075" s="48">
        <f t="shared" si="204"/>
        <v>447996.10483870946</v>
      </c>
      <c r="H8075" s="391" t="s">
        <v>9568</v>
      </c>
      <c r="I8075" s="52">
        <v>3000</v>
      </c>
      <c r="J8075" s="52" t="s">
        <v>12806</v>
      </c>
      <c r="K8075" s="52">
        <f>SUM(K8051:K8074)</f>
        <v>2994962</v>
      </c>
    </row>
    <row r="8076" spans="1:11" x14ac:dyDescent="0.3">
      <c r="A8076" s="45">
        <v>45265</v>
      </c>
      <c r="B8076" s="399" t="s">
        <v>10333</v>
      </c>
      <c r="C8076" s="5" t="s">
        <v>9801</v>
      </c>
      <c r="D8076" s="124" t="s">
        <v>12812</v>
      </c>
      <c r="E8076" s="43">
        <v>11000</v>
      </c>
      <c r="F8076" s="43"/>
      <c r="G8076" s="48">
        <f t="shared" si="204"/>
        <v>436996.10483870946</v>
      </c>
      <c r="H8076" s="391" t="s">
        <v>9568</v>
      </c>
      <c r="I8076" s="52">
        <v>1700</v>
      </c>
      <c r="J8076" s="52" t="s">
        <v>12806</v>
      </c>
    </row>
    <row r="8077" spans="1:11" x14ac:dyDescent="0.3">
      <c r="A8077" s="45">
        <v>45265</v>
      </c>
      <c r="B8077" s="586"/>
      <c r="C8077" s="486"/>
      <c r="D8077" s="497" t="s">
        <v>4106</v>
      </c>
      <c r="E8077" s="486"/>
      <c r="F8077" s="43">
        <v>300000</v>
      </c>
      <c r="G8077" s="48">
        <f t="shared" si="204"/>
        <v>736996.10483870946</v>
      </c>
      <c r="H8077" s="391" t="s">
        <v>9568</v>
      </c>
    </row>
    <row r="8078" spans="1:11" x14ac:dyDescent="0.3">
      <c r="A8078" s="45">
        <v>45265</v>
      </c>
      <c r="B8078" s="399" t="s">
        <v>12618</v>
      </c>
      <c r="C8078" s="5" t="s">
        <v>8863</v>
      </c>
      <c r="D8078" s="124" t="s">
        <v>294</v>
      </c>
      <c r="E8078" s="43">
        <v>30000</v>
      </c>
      <c r="F8078" s="43"/>
      <c r="G8078" s="48">
        <f t="shared" si="204"/>
        <v>706996.10483870946</v>
      </c>
      <c r="H8078" s="391" t="s">
        <v>9568</v>
      </c>
      <c r="I8078" s="52">
        <f>I8076+I8075</f>
        <v>4700</v>
      </c>
    </row>
    <row r="8079" spans="1:11" x14ac:dyDescent="0.3">
      <c r="A8079" s="45">
        <v>45265</v>
      </c>
      <c r="B8079" s="626" t="s">
        <v>12640</v>
      </c>
      <c r="C8079" s="627" t="s">
        <v>54</v>
      </c>
      <c r="D8079" s="628" t="s">
        <v>6245</v>
      </c>
      <c r="E8079" s="629">
        <v>100040</v>
      </c>
      <c r="F8079" s="43"/>
      <c r="G8079" s="48">
        <f t="shared" si="204"/>
        <v>606956.10483870946</v>
      </c>
      <c r="H8079" s="391" t="s">
        <v>9568</v>
      </c>
      <c r="I8079" s="52">
        <v>1300</v>
      </c>
    </row>
    <row r="8080" spans="1:11" x14ac:dyDescent="0.3">
      <c r="A8080" s="45">
        <v>45265</v>
      </c>
      <c r="B8080" s="399" t="s">
        <v>25</v>
      </c>
      <c r="C8080" s="5" t="s">
        <v>26</v>
      </c>
      <c r="D8080" s="124" t="s">
        <v>6543</v>
      </c>
      <c r="E8080" s="43">
        <v>1600</v>
      </c>
      <c r="F8080" s="43"/>
      <c r="G8080" s="48">
        <f t="shared" si="204"/>
        <v>605356.10483870946</v>
      </c>
      <c r="H8080" s="391" t="s">
        <v>9568</v>
      </c>
      <c r="I8080" s="52">
        <f>I8079+I8078</f>
        <v>6000</v>
      </c>
    </row>
    <row r="8081" spans="1:14" x14ac:dyDescent="0.3">
      <c r="A8081" s="45">
        <v>45265</v>
      </c>
      <c r="B8081" s="399" t="s">
        <v>25</v>
      </c>
      <c r="C8081" s="5" t="s">
        <v>25</v>
      </c>
      <c r="D8081" s="124" t="s">
        <v>12754</v>
      </c>
      <c r="E8081" s="43">
        <v>5000</v>
      </c>
      <c r="F8081" s="43"/>
      <c r="G8081" s="48">
        <f t="shared" si="204"/>
        <v>600356.10483870946</v>
      </c>
      <c r="H8081" s="391" t="s">
        <v>9568</v>
      </c>
      <c r="L8081" s="93"/>
    </row>
    <row r="8082" spans="1:14" x14ac:dyDescent="0.3">
      <c r="A8082" s="45">
        <v>45265</v>
      </c>
      <c r="B8082" s="399" t="s">
        <v>12640</v>
      </c>
      <c r="C8082" s="5" t="s">
        <v>9765</v>
      </c>
      <c r="D8082" s="124" t="s">
        <v>12813</v>
      </c>
      <c r="E8082" s="43">
        <v>5000</v>
      </c>
      <c r="F8082" s="43"/>
      <c r="G8082" s="48">
        <f t="shared" si="204"/>
        <v>595356.10483870946</v>
      </c>
      <c r="H8082" s="391" t="s">
        <v>9568</v>
      </c>
      <c r="K8082" s="52">
        <v>1960000</v>
      </c>
    </row>
    <row r="8083" spans="1:14" x14ac:dyDescent="0.3">
      <c r="A8083" s="45">
        <v>45265</v>
      </c>
      <c r="B8083" s="399"/>
      <c r="C8083" s="5" t="s">
        <v>6430</v>
      </c>
      <c r="D8083" s="124" t="s">
        <v>294</v>
      </c>
      <c r="E8083" s="43">
        <v>13500</v>
      </c>
      <c r="F8083" s="43"/>
      <c r="G8083" s="48">
        <f t="shared" si="204"/>
        <v>581856.10483870946</v>
      </c>
      <c r="H8083" s="391" t="s">
        <v>9568</v>
      </c>
      <c r="K8083" s="52">
        <f>K8082*13%</f>
        <v>254800</v>
      </c>
    </row>
    <row r="8084" spans="1:14" x14ac:dyDescent="0.3">
      <c r="A8084" s="45">
        <v>45265</v>
      </c>
      <c r="B8084" s="399" t="s">
        <v>12703</v>
      </c>
      <c r="C8084" s="5" t="s">
        <v>5793</v>
      </c>
      <c r="D8084" s="124" t="s">
        <v>8924</v>
      </c>
      <c r="E8084" s="43">
        <v>500</v>
      </c>
      <c r="F8084" s="43"/>
      <c r="G8084" s="48">
        <f t="shared" si="204"/>
        <v>581356.10483870946</v>
      </c>
      <c r="H8084" s="391" t="s">
        <v>9568</v>
      </c>
      <c r="J8084" s="625">
        <v>5000</v>
      </c>
      <c r="K8084" s="52" t="s">
        <v>12253</v>
      </c>
    </row>
    <row r="8085" spans="1:14" x14ac:dyDescent="0.3">
      <c r="A8085" s="45">
        <v>45265</v>
      </c>
      <c r="B8085" s="626" t="s">
        <v>25</v>
      </c>
      <c r="C8085" s="627" t="s">
        <v>54</v>
      </c>
      <c r="D8085" s="628" t="s">
        <v>11399</v>
      </c>
      <c r="E8085" s="629">
        <f>5000+17500+43870+35800+42000+75000+76000+41000</f>
        <v>336170</v>
      </c>
      <c r="F8085" s="43"/>
      <c r="G8085" s="48">
        <f t="shared" si="204"/>
        <v>245186.10483870946</v>
      </c>
      <c r="H8085" s="391" t="s">
        <v>9568</v>
      </c>
    </row>
    <row r="8086" spans="1:14" x14ac:dyDescent="0.3">
      <c r="A8086" s="45">
        <v>45266</v>
      </c>
      <c r="B8086" s="399"/>
      <c r="C8086" s="5" t="s">
        <v>14</v>
      </c>
      <c r="D8086" s="124" t="s">
        <v>12272</v>
      </c>
      <c r="E8086" s="43">
        <f>21338+700</f>
        <v>22038</v>
      </c>
      <c r="F8086" s="43"/>
      <c r="G8086" s="48">
        <f t="shared" si="204"/>
        <v>223148.10483870946</v>
      </c>
      <c r="H8086" s="391" t="s">
        <v>9568</v>
      </c>
    </row>
    <row r="8087" spans="1:14" x14ac:dyDescent="0.3">
      <c r="A8087" s="45">
        <v>45266</v>
      </c>
      <c r="B8087" s="399" t="s">
        <v>12287</v>
      </c>
      <c r="C8087" s="5" t="s">
        <v>1074</v>
      </c>
      <c r="D8087" s="124" t="s">
        <v>4601</v>
      </c>
      <c r="E8087" s="43">
        <v>410</v>
      </c>
      <c r="F8087" s="43"/>
      <c r="G8087" s="48">
        <f t="shared" si="204"/>
        <v>222738.10483870946</v>
      </c>
      <c r="H8087" s="391" t="s">
        <v>9568</v>
      </c>
    </row>
    <row r="8088" spans="1:14" x14ac:dyDescent="0.3">
      <c r="A8088" s="45">
        <v>45266</v>
      </c>
      <c r="B8088" s="399" t="s">
        <v>25</v>
      </c>
      <c r="C8088" s="5" t="s">
        <v>1074</v>
      </c>
      <c r="D8088" s="124" t="s">
        <v>4601</v>
      </c>
      <c r="E8088" s="43">
        <v>190</v>
      </c>
      <c r="F8088" s="43"/>
      <c r="G8088" s="48">
        <f t="shared" si="204"/>
        <v>222548.10483870946</v>
      </c>
      <c r="H8088" s="391" t="s">
        <v>9568</v>
      </c>
    </row>
    <row r="8089" spans="1:14" x14ac:dyDescent="0.3">
      <c r="A8089" s="45">
        <v>45266</v>
      </c>
      <c r="B8089" s="399"/>
      <c r="C8089" s="5" t="s">
        <v>4550</v>
      </c>
      <c r="D8089" s="124" t="s">
        <v>294</v>
      </c>
      <c r="E8089" s="43">
        <v>15000</v>
      </c>
      <c r="F8089" s="43"/>
      <c r="G8089" s="48">
        <f t="shared" si="204"/>
        <v>207548.10483870946</v>
      </c>
      <c r="H8089" s="391" t="s">
        <v>9568</v>
      </c>
    </row>
    <row r="8090" spans="1:14" x14ac:dyDescent="0.3">
      <c r="A8090" s="45">
        <v>45266</v>
      </c>
      <c r="B8090" s="399" t="s">
        <v>10333</v>
      </c>
      <c r="C8090" s="5" t="s">
        <v>5793</v>
      </c>
      <c r="D8090" s="124" t="s">
        <v>40</v>
      </c>
      <c r="E8090" s="43">
        <v>3800</v>
      </c>
      <c r="F8090" s="43"/>
      <c r="G8090" s="48">
        <f t="shared" si="204"/>
        <v>203748.10483870946</v>
      </c>
      <c r="H8090" s="391" t="s">
        <v>9568</v>
      </c>
    </row>
    <row r="8091" spans="1:14" x14ac:dyDescent="0.3">
      <c r="A8091" s="45">
        <v>45266</v>
      </c>
      <c r="B8091" s="626" t="s">
        <v>25</v>
      </c>
      <c r="C8091" s="627" t="s">
        <v>54</v>
      </c>
      <c r="D8091" s="628" t="s">
        <v>8824</v>
      </c>
      <c r="E8091" s="629">
        <v>41880</v>
      </c>
      <c r="F8091" s="43"/>
      <c r="G8091" s="48">
        <f t="shared" si="204"/>
        <v>161868.10483870946</v>
      </c>
      <c r="H8091" s="391" t="s">
        <v>9568</v>
      </c>
    </row>
    <row r="8092" spans="1:14" x14ac:dyDescent="0.3">
      <c r="A8092" s="45">
        <v>45266</v>
      </c>
      <c r="B8092" s="399" t="s">
        <v>12703</v>
      </c>
      <c r="C8092" s="5" t="s">
        <v>5793</v>
      </c>
      <c r="D8092" s="124" t="s">
        <v>40</v>
      </c>
      <c r="E8092" s="65">
        <v>4000</v>
      </c>
      <c r="F8092" s="65"/>
      <c r="G8092" s="48">
        <f t="shared" si="204"/>
        <v>157868.10483870946</v>
      </c>
      <c r="H8092" s="391" t="s">
        <v>9568</v>
      </c>
      <c r="I8092" s="102"/>
      <c r="J8092" s="102"/>
      <c r="K8092" s="102"/>
      <c r="N8092" s="102"/>
    </row>
    <row r="8093" spans="1:14" x14ac:dyDescent="0.3">
      <c r="A8093" s="45">
        <v>45266</v>
      </c>
      <c r="B8093" s="399"/>
      <c r="C8093" s="5" t="s">
        <v>11194</v>
      </c>
      <c r="D8093" s="124" t="s">
        <v>12814</v>
      </c>
      <c r="E8093" s="43">
        <v>4250</v>
      </c>
      <c r="F8093" s="43"/>
      <c r="G8093" s="48">
        <f t="shared" si="204"/>
        <v>153618.10483870946</v>
      </c>
      <c r="H8093" s="391" t="s">
        <v>9568</v>
      </c>
    </row>
    <row r="8094" spans="1:14" x14ac:dyDescent="0.3">
      <c r="A8094" s="45">
        <v>45266</v>
      </c>
      <c r="B8094" s="626" t="s">
        <v>12132</v>
      </c>
      <c r="C8094" s="627" t="s">
        <v>54</v>
      </c>
      <c r="D8094" s="628" t="s">
        <v>12815</v>
      </c>
      <c r="E8094" s="629">
        <v>132130</v>
      </c>
      <c r="F8094" s="43"/>
      <c r="G8094" s="48">
        <f t="shared" si="204"/>
        <v>21488.104838709463</v>
      </c>
      <c r="H8094" s="391" t="s">
        <v>9568</v>
      </c>
    </row>
    <row r="8095" spans="1:14" x14ac:dyDescent="0.3">
      <c r="A8095" s="45">
        <v>45266</v>
      </c>
      <c r="B8095" s="399" t="s">
        <v>12132</v>
      </c>
      <c r="C8095" s="5" t="s">
        <v>26</v>
      </c>
      <c r="D8095" s="124" t="s">
        <v>12593</v>
      </c>
      <c r="E8095" s="43">
        <v>3000</v>
      </c>
      <c r="F8095" s="43"/>
      <c r="G8095" s="48">
        <f t="shared" si="204"/>
        <v>18488.104838709463</v>
      </c>
      <c r="H8095" s="391" t="s">
        <v>9568</v>
      </c>
    </row>
    <row r="8096" spans="1:14" x14ac:dyDescent="0.3">
      <c r="A8096" s="45">
        <v>45266</v>
      </c>
      <c r="B8096" s="399" t="s">
        <v>12703</v>
      </c>
      <c r="C8096" s="5" t="s">
        <v>11194</v>
      </c>
      <c r="D8096" s="124" t="s">
        <v>12345</v>
      </c>
      <c r="E8096" s="43">
        <v>3650</v>
      </c>
      <c r="F8096" s="43"/>
      <c r="G8096" s="48">
        <f t="shared" si="204"/>
        <v>14838.104838709463</v>
      </c>
      <c r="H8096" s="391" t="s">
        <v>9568</v>
      </c>
      <c r="J8096" s="52">
        <v>3650</v>
      </c>
    </row>
    <row r="8097" spans="1:10" x14ac:dyDescent="0.3">
      <c r="A8097" s="45">
        <v>45266</v>
      </c>
      <c r="B8097" s="399" t="s">
        <v>12189</v>
      </c>
      <c r="C8097" s="5" t="s">
        <v>26</v>
      </c>
      <c r="D8097" s="124" t="s">
        <v>4376</v>
      </c>
      <c r="E8097" s="43">
        <v>1000</v>
      </c>
      <c r="F8097" s="43"/>
      <c r="G8097" s="48">
        <f t="shared" si="204"/>
        <v>13838.104838709463</v>
      </c>
      <c r="H8097" s="391" t="s">
        <v>9568</v>
      </c>
      <c r="J8097" s="52">
        <v>4250</v>
      </c>
    </row>
    <row r="8098" spans="1:10" x14ac:dyDescent="0.3">
      <c r="A8098" s="45">
        <v>45266</v>
      </c>
      <c r="B8098" s="399" t="s">
        <v>25</v>
      </c>
      <c r="C8098" s="5" t="s">
        <v>25</v>
      </c>
      <c r="D8098" s="124" t="s">
        <v>12754</v>
      </c>
      <c r="E8098" s="43">
        <v>3000</v>
      </c>
      <c r="F8098" s="43"/>
      <c r="G8098" s="48">
        <f t="shared" si="204"/>
        <v>10838.104838709463</v>
      </c>
      <c r="H8098" s="391" t="s">
        <v>9568</v>
      </c>
      <c r="J8098" s="52">
        <f>SUM(J8096:J8097)</f>
        <v>7900</v>
      </c>
    </row>
    <row r="8099" spans="1:10" x14ac:dyDescent="0.3">
      <c r="A8099" s="45">
        <v>45267</v>
      </c>
      <c r="B8099" s="586"/>
      <c r="C8099" s="486"/>
      <c r="D8099" s="497" t="s">
        <v>4106</v>
      </c>
      <c r="E8099" s="486"/>
      <c r="F8099" s="43">
        <v>850000</v>
      </c>
      <c r="G8099" s="48">
        <f t="shared" si="204"/>
        <v>860838.10483870946</v>
      </c>
      <c r="H8099" s="391" t="s">
        <v>9568</v>
      </c>
    </row>
    <row r="8100" spans="1:10" x14ac:dyDescent="0.3">
      <c r="A8100" s="45">
        <v>45267</v>
      </c>
      <c r="B8100" s="626" t="s">
        <v>12138</v>
      </c>
      <c r="C8100" s="627" t="s">
        <v>54</v>
      </c>
      <c r="D8100" s="628" t="s">
        <v>12821</v>
      </c>
      <c r="E8100" s="629">
        <v>23500</v>
      </c>
      <c r="F8100" s="43"/>
      <c r="G8100" s="48">
        <f t="shared" si="204"/>
        <v>837338.10483870946</v>
      </c>
      <c r="H8100" s="391" t="s">
        <v>9568</v>
      </c>
    </row>
    <row r="8101" spans="1:10" x14ac:dyDescent="0.3">
      <c r="A8101" s="45">
        <v>45267</v>
      </c>
      <c r="B8101" s="626" t="s">
        <v>12189</v>
      </c>
      <c r="C8101" s="627" t="s">
        <v>54</v>
      </c>
      <c r="D8101" s="628" t="s">
        <v>12822</v>
      </c>
      <c r="E8101" s="629">
        <v>40480</v>
      </c>
      <c r="F8101" s="43"/>
      <c r="G8101" s="48">
        <f t="shared" si="204"/>
        <v>796858.10483870946</v>
      </c>
      <c r="H8101" s="391" t="s">
        <v>9568</v>
      </c>
      <c r="I8101" s="52">
        <v>2300000</v>
      </c>
    </row>
    <row r="8102" spans="1:10" x14ac:dyDescent="0.3">
      <c r="A8102" s="45">
        <v>45267</v>
      </c>
      <c r="B8102" s="626" t="s">
        <v>12092</v>
      </c>
      <c r="C8102" s="627" t="s">
        <v>54</v>
      </c>
      <c r="D8102" s="628" t="s">
        <v>11404</v>
      </c>
      <c r="E8102" s="629">
        <v>57750</v>
      </c>
      <c r="F8102" s="43"/>
      <c r="G8102" s="48">
        <f t="shared" si="204"/>
        <v>739108.10483870946</v>
      </c>
      <c r="H8102" s="391" t="s">
        <v>9568</v>
      </c>
      <c r="I8102" s="52">
        <v>250000</v>
      </c>
    </row>
    <row r="8103" spans="1:10" x14ac:dyDescent="0.3">
      <c r="A8103" s="45">
        <v>45267</v>
      </c>
      <c r="B8103" s="626" t="s">
        <v>12640</v>
      </c>
      <c r="C8103" s="627" t="s">
        <v>54</v>
      </c>
      <c r="D8103" s="628" t="s">
        <v>12823</v>
      </c>
      <c r="E8103" s="629">
        <v>65000</v>
      </c>
      <c r="F8103" s="43"/>
      <c r="G8103" s="48">
        <f t="shared" si="204"/>
        <v>674108.10483870946</v>
      </c>
      <c r="H8103" s="391" t="s">
        <v>9568</v>
      </c>
      <c r="I8103" s="52">
        <v>350000</v>
      </c>
    </row>
    <row r="8104" spans="1:10" x14ac:dyDescent="0.3">
      <c r="A8104" s="45">
        <v>45267</v>
      </c>
      <c r="B8104" s="626" t="s">
        <v>12092</v>
      </c>
      <c r="C8104" s="627" t="s">
        <v>54</v>
      </c>
      <c r="D8104" s="628" t="s">
        <v>12824</v>
      </c>
      <c r="E8104" s="629">
        <v>50210</v>
      </c>
      <c r="F8104" s="43"/>
      <c r="G8104" s="48">
        <f t="shared" si="204"/>
        <v>623898.10483870946</v>
      </c>
      <c r="H8104" s="391" t="s">
        <v>9568</v>
      </c>
      <c r="I8104" s="52">
        <f>SUM(I8101:I8103)</f>
        <v>2900000</v>
      </c>
    </row>
    <row r="8105" spans="1:10" x14ac:dyDescent="0.3">
      <c r="A8105" s="45">
        <v>45267</v>
      </c>
      <c r="B8105" s="626" t="s">
        <v>12098</v>
      </c>
      <c r="C8105" s="627" t="s">
        <v>54</v>
      </c>
      <c r="D8105" s="628" t="s">
        <v>12828</v>
      </c>
      <c r="E8105" s="629">
        <f>33020+31000+29040</f>
        <v>93060</v>
      </c>
      <c r="F8105" s="43"/>
      <c r="G8105" s="48">
        <f t="shared" si="204"/>
        <v>530838.10483870946</v>
      </c>
      <c r="H8105" s="391" t="s">
        <v>9568</v>
      </c>
      <c r="I8105" s="52">
        <f>I8104*13%</f>
        <v>377000</v>
      </c>
    </row>
    <row r="8106" spans="1:10" x14ac:dyDescent="0.3">
      <c r="A8106" s="45">
        <v>45267</v>
      </c>
      <c r="B8106" s="626" t="s">
        <v>12092</v>
      </c>
      <c r="C8106" s="627" t="s">
        <v>54</v>
      </c>
      <c r="D8106" s="628" t="s">
        <v>12827</v>
      </c>
      <c r="E8106" s="629">
        <v>17130</v>
      </c>
      <c r="F8106" s="43"/>
      <c r="G8106" s="48">
        <f t="shared" si="204"/>
        <v>513708.10483870946</v>
      </c>
      <c r="H8106" s="391" t="s">
        <v>9568</v>
      </c>
      <c r="I8106" s="52">
        <f>I8105+I8104</f>
        <v>3277000</v>
      </c>
    </row>
    <row r="8107" spans="1:10" x14ac:dyDescent="0.3">
      <c r="A8107" s="45">
        <v>45267</v>
      </c>
      <c r="B8107" s="626" t="s">
        <v>12678</v>
      </c>
      <c r="C8107" s="627" t="s">
        <v>54</v>
      </c>
      <c r="D8107" s="628" t="s">
        <v>12830</v>
      </c>
      <c r="E8107" s="629">
        <f>127670+223104+29710</f>
        <v>380484</v>
      </c>
      <c r="F8107" s="43"/>
      <c r="G8107" s="48">
        <f t="shared" si="204"/>
        <v>133224.10483870946</v>
      </c>
      <c r="H8107" s="391" t="s">
        <v>9568</v>
      </c>
      <c r="I8107" s="52">
        <v>2900000</v>
      </c>
    </row>
    <row r="8108" spans="1:10" x14ac:dyDescent="0.3">
      <c r="A8108" s="45">
        <v>45267</v>
      </c>
      <c r="B8108" s="626" t="s">
        <v>12092</v>
      </c>
      <c r="C8108" s="627" t="s">
        <v>54</v>
      </c>
      <c r="D8108" s="628" t="s">
        <v>12831</v>
      </c>
      <c r="E8108" s="629">
        <v>40500</v>
      </c>
      <c r="F8108" s="43"/>
      <c r="G8108" s="48">
        <f t="shared" si="204"/>
        <v>92724.104838709463</v>
      </c>
      <c r="H8108" s="391" t="s">
        <v>9568</v>
      </c>
      <c r="I8108" s="52">
        <f>I8107*13%</f>
        <v>377000</v>
      </c>
    </row>
    <row r="8109" spans="1:10" x14ac:dyDescent="0.3">
      <c r="A8109" s="45">
        <v>45267</v>
      </c>
      <c r="B8109" s="399" t="s">
        <v>12703</v>
      </c>
      <c r="C8109" s="5" t="s">
        <v>11194</v>
      </c>
      <c r="D8109" s="124" t="s">
        <v>12833</v>
      </c>
      <c r="E8109" s="43">
        <v>28000</v>
      </c>
      <c r="F8109" s="43"/>
      <c r="G8109" s="48">
        <f t="shared" si="204"/>
        <v>64724.104838709463</v>
      </c>
      <c r="H8109" s="391" t="s">
        <v>9568</v>
      </c>
      <c r="I8109" s="52">
        <f>I8108+I8107</f>
        <v>3277000</v>
      </c>
    </row>
    <row r="8110" spans="1:10" x14ac:dyDescent="0.3">
      <c r="A8110" s="45">
        <v>45267</v>
      </c>
      <c r="B8110" s="399" t="s">
        <v>10333</v>
      </c>
      <c r="C8110" s="5" t="s">
        <v>11194</v>
      </c>
      <c r="D8110" s="124" t="s">
        <v>11970</v>
      </c>
      <c r="E8110" s="43">
        <v>8500</v>
      </c>
      <c r="F8110" s="43"/>
      <c r="G8110" s="48">
        <f t="shared" si="204"/>
        <v>56224.104838709463</v>
      </c>
      <c r="H8110" s="391" t="s">
        <v>9568</v>
      </c>
    </row>
    <row r="8111" spans="1:10" x14ac:dyDescent="0.3">
      <c r="A8111" s="45">
        <v>45267</v>
      </c>
      <c r="B8111" s="399" t="s">
        <v>12703</v>
      </c>
      <c r="C8111" s="5" t="s">
        <v>5793</v>
      </c>
      <c r="D8111" s="124" t="s">
        <v>40</v>
      </c>
      <c r="E8111" s="43">
        <v>950</v>
      </c>
      <c r="F8111" s="43"/>
      <c r="G8111" s="48">
        <f t="shared" si="204"/>
        <v>55274.104838709463</v>
      </c>
      <c r="H8111" s="391" t="s">
        <v>9568</v>
      </c>
    </row>
    <row r="8112" spans="1:10" x14ac:dyDescent="0.3">
      <c r="A8112" s="45">
        <v>45267</v>
      </c>
      <c r="B8112" s="399" t="s">
        <v>12703</v>
      </c>
      <c r="C8112" s="5" t="s">
        <v>11194</v>
      </c>
      <c r="D8112" s="124" t="s">
        <v>677</v>
      </c>
      <c r="E8112" s="43">
        <v>540</v>
      </c>
      <c r="F8112" s="43"/>
      <c r="G8112" s="48">
        <f t="shared" si="204"/>
        <v>54734.104838709463</v>
      </c>
      <c r="H8112" s="391" t="s">
        <v>9568</v>
      </c>
    </row>
    <row r="8113" spans="1:10" x14ac:dyDescent="0.3">
      <c r="A8113" s="45">
        <v>45267</v>
      </c>
      <c r="B8113" s="399" t="s">
        <v>25</v>
      </c>
      <c r="C8113" s="5" t="s">
        <v>25</v>
      </c>
      <c r="D8113" s="124" t="s">
        <v>12754</v>
      </c>
      <c r="E8113" s="43">
        <v>4000</v>
      </c>
      <c r="F8113" s="43"/>
      <c r="G8113" s="48">
        <f t="shared" si="204"/>
        <v>50734.104838709463</v>
      </c>
      <c r="H8113" s="391" t="s">
        <v>9568</v>
      </c>
    </row>
    <row r="8114" spans="1:10" x14ac:dyDescent="0.3">
      <c r="A8114" s="45">
        <v>45267</v>
      </c>
      <c r="B8114" s="399" t="s">
        <v>12089</v>
      </c>
      <c r="C8114" s="5" t="s">
        <v>5162</v>
      </c>
      <c r="D8114" s="124" t="s">
        <v>5813</v>
      </c>
      <c r="E8114" s="43">
        <v>2000</v>
      </c>
      <c r="F8114" s="43"/>
      <c r="G8114" s="48">
        <f t="shared" si="204"/>
        <v>48734.104838709463</v>
      </c>
      <c r="H8114" s="391" t="s">
        <v>9568</v>
      </c>
    </row>
    <row r="8115" spans="1:10" x14ac:dyDescent="0.3">
      <c r="A8115" s="45">
        <v>45267</v>
      </c>
      <c r="B8115" s="399" t="s">
        <v>25</v>
      </c>
      <c r="C8115" s="5" t="s">
        <v>25</v>
      </c>
      <c r="D8115" s="124" t="s">
        <v>12842</v>
      </c>
      <c r="E8115" s="43">
        <v>800</v>
      </c>
      <c r="F8115" s="43"/>
      <c r="G8115" s="48">
        <f t="shared" si="204"/>
        <v>47934.104838709463</v>
      </c>
      <c r="H8115" s="391" t="s">
        <v>9568</v>
      </c>
    </row>
    <row r="8116" spans="1:10" x14ac:dyDescent="0.3">
      <c r="A8116" s="45">
        <v>45268</v>
      </c>
      <c r="B8116" s="399" t="s">
        <v>12138</v>
      </c>
      <c r="C8116" s="5" t="s">
        <v>11194</v>
      </c>
      <c r="D8116" s="124" t="s">
        <v>12829</v>
      </c>
      <c r="E8116" s="43">
        <v>1200</v>
      </c>
      <c r="F8116" s="43"/>
      <c r="G8116" s="48">
        <f t="shared" ref="G8116:G8187" si="205">G8115+F8116-E8116</f>
        <v>46734.104838709463</v>
      </c>
      <c r="H8116" s="391" t="s">
        <v>9568</v>
      </c>
      <c r="I8116" s="609" t="s">
        <v>12581</v>
      </c>
      <c r="J8116" s="187" t="e">
        <f>#REF!</f>
        <v>#REF!</v>
      </c>
    </row>
    <row r="8117" spans="1:10" x14ac:dyDescent="0.3">
      <c r="A8117" s="45">
        <v>45268</v>
      </c>
      <c r="B8117" s="399" t="s">
        <v>12138</v>
      </c>
      <c r="C8117" s="5" t="s">
        <v>5793</v>
      </c>
      <c r="D8117" s="124" t="s">
        <v>40</v>
      </c>
      <c r="E8117" s="43">
        <v>500</v>
      </c>
      <c r="F8117" s="43"/>
      <c r="G8117" s="48">
        <f t="shared" si="205"/>
        <v>46234.104838709463</v>
      </c>
      <c r="H8117" s="391" t="s">
        <v>9568</v>
      </c>
      <c r="I8117" s="609" t="s">
        <v>55</v>
      </c>
      <c r="J8117" s="187">
        <f ca="1">SUMIF(C8047:E8162,"salary",E8047:E8162)</f>
        <v>1835518.5833333333</v>
      </c>
    </row>
    <row r="8118" spans="1:10" x14ac:dyDescent="0.3">
      <c r="A8118" s="45">
        <v>45268</v>
      </c>
      <c r="B8118" s="399" t="s">
        <v>12703</v>
      </c>
      <c r="C8118" s="5" t="s">
        <v>5793</v>
      </c>
      <c r="D8118" s="124" t="s">
        <v>12834</v>
      </c>
      <c r="E8118" s="43">
        <v>1000</v>
      </c>
      <c r="F8118" s="43"/>
      <c r="G8118" s="48">
        <f t="shared" si="205"/>
        <v>45234.104838709463</v>
      </c>
      <c r="H8118" s="391" t="s">
        <v>9568</v>
      </c>
      <c r="I8118" s="609" t="s">
        <v>12294</v>
      </c>
      <c r="J8118" s="187" t="e">
        <f ca="1">J8116-J8117</f>
        <v>#REF!</v>
      </c>
    </row>
    <row r="8119" spans="1:10" x14ac:dyDescent="0.3">
      <c r="A8119" s="45">
        <v>45268</v>
      </c>
      <c r="B8119" s="399" t="s">
        <v>12138</v>
      </c>
      <c r="C8119" s="5" t="s">
        <v>11194</v>
      </c>
      <c r="D8119" s="124" t="s">
        <v>12836</v>
      </c>
      <c r="E8119" s="43">
        <v>11750</v>
      </c>
      <c r="F8119" s="43"/>
      <c r="G8119" s="48">
        <f t="shared" si="205"/>
        <v>33484.104838709463</v>
      </c>
      <c r="H8119" s="391" t="s">
        <v>9568</v>
      </c>
      <c r="I8119" s="609"/>
      <c r="J8119" s="187"/>
    </row>
    <row r="8120" spans="1:10" x14ac:dyDescent="0.3">
      <c r="A8120" s="45">
        <v>45268</v>
      </c>
      <c r="B8120" s="399" t="s">
        <v>12138</v>
      </c>
      <c r="C8120" s="5" t="s">
        <v>11194</v>
      </c>
      <c r="D8120" s="124" t="s">
        <v>12841</v>
      </c>
      <c r="E8120" s="43">
        <v>5000</v>
      </c>
      <c r="F8120" s="43"/>
      <c r="G8120" s="48">
        <f t="shared" si="205"/>
        <v>28484.104838709463</v>
      </c>
      <c r="H8120" s="391" t="s">
        <v>9568</v>
      </c>
      <c r="I8120" s="615"/>
      <c r="J8120" s="616"/>
    </row>
    <row r="8121" spans="1:10" x14ac:dyDescent="0.3">
      <c r="A8121" s="45">
        <v>45268</v>
      </c>
      <c r="B8121" s="399" t="s">
        <v>12138</v>
      </c>
      <c r="C8121" s="5" t="s">
        <v>11194</v>
      </c>
      <c r="D8121" s="124" t="s">
        <v>12837</v>
      </c>
      <c r="E8121" s="43">
        <v>2700</v>
      </c>
      <c r="F8121" s="43"/>
      <c r="G8121" s="48">
        <f t="shared" si="205"/>
        <v>25784.104838709463</v>
      </c>
      <c r="H8121" s="391" t="s">
        <v>9568</v>
      </c>
      <c r="I8121" s="615"/>
      <c r="J8121" s="616"/>
    </row>
    <row r="8122" spans="1:10" x14ac:dyDescent="0.3">
      <c r="A8122" s="45">
        <v>45268</v>
      </c>
      <c r="B8122" s="399" t="s">
        <v>12138</v>
      </c>
      <c r="C8122" s="5" t="s">
        <v>5793</v>
      </c>
      <c r="D8122" s="124" t="s">
        <v>40</v>
      </c>
      <c r="E8122" s="43">
        <v>4000</v>
      </c>
      <c r="F8122" s="43"/>
      <c r="G8122" s="48">
        <f t="shared" si="205"/>
        <v>21784.104838709463</v>
      </c>
      <c r="H8122" s="391" t="s">
        <v>9568</v>
      </c>
      <c r="I8122" s="615"/>
      <c r="J8122" s="616"/>
    </row>
    <row r="8123" spans="1:10" x14ac:dyDescent="0.3">
      <c r="A8123" s="45">
        <v>45268</v>
      </c>
      <c r="B8123" s="399" t="s">
        <v>25</v>
      </c>
      <c r="C8123" s="5" t="s">
        <v>25</v>
      </c>
      <c r="D8123" s="124" t="s">
        <v>12754</v>
      </c>
      <c r="E8123" s="43">
        <v>2000</v>
      </c>
      <c r="F8123" s="43"/>
      <c r="G8123" s="48">
        <f t="shared" si="205"/>
        <v>19784.104838709463</v>
      </c>
      <c r="H8123" s="391" t="s">
        <v>9568</v>
      </c>
    </row>
    <row r="8124" spans="1:10" ht="37.5" x14ac:dyDescent="0.3">
      <c r="A8124" s="45">
        <v>45268</v>
      </c>
      <c r="B8124" s="399" t="s">
        <v>12138</v>
      </c>
      <c r="C8124" s="5" t="s">
        <v>12839</v>
      </c>
      <c r="D8124" s="124" t="s">
        <v>12840</v>
      </c>
      <c r="E8124" s="43">
        <v>4300</v>
      </c>
      <c r="F8124" s="43"/>
      <c r="G8124" s="48">
        <f t="shared" si="205"/>
        <v>15484.104838709463</v>
      </c>
      <c r="H8124" s="391" t="s">
        <v>9568</v>
      </c>
    </row>
    <row r="8125" spans="1:10" x14ac:dyDescent="0.3">
      <c r="A8125" s="45">
        <v>45268</v>
      </c>
      <c r="B8125" s="399" t="s">
        <v>12703</v>
      </c>
      <c r="C8125" s="5" t="s">
        <v>5793</v>
      </c>
      <c r="D8125" s="124" t="s">
        <v>12843</v>
      </c>
      <c r="E8125" s="43">
        <v>3600</v>
      </c>
      <c r="F8125" s="43"/>
      <c r="G8125" s="48">
        <f t="shared" si="205"/>
        <v>11884.104838709463</v>
      </c>
      <c r="H8125" s="391" t="s">
        <v>9568</v>
      </c>
    </row>
    <row r="8126" spans="1:10" x14ac:dyDescent="0.3">
      <c r="A8126" s="45">
        <v>45271</v>
      </c>
      <c r="B8126" s="399"/>
      <c r="C8126" s="5" t="s">
        <v>57</v>
      </c>
      <c r="D8126" s="124" t="s">
        <v>5813</v>
      </c>
      <c r="E8126" s="43">
        <v>5000</v>
      </c>
      <c r="F8126" s="43"/>
      <c r="G8126" s="48">
        <f t="shared" si="205"/>
        <v>6884.1048387094634</v>
      </c>
      <c r="H8126" s="391" t="s">
        <v>9568</v>
      </c>
    </row>
    <row r="8127" spans="1:10" x14ac:dyDescent="0.3">
      <c r="A8127" s="45">
        <v>45271</v>
      </c>
      <c r="B8127" s="399"/>
      <c r="C8127" s="5" t="s">
        <v>68</v>
      </c>
      <c r="D8127" s="124" t="s">
        <v>294</v>
      </c>
      <c r="E8127" s="43">
        <v>2000</v>
      </c>
      <c r="F8127" s="43"/>
      <c r="G8127" s="48">
        <f t="shared" si="205"/>
        <v>4884.1048387094634</v>
      </c>
      <c r="H8127" s="391" t="s">
        <v>9568</v>
      </c>
    </row>
    <row r="8128" spans="1:10" x14ac:dyDescent="0.3">
      <c r="A8128" s="45">
        <v>45271</v>
      </c>
      <c r="B8128" s="586"/>
      <c r="C8128" s="486"/>
      <c r="D8128" s="497" t="s">
        <v>12846</v>
      </c>
      <c r="E8128" s="486"/>
      <c r="F8128" s="43">
        <v>250000</v>
      </c>
      <c r="G8128" s="48">
        <f t="shared" si="205"/>
        <v>254884.10483870946</v>
      </c>
      <c r="H8128" s="391" t="s">
        <v>9568</v>
      </c>
    </row>
    <row r="8129" spans="1:11" x14ac:dyDescent="0.3">
      <c r="A8129" s="45">
        <v>45271</v>
      </c>
      <c r="B8129" s="626" t="s">
        <v>12678</v>
      </c>
      <c r="C8129" s="627" t="s">
        <v>54</v>
      </c>
      <c r="D8129" s="628" t="s">
        <v>12845</v>
      </c>
      <c r="E8129" s="629">
        <v>147980</v>
      </c>
      <c r="F8129" s="43"/>
      <c r="G8129" s="48">
        <f t="shared" si="205"/>
        <v>106904.10483870946</v>
      </c>
      <c r="H8129" s="391" t="s">
        <v>9568</v>
      </c>
    </row>
    <row r="8130" spans="1:11" x14ac:dyDescent="0.3">
      <c r="A8130" s="45">
        <v>45271</v>
      </c>
      <c r="B8130" s="626" t="s">
        <v>12092</v>
      </c>
      <c r="C8130" s="627" t="s">
        <v>54</v>
      </c>
      <c r="D8130" s="628" t="s">
        <v>12847</v>
      </c>
      <c r="E8130" s="629">
        <v>70690</v>
      </c>
      <c r="F8130" s="43"/>
      <c r="G8130" s="48">
        <f t="shared" si="205"/>
        <v>36214.104838709463</v>
      </c>
      <c r="H8130" s="391" t="s">
        <v>9568</v>
      </c>
      <c r="K8130" s="52">
        <v>1500000</v>
      </c>
    </row>
    <row r="8131" spans="1:11" x14ac:dyDescent="0.3">
      <c r="A8131" s="45">
        <v>45271</v>
      </c>
      <c r="B8131" s="626" t="s">
        <v>12138</v>
      </c>
      <c r="C8131" s="627" t="s">
        <v>54</v>
      </c>
      <c r="D8131" s="628" t="s">
        <v>12849</v>
      </c>
      <c r="E8131" s="629">
        <v>30750</v>
      </c>
      <c r="F8131" s="43"/>
      <c r="G8131" s="48">
        <f t="shared" si="205"/>
        <v>5464.1048387094634</v>
      </c>
      <c r="H8131" s="391" t="s">
        <v>9568</v>
      </c>
      <c r="K8131" s="52">
        <v>1000000</v>
      </c>
    </row>
    <row r="8132" spans="1:11" x14ac:dyDescent="0.3">
      <c r="A8132" s="45">
        <v>45271</v>
      </c>
      <c r="B8132" s="399" t="s">
        <v>12138</v>
      </c>
      <c r="C8132" s="5" t="s">
        <v>84</v>
      </c>
      <c r="D8132" s="124" t="s">
        <v>12844</v>
      </c>
      <c r="E8132" s="43">
        <v>2000</v>
      </c>
      <c r="F8132" s="43"/>
      <c r="G8132" s="48">
        <f t="shared" si="205"/>
        <v>3464.1048387094634</v>
      </c>
      <c r="H8132" s="391" t="s">
        <v>9568</v>
      </c>
      <c r="K8132" s="52">
        <v>1500000</v>
      </c>
    </row>
    <row r="8133" spans="1:11" x14ac:dyDescent="0.3">
      <c r="A8133" s="45">
        <v>45271</v>
      </c>
      <c r="B8133" s="399" t="s">
        <v>12189</v>
      </c>
      <c r="C8133" s="5" t="s">
        <v>5162</v>
      </c>
      <c r="D8133" s="124" t="s">
        <v>12856</v>
      </c>
      <c r="E8133" s="62">
        <v>1000</v>
      </c>
      <c r="F8133" s="43"/>
      <c r="G8133" s="48">
        <f t="shared" si="205"/>
        <v>2464.1048387094634</v>
      </c>
      <c r="H8133" s="391" t="s">
        <v>9568</v>
      </c>
      <c r="K8133" s="52">
        <v>1000000</v>
      </c>
    </row>
    <row r="8134" spans="1:11" x14ac:dyDescent="0.3">
      <c r="A8134" s="45">
        <v>45271</v>
      </c>
      <c r="B8134" s="399" t="s">
        <v>12189</v>
      </c>
      <c r="C8134" s="5" t="s">
        <v>84</v>
      </c>
      <c r="D8134" s="124" t="s">
        <v>12857</v>
      </c>
      <c r="E8134" s="62">
        <v>1000</v>
      </c>
      <c r="F8134" s="43"/>
      <c r="G8134" s="48">
        <f t="shared" si="205"/>
        <v>1464.1048387094634</v>
      </c>
      <c r="H8134" s="391" t="s">
        <v>9568</v>
      </c>
      <c r="K8134" s="52">
        <v>1000000</v>
      </c>
    </row>
    <row r="8135" spans="1:11" x14ac:dyDescent="0.3">
      <c r="A8135" s="45">
        <v>45271</v>
      </c>
      <c r="B8135" s="399" t="s">
        <v>12092</v>
      </c>
      <c r="C8135" s="5" t="s">
        <v>26</v>
      </c>
      <c r="D8135" s="124" t="s">
        <v>12848</v>
      </c>
      <c r="E8135" s="43">
        <v>1000</v>
      </c>
      <c r="F8135" s="43"/>
      <c r="G8135" s="48">
        <f t="shared" si="205"/>
        <v>464.10483870946337</v>
      </c>
      <c r="H8135" s="391" t="s">
        <v>9568</v>
      </c>
      <c r="K8135" s="52">
        <v>1417880</v>
      </c>
    </row>
    <row r="8136" spans="1:11" x14ac:dyDescent="0.3">
      <c r="A8136" s="45">
        <v>45271</v>
      </c>
      <c r="B8136" s="586"/>
      <c r="C8136" s="486"/>
      <c r="D8136" s="497" t="s">
        <v>12846</v>
      </c>
      <c r="E8136" s="486"/>
      <c r="F8136" s="43">
        <v>250000</v>
      </c>
      <c r="G8136" s="48">
        <f t="shared" si="205"/>
        <v>250464.10483870946</v>
      </c>
      <c r="H8136" s="391" t="s">
        <v>9568</v>
      </c>
      <c r="K8136" s="52">
        <v>2200</v>
      </c>
    </row>
    <row r="8137" spans="1:11" x14ac:dyDescent="0.3">
      <c r="A8137" s="45">
        <v>45271</v>
      </c>
      <c r="B8137" s="399" t="s">
        <v>12132</v>
      </c>
      <c r="C8137" s="5" t="s">
        <v>5793</v>
      </c>
      <c r="D8137" s="124" t="s">
        <v>8924</v>
      </c>
      <c r="E8137" s="43">
        <v>550</v>
      </c>
      <c r="F8137" s="43"/>
      <c r="G8137" s="48">
        <f t="shared" si="205"/>
        <v>249914.10483870946</v>
      </c>
      <c r="H8137" s="391" t="s">
        <v>9568</v>
      </c>
      <c r="K8137" s="52">
        <f>SUM(K8130:K8136)</f>
        <v>7420080</v>
      </c>
    </row>
    <row r="8138" spans="1:11" x14ac:dyDescent="0.3">
      <c r="A8138" s="45">
        <v>45271</v>
      </c>
      <c r="B8138" s="626" t="s">
        <v>12131</v>
      </c>
      <c r="C8138" s="627" t="s">
        <v>54</v>
      </c>
      <c r="D8138" s="628" t="s">
        <v>12633</v>
      </c>
      <c r="E8138" s="629">
        <v>136964.58333333334</v>
      </c>
      <c r="F8138" s="43"/>
      <c r="G8138" s="48">
        <f t="shared" si="205"/>
        <v>112949.52150537612</v>
      </c>
      <c r="H8138" s="391" t="s">
        <v>9568</v>
      </c>
    </row>
    <row r="8139" spans="1:11" x14ac:dyDescent="0.3">
      <c r="A8139" s="45">
        <v>45271</v>
      </c>
      <c r="B8139" s="626" t="s">
        <v>11702</v>
      </c>
      <c r="C8139" s="627" t="s">
        <v>54</v>
      </c>
      <c r="D8139" s="628" t="s">
        <v>12851</v>
      </c>
      <c r="E8139" s="629">
        <v>25050</v>
      </c>
      <c r="F8139" s="43"/>
      <c r="G8139" s="48">
        <f t="shared" si="205"/>
        <v>87899.52150537612</v>
      </c>
      <c r="H8139" s="391" t="s">
        <v>9568</v>
      </c>
    </row>
    <row r="8140" spans="1:11" x14ac:dyDescent="0.3">
      <c r="A8140" s="45">
        <v>45271</v>
      </c>
      <c r="B8140" s="399" t="s">
        <v>12506</v>
      </c>
      <c r="C8140" s="5" t="s">
        <v>12852</v>
      </c>
      <c r="D8140" s="124" t="s">
        <v>3172</v>
      </c>
      <c r="E8140" s="43">
        <v>9300</v>
      </c>
      <c r="F8140" s="43"/>
      <c r="G8140" s="48">
        <f t="shared" si="205"/>
        <v>78599.52150537612</v>
      </c>
      <c r="H8140" s="391" t="s">
        <v>9568</v>
      </c>
    </row>
    <row r="8141" spans="1:11" x14ac:dyDescent="0.3">
      <c r="A8141" s="45">
        <v>45271</v>
      </c>
      <c r="B8141" s="399" t="s">
        <v>12506</v>
      </c>
      <c r="C8141" s="5" t="s">
        <v>10885</v>
      </c>
      <c r="D8141" s="124" t="s">
        <v>12853</v>
      </c>
      <c r="E8141" s="43">
        <v>24000</v>
      </c>
      <c r="F8141" s="43"/>
      <c r="G8141" s="48">
        <f t="shared" si="205"/>
        <v>54599.52150537612</v>
      </c>
      <c r="H8141" s="391" t="s">
        <v>9568</v>
      </c>
    </row>
    <row r="8142" spans="1:11" x14ac:dyDescent="0.3">
      <c r="A8142" s="45">
        <v>45271</v>
      </c>
      <c r="B8142" s="399" t="s">
        <v>25</v>
      </c>
      <c r="C8142" s="5" t="s">
        <v>64</v>
      </c>
      <c r="D8142" s="124" t="s">
        <v>12854</v>
      </c>
      <c r="E8142" s="43">
        <v>2200</v>
      </c>
      <c r="F8142" s="43"/>
      <c r="G8142" s="48">
        <f t="shared" si="205"/>
        <v>52399.52150537612</v>
      </c>
      <c r="H8142" s="391" t="s">
        <v>9568</v>
      </c>
    </row>
    <row r="8143" spans="1:11" x14ac:dyDescent="0.3">
      <c r="A8143" s="45">
        <v>45271</v>
      </c>
      <c r="B8143" s="626" t="s">
        <v>11702</v>
      </c>
      <c r="C8143" s="627" t="s">
        <v>54</v>
      </c>
      <c r="D8143" s="628" t="s">
        <v>6952</v>
      </c>
      <c r="E8143" s="629">
        <v>45750</v>
      </c>
      <c r="F8143" s="43"/>
      <c r="G8143" s="48">
        <f t="shared" si="205"/>
        <v>6649.5215053761203</v>
      </c>
      <c r="H8143" s="391" t="s">
        <v>9568</v>
      </c>
    </row>
    <row r="8144" spans="1:11" x14ac:dyDescent="0.3">
      <c r="A8144" s="45">
        <v>45271</v>
      </c>
      <c r="B8144" s="399" t="s">
        <v>25</v>
      </c>
      <c r="C8144" s="5" t="s">
        <v>26</v>
      </c>
      <c r="D8144" s="124" t="s">
        <v>12855</v>
      </c>
      <c r="E8144" s="43">
        <v>880</v>
      </c>
      <c r="F8144" s="43"/>
      <c r="G8144" s="48">
        <f t="shared" si="205"/>
        <v>5769.5215053761203</v>
      </c>
      <c r="H8144" s="391" t="s">
        <v>9568</v>
      </c>
    </row>
    <row r="8145" spans="1:8" x14ac:dyDescent="0.3">
      <c r="A8145" s="45">
        <v>45271</v>
      </c>
      <c r="B8145" s="399" t="s">
        <v>25</v>
      </c>
      <c r="C8145" s="5" t="s">
        <v>25</v>
      </c>
      <c r="D8145" s="124" t="s">
        <v>12754</v>
      </c>
      <c r="E8145" s="43">
        <v>4000</v>
      </c>
      <c r="F8145" s="43"/>
      <c r="G8145" s="48">
        <f t="shared" si="205"/>
        <v>1769.5215053761203</v>
      </c>
      <c r="H8145" s="391" t="s">
        <v>9568</v>
      </c>
    </row>
    <row r="8146" spans="1:8" x14ac:dyDescent="0.3">
      <c r="A8146" s="45">
        <v>45273</v>
      </c>
      <c r="B8146" s="586"/>
      <c r="C8146" s="486"/>
      <c r="D8146" s="497" t="s">
        <v>12333</v>
      </c>
      <c r="E8146" s="486"/>
      <c r="F8146" s="43">
        <v>200000</v>
      </c>
      <c r="G8146" s="48">
        <f t="shared" si="205"/>
        <v>201769.52150537612</v>
      </c>
      <c r="H8146" s="391" t="s">
        <v>9568</v>
      </c>
    </row>
    <row r="8147" spans="1:8" x14ac:dyDescent="0.3">
      <c r="A8147" s="45">
        <v>45273</v>
      </c>
      <c r="B8147" s="399" t="s">
        <v>12088</v>
      </c>
      <c r="C8147" s="5" t="s">
        <v>5793</v>
      </c>
      <c r="D8147" s="124" t="s">
        <v>40</v>
      </c>
      <c r="E8147" s="43">
        <v>2000</v>
      </c>
      <c r="F8147" s="43"/>
      <c r="G8147" s="48">
        <f t="shared" si="205"/>
        <v>199769.52150537612</v>
      </c>
      <c r="H8147" s="391" t="s">
        <v>9568</v>
      </c>
    </row>
    <row r="8148" spans="1:8" ht="37.5" x14ac:dyDescent="0.3">
      <c r="A8148" s="45">
        <v>45273</v>
      </c>
      <c r="B8148" s="399" t="s">
        <v>25</v>
      </c>
      <c r="C8148" s="5" t="s">
        <v>25</v>
      </c>
      <c r="D8148" s="124" t="s">
        <v>12860</v>
      </c>
      <c r="E8148" s="43">
        <v>15000</v>
      </c>
      <c r="F8148" s="43"/>
      <c r="G8148" s="48">
        <f t="shared" si="205"/>
        <v>184769.52150537612</v>
      </c>
      <c r="H8148" s="391" t="s">
        <v>9568</v>
      </c>
    </row>
    <row r="8149" spans="1:8" x14ac:dyDescent="0.3">
      <c r="A8149" s="45">
        <v>45273</v>
      </c>
      <c r="B8149" s="399" t="s">
        <v>12867</v>
      </c>
      <c r="C8149" s="5" t="s">
        <v>9765</v>
      </c>
      <c r="D8149" s="124" t="s">
        <v>12861</v>
      </c>
      <c r="E8149" s="43">
        <v>10000</v>
      </c>
      <c r="F8149" s="43"/>
      <c r="G8149" s="48">
        <f t="shared" si="205"/>
        <v>174769.52150537612</v>
      </c>
      <c r="H8149" s="391" t="s">
        <v>9568</v>
      </c>
    </row>
    <row r="8150" spans="1:8" x14ac:dyDescent="0.3">
      <c r="A8150" s="45">
        <v>45273</v>
      </c>
      <c r="B8150" s="399" t="s">
        <v>12703</v>
      </c>
      <c r="C8150" s="5" t="s">
        <v>11194</v>
      </c>
      <c r="D8150" s="124" t="s">
        <v>12862</v>
      </c>
      <c r="E8150" s="43">
        <v>3900</v>
      </c>
      <c r="F8150" s="43"/>
      <c r="G8150" s="48">
        <f t="shared" si="205"/>
        <v>170869.52150537612</v>
      </c>
      <c r="H8150" s="391" t="s">
        <v>9568</v>
      </c>
    </row>
    <row r="8151" spans="1:8" x14ac:dyDescent="0.3">
      <c r="A8151" s="45">
        <v>45274</v>
      </c>
      <c r="B8151" s="399" t="s">
        <v>12138</v>
      </c>
      <c r="C8151" s="5" t="s">
        <v>5793</v>
      </c>
      <c r="D8151" s="124" t="s">
        <v>294</v>
      </c>
      <c r="E8151" s="43">
        <v>1000</v>
      </c>
      <c r="F8151" s="43"/>
      <c r="G8151" s="48">
        <f t="shared" si="205"/>
        <v>169869.52150537612</v>
      </c>
      <c r="H8151" s="391" t="s">
        <v>9568</v>
      </c>
    </row>
    <row r="8152" spans="1:8" x14ac:dyDescent="0.3">
      <c r="A8152" s="45">
        <v>45274</v>
      </c>
      <c r="B8152" s="399" t="s">
        <v>12640</v>
      </c>
      <c r="C8152" s="5" t="s">
        <v>12158</v>
      </c>
      <c r="D8152" s="124" t="s">
        <v>12863</v>
      </c>
      <c r="E8152" s="43">
        <v>40000</v>
      </c>
      <c r="F8152" s="43"/>
      <c r="G8152" s="48">
        <f t="shared" si="205"/>
        <v>129869.52150537612</v>
      </c>
      <c r="H8152" s="391" t="s">
        <v>9568</v>
      </c>
    </row>
    <row r="8153" spans="1:8" x14ac:dyDescent="0.3">
      <c r="A8153" s="45">
        <v>45274</v>
      </c>
      <c r="B8153" s="399"/>
      <c r="C8153" s="5" t="s">
        <v>84</v>
      </c>
      <c r="D8153" s="124" t="s">
        <v>12864</v>
      </c>
      <c r="E8153" s="43">
        <v>5000</v>
      </c>
      <c r="F8153" s="43"/>
      <c r="G8153" s="48">
        <f t="shared" si="205"/>
        <v>124869.52150537612</v>
      </c>
      <c r="H8153" s="391" t="s">
        <v>9568</v>
      </c>
    </row>
    <row r="8154" spans="1:8" x14ac:dyDescent="0.3">
      <c r="A8154" s="45">
        <v>45274</v>
      </c>
      <c r="B8154" s="399" t="s">
        <v>12138</v>
      </c>
      <c r="C8154" s="5" t="s">
        <v>5793</v>
      </c>
      <c r="D8154" s="124" t="s">
        <v>12865</v>
      </c>
      <c r="E8154" s="43">
        <v>2000</v>
      </c>
      <c r="F8154" s="43"/>
      <c r="G8154" s="48">
        <f t="shared" si="205"/>
        <v>122869.52150537612</v>
      </c>
      <c r="H8154" s="391" t="s">
        <v>9568</v>
      </c>
    </row>
    <row r="8155" spans="1:8" x14ac:dyDescent="0.3">
      <c r="A8155" s="45">
        <v>45274</v>
      </c>
      <c r="B8155" s="399" t="s">
        <v>12703</v>
      </c>
      <c r="C8155" s="5" t="s">
        <v>5793</v>
      </c>
      <c r="D8155" s="124" t="s">
        <v>8924</v>
      </c>
      <c r="E8155" s="43">
        <f>250+350</f>
        <v>600</v>
      </c>
      <c r="F8155" s="43"/>
      <c r="G8155" s="48">
        <f t="shared" si="205"/>
        <v>122269.52150537612</v>
      </c>
      <c r="H8155" s="391" t="s">
        <v>9568</v>
      </c>
    </row>
    <row r="8156" spans="1:8" x14ac:dyDescent="0.3">
      <c r="A8156" s="45">
        <v>45273</v>
      </c>
      <c r="B8156" s="399" t="s">
        <v>12703</v>
      </c>
      <c r="C8156" s="5" t="s">
        <v>11194</v>
      </c>
      <c r="D8156" s="124" t="s">
        <v>12875</v>
      </c>
      <c r="E8156" s="43">
        <v>4150</v>
      </c>
      <c r="F8156" s="43"/>
      <c r="G8156" s="48">
        <f t="shared" si="205"/>
        <v>118119.52150537612</v>
      </c>
      <c r="H8156" s="391" t="s">
        <v>9568</v>
      </c>
    </row>
    <row r="8157" spans="1:8" x14ac:dyDescent="0.3">
      <c r="A8157" s="45">
        <v>45273</v>
      </c>
      <c r="B8157" s="399" t="s">
        <v>12703</v>
      </c>
      <c r="C8157" s="5" t="s">
        <v>5793</v>
      </c>
      <c r="D8157" s="124" t="s">
        <v>40</v>
      </c>
      <c r="E8157" s="43">
        <v>800</v>
      </c>
      <c r="F8157" s="43"/>
      <c r="G8157" s="48">
        <f t="shared" si="205"/>
        <v>117319.52150537612</v>
      </c>
      <c r="H8157" s="391" t="s">
        <v>9568</v>
      </c>
    </row>
    <row r="8158" spans="1:8" x14ac:dyDescent="0.3">
      <c r="A8158" s="45">
        <v>45273</v>
      </c>
      <c r="B8158" s="399" t="s">
        <v>12703</v>
      </c>
      <c r="C8158" s="5" t="s">
        <v>26</v>
      </c>
      <c r="D8158" s="124" t="s">
        <v>12876</v>
      </c>
      <c r="E8158" s="43">
        <v>50</v>
      </c>
      <c r="F8158" s="43"/>
      <c r="G8158" s="48">
        <f t="shared" si="205"/>
        <v>117269.52150537612</v>
      </c>
      <c r="H8158" s="391" t="s">
        <v>9568</v>
      </c>
    </row>
    <row r="8159" spans="1:8" x14ac:dyDescent="0.3">
      <c r="A8159" s="45">
        <v>45274</v>
      </c>
      <c r="B8159" s="399" t="s">
        <v>12092</v>
      </c>
      <c r="C8159" s="5" t="s">
        <v>84</v>
      </c>
      <c r="D8159" s="124" t="s">
        <v>12866</v>
      </c>
      <c r="E8159" s="43">
        <v>1000</v>
      </c>
      <c r="F8159" s="43"/>
      <c r="G8159" s="48">
        <f t="shared" si="205"/>
        <v>116269.52150537612</v>
      </c>
      <c r="H8159" s="391" t="s">
        <v>9568</v>
      </c>
    </row>
    <row r="8160" spans="1:8" x14ac:dyDescent="0.3">
      <c r="A8160" s="45">
        <v>45275</v>
      </c>
      <c r="B8160" s="399" t="s">
        <v>12287</v>
      </c>
      <c r="C8160" s="5" t="s">
        <v>1074</v>
      </c>
      <c r="D8160" s="124" t="s">
        <v>12873</v>
      </c>
      <c r="E8160" s="43">
        <v>2060</v>
      </c>
      <c r="F8160" s="43"/>
      <c r="G8160" s="48">
        <f t="shared" si="205"/>
        <v>114209.52150537612</v>
      </c>
      <c r="H8160" s="391" t="s">
        <v>9568</v>
      </c>
    </row>
    <row r="8161" spans="1:11" x14ac:dyDescent="0.3">
      <c r="A8161" s="45">
        <v>45275</v>
      </c>
      <c r="B8161" s="399" t="s">
        <v>25</v>
      </c>
      <c r="C8161" s="5" t="s">
        <v>1074</v>
      </c>
      <c r="D8161" s="124" t="s">
        <v>12873</v>
      </c>
      <c r="E8161" s="43">
        <v>7550</v>
      </c>
      <c r="F8161" s="43"/>
      <c r="G8161" s="48">
        <f t="shared" si="205"/>
        <v>106659.52150537612</v>
      </c>
      <c r="H8161" s="391" t="s">
        <v>9568</v>
      </c>
    </row>
    <row r="8162" spans="1:11" x14ac:dyDescent="0.3">
      <c r="A8162" s="45">
        <v>45275</v>
      </c>
      <c r="B8162" s="399" t="s">
        <v>12640</v>
      </c>
      <c r="C8162" s="5" t="s">
        <v>26</v>
      </c>
      <c r="D8162" s="124" t="s">
        <v>12874</v>
      </c>
      <c r="E8162" s="43">
        <v>3000</v>
      </c>
      <c r="F8162" s="43"/>
      <c r="G8162" s="48">
        <f t="shared" si="205"/>
        <v>103659.52150537612</v>
      </c>
      <c r="H8162" s="391" t="s">
        <v>9568</v>
      </c>
    </row>
    <row r="8163" spans="1:11" ht="37.5" x14ac:dyDescent="0.3">
      <c r="A8163" s="45">
        <v>45275</v>
      </c>
      <c r="B8163" s="399" t="s">
        <v>12092</v>
      </c>
      <c r="C8163" s="5" t="s">
        <v>84</v>
      </c>
      <c r="D8163" s="124" t="s">
        <v>12877</v>
      </c>
      <c r="E8163" s="62">
        <v>10000</v>
      </c>
      <c r="F8163" s="43"/>
      <c r="G8163" s="48">
        <f t="shared" si="205"/>
        <v>93659.52150537612</v>
      </c>
      <c r="H8163" s="391" t="s">
        <v>9568</v>
      </c>
      <c r="I8163" s="667"/>
      <c r="J8163" s="668"/>
      <c r="K8163" s="668"/>
    </row>
    <row r="8164" spans="1:11" x14ac:dyDescent="0.3">
      <c r="A8164" s="45">
        <v>45275</v>
      </c>
      <c r="B8164" s="399" t="s">
        <v>12779</v>
      </c>
      <c r="C8164" s="5" t="s">
        <v>4550</v>
      </c>
      <c r="D8164" s="124" t="s">
        <v>12945</v>
      </c>
      <c r="E8164" s="43">
        <v>2000</v>
      </c>
      <c r="F8164" s="43"/>
      <c r="G8164" s="48">
        <f t="shared" si="205"/>
        <v>91659.52150537612</v>
      </c>
      <c r="H8164" s="391" t="s">
        <v>9568</v>
      </c>
      <c r="I8164" s="667"/>
      <c r="J8164" s="668"/>
      <c r="K8164" s="668"/>
    </row>
    <row r="8165" spans="1:11" x14ac:dyDescent="0.3">
      <c r="A8165" s="45">
        <v>45275</v>
      </c>
      <c r="B8165" s="399"/>
      <c r="C8165" s="5" t="s">
        <v>84</v>
      </c>
      <c r="D8165" s="124" t="s">
        <v>12878</v>
      </c>
      <c r="E8165" s="43">
        <v>2000</v>
      </c>
      <c r="F8165" s="43"/>
      <c r="G8165" s="48">
        <f t="shared" si="205"/>
        <v>89659.52150537612</v>
      </c>
      <c r="H8165" s="391" t="s">
        <v>9568</v>
      </c>
      <c r="I8165" s="667"/>
      <c r="J8165" s="668"/>
      <c r="K8165" s="668"/>
    </row>
    <row r="8166" spans="1:11" x14ac:dyDescent="0.3">
      <c r="A8166" s="45">
        <v>45274</v>
      </c>
      <c r="B8166" s="399" t="s">
        <v>12867</v>
      </c>
      <c r="C8166" s="5" t="s">
        <v>9452</v>
      </c>
      <c r="D8166" s="124" t="s">
        <v>11753</v>
      </c>
      <c r="E8166" s="43">
        <v>9000</v>
      </c>
      <c r="F8166" s="43"/>
      <c r="G8166" s="48">
        <f t="shared" si="205"/>
        <v>80659.52150537612</v>
      </c>
      <c r="H8166" s="391" t="s">
        <v>9568</v>
      </c>
    </row>
    <row r="8167" spans="1:11" x14ac:dyDescent="0.3">
      <c r="A8167" s="45">
        <v>45274</v>
      </c>
      <c r="B8167" s="399" t="s">
        <v>12867</v>
      </c>
      <c r="C8167" s="5" t="s">
        <v>5793</v>
      </c>
      <c r="D8167" s="124" t="s">
        <v>12885</v>
      </c>
      <c r="E8167" s="43">
        <v>7500</v>
      </c>
      <c r="F8167" s="43"/>
      <c r="G8167" s="48">
        <f t="shared" si="205"/>
        <v>73159.52150537612</v>
      </c>
      <c r="H8167" s="391" t="s">
        <v>9568</v>
      </c>
    </row>
    <row r="8168" spans="1:11" ht="24" customHeight="1" x14ac:dyDescent="0.3">
      <c r="A8168" s="45">
        <v>45274</v>
      </c>
      <c r="B8168" s="399" t="s">
        <v>12703</v>
      </c>
      <c r="C8168" s="73" t="s">
        <v>11194</v>
      </c>
      <c r="D8168" s="124" t="s">
        <v>12888</v>
      </c>
      <c r="E8168" s="43">
        <v>40500</v>
      </c>
      <c r="F8168" s="43"/>
      <c r="G8168" s="48">
        <f t="shared" si="205"/>
        <v>32659.52150537612</v>
      </c>
      <c r="H8168" s="391" t="s">
        <v>9568</v>
      </c>
    </row>
    <row r="8169" spans="1:11" ht="37.5" x14ac:dyDescent="0.3">
      <c r="A8169" s="45">
        <v>45274</v>
      </c>
      <c r="B8169" s="399" t="s">
        <v>12703</v>
      </c>
      <c r="C8169" s="73" t="s">
        <v>11194</v>
      </c>
      <c r="D8169" s="124" t="s">
        <v>12887</v>
      </c>
      <c r="E8169" s="43">
        <v>28000</v>
      </c>
      <c r="F8169" s="43"/>
      <c r="G8169" s="48">
        <f t="shared" si="205"/>
        <v>4659.5215053761203</v>
      </c>
      <c r="H8169" s="391" t="s">
        <v>9568</v>
      </c>
    </row>
    <row r="8170" spans="1:11" x14ac:dyDescent="0.3">
      <c r="A8170" s="45">
        <v>45274</v>
      </c>
      <c r="B8170" s="399" t="s">
        <v>12189</v>
      </c>
      <c r="C8170" s="73" t="s">
        <v>11194</v>
      </c>
      <c r="D8170" s="124" t="s">
        <v>12889</v>
      </c>
      <c r="E8170" s="43">
        <v>4000</v>
      </c>
      <c r="F8170" s="43"/>
      <c r="G8170" s="48">
        <f t="shared" si="205"/>
        <v>659.52150537612033</v>
      </c>
      <c r="H8170" s="391" t="s">
        <v>9568</v>
      </c>
    </row>
    <row r="8171" spans="1:11" x14ac:dyDescent="0.3">
      <c r="A8171" s="45">
        <v>45275</v>
      </c>
      <c r="B8171" s="586"/>
      <c r="C8171" s="486"/>
      <c r="D8171" s="497" t="s">
        <v>12333</v>
      </c>
      <c r="E8171" s="486"/>
      <c r="F8171" s="43">
        <v>300000</v>
      </c>
      <c r="G8171" s="48">
        <f t="shared" si="205"/>
        <v>300659.52150537609</v>
      </c>
      <c r="H8171" s="391" t="s">
        <v>9568</v>
      </c>
    </row>
    <row r="8172" spans="1:11" x14ac:dyDescent="0.3">
      <c r="A8172" s="45">
        <v>45274</v>
      </c>
      <c r="B8172" s="399" t="s">
        <v>12189</v>
      </c>
      <c r="C8172" s="73" t="s">
        <v>11194</v>
      </c>
      <c r="D8172" s="124" t="s">
        <v>12890</v>
      </c>
      <c r="E8172" s="43">
        <v>1500</v>
      </c>
      <c r="F8172" s="43"/>
      <c r="G8172" s="48">
        <f t="shared" si="205"/>
        <v>299159.52150537609</v>
      </c>
      <c r="H8172" s="391" t="s">
        <v>9568</v>
      </c>
    </row>
    <row r="8173" spans="1:11" x14ac:dyDescent="0.3">
      <c r="A8173" s="45">
        <v>45274</v>
      </c>
      <c r="B8173" s="401" t="s">
        <v>12138</v>
      </c>
      <c r="C8173" s="73" t="s">
        <v>11194</v>
      </c>
      <c r="D8173" s="614" t="s">
        <v>11970</v>
      </c>
      <c r="E8173" s="183">
        <v>1800</v>
      </c>
      <c r="F8173" s="183"/>
      <c r="G8173" s="48">
        <f t="shared" si="205"/>
        <v>297359.52150537609</v>
      </c>
      <c r="H8173" s="391" t="s">
        <v>9568</v>
      </c>
    </row>
    <row r="8174" spans="1:11" x14ac:dyDescent="0.3">
      <c r="A8174" s="45">
        <v>45274</v>
      </c>
      <c r="B8174" s="401" t="s">
        <v>12088</v>
      </c>
      <c r="C8174" s="73" t="s">
        <v>11194</v>
      </c>
      <c r="D8174" s="614" t="s">
        <v>12352</v>
      </c>
      <c r="E8174" s="183">
        <v>3000</v>
      </c>
      <c r="F8174" s="183"/>
      <c r="G8174" s="48">
        <f t="shared" si="205"/>
        <v>294359.52150537609</v>
      </c>
      <c r="H8174" s="391" t="s">
        <v>9568</v>
      </c>
    </row>
    <row r="8175" spans="1:11" x14ac:dyDescent="0.3">
      <c r="A8175" s="45">
        <v>45274</v>
      </c>
      <c r="B8175" s="401" t="s">
        <v>12867</v>
      </c>
      <c r="C8175" s="73" t="s">
        <v>26</v>
      </c>
      <c r="D8175" s="614" t="s">
        <v>12891</v>
      </c>
      <c r="E8175" s="183">
        <v>1500</v>
      </c>
      <c r="F8175" s="183"/>
      <c r="G8175" s="48">
        <f t="shared" si="205"/>
        <v>292859.52150537609</v>
      </c>
      <c r="H8175" s="391" t="s">
        <v>9568</v>
      </c>
    </row>
    <row r="8176" spans="1:11" x14ac:dyDescent="0.3">
      <c r="A8176" s="45">
        <v>45275</v>
      </c>
      <c r="B8176" s="401" t="s">
        <v>12189</v>
      </c>
      <c r="C8176" s="73" t="s">
        <v>5793</v>
      </c>
      <c r="D8176" s="614" t="s">
        <v>40</v>
      </c>
      <c r="E8176" s="183">
        <v>1500</v>
      </c>
      <c r="F8176" s="183"/>
      <c r="G8176" s="48">
        <f t="shared" si="205"/>
        <v>291359.52150537609</v>
      </c>
      <c r="H8176" s="391" t="s">
        <v>9568</v>
      </c>
    </row>
    <row r="8177" spans="1:11" x14ac:dyDescent="0.3">
      <c r="A8177" s="45">
        <v>45275</v>
      </c>
      <c r="B8177" s="399" t="s">
        <v>12779</v>
      </c>
      <c r="C8177" s="5" t="s">
        <v>12675</v>
      </c>
      <c r="D8177" s="124" t="s">
        <v>12880</v>
      </c>
      <c r="E8177" s="43">
        <v>6000</v>
      </c>
      <c r="F8177" s="43"/>
      <c r="G8177" s="48">
        <f t="shared" si="205"/>
        <v>285359.52150537609</v>
      </c>
      <c r="H8177" s="391" t="s">
        <v>9568</v>
      </c>
      <c r="I8177" s="631"/>
      <c r="J8177" s="632"/>
      <c r="K8177" s="632"/>
    </row>
    <row r="8178" spans="1:11" x14ac:dyDescent="0.3">
      <c r="A8178" s="45">
        <v>45275</v>
      </c>
      <c r="B8178" s="399" t="s">
        <v>12191</v>
      </c>
      <c r="C8178" s="5" t="s">
        <v>12675</v>
      </c>
      <c r="D8178" s="124" t="s">
        <v>12880</v>
      </c>
      <c r="E8178" s="43">
        <v>24000</v>
      </c>
      <c r="F8178" s="43"/>
      <c r="G8178" s="48">
        <f t="shared" si="205"/>
        <v>261359.52150537609</v>
      </c>
      <c r="H8178" s="391" t="s">
        <v>9568</v>
      </c>
      <c r="I8178" s="633"/>
      <c r="J8178" s="632"/>
      <c r="K8178" s="632"/>
    </row>
    <row r="8179" spans="1:11" x14ac:dyDescent="0.3">
      <c r="A8179" s="45">
        <v>45275</v>
      </c>
      <c r="B8179" s="399" t="s">
        <v>12779</v>
      </c>
      <c r="C8179" s="5" t="s">
        <v>9458</v>
      </c>
      <c r="D8179" s="124" t="s">
        <v>12879</v>
      </c>
      <c r="E8179" s="43">
        <v>4000</v>
      </c>
      <c r="F8179" s="43"/>
      <c r="G8179" s="48">
        <f t="shared" si="205"/>
        <v>257359.52150537609</v>
      </c>
      <c r="H8179" s="391" t="s">
        <v>9568</v>
      </c>
      <c r="I8179" s="633"/>
      <c r="J8179" s="632"/>
      <c r="K8179" s="632"/>
    </row>
    <row r="8180" spans="1:11" x14ac:dyDescent="0.3">
      <c r="A8180" s="45">
        <v>45275</v>
      </c>
      <c r="B8180" s="399" t="s">
        <v>12703</v>
      </c>
      <c r="C8180" s="5" t="s">
        <v>30</v>
      </c>
      <c r="D8180" s="124" t="s">
        <v>10651</v>
      </c>
      <c r="E8180" s="43">
        <v>1600</v>
      </c>
      <c r="F8180" s="43"/>
      <c r="G8180" s="48">
        <f t="shared" si="205"/>
        <v>255759.52150537609</v>
      </c>
      <c r="H8180" s="391" t="s">
        <v>9568</v>
      </c>
      <c r="I8180" s="633"/>
      <c r="J8180" s="632">
        <v>2700</v>
      </c>
      <c r="K8180" s="632"/>
    </row>
    <row r="8181" spans="1:11" x14ac:dyDescent="0.3">
      <c r="A8181" s="45">
        <v>45276</v>
      </c>
      <c r="B8181" s="399" t="s">
        <v>12088</v>
      </c>
      <c r="C8181" s="5" t="s">
        <v>11194</v>
      </c>
      <c r="D8181" s="124" t="s">
        <v>677</v>
      </c>
      <c r="E8181" s="43">
        <v>700</v>
      </c>
      <c r="F8181" s="43"/>
      <c r="G8181" s="48">
        <f t="shared" si="205"/>
        <v>255059.52150537609</v>
      </c>
      <c r="H8181" s="391" t="s">
        <v>9568</v>
      </c>
      <c r="I8181" s="633"/>
      <c r="J8181" s="632">
        <v>250</v>
      </c>
      <c r="K8181" s="632"/>
    </row>
    <row r="8182" spans="1:11" x14ac:dyDescent="0.3">
      <c r="A8182" s="45">
        <v>45276</v>
      </c>
      <c r="B8182" s="399" t="s">
        <v>12506</v>
      </c>
      <c r="C8182" s="5" t="s">
        <v>11194</v>
      </c>
      <c r="D8182" s="124" t="s">
        <v>12901</v>
      </c>
      <c r="E8182" s="43">
        <v>2000</v>
      </c>
      <c r="F8182" s="43"/>
      <c r="G8182" s="48">
        <f t="shared" si="205"/>
        <v>253059.52150537609</v>
      </c>
      <c r="H8182" s="391" t="s">
        <v>9568</v>
      </c>
      <c r="I8182" s="633"/>
      <c r="J8182" s="632"/>
      <c r="K8182" s="632"/>
    </row>
    <row r="8183" spans="1:11" x14ac:dyDescent="0.3">
      <c r="A8183" s="45">
        <v>45276</v>
      </c>
      <c r="B8183" s="399" t="s">
        <v>12088</v>
      </c>
      <c r="C8183" s="5" t="s">
        <v>5793</v>
      </c>
      <c r="D8183" s="124" t="s">
        <v>40</v>
      </c>
      <c r="E8183" s="43">
        <v>1500</v>
      </c>
      <c r="F8183" s="43"/>
      <c r="G8183" s="48">
        <f t="shared" si="205"/>
        <v>251559.52150537609</v>
      </c>
      <c r="H8183" s="391" t="s">
        <v>9568</v>
      </c>
      <c r="I8183" s="633"/>
      <c r="J8183" s="632"/>
      <c r="K8183" s="632"/>
    </row>
    <row r="8184" spans="1:11" x14ac:dyDescent="0.3">
      <c r="A8184" s="45">
        <v>45276</v>
      </c>
      <c r="B8184" s="399"/>
      <c r="C8184" s="5" t="s">
        <v>14</v>
      </c>
      <c r="D8184" s="124" t="s">
        <v>294</v>
      </c>
      <c r="E8184" s="43">
        <v>20000</v>
      </c>
      <c r="F8184" s="43"/>
      <c r="G8184" s="48">
        <f t="shared" si="205"/>
        <v>231559.52150537609</v>
      </c>
      <c r="H8184" s="391" t="s">
        <v>9568</v>
      </c>
      <c r="I8184" s="633"/>
      <c r="J8184" s="632">
        <v>260</v>
      </c>
      <c r="K8184" s="632"/>
    </row>
    <row r="8185" spans="1:11" x14ac:dyDescent="0.3">
      <c r="A8185" s="45">
        <v>45276</v>
      </c>
      <c r="B8185" s="399" t="s">
        <v>12703</v>
      </c>
      <c r="C8185" s="5" t="s">
        <v>5793</v>
      </c>
      <c r="D8185" s="124" t="s">
        <v>12886</v>
      </c>
      <c r="E8185" s="43">
        <v>1500</v>
      </c>
      <c r="F8185" s="43"/>
      <c r="G8185" s="48">
        <f t="shared" si="205"/>
        <v>230059.52150537609</v>
      </c>
      <c r="H8185" s="391" t="s">
        <v>9568</v>
      </c>
      <c r="I8185" s="633"/>
      <c r="J8185" s="632">
        <v>1000</v>
      </c>
      <c r="K8185" s="632"/>
    </row>
    <row r="8186" spans="1:11" x14ac:dyDescent="0.3">
      <c r="A8186" s="45">
        <v>45276</v>
      </c>
      <c r="B8186" s="399" t="s">
        <v>12640</v>
      </c>
      <c r="C8186" s="5" t="s">
        <v>11194</v>
      </c>
      <c r="D8186" s="124" t="s">
        <v>12892</v>
      </c>
      <c r="E8186" s="43">
        <v>6000</v>
      </c>
      <c r="F8186" s="43"/>
      <c r="G8186" s="48">
        <f t="shared" si="205"/>
        <v>224059.52150537609</v>
      </c>
      <c r="H8186" s="391" t="s">
        <v>9568</v>
      </c>
      <c r="I8186" s="633"/>
      <c r="J8186" s="632">
        <f>SUM(J8180:J8185)</f>
        <v>4210</v>
      </c>
      <c r="K8186" s="632"/>
    </row>
    <row r="8187" spans="1:11" x14ac:dyDescent="0.3">
      <c r="A8187" s="45">
        <v>45276</v>
      </c>
      <c r="B8187" s="399" t="s">
        <v>12138</v>
      </c>
      <c r="C8187" s="5" t="s">
        <v>5793</v>
      </c>
      <c r="D8187" s="124" t="s">
        <v>40</v>
      </c>
      <c r="E8187" s="43">
        <v>250</v>
      </c>
      <c r="F8187" s="43"/>
      <c r="G8187" s="48">
        <f t="shared" si="205"/>
        <v>223809.52150537609</v>
      </c>
      <c r="H8187" s="391" t="s">
        <v>9568</v>
      </c>
      <c r="I8187" s="633"/>
      <c r="J8187" s="632"/>
      <c r="K8187" s="632"/>
    </row>
    <row r="8188" spans="1:11" x14ac:dyDescent="0.3">
      <c r="A8188" s="45">
        <v>45276</v>
      </c>
      <c r="B8188" s="586"/>
      <c r="C8188" s="486"/>
      <c r="D8188" s="497" t="s">
        <v>12893</v>
      </c>
      <c r="E8188" s="486"/>
      <c r="F8188" s="43">
        <v>2200</v>
      </c>
      <c r="G8188" s="48">
        <f t="shared" ref="G8188" si="206">G8187+F8188-E8188</f>
        <v>226009.52150537609</v>
      </c>
      <c r="H8188" s="391" t="s">
        <v>9568</v>
      </c>
    </row>
    <row r="8189" spans="1:11" x14ac:dyDescent="0.3">
      <c r="A8189" s="45">
        <v>45276</v>
      </c>
      <c r="B8189" s="399" t="s">
        <v>12640</v>
      </c>
      <c r="C8189" s="5" t="s">
        <v>11194</v>
      </c>
      <c r="D8189" s="124" t="s">
        <v>12895</v>
      </c>
      <c r="E8189" s="43">
        <v>29000</v>
      </c>
      <c r="F8189" s="43"/>
      <c r="G8189" s="48">
        <f t="shared" ref="G8189:G8203" si="207">G8188+F8189-E8189</f>
        <v>197009.52150537609</v>
      </c>
      <c r="H8189" s="391" t="s">
        <v>9568</v>
      </c>
    </row>
    <row r="8190" spans="1:11" x14ac:dyDescent="0.3">
      <c r="A8190" s="45">
        <v>45276</v>
      </c>
      <c r="B8190" s="399" t="s">
        <v>12092</v>
      </c>
      <c r="C8190" s="5" t="s">
        <v>4550</v>
      </c>
      <c r="D8190" s="124" t="s">
        <v>5813</v>
      </c>
      <c r="E8190" s="43">
        <v>10000</v>
      </c>
      <c r="F8190" s="43"/>
      <c r="G8190" s="48">
        <f t="shared" si="207"/>
        <v>187009.52150537609</v>
      </c>
      <c r="H8190" s="391" t="s">
        <v>9568</v>
      </c>
    </row>
    <row r="8191" spans="1:11" x14ac:dyDescent="0.3">
      <c r="A8191" s="45">
        <v>45276</v>
      </c>
      <c r="B8191" s="399" t="s">
        <v>12138</v>
      </c>
      <c r="C8191" s="5" t="s">
        <v>30</v>
      </c>
      <c r="D8191" s="124" t="s">
        <v>10643</v>
      </c>
      <c r="E8191" s="43">
        <v>400</v>
      </c>
      <c r="F8191" s="43"/>
      <c r="G8191" s="48">
        <f t="shared" si="207"/>
        <v>186609.52150537609</v>
      </c>
      <c r="H8191" s="391" t="s">
        <v>9568</v>
      </c>
    </row>
    <row r="8192" spans="1:11" x14ac:dyDescent="0.3">
      <c r="A8192" s="45">
        <v>45278</v>
      </c>
      <c r="B8192" s="399" t="s">
        <v>12640</v>
      </c>
      <c r="C8192" s="5" t="s">
        <v>18</v>
      </c>
      <c r="D8192" s="124" t="s">
        <v>4187</v>
      </c>
      <c r="E8192" s="43">
        <v>4000</v>
      </c>
      <c r="F8192" s="43"/>
      <c r="G8192" s="48">
        <f t="shared" si="207"/>
        <v>182609.52150537609</v>
      </c>
      <c r="H8192" s="391" t="s">
        <v>9568</v>
      </c>
    </row>
    <row r="8193" spans="1:14" x14ac:dyDescent="0.3">
      <c r="A8193" s="45">
        <v>45278</v>
      </c>
      <c r="B8193" s="399" t="s">
        <v>12092</v>
      </c>
      <c r="C8193" s="5" t="s">
        <v>4550</v>
      </c>
      <c r="D8193" s="124" t="s">
        <v>5813</v>
      </c>
      <c r="E8193" s="43">
        <v>10000</v>
      </c>
      <c r="F8193" s="43"/>
      <c r="G8193" s="48">
        <f t="shared" si="207"/>
        <v>172609.52150537609</v>
      </c>
      <c r="H8193" s="391" t="s">
        <v>9568</v>
      </c>
    </row>
    <row r="8194" spans="1:14" x14ac:dyDescent="0.3">
      <c r="A8194" s="45">
        <v>45278</v>
      </c>
      <c r="B8194" s="399" t="s">
        <v>12138</v>
      </c>
      <c r="C8194" s="5" t="s">
        <v>11194</v>
      </c>
      <c r="D8194" s="124" t="s">
        <v>11970</v>
      </c>
      <c r="E8194" s="43">
        <v>450</v>
      </c>
      <c r="F8194" s="43"/>
      <c r="G8194" s="48">
        <f t="shared" si="207"/>
        <v>172159.52150537609</v>
      </c>
      <c r="H8194" s="391" t="s">
        <v>9568</v>
      </c>
      <c r="K8194" s="52">
        <f>SUM(K8167:K8193)</f>
        <v>0</v>
      </c>
    </row>
    <row r="8195" spans="1:14" x14ac:dyDescent="0.3">
      <c r="A8195" s="45">
        <v>45278</v>
      </c>
      <c r="B8195" s="399" t="s">
        <v>25</v>
      </c>
      <c r="C8195" s="5" t="s">
        <v>25</v>
      </c>
      <c r="D8195" s="124" t="s">
        <v>9776</v>
      </c>
      <c r="E8195" s="43">
        <v>1000</v>
      </c>
      <c r="F8195" s="43"/>
      <c r="G8195" s="48">
        <f t="shared" si="207"/>
        <v>171159.52150537609</v>
      </c>
      <c r="H8195" s="391" t="s">
        <v>9568</v>
      </c>
    </row>
    <row r="8196" spans="1:14" x14ac:dyDescent="0.3">
      <c r="A8196" s="45">
        <v>45278</v>
      </c>
      <c r="B8196" s="399" t="s">
        <v>12092</v>
      </c>
      <c r="C8196" s="5" t="s">
        <v>5793</v>
      </c>
      <c r="D8196" s="124" t="s">
        <v>40</v>
      </c>
      <c r="E8196" s="43">
        <v>1700</v>
      </c>
      <c r="F8196" s="43"/>
      <c r="G8196" s="48">
        <f t="shared" si="207"/>
        <v>169459.52150537609</v>
      </c>
      <c r="H8196" s="391" t="s">
        <v>9568</v>
      </c>
    </row>
    <row r="8197" spans="1:14" x14ac:dyDescent="0.3">
      <c r="A8197" s="45">
        <v>45278</v>
      </c>
      <c r="B8197" s="399" t="s">
        <v>12678</v>
      </c>
      <c r="C8197" s="5" t="s">
        <v>6430</v>
      </c>
      <c r="D8197" s="124" t="s">
        <v>12896</v>
      </c>
      <c r="E8197" s="43">
        <v>8000</v>
      </c>
      <c r="F8197" s="43"/>
      <c r="G8197" s="48">
        <f t="shared" si="207"/>
        <v>161459.52150537609</v>
      </c>
      <c r="H8197" s="391" t="s">
        <v>9568</v>
      </c>
    </row>
    <row r="8198" spans="1:14" x14ac:dyDescent="0.3">
      <c r="A8198" s="45">
        <v>45278</v>
      </c>
      <c r="B8198" s="399" t="s">
        <v>12088</v>
      </c>
      <c r="C8198" s="5" t="s">
        <v>6430</v>
      </c>
      <c r="D8198" s="124" t="s">
        <v>12352</v>
      </c>
      <c r="E8198" s="43">
        <v>4000</v>
      </c>
      <c r="F8198" s="43"/>
      <c r="G8198" s="48">
        <f t="shared" si="207"/>
        <v>157459.52150537609</v>
      </c>
      <c r="H8198" s="391" t="s">
        <v>9568</v>
      </c>
      <c r="J8198" s="155"/>
      <c r="K8198" s="155">
        <v>30000</v>
      </c>
    </row>
    <row r="8199" spans="1:14" x14ac:dyDescent="0.3">
      <c r="A8199" s="45">
        <v>45278</v>
      </c>
      <c r="B8199" s="399" t="s">
        <v>12678</v>
      </c>
      <c r="C8199" s="5" t="s">
        <v>84</v>
      </c>
      <c r="D8199" s="124" t="s">
        <v>12910</v>
      </c>
      <c r="E8199" s="43">
        <v>5000</v>
      </c>
      <c r="F8199" s="43"/>
      <c r="G8199" s="48">
        <f t="shared" si="207"/>
        <v>152459.52150537609</v>
      </c>
      <c r="H8199" s="391" t="s">
        <v>9568</v>
      </c>
      <c r="I8199" s="52">
        <v>520</v>
      </c>
      <c r="J8199" s="155">
        <v>678</v>
      </c>
      <c r="K8199" s="155">
        <f>J8199*I8199</f>
        <v>352560</v>
      </c>
    </row>
    <row r="8200" spans="1:14" x14ac:dyDescent="0.3">
      <c r="A8200" s="45">
        <v>45278</v>
      </c>
      <c r="B8200" s="399"/>
      <c r="C8200" s="5" t="s">
        <v>84</v>
      </c>
      <c r="D8200" s="124" t="s">
        <v>12878</v>
      </c>
      <c r="E8200" s="43">
        <v>5000</v>
      </c>
      <c r="F8200" s="43"/>
      <c r="G8200" s="48">
        <f t="shared" si="207"/>
        <v>147459.52150537609</v>
      </c>
      <c r="H8200" s="391" t="s">
        <v>9568</v>
      </c>
      <c r="I8200" s="52">
        <v>2</v>
      </c>
      <c r="J8200" s="155">
        <v>5500</v>
      </c>
      <c r="K8200" s="155">
        <f t="shared" ref="K8200:K8209" si="208">J8200*I8200</f>
        <v>11000</v>
      </c>
    </row>
    <row r="8201" spans="1:14" x14ac:dyDescent="0.3">
      <c r="A8201" s="45">
        <v>45279</v>
      </c>
      <c r="B8201" s="399" t="s">
        <v>12640</v>
      </c>
      <c r="C8201" s="5" t="s">
        <v>5793</v>
      </c>
      <c r="D8201" s="124" t="s">
        <v>40</v>
      </c>
      <c r="E8201" s="43">
        <v>1500</v>
      </c>
      <c r="F8201" s="43"/>
      <c r="G8201" s="48">
        <f t="shared" si="207"/>
        <v>145959.52150537609</v>
      </c>
      <c r="H8201" s="391" t="s">
        <v>9568</v>
      </c>
      <c r="I8201" s="52">
        <v>9</v>
      </c>
      <c r="J8201" s="155">
        <v>5850</v>
      </c>
      <c r="K8201" s="155">
        <f t="shared" si="208"/>
        <v>52650</v>
      </c>
      <c r="L8201" s="4">
        <v>4500</v>
      </c>
      <c r="M8201" s="4">
        <f>L8201*1.3</f>
        <v>5850</v>
      </c>
    </row>
    <row r="8202" spans="1:14" x14ac:dyDescent="0.3">
      <c r="A8202" s="45">
        <v>45279</v>
      </c>
      <c r="B8202" s="399" t="s">
        <v>12640</v>
      </c>
      <c r="C8202" s="5" t="s">
        <v>5793</v>
      </c>
      <c r="D8202" s="124" t="s">
        <v>40</v>
      </c>
      <c r="E8202" s="43">
        <v>1000</v>
      </c>
      <c r="F8202" s="43"/>
      <c r="G8202" s="48">
        <f t="shared" si="207"/>
        <v>144959.52150537609</v>
      </c>
      <c r="H8202" s="391" t="s">
        <v>9568</v>
      </c>
      <c r="I8202" s="52">
        <v>1</v>
      </c>
      <c r="J8202" s="155">
        <v>3510</v>
      </c>
      <c r="K8202" s="155">
        <f t="shared" si="208"/>
        <v>3510</v>
      </c>
      <c r="L8202" s="4">
        <v>2700</v>
      </c>
      <c r="M8202" s="4">
        <f>L8202*1.3</f>
        <v>3510</v>
      </c>
    </row>
    <row r="8203" spans="1:14" s="390" customFormat="1" ht="37.5" x14ac:dyDescent="0.3">
      <c r="A8203" s="45">
        <v>45279</v>
      </c>
      <c r="B8203" s="322" t="s">
        <v>12640</v>
      </c>
      <c r="C8203" s="44" t="s">
        <v>11194</v>
      </c>
      <c r="D8203" s="124" t="s">
        <v>12897</v>
      </c>
      <c r="E8203" s="28">
        <v>6700</v>
      </c>
      <c r="F8203" s="28"/>
      <c r="G8203" s="48">
        <f t="shared" si="207"/>
        <v>138259.52150537609</v>
      </c>
      <c r="H8203" s="391" t="s">
        <v>9568</v>
      </c>
      <c r="I8203" s="155">
        <v>3</v>
      </c>
      <c r="J8203" s="155">
        <v>2990</v>
      </c>
      <c r="K8203" s="155">
        <f t="shared" si="208"/>
        <v>8970</v>
      </c>
      <c r="L8203" s="390">
        <v>2300</v>
      </c>
      <c r="M8203" s="4">
        <f>L8203*1.3</f>
        <v>2990</v>
      </c>
      <c r="N8203" s="155"/>
    </row>
    <row r="8204" spans="1:14" x14ac:dyDescent="0.3">
      <c r="A8204" s="45">
        <v>45279</v>
      </c>
      <c r="B8204" s="399" t="s">
        <v>12287</v>
      </c>
      <c r="C8204" s="5" t="s">
        <v>26</v>
      </c>
      <c r="D8204" s="124" t="s">
        <v>12898</v>
      </c>
      <c r="E8204" s="43">
        <v>2350</v>
      </c>
      <c r="F8204" s="43"/>
      <c r="G8204" s="48">
        <f t="shared" ref="G8204:G8268" si="209">G8203+F8204-E8204</f>
        <v>135909.52150537609</v>
      </c>
      <c r="H8204" s="391" t="s">
        <v>9568</v>
      </c>
      <c r="I8204" s="52">
        <v>2</v>
      </c>
      <c r="J8204" s="155">
        <v>2860</v>
      </c>
      <c r="K8204" s="155">
        <f t="shared" si="208"/>
        <v>5720</v>
      </c>
      <c r="L8204" s="4">
        <v>2200</v>
      </c>
      <c r="M8204" s="4">
        <f>L8204*1.3</f>
        <v>2860</v>
      </c>
    </row>
    <row r="8205" spans="1:14" x14ac:dyDescent="0.3">
      <c r="A8205" s="45">
        <v>45279</v>
      </c>
      <c r="B8205" s="399" t="s">
        <v>12618</v>
      </c>
      <c r="C8205" s="5" t="s">
        <v>5793</v>
      </c>
      <c r="D8205" s="124" t="s">
        <v>8924</v>
      </c>
      <c r="E8205" s="43">
        <v>250</v>
      </c>
      <c r="F8205" s="43"/>
      <c r="G8205" s="48">
        <f t="shared" si="209"/>
        <v>135659.52150537609</v>
      </c>
      <c r="H8205" s="391" t="s">
        <v>9568</v>
      </c>
      <c r="I8205" s="52">
        <v>25</v>
      </c>
      <c r="J8205" s="155">
        <v>514.80000000000007</v>
      </c>
      <c r="K8205" s="155">
        <f t="shared" si="208"/>
        <v>12870.000000000002</v>
      </c>
      <c r="L8205" s="4">
        <v>396</v>
      </c>
      <c r="M8205" s="4">
        <f>L8205*1.3</f>
        <v>514.80000000000007</v>
      </c>
    </row>
    <row r="8206" spans="1:14" x14ac:dyDescent="0.3">
      <c r="A8206" s="45">
        <v>45279</v>
      </c>
      <c r="B8206" s="399" t="s">
        <v>25</v>
      </c>
      <c r="C8206" s="5" t="s">
        <v>54</v>
      </c>
      <c r="D8206" s="124" t="s">
        <v>12899</v>
      </c>
      <c r="E8206" s="43">
        <v>11000</v>
      </c>
      <c r="F8206" s="43"/>
      <c r="G8206" s="48">
        <f t="shared" si="209"/>
        <v>124659.52150537609</v>
      </c>
      <c r="H8206" s="391" t="s">
        <v>9568</v>
      </c>
      <c r="I8206" s="52">
        <v>30</v>
      </c>
      <c r="J8206" s="155">
        <v>1230</v>
      </c>
      <c r="K8206" s="155">
        <f t="shared" si="208"/>
        <v>36900</v>
      </c>
      <c r="L8206" s="4">
        <v>910</v>
      </c>
      <c r="M8206" s="4">
        <f>L8206*1.35</f>
        <v>1228.5</v>
      </c>
    </row>
    <row r="8207" spans="1:14" x14ac:dyDescent="0.3">
      <c r="A8207" s="45">
        <v>45279</v>
      </c>
      <c r="B8207" s="399" t="s">
        <v>25</v>
      </c>
      <c r="C8207" s="5" t="s">
        <v>25</v>
      </c>
      <c r="D8207" s="124" t="s">
        <v>9776</v>
      </c>
      <c r="E8207" s="43">
        <v>1000</v>
      </c>
      <c r="F8207" s="43"/>
      <c r="G8207" s="48">
        <f t="shared" si="209"/>
        <v>123659.52150537609</v>
      </c>
      <c r="H8207" s="391" t="s">
        <v>9568</v>
      </c>
      <c r="I8207" s="52">
        <v>15</v>
      </c>
      <c r="J8207" s="155">
        <v>980</v>
      </c>
      <c r="K8207" s="155">
        <f t="shared" si="208"/>
        <v>14700</v>
      </c>
      <c r="L8207" s="4">
        <v>722</v>
      </c>
      <c r="M8207" s="4">
        <f>L8207*1.35</f>
        <v>974.7</v>
      </c>
    </row>
    <row r="8208" spans="1:14" x14ac:dyDescent="0.3">
      <c r="A8208" s="45">
        <v>45279</v>
      </c>
      <c r="B8208" s="399" t="s">
        <v>12867</v>
      </c>
      <c r="C8208" s="5" t="s">
        <v>11194</v>
      </c>
      <c r="D8208" s="124" t="s">
        <v>12900</v>
      </c>
      <c r="E8208" s="43">
        <v>35300</v>
      </c>
      <c r="F8208" s="43"/>
      <c r="G8208" s="48">
        <f t="shared" si="209"/>
        <v>88359.521505376091</v>
      </c>
      <c r="H8208" s="391" t="s">
        <v>9568</v>
      </c>
      <c r="I8208" s="52">
        <v>1</v>
      </c>
      <c r="J8208" s="155">
        <v>9100</v>
      </c>
      <c r="K8208" s="155">
        <f t="shared" si="208"/>
        <v>9100</v>
      </c>
      <c r="L8208" s="4">
        <v>6500</v>
      </c>
      <c r="M8208" s="4">
        <f>L8208*1.4</f>
        <v>9100</v>
      </c>
    </row>
    <row r="8209" spans="1:11" x14ac:dyDescent="0.3">
      <c r="A8209" s="45">
        <v>45279</v>
      </c>
      <c r="B8209" s="399" t="s">
        <v>12867</v>
      </c>
      <c r="C8209" s="5" t="s">
        <v>5793</v>
      </c>
      <c r="D8209" s="124" t="s">
        <v>40</v>
      </c>
      <c r="E8209" s="43">
        <v>1400</v>
      </c>
      <c r="F8209" s="43"/>
      <c r="G8209" s="48">
        <f t="shared" si="209"/>
        <v>86959.521505376091</v>
      </c>
      <c r="H8209" s="391" t="s">
        <v>9568</v>
      </c>
      <c r="I8209" s="52">
        <v>1</v>
      </c>
      <c r="J8209" s="155">
        <v>25000</v>
      </c>
      <c r="K8209" s="155">
        <f t="shared" si="208"/>
        <v>25000</v>
      </c>
    </row>
    <row r="8210" spans="1:11" x14ac:dyDescent="0.3">
      <c r="A8210" s="45">
        <v>45279</v>
      </c>
      <c r="B8210" s="399" t="s">
        <v>12098</v>
      </c>
      <c r="C8210" s="5" t="s">
        <v>54</v>
      </c>
      <c r="D8210" s="124" t="s">
        <v>12903</v>
      </c>
      <c r="E8210" s="43">
        <v>28000</v>
      </c>
      <c r="F8210" s="43"/>
      <c r="G8210" s="48">
        <f t="shared" si="209"/>
        <v>58959.521505376091</v>
      </c>
      <c r="H8210" s="391" t="s">
        <v>9568</v>
      </c>
      <c r="J8210" s="155"/>
      <c r="K8210" s="155">
        <f>SUM(K8198:K8209)</f>
        <v>562980</v>
      </c>
    </row>
    <row r="8211" spans="1:11" x14ac:dyDescent="0.3">
      <c r="A8211" s="45">
        <v>45279</v>
      </c>
      <c r="B8211" s="586"/>
      <c r="C8211" s="486"/>
      <c r="D8211" s="497" t="s">
        <v>12907</v>
      </c>
      <c r="E8211" s="486"/>
      <c r="F8211" s="43">
        <v>100000</v>
      </c>
      <c r="G8211" s="48">
        <f t="shared" si="209"/>
        <v>158959.52150537609</v>
      </c>
      <c r="H8211" s="391" t="s">
        <v>9568</v>
      </c>
    </row>
    <row r="8212" spans="1:11" x14ac:dyDescent="0.3">
      <c r="A8212" s="45">
        <v>45279</v>
      </c>
      <c r="B8212" s="404" t="s">
        <v>25</v>
      </c>
      <c r="C8212" s="41"/>
      <c r="D8212" s="634" t="s">
        <v>12904</v>
      </c>
      <c r="E8212" s="42">
        <v>600</v>
      </c>
      <c r="F8212" s="43"/>
      <c r="G8212" s="48">
        <f t="shared" si="209"/>
        <v>158359.52150537609</v>
      </c>
      <c r="H8212" s="391" t="s">
        <v>9568</v>
      </c>
    </row>
    <row r="8213" spans="1:11" x14ac:dyDescent="0.3">
      <c r="A8213" s="45">
        <v>45279</v>
      </c>
      <c r="B8213" s="399" t="s">
        <v>12088</v>
      </c>
      <c r="C8213" s="5" t="s">
        <v>5793</v>
      </c>
      <c r="D8213" s="124" t="s">
        <v>40</v>
      </c>
      <c r="E8213" s="43">
        <v>1500</v>
      </c>
      <c r="F8213" s="43"/>
      <c r="G8213" s="48">
        <f t="shared" si="209"/>
        <v>156859.52150537609</v>
      </c>
      <c r="H8213" s="391" t="s">
        <v>9568</v>
      </c>
    </row>
    <row r="8214" spans="1:11" x14ac:dyDescent="0.3">
      <c r="A8214" s="45">
        <v>45279</v>
      </c>
      <c r="B8214" s="399" t="s">
        <v>25</v>
      </c>
      <c r="C8214" s="5" t="s">
        <v>25</v>
      </c>
      <c r="D8214" s="124" t="s">
        <v>9776</v>
      </c>
      <c r="E8214" s="43">
        <v>3000</v>
      </c>
      <c r="F8214" s="43"/>
      <c r="G8214" s="48">
        <f t="shared" si="209"/>
        <v>153859.52150537609</v>
      </c>
      <c r="H8214" s="391" t="s">
        <v>9568</v>
      </c>
      <c r="J8214" s="52">
        <v>49000</v>
      </c>
    </row>
    <row r="8215" spans="1:11" x14ac:dyDescent="0.3">
      <c r="A8215" s="45">
        <v>45279</v>
      </c>
      <c r="B8215" s="399" t="s">
        <v>12189</v>
      </c>
      <c r="C8215" s="5" t="s">
        <v>12908</v>
      </c>
      <c r="D8215" s="124" t="s">
        <v>12909</v>
      </c>
      <c r="E8215" s="43">
        <v>20000</v>
      </c>
      <c r="F8215" s="43"/>
      <c r="G8215" s="48">
        <f t="shared" si="209"/>
        <v>133859.52150537609</v>
      </c>
      <c r="H8215" s="391" t="s">
        <v>9568</v>
      </c>
      <c r="J8215" s="52">
        <v>39300</v>
      </c>
    </row>
    <row r="8216" spans="1:11" x14ac:dyDescent="0.3">
      <c r="A8216" s="45">
        <v>45280</v>
      </c>
      <c r="B8216" s="399"/>
      <c r="C8216" s="5" t="s">
        <v>6430</v>
      </c>
      <c r="D8216" s="124" t="s">
        <v>294</v>
      </c>
      <c r="E8216" s="43">
        <v>20000</v>
      </c>
      <c r="F8216" s="43"/>
      <c r="G8216" s="48">
        <f t="shared" si="209"/>
        <v>113859.52150537609</v>
      </c>
      <c r="H8216" s="391" t="s">
        <v>9568</v>
      </c>
      <c r="J8216" s="52">
        <v>2400</v>
      </c>
    </row>
    <row r="8217" spans="1:11" x14ac:dyDescent="0.3">
      <c r="A8217" s="45">
        <v>45280</v>
      </c>
      <c r="B8217" s="399"/>
      <c r="C8217" s="5" t="s">
        <v>4550</v>
      </c>
      <c r="D8217" s="124" t="s">
        <v>12912</v>
      </c>
      <c r="E8217" s="43">
        <v>24000</v>
      </c>
      <c r="F8217" s="43"/>
      <c r="G8217" s="48">
        <f t="shared" si="209"/>
        <v>89859.521505376091</v>
      </c>
      <c r="H8217" s="391" t="s">
        <v>9568</v>
      </c>
      <c r="J8217" s="52">
        <f>SUM(J8214:J8216)</f>
        <v>90700</v>
      </c>
    </row>
    <row r="8218" spans="1:11" x14ac:dyDescent="0.3">
      <c r="A8218" s="45">
        <v>45280</v>
      </c>
      <c r="B8218" s="399"/>
      <c r="C8218" s="5" t="s">
        <v>4550</v>
      </c>
      <c r="D8218" s="124" t="s">
        <v>294</v>
      </c>
      <c r="E8218" s="43">
        <v>10000</v>
      </c>
      <c r="F8218" s="43"/>
      <c r="G8218" s="48">
        <f t="shared" si="209"/>
        <v>79859.521505376091</v>
      </c>
      <c r="H8218" s="391" t="s">
        <v>9568</v>
      </c>
    </row>
    <row r="8219" spans="1:11" x14ac:dyDescent="0.3">
      <c r="A8219" s="45">
        <v>45280</v>
      </c>
      <c r="B8219" s="399" t="s">
        <v>12189</v>
      </c>
      <c r="C8219" s="5" t="s">
        <v>26</v>
      </c>
      <c r="D8219" s="124" t="s">
        <v>12913</v>
      </c>
      <c r="E8219" s="43">
        <v>1000</v>
      </c>
      <c r="F8219" s="43"/>
      <c r="G8219" s="48">
        <f t="shared" si="209"/>
        <v>78859.521505376091</v>
      </c>
      <c r="H8219" s="391" t="s">
        <v>9568</v>
      </c>
    </row>
    <row r="8220" spans="1:11" x14ac:dyDescent="0.3">
      <c r="A8220" s="45">
        <v>45280</v>
      </c>
      <c r="B8220" s="399" t="s">
        <v>12189</v>
      </c>
      <c r="C8220" s="5" t="s">
        <v>11194</v>
      </c>
      <c r="D8220" s="124" t="s">
        <v>12914</v>
      </c>
      <c r="E8220" s="43">
        <v>900</v>
      </c>
      <c r="F8220" s="43"/>
      <c r="G8220" s="48">
        <f t="shared" si="209"/>
        <v>77959.521505376091</v>
      </c>
      <c r="H8220" s="391" t="s">
        <v>9568</v>
      </c>
    </row>
    <row r="8221" spans="1:11" x14ac:dyDescent="0.3">
      <c r="A8221" s="45">
        <v>45280</v>
      </c>
      <c r="B8221" s="399" t="s">
        <v>25</v>
      </c>
      <c r="C8221" s="5" t="s">
        <v>25</v>
      </c>
      <c r="D8221" s="124" t="s">
        <v>9776</v>
      </c>
      <c r="E8221" s="43">
        <v>1500</v>
      </c>
      <c r="F8221" s="43"/>
      <c r="G8221" s="48">
        <f t="shared" si="209"/>
        <v>76459.521505376091</v>
      </c>
      <c r="H8221" s="391" t="s">
        <v>9568</v>
      </c>
    </row>
    <row r="8222" spans="1:11" x14ac:dyDescent="0.3">
      <c r="A8222" s="45">
        <v>45280</v>
      </c>
      <c r="B8222" s="399"/>
      <c r="C8222" s="5" t="s">
        <v>84</v>
      </c>
      <c r="D8222" s="124" t="s">
        <v>12918</v>
      </c>
      <c r="E8222" s="43">
        <v>4000</v>
      </c>
      <c r="F8222" s="43"/>
      <c r="G8222" s="48">
        <f t="shared" si="209"/>
        <v>72459.521505376091</v>
      </c>
      <c r="H8222" s="391" t="s">
        <v>9568</v>
      </c>
    </row>
    <row r="8223" spans="1:11" x14ac:dyDescent="0.3">
      <c r="A8223" s="45">
        <v>45281</v>
      </c>
      <c r="B8223" s="399" t="s">
        <v>12919</v>
      </c>
      <c r="C8223" s="5" t="s">
        <v>26</v>
      </c>
      <c r="D8223" s="124" t="s">
        <v>12920</v>
      </c>
      <c r="E8223" s="43">
        <v>300</v>
      </c>
      <c r="F8223" s="43"/>
      <c r="G8223" s="48">
        <f t="shared" si="209"/>
        <v>72159.521505376091</v>
      </c>
      <c r="H8223" s="391" t="s">
        <v>9568</v>
      </c>
    </row>
    <row r="8224" spans="1:11" x14ac:dyDescent="0.3">
      <c r="A8224" s="45">
        <v>45281</v>
      </c>
      <c r="B8224" s="399" t="s">
        <v>12640</v>
      </c>
      <c r="C8224" s="5" t="s">
        <v>30</v>
      </c>
      <c r="D8224" s="124" t="s">
        <v>10643</v>
      </c>
      <c r="E8224" s="43">
        <v>200</v>
      </c>
      <c r="F8224" s="43"/>
      <c r="G8224" s="48">
        <f t="shared" si="209"/>
        <v>71959.521505376091</v>
      </c>
      <c r="H8224" s="391" t="s">
        <v>9568</v>
      </c>
    </row>
    <row r="8225" spans="1:10" x14ac:dyDescent="0.3">
      <c r="A8225" s="45">
        <v>45281</v>
      </c>
      <c r="B8225" s="399" t="s">
        <v>12640</v>
      </c>
      <c r="C8225" s="5" t="s">
        <v>5793</v>
      </c>
      <c r="D8225" s="124" t="s">
        <v>12925</v>
      </c>
      <c r="E8225" s="43">
        <v>300</v>
      </c>
      <c r="F8225" s="43"/>
      <c r="G8225" s="48">
        <f t="shared" si="209"/>
        <v>71659.521505376091</v>
      </c>
      <c r="H8225" s="391" t="s">
        <v>9568</v>
      </c>
    </row>
    <row r="8226" spans="1:10" x14ac:dyDescent="0.3">
      <c r="A8226" s="45">
        <v>45281</v>
      </c>
      <c r="B8226" s="399" t="s">
        <v>12703</v>
      </c>
      <c r="C8226" s="5" t="s">
        <v>11194</v>
      </c>
      <c r="D8226" s="124" t="s">
        <v>12841</v>
      </c>
      <c r="E8226" s="43">
        <v>5400</v>
      </c>
      <c r="F8226" s="43"/>
      <c r="G8226" s="48">
        <f t="shared" si="209"/>
        <v>66259.521505376091</v>
      </c>
      <c r="H8226" s="391" t="s">
        <v>9568</v>
      </c>
    </row>
    <row r="8227" spans="1:10" ht="37.5" x14ac:dyDescent="0.3">
      <c r="A8227" s="45">
        <v>45281</v>
      </c>
      <c r="B8227" s="399" t="s">
        <v>25</v>
      </c>
      <c r="C8227" s="5" t="s">
        <v>14</v>
      </c>
      <c r="D8227" s="124" t="s">
        <v>12926</v>
      </c>
      <c r="E8227" s="43">
        <v>12000</v>
      </c>
      <c r="F8227" s="43"/>
      <c r="G8227" s="48">
        <f t="shared" si="209"/>
        <v>54259.521505376091</v>
      </c>
      <c r="H8227" s="391" t="s">
        <v>9568</v>
      </c>
    </row>
    <row r="8228" spans="1:10" x14ac:dyDescent="0.3">
      <c r="A8228" s="45">
        <v>45281</v>
      </c>
      <c r="B8228" s="399" t="s">
        <v>11528</v>
      </c>
      <c r="C8228" s="5" t="s">
        <v>5793</v>
      </c>
      <c r="D8228" s="124" t="s">
        <v>40</v>
      </c>
      <c r="E8228" s="43">
        <v>1800</v>
      </c>
      <c r="F8228" s="43"/>
      <c r="G8228" s="48">
        <f t="shared" si="209"/>
        <v>52459.521505376091</v>
      </c>
      <c r="H8228" s="391" t="s">
        <v>9568</v>
      </c>
    </row>
    <row r="8229" spans="1:10" x14ac:dyDescent="0.3">
      <c r="A8229" s="45">
        <v>45281</v>
      </c>
      <c r="B8229" s="399" t="s">
        <v>12867</v>
      </c>
      <c r="C8229" s="5" t="s">
        <v>5793</v>
      </c>
      <c r="D8229" s="124" t="s">
        <v>40</v>
      </c>
      <c r="E8229" s="43">
        <v>1500</v>
      </c>
      <c r="F8229" s="43"/>
      <c r="G8229" s="48">
        <f t="shared" si="209"/>
        <v>50959.521505376091</v>
      </c>
      <c r="H8229" s="391" t="s">
        <v>9568</v>
      </c>
    </row>
    <row r="8230" spans="1:10" x14ac:dyDescent="0.3">
      <c r="A8230" s="45">
        <v>45281</v>
      </c>
      <c r="B8230" s="399" t="s">
        <v>12678</v>
      </c>
      <c r="C8230" s="5" t="s">
        <v>6430</v>
      </c>
      <c r="D8230" s="124" t="s">
        <v>12929</v>
      </c>
      <c r="E8230" s="43">
        <v>50000</v>
      </c>
      <c r="F8230" s="43"/>
      <c r="G8230" s="48">
        <f t="shared" si="209"/>
        <v>959.52150537609123</v>
      </c>
      <c r="H8230" s="391" t="s">
        <v>9568</v>
      </c>
    </row>
    <row r="8231" spans="1:10" x14ac:dyDescent="0.3">
      <c r="A8231" s="45">
        <v>45281</v>
      </c>
      <c r="B8231" s="586"/>
      <c r="C8231" s="486"/>
      <c r="D8231" s="497" t="s">
        <v>12927</v>
      </c>
      <c r="E8231" s="486"/>
      <c r="F8231" s="43">
        <v>100000</v>
      </c>
      <c r="G8231" s="48">
        <f t="shared" si="209"/>
        <v>100959.52150537609</v>
      </c>
      <c r="H8231" s="391" t="s">
        <v>9568</v>
      </c>
    </row>
    <row r="8232" spans="1:10" ht="37.5" x14ac:dyDescent="0.3">
      <c r="A8232" s="45">
        <v>45281</v>
      </c>
      <c r="B8232" s="404" t="s">
        <v>25</v>
      </c>
      <c r="C8232" s="41"/>
      <c r="D8232" s="634" t="s">
        <v>12928</v>
      </c>
      <c r="E8232" s="42">
        <v>1300</v>
      </c>
      <c r="F8232" s="43"/>
      <c r="G8232" s="48">
        <f t="shared" si="209"/>
        <v>99659.521505376091</v>
      </c>
      <c r="H8232" s="391" t="s">
        <v>9568</v>
      </c>
    </row>
    <row r="8233" spans="1:10" x14ac:dyDescent="0.3">
      <c r="A8233" s="45">
        <v>45281</v>
      </c>
      <c r="B8233" s="399" t="s">
        <v>12867</v>
      </c>
      <c r="C8233" s="5" t="s">
        <v>11194</v>
      </c>
      <c r="D8233" s="124" t="s">
        <v>12931</v>
      </c>
      <c r="E8233" s="43">
        <v>59500</v>
      </c>
      <c r="F8233" s="43"/>
      <c r="G8233" s="48">
        <f t="shared" si="209"/>
        <v>40159.521505376091</v>
      </c>
      <c r="H8233" s="391" t="s">
        <v>9568</v>
      </c>
    </row>
    <row r="8234" spans="1:10" x14ac:dyDescent="0.3">
      <c r="A8234" s="45">
        <v>45281</v>
      </c>
      <c r="B8234" s="399" t="s">
        <v>12779</v>
      </c>
      <c r="C8234" s="5" t="s">
        <v>54</v>
      </c>
      <c r="D8234" s="124" t="s">
        <v>12932</v>
      </c>
      <c r="E8234" s="43">
        <v>21600</v>
      </c>
      <c r="F8234" s="43"/>
      <c r="G8234" s="48">
        <f t="shared" si="209"/>
        <v>18559.521505376091</v>
      </c>
      <c r="H8234" s="391" t="s">
        <v>9568</v>
      </c>
    </row>
    <row r="8235" spans="1:10" ht="37.5" x14ac:dyDescent="0.3">
      <c r="A8235" s="45">
        <v>45282</v>
      </c>
      <c r="B8235" s="399" t="s">
        <v>12640</v>
      </c>
      <c r="C8235" s="5" t="s">
        <v>11194</v>
      </c>
      <c r="D8235" s="124" t="s">
        <v>12934</v>
      </c>
      <c r="E8235" s="43">
        <v>3050</v>
      </c>
      <c r="F8235" s="43"/>
      <c r="G8235" s="48">
        <f t="shared" si="209"/>
        <v>15509.521505376091</v>
      </c>
      <c r="H8235" s="391" t="s">
        <v>9568</v>
      </c>
      <c r="J8235" s="52">
        <v>71500</v>
      </c>
    </row>
    <row r="8236" spans="1:10" x14ac:dyDescent="0.3">
      <c r="A8236" s="45">
        <v>45282</v>
      </c>
      <c r="B8236" s="399" t="s">
        <v>12640</v>
      </c>
      <c r="C8236" s="5" t="s">
        <v>11194</v>
      </c>
      <c r="D8236" s="124" t="s">
        <v>12935</v>
      </c>
      <c r="E8236" s="43">
        <v>2000</v>
      </c>
      <c r="F8236" s="43"/>
      <c r="G8236" s="48">
        <f t="shared" si="209"/>
        <v>13509.521505376091</v>
      </c>
      <c r="H8236" s="391" t="s">
        <v>9568</v>
      </c>
      <c r="J8236" s="52">
        <f>J8235*17%</f>
        <v>12155</v>
      </c>
    </row>
    <row r="8237" spans="1:10" x14ac:dyDescent="0.3">
      <c r="A8237" s="45">
        <v>45282</v>
      </c>
      <c r="B8237" s="399" t="s">
        <v>25</v>
      </c>
      <c r="C8237" s="5" t="s">
        <v>25</v>
      </c>
      <c r="D8237" s="124" t="s">
        <v>12936</v>
      </c>
      <c r="E8237" s="43">
        <v>3000</v>
      </c>
      <c r="F8237" s="43"/>
      <c r="G8237" s="48">
        <f t="shared" si="209"/>
        <v>10509.521505376091</v>
      </c>
      <c r="H8237" s="391" t="s">
        <v>9568</v>
      </c>
      <c r="J8237" s="52">
        <f>J8235-J8236</f>
        <v>59345</v>
      </c>
    </row>
    <row r="8238" spans="1:10" x14ac:dyDescent="0.3">
      <c r="A8238" s="45">
        <v>45282</v>
      </c>
      <c r="B8238" s="586"/>
      <c r="C8238" s="486"/>
      <c r="D8238" s="497" t="s">
        <v>12937</v>
      </c>
      <c r="E8238" s="486"/>
      <c r="F8238" s="43">
        <v>11700</v>
      </c>
      <c r="G8238" s="48">
        <f t="shared" si="209"/>
        <v>22209.521505376091</v>
      </c>
      <c r="H8238" s="391" t="s">
        <v>9568</v>
      </c>
      <c r="J8238" s="52">
        <v>140000</v>
      </c>
    </row>
    <row r="8239" spans="1:10" x14ac:dyDescent="0.3">
      <c r="A8239" s="45">
        <v>45282</v>
      </c>
      <c r="B8239" s="404" t="s">
        <v>25</v>
      </c>
      <c r="C8239" s="41"/>
      <c r="D8239" s="634" t="s">
        <v>12941</v>
      </c>
      <c r="E8239" s="42">
        <v>3700</v>
      </c>
      <c r="F8239" s="43"/>
      <c r="G8239" s="48">
        <f t="shared" si="209"/>
        <v>18509.521505376091</v>
      </c>
      <c r="H8239" s="391" t="s">
        <v>9568</v>
      </c>
      <c r="J8239" s="52">
        <v>60000</v>
      </c>
    </row>
    <row r="8240" spans="1:10" x14ac:dyDescent="0.3">
      <c r="A8240" s="45">
        <v>45282</v>
      </c>
      <c r="B8240" s="399" t="s">
        <v>12138</v>
      </c>
      <c r="C8240" s="5" t="s">
        <v>5793</v>
      </c>
      <c r="D8240" s="124" t="s">
        <v>40</v>
      </c>
      <c r="E8240" s="43">
        <v>600</v>
      </c>
      <c r="F8240" s="43"/>
      <c r="G8240" s="48">
        <f t="shared" si="209"/>
        <v>17909.521505376091</v>
      </c>
      <c r="H8240" s="391" t="s">
        <v>9568</v>
      </c>
      <c r="J8240" s="52">
        <f>J8238-J8239</f>
        <v>80000</v>
      </c>
    </row>
    <row r="8241" spans="1:11" x14ac:dyDescent="0.3">
      <c r="A8241" s="45">
        <v>45282</v>
      </c>
      <c r="B8241" s="399" t="s">
        <v>12138</v>
      </c>
      <c r="C8241" s="5" t="s">
        <v>26</v>
      </c>
      <c r="D8241" s="124" t="s">
        <v>12938</v>
      </c>
      <c r="E8241" s="43">
        <v>5000</v>
      </c>
      <c r="F8241" s="43"/>
      <c r="G8241" s="48">
        <f t="shared" si="209"/>
        <v>12909.521505376091</v>
      </c>
      <c r="H8241" s="391" t="s">
        <v>9568</v>
      </c>
    </row>
    <row r="8242" spans="1:11" ht="20.25" customHeight="1" x14ac:dyDescent="0.3">
      <c r="A8242" s="45">
        <v>45283</v>
      </c>
      <c r="B8242" s="399" t="s">
        <v>12867</v>
      </c>
      <c r="C8242" s="5" t="s">
        <v>5793</v>
      </c>
      <c r="D8242" s="124" t="s">
        <v>12960</v>
      </c>
      <c r="E8242" s="43">
        <v>11000</v>
      </c>
      <c r="F8242" s="43"/>
      <c r="G8242" s="48">
        <f t="shared" si="209"/>
        <v>1909.5215053760912</v>
      </c>
      <c r="H8242" s="391" t="s">
        <v>9568</v>
      </c>
    </row>
    <row r="8243" spans="1:11" x14ac:dyDescent="0.3">
      <c r="A8243" s="45">
        <v>45283</v>
      </c>
      <c r="B8243" s="399" t="s">
        <v>12703</v>
      </c>
      <c r="C8243" s="5" t="s">
        <v>5793</v>
      </c>
      <c r="D8243" s="124" t="s">
        <v>8924</v>
      </c>
      <c r="E8243" s="43">
        <v>800</v>
      </c>
      <c r="F8243" s="43"/>
      <c r="G8243" s="48">
        <f t="shared" si="209"/>
        <v>1109.5215053760912</v>
      </c>
      <c r="H8243" s="391" t="s">
        <v>9568</v>
      </c>
    </row>
    <row r="8244" spans="1:11" x14ac:dyDescent="0.3">
      <c r="A8244" s="45">
        <v>45286</v>
      </c>
      <c r="B8244" s="399" t="s">
        <v>12138</v>
      </c>
      <c r="C8244" s="5" t="s">
        <v>5793</v>
      </c>
      <c r="D8244" s="124" t="s">
        <v>12947</v>
      </c>
      <c r="E8244" s="43">
        <v>200</v>
      </c>
      <c r="F8244" s="43"/>
      <c r="G8244" s="48">
        <f t="shared" si="209"/>
        <v>909.52150537609123</v>
      </c>
      <c r="H8244" s="391" t="s">
        <v>9568</v>
      </c>
    </row>
    <row r="8245" spans="1:11" x14ac:dyDescent="0.3">
      <c r="A8245" s="45">
        <v>45286</v>
      </c>
      <c r="B8245" s="586"/>
      <c r="C8245" s="486"/>
      <c r="D8245" s="497" t="s">
        <v>4106</v>
      </c>
      <c r="E8245" s="486"/>
      <c r="F8245" s="43">
        <v>150000</v>
      </c>
      <c r="G8245" s="48">
        <f t="shared" si="209"/>
        <v>150909.52150537609</v>
      </c>
      <c r="H8245" s="391" t="s">
        <v>9568</v>
      </c>
      <c r="J8245" s="52">
        <v>140000</v>
      </c>
    </row>
    <row r="8246" spans="1:11" x14ac:dyDescent="0.3">
      <c r="A8246" s="45">
        <v>45286</v>
      </c>
      <c r="B8246" s="399"/>
      <c r="C8246" s="5" t="s">
        <v>57</v>
      </c>
      <c r="D8246" s="124" t="s">
        <v>12164</v>
      </c>
      <c r="E8246" s="43">
        <v>2000</v>
      </c>
      <c r="F8246" s="43"/>
      <c r="G8246" s="48">
        <f t="shared" si="209"/>
        <v>148909.52150537609</v>
      </c>
      <c r="H8246" s="391" t="s">
        <v>9568</v>
      </c>
    </row>
    <row r="8247" spans="1:11" x14ac:dyDescent="0.3">
      <c r="A8247" s="45">
        <v>45286</v>
      </c>
      <c r="B8247" s="399" t="s">
        <v>12640</v>
      </c>
      <c r="C8247" s="5" t="s">
        <v>9765</v>
      </c>
      <c r="D8247" s="124" t="s">
        <v>40</v>
      </c>
      <c r="E8247" s="43">
        <v>9500</v>
      </c>
      <c r="F8247" s="43"/>
      <c r="G8247" s="48">
        <f t="shared" si="209"/>
        <v>139409.52150537609</v>
      </c>
      <c r="H8247" s="391" t="s">
        <v>9568</v>
      </c>
    </row>
    <row r="8248" spans="1:11" x14ac:dyDescent="0.3">
      <c r="A8248" s="45">
        <v>45286</v>
      </c>
      <c r="B8248" s="399" t="s">
        <v>12189</v>
      </c>
      <c r="C8248" s="5" t="s">
        <v>84</v>
      </c>
      <c r="D8248" s="124" t="s">
        <v>12949</v>
      </c>
      <c r="E8248" s="43">
        <v>5000</v>
      </c>
      <c r="F8248" s="43"/>
      <c r="G8248" s="48">
        <f t="shared" si="209"/>
        <v>134409.52150537609</v>
      </c>
      <c r="H8248" s="391" t="s">
        <v>9568</v>
      </c>
      <c r="I8248" s="609" t="s">
        <v>12944</v>
      </c>
      <c r="J8248" s="609">
        <v>4416116</v>
      </c>
    </row>
    <row r="8249" spans="1:11" x14ac:dyDescent="0.3">
      <c r="A8249" s="45">
        <v>45286</v>
      </c>
      <c r="B8249" s="399" t="s">
        <v>12189</v>
      </c>
      <c r="C8249" s="5" t="s">
        <v>84</v>
      </c>
      <c r="D8249" s="124" t="s">
        <v>12950</v>
      </c>
      <c r="E8249" s="43">
        <v>5000</v>
      </c>
      <c r="F8249" s="43"/>
      <c r="G8249" s="48">
        <f t="shared" si="209"/>
        <v>129409.52150537609</v>
      </c>
      <c r="H8249" s="391" t="s">
        <v>9568</v>
      </c>
      <c r="I8249" s="609" t="s">
        <v>12942</v>
      </c>
      <c r="J8249" s="609">
        <f>J8248*3%</f>
        <v>132483.47999999998</v>
      </c>
    </row>
    <row r="8250" spans="1:11" x14ac:dyDescent="0.3">
      <c r="A8250" s="45">
        <v>45286</v>
      </c>
      <c r="B8250" s="399"/>
      <c r="C8250" s="5" t="s">
        <v>4550</v>
      </c>
      <c r="D8250" s="124" t="s">
        <v>4512</v>
      </c>
      <c r="E8250" s="43">
        <v>6000</v>
      </c>
      <c r="F8250" s="43"/>
      <c r="G8250" s="48">
        <f t="shared" si="209"/>
        <v>123409.52150537609</v>
      </c>
      <c r="H8250" s="391" t="s">
        <v>9568</v>
      </c>
      <c r="I8250" s="609" t="s">
        <v>12943</v>
      </c>
      <c r="J8250" s="609">
        <f>SUM(J8248:J8249)</f>
        <v>4548599.4800000004</v>
      </c>
    </row>
    <row r="8251" spans="1:11" x14ac:dyDescent="0.3">
      <c r="A8251" s="45">
        <v>45286</v>
      </c>
      <c r="B8251" s="399" t="s">
        <v>10333</v>
      </c>
      <c r="C8251" s="5" t="s">
        <v>11194</v>
      </c>
      <c r="D8251" s="124" t="s">
        <v>12952</v>
      </c>
      <c r="E8251" s="43">
        <v>18000</v>
      </c>
      <c r="F8251" s="43"/>
      <c r="G8251" s="48">
        <f t="shared" si="209"/>
        <v>105409.52150537609</v>
      </c>
      <c r="H8251" s="391" t="s">
        <v>9568</v>
      </c>
    </row>
    <row r="8252" spans="1:11" x14ac:dyDescent="0.3">
      <c r="A8252" s="45">
        <v>45286</v>
      </c>
      <c r="B8252" s="399" t="s">
        <v>10333</v>
      </c>
      <c r="C8252" s="5" t="s">
        <v>11194</v>
      </c>
      <c r="D8252" s="124" t="s">
        <v>12953</v>
      </c>
      <c r="E8252" s="43">
        <v>44000</v>
      </c>
      <c r="F8252" s="43"/>
      <c r="G8252" s="48">
        <f t="shared" si="209"/>
        <v>61409.521505376091</v>
      </c>
      <c r="H8252" s="391" t="s">
        <v>9568</v>
      </c>
      <c r="J8252" s="635">
        <v>1808378</v>
      </c>
    </row>
    <row r="8253" spans="1:11" x14ac:dyDescent="0.3">
      <c r="A8253" s="45">
        <v>45286</v>
      </c>
      <c r="B8253" s="399" t="s">
        <v>10333</v>
      </c>
      <c r="C8253" s="5" t="s">
        <v>5793</v>
      </c>
      <c r="D8253" s="124" t="s">
        <v>12954</v>
      </c>
      <c r="E8253" s="43">
        <v>7000</v>
      </c>
      <c r="F8253" s="43"/>
      <c r="G8253" s="48">
        <f t="shared" si="209"/>
        <v>54409.521505376091</v>
      </c>
      <c r="H8253" s="391" t="s">
        <v>9568</v>
      </c>
      <c r="J8253" s="52">
        <f>J8252*17%</f>
        <v>307424.26</v>
      </c>
    </row>
    <row r="8254" spans="1:11" x14ac:dyDescent="0.3">
      <c r="A8254" s="45">
        <v>45287</v>
      </c>
      <c r="B8254" s="399" t="s">
        <v>12703</v>
      </c>
      <c r="C8254" s="5" t="s">
        <v>5793</v>
      </c>
      <c r="D8254" s="124" t="s">
        <v>40</v>
      </c>
      <c r="E8254" s="43">
        <v>2000</v>
      </c>
      <c r="F8254" s="43"/>
      <c r="G8254" s="48">
        <f t="shared" si="209"/>
        <v>52409.521505376091</v>
      </c>
      <c r="H8254" s="391" t="s">
        <v>9568</v>
      </c>
      <c r="J8254" s="52">
        <f>J8252-J8253</f>
        <v>1500953.74</v>
      </c>
    </row>
    <row r="8255" spans="1:11" x14ac:dyDescent="0.3">
      <c r="A8255" s="45">
        <v>45287</v>
      </c>
      <c r="B8255" s="399" t="s">
        <v>12640</v>
      </c>
      <c r="C8255" s="5" t="s">
        <v>26</v>
      </c>
      <c r="D8255" s="124" t="s">
        <v>12955</v>
      </c>
      <c r="E8255" s="43">
        <v>1000</v>
      </c>
      <c r="F8255" s="43"/>
      <c r="G8255" s="48">
        <f t="shared" si="209"/>
        <v>51409.521505376091</v>
      </c>
      <c r="H8255" s="391" t="s">
        <v>9568</v>
      </c>
    </row>
    <row r="8256" spans="1:11" x14ac:dyDescent="0.3">
      <c r="A8256" s="45">
        <v>45287</v>
      </c>
      <c r="B8256" s="586"/>
      <c r="C8256" s="486"/>
      <c r="D8256" s="497" t="s">
        <v>12956</v>
      </c>
      <c r="E8256" s="486"/>
      <c r="F8256" s="43">
        <v>18900</v>
      </c>
      <c r="G8256" s="48">
        <f t="shared" si="209"/>
        <v>70309.521505376091</v>
      </c>
      <c r="H8256" s="391" t="s">
        <v>9568</v>
      </c>
      <c r="J8256" s="52" t="e">
        <f>#REF!*7%</f>
        <v>#REF!</v>
      </c>
      <c r="K8256" s="52" t="e">
        <f>#REF!*10%</f>
        <v>#REF!</v>
      </c>
    </row>
    <row r="8257" spans="1:11" x14ac:dyDescent="0.3">
      <c r="A8257" s="45">
        <v>45287</v>
      </c>
      <c r="B8257" s="399" t="s">
        <v>12703</v>
      </c>
      <c r="C8257" s="5" t="s">
        <v>5793</v>
      </c>
      <c r="D8257" s="124" t="s">
        <v>12957</v>
      </c>
      <c r="E8257" s="43">
        <v>500</v>
      </c>
      <c r="F8257" s="43"/>
      <c r="G8257" s="48">
        <f t="shared" si="209"/>
        <v>69809.521505376091</v>
      </c>
      <c r="H8257" s="391" t="s">
        <v>9568</v>
      </c>
      <c r="J8257" s="52" t="e">
        <f>#REF!-J8256</f>
        <v>#REF!</v>
      </c>
      <c r="K8257" s="52" t="e">
        <f>#REF!-K8256</f>
        <v>#REF!</v>
      </c>
    </row>
    <row r="8258" spans="1:11" x14ac:dyDescent="0.3">
      <c r="A8258" s="45">
        <v>45287</v>
      </c>
      <c r="B8258" s="399"/>
      <c r="C8258" s="5" t="s">
        <v>84</v>
      </c>
      <c r="D8258" s="124" t="s">
        <v>12958</v>
      </c>
      <c r="E8258" s="43">
        <v>15000</v>
      </c>
      <c r="F8258" s="43"/>
      <c r="G8258" s="48">
        <f t="shared" si="209"/>
        <v>54809.521505376091</v>
      </c>
      <c r="H8258" s="391" t="s">
        <v>9568</v>
      </c>
      <c r="K8258" s="52">
        <f>21645*20%</f>
        <v>4329</v>
      </c>
    </row>
    <row r="8259" spans="1:11" x14ac:dyDescent="0.3">
      <c r="A8259" s="45">
        <v>45287</v>
      </c>
      <c r="B8259" s="399" t="s">
        <v>25</v>
      </c>
      <c r="C8259" s="5" t="s">
        <v>25</v>
      </c>
      <c r="D8259" s="124" t="s">
        <v>7533</v>
      </c>
      <c r="E8259" s="43">
        <v>1700</v>
      </c>
      <c r="F8259" s="43"/>
      <c r="G8259" s="48">
        <f t="shared" si="209"/>
        <v>53109.521505376091</v>
      </c>
      <c r="H8259" s="391" t="s">
        <v>9568</v>
      </c>
    </row>
    <row r="8260" spans="1:11" x14ac:dyDescent="0.3">
      <c r="A8260" s="45">
        <v>45287</v>
      </c>
      <c r="B8260" s="399"/>
      <c r="C8260" s="5" t="s">
        <v>14</v>
      </c>
      <c r="D8260" s="124" t="s">
        <v>4601</v>
      </c>
      <c r="E8260" s="43">
        <v>780</v>
      </c>
      <c r="F8260" s="43"/>
      <c r="G8260" s="48">
        <f t="shared" si="209"/>
        <v>52329.521505376091</v>
      </c>
      <c r="H8260" s="391" t="s">
        <v>9568</v>
      </c>
    </row>
    <row r="8261" spans="1:11" ht="37.5" x14ac:dyDescent="0.3">
      <c r="A8261" s="45">
        <v>45287</v>
      </c>
      <c r="B8261" s="399" t="s">
        <v>12132</v>
      </c>
      <c r="C8261" s="5" t="s">
        <v>26</v>
      </c>
      <c r="D8261" s="124" t="s">
        <v>12959</v>
      </c>
      <c r="E8261" s="43">
        <v>2000</v>
      </c>
      <c r="F8261" s="43"/>
      <c r="G8261" s="48">
        <f t="shared" si="209"/>
        <v>50329.521505376091</v>
      </c>
      <c r="H8261" s="391" t="s">
        <v>9568</v>
      </c>
    </row>
    <row r="8262" spans="1:11" x14ac:dyDescent="0.3">
      <c r="A8262" s="45">
        <v>45287</v>
      </c>
      <c r="B8262" s="586"/>
      <c r="C8262" s="486"/>
      <c r="D8262" s="497" t="s">
        <v>12961</v>
      </c>
      <c r="E8262" s="486"/>
      <c r="F8262" s="43">
        <v>300000</v>
      </c>
      <c r="G8262" s="48">
        <f t="shared" si="209"/>
        <v>350329.52150537609</v>
      </c>
      <c r="H8262" s="391" t="s">
        <v>9568</v>
      </c>
      <c r="J8262" s="52" t="e">
        <f>#REF!*7%</f>
        <v>#REF!</v>
      </c>
      <c r="K8262" s="52" t="e">
        <f>#REF!*10%</f>
        <v>#REF!</v>
      </c>
    </row>
    <row r="8263" spans="1:11" x14ac:dyDescent="0.3">
      <c r="A8263" s="45">
        <v>45287</v>
      </c>
      <c r="B8263" s="399"/>
      <c r="C8263" s="5" t="s">
        <v>14</v>
      </c>
      <c r="D8263" s="124" t="s">
        <v>294</v>
      </c>
      <c r="E8263" s="43">
        <v>5000</v>
      </c>
      <c r="F8263" s="43"/>
      <c r="G8263" s="48">
        <f t="shared" si="209"/>
        <v>345329.52150537609</v>
      </c>
      <c r="H8263" s="391" t="s">
        <v>9568</v>
      </c>
    </row>
    <row r="8264" spans="1:11" x14ac:dyDescent="0.3">
      <c r="A8264" s="45">
        <v>45287</v>
      </c>
      <c r="B8264" s="399" t="s">
        <v>25</v>
      </c>
      <c r="C8264" s="5" t="s">
        <v>25</v>
      </c>
      <c r="D8264" s="124" t="s">
        <v>7533</v>
      </c>
      <c r="E8264" s="43">
        <v>2500</v>
      </c>
      <c r="F8264" s="43"/>
      <c r="G8264" s="48">
        <f t="shared" si="209"/>
        <v>342829.52150537609</v>
      </c>
      <c r="H8264" s="391" t="s">
        <v>9568</v>
      </c>
      <c r="J8264" s="52">
        <v>5000</v>
      </c>
    </row>
    <row r="8265" spans="1:11" x14ac:dyDescent="0.3">
      <c r="A8265" s="45">
        <v>45287</v>
      </c>
      <c r="B8265" s="399" t="s">
        <v>25</v>
      </c>
      <c r="C8265" s="5" t="s">
        <v>1074</v>
      </c>
      <c r="D8265" s="124" t="s">
        <v>12272</v>
      </c>
      <c r="E8265" s="43">
        <v>17745</v>
      </c>
      <c r="F8265" s="43"/>
      <c r="G8265" s="48">
        <f t="shared" si="209"/>
        <v>325084.52150537609</v>
      </c>
      <c r="H8265" s="391" t="s">
        <v>9568</v>
      </c>
      <c r="K8265" s="52" t="e">
        <f>K8257-K8258</f>
        <v>#REF!</v>
      </c>
    </row>
    <row r="8266" spans="1:11" x14ac:dyDescent="0.3">
      <c r="A8266" s="45">
        <v>45287</v>
      </c>
      <c r="B8266" s="399" t="s">
        <v>12287</v>
      </c>
      <c r="C8266" s="5" t="s">
        <v>1074</v>
      </c>
      <c r="D8266" s="124" t="s">
        <v>12272</v>
      </c>
      <c r="E8266" s="43">
        <f>6714+27205</f>
        <v>33919</v>
      </c>
      <c r="F8266" s="43"/>
      <c r="G8266" s="48">
        <f t="shared" si="209"/>
        <v>291165.52150537609</v>
      </c>
      <c r="H8266" s="391" t="s">
        <v>9568</v>
      </c>
      <c r="K8266" s="52" t="e">
        <f>K8265+J8257</f>
        <v>#REF!</v>
      </c>
    </row>
    <row r="8267" spans="1:11" x14ac:dyDescent="0.3">
      <c r="A8267" s="45">
        <v>45287</v>
      </c>
      <c r="B8267" s="399" t="s">
        <v>25</v>
      </c>
      <c r="C8267" s="5" t="s">
        <v>1074</v>
      </c>
      <c r="D8267" s="124" t="s">
        <v>4601</v>
      </c>
      <c r="E8267" s="43">
        <v>650</v>
      </c>
      <c r="F8267" s="43"/>
      <c r="G8267" s="48">
        <f t="shared" si="209"/>
        <v>290515.52150537609</v>
      </c>
      <c r="H8267" s="391" t="s">
        <v>9568</v>
      </c>
    </row>
    <row r="8268" spans="1:11" x14ac:dyDescent="0.3">
      <c r="A8268" s="45">
        <v>45287</v>
      </c>
      <c r="B8268" s="399" t="s">
        <v>12287</v>
      </c>
      <c r="C8268" s="5" t="s">
        <v>1074</v>
      </c>
      <c r="D8268" s="124" t="s">
        <v>4601</v>
      </c>
      <c r="E8268" s="43">
        <v>1080</v>
      </c>
      <c r="F8268" s="43"/>
      <c r="G8268" s="48">
        <f t="shared" si="209"/>
        <v>289435.52150537609</v>
      </c>
      <c r="H8268" s="391" t="s">
        <v>9568</v>
      </c>
    </row>
    <row r="8269" spans="1:11" x14ac:dyDescent="0.3">
      <c r="A8269" s="45">
        <v>45288</v>
      </c>
      <c r="B8269" s="399" t="s">
        <v>12189</v>
      </c>
      <c r="C8269" s="5" t="s">
        <v>10840</v>
      </c>
      <c r="D8269" s="124" t="s">
        <v>12962</v>
      </c>
      <c r="E8269" s="43">
        <v>100000</v>
      </c>
      <c r="F8269" s="43"/>
      <c r="G8269" s="48">
        <f t="shared" ref="G8269:G8275" si="210">G8268+F8269-E8269</f>
        <v>189435.52150537609</v>
      </c>
      <c r="H8269" s="391" t="s">
        <v>9568</v>
      </c>
    </row>
    <row r="8270" spans="1:11" x14ac:dyDescent="0.3">
      <c r="A8270" s="45">
        <v>45288</v>
      </c>
      <c r="B8270" s="399" t="s">
        <v>12189</v>
      </c>
      <c r="C8270" s="5" t="s">
        <v>14</v>
      </c>
      <c r="D8270" s="124" t="s">
        <v>640</v>
      </c>
      <c r="E8270" s="43">
        <v>1000</v>
      </c>
      <c r="F8270" s="43"/>
      <c r="G8270" s="48">
        <f t="shared" si="210"/>
        <v>188435.52150537609</v>
      </c>
      <c r="H8270" s="391" t="s">
        <v>9568</v>
      </c>
    </row>
    <row r="8271" spans="1:11" x14ac:dyDescent="0.3">
      <c r="A8271" s="45">
        <v>45288</v>
      </c>
      <c r="B8271" s="399" t="s">
        <v>12703</v>
      </c>
      <c r="C8271" s="5" t="s">
        <v>5793</v>
      </c>
      <c r="D8271" s="124" t="s">
        <v>40</v>
      </c>
      <c r="E8271" s="43">
        <v>1700</v>
      </c>
      <c r="F8271" s="43"/>
      <c r="G8271" s="48">
        <f t="shared" si="210"/>
        <v>186735.52150537609</v>
      </c>
      <c r="H8271" s="391" t="s">
        <v>9568</v>
      </c>
    </row>
    <row r="8272" spans="1:11" x14ac:dyDescent="0.3">
      <c r="A8272" s="45">
        <v>45289</v>
      </c>
      <c r="B8272" s="399"/>
      <c r="C8272" s="5" t="s">
        <v>107</v>
      </c>
      <c r="D8272" s="124" t="s">
        <v>4437</v>
      </c>
      <c r="E8272" s="43">
        <v>2000</v>
      </c>
      <c r="F8272" s="43"/>
      <c r="G8272" s="48">
        <f t="shared" si="210"/>
        <v>184735.52150537609</v>
      </c>
      <c r="H8272" s="391" t="s">
        <v>9568</v>
      </c>
      <c r="J8272" s="52">
        <v>8000</v>
      </c>
    </row>
    <row r="8273" spans="1:11" x14ac:dyDescent="0.3">
      <c r="A8273" s="45">
        <v>45289</v>
      </c>
      <c r="B8273" s="399" t="s">
        <v>12189</v>
      </c>
      <c r="C8273" s="5" t="s">
        <v>12908</v>
      </c>
      <c r="D8273" s="124" t="s">
        <v>294</v>
      </c>
      <c r="E8273" s="43">
        <v>20000</v>
      </c>
      <c r="F8273" s="43"/>
      <c r="G8273" s="48">
        <f t="shared" si="210"/>
        <v>164735.52150537609</v>
      </c>
      <c r="H8273" s="391" t="s">
        <v>9568</v>
      </c>
      <c r="J8273" s="52">
        <v>10000</v>
      </c>
    </row>
    <row r="8274" spans="1:11" x14ac:dyDescent="0.3">
      <c r="A8274" s="45">
        <v>45289</v>
      </c>
      <c r="B8274" s="399" t="s">
        <v>12703</v>
      </c>
      <c r="C8274" s="5" t="s">
        <v>12210</v>
      </c>
      <c r="D8274" s="124" t="s">
        <v>294</v>
      </c>
      <c r="E8274" s="43">
        <v>31000</v>
      </c>
      <c r="F8274" s="43"/>
      <c r="G8274" s="48">
        <f t="shared" si="210"/>
        <v>133735.52150537609</v>
      </c>
      <c r="H8274" s="391" t="s">
        <v>9568</v>
      </c>
      <c r="J8274" s="52">
        <v>500</v>
      </c>
    </row>
    <row r="8275" spans="1:11" x14ac:dyDescent="0.3">
      <c r="A8275" s="45">
        <v>45289</v>
      </c>
      <c r="B8275" s="399"/>
      <c r="C8275" s="5" t="s">
        <v>4083</v>
      </c>
      <c r="D8275" s="124" t="s">
        <v>294</v>
      </c>
      <c r="E8275" s="43">
        <v>50000</v>
      </c>
      <c r="F8275" s="43"/>
      <c r="G8275" s="48">
        <f t="shared" si="210"/>
        <v>83735.521505376091</v>
      </c>
      <c r="H8275" s="391" t="s">
        <v>9568</v>
      </c>
      <c r="J8275" s="52">
        <f>SUM(J8272:J8274)</f>
        <v>18500</v>
      </c>
    </row>
    <row r="8276" spans="1:11" x14ac:dyDescent="0.3">
      <c r="A8276" s="45">
        <v>45289</v>
      </c>
      <c r="B8276" s="399" t="s">
        <v>12088</v>
      </c>
      <c r="C8276" s="5" t="s">
        <v>5793</v>
      </c>
      <c r="D8276" s="124" t="s">
        <v>40</v>
      </c>
      <c r="E8276" s="43">
        <v>1500</v>
      </c>
      <c r="F8276" s="43"/>
      <c r="G8276" s="48">
        <f t="shared" ref="G8276:G8284" si="211">G8275+F8276-E8276</f>
        <v>82235.521505376091</v>
      </c>
      <c r="H8276" s="391" t="s">
        <v>9568</v>
      </c>
    </row>
    <row r="8277" spans="1:11" x14ac:dyDescent="0.3">
      <c r="A8277" s="45">
        <v>45289</v>
      </c>
      <c r="B8277" s="399" t="s">
        <v>12703</v>
      </c>
      <c r="C8277" s="5" t="s">
        <v>12966</v>
      </c>
      <c r="D8277" s="124" t="s">
        <v>12967</v>
      </c>
      <c r="E8277" s="43">
        <v>50000</v>
      </c>
      <c r="F8277" s="43"/>
      <c r="G8277" s="48">
        <f t="shared" si="211"/>
        <v>32235.521505376091</v>
      </c>
      <c r="H8277" s="391" t="s">
        <v>9568</v>
      </c>
      <c r="J8277" s="52">
        <v>9500</v>
      </c>
    </row>
    <row r="8278" spans="1:11" x14ac:dyDescent="0.3">
      <c r="A8278" s="45">
        <v>45289</v>
      </c>
      <c r="B8278" s="399" t="s">
        <v>25</v>
      </c>
      <c r="C8278" s="5" t="s">
        <v>25</v>
      </c>
      <c r="D8278" s="124" t="s">
        <v>7533</v>
      </c>
      <c r="E8278" s="43">
        <v>2500</v>
      </c>
      <c r="F8278" s="43"/>
      <c r="G8278" s="48">
        <f t="shared" si="211"/>
        <v>29735.521505376091</v>
      </c>
      <c r="H8278" s="391" t="s">
        <v>9568</v>
      </c>
      <c r="J8278" s="52">
        <v>5000</v>
      </c>
    </row>
    <row r="8279" spans="1:11" x14ac:dyDescent="0.3">
      <c r="A8279" s="45">
        <v>45289</v>
      </c>
      <c r="B8279" s="399" t="s">
        <v>12640</v>
      </c>
      <c r="C8279" s="5" t="s">
        <v>30</v>
      </c>
      <c r="D8279" s="124" t="s">
        <v>12970</v>
      </c>
      <c r="E8279" s="43">
        <v>1200</v>
      </c>
      <c r="F8279" s="43"/>
      <c r="G8279" s="48">
        <f t="shared" si="211"/>
        <v>28535.521505376091</v>
      </c>
      <c r="H8279" s="391" t="s">
        <v>9568</v>
      </c>
      <c r="J8279" s="52">
        <v>500</v>
      </c>
      <c r="K8279" s="52" t="s">
        <v>12968</v>
      </c>
    </row>
    <row r="8280" spans="1:11" x14ac:dyDescent="0.3">
      <c r="A8280" s="45">
        <v>45289</v>
      </c>
      <c r="B8280" s="399" t="s">
        <v>11772</v>
      </c>
      <c r="C8280" s="5" t="s">
        <v>11194</v>
      </c>
      <c r="D8280" s="124" t="s">
        <v>12972</v>
      </c>
      <c r="E8280" s="43">
        <v>4750</v>
      </c>
      <c r="F8280" s="43"/>
      <c r="G8280" s="48">
        <f t="shared" si="211"/>
        <v>23785.521505376091</v>
      </c>
      <c r="H8280" s="391" t="s">
        <v>9567</v>
      </c>
      <c r="J8280" s="52">
        <v>450</v>
      </c>
      <c r="K8280" s="52" t="s">
        <v>87</v>
      </c>
    </row>
    <row r="8281" spans="1:11" x14ac:dyDescent="0.3">
      <c r="A8281" s="45">
        <v>45289</v>
      </c>
      <c r="B8281" s="399" t="s">
        <v>12138</v>
      </c>
      <c r="C8281" s="5" t="s">
        <v>11194</v>
      </c>
      <c r="D8281" s="124" t="s">
        <v>13035</v>
      </c>
      <c r="E8281" s="43">
        <v>1850</v>
      </c>
      <c r="F8281" s="43"/>
      <c r="G8281" s="48">
        <f t="shared" si="211"/>
        <v>21935.521505376091</v>
      </c>
      <c r="H8281" s="391" t="s">
        <v>9567</v>
      </c>
    </row>
    <row r="8282" spans="1:11" x14ac:dyDescent="0.3">
      <c r="A8282" s="45">
        <v>45289</v>
      </c>
      <c r="B8282" s="399" t="s">
        <v>12640</v>
      </c>
      <c r="C8282" s="5" t="s">
        <v>84</v>
      </c>
      <c r="D8282" s="124" t="s">
        <v>12971</v>
      </c>
      <c r="E8282" s="65">
        <v>5000</v>
      </c>
      <c r="F8282" s="43"/>
      <c r="G8282" s="48">
        <f t="shared" si="211"/>
        <v>16935.521505376091</v>
      </c>
      <c r="H8282" s="391" t="s">
        <v>9568</v>
      </c>
      <c r="J8282" s="52">
        <v>360</v>
      </c>
      <c r="K8282" s="52" t="s">
        <v>87</v>
      </c>
    </row>
    <row r="8283" spans="1:11" x14ac:dyDescent="0.3">
      <c r="A8283" s="45">
        <v>45289</v>
      </c>
      <c r="B8283" s="399" t="s">
        <v>12703</v>
      </c>
      <c r="C8283" s="5" t="s">
        <v>11194</v>
      </c>
      <c r="D8283" s="124" t="s">
        <v>12973</v>
      </c>
      <c r="E8283" s="43">
        <v>1120</v>
      </c>
      <c r="F8283" s="43"/>
      <c r="G8283" s="48">
        <f t="shared" si="211"/>
        <v>15815.521505376091</v>
      </c>
      <c r="H8283" s="391" t="s">
        <v>9568</v>
      </c>
      <c r="J8283" s="52">
        <v>250</v>
      </c>
      <c r="K8283" s="52" t="s">
        <v>12969</v>
      </c>
    </row>
    <row r="8284" spans="1:11" x14ac:dyDescent="0.3">
      <c r="A8284" s="45">
        <v>45290</v>
      </c>
      <c r="B8284" s="399" t="s">
        <v>12640</v>
      </c>
      <c r="C8284" s="5" t="s">
        <v>84</v>
      </c>
      <c r="D8284" s="124" t="s">
        <v>13002</v>
      </c>
      <c r="E8284" s="43">
        <v>2000</v>
      </c>
      <c r="F8284" s="43"/>
      <c r="G8284" s="48">
        <f t="shared" si="211"/>
        <v>13815.521505376091</v>
      </c>
      <c r="H8284" s="391" t="s">
        <v>9568</v>
      </c>
      <c r="J8284" s="52">
        <v>200</v>
      </c>
      <c r="K8284" s="52" t="s">
        <v>12969</v>
      </c>
    </row>
    <row r="8285" spans="1:11" x14ac:dyDescent="0.3">
      <c r="A8285" s="45">
        <v>45290</v>
      </c>
      <c r="B8285" s="399" t="s">
        <v>25</v>
      </c>
      <c r="C8285" s="5" t="s">
        <v>4400</v>
      </c>
      <c r="D8285" s="124" t="s">
        <v>294</v>
      </c>
      <c r="E8285" s="43">
        <v>5330</v>
      </c>
      <c r="F8285" s="43"/>
      <c r="G8285" s="48">
        <f t="shared" ref="G8285:G8351" si="212">G8284+F8285-E8285</f>
        <v>8485.5215053760912</v>
      </c>
      <c r="H8285" s="391" t="s">
        <v>9568</v>
      </c>
      <c r="J8285" s="52">
        <v>400</v>
      </c>
      <c r="K8285" s="52" t="s">
        <v>87</v>
      </c>
    </row>
    <row r="8286" spans="1:11" x14ac:dyDescent="0.3">
      <c r="A8286" s="45">
        <v>45290</v>
      </c>
      <c r="B8286" s="399" t="s">
        <v>12640</v>
      </c>
      <c r="C8286" s="5" t="s">
        <v>5793</v>
      </c>
      <c r="D8286" s="124" t="s">
        <v>40</v>
      </c>
      <c r="E8286" s="43">
        <v>1500</v>
      </c>
      <c r="F8286" s="43"/>
      <c r="G8286" s="48">
        <f t="shared" si="212"/>
        <v>6985.5215053760912</v>
      </c>
      <c r="H8286" s="391" t="s">
        <v>9568</v>
      </c>
      <c r="J8286" s="52">
        <v>350</v>
      </c>
      <c r="K8286" s="52" t="s">
        <v>12969</v>
      </c>
    </row>
    <row r="8287" spans="1:11" x14ac:dyDescent="0.3">
      <c r="A8287" s="45">
        <v>45290</v>
      </c>
      <c r="B8287" s="586"/>
      <c r="C8287" s="486"/>
      <c r="D8287" s="497" t="s">
        <v>12999</v>
      </c>
      <c r="E8287" s="486"/>
      <c r="F8287" s="43">
        <v>5700</v>
      </c>
      <c r="G8287" s="48">
        <f t="shared" si="212"/>
        <v>12685.521505376091</v>
      </c>
      <c r="H8287" s="391" t="s">
        <v>9568</v>
      </c>
      <c r="J8287" s="52" t="e">
        <f>#REF!*7%</f>
        <v>#REF!</v>
      </c>
      <c r="K8287" s="52" t="e">
        <f>#REF!*10%</f>
        <v>#REF!</v>
      </c>
    </row>
    <row r="8288" spans="1:11" x14ac:dyDescent="0.3">
      <c r="A8288" s="45">
        <v>45290</v>
      </c>
      <c r="B8288" s="399" t="s">
        <v>12138</v>
      </c>
      <c r="C8288" s="5" t="s">
        <v>5793</v>
      </c>
      <c r="D8288" s="124" t="s">
        <v>40</v>
      </c>
      <c r="E8288" s="43">
        <f>250+300</f>
        <v>550</v>
      </c>
      <c r="F8288" s="43"/>
      <c r="G8288" s="48">
        <f t="shared" si="212"/>
        <v>12135.521505376091</v>
      </c>
      <c r="H8288" s="391" t="s">
        <v>9568</v>
      </c>
      <c r="J8288" s="52">
        <v>150</v>
      </c>
      <c r="K8288" s="52" t="s">
        <v>12969</v>
      </c>
    </row>
    <row r="8289" spans="1:11" x14ac:dyDescent="0.3">
      <c r="A8289" s="45">
        <v>45292</v>
      </c>
      <c r="B8289" s="399"/>
      <c r="C8289" s="5" t="s">
        <v>57</v>
      </c>
      <c r="D8289" s="124"/>
      <c r="E8289" s="43">
        <v>5000</v>
      </c>
      <c r="F8289" s="43"/>
      <c r="G8289" s="48">
        <f t="shared" si="212"/>
        <v>7135.5215053760912</v>
      </c>
      <c r="H8289" s="391" t="s">
        <v>9568</v>
      </c>
      <c r="J8289" s="52">
        <v>550</v>
      </c>
      <c r="K8289" s="52" t="s">
        <v>5793</v>
      </c>
    </row>
    <row r="8290" spans="1:11" x14ac:dyDescent="0.3">
      <c r="A8290" s="45">
        <v>45292</v>
      </c>
      <c r="B8290" s="399" t="s">
        <v>25</v>
      </c>
      <c r="C8290" s="5" t="s">
        <v>25</v>
      </c>
      <c r="D8290" s="124" t="s">
        <v>7533</v>
      </c>
      <c r="E8290" s="43">
        <v>3000</v>
      </c>
      <c r="F8290" s="43"/>
      <c r="G8290" s="48">
        <f t="shared" si="212"/>
        <v>4135.5215053760912</v>
      </c>
      <c r="H8290" s="391" t="s">
        <v>9568</v>
      </c>
    </row>
    <row r="8291" spans="1:11" x14ac:dyDescent="0.3">
      <c r="A8291" s="45">
        <v>45292</v>
      </c>
      <c r="B8291" s="586"/>
      <c r="C8291" s="486"/>
      <c r="D8291" s="497" t="s">
        <v>12961</v>
      </c>
      <c r="E8291" s="486"/>
      <c r="F8291" s="43">
        <v>197000</v>
      </c>
      <c r="G8291" s="48">
        <f t="shared" si="212"/>
        <v>201135.52150537609</v>
      </c>
      <c r="H8291" s="391" t="s">
        <v>9568</v>
      </c>
      <c r="J8291" s="52" t="e">
        <f>#REF!*7%</f>
        <v>#REF!</v>
      </c>
      <c r="K8291" s="52" t="e">
        <f>#REF!*10%</f>
        <v>#REF!</v>
      </c>
    </row>
    <row r="8292" spans="1:11" x14ac:dyDescent="0.3">
      <c r="A8292" s="45">
        <v>45292</v>
      </c>
      <c r="B8292" s="399" t="s">
        <v>26</v>
      </c>
      <c r="C8292" s="5" t="s">
        <v>13003</v>
      </c>
      <c r="D8292" s="124" t="s">
        <v>13004</v>
      </c>
      <c r="E8292" s="43">
        <v>3000</v>
      </c>
      <c r="F8292" s="43"/>
      <c r="G8292" s="48">
        <f t="shared" si="212"/>
        <v>198135.52150537609</v>
      </c>
      <c r="H8292" s="391" t="s">
        <v>9568</v>
      </c>
      <c r="K8292" s="52" t="e">
        <f>J8289+J8288+J8287+J8286+J8284+J8283</f>
        <v>#REF!</v>
      </c>
    </row>
    <row r="8293" spans="1:11" x14ac:dyDescent="0.3">
      <c r="A8293" s="45">
        <v>45292</v>
      </c>
      <c r="B8293" s="399" t="s">
        <v>12506</v>
      </c>
      <c r="C8293" s="5" t="s">
        <v>9765</v>
      </c>
      <c r="D8293" s="124" t="s">
        <v>13009</v>
      </c>
      <c r="E8293" s="43">
        <v>39000</v>
      </c>
      <c r="F8293" s="43"/>
      <c r="G8293" s="48">
        <f t="shared" si="212"/>
        <v>159135.52150537609</v>
      </c>
      <c r="H8293" s="391" t="s">
        <v>9568</v>
      </c>
    </row>
    <row r="8294" spans="1:11" x14ac:dyDescent="0.3">
      <c r="A8294" s="45">
        <v>45292</v>
      </c>
      <c r="B8294" s="399"/>
      <c r="C8294" s="5" t="s">
        <v>9052</v>
      </c>
      <c r="D8294" s="124" t="s">
        <v>13007</v>
      </c>
      <c r="E8294" s="43">
        <v>16000</v>
      </c>
      <c r="F8294" s="43"/>
      <c r="G8294" s="48">
        <f t="shared" si="212"/>
        <v>143135.52150537609</v>
      </c>
      <c r="H8294" s="391" t="s">
        <v>9568</v>
      </c>
    </row>
    <row r="8295" spans="1:11" x14ac:dyDescent="0.3">
      <c r="A8295" s="45">
        <v>45292</v>
      </c>
      <c r="B8295" s="399" t="s">
        <v>11772</v>
      </c>
      <c r="C8295" s="5" t="s">
        <v>8990</v>
      </c>
      <c r="D8295" s="124" t="s">
        <v>13008</v>
      </c>
      <c r="E8295" s="43">
        <v>3740</v>
      </c>
      <c r="F8295" s="43"/>
      <c r="G8295" s="48">
        <f t="shared" si="212"/>
        <v>139395.52150537609</v>
      </c>
      <c r="H8295" s="391" t="s">
        <v>9568</v>
      </c>
    </row>
    <row r="8296" spans="1:11" x14ac:dyDescent="0.3">
      <c r="A8296" s="45">
        <v>45292</v>
      </c>
      <c r="B8296" s="399" t="s">
        <v>12138</v>
      </c>
      <c r="C8296" s="5" t="s">
        <v>5793</v>
      </c>
      <c r="D8296" s="124" t="s">
        <v>40</v>
      </c>
      <c r="E8296" s="43">
        <v>600</v>
      </c>
      <c r="F8296" s="43"/>
      <c r="G8296" s="48">
        <f t="shared" si="212"/>
        <v>138795.52150537609</v>
      </c>
      <c r="H8296" s="391" t="s">
        <v>9568</v>
      </c>
    </row>
    <row r="8297" spans="1:11" x14ac:dyDescent="0.3">
      <c r="A8297" s="45">
        <v>45292</v>
      </c>
      <c r="B8297" s="399" t="s">
        <v>25</v>
      </c>
      <c r="C8297" s="5" t="s">
        <v>25</v>
      </c>
      <c r="D8297" s="124" t="s">
        <v>13006</v>
      </c>
      <c r="E8297" s="43">
        <v>740</v>
      </c>
      <c r="F8297" s="43"/>
      <c r="G8297" s="48">
        <f t="shared" si="212"/>
        <v>138055.52150537609</v>
      </c>
      <c r="H8297" s="391" t="s">
        <v>9568</v>
      </c>
    </row>
    <row r="8298" spans="1:11" x14ac:dyDescent="0.3">
      <c r="A8298" s="45">
        <v>45293</v>
      </c>
      <c r="B8298" s="399"/>
      <c r="C8298" s="5" t="s">
        <v>5162</v>
      </c>
      <c r="D8298" s="124" t="s">
        <v>13013</v>
      </c>
      <c r="E8298" s="43">
        <v>30000</v>
      </c>
      <c r="F8298" s="43"/>
      <c r="G8298" s="48">
        <f t="shared" si="212"/>
        <v>108055.52150537609</v>
      </c>
      <c r="H8298" s="391" t="s">
        <v>9568</v>
      </c>
    </row>
    <row r="8299" spans="1:11" x14ac:dyDescent="0.3">
      <c r="A8299" s="45">
        <v>45293</v>
      </c>
      <c r="B8299" s="399"/>
      <c r="C8299" s="5" t="s">
        <v>14</v>
      </c>
      <c r="D8299" s="124" t="s">
        <v>294</v>
      </c>
      <c r="E8299" s="43">
        <v>5000</v>
      </c>
      <c r="F8299" s="43"/>
      <c r="G8299" s="48">
        <f t="shared" si="212"/>
        <v>103055.52150537609</v>
      </c>
      <c r="H8299" s="391" t="s">
        <v>9568</v>
      </c>
    </row>
    <row r="8300" spans="1:11" x14ac:dyDescent="0.3">
      <c r="A8300" s="45">
        <v>45293</v>
      </c>
      <c r="B8300" s="399" t="s">
        <v>13010</v>
      </c>
      <c r="C8300" s="5" t="s">
        <v>13011</v>
      </c>
      <c r="D8300" s="124" t="s">
        <v>13012</v>
      </c>
      <c r="E8300" s="43">
        <v>15000</v>
      </c>
      <c r="F8300" s="43"/>
      <c r="G8300" s="48">
        <f t="shared" si="212"/>
        <v>88055.521505376091</v>
      </c>
      <c r="H8300" s="391" t="s">
        <v>9568</v>
      </c>
    </row>
    <row r="8301" spans="1:11" x14ac:dyDescent="0.3">
      <c r="A8301" s="45">
        <v>45293</v>
      </c>
      <c r="B8301" s="399" t="s">
        <v>12098</v>
      </c>
      <c r="C8301" s="5" t="s">
        <v>30</v>
      </c>
      <c r="D8301" s="124" t="s">
        <v>12431</v>
      </c>
      <c r="E8301" s="43">
        <v>500</v>
      </c>
      <c r="F8301" s="43"/>
      <c r="G8301" s="48">
        <f t="shared" si="212"/>
        <v>87555.521505376091</v>
      </c>
      <c r="H8301" s="391" t="s">
        <v>9568</v>
      </c>
    </row>
    <row r="8302" spans="1:11" x14ac:dyDescent="0.3">
      <c r="A8302" s="45">
        <v>45293</v>
      </c>
      <c r="B8302" s="399" t="s">
        <v>12098</v>
      </c>
      <c r="C8302" s="5" t="s">
        <v>5793</v>
      </c>
      <c r="D8302" s="124" t="s">
        <v>40</v>
      </c>
      <c r="E8302" s="43">
        <v>2500</v>
      </c>
      <c r="F8302" s="43"/>
      <c r="G8302" s="48">
        <f t="shared" si="212"/>
        <v>85055.521505376091</v>
      </c>
      <c r="H8302" s="391" t="s">
        <v>9568</v>
      </c>
      <c r="J8302" s="52">
        <v>18170858</v>
      </c>
    </row>
    <row r="8303" spans="1:11" x14ac:dyDescent="0.3">
      <c r="A8303" s="45">
        <v>45293</v>
      </c>
      <c r="B8303" s="399" t="s">
        <v>12088</v>
      </c>
      <c r="C8303" s="5" t="s">
        <v>5793</v>
      </c>
      <c r="D8303" s="124" t="s">
        <v>40</v>
      </c>
      <c r="E8303" s="43">
        <v>1800</v>
      </c>
      <c r="F8303" s="43"/>
      <c r="G8303" s="48">
        <f t="shared" si="212"/>
        <v>83255.521505376091</v>
      </c>
      <c r="H8303" s="391" t="s">
        <v>9568</v>
      </c>
      <c r="J8303" s="52">
        <f>J8302*8%</f>
        <v>1453668.6400000001</v>
      </c>
    </row>
    <row r="8304" spans="1:11" x14ac:dyDescent="0.3">
      <c r="A8304" s="45">
        <v>45293</v>
      </c>
      <c r="B8304" s="399" t="s">
        <v>25</v>
      </c>
      <c r="C8304" s="5" t="s">
        <v>25</v>
      </c>
      <c r="D8304" s="124" t="s">
        <v>13014</v>
      </c>
      <c r="E8304" s="43">
        <v>5000</v>
      </c>
      <c r="F8304" s="43"/>
      <c r="G8304" s="48">
        <f t="shared" si="212"/>
        <v>78255.521505376091</v>
      </c>
      <c r="H8304" s="391" t="s">
        <v>9568</v>
      </c>
      <c r="J8304" s="52">
        <f>J8302-J8303</f>
        <v>16717189.359999999</v>
      </c>
      <c r="K8304" s="52">
        <v>2725077</v>
      </c>
    </row>
    <row r="8305" spans="1:10" x14ac:dyDescent="0.3">
      <c r="A8305" s="45">
        <v>45293</v>
      </c>
      <c r="B8305" s="399"/>
      <c r="C8305" s="5" t="s">
        <v>57</v>
      </c>
      <c r="D8305" s="124" t="s">
        <v>13016</v>
      </c>
      <c r="E8305" s="43">
        <v>8000</v>
      </c>
      <c r="F8305" s="43"/>
      <c r="G8305" s="48">
        <f t="shared" si="212"/>
        <v>70255.521505376091</v>
      </c>
      <c r="H8305" s="391" t="s">
        <v>9568</v>
      </c>
      <c r="J8305" s="52">
        <f>K8304*20%</f>
        <v>545015.4</v>
      </c>
    </row>
    <row r="8306" spans="1:10" x14ac:dyDescent="0.3">
      <c r="A8306" s="45">
        <v>45294</v>
      </c>
      <c r="B8306" s="399" t="s">
        <v>12132</v>
      </c>
      <c r="C8306" s="5" t="s">
        <v>54</v>
      </c>
      <c r="D8306" s="124" t="s">
        <v>13015</v>
      </c>
      <c r="E8306" s="43">
        <v>5000</v>
      </c>
      <c r="F8306" s="43"/>
      <c r="G8306" s="48">
        <f t="shared" si="212"/>
        <v>65255.521505376091</v>
      </c>
      <c r="H8306" s="391" t="s">
        <v>9568</v>
      </c>
      <c r="J8306" s="52">
        <f>J8304-J8305</f>
        <v>16172173.959999999</v>
      </c>
    </row>
    <row r="8307" spans="1:10" x14ac:dyDescent="0.3">
      <c r="A8307" s="45">
        <v>45294</v>
      </c>
      <c r="B8307" s="399" t="s">
        <v>12703</v>
      </c>
      <c r="C8307" s="5" t="s">
        <v>11194</v>
      </c>
      <c r="D8307" s="124" t="s">
        <v>13019</v>
      </c>
      <c r="E8307" s="43">
        <v>3000</v>
      </c>
      <c r="F8307" s="43"/>
      <c r="G8307" s="48">
        <f t="shared" si="212"/>
        <v>62255.521505376091</v>
      </c>
      <c r="H8307" s="391" t="s">
        <v>9568</v>
      </c>
    </row>
    <row r="8308" spans="1:10" x14ac:dyDescent="0.3">
      <c r="A8308" s="45">
        <v>45294</v>
      </c>
      <c r="B8308" s="399" t="s">
        <v>12189</v>
      </c>
      <c r="C8308" s="5" t="s">
        <v>9452</v>
      </c>
      <c r="D8308" s="124" t="s">
        <v>13027</v>
      </c>
      <c r="E8308" s="43">
        <v>7000</v>
      </c>
      <c r="F8308" s="43"/>
      <c r="G8308" s="48">
        <f t="shared" si="212"/>
        <v>55255.521505376091</v>
      </c>
      <c r="H8308" s="391" t="s">
        <v>9568</v>
      </c>
    </row>
    <row r="8309" spans="1:10" x14ac:dyDescent="0.3">
      <c r="A8309" s="45">
        <v>45294</v>
      </c>
      <c r="B8309" s="399" t="s">
        <v>12703</v>
      </c>
      <c r="C8309" s="5" t="s">
        <v>9647</v>
      </c>
      <c r="D8309" s="124" t="s">
        <v>294</v>
      </c>
      <c r="E8309" s="43">
        <v>40000</v>
      </c>
      <c r="F8309" s="43"/>
      <c r="G8309" s="48">
        <f t="shared" si="212"/>
        <v>15255.521505376091</v>
      </c>
      <c r="H8309" s="391" t="s">
        <v>9568</v>
      </c>
    </row>
    <row r="8310" spans="1:10" x14ac:dyDescent="0.3">
      <c r="A8310" s="45">
        <v>45294</v>
      </c>
      <c r="B8310" s="399" t="s">
        <v>12088</v>
      </c>
      <c r="C8310" s="5" t="s">
        <v>5793</v>
      </c>
      <c r="D8310" s="124" t="s">
        <v>40</v>
      </c>
      <c r="E8310" s="43">
        <v>700</v>
      </c>
      <c r="F8310" s="43"/>
      <c r="G8310" s="48">
        <f t="shared" si="212"/>
        <v>14555.521505376091</v>
      </c>
      <c r="H8310" s="391" t="s">
        <v>9568</v>
      </c>
    </row>
    <row r="8311" spans="1:10" x14ac:dyDescent="0.3">
      <c r="A8311" s="45">
        <v>45294</v>
      </c>
      <c r="B8311" s="399" t="s">
        <v>25</v>
      </c>
      <c r="C8311" s="5" t="s">
        <v>25</v>
      </c>
      <c r="D8311" s="124" t="s">
        <v>7533</v>
      </c>
      <c r="E8311" s="43">
        <v>3000</v>
      </c>
      <c r="F8311" s="43"/>
      <c r="G8311" s="48">
        <f t="shared" si="212"/>
        <v>11555.521505376091</v>
      </c>
      <c r="H8311" s="391" t="s">
        <v>9568</v>
      </c>
    </row>
    <row r="8312" spans="1:10" x14ac:dyDescent="0.3">
      <c r="A8312" s="45">
        <v>45294</v>
      </c>
      <c r="B8312" s="586"/>
      <c r="C8312" s="486"/>
      <c r="D8312" s="497" t="s">
        <v>12961</v>
      </c>
      <c r="E8312" s="486"/>
      <c r="F8312" s="43">
        <v>1400000</v>
      </c>
      <c r="G8312" s="48">
        <f t="shared" si="212"/>
        <v>1411555.5215053761</v>
      </c>
      <c r="H8312" s="391" t="s">
        <v>9568</v>
      </c>
    </row>
    <row r="8313" spans="1:10" x14ac:dyDescent="0.3">
      <c r="A8313" s="45">
        <v>45294</v>
      </c>
      <c r="B8313" s="399" t="s">
        <v>12189</v>
      </c>
      <c r="C8313" s="5" t="s">
        <v>11194</v>
      </c>
      <c r="D8313" s="124" t="s">
        <v>13030</v>
      </c>
      <c r="E8313" s="43">
        <v>7000</v>
      </c>
      <c r="F8313" s="43"/>
      <c r="G8313" s="48">
        <f t="shared" si="212"/>
        <v>1404555.5215053761</v>
      </c>
      <c r="H8313" s="391" t="s">
        <v>9568</v>
      </c>
    </row>
    <row r="8314" spans="1:10" ht="20.25" customHeight="1" x14ac:dyDescent="0.3">
      <c r="A8314" s="45">
        <v>45294</v>
      </c>
      <c r="B8314" s="399" t="s">
        <v>12088</v>
      </c>
      <c r="C8314" s="5" t="s">
        <v>11194</v>
      </c>
      <c r="D8314" s="124" t="s">
        <v>13037</v>
      </c>
      <c r="E8314" s="43">
        <v>6000</v>
      </c>
      <c r="F8314" s="43"/>
      <c r="G8314" s="48">
        <f t="shared" si="212"/>
        <v>1398555.5215053761</v>
      </c>
      <c r="H8314" s="391" t="s">
        <v>9568</v>
      </c>
    </row>
    <row r="8315" spans="1:10" x14ac:dyDescent="0.3">
      <c r="A8315" s="45">
        <v>45294</v>
      </c>
      <c r="B8315" s="399" t="s">
        <v>25</v>
      </c>
      <c r="C8315" s="5" t="s">
        <v>25</v>
      </c>
      <c r="D8315" s="124" t="s">
        <v>7533</v>
      </c>
      <c r="E8315" s="43">
        <v>4000</v>
      </c>
      <c r="F8315" s="43"/>
      <c r="G8315" s="48">
        <f t="shared" si="212"/>
        <v>1394555.5215053761</v>
      </c>
      <c r="H8315" s="391" t="s">
        <v>9568</v>
      </c>
    </row>
    <row r="8316" spans="1:10" x14ac:dyDescent="0.3">
      <c r="A8316" s="45">
        <v>45295</v>
      </c>
      <c r="B8316" s="402" t="s">
        <v>12098</v>
      </c>
      <c r="C8316" s="39" t="s">
        <v>54</v>
      </c>
      <c r="D8316" s="251" t="s">
        <v>6236</v>
      </c>
      <c r="E8316" s="40">
        <f>37500+94200</f>
        <v>131700</v>
      </c>
      <c r="F8316" s="43"/>
      <c r="G8316" s="48">
        <f t="shared" si="212"/>
        <v>1262855.5215053761</v>
      </c>
      <c r="H8316" s="391" t="s">
        <v>9568</v>
      </c>
    </row>
    <row r="8317" spans="1:10" x14ac:dyDescent="0.3">
      <c r="A8317" s="45">
        <v>45295</v>
      </c>
      <c r="B8317" s="399" t="s">
        <v>12098</v>
      </c>
      <c r="C8317" s="5" t="s">
        <v>11194</v>
      </c>
      <c r="D8317" s="124" t="s">
        <v>13038</v>
      </c>
      <c r="E8317" s="43">
        <v>78000</v>
      </c>
      <c r="F8317" s="43"/>
      <c r="G8317" s="48">
        <f t="shared" si="212"/>
        <v>1184855.5215053761</v>
      </c>
      <c r="H8317" s="391" t="s">
        <v>9568</v>
      </c>
    </row>
    <row r="8318" spans="1:10" x14ac:dyDescent="0.3">
      <c r="A8318" s="45">
        <v>45295</v>
      </c>
      <c r="B8318" s="399" t="s">
        <v>12098</v>
      </c>
      <c r="C8318" s="5" t="s">
        <v>5793</v>
      </c>
      <c r="D8318" s="124" t="s">
        <v>13032</v>
      </c>
      <c r="E8318" s="43">
        <v>2500</v>
      </c>
      <c r="F8318" s="43"/>
      <c r="G8318" s="48">
        <f t="shared" si="212"/>
        <v>1182355.5215053761</v>
      </c>
      <c r="H8318" s="391" t="s">
        <v>9568</v>
      </c>
    </row>
    <row r="8319" spans="1:10" x14ac:dyDescent="0.3">
      <c r="A8319" s="45">
        <v>45295</v>
      </c>
      <c r="B8319" s="399" t="s">
        <v>12098</v>
      </c>
      <c r="C8319" s="5" t="s">
        <v>30</v>
      </c>
      <c r="D8319" s="124" t="s">
        <v>12431</v>
      </c>
      <c r="E8319" s="43">
        <v>500</v>
      </c>
      <c r="F8319" s="43"/>
      <c r="G8319" s="48">
        <f t="shared" si="212"/>
        <v>1181855.5215053761</v>
      </c>
      <c r="H8319" s="391" t="s">
        <v>9568</v>
      </c>
    </row>
    <row r="8320" spans="1:10" x14ac:dyDescent="0.3">
      <c r="A8320" s="45">
        <v>45295</v>
      </c>
      <c r="B8320" s="402" t="s">
        <v>12132</v>
      </c>
      <c r="C8320" s="39" t="s">
        <v>54</v>
      </c>
      <c r="D8320" s="251" t="s">
        <v>13033</v>
      </c>
      <c r="E8320" s="40">
        <v>142070</v>
      </c>
      <c r="F8320" s="43"/>
      <c r="G8320" s="48">
        <f t="shared" si="212"/>
        <v>1039785.5215053761</v>
      </c>
      <c r="H8320" s="391" t="s">
        <v>9568</v>
      </c>
    </row>
    <row r="8321" spans="1:8" x14ac:dyDescent="0.3">
      <c r="A8321" s="45">
        <v>45295</v>
      </c>
      <c r="B8321" s="399" t="s">
        <v>12132</v>
      </c>
      <c r="C8321" s="5" t="s">
        <v>26</v>
      </c>
      <c r="D8321" s="124" t="s">
        <v>13034</v>
      </c>
      <c r="E8321" s="43">
        <v>400</v>
      </c>
      <c r="F8321" s="43"/>
      <c r="G8321" s="48">
        <f t="shared" si="212"/>
        <v>1039385.5215053761</v>
      </c>
      <c r="H8321" s="391" t="s">
        <v>9568</v>
      </c>
    </row>
    <row r="8322" spans="1:8" x14ac:dyDescent="0.3">
      <c r="A8322" s="45">
        <v>45295</v>
      </c>
      <c r="B8322" s="399" t="s">
        <v>12132</v>
      </c>
      <c r="C8322" s="5" t="s">
        <v>26</v>
      </c>
      <c r="D8322" s="124" t="s">
        <v>7286</v>
      </c>
      <c r="E8322" s="43">
        <v>3000</v>
      </c>
      <c r="F8322" s="43"/>
      <c r="G8322" s="48">
        <f t="shared" si="212"/>
        <v>1036385.5215053761</v>
      </c>
      <c r="H8322" s="391" t="s">
        <v>9568</v>
      </c>
    </row>
    <row r="8323" spans="1:8" x14ac:dyDescent="0.3">
      <c r="A8323" s="45">
        <v>45295</v>
      </c>
      <c r="B8323" s="399" t="s">
        <v>12138</v>
      </c>
      <c r="C8323" s="5" t="s">
        <v>11194</v>
      </c>
      <c r="D8323" s="5" t="s">
        <v>13036</v>
      </c>
      <c r="E8323" s="43">
        <v>2000</v>
      </c>
      <c r="F8323" s="43"/>
      <c r="G8323" s="48">
        <f t="shared" si="212"/>
        <v>1034385.5215053761</v>
      </c>
      <c r="H8323" s="391" t="s">
        <v>9568</v>
      </c>
    </row>
    <row r="8324" spans="1:8" x14ac:dyDescent="0.3">
      <c r="A8324" s="45">
        <v>45295</v>
      </c>
      <c r="B8324" s="402" t="s">
        <v>12088</v>
      </c>
      <c r="C8324" s="39" t="s">
        <v>54</v>
      </c>
      <c r="D8324" s="251" t="s">
        <v>12616</v>
      </c>
      <c r="E8324" s="40">
        <v>65000</v>
      </c>
      <c r="F8324" s="43"/>
      <c r="G8324" s="48">
        <f t="shared" si="212"/>
        <v>969385.52150537609</v>
      </c>
      <c r="H8324" s="391" t="s">
        <v>9568</v>
      </c>
    </row>
    <row r="8325" spans="1:8" x14ac:dyDescent="0.3">
      <c r="A8325" s="45">
        <v>45295</v>
      </c>
      <c r="B8325" s="402" t="s">
        <v>25</v>
      </c>
      <c r="C8325" s="39" t="s">
        <v>54</v>
      </c>
      <c r="D8325" s="251" t="s">
        <v>11399</v>
      </c>
      <c r="E8325" s="40">
        <f>36000+80000+45000+1520+4000+75000</f>
        <v>241520</v>
      </c>
      <c r="F8325" s="43"/>
      <c r="G8325" s="48">
        <f t="shared" si="212"/>
        <v>727865.52150537609</v>
      </c>
      <c r="H8325" s="391" t="s">
        <v>9568</v>
      </c>
    </row>
    <row r="8326" spans="1:8" x14ac:dyDescent="0.3">
      <c r="A8326" s="45">
        <v>45295</v>
      </c>
      <c r="B8326" s="402" t="s">
        <v>12189</v>
      </c>
      <c r="C8326" s="39" t="s">
        <v>54</v>
      </c>
      <c r="D8326" s="251" t="s">
        <v>13039</v>
      </c>
      <c r="E8326" s="40">
        <v>37260</v>
      </c>
      <c r="F8326" s="43"/>
      <c r="G8326" s="48">
        <f t="shared" si="212"/>
        <v>690605.52150537609</v>
      </c>
      <c r="H8326" s="391" t="s">
        <v>9568</v>
      </c>
    </row>
    <row r="8327" spans="1:8" x14ac:dyDescent="0.3">
      <c r="A8327" s="45">
        <v>45295</v>
      </c>
      <c r="B8327" s="399" t="s">
        <v>25</v>
      </c>
      <c r="C8327" s="5" t="s">
        <v>64</v>
      </c>
      <c r="D8327" s="5" t="s">
        <v>40</v>
      </c>
      <c r="E8327" s="43">
        <v>1980</v>
      </c>
      <c r="F8327" s="43"/>
      <c r="G8327" s="48">
        <f t="shared" si="212"/>
        <v>688625.52150537609</v>
      </c>
      <c r="H8327" s="391" t="s">
        <v>9568</v>
      </c>
    </row>
    <row r="8328" spans="1:8" x14ac:dyDescent="0.3">
      <c r="A8328" s="45">
        <v>45295</v>
      </c>
      <c r="B8328" s="399" t="s">
        <v>25</v>
      </c>
      <c r="C8328" s="5" t="s">
        <v>26</v>
      </c>
      <c r="D8328" s="5" t="s">
        <v>6543</v>
      </c>
      <c r="E8328" s="43">
        <v>1000</v>
      </c>
      <c r="F8328" s="43"/>
      <c r="G8328" s="48">
        <f t="shared" si="212"/>
        <v>687625.52150537609</v>
      </c>
      <c r="H8328" s="391" t="s">
        <v>9568</v>
      </c>
    </row>
    <row r="8329" spans="1:8" x14ac:dyDescent="0.3">
      <c r="A8329" s="45">
        <v>45295</v>
      </c>
      <c r="B8329" s="399" t="s">
        <v>12867</v>
      </c>
      <c r="C8329" s="5" t="s">
        <v>5793</v>
      </c>
      <c r="D8329" s="5" t="s">
        <v>8924</v>
      </c>
      <c r="E8329" s="43">
        <v>300</v>
      </c>
      <c r="F8329" s="43"/>
      <c r="G8329" s="48">
        <f t="shared" si="212"/>
        <v>687325.52150537609</v>
      </c>
      <c r="H8329" s="391" t="s">
        <v>9568</v>
      </c>
    </row>
    <row r="8330" spans="1:8" x14ac:dyDescent="0.3">
      <c r="A8330" s="45">
        <v>45295</v>
      </c>
      <c r="B8330" s="399" t="s">
        <v>12703</v>
      </c>
      <c r="C8330" s="5" t="s">
        <v>5793</v>
      </c>
      <c r="D8330" s="5" t="s">
        <v>8924</v>
      </c>
      <c r="E8330" s="43">
        <v>700</v>
      </c>
      <c r="F8330" s="43"/>
      <c r="G8330" s="48">
        <f t="shared" si="212"/>
        <v>686625.52150537609</v>
      </c>
      <c r="H8330" s="391" t="s">
        <v>9568</v>
      </c>
    </row>
    <row r="8331" spans="1:8" x14ac:dyDescent="0.3">
      <c r="A8331" s="45">
        <v>45295</v>
      </c>
      <c r="B8331" s="399" t="s">
        <v>12189</v>
      </c>
      <c r="C8331" s="5" t="s">
        <v>5793</v>
      </c>
      <c r="D8331" s="5" t="s">
        <v>40</v>
      </c>
      <c r="E8331" s="43">
        <v>700</v>
      </c>
      <c r="F8331" s="43"/>
      <c r="G8331" s="48">
        <f t="shared" si="212"/>
        <v>685925.52150537609</v>
      </c>
      <c r="H8331" s="391" t="s">
        <v>9568</v>
      </c>
    </row>
    <row r="8332" spans="1:8" x14ac:dyDescent="0.3">
      <c r="A8332" s="45">
        <v>45295</v>
      </c>
      <c r="B8332" s="399" t="s">
        <v>12506</v>
      </c>
      <c r="C8332" s="5" t="s">
        <v>12480</v>
      </c>
      <c r="D8332" s="5" t="s">
        <v>13044</v>
      </c>
      <c r="E8332" s="65">
        <v>15000</v>
      </c>
      <c r="F8332" s="43"/>
      <c r="G8332" s="48">
        <f t="shared" si="212"/>
        <v>670925.52150537609</v>
      </c>
      <c r="H8332" s="391" t="s">
        <v>9568</v>
      </c>
    </row>
    <row r="8333" spans="1:8" x14ac:dyDescent="0.3">
      <c r="A8333" s="45">
        <v>45296</v>
      </c>
      <c r="B8333" s="399"/>
      <c r="C8333" s="5" t="s">
        <v>14</v>
      </c>
      <c r="D8333" s="5" t="s">
        <v>13045</v>
      </c>
      <c r="E8333" s="43">
        <v>18000</v>
      </c>
      <c r="F8333" s="43"/>
      <c r="G8333" s="48">
        <f t="shared" si="212"/>
        <v>652925.52150537609</v>
      </c>
      <c r="H8333" s="391" t="s">
        <v>9568</v>
      </c>
    </row>
    <row r="8334" spans="1:8" x14ac:dyDescent="0.3">
      <c r="A8334" s="45">
        <v>45296</v>
      </c>
      <c r="B8334" s="399" t="s">
        <v>12678</v>
      </c>
      <c r="C8334" s="5" t="s">
        <v>6430</v>
      </c>
      <c r="D8334" s="5" t="s">
        <v>294</v>
      </c>
      <c r="E8334" s="43">
        <v>5000</v>
      </c>
      <c r="F8334" s="43"/>
      <c r="G8334" s="48">
        <f t="shared" si="212"/>
        <v>647925.52150537609</v>
      </c>
      <c r="H8334" s="391" t="s">
        <v>9568</v>
      </c>
    </row>
    <row r="8335" spans="1:8" x14ac:dyDescent="0.3">
      <c r="A8335" s="45">
        <v>45296</v>
      </c>
      <c r="B8335" s="402" t="s">
        <v>12189</v>
      </c>
      <c r="C8335" s="39" t="s">
        <v>54</v>
      </c>
      <c r="D8335" s="251" t="s">
        <v>12824</v>
      </c>
      <c r="E8335" s="40">
        <v>43000</v>
      </c>
      <c r="F8335" s="43"/>
      <c r="G8335" s="48">
        <f t="shared" si="212"/>
        <v>604925.52150537609</v>
      </c>
      <c r="H8335" s="391" t="s">
        <v>9568</v>
      </c>
    </row>
    <row r="8336" spans="1:8" x14ac:dyDescent="0.3">
      <c r="A8336" s="45">
        <v>45296</v>
      </c>
      <c r="B8336" s="402" t="s">
        <v>12092</v>
      </c>
      <c r="C8336" s="39" t="s">
        <v>54</v>
      </c>
      <c r="D8336" s="251" t="s">
        <v>13048</v>
      </c>
      <c r="E8336" s="40">
        <v>24570</v>
      </c>
      <c r="F8336" s="43"/>
      <c r="G8336" s="48">
        <f t="shared" si="212"/>
        <v>580355.52150537609</v>
      </c>
      <c r="H8336" s="391" t="s">
        <v>9568</v>
      </c>
    </row>
    <row r="8337" spans="1:11" x14ac:dyDescent="0.3">
      <c r="A8337" s="45">
        <v>45296</v>
      </c>
      <c r="B8337" s="402" t="s">
        <v>12640</v>
      </c>
      <c r="C8337" s="39" t="s">
        <v>54</v>
      </c>
      <c r="D8337" s="251" t="s">
        <v>6245</v>
      </c>
      <c r="E8337" s="40">
        <v>98800</v>
      </c>
      <c r="F8337" s="43"/>
      <c r="G8337" s="48">
        <f t="shared" si="212"/>
        <v>481555.52150537609</v>
      </c>
      <c r="H8337" s="391" t="s">
        <v>9568</v>
      </c>
    </row>
    <row r="8338" spans="1:11" x14ac:dyDescent="0.3">
      <c r="A8338" s="45">
        <v>45296</v>
      </c>
      <c r="B8338" s="399"/>
      <c r="C8338" s="5" t="s">
        <v>4550</v>
      </c>
      <c r="D8338" s="5" t="s">
        <v>13049</v>
      </c>
      <c r="E8338" s="43">
        <v>25000</v>
      </c>
      <c r="F8338" s="43"/>
      <c r="G8338" s="48">
        <f t="shared" si="212"/>
        <v>456555.52150537609</v>
      </c>
      <c r="H8338" s="391" t="s">
        <v>9568</v>
      </c>
    </row>
    <row r="8339" spans="1:11" x14ac:dyDescent="0.3">
      <c r="A8339" s="45">
        <v>45296</v>
      </c>
      <c r="B8339" s="399"/>
      <c r="C8339" s="5" t="s">
        <v>14</v>
      </c>
      <c r="D8339" s="5" t="s">
        <v>294</v>
      </c>
      <c r="E8339" s="43">
        <v>10000</v>
      </c>
      <c r="F8339" s="43"/>
      <c r="G8339" s="48">
        <f t="shared" si="212"/>
        <v>446555.52150537609</v>
      </c>
      <c r="H8339" s="391" t="s">
        <v>9568</v>
      </c>
    </row>
    <row r="8340" spans="1:11" x14ac:dyDescent="0.3">
      <c r="A8340" s="45">
        <v>45296</v>
      </c>
      <c r="B8340" s="399" t="s">
        <v>25</v>
      </c>
      <c r="C8340" s="5" t="s">
        <v>25</v>
      </c>
      <c r="D8340" s="124" t="s">
        <v>7533</v>
      </c>
      <c r="E8340" s="43">
        <v>4000</v>
      </c>
      <c r="F8340" s="43"/>
      <c r="G8340" s="48">
        <f t="shared" si="212"/>
        <v>442555.52150537609</v>
      </c>
      <c r="H8340" s="391" t="s">
        <v>9568</v>
      </c>
    </row>
    <row r="8341" spans="1:11" x14ac:dyDescent="0.3">
      <c r="A8341" s="45">
        <v>45296</v>
      </c>
      <c r="B8341" s="399" t="s">
        <v>25</v>
      </c>
      <c r="C8341" s="5" t="s">
        <v>25</v>
      </c>
      <c r="D8341" s="5" t="s">
        <v>13053</v>
      </c>
      <c r="E8341" s="43">
        <v>1853</v>
      </c>
      <c r="F8341" s="43"/>
      <c r="G8341" s="48">
        <f t="shared" si="212"/>
        <v>440702.52150537609</v>
      </c>
      <c r="H8341" s="391" t="s">
        <v>9568</v>
      </c>
    </row>
    <row r="8342" spans="1:11" x14ac:dyDescent="0.3">
      <c r="A8342" s="45">
        <v>45296</v>
      </c>
      <c r="B8342" s="399" t="s">
        <v>10333</v>
      </c>
      <c r="C8342" s="5" t="s">
        <v>9801</v>
      </c>
      <c r="D8342" s="5" t="s">
        <v>40</v>
      </c>
      <c r="E8342" s="43">
        <v>2700</v>
      </c>
      <c r="F8342" s="43"/>
      <c r="G8342" s="48">
        <f t="shared" si="212"/>
        <v>438002.52150537609</v>
      </c>
      <c r="H8342" s="391" t="s">
        <v>9568</v>
      </c>
    </row>
    <row r="8343" spans="1:11" ht="22.5" customHeight="1" x14ac:dyDescent="0.3">
      <c r="A8343" s="45">
        <v>45296</v>
      </c>
      <c r="B8343" s="402" t="s">
        <v>10333</v>
      </c>
      <c r="C8343" s="39" t="s">
        <v>54</v>
      </c>
      <c r="D8343" s="251" t="s">
        <v>13052</v>
      </c>
      <c r="E8343" s="40">
        <f>57900+41450+31330+31000</f>
        <v>161680</v>
      </c>
      <c r="F8343" s="43"/>
      <c r="G8343" s="48">
        <f t="shared" si="212"/>
        <v>276322.52150537609</v>
      </c>
      <c r="H8343" s="391" t="s">
        <v>9568</v>
      </c>
    </row>
    <row r="8344" spans="1:11" x14ac:dyDescent="0.3">
      <c r="A8344" s="45">
        <v>45296</v>
      </c>
      <c r="B8344" s="402" t="s">
        <v>12089</v>
      </c>
      <c r="C8344" s="39" t="s">
        <v>54</v>
      </c>
      <c r="D8344" s="251" t="s">
        <v>13050</v>
      </c>
      <c r="E8344" s="40">
        <f>25330+29450</f>
        <v>54780</v>
      </c>
      <c r="F8344" s="43"/>
      <c r="G8344" s="48">
        <f t="shared" si="212"/>
        <v>221542.52150537609</v>
      </c>
      <c r="H8344" s="391" t="s">
        <v>9568</v>
      </c>
    </row>
    <row r="8345" spans="1:11" x14ac:dyDescent="0.3">
      <c r="A8345" s="45">
        <v>45296</v>
      </c>
      <c r="B8345" s="402" t="s">
        <v>12189</v>
      </c>
      <c r="C8345" s="39" t="s">
        <v>54</v>
      </c>
      <c r="D8345" s="251" t="s">
        <v>13051</v>
      </c>
      <c r="E8345" s="40">
        <f>37200+14650</f>
        <v>51850</v>
      </c>
      <c r="F8345" s="43"/>
      <c r="G8345" s="48">
        <f t="shared" si="212"/>
        <v>169692.52150537609</v>
      </c>
      <c r="H8345" s="391" t="s">
        <v>9568</v>
      </c>
    </row>
    <row r="8346" spans="1:11" x14ac:dyDescent="0.3">
      <c r="A8346" s="45">
        <v>45296</v>
      </c>
      <c r="B8346" s="402" t="s">
        <v>12098</v>
      </c>
      <c r="C8346" s="39" t="s">
        <v>54</v>
      </c>
      <c r="D8346" s="251" t="s">
        <v>13054</v>
      </c>
      <c r="E8346" s="40">
        <v>28000</v>
      </c>
      <c r="F8346" s="43"/>
      <c r="G8346" s="48">
        <f t="shared" si="212"/>
        <v>141692.52150537609</v>
      </c>
      <c r="H8346" s="391" t="s">
        <v>9568</v>
      </c>
    </row>
    <row r="8347" spans="1:11" x14ac:dyDescent="0.3">
      <c r="A8347" s="45">
        <v>45296</v>
      </c>
      <c r="B8347" s="399" t="s">
        <v>12867</v>
      </c>
      <c r="C8347" s="5" t="s">
        <v>9052</v>
      </c>
      <c r="D8347" s="5" t="s">
        <v>13055</v>
      </c>
      <c r="E8347" s="43">
        <v>13000</v>
      </c>
      <c r="F8347" s="43"/>
      <c r="G8347" s="48">
        <f t="shared" si="212"/>
        <v>128692.52150537609</v>
      </c>
      <c r="H8347" s="391" t="s">
        <v>9568</v>
      </c>
    </row>
    <row r="8348" spans="1:11" x14ac:dyDescent="0.3">
      <c r="A8348" s="45">
        <v>45296</v>
      </c>
      <c r="B8348" s="399" t="s">
        <v>12506</v>
      </c>
      <c r="C8348" s="5" t="s">
        <v>11194</v>
      </c>
      <c r="D8348" s="5" t="s">
        <v>13056</v>
      </c>
      <c r="E8348" s="65">
        <v>14000</v>
      </c>
      <c r="F8348" s="43"/>
      <c r="G8348" s="48">
        <f t="shared" si="212"/>
        <v>114692.52150537609</v>
      </c>
      <c r="H8348" s="391" t="s">
        <v>9568</v>
      </c>
    </row>
    <row r="8349" spans="1:11" x14ac:dyDescent="0.3">
      <c r="A8349" s="45">
        <v>45297</v>
      </c>
      <c r="B8349" s="399" t="s">
        <v>10333</v>
      </c>
      <c r="C8349" s="5" t="s">
        <v>7737</v>
      </c>
      <c r="D8349" s="5" t="s">
        <v>13057</v>
      </c>
      <c r="E8349" s="65">
        <v>15000</v>
      </c>
      <c r="F8349" s="43"/>
      <c r="G8349" s="48">
        <f t="shared" si="212"/>
        <v>99692.521505376091</v>
      </c>
      <c r="H8349" s="391" t="s">
        <v>9568</v>
      </c>
    </row>
    <row r="8350" spans="1:11" x14ac:dyDescent="0.3">
      <c r="A8350" s="45">
        <v>45297</v>
      </c>
      <c r="B8350" s="402" t="s">
        <v>13058</v>
      </c>
      <c r="C8350" s="39" t="s">
        <v>54</v>
      </c>
      <c r="D8350" s="251" t="s">
        <v>12831</v>
      </c>
      <c r="E8350" s="40">
        <v>29580</v>
      </c>
      <c r="F8350" s="43"/>
      <c r="G8350" s="48">
        <f t="shared" si="212"/>
        <v>70112.521505376091</v>
      </c>
      <c r="H8350" s="391" t="s">
        <v>9568</v>
      </c>
    </row>
    <row r="8351" spans="1:11" x14ac:dyDescent="0.3">
      <c r="A8351" s="45">
        <v>45297</v>
      </c>
      <c r="B8351" s="399" t="s">
        <v>12867</v>
      </c>
      <c r="C8351" s="5" t="s">
        <v>5793</v>
      </c>
      <c r="D8351" s="5" t="s">
        <v>40</v>
      </c>
      <c r="E8351" s="43">
        <v>1700</v>
      </c>
      <c r="F8351" s="43"/>
      <c r="G8351" s="48">
        <f t="shared" si="212"/>
        <v>68412.521505376091</v>
      </c>
      <c r="H8351" s="391" t="s">
        <v>9568</v>
      </c>
    </row>
    <row r="8352" spans="1:11" x14ac:dyDescent="0.3">
      <c r="A8352" s="45">
        <v>45297</v>
      </c>
      <c r="B8352" s="399" t="s">
        <v>12138</v>
      </c>
      <c r="C8352" s="5" t="s">
        <v>5793</v>
      </c>
      <c r="D8352" s="5" t="s">
        <v>8924</v>
      </c>
      <c r="E8352" s="43">
        <v>400</v>
      </c>
      <c r="F8352" s="43"/>
      <c r="G8352" s="48">
        <f t="shared" ref="G8352:G8419" si="213">G8351+F8352-E8352</f>
        <v>68012.521505376091</v>
      </c>
      <c r="H8352" s="391" t="s">
        <v>9568</v>
      </c>
      <c r="J8352" s="52" t="e">
        <f>#REF!*7%</f>
        <v>#REF!</v>
      </c>
      <c r="K8352" s="52" t="e">
        <f>#REF!*10%</f>
        <v>#REF!</v>
      </c>
    </row>
    <row r="8353" spans="1:12" x14ac:dyDescent="0.3">
      <c r="A8353" s="45">
        <v>45297</v>
      </c>
      <c r="B8353" s="399" t="s">
        <v>7521</v>
      </c>
      <c r="C8353" s="5" t="s">
        <v>11194</v>
      </c>
      <c r="D8353" s="5" t="s">
        <v>13059</v>
      </c>
      <c r="E8353" s="43">
        <v>10300</v>
      </c>
      <c r="F8353" s="43"/>
      <c r="G8353" s="48">
        <f t="shared" si="213"/>
        <v>57712.521505376091</v>
      </c>
      <c r="H8353" s="391" t="s">
        <v>9568</v>
      </c>
      <c r="I8353" s="609" t="s">
        <v>12581</v>
      </c>
      <c r="J8353" s="187" t="e">
        <f>#REF!</f>
        <v>#REF!</v>
      </c>
    </row>
    <row r="8354" spans="1:12" x14ac:dyDescent="0.3">
      <c r="A8354" s="45">
        <v>45297</v>
      </c>
      <c r="B8354" s="399" t="s">
        <v>12138</v>
      </c>
      <c r="C8354" s="5" t="s">
        <v>11194</v>
      </c>
      <c r="D8354" s="5" t="s">
        <v>13060</v>
      </c>
      <c r="E8354" s="43">
        <v>2000</v>
      </c>
      <c r="F8354" s="43"/>
      <c r="G8354" s="48">
        <f t="shared" si="213"/>
        <v>55712.521505376091</v>
      </c>
      <c r="H8354" s="391" t="s">
        <v>9568</v>
      </c>
      <c r="I8354" s="609" t="s">
        <v>55</v>
      </c>
      <c r="J8354" s="187">
        <f ca="1">SUMIF(C8310:E8408,"salary",E8310:E8408)+398000+170000</f>
        <v>1970755</v>
      </c>
    </row>
    <row r="8355" spans="1:12" x14ac:dyDescent="0.3">
      <c r="A8355" s="45">
        <v>45297</v>
      </c>
      <c r="B8355" s="402" t="s">
        <v>12189</v>
      </c>
      <c r="C8355" s="39" t="s">
        <v>54</v>
      </c>
      <c r="D8355" s="251" t="s">
        <v>12822</v>
      </c>
      <c r="E8355" s="40">
        <v>36000</v>
      </c>
      <c r="F8355" s="43"/>
      <c r="G8355" s="48">
        <f t="shared" si="213"/>
        <v>19712.521505376091</v>
      </c>
      <c r="H8355" s="391" t="s">
        <v>9568</v>
      </c>
      <c r="I8355" s="609" t="s">
        <v>12294</v>
      </c>
      <c r="J8355" s="187" t="e">
        <f ca="1">J8353-J8354</f>
        <v>#REF!</v>
      </c>
    </row>
    <row r="8356" spans="1:12" x14ac:dyDescent="0.3">
      <c r="A8356" s="45">
        <v>45297</v>
      </c>
      <c r="B8356" s="399" t="s">
        <v>12867</v>
      </c>
      <c r="C8356" s="5" t="s">
        <v>5793</v>
      </c>
      <c r="D8356" s="5" t="s">
        <v>13061</v>
      </c>
      <c r="E8356" s="43">
        <v>500</v>
      </c>
      <c r="F8356" s="43"/>
      <c r="G8356" s="48">
        <f t="shared" si="213"/>
        <v>19212.521505376091</v>
      </c>
      <c r="H8356" s="391" t="s">
        <v>9568</v>
      </c>
    </row>
    <row r="8357" spans="1:12" x14ac:dyDescent="0.3">
      <c r="A8357" s="45">
        <v>45299</v>
      </c>
      <c r="B8357" s="399"/>
      <c r="C8357" s="5" t="s">
        <v>84</v>
      </c>
      <c r="D8357" s="5" t="s">
        <v>13075</v>
      </c>
      <c r="E8357" s="43">
        <v>1000</v>
      </c>
      <c r="F8357" s="43"/>
      <c r="G8357" s="48">
        <f t="shared" si="213"/>
        <v>18212.521505376091</v>
      </c>
      <c r="H8357" s="391" t="s">
        <v>9568</v>
      </c>
    </row>
    <row r="8358" spans="1:12" x14ac:dyDescent="0.3">
      <c r="A8358" s="45">
        <v>45299</v>
      </c>
      <c r="B8358" s="399" t="s">
        <v>7521</v>
      </c>
      <c r="C8358" s="5" t="s">
        <v>11194</v>
      </c>
      <c r="D8358" s="5" t="s">
        <v>13078</v>
      </c>
      <c r="E8358" s="43">
        <v>1500</v>
      </c>
      <c r="F8358" s="43"/>
      <c r="G8358" s="48">
        <f t="shared" si="213"/>
        <v>16712.521505376091</v>
      </c>
      <c r="H8358" s="391" t="s">
        <v>9568</v>
      </c>
    </row>
    <row r="8359" spans="1:12" x14ac:dyDescent="0.3">
      <c r="A8359" s="45">
        <v>45299</v>
      </c>
      <c r="B8359" s="399"/>
      <c r="C8359" s="5" t="s">
        <v>14</v>
      </c>
      <c r="D8359" s="5" t="s">
        <v>12272</v>
      </c>
      <c r="E8359" s="43">
        <v>9913</v>
      </c>
      <c r="F8359" s="43"/>
      <c r="G8359" s="48">
        <f t="shared" si="213"/>
        <v>6799.5215053760912</v>
      </c>
      <c r="H8359" s="391" t="s">
        <v>9568</v>
      </c>
    </row>
    <row r="8360" spans="1:12" x14ac:dyDescent="0.3">
      <c r="A8360" s="45">
        <v>45299</v>
      </c>
      <c r="B8360" s="399" t="s">
        <v>12189</v>
      </c>
      <c r="C8360" s="5" t="s">
        <v>5793</v>
      </c>
      <c r="D8360" s="5" t="s">
        <v>13079</v>
      </c>
      <c r="E8360" s="43">
        <v>5000</v>
      </c>
      <c r="F8360" s="43"/>
      <c r="G8360" s="48">
        <f t="shared" si="213"/>
        <v>1799.5215053760912</v>
      </c>
      <c r="H8360" s="391" t="s">
        <v>9568</v>
      </c>
    </row>
    <row r="8361" spans="1:12" x14ac:dyDescent="0.3">
      <c r="A8361" s="45">
        <v>45299</v>
      </c>
      <c r="B8361" s="399" t="s">
        <v>12189</v>
      </c>
      <c r="C8361" s="5" t="s">
        <v>5162</v>
      </c>
      <c r="D8361" s="5" t="s">
        <v>294</v>
      </c>
      <c r="E8361" s="43">
        <v>1500</v>
      </c>
      <c r="F8361" s="43"/>
      <c r="G8361" s="48">
        <f t="shared" si="213"/>
        <v>299.52150537609123</v>
      </c>
      <c r="H8361" s="391" t="s">
        <v>9568</v>
      </c>
      <c r="L8361" s="4">
        <f>500000-102000</f>
        <v>398000</v>
      </c>
    </row>
    <row r="8362" spans="1:12" x14ac:dyDescent="0.3">
      <c r="A8362" s="45">
        <v>45299</v>
      </c>
      <c r="B8362" s="399" t="s">
        <v>12189</v>
      </c>
      <c r="C8362" s="5" t="s">
        <v>5793</v>
      </c>
      <c r="D8362" s="5" t="s">
        <v>40</v>
      </c>
      <c r="E8362" s="43">
        <v>240</v>
      </c>
      <c r="F8362" s="43"/>
      <c r="G8362" s="48">
        <f t="shared" si="213"/>
        <v>59.521505376091227</v>
      </c>
      <c r="H8362" s="391" t="s">
        <v>9568</v>
      </c>
    </row>
    <row r="8363" spans="1:12" x14ac:dyDescent="0.3">
      <c r="A8363" s="45">
        <v>45300</v>
      </c>
      <c r="B8363" s="586"/>
      <c r="C8363" s="486"/>
      <c r="D8363" s="497" t="s">
        <v>4106</v>
      </c>
      <c r="E8363" s="486"/>
      <c r="F8363" s="43">
        <v>500000</v>
      </c>
      <c r="G8363" s="48">
        <f t="shared" si="213"/>
        <v>500059.52150537609</v>
      </c>
      <c r="H8363" s="391" t="s">
        <v>9568</v>
      </c>
    </row>
    <row r="8364" spans="1:12" x14ac:dyDescent="0.3">
      <c r="A8364" s="45">
        <v>45300</v>
      </c>
      <c r="B8364" s="399" t="s">
        <v>12189</v>
      </c>
      <c r="C8364" s="5" t="s">
        <v>12908</v>
      </c>
      <c r="D8364" s="5" t="s">
        <v>13082</v>
      </c>
      <c r="E8364" s="43">
        <v>20000</v>
      </c>
      <c r="F8364" s="43"/>
      <c r="G8364" s="48">
        <f t="shared" si="213"/>
        <v>480059.52150537609</v>
      </c>
      <c r="H8364" s="391" t="s">
        <v>9568</v>
      </c>
    </row>
    <row r="8365" spans="1:12" x14ac:dyDescent="0.3">
      <c r="A8365" s="45">
        <v>45300</v>
      </c>
      <c r="B8365" s="399" t="s">
        <v>12189</v>
      </c>
      <c r="C8365" s="517" t="s">
        <v>11194</v>
      </c>
      <c r="D8365" s="517" t="s">
        <v>13083</v>
      </c>
      <c r="E8365" s="519">
        <v>10000</v>
      </c>
      <c r="F8365" s="43"/>
      <c r="G8365" s="48">
        <f t="shared" si="213"/>
        <v>470059.52150537609</v>
      </c>
      <c r="H8365" s="391" t="s">
        <v>9568</v>
      </c>
    </row>
    <row r="8366" spans="1:12" x14ac:dyDescent="0.3">
      <c r="A8366" s="45">
        <v>45300</v>
      </c>
      <c r="B8366" s="399" t="s">
        <v>25</v>
      </c>
      <c r="C8366" s="5" t="s">
        <v>25</v>
      </c>
      <c r="D8366" s="124" t="s">
        <v>7533</v>
      </c>
      <c r="E8366" s="43">
        <v>4000</v>
      </c>
      <c r="F8366" s="43"/>
      <c r="G8366" s="48">
        <f t="shared" si="213"/>
        <v>466059.52150537609</v>
      </c>
      <c r="H8366" s="391" t="s">
        <v>9568</v>
      </c>
    </row>
    <row r="8367" spans="1:12" x14ac:dyDescent="0.3">
      <c r="A8367" s="45">
        <v>45300</v>
      </c>
      <c r="B8367" s="399" t="s">
        <v>12098</v>
      </c>
      <c r="C8367" s="5" t="s">
        <v>9765</v>
      </c>
      <c r="D8367" s="5" t="s">
        <v>13084</v>
      </c>
      <c r="E8367" s="43">
        <v>20000</v>
      </c>
      <c r="F8367" s="43"/>
      <c r="G8367" s="48">
        <f t="shared" si="213"/>
        <v>446059.52150537609</v>
      </c>
      <c r="H8367" s="391" t="s">
        <v>9568</v>
      </c>
    </row>
    <row r="8368" spans="1:12" x14ac:dyDescent="0.3">
      <c r="A8368" s="45">
        <v>45300</v>
      </c>
      <c r="B8368" s="399" t="s">
        <v>12678</v>
      </c>
      <c r="C8368" s="5" t="s">
        <v>13085</v>
      </c>
      <c r="D8368" s="5" t="s">
        <v>13086</v>
      </c>
      <c r="E8368" s="43">
        <v>15100</v>
      </c>
      <c r="F8368" s="43"/>
      <c r="G8368" s="48">
        <f t="shared" si="213"/>
        <v>430959.52150537609</v>
      </c>
      <c r="H8368" s="391" t="s">
        <v>9568</v>
      </c>
      <c r="J8368" s="52">
        <v>8901000</v>
      </c>
    </row>
    <row r="8369" spans="1:13" x14ac:dyDescent="0.3">
      <c r="A8369" s="45">
        <v>45300</v>
      </c>
      <c r="B8369" s="402" t="s">
        <v>12678</v>
      </c>
      <c r="C8369" s="39" t="s">
        <v>54</v>
      </c>
      <c r="D8369" s="251" t="s">
        <v>13087</v>
      </c>
      <c r="E8369" s="40">
        <v>31410</v>
      </c>
      <c r="F8369" s="43"/>
      <c r="G8369" s="48">
        <f t="shared" si="213"/>
        <v>399549.52150537609</v>
      </c>
      <c r="H8369" s="391" t="s">
        <v>9568</v>
      </c>
      <c r="I8369" s="52" t="s">
        <v>13040</v>
      </c>
      <c r="J8369" s="52">
        <f>J8368*8%</f>
        <v>712080</v>
      </c>
    </row>
    <row r="8370" spans="1:13" x14ac:dyDescent="0.3">
      <c r="A8370" s="45">
        <v>45300</v>
      </c>
      <c r="B8370" s="402" t="s">
        <v>12640</v>
      </c>
      <c r="C8370" s="39" t="s">
        <v>54</v>
      </c>
      <c r="D8370" s="251" t="s">
        <v>12587</v>
      </c>
      <c r="E8370" s="40">
        <v>42100</v>
      </c>
      <c r="F8370" s="43"/>
      <c r="G8370" s="48">
        <f t="shared" si="213"/>
        <v>357449.52150537609</v>
      </c>
      <c r="H8370" s="391" t="s">
        <v>9568</v>
      </c>
      <c r="J8370" s="52">
        <f>J8368-J8369</f>
        <v>8188920</v>
      </c>
    </row>
    <row r="8371" spans="1:13" x14ac:dyDescent="0.3">
      <c r="A8371" s="45">
        <v>45300</v>
      </c>
      <c r="B8371" s="399" t="s">
        <v>11772</v>
      </c>
      <c r="C8371" s="5" t="s">
        <v>26</v>
      </c>
      <c r="D8371" s="5" t="s">
        <v>13088</v>
      </c>
      <c r="E8371" s="43">
        <v>600</v>
      </c>
      <c r="F8371" s="43"/>
      <c r="G8371" s="48">
        <f t="shared" si="213"/>
        <v>356849.52150537609</v>
      </c>
      <c r="H8371" s="391" t="s">
        <v>9568</v>
      </c>
      <c r="I8371" s="52" t="s">
        <v>13041</v>
      </c>
      <c r="J8371" s="52">
        <f>1316836*20%</f>
        <v>263367.2</v>
      </c>
    </row>
    <row r="8372" spans="1:13" x14ac:dyDescent="0.3">
      <c r="A8372" s="45">
        <v>45300</v>
      </c>
      <c r="B8372" s="399" t="s">
        <v>12867</v>
      </c>
      <c r="C8372" s="5" t="s">
        <v>9765</v>
      </c>
      <c r="D8372" s="5" t="s">
        <v>985</v>
      </c>
      <c r="E8372" s="43">
        <v>5000</v>
      </c>
      <c r="F8372" s="43"/>
      <c r="G8372" s="48">
        <f t="shared" si="213"/>
        <v>351849.52150537609</v>
      </c>
      <c r="H8372" s="391" t="s">
        <v>9568</v>
      </c>
      <c r="J8372" s="52">
        <f>J8370-J8371</f>
        <v>7925552.7999999998</v>
      </c>
    </row>
    <row r="8373" spans="1:13" x14ac:dyDescent="0.3">
      <c r="A8373" s="45">
        <v>45301</v>
      </c>
      <c r="B8373" s="399" t="s">
        <v>12867</v>
      </c>
      <c r="C8373" s="5" t="s">
        <v>9452</v>
      </c>
      <c r="D8373" s="5" t="s">
        <v>13089</v>
      </c>
      <c r="E8373" s="43">
        <v>7000</v>
      </c>
      <c r="F8373" s="43"/>
      <c r="G8373" s="48">
        <f t="shared" si="213"/>
        <v>344849.52150537609</v>
      </c>
      <c r="H8373" s="391" t="s">
        <v>9568</v>
      </c>
    </row>
    <row r="8374" spans="1:13" x14ac:dyDescent="0.3">
      <c r="A8374" s="45">
        <v>45301</v>
      </c>
      <c r="B8374" s="399"/>
      <c r="C8374" s="5" t="s">
        <v>4550</v>
      </c>
      <c r="D8374" s="5" t="s">
        <v>13090</v>
      </c>
      <c r="E8374" s="43">
        <v>25000</v>
      </c>
      <c r="F8374" s="43"/>
      <c r="G8374" s="48">
        <f t="shared" si="213"/>
        <v>319849.52150537609</v>
      </c>
      <c r="H8374" s="391" t="s">
        <v>9568</v>
      </c>
    </row>
    <row r="8375" spans="1:13" x14ac:dyDescent="0.3">
      <c r="A8375" s="45">
        <v>45306</v>
      </c>
      <c r="B8375" s="399" t="s">
        <v>12189</v>
      </c>
      <c r="C8375" s="5" t="s">
        <v>12908</v>
      </c>
      <c r="D8375" s="5" t="s">
        <v>13091</v>
      </c>
      <c r="E8375" s="43">
        <v>40000</v>
      </c>
      <c r="F8375" s="43"/>
      <c r="G8375" s="48">
        <f t="shared" si="213"/>
        <v>279849.52150537609</v>
      </c>
      <c r="H8375" s="391" t="s">
        <v>9568</v>
      </c>
    </row>
    <row r="8376" spans="1:13" x14ac:dyDescent="0.3">
      <c r="A8376" s="45">
        <v>45301</v>
      </c>
      <c r="B8376" s="399" t="s">
        <v>12189</v>
      </c>
      <c r="C8376" s="517" t="s">
        <v>11194</v>
      </c>
      <c r="D8376" s="517" t="s">
        <v>13083</v>
      </c>
      <c r="E8376" s="519">
        <v>6000</v>
      </c>
      <c r="F8376" s="43"/>
      <c r="G8376" s="48">
        <f t="shared" si="213"/>
        <v>273849.52150537609</v>
      </c>
      <c r="H8376" s="391" t="s">
        <v>9568</v>
      </c>
    </row>
    <row r="8377" spans="1:13" x14ac:dyDescent="0.3">
      <c r="A8377" s="45">
        <v>45301</v>
      </c>
      <c r="B8377" s="399" t="s">
        <v>25</v>
      </c>
      <c r="C8377" s="5" t="s">
        <v>26</v>
      </c>
      <c r="D8377" s="5" t="s">
        <v>13092</v>
      </c>
      <c r="E8377" s="43">
        <v>25000</v>
      </c>
      <c r="F8377" s="43"/>
      <c r="G8377" s="48">
        <f t="shared" si="213"/>
        <v>248849.52150537609</v>
      </c>
      <c r="H8377" s="391" t="s">
        <v>9568</v>
      </c>
    </row>
    <row r="8378" spans="1:13" x14ac:dyDescent="0.3">
      <c r="A8378" s="45">
        <v>45301</v>
      </c>
      <c r="B8378" s="399" t="s">
        <v>5958</v>
      </c>
      <c r="C8378" s="5" t="s">
        <v>4550</v>
      </c>
      <c r="D8378" s="5" t="s">
        <v>13090</v>
      </c>
      <c r="E8378" s="43">
        <v>10000</v>
      </c>
      <c r="F8378" s="43"/>
      <c r="G8378" s="48">
        <f t="shared" si="213"/>
        <v>238849.52150537609</v>
      </c>
      <c r="H8378" s="391" t="s">
        <v>9568</v>
      </c>
    </row>
    <row r="8379" spans="1:13" x14ac:dyDescent="0.3">
      <c r="A8379" s="45">
        <v>45301</v>
      </c>
      <c r="B8379" s="399" t="s">
        <v>12703</v>
      </c>
      <c r="C8379" s="5" t="s">
        <v>9647</v>
      </c>
      <c r="D8379" s="124" t="s">
        <v>13093</v>
      </c>
      <c r="E8379" s="43">
        <v>88000</v>
      </c>
      <c r="F8379" s="43"/>
      <c r="G8379" s="48">
        <f t="shared" si="213"/>
        <v>150849.52150537609</v>
      </c>
      <c r="H8379" s="391" t="s">
        <v>9568</v>
      </c>
      <c r="L8379" s="4">
        <v>15000</v>
      </c>
    </row>
    <row r="8380" spans="1:13" x14ac:dyDescent="0.3">
      <c r="A8380" s="45">
        <v>45301</v>
      </c>
      <c r="B8380" s="399" t="s">
        <v>25</v>
      </c>
      <c r="C8380" s="5" t="s">
        <v>25</v>
      </c>
      <c r="D8380" s="124" t="s">
        <v>13145</v>
      </c>
      <c r="E8380" s="43">
        <v>850</v>
      </c>
      <c r="F8380" s="43"/>
      <c r="G8380" s="48">
        <f t="shared" si="213"/>
        <v>149999.52150537609</v>
      </c>
      <c r="H8380" s="391" t="s">
        <v>9568</v>
      </c>
    </row>
    <row r="8381" spans="1:13" x14ac:dyDescent="0.3">
      <c r="A8381" s="45">
        <v>45301</v>
      </c>
      <c r="B8381" s="399" t="s">
        <v>12189</v>
      </c>
      <c r="C8381" s="5" t="s">
        <v>26</v>
      </c>
      <c r="D8381" s="5" t="s">
        <v>13094</v>
      </c>
      <c r="E8381" s="43">
        <v>1000</v>
      </c>
      <c r="F8381" s="43"/>
      <c r="G8381" s="48">
        <f t="shared" si="213"/>
        <v>148999.52150537609</v>
      </c>
      <c r="H8381" s="391" t="s">
        <v>9568</v>
      </c>
      <c r="L8381" s="4">
        <v>20000</v>
      </c>
    </row>
    <row r="8382" spans="1:13" x14ac:dyDescent="0.3">
      <c r="A8382" s="45">
        <v>45301</v>
      </c>
      <c r="B8382" s="399"/>
      <c r="C8382" s="5" t="s">
        <v>84</v>
      </c>
      <c r="D8382" s="5" t="s">
        <v>13110</v>
      </c>
      <c r="E8382" s="43">
        <v>12000</v>
      </c>
      <c r="F8382" s="43"/>
      <c r="G8382" s="48">
        <f t="shared" si="213"/>
        <v>136999.52150537609</v>
      </c>
      <c r="H8382" s="391" t="s">
        <v>9568</v>
      </c>
      <c r="L8382" s="4">
        <v>600000</v>
      </c>
      <c r="M8382" s="4">
        <f>L8382+L8381+L8379</f>
        <v>635000</v>
      </c>
    </row>
    <row r="8383" spans="1:13" x14ac:dyDescent="0.3">
      <c r="A8383" s="45">
        <v>45301</v>
      </c>
      <c r="B8383" s="399" t="s">
        <v>12189</v>
      </c>
      <c r="C8383" s="5" t="s">
        <v>107</v>
      </c>
      <c r="D8383" s="5" t="s">
        <v>5813</v>
      </c>
      <c r="E8383" s="43">
        <v>1000</v>
      </c>
      <c r="F8383" s="43"/>
      <c r="G8383" s="48">
        <f t="shared" si="213"/>
        <v>135999.52150537609</v>
      </c>
      <c r="H8383" s="391" t="s">
        <v>9568</v>
      </c>
      <c r="I8383" s="52">
        <v>12</v>
      </c>
      <c r="J8383" s="52" t="s">
        <v>13111</v>
      </c>
      <c r="K8383" s="52">
        <v>80000</v>
      </c>
    </row>
    <row r="8384" spans="1:13" x14ac:dyDescent="0.3">
      <c r="A8384" s="45">
        <v>45301</v>
      </c>
      <c r="B8384" s="399" t="s">
        <v>12189</v>
      </c>
      <c r="C8384" s="5" t="s">
        <v>5162</v>
      </c>
      <c r="D8384" s="5" t="s">
        <v>5813</v>
      </c>
      <c r="E8384" s="43">
        <v>4000</v>
      </c>
      <c r="F8384" s="43"/>
      <c r="G8384" s="48">
        <f t="shared" si="213"/>
        <v>131999.52150537609</v>
      </c>
      <c r="H8384" s="391" t="s">
        <v>9568</v>
      </c>
    </row>
    <row r="8385" spans="1:12" x14ac:dyDescent="0.3">
      <c r="A8385" s="45">
        <v>45301</v>
      </c>
      <c r="B8385" s="399"/>
      <c r="C8385" s="5" t="s">
        <v>4550</v>
      </c>
      <c r="D8385" s="5" t="s">
        <v>13231</v>
      </c>
      <c r="E8385" s="43">
        <v>15000</v>
      </c>
      <c r="F8385" s="43"/>
      <c r="G8385" s="48">
        <f t="shared" si="213"/>
        <v>116999.52150537609</v>
      </c>
      <c r="H8385" s="391" t="s">
        <v>9568</v>
      </c>
      <c r="I8385" s="52">
        <v>12</v>
      </c>
      <c r="J8385" s="52" t="s">
        <v>13112</v>
      </c>
      <c r="K8385" s="52">
        <v>30000</v>
      </c>
    </row>
    <row r="8386" spans="1:12" x14ac:dyDescent="0.3">
      <c r="A8386" s="45">
        <v>45301</v>
      </c>
      <c r="B8386" s="399" t="s">
        <v>12131</v>
      </c>
      <c r="C8386" s="39" t="s">
        <v>54</v>
      </c>
      <c r="D8386" s="5" t="s">
        <v>13095</v>
      </c>
      <c r="E8386" s="43">
        <v>25000</v>
      </c>
      <c r="F8386" s="43"/>
      <c r="G8386" s="48">
        <f t="shared" si="213"/>
        <v>91999.521505376091</v>
      </c>
      <c r="H8386" s="391" t="s">
        <v>9568</v>
      </c>
      <c r="I8386" s="52">
        <v>12</v>
      </c>
      <c r="J8386" s="52" t="s">
        <v>13113</v>
      </c>
      <c r="K8386" s="52">
        <v>114000</v>
      </c>
    </row>
    <row r="8387" spans="1:12" x14ac:dyDescent="0.3">
      <c r="A8387" s="45">
        <v>45301</v>
      </c>
      <c r="B8387" s="399" t="s">
        <v>12131</v>
      </c>
      <c r="C8387" s="39" t="s">
        <v>54</v>
      </c>
      <c r="D8387" s="5" t="s">
        <v>13096</v>
      </c>
      <c r="E8387" s="43">
        <v>25000</v>
      </c>
      <c r="F8387" s="43"/>
      <c r="G8387" s="48">
        <f t="shared" si="213"/>
        <v>66999.521505376091</v>
      </c>
      <c r="H8387" s="391" t="s">
        <v>9568</v>
      </c>
      <c r="I8387" s="52">
        <v>12</v>
      </c>
      <c r="J8387" s="52" t="s">
        <v>13114</v>
      </c>
      <c r="K8387" s="52">
        <v>4000</v>
      </c>
    </row>
    <row r="8388" spans="1:12" x14ac:dyDescent="0.3">
      <c r="A8388" s="45">
        <v>45301</v>
      </c>
      <c r="B8388" s="399" t="s">
        <v>12131</v>
      </c>
      <c r="C8388" s="39" t="s">
        <v>54</v>
      </c>
      <c r="D8388" s="5" t="s">
        <v>13097</v>
      </c>
      <c r="E8388" s="43">
        <v>25000</v>
      </c>
      <c r="F8388" s="43"/>
      <c r="G8388" s="48">
        <f t="shared" si="213"/>
        <v>41999.521505376091</v>
      </c>
      <c r="H8388" s="391" t="s">
        <v>9568</v>
      </c>
      <c r="I8388" s="52">
        <v>12</v>
      </c>
      <c r="J8388" s="52" t="s">
        <v>13115</v>
      </c>
      <c r="K8388" s="52">
        <v>2000</v>
      </c>
    </row>
    <row r="8389" spans="1:12" x14ac:dyDescent="0.3">
      <c r="A8389" s="45">
        <v>45301</v>
      </c>
      <c r="B8389" s="399" t="s">
        <v>12131</v>
      </c>
      <c r="C8389" s="39" t="s">
        <v>54</v>
      </c>
      <c r="D8389" s="5" t="s">
        <v>13098</v>
      </c>
      <c r="E8389" s="43">
        <v>25000</v>
      </c>
      <c r="F8389" s="43"/>
      <c r="G8389" s="48">
        <f t="shared" si="213"/>
        <v>16999.521505376091</v>
      </c>
      <c r="H8389" s="391" t="s">
        <v>9568</v>
      </c>
      <c r="I8389" s="52">
        <v>12</v>
      </c>
      <c r="J8389" s="52" t="s">
        <v>13116</v>
      </c>
      <c r="K8389" s="52">
        <v>850</v>
      </c>
    </row>
    <row r="8390" spans="1:12" x14ac:dyDescent="0.3">
      <c r="A8390" s="45">
        <v>45301</v>
      </c>
      <c r="B8390" s="399" t="s">
        <v>12189</v>
      </c>
      <c r="C8390" s="517" t="s">
        <v>11194</v>
      </c>
      <c r="D8390" s="517" t="s">
        <v>13083</v>
      </c>
      <c r="E8390" s="519">
        <v>7000</v>
      </c>
      <c r="F8390" s="43"/>
      <c r="G8390" s="48">
        <f t="shared" si="213"/>
        <v>9999.5215053760912</v>
      </c>
      <c r="H8390" s="391" t="s">
        <v>9568</v>
      </c>
      <c r="I8390" s="52">
        <v>12</v>
      </c>
      <c r="J8390" s="52" t="s">
        <v>9925</v>
      </c>
      <c r="K8390" s="52">
        <v>35050</v>
      </c>
    </row>
    <row r="8391" spans="1:12" x14ac:dyDescent="0.3">
      <c r="A8391" s="45">
        <v>45301</v>
      </c>
      <c r="B8391" s="399"/>
      <c r="C8391" s="5" t="s">
        <v>107</v>
      </c>
      <c r="D8391" s="5" t="s">
        <v>5813</v>
      </c>
      <c r="E8391" s="43">
        <v>5000</v>
      </c>
      <c r="F8391" s="43"/>
      <c r="G8391" s="48">
        <f t="shared" si="213"/>
        <v>4999.5215053760912</v>
      </c>
      <c r="H8391" s="391" t="s">
        <v>9568</v>
      </c>
      <c r="I8391" s="52">
        <v>12</v>
      </c>
      <c r="J8391" s="52" t="s">
        <v>13117</v>
      </c>
      <c r="K8391" s="52">
        <v>500</v>
      </c>
    </row>
    <row r="8392" spans="1:12" x14ac:dyDescent="0.3">
      <c r="A8392" s="45">
        <v>45301</v>
      </c>
      <c r="B8392" s="399"/>
      <c r="C8392" s="5" t="s">
        <v>84</v>
      </c>
      <c r="D8392" s="5" t="s">
        <v>13160</v>
      </c>
      <c r="E8392" s="43">
        <v>5000</v>
      </c>
      <c r="F8392" s="43"/>
      <c r="G8392" s="48">
        <f t="shared" si="213"/>
        <v>-0.47849462390877306</v>
      </c>
      <c r="H8392" s="391" t="s">
        <v>9568</v>
      </c>
      <c r="I8392" s="52">
        <v>12</v>
      </c>
      <c r="J8392" s="52" t="s">
        <v>13117</v>
      </c>
      <c r="K8392" s="52">
        <v>800</v>
      </c>
    </row>
    <row r="8393" spans="1:12" x14ac:dyDescent="0.3">
      <c r="A8393" s="45">
        <v>45303</v>
      </c>
      <c r="B8393" s="586"/>
      <c r="C8393" s="486"/>
      <c r="D8393" s="497" t="s">
        <v>13140</v>
      </c>
      <c r="E8393" s="486"/>
      <c r="F8393" s="43">
        <v>600000</v>
      </c>
      <c r="G8393" s="48">
        <f t="shared" si="213"/>
        <v>599999.52150537609</v>
      </c>
      <c r="H8393" s="391" t="s">
        <v>9568</v>
      </c>
      <c r="I8393" s="52">
        <v>12</v>
      </c>
      <c r="J8393" s="52" t="s">
        <v>13117</v>
      </c>
      <c r="K8393" s="52">
        <v>1000</v>
      </c>
    </row>
    <row r="8394" spans="1:12" x14ac:dyDescent="0.3">
      <c r="A8394" s="45">
        <v>45303</v>
      </c>
      <c r="B8394" s="399" t="s">
        <v>12506</v>
      </c>
      <c r="C8394" s="5" t="s">
        <v>12852</v>
      </c>
      <c r="D8394" s="5" t="s">
        <v>13141</v>
      </c>
      <c r="E8394" s="43">
        <v>80000</v>
      </c>
      <c r="F8394" s="43"/>
      <c r="G8394" s="48">
        <f t="shared" si="213"/>
        <v>519999.52150537609</v>
      </c>
      <c r="H8394" s="391" t="s">
        <v>9568</v>
      </c>
      <c r="I8394" s="52">
        <v>12</v>
      </c>
      <c r="J8394" s="52" t="s">
        <v>13117</v>
      </c>
      <c r="K8394" s="52">
        <v>500</v>
      </c>
    </row>
    <row r="8395" spans="1:12" x14ac:dyDescent="0.3">
      <c r="A8395" s="45">
        <v>45303</v>
      </c>
      <c r="B8395" s="399" t="s">
        <v>12640</v>
      </c>
      <c r="C8395" s="5" t="s">
        <v>12852</v>
      </c>
      <c r="D8395" s="5" t="s">
        <v>13141</v>
      </c>
      <c r="E8395" s="43">
        <v>30000</v>
      </c>
      <c r="F8395" s="43"/>
      <c r="G8395" s="48">
        <f t="shared" si="213"/>
        <v>489999.52150537609</v>
      </c>
      <c r="H8395" s="391" t="s">
        <v>9568</v>
      </c>
      <c r="I8395" s="52">
        <v>12</v>
      </c>
      <c r="J8395" s="52" t="s">
        <v>13118</v>
      </c>
      <c r="K8395" s="52">
        <v>1700</v>
      </c>
      <c r="L8395" s="93"/>
    </row>
    <row r="8396" spans="1:12" x14ac:dyDescent="0.3">
      <c r="A8396" s="45">
        <v>45303</v>
      </c>
      <c r="B8396" s="399" t="s">
        <v>12867</v>
      </c>
      <c r="C8396" s="5" t="s">
        <v>13163</v>
      </c>
      <c r="D8396" s="5" t="s">
        <v>13161</v>
      </c>
      <c r="E8396" s="43">
        <v>114000</v>
      </c>
      <c r="F8396" s="43"/>
      <c r="G8396" s="48">
        <f t="shared" si="213"/>
        <v>375999.52150537609</v>
      </c>
      <c r="H8396" s="391" t="s">
        <v>9568</v>
      </c>
      <c r="I8396" s="52">
        <v>13</v>
      </c>
      <c r="J8396" s="52" t="s">
        <v>13119</v>
      </c>
      <c r="K8396" s="52">
        <v>1700</v>
      </c>
    </row>
    <row r="8397" spans="1:12" x14ac:dyDescent="0.3">
      <c r="A8397" s="45">
        <v>45303</v>
      </c>
      <c r="B8397" s="586"/>
      <c r="C8397" s="486"/>
      <c r="D8397" s="497" t="s">
        <v>13151</v>
      </c>
      <c r="E8397" s="486"/>
      <c r="F8397" s="43">
        <v>35000</v>
      </c>
      <c r="G8397" s="48">
        <f t="shared" si="213"/>
        <v>410999.52150537609</v>
      </c>
      <c r="H8397" s="391" t="s">
        <v>9568</v>
      </c>
      <c r="I8397" s="52">
        <v>13</v>
      </c>
      <c r="J8397" s="52" t="s">
        <v>13125</v>
      </c>
      <c r="K8397" s="52">
        <v>48385</v>
      </c>
    </row>
    <row r="8398" spans="1:12" x14ac:dyDescent="0.3">
      <c r="A8398" s="45">
        <v>45303</v>
      </c>
      <c r="B8398" s="399" t="s">
        <v>25</v>
      </c>
      <c r="C8398" s="5" t="s">
        <v>25</v>
      </c>
      <c r="D8398" s="43" t="s">
        <v>13142</v>
      </c>
      <c r="E8398" s="43">
        <v>4000</v>
      </c>
      <c r="F8398" s="43"/>
      <c r="G8398" s="48">
        <f t="shared" si="213"/>
        <v>406999.52150537609</v>
      </c>
      <c r="H8398" s="391" t="s">
        <v>9568</v>
      </c>
      <c r="I8398" s="52">
        <v>13</v>
      </c>
      <c r="J8398" s="52" t="s">
        <v>25</v>
      </c>
      <c r="K8398" s="52">
        <v>1000</v>
      </c>
    </row>
    <row r="8399" spans="1:12" x14ac:dyDescent="0.3">
      <c r="A8399" s="45">
        <v>45303</v>
      </c>
      <c r="B8399" s="399" t="s">
        <v>12867</v>
      </c>
      <c r="C8399" s="5" t="s">
        <v>30</v>
      </c>
      <c r="D8399" s="5" t="s">
        <v>10651</v>
      </c>
      <c r="E8399" s="43">
        <v>2000</v>
      </c>
      <c r="F8399" s="43"/>
      <c r="G8399" s="48">
        <f t="shared" si="213"/>
        <v>404999.52150537609</v>
      </c>
      <c r="H8399" s="391" t="s">
        <v>9568</v>
      </c>
      <c r="I8399" s="52">
        <v>13</v>
      </c>
      <c r="J8399" s="52" t="s">
        <v>13120</v>
      </c>
      <c r="K8399" s="52">
        <v>250</v>
      </c>
    </row>
    <row r="8400" spans="1:12" x14ac:dyDescent="0.3">
      <c r="A8400" s="45">
        <v>45303</v>
      </c>
      <c r="B8400" s="399" t="s">
        <v>12131</v>
      </c>
      <c r="C8400" s="39" t="s">
        <v>54</v>
      </c>
      <c r="D8400" s="5" t="s">
        <v>13143</v>
      </c>
      <c r="E8400" s="43">
        <v>35050</v>
      </c>
      <c r="F8400" s="43"/>
      <c r="G8400" s="48">
        <f t="shared" si="213"/>
        <v>369949.52150537609</v>
      </c>
      <c r="H8400" s="391" t="s">
        <v>9568</v>
      </c>
      <c r="I8400" s="52">
        <v>13</v>
      </c>
      <c r="J8400" s="52" t="s">
        <v>13121</v>
      </c>
      <c r="K8400" s="52">
        <v>85000</v>
      </c>
    </row>
    <row r="8401" spans="1:12" x14ac:dyDescent="0.3">
      <c r="A8401" s="45">
        <v>45303</v>
      </c>
      <c r="B8401" s="399" t="s">
        <v>12640</v>
      </c>
      <c r="C8401" s="5" t="s">
        <v>7737</v>
      </c>
      <c r="D8401" s="5" t="s">
        <v>40</v>
      </c>
      <c r="E8401" s="43">
        <v>850</v>
      </c>
      <c r="F8401" s="43"/>
      <c r="G8401" s="48">
        <f t="shared" si="213"/>
        <v>369099.52150537609</v>
      </c>
      <c r="H8401" s="391" t="s">
        <v>9568</v>
      </c>
      <c r="I8401" s="52">
        <v>15</v>
      </c>
      <c r="J8401" s="52" t="s">
        <v>13113</v>
      </c>
      <c r="K8401" s="52">
        <v>108000</v>
      </c>
      <c r="L8401" s="93">
        <f>K8400+K8399+K8398+K8397+K8396</f>
        <v>136335</v>
      </c>
    </row>
    <row r="8402" spans="1:12" x14ac:dyDescent="0.3">
      <c r="A8402" s="45">
        <v>45303</v>
      </c>
      <c r="B8402" s="399" t="s">
        <v>12867</v>
      </c>
      <c r="C8402" s="5" t="s">
        <v>5793</v>
      </c>
      <c r="D8402" s="5" t="s">
        <v>13144</v>
      </c>
      <c r="E8402" s="43">
        <v>5550</v>
      </c>
      <c r="F8402" s="43"/>
      <c r="G8402" s="48">
        <f t="shared" si="213"/>
        <v>363549.52150537609</v>
      </c>
      <c r="H8402" s="391" t="s">
        <v>9568</v>
      </c>
      <c r="I8402" s="52">
        <v>15</v>
      </c>
      <c r="J8402" s="52" t="s">
        <v>13118</v>
      </c>
      <c r="K8402" s="52">
        <v>250</v>
      </c>
    </row>
    <row r="8403" spans="1:12" x14ac:dyDescent="0.3">
      <c r="A8403" s="45">
        <v>45304</v>
      </c>
      <c r="B8403" s="399" t="s">
        <v>12703</v>
      </c>
      <c r="C8403" s="5" t="s">
        <v>5793</v>
      </c>
      <c r="D8403" s="5" t="s">
        <v>13144</v>
      </c>
      <c r="E8403" s="43">
        <v>3500</v>
      </c>
      <c r="F8403" s="43"/>
      <c r="G8403" s="48">
        <f t="shared" si="213"/>
        <v>360049.52150537609</v>
      </c>
      <c r="H8403" s="391" t="s">
        <v>9568</v>
      </c>
      <c r="I8403" s="52">
        <v>15</v>
      </c>
      <c r="J8403" s="52" t="s">
        <v>13118</v>
      </c>
      <c r="K8403" s="52">
        <v>500</v>
      </c>
    </row>
    <row r="8404" spans="1:12" x14ac:dyDescent="0.3">
      <c r="A8404" s="45">
        <v>45304</v>
      </c>
      <c r="B8404" s="399" t="s">
        <v>12138</v>
      </c>
      <c r="C8404" s="39" t="s">
        <v>54</v>
      </c>
      <c r="D8404" s="5" t="s">
        <v>13125</v>
      </c>
      <c r="E8404" s="43">
        <v>48385</v>
      </c>
      <c r="F8404" s="43"/>
      <c r="G8404" s="48">
        <f t="shared" si="213"/>
        <v>311664.52150537609</v>
      </c>
      <c r="H8404" s="391" t="s">
        <v>9568</v>
      </c>
      <c r="I8404" s="52">
        <v>15</v>
      </c>
      <c r="J8404" s="52" t="s">
        <v>13118</v>
      </c>
      <c r="K8404" s="52">
        <v>300</v>
      </c>
    </row>
    <row r="8405" spans="1:12" x14ac:dyDescent="0.3">
      <c r="A8405" s="45">
        <v>45304</v>
      </c>
      <c r="B8405" s="399" t="s">
        <v>12867</v>
      </c>
      <c r="C8405" s="5" t="s">
        <v>11194</v>
      </c>
      <c r="D8405" s="5" t="s">
        <v>13146</v>
      </c>
      <c r="E8405" s="43">
        <v>85000</v>
      </c>
      <c r="F8405" s="43"/>
      <c r="G8405" s="48">
        <f t="shared" si="213"/>
        <v>226664.52150537609</v>
      </c>
      <c r="H8405" s="391" t="s">
        <v>9568</v>
      </c>
      <c r="I8405" s="52">
        <v>15</v>
      </c>
      <c r="J8405" s="52" t="s">
        <v>13122</v>
      </c>
      <c r="K8405" s="52">
        <v>19000</v>
      </c>
    </row>
    <row r="8406" spans="1:12" x14ac:dyDescent="0.3">
      <c r="A8406" s="45">
        <v>45306</v>
      </c>
      <c r="B8406" s="399" t="s">
        <v>12867</v>
      </c>
      <c r="C8406" s="5" t="s">
        <v>13162</v>
      </c>
      <c r="D8406" s="5" t="s">
        <v>13161</v>
      </c>
      <c r="E8406" s="43">
        <v>108000</v>
      </c>
      <c r="F8406" s="43"/>
      <c r="G8406" s="48">
        <f t="shared" si="213"/>
        <v>118664.52150537609</v>
      </c>
      <c r="H8406" s="391" t="s">
        <v>9568</v>
      </c>
      <c r="I8406" s="52">
        <v>15</v>
      </c>
      <c r="J8406" s="52" t="s">
        <v>13123</v>
      </c>
      <c r="K8406" s="52">
        <v>400</v>
      </c>
    </row>
    <row r="8407" spans="1:12" x14ac:dyDescent="0.3">
      <c r="A8407" s="45">
        <v>45306</v>
      </c>
      <c r="B8407" s="399" t="s">
        <v>12506</v>
      </c>
      <c r="C8407" s="5" t="s">
        <v>12852</v>
      </c>
      <c r="D8407" s="5" t="s">
        <v>13141</v>
      </c>
      <c r="E8407" s="43">
        <v>19000</v>
      </c>
      <c r="F8407" s="43"/>
      <c r="G8407" s="48">
        <f t="shared" si="213"/>
        <v>99664.521505376091</v>
      </c>
      <c r="H8407" s="391" t="s">
        <v>9568</v>
      </c>
      <c r="I8407" s="52">
        <v>15</v>
      </c>
      <c r="J8407" s="52" t="s">
        <v>13124</v>
      </c>
      <c r="K8407" s="52">
        <v>4100</v>
      </c>
    </row>
    <row r="8408" spans="1:12" x14ac:dyDescent="0.3">
      <c r="A8408" s="45">
        <v>45306</v>
      </c>
      <c r="B8408" s="399" t="s">
        <v>12867</v>
      </c>
      <c r="C8408" s="5" t="s">
        <v>11194</v>
      </c>
      <c r="D8408" s="5" t="s">
        <v>13147</v>
      </c>
      <c r="E8408" s="43">
        <v>4100</v>
      </c>
      <c r="F8408" s="43"/>
      <c r="G8408" s="48">
        <f t="shared" si="213"/>
        <v>95564.521505376091</v>
      </c>
      <c r="H8408" s="391" t="s">
        <v>9568</v>
      </c>
      <c r="I8408" s="52">
        <v>15</v>
      </c>
      <c r="J8408" s="52" t="s">
        <v>13115</v>
      </c>
      <c r="K8408" s="52">
        <v>1000</v>
      </c>
    </row>
    <row r="8409" spans="1:12" x14ac:dyDescent="0.3">
      <c r="A8409" s="45">
        <v>45306</v>
      </c>
      <c r="B8409" s="399" t="s">
        <v>12867</v>
      </c>
      <c r="C8409" s="5" t="s">
        <v>30</v>
      </c>
      <c r="D8409" s="5" t="s">
        <v>10651</v>
      </c>
      <c r="E8409" s="43">
        <v>1000</v>
      </c>
      <c r="F8409" s="43"/>
      <c r="G8409" s="48">
        <f t="shared" si="213"/>
        <v>94564.521505376091</v>
      </c>
      <c r="H8409" s="391" t="s">
        <v>9568</v>
      </c>
      <c r="I8409" s="52">
        <v>15</v>
      </c>
      <c r="J8409" s="52" t="s">
        <v>13126</v>
      </c>
      <c r="K8409" s="52">
        <v>5900</v>
      </c>
    </row>
    <row r="8410" spans="1:12" x14ac:dyDescent="0.3">
      <c r="A8410" s="45">
        <v>45306</v>
      </c>
      <c r="B8410" s="399" t="s">
        <v>12867</v>
      </c>
      <c r="C8410" s="5" t="s">
        <v>11194</v>
      </c>
      <c r="D8410" s="5" t="s">
        <v>13148</v>
      </c>
      <c r="E8410" s="43">
        <v>5900</v>
      </c>
      <c r="F8410" s="43"/>
      <c r="G8410" s="48">
        <f t="shared" si="213"/>
        <v>88664.521505376091</v>
      </c>
      <c r="H8410" s="391" t="s">
        <v>9568</v>
      </c>
      <c r="I8410" s="52">
        <v>15</v>
      </c>
      <c r="J8410" s="52" t="s">
        <v>13127</v>
      </c>
      <c r="K8410" s="52">
        <v>400</v>
      </c>
    </row>
    <row r="8411" spans="1:12" x14ac:dyDescent="0.3">
      <c r="A8411" s="45">
        <v>45306</v>
      </c>
      <c r="B8411" s="399" t="s">
        <v>12867</v>
      </c>
      <c r="C8411" s="5" t="s">
        <v>5793</v>
      </c>
      <c r="D8411" s="5" t="s">
        <v>13144</v>
      </c>
      <c r="E8411" s="43">
        <v>2000</v>
      </c>
      <c r="F8411" s="43"/>
      <c r="G8411" s="48">
        <f t="shared" si="213"/>
        <v>86664.521505376091</v>
      </c>
      <c r="H8411" s="391" t="s">
        <v>9568</v>
      </c>
      <c r="I8411" s="52">
        <v>15</v>
      </c>
      <c r="J8411" s="52" t="s">
        <v>13127</v>
      </c>
      <c r="K8411" s="52">
        <v>800</v>
      </c>
    </row>
    <row r="8412" spans="1:12" x14ac:dyDescent="0.3">
      <c r="A8412" s="45">
        <v>45306</v>
      </c>
      <c r="B8412" s="399" t="s">
        <v>12867</v>
      </c>
      <c r="C8412" s="5" t="s">
        <v>9452</v>
      </c>
      <c r="D8412" s="5" t="s">
        <v>13149</v>
      </c>
      <c r="E8412" s="43">
        <v>1000</v>
      </c>
      <c r="F8412" s="43"/>
      <c r="G8412" s="48">
        <f t="shared" si="213"/>
        <v>85664.521505376091</v>
      </c>
      <c r="H8412" s="391" t="s">
        <v>9568</v>
      </c>
      <c r="I8412" s="52">
        <v>15</v>
      </c>
      <c r="J8412" s="52" t="s">
        <v>13128</v>
      </c>
      <c r="K8412" s="52">
        <v>1030</v>
      </c>
    </row>
    <row r="8413" spans="1:12" x14ac:dyDescent="0.3">
      <c r="A8413" s="45">
        <v>45306</v>
      </c>
      <c r="B8413" s="399" t="s">
        <v>25</v>
      </c>
      <c r="C8413" s="5" t="s">
        <v>25</v>
      </c>
      <c r="D8413" s="124" t="s">
        <v>13145</v>
      </c>
      <c r="E8413" s="43">
        <v>2000</v>
      </c>
      <c r="F8413" s="43"/>
      <c r="G8413" s="48">
        <f t="shared" si="213"/>
        <v>83664.521505376091</v>
      </c>
      <c r="H8413" s="391" t="s">
        <v>9568</v>
      </c>
      <c r="I8413" s="52">
        <v>15</v>
      </c>
      <c r="J8413" s="52" t="s">
        <v>25</v>
      </c>
      <c r="K8413" s="52">
        <v>1000</v>
      </c>
    </row>
    <row r="8414" spans="1:12" x14ac:dyDescent="0.3">
      <c r="A8414" s="45">
        <v>45306</v>
      </c>
      <c r="B8414" s="399" t="s">
        <v>12138</v>
      </c>
      <c r="C8414" s="5" t="s">
        <v>5793</v>
      </c>
      <c r="D8414" s="5" t="s">
        <v>40</v>
      </c>
      <c r="E8414" s="43">
        <v>3000</v>
      </c>
      <c r="F8414" s="43"/>
      <c r="G8414" s="48">
        <f t="shared" si="213"/>
        <v>80664.521505376091</v>
      </c>
      <c r="H8414" s="391" t="s">
        <v>9568</v>
      </c>
      <c r="I8414" s="52">
        <v>15</v>
      </c>
      <c r="J8414" s="52" t="s">
        <v>13123</v>
      </c>
      <c r="K8414" s="52">
        <v>250</v>
      </c>
    </row>
    <row r="8415" spans="1:12" x14ac:dyDescent="0.3">
      <c r="A8415" s="45">
        <v>45306</v>
      </c>
      <c r="B8415" s="399" t="s">
        <v>12138</v>
      </c>
      <c r="C8415" s="5" t="s">
        <v>5793</v>
      </c>
      <c r="D8415" s="5" t="s">
        <v>13150</v>
      </c>
      <c r="E8415" s="43">
        <v>5100</v>
      </c>
      <c r="F8415" s="43"/>
      <c r="G8415" s="48">
        <f t="shared" si="213"/>
        <v>75564.521505376091</v>
      </c>
      <c r="H8415" s="391" t="s">
        <v>9568</v>
      </c>
      <c r="I8415" s="52">
        <v>15</v>
      </c>
      <c r="J8415" s="52" t="s">
        <v>13127</v>
      </c>
      <c r="K8415" s="52">
        <v>450</v>
      </c>
    </row>
    <row r="8416" spans="1:12" x14ac:dyDescent="0.3">
      <c r="A8416" s="45">
        <v>45307</v>
      </c>
      <c r="B8416" s="399" t="s">
        <v>12867</v>
      </c>
      <c r="C8416" s="5" t="s">
        <v>11194</v>
      </c>
      <c r="D8416" s="5" t="s">
        <v>13152</v>
      </c>
      <c r="E8416" s="43">
        <v>8500</v>
      </c>
      <c r="F8416" s="43"/>
      <c r="G8416" s="48">
        <f t="shared" si="213"/>
        <v>67064.521505376091</v>
      </c>
      <c r="H8416" s="391" t="s">
        <v>9568</v>
      </c>
      <c r="I8416" s="52">
        <v>15</v>
      </c>
      <c r="J8416" s="52" t="s">
        <v>25</v>
      </c>
      <c r="K8416" s="52">
        <v>650</v>
      </c>
    </row>
    <row r="8417" spans="1:11" x14ac:dyDescent="0.3">
      <c r="A8417" s="45">
        <v>45307</v>
      </c>
      <c r="B8417" s="399" t="s">
        <v>12867</v>
      </c>
      <c r="C8417" s="5" t="s">
        <v>5793</v>
      </c>
      <c r="D8417" s="5" t="s">
        <v>13144</v>
      </c>
      <c r="E8417" s="43">
        <v>2500</v>
      </c>
      <c r="F8417" s="43"/>
      <c r="G8417" s="48">
        <f t="shared" si="213"/>
        <v>64564.521505376091</v>
      </c>
      <c r="H8417" s="391" t="s">
        <v>9568</v>
      </c>
      <c r="I8417" s="52">
        <v>15</v>
      </c>
      <c r="J8417" s="52" t="s">
        <v>13127</v>
      </c>
      <c r="K8417" s="52">
        <v>1900</v>
      </c>
    </row>
    <row r="8418" spans="1:11" x14ac:dyDescent="0.3">
      <c r="A8418" s="45">
        <v>45307</v>
      </c>
      <c r="B8418" s="399" t="s">
        <v>12138</v>
      </c>
      <c r="C8418" s="5" t="s">
        <v>11194</v>
      </c>
      <c r="D8418" s="43" t="s">
        <v>13132</v>
      </c>
      <c r="E8418" s="43">
        <v>1900</v>
      </c>
      <c r="F8418" s="43"/>
      <c r="G8418" s="48">
        <f t="shared" si="213"/>
        <v>62664.521505376091</v>
      </c>
      <c r="H8418" s="391" t="s">
        <v>9568</v>
      </c>
      <c r="I8418" s="52">
        <v>15</v>
      </c>
      <c r="J8418" s="52" t="s">
        <v>13129</v>
      </c>
      <c r="K8418" s="52">
        <v>5100</v>
      </c>
    </row>
    <row r="8419" spans="1:11" x14ac:dyDescent="0.3">
      <c r="A8419" s="45">
        <v>45307</v>
      </c>
      <c r="B8419" s="399" t="s">
        <v>12287</v>
      </c>
      <c r="C8419" s="5" t="s">
        <v>26</v>
      </c>
      <c r="D8419" s="43" t="s">
        <v>11452</v>
      </c>
      <c r="E8419" s="43">
        <v>900</v>
      </c>
      <c r="F8419" s="43"/>
      <c r="G8419" s="48">
        <f t="shared" si="213"/>
        <v>61764.521505376091</v>
      </c>
      <c r="H8419" s="391" t="s">
        <v>9568</v>
      </c>
      <c r="I8419" s="52">
        <v>16</v>
      </c>
      <c r="J8419" s="52" t="s">
        <v>13130</v>
      </c>
      <c r="K8419" s="52">
        <v>8500</v>
      </c>
    </row>
    <row r="8420" spans="1:11" x14ac:dyDescent="0.3">
      <c r="A8420" s="45">
        <v>45307</v>
      </c>
      <c r="B8420" s="399" t="s">
        <v>12867</v>
      </c>
      <c r="C8420" s="5" t="s">
        <v>9801</v>
      </c>
      <c r="D8420" s="43" t="s">
        <v>51</v>
      </c>
      <c r="E8420" s="43">
        <v>3940</v>
      </c>
      <c r="F8420" s="43"/>
      <c r="G8420" s="48">
        <f t="shared" ref="G8420:G8486" si="214">G8419+F8420-E8420</f>
        <v>57824.521505376091</v>
      </c>
      <c r="H8420" s="391" t="s">
        <v>9568</v>
      </c>
      <c r="I8420" s="52">
        <v>16</v>
      </c>
      <c r="J8420" s="52" t="s">
        <v>13131</v>
      </c>
      <c r="K8420" s="52">
        <v>1000</v>
      </c>
    </row>
    <row r="8421" spans="1:11" x14ac:dyDescent="0.3">
      <c r="A8421" s="45">
        <v>45307</v>
      </c>
      <c r="B8421" s="399" t="s">
        <v>12867</v>
      </c>
      <c r="C8421" s="5" t="s">
        <v>5793</v>
      </c>
      <c r="D8421" s="5" t="s">
        <v>13153</v>
      </c>
      <c r="E8421" s="43">
        <v>1500</v>
      </c>
      <c r="F8421" s="43"/>
      <c r="G8421" s="48">
        <f t="shared" si="214"/>
        <v>56324.521505376091</v>
      </c>
      <c r="H8421" s="391" t="s">
        <v>9568</v>
      </c>
      <c r="I8421" s="52">
        <v>16</v>
      </c>
      <c r="J8421" s="52" t="s">
        <v>13118</v>
      </c>
      <c r="K8421" s="52">
        <v>1100</v>
      </c>
    </row>
    <row r="8422" spans="1:11" x14ac:dyDescent="0.3">
      <c r="A8422" s="45">
        <v>45308</v>
      </c>
      <c r="B8422" s="399" t="s">
        <v>25</v>
      </c>
      <c r="C8422" s="5" t="s">
        <v>25</v>
      </c>
      <c r="D8422" s="124" t="s">
        <v>13145</v>
      </c>
      <c r="E8422" s="43">
        <v>4000</v>
      </c>
      <c r="F8422" s="43"/>
      <c r="G8422" s="48">
        <f t="shared" si="214"/>
        <v>52324.521505376091</v>
      </c>
      <c r="H8422" s="391" t="s">
        <v>9568</v>
      </c>
      <c r="I8422" s="52">
        <v>16</v>
      </c>
      <c r="J8422" s="52" t="s">
        <v>25</v>
      </c>
      <c r="K8422" s="52">
        <v>1000</v>
      </c>
    </row>
    <row r="8423" spans="1:11" x14ac:dyDescent="0.3">
      <c r="A8423" s="45">
        <v>45308</v>
      </c>
      <c r="B8423" s="399" t="s">
        <v>12138</v>
      </c>
      <c r="C8423" s="517" t="s">
        <v>11194</v>
      </c>
      <c r="D8423" s="517" t="s">
        <v>13269</v>
      </c>
      <c r="E8423" s="519">
        <v>20300</v>
      </c>
      <c r="F8423" s="43"/>
      <c r="G8423" s="48">
        <f t="shared" si="214"/>
        <v>32024.521505376091</v>
      </c>
      <c r="H8423" s="391" t="s">
        <v>9568</v>
      </c>
      <c r="I8423" s="52">
        <v>16</v>
      </c>
      <c r="J8423" s="52" t="s">
        <v>13132</v>
      </c>
      <c r="K8423" s="52">
        <v>1900</v>
      </c>
    </row>
    <row r="8424" spans="1:11" x14ac:dyDescent="0.3">
      <c r="A8424" s="45">
        <v>45309</v>
      </c>
      <c r="B8424" s="399" t="s">
        <v>12640</v>
      </c>
      <c r="C8424" s="5" t="s">
        <v>12446</v>
      </c>
      <c r="D8424" s="5" t="s">
        <v>13164</v>
      </c>
      <c r="E8424" s="43">
        <v>4500</v>
      </c>
      <c r="F8424" s="43"/>
      <c r="G8424" s="48">
        <f t="shared" si="214"/>
        <v>27524.521505376091</v>
      </c>
      <c r="H8424" s="391" t="s">
        <v>9568</v>
      </c>
      <c r="I8424" s="52">
        <v>16</v>
      </c>
      <c r="J8424" s="52" t="s">
        <v>11452</v>
      </c>
      <c r="K8424" s="52">
        <v>900</v>
      </c>
    </row>
    <row r="8425" spans="1:11" x14ac:dyDescent="0.3">
      <c r="A8425" s="45">
        <v>45309</v>
      </c>
      <c r="B8425" s="399"/>
      <c r="C8425" s="5" t="s">
        <v>14</v>
      </c>
      <c r="D8425" s="5" t="s">
        <v>13154</v>
      </c>
      <c r="E8425" s="43">
        <v>10000</v>
      </c>
      <c r="F8425" s="43"/>
      <c r="G8425" s="48">
        <f t="shared" si="214"/>
        <v>17524.521505376091</v>
      </c>
      <c r="H8425" s="391" t="s">
        <v>9568</v>
      </c>
      <c r="I8425" s="52">
        <v>16</v>
      </c>
      <c r="J8425" s="52" t="s">
        <v>51</v>
      </c>
      <c r="K8425" s="52">
        <v>3940</v>
      </c>
    </row>
    <row r="8426" spans="1:11" x14ac:dyDescent="0.3">
      <c r="A8426" s="45">
        <v>45309</v>
      </c>
      <c r="B8426" s="399" t="s">
        <v>13155</v>
      </c>
      <c r="C8426" s="5" t="s">
        <v>11194</v>
      </c>
      <c r="D8426" s="5" t="s">
        <v>13165</v>
      </c>
      <c r="E8426" s="43">
        <v>1000</v>
      </c>
      <c r="F8426" s="43"/>
      <c r="G8426" s="48">
        <f t="shared" si="214"/>
        <v>16524.521505376091</v>
      </c>
      <c r="H8426" s="391" t="s">
        <v>9568</v>
      </c>
      <c r="I8426" s="52">
        <v>16</v>
      </c>
      <c r="J8426" s="52" t="s">
        <v>13118</v>
      </c>
      <c r="K8426" s="52">
        <v>1700</v>
      </c>
    </row>
    <row r="8427" spans="1:11" x14ac:dyDescent="0.3">
      <c r="A8427" s="45">
        <v>45309</v>
      </c>
      <c r="B8427" s="399" t="s">
        <v>12703</v>
      </c>
      <c r="C8427" s="5" t="s">
        <v>26</v>
      </c>
      <c r="D8427" s="5" t="s">
        <v>13156</v>
      </c>
      <c r="E8427" s="43">
        <v>2500</v>
      </c>
      <c r="F8427" s="43"/>
      <c r="G8427" s="48">
        <f t="shared" si="214"/>
        <v>14024.521505376091</v>
      </c>
      <c r="H8427" s="391" t="s">
        <v>9568</v>
      </c>
      <c r="I8427" s="52">
        <v>17</v>
      </c>
      <c r="J8427" s="52" t="s">
        <v>25</v>
      </c>
      <c r="K8427" s="52">
        <v>4000</v>
      </c>
    </row>
    <row r="8428" spans="1:11" x14ac:dyDescent="0.3">
      <c r="A8428" s="45">
        <v>45309</v>
      </c>
      <c r="B8428" s="399" t="s">
        <v>12138</v>
      </c>
      <c r="C8428" s="5" t="s">
        <v>5793</v>
      </c>
      <c r="D8428" s="5" t="s">
        <v>40</v>
      </c>
      <c r="E8428" s="43">
        <v>2000</v>
      </c>
      <c r="F8428" s="43"/>
      <c r="G8428" s="48">
        <f t="shared" si="214"/>
        <v>12024.521505376091</v>
      </c>
      <c r="H8428" s="391" t="s">
        <v>9568</v>
      </c>
      <c r="I8428" s="52">
        <v>17</v>
      </c>
      <c r="J8428" s="52" t="s">
        <v>13133</v>
      </c>
      <c r="K8428" s="52">
        <v>20300</v>
      </c>
    </row>
    <row r="8429" spans="1:11" x14ac:dyDescent="0.3">
      <c r="A8429" s="45">
        <v>45309</v>
      </c>
      <c r="B8429" s="399"/>
      <c r="C8429" s="5" t="s">
        <v>18</v>
      </c>
      <c r="D8429" s="5" t="s">
        <v>13141</v>
      </c>
      <c r="E8429" s="43">
        <v>1000</v>
      </c>
      <c r="F8429" s="43"/>
      <c r="G8429" s="48">
        <f t="shared" si="214"/>
        <v>11024.521505376091</v>
      </c>
      <c r="H8429" s="391" t="s">
        <v>9568</v>
      </c>
      <c r="I8429" s="52">
        <v>17</v>
      </c>
      <c r="J8429" s="52" t="s">
        <v>13134</v>
      </c>
      <c r="K8429" s="52">
        <v>4500</v>
      </c>
    </row>
    <row r="8430" spans="1:11" x14ac:dyDescent="0.3">
      <c r="A8430" s="45">
        <v>45309</v>
      </c>
      <c r="B8430" s="399" t="s">
        <v>12867</v>
      </c>
      <c r="C8430" s="5" t="s">
        <v>5793</v>
      </c>
      <c r="D8430" s="5" t="s">
        <v>40</v>
      </c>
      <c r="E8430" s="43">
        <v>1000</v>
      </c>
      <c r="F8430" s="43"/>
      <c r="G8430" s="48">
        <f t="shared" si="214"/>
        <v>10024.521505376091</v>
      </c>
      <c r="H8430" s="391" t="s">
        <v>9568</v>
      </c>
      <c r="I8430" s="52">
        <v>18</v>
      </c>
      <c r="J8430" s="52" t="s">
        <v>14</v>
      </c>
      <c r="K8430" s="52">
        <v>10000</v>
      </c>
    </row>
    <row r="8431" spans="1:11" x14ac:dyDescent="0.3">
      <c r="A8431" s="45">
        <v>45310</v>
      </c>
      <c r="B8431" s="586"/>
      <c r="C8431" s="486"/>
      <c r="D8431" s="497" t="s">
        <v>13158</v>
      </c>
      <c r="E8431" s="486"/>
      <c r="F8431" s="43">
        <v>32000</v>
      </c>
      <c r="G8431" s="48">
        <f t="shared" si="214"/>
        <v>42024.521505376091</v>
      </c>
      <c r="H8431" s="391" t="s">
        <v>9568</v>
      </c>
      <c r="I8431" s="52">
        <v>18</v>
      </c>
      <c r="J8431" s="52" t="s">
        <v>13119</v>
      </c>
      <c r="K8431" s="52">
        <v>800</v>
      </c>
    </row>
    <row r="8432" spans="1:11" x14ac:dyDescent="0.3">
      <c r="A8432" s="45">
        <v>45310</v>
      </c>
      <c r="B8432" s="399" t="s">
        <v>13010</v>
      </c>
      <c r="C8432" s="5" t="s">
        <v>93</v>
      </c>
      <c r="D8432" s="5" t="s">
        <v>13157</v>
      </c>
      <c r="E8432" s="43">
        <v>20000</v>
      </c>
      <c r="F8432" s="43"/>
      <c r="G8432" s="48">
        <f t="shared" si="214"/>
        <v>22024.521505376091</v>
      </c>
      <c r="H8432" s="391" t="s">
        <v>9568</v>
      </c>
      <c r="I8432" s="52">
        <v>18</v>
      </c>
      <c r="J8432" s="52" t="s">
        <v>13135</v>
      </c>
      <c r="K8432" s="52">
        <v>1000</v>
      </c>
    </row>
    <row r="8433" spans="1:14" x14ac:dyDescent="0.3">
      <c r="A8433" s="45">
        <v>45310</v>
      </c>
      <c r="B8433" s="399" t="s">
        <v>25</v>
      </c>
      <c r="C8433" s="5" t="s">
        <v>25</v>
      </c>
      <c r="D8433" s="124" t="s">
        <v>13145</v>
      </c>
      <c r="E8433" s="43">
        <v>4000</v>
      </c>
      <c r="F8433" s="43"/>
      <c r="G8433" s="48">
        <f t="shared" si="214"/>
        <v>18024.521505376091</v>
      </c>
      <c r="H8433" s="391" t="s">
        <v>9568</v>
      </c>
      <c r="I8433" s="52">
        <v>18</v>
      </c>
      <c r="J8433" s="52" t="s">
        <v>13136</v>
      </c>
      <c r="K8433" s="52">
        <f>950+350+1200</f>
        <v>2500</v>
      </c>
    </row>
    <row r="8434" spans="1:14" x14ac:dyDescent="0.3">
      <c r="A8434" s="45">
        <v>45311</v>
      </c>
      <c r="B8434" s="399" t="s">
        <v>12189</v>
      </c>
      <c r="C8434" s="5" t="s">
        <v>9331</v>
      </c>
      <c r="D8434" s="5" t="s">
        <v>13166</v>
      </c>
      <c r="E8434" s="43">
        <v>1500</v>
      </c>
      <c r="F8434" s="43"/>
      <c r="G8434" s="48">
        <f t="shared" si="214"/>
        <v>16524.521505376091</v>
      </c>
      <c r="H8434" s="391" t="s">
        <v>9568</v>
      </c>
      <c r="I8434" s="52">
        <v>18</v>
      </c>
      <c r="J8434" s="52" t="s">
        <v>13127</v>
      </c>
      <c r="K8434" s="52">
        <v>1600</v>
      </c>
    </row>
    <row r="8435" spans="1:14" x14ac:dyDescent="0.3">
      <c r="A8435" s="45">
        <v>45311</v>
      </c>
      <c r="B8435" s="399" t="s">
        <v>12138</v>
      </c>
      <c r="C8435" s="5" t="s">
        <v>11194</v>
      </c>
      <c r="D8435" s="5" t="s">
        <v>13167</v>
      </c>
      <c r="E8435" s="43">
        <v>350</v>
      </c>
      <c r="F8435" s="43"/>
      <c r="G8435" s="48">
        <f t="shared" si="214"/>
        <v>16174.521505376091</v>
      </c>
      <c r="H8435" s="391" t="s">
        <v>9568</v>
      </c>
      <c r="I8435" s="52">
        <v>18</v>
      </c>
      <c r="J8435" s="52" t="s">
        <v>13137</v>
      </c>
      <c r="K8435" s="52">
        <v>800</v>
      </c>
    </row>
    <row r="8436" spans="1:14" x14ac:dyDescent="0.3">
      <c r="A8436" s="45">
        <v>45311</v>
      </c>
      <c r="B8436" s="399" t="s">
        <v>12138</v>
      </c>
      <c r="C8436" s="5" t="s">
        <v>30</v>
      </c>
      <c r="D8436" s="5" t="s">
        <v>13170</v>
      </c>
      <c r="E8436" s="43">
        <v>150</v>
      </c>
      <c r="F8436" s="43"/>
      <c r="G8436" s="48">
        <f t="shared" si="214"/>
        <v>16024.521505376091</v>
      </c>
      <c r="H8436" s="391" t="s">
        <v>9568</v>
      </c>
    </row>
    <row r="8437" spans="1:14" s="390" customFormat="1" x14ac:dyDescent="0.25">
      <c r="A8437" s="45">
        <v>45311</v>
      </c>
      <c r="B8437" s="586"/>
      <c r="C8437" s="486"/>
      <c r="D8437" s="497" t="s">
        <v>12961</v>
      </c>
      <c r="E8437" s="486"/>
      <c r="F8437" s="28">
        <v>400000</v>
      </c>
      <c r="G8437" s="48">
        <f t="shared" si="214"/>
        <v>416024.52150537609</v>
      </c>
      <c r="H8437" s="400" t="s">
        <v>9568</v>
      </c>
      <c r="I8437" s="155">
        <v>18</v>
      </c>
      <c r="J8437" s="155" t="s">
        <v>13123</v>
      </c>
      <c r="K8437" s="155">
        <v>300</v>
      </c>
      <c r="N8437" s="155"/>
    </row>
    <row r="8438" spans="1:14" s="390" customFormat="1" x14ac:dyDescent="0.25">
      <c r="A8438" s="45">
        <v>45311</v>
      </c>
      <c r="B8438" s="322"/>
      <c r="C8438" s="44" t="s">
        <v>84</v>
      </c>
      <c r="D8438" s="44" t="s">
        <v>13169</v>
      </c>
      <c r="E8438" s="28">
        <v>2000</v>
      </c>
      <c r="F8438" s="28"/>
      <c r="G8438" s="48">
        <f t="shared" si="214"/>
        <v>414024.52150537609</v>
      </c>
      <c r="H8438" s="400" t="s">
        <v>9568</v>
      </c>
      <c r="I8438" s="155">
        <v>18</v>
      </c>
      <c r="J8438" s="155" t="s">
        <v>18</v>
      </c>
      <c r="K8438" s="155">
        <v>1000</v>
      </c>
      <c r="N8438" s="155"/>
    </row>
    <row r="8439" spans="1:14" s="390" customFormat="1" x14ac:dyDescent="0.25">
      <c r="A8439" s="45">
        <v>45311</v>
      </c>
      <c r="B8439" s="322" t="s">
        <v>12138</v>
      </c>
      <c r="C8439" s="44" t="s">
        <v>11194</v>
      </c>
      <c r="D8439" s="44" t="s">
        <v>13171</v>
      </c>
      <c r="E8439" s="28">
        <v>20500</v>
      </c>
      <c r="F8439" s="28"/>
      <c r="G8439" s="48">
        <f t="shared" si="214"/>
        <v>393524.52150537609</v>
      </c>
      <c r="H8439" s="400" t="s">
        <v>9568</v>
      </c>
      <c r="I8439" s="155">
        <v>18</v>
      </c>
      <c r="J8439" s="155" t="s">
        <v>25</v>
      </c>
      <c r="K8439" s="155">
        <v>500</v>
      </c>
      <c r="N8439" s="155"/>
    </row>
    <row r="8440" spans="1:14" s="390" customFormat="1" x14ac:dyDescent="0.25">
      <c r="A8440" s="45">
        <v>45311</v>
      </c>
      <c r="B8440" s="322"/>
      <c r="C8440" s="44" t="s">
        <v>5162</v>
      </c>
      <c r="D8440" s="44" t="s">
        <v>13173</v>
      </c>
      <c r="E8440" s="28">
        <v>5000</v>
      </c>
      <c r="F8440" s="28"/>
      <c r="G8440" s="48">
        <f t="shared" si="214"/>
        <v>388524.52150537609</v>
      </c>
      <c r="H8440" s="400" t="s">
        <v>9568</v>
      </c>
      <c r="I8440" s="155"/>
      <c r="J8440" s="155"/>
      <c r="K8440" s="155"/>
      <c r="N8440" s="155"/>
    </row>
    <row r="8441" spans="1:14" s="390" customFormat="1" x14ac:dyDescent="0.25">
      <c r="A8441" s="45">
        <v>45311</v>
      </c>
      <c r="B8441" s="322"/>
      <c r="C8441" s="44" t="s">
        <v>84</v>
      </c>
      <c r="D8441" s="44" t="s">
        <v>13174</v>
      </c>
      <c r="E8441" s="28">
        <v>2000</v>
      </c>
      <c r="F8441" s="28"/>
      <c r="G8441" s="48">
        <f t="shared" si="214"/>
        <v>386524.52150537609</v>
      </c>
      <c r="H8441" s="400" t="s">
        <v>9568</v>
      </c>
      <c r="I8441" s="155"/>
      <c r="J8441" s="155"/>
      <c r="K8441" s="155"/>
      <c r="N8441" s="155"/>
    </row>
    <row r="8442" spans="1:14" s="390" customFormat="1" x14ac:dyDescent="0.25">
      <c r="A8442" s="45">
        <v>45311</v>
      </c>
      <c r="B8442" s="322" t="s">
        <v>26</v>
      </c>
      <c r="C8442" s="44" t="s">
        <v>9765</v>
      </c>
      <c r="D8442" s="44" t="s">
        <v>13176</v>
      </c>
      <c r="E8442" s="28">
        <v>5000</v>
      </c>
      <c r="F8442" s="28"/>
      <c r="G8442" s="48">
        <f t="shared" si="214"/>
        <v>381524.52150537609</v>
      </c>
      <c r="H8442" s="400" t="s">
        <v>9568</v>
      </c>
      <c r="I8442" s="155"/>
      <c r="J8442" s="155"/>
      <c r="K8442" s="155">
        <f>SUM(K8383:K8441)</f>
        <v>625105</v>
      </c>
      <c r="L8442" s="641">
        <f>K8442-M8382</f>
        <v>-9895</v>
      </c>
      <c r="N8442" s="155"/>
    </row>
    <row r="8443" spans="1:14" s="390" customFormat="1" x14ac:dyDescent="0.25">
      <c r="A8443" s="45">
        <v>45311</v>
      </c>
      <c r="B8443" s="322" t="s">
        <v>12867</v>
      </c>
      <c r="C8443" s="44" t="s">
        <v>5793</v>
      </c>
      <c r="D8443" s="44" t="s">
        <v>13177</v>
      </c>
      <c r="E8443" s="28">
        <v>3000</v>
      </c>
      <c r="F8443" s="28"/>
      <c r="G8443" s="48">
        <f t="shared" si="214"/>
        <v>378524.52150537609</v>
      </c>
      <c r="H8443" s="400" t="s">
        <v>9568</v>
      </c>
      <c r="I8443" s="155"/>
      <c r="J8443" s="155"/>
      <c r="K8443" s="155"/>
      <c r="N8443" s="155"/>
    </row>
    <row r="8444" spans="1:14" s="390" customFormat="1" x14ac:dyDescent="0.25">
      <c r="A8444" s="45">
        <v>45311</v>
      </c>
      <c r="B8444" s="322"/>
      <c r="C8444" s="44" t="s">
        <v>84</v>
      </c>
      <c r="D8444" s="44" t="s">
        <v>13178</v>
      </c>
      <c r="E8444" s="28">
        <v>15000</v>
      </c>
      <c r="F8444" s="28"/>
      <c r="G8444" s="48">
        <f t="shared" si="214"/>
        <v>363524.52150537609</v>
      </c>
      <c r="H8444" s="400" t="s">
        <v>9568</v>
      </c>
      <c r="I8444" s="155"/>
      <c r="J8444" s="155"/>
      <c r="K8444" s="155"/>
      <c r="N8444" s="155"/>
    </row>
    <row r="8445" spans="1:14" s="390" customFormat="1" x14ac:dyDescent="0.25">
      <c r="A8445" s="45">
        <v>45311</v>
      </c>
      <c r="B8445" s="322"/>
      <c r="C8445" s="44" t="s">
        <v>6430</v>
      </c>
      <c r="D8445" s="44" t="s">
        <v>13181</v>
      </c>
      <c r="E8445" s="28">
        <v>8000</v>
      </c>
      <c r="F8445" s="28"/>
      <c r="G8445" s="48">
        <f t="shared" si="214"/>
        <v>355524.52150537609</v>
      </c>
      <c r="H8445" s="400" t="s">
        <v>9568</v>
      </c>
      <c r="I8445" s="155"/>
      <c r="J8445" s="155"/>
      <c r="K8445" s="155"/>
      <c r="N8445" s="155"/>
    </row>
    <row r="8446" spans="1:14" s="390" customFormat="1" x14ac:dyDescent="0.3">
      <c r="A8446" s="45">
        <v>45311</v>
      </c>
      <c r="B8446" s="399" t="s">
        <v>13584</v>
      </c>
      <c r="C8446" s="642" t="s">
        <v>11194</v>
      </c>
      <c r="D8446" s="642" t="s">
        <v>13205</v>
      </c>
      <c r="E8446" s="643">
        <v>6000</v>
      </c>
      <c r="F8446" s="28"/>
      <c r="G8446" s="48">
        <f t="shared" si="214"/>
        <v>349524.52150537609</v>
      </c>
      <c r="H8446" s="400" t="s">
        <v>9568</v>
      </c>
      <c r="I8446" s="155"/>
      <c r="J8446" s="155"/>
      <c r="K8446" s="155"/>
      <c r="N8446" s="155"/>
    </row>
    <row r="8447" spans="1:14" s="390" customFormat="1" x14ac:dyDescent="0.3">
      <c r="A8447" s="45">
        <v>45311</v>
      </c>
      <c r="B8447" s="399" t="s">
        <v>13584</v>
      </c>
      <c r="C8447" s="44" t="s">
        <v>11194</v>
      </c>
      <c r="D8447" s="44" t="s">
        <v>13183</v>
      </c>
      <c r="E8447" s="28">
        <v>12080</v>
      </c>
      <c r="F8447" s="28"/>
      <c r="G8447" s="48">
        <f t="shared" si="214"/>
        <v>337444.52150537609</v>
      </c>
      <c r="H8447" s="400" t="s">
        <v>9568</v>
      </c>
      <c r="I8447" s="28" t="s">
        <v>13222</v>
      </c>
      <c r="J8447" s="28">
        <f>450000+450000</f>
        <v>900000</v>
      </c>
      <c r="K8447" s="155"/>
      <c r="M8447" s="155"/>
      <c r="N8447" s="155"/>
    </row>
    <row r="8448" spans="1:14" s="390" customFormat="1" x14ac:dyDescent="0.25">
      <c r="A8448" s="45">
        <v>45311</v>
      </c>
      <c r="B8448" s="644"/>
      <c r="C8448" s="645" t="s">
        <v>1616</v>
      </c>
      <c r="D8448" s="645" t="s">
        <v>13184</v>
      </c>
      <c r="E8448" s="646">
        <v>32000</v>
      </c>
      <c r="F8448" s="28"/>
      <c r="G8448" s="48">
        <f t="shared" si="214"/>
        <v>305444.52150537609</v>
      </c>
      <c r="H8448" s="400" t="s">
        <v>9568</v>
      </c>
      <c r="I8448" s="32" t="s">
        <v>121</v>
      </c>
      <c r="J8448" s="28">
        <v>50000</v>
      </c>
      <c r="K8448" s="155"/>
      <c r="M8448" s="155">
        <v>450000</v>
      </c>
      <c r="N8448" s="155"/>
    </row>
    <row r="8449" spans="1:14" s="390" customFormat="1" x14ac:dyDescent="0.25">
      <c r="A8449" s="45">
        <v>45311</v>
      </c>
      <c r="B8449" s="322" t="s">
        <v>25</v>
      </c>
      <c r="C8449" s="44" t="s">
        <v>25</v>
      </c>
      <c r="D8449" s="124" t="s">
        <v>13145</v>
      </c>
      <c r="E8449" s="28">
        <v>1000</v>
      </c>
      <c r="F8449" s="28"/>
      <c r="G8449" s="48">
        <f t="shared" si="214"/>
        <v>304444.52150537609</v>
      </c>
      <c r="H8449" s="400" t="s">
        <v>9568</v>
      </c>
      <c r="I8449" s="32" t="s">
        <v>121</v>
      </c>
      <c r="J8449" s="28">
        <v>200000</v>
      </c>
      <c r="K8449" s="155"/>
      <c r="M8449" s="155"/>
      <c r="N8449" s="155"/>
    </row>
    <row r="8450" spans="1:14" s="390" customFormat="1" x14ac:dyDescent="0.25">
      <c r="A8450" s="45">
        <v>45311</v>
      </c>
      <c r="B8450" s="322" t="s">
        <v>12138</v>
      </c>
      <c r="C8450" s="44" t="s">
        <v>26</v>
      </c>
      <c r="D8450" s="44" t="s">
        <v>13204</v>
      </c>
      <c r="E8450" s="28">
        <v>120</v>
      </c>
      <c r="F8450" s="28"/>
      <c r="G8450" s="48">
        <f t="shared" si="214"/>
        <v>304324.52150537609</v>
      </c>
      <c r="H8450" s="400" t="s">
        <v>9568</v>
      </c>
      <c r="I8450" s="32" t="s">
        <v>121</v>
      </c>
      <c r="J8450" s="28">
        <v>97500</v>
      </c>
      <c r="K8450" s="155"/>
      <c r="M8450" s="155"/>
      <c r="N8450" s="155"/>
    </row>
    <row r="8451" spans="1:14" s="390" customFormat="1" x14ac:dyDescent="0.25">
      <c r="A8451" s="45">
        <v>45313</v>
      </c>
      <c r="B8451" s="322" t="s">
        <v>12138</v>
      </c>
      <c r="C8451" s="44" t="s">
        <v>18</v>
      </c>
      <c r="D8451" s="44" t="s">
        <v>5813</v>
      </c>
      <c r="E8451" s="28">
        <v>10000</v>
      </c>
      <c r="F8451" s="28"/>
      <c r="G8451" s="48">
        <f t="shared" si="214"/>
        <v>294324.52150537609</v>
      </c>
      <c r="H8451" s="400" t="s">
        <v>9568</v>
      </c>
      <c r="I8451" s="32" t="s">
        <v>13223</v>
      </c>
      <c r="J8451" s="28">
        <f>300+1200</f>
        <v>1500</v>
      </c>
      <c r="K8451" s="155"/>
      <c r="L8451" s="390" t="s">
        <v>4692</v>
      </c>
      <c r="M8451" s="155">
        <v>5000</v>
      </c>
      <c r="N8451" s="155"/>
    </row>
    <row r="8452" spans="1:14" s="390" customFormat="1" x14ac:dyDescent="0.25">
      <c r="A8452" s="45">
        <v>45313</v>
      </c>
      <c r="B8452" s="322"/>
      <c r="C8452" s="44" t="s">
        <v>4550</v>
      </c>
      <c r="D8452" s="44" t="s">
        <v>13231</v>
      </c>
      <c r="E8452" s="28">
        <v>10000</v>
      </c>
      <c r="F8452" s="28"/>
      <c r="G8452" s="48">
        <f t="shared" si="214"/>
        <v>284324.52150537609</v>
      </c>
      <c r="H8452" s="400" t="s">
        <v>9568</v>
      </c>
      <c r="I8452" s="32" t="s">
        <v>9525</v>
      </c>
      <c r="J8452" s="28">
        <v>33000</v>
      </c>
      <c r="K8452" s="155"/>
      <c r="L8452" s="390" t="s">
        <v>912</v>
      </c>
      <c r="M8452" s="155">
        <v>750000</v>
      </c>
      <c r="N8452" s="155"/>
    </row>
    <row r="8453" spans="1:14" s="390" customFormat="1" x14ac:dyDescent="0.25">
      <c r="A8453" s="45">
        <v>45313</v>
      </c>
      <c r="B8453" s="322"/>
      <c r="C8453" s="44" t="s">
        <v>14</v>
      </c>
      <c r="D8453" s="44" t="s">
        <v>13185</v>
      </c>
      <c r="E8453" s="28">
        <v>13990</v>
      </c>
      <c r="F8453" s="28"/>
      <c r="G8453" s="48">
        <f t="shared" si="214"/>
        <v>270334.52150537609</v>
      </c>
      <c r="H8453" s="400" t="s">
        <v>9568</v>
      </c>
      <c r="I8453" s="32" t="s">
        <v>4737</v>
      </c>
      <c r="J8453" s="28">
        <v>50000</v>
      </c>
      <c r="K8453" s="155"/>
      <c r="L8453" s="390" t="s">
        <v>12313</v>
      </c>
      <c r="M8453" s="155">
        <v>4000</v>
      </c>
      <c r="N8453" s="155"/>
    </row>
    <row r="8454" spans="1:14" s="390" customFormat="1" x14ac:dyDescent="0.25">
      <c r="A8454" s="45">
        <v>45313</v>
      </c>
      <c r="B8454" s="322" t="s">
        <v>25</v>
      </c>
      <c r="C8454" s="44" t="s">
        <v>25</v>
      </c>
      <c r="D8454" s="44" t="s">
        <v>1458</v>
      </c>
      <c r="E8454" s="28">
        <v>3000</v>
      </c>
      <c r="F8454" s="28"/>
      <c r="G8454" s="48">
        <f t="shared" si="214"/>
        <v>267334.52150537609</v>
      </c>
      <c r="H8454" s="400" t="s">
        <v>9568</v>
      </c>
      <c r="I8454" s="32" t="s">
        <v>13240</v>
      </c>
      <c r="J8454" s="28">
        <v>54400</v>
      </c>
      <c r="K8454" s="155"/>
      <c r="L8454" s="390" t="s">
        <v>13216</v>
      </c>
      <c r="M8454" s="155">
        <v>45000</v>
      </c>
      <c r="N8454" s="155"/>
    </row>
    <row r="8455" spans="1:14" s="390" customFormat="1" x14ac:dyDescent="0.25">
      <c r="A8455" s="45">
        <v>45313</v>
      </c>
      <c r="B8455" s="322" t="s">
        <v>12132</v>
      </c>
      <c r="C8455" s="44" t="s">
        <v>84</v>
      </c>
      <c r="D8455" s="44" t="s">
        <v>13186</v>
      </c>
      <c r="E8455" s="28">
        <v>20000</v>
      </c>
      <c r="F8455" s="28"/>
      <c r="G8455" s="48">
        <f t="shared" si="214"/>
        <v>247334.52150537609</v>
      </c>
      <c r="H8455" s="400" t="s">
        <v>9568</v>
      </c>
      <c r="I8455" s="32" t="s">
        <v>4692</v>
      </c>
      <c r="J8455" s="28">
        <v>5000</v>
      </c>
      <c r="K8455" s="155"/>
      <c r="L8455" s="390" t="s">
        <v>439</v>
      </c>
      <c r="M8455" s="155">
        <v>48000</v>
      </c>
      <c r="N8455" s="155"/>
    </row>
    <row r="8456" spans="1:14" s="390" customFormat="1" x14ac:dyDescent="0.25">
      <c r="A8456" s="45">
        <v>45313</v>
      </c>
      <c r="B8456" s="322" t="s">
        <v>12867</v>
      </c>
      <c r="C8456" s="44" t="s">
        <v>11194</v>
      </c>
      <c r="D8456" s="44" t="s">
        <v>12572</v>
      </c>
      <c r="E8456" s="28">
        <v>4550</v>
      </c>
      <c r="F8456" s="28"/>
      <c r="G8456" s="48">
        <f t="shared" si="214"/>
        <v>242784.52150537609</v>
      </c>
      <c r="H8456" s="400" t="s">
        <v>9568</v>
      </c>
      <c r="I8456" s="32" t="s">
        <v>13245</v>
      </c>
      <c r="J8456" s="28">
        <v>100000</v>
      </c>
      <c r="K8456" s="155"/>
      <c r="L8456" s="390" t="s">
        <v>13217</v>
      </c>
      <c r="M8456" s="155">
        <v>48000</v>
      </c>
      <c r="N8456" s="155"/>
    </row>
    <row r="8457" spans="1:14" s="390" customFormat="1" x14ac:dyDescent="0.25">
      <c r="A8457" s="45">
        <v>45313</v>
      </c>
      <c r="B8457" s="322" t="s">
        <v>12867</v>
      </c>
      <c r="C8457" s="44" t="s">
        <v>5793</v>
      </c>
      <c r="D8457" s="44" t="s">
        <v>8924</v>
      </c>
      <c r="E8457" s="28">
        <v>400</v>
      </c>
      <c r="F8457" s="28"/>
      <c r="G8457" s="48">
        <f t="shared" si="214"/>
        <v>242384.52150537609</v>
      </c>
      <c r="H8457" s="400" t="s">
        <v>9568</v>
      </c>
      <c r="I8457" s="32" t="s">
        <v>13249</v>
      </c>
      <c r="J8457" s="28"/>
      <c r="K8457" s="155" t="s">
        <v>12253</v>
      </c>
      <c r="M8457" s="155">
        <f>SUM(M8451:M8456)</f>
        <v>900000</v>
      </c>
      <c r="N8457" s="155"/>
    </row>
    <row r="8458" spans="1:14" s="390" customFormat="1" x14ac:dyDescent="0.25">
      <c r="A8458" s="45">
        <v>45313</v>
      </c>
      <c r="B8458" s="322" t="s">
        <v>12138</v>
      </c>
      <c r="C8458" s="44" t="s">
        <v>9452</v>
      </c>
      <c r="D8458" s="44" t="s">
        <v>13212</v>
      </c>
      <c r="E8458" s="28">
        <v>400</v>
      </c>
      <c r="F8458" s="28"/>
      <c r="G8458" s="48">
        <f t="shared" si="214"/>
        <v>241984.52150537609</v>
      </c>
      <c r="H8458" s="400" t="s">
        <v>9568</v>
      </c>
      <c r="I8458" s="32" t="s">
        <v>13250</v>
      </c>
      <c r="J8458" s="28">
        <v>72000</v>
      </c>
      <c r="K8458" s="155">
        <v>650</v>
      </c>
      <c r="M8458" s="155"/>
      <c r="N8458" s="155"/>
    </row>
    <row r="8459" spans="1:14" s="390" customFormat="1" x14ac:dyDescent="0.25">
      <c r="A8459" s="45">
        <v>45313</v>
      </c>
      <c r="B8459" s="322" t="s">
        <v>12640</v>
      </c>
      <c r="C8459" s="44" t="s">
        <v>11194</v>
      </c>
      <c r="D8459" s="44" t="s">
        <v>13206</v>
      </c>
      <c r="E8459" s="28">
        <v>5000</v>
      </c>
      <c r="F8459" s="28"/>
      <c r="G8459" s="48">
        <f t="shared" si="214"/>
        <v>236984.52150537609</v>
      </c>
      <c r="H8459" s="400" t="s">
        <v>9568</v>
      </c>
      <c r="I8459" s="28"/>
      <c r="J8459" s="28">
        <v>45000</v>
      </c>
      <c r="K8459" s="155"/>
      <c r="M8459" s="155"/>
      <c r="N8459" s="155"/>
    </row>
    <row r="8460" spans="1:14" s="390" customFormat="1" x14ac:dyDescent="0.25">
      <c r="A8460" s="45">
        <v>45313</v>
      </c>
      <c r="B8460" s="586"/>
      <c r="C8460" s="486"/>
      <c r="D8460" s="497" t="s">
        <v>13211</v>
      </c>
      <c r="E8460" s="486"/>
      <c r="F8460" s="28">
        <v>500000</v>
      </c>
      <c r="G8460" s="48">
        <f t="shared" si="214"/>
        <v>736984.52150537609</v>
      </c>
      <c r="H8460" s="400" t="s">
        <v>9568</v>
      </c>
      <c r="I8460" s="28"/>
      <c r="J8460" s="28"/>
      <c r="K8460" s="155"/>
      <c r="N8460" s="155"/>
    </row>
    <row r="8461" spans="1:14" s="390" customFormat="1" x14ac:dyDescent="0.25">
      <c r="A8461" s="45">
        <v>45314</v>
      </c>
      <c r="B8461" s="322"/>
      <c r="C8461" s="44" t="s">
        <v>14</v>
      </c>
      <c r="D8461" s="44" t="s">
        <v>3183</v>
      </c>
      <c r="E8461" s="28">
        <v>100000</v>
      </c>
      <c r="F8461" s="28"/>
      <c r="G8461" s="48">
        <f t="shared" si="214"/>
        <v>636984.52150537609</v>
      </c>
      <c r="H8461" s="400" t="s">
        <v>9568</v>
      </c>
      <c r="I8461" s="28" t="s">
        <v>13224</v>
      </c>
      <c r="J8461" s="28">
        <f>SUM(J8448:J8460)</f>
        <v>708400</v>
      </c>
      <c r="K8461" s="155"/>
      <c r="L8461" s="390">
        <v>62328</v>
      </c>
      <c r="N8461" s="155"/>
    </row>
    <row r="8462" spans="1:14" s="390" customFormat="1" x14ac:dyDescent="0.25">
      <c r="A8462" s="45">
        <v>45314</v>
      </c>
      <c r="B8462" s="322" t="s">
        <v>12867</v>
      </c>
      <c r="C8462" s="44" t="s">
        <v>5793</v>
      </c>
      <c r="D8462" s="44" t="s">
        <v>40</v>
      </c>
      <c r="E8462" s="28">
        <v>500</v>
      </c>
      <c r="F8462" s="28"/>
      <c r="G8462" s="48">
        <f t="shared" si="214"/>
        <v>636484.52150537609</v>
      </c>
      <c r="H8462" s="400" t="s">
        <v>9568</v>
      </c>
      <c r="I8462" s="155"/>
      <c r="J8462" s="155"/>
      <c r="K8462" s="155"/>
      <c r="N8462" s="155"/>
    </row>
    <row r="8463" spans="1:14" s="390" customFormat="1" x14ac:dyDescent="0.25">
      <c r="A8463" s="45">
        <v>45314</v>
      </c>
      <c r="B8463" s="322" t="s">
        <v>10333</v>
      </c>
      <c r="C8463" s="44" t="s">
        <v>11194</v>
      </c>
      <c r="D8463" s="44" t="s">
        <v>13215</v>
      </c>
      <c r="E8463" s="28">
        <v>97500</v>
      </c>
      <c r="F8463" s="28"/>
      <c r="G8463" s="48">
        <f t="shared" si="214"/>
        <v>538984.52150537609</v>
      </c>
      <c r="H8463" s="400" t="s">
        <v>9568</v>
      </c>
      <c r="I8463" s="28" t="s">
        <v>12294</v>
      </c>
      <c r="J8463" s="28">
        <f>J8447-J8461</f>
        <v>191600</v>
      </c>
      <c r="K8463" s="155"/>
      <c r="N8463" s="155"/>
    </row>
    <row r="8464" spans="1:14" s="390" customFormat="1" x14ac:dyDescent="0.25">
      <c r="A8464" s="45">
        <v>45314</v>
      </c>
      <c r="B8464" s="322" t="s">
        <v>10333</v>
      </c>
      <c r="C8464" s="44" t="s">
        <v>11194</v>
      </c>
      <c r="D8464" s="44" t="s">
        <v>10315</v>
      </c>
      <c r="E8464" s="28">
        <v>21600</v>
      </c>
      <c r="F8464" s="28"/>
      <c r="G8464" s="48">
        <f t="shared" si="214"/>
        <v>517384.52150537609</v>
      </c>
      <c r="H8464" s="400" t="s">
        <v>9568</v>
      </c>
      <c r="I8464" s="28" t="s">
        <v>13216</v>
      </c>
      <c r="J8464" s="28">
        <v>45000</v>
      </c>
      <c r="K8464" s="155"/>
      <c r="L8464" s="641">
        <f>J8447-J8461</f>
        <v>191600</v>
      </c>
      <c r="N8464" s="155"/>
    </row>
    <row r="8465" spans="1:14" s="390" customFormat="1" x14ac:dyDescent="0.25">
      <c r="A8465" s="45">
        <v>45314</v>
      </c>
      <c r="B8465" s="322" t="s">
        <v>10333</v>
      </c>
      <c r="C8465" s="44" t="s">
        <v>11194</v>
      </c>
      <c r="D8465" s="44" t="s">
        <v>13213</v>
      </c>
      <c r="E8465" s="28">
        <v>9000</v>
      </c>
      <c r="F8465" s="28"/>
      <c r="G8465" s="48">
        <f t="shared" si="214"/>
        <v>508384.52150537609</v>
      </c>
      <c r="H8465" s="400" t="s">
        <v>9568</v>
      </c>
      <c r="I8465" s="28" t="s">
        <v>439</v>
      </c>
      <c r="J8465" s="28">
        <v>46500</v>
      </c>
      <c r="K8465" s="155"/>
      <c r="N8465" s="155"/>
    </row>
    <row r="8466" spans="1:14" s="390" customFormat="1" x14ac:dyDescent="0.3">
      <c r="A8466" s="45">
        <v>45314</v>
      </c>
      <c r="B8466" s="399"/>
      <c r="C8466" s="5" t="s">
        <v>84</v>
      </c>
      <c r="D8466" s="5" t="s">
        <v>13214</v>
      </c>
      <c r="E8466" s="43">
        <v>5000</v>
      </c>
      <c r="F8466" s="43"/>
      <c r="G8466" s="48">
        <f t="shared" si="214"/>
        <v>503384.52150537609</v>
      </c>
      <c r="H8466" s="400" t="s">
        <v>9568</v>
      </c>
      <c r="I8466" s="28" t="s">
        <v>13217</v>
      </c>
      <c r="J8466" s="28">
        <v>46500</v>
      </c>
      <c r="K8466" s="155"/>
      <c r="N8466" s="155"/>
    </row>
    <row r="8467" spans="1:14" x14ac:dyDescent="0.3">
      <c r="A8467" s="45">
        <v>45314</v>
      </c>
      <c r="B8467" s="399" t="s">
        <v>12189</v>
      </c>
      <c r="C8467" s="517" t="s">
        <v>11194</v>
      </c>
      <c r="D8467" s="517" t="s">
        <v>13205</v>
      </c>
      <c r="E8467" s="519">
        <v>13000</v>
      </c>
      <c r="F8467" s="43"/>
      <c r="G8467" s="48">
        <f t="shared" si="214"/>
        <v>490384.52150537609</v>
      </c>
      <c r="H8467" s="391" t="s">
        <v>9568</v>
      </c>
      <c r="I8467" s="28" t="s">
        <v>13241</v>
      </c>
      <c r="J8467" s="28">
        <f>J8463-J8464-J8465-J8466</f>
        <v>53600</v>
      </c>
    </row>
    <row r="8468" spans="1:14" x14ac:dyDescent="0.3">
      <c r="A8468" s="45">
        <v>45314</v>
      </c>
      <c r="B8468" s="399" t="s">
        <v>12138</v>
      </c>
      <c r="C8468" s="5" t="s">
        <v>5793</v>
      </c>
      <c r="D8468" s="5" t="s">
        <v>40</v>
      </c>
      <c r="E8468" s="43">
        <v>2600</v>
      </c>
      <c r="F8468" s="43"/>
      <c r="G8468" s="48">
        <f t="shared" si="214"/>
        <v>487784.52150537609</v>
      </c>
      <c r="H8468" s="392" t="s">
        <v>9568</v>
      </c>
      <c r="I8468" s="155"/>
      <c r="J8468" s="155"/>
    </row>
    <row r="8469" spans="1:14" x14ac:dyDescent="0.3">
      <c r="A8469" s="45">
        <v>45315</v>
      </c>
      <c r="B8469" s="399" t="s">
        <v>13225</v>
      </c>
      <c r="C8469" s="5" t="s">
        <v>11194</v>
      </c>
      <c r="D8469" s="5" t="s">
        <v>13226</v>
      </c>
      <c r="E8469" s="43">
        <v>1500</v>
      </c>
      <c r="F8469" s="43"/>
      <c r="G8469" s="48">
        <f t="shared" si="214"/>
        <v>486284.52150537609</v>
      </c>
      <c r="H8469" s="392" t="s">
        <v>9568</v>
      </c>
      <c r="I8469" s="155"/>
      <c r="J8469" s="155"/>
    </row>
    <row r="8470" spans="1:14" x14ac:dyDescent="0.3">
      <c r="A8470" s="45">
        <v>45315</v>
      </c>
      <c r="B8470" s="399" t="s">
        <v>12678</v>
      </c>
      <c r="C8470" s="5" t="s">
        <v>11194</v>
      </c>
      <c r="D8470" s="5" t="s">
        <v>13227</v>
      </c>
      <c r="E8470" s="43">
        <v>1500</v>
      </c>
      <c r="F8470" s="43"/>
      <c r="G8470" s="48">
        <f t="shared" si="214"/>
        <v>484784.52150537609</v>
      </c>
      <c r="H8470" s="392" t="s">
        <v>9568</v>
      </c>
    </row>
    <row r="8471" spans="1:14" x14ac:dyDescent="0.3">
      <c r="A8471" s="45">
        <v>45315</v>
      </c>
      <c r="B8471" s="399"/>
      <c r="C8471" s="5" t="s">
        <v>68</v>
      </c>
      <c r="D8471" s="5" t="s">
        <v>294</v>
      </c>
      <c r="E8471" s="43">
        <v>2000</v>
      </c>
      <c r="F8471" s="43"/>
      <c r="G8471" s="48">
        <f t="shared" si="214"/>
        <v>482784.52150537609</v>
      </c>
      <c r="H8471" s="392" t="s">
        <v>9568</v>
      </c>
    </row>
    <row r="8472" spans="1:14" x14ac:dyDescent="0.3">
      <c r="A8472" s="45">
        <v>45315</v>
      </c>
      <c r="B8472" s="399" t="s">
        <v>25</v>
      </c>
      <c r="C8472" s="5" t="s">
        <v>25</v>
      </c>
      <c r="D8472" s="5" t="s">
        <v>1458</v>
      </c>
      <c r="E8472" s="43">
        <v>5000</v>
      </c>
      <c r="F8472" s="43"/>
      <c r="G8472" s="48">
        <f t="shared" si="214"/>
        <v>477784.52150537609</v>
      </c>
      <c r="H8472" s="392" t="s">
        <v>9568</v>
      </c>
    </row>
    <row r="8473" spans="1:14" x14ac:dyDescent="0.3">
      <c r="A8473" s="45">
        <v>45315</v>
      </c>
      <c r="B8473" s="399" t="s">
        <v>13229</v>
      </c>
      <c r="C8473" s="5" t="s">
        <v>7522</v>
      </c>
      <c r="D8473" s="5" t="s">
        <v>582</v>
      </c>
      <c r="E8473" s="43">
        <v>11000</v>
      </c>
      <c r="F8473" s="43"/>
      <c r="G8473" s="48">
        <f t="shared" si="214"/>
        <v>466784.52150537609</v>
      </c>
      <c r="H8473" s="392" t="s">
        <v>9568</v>
      </c>
    </row>
    <row r="8474" spans="1:14" x14ac:dyDescent="0.3">
      <c r="A8474" s="45">
        <v>45315</v>
      </c>
      <c r="B8474" s="399" t="s">
        <v>13155</v>
      </c>
      <c r="C8474" s="5" t="s">
        <v>7522</v>
      </c>
      <c r="D8474" s="5" t="s">
        <v>582</v>
      </c>
      <c r="E8474" s="43">
        <v>20000</v>
      </c>
      <c r="F8474" s="43"/>
      <c r="G8474" s="48">
        <f t="shared" si="214"/>
        <v>446784.52150537609</v>
      </c>
      <c r="H8474" s="392" t="s">
        <v>9568</v>
      </c>
    </row>
    <row r="8475" spans="1:14" x14ac:dyDescent="0.3">
      <c r="A8475" s="45">
        <v>45315</v>
      </c>
      <c r="B8475" s="399" t="s">
        <v>12191</v>
      </c>
      <c r="C8475" s="517" t="s">
        <v>11194</v>
      </c>
      <c r="D8475" s="517" t="s">
        <v>13254</v>
      </c>
      <c r="E8475" s="519">
        <v>14000</v>
      </c>
      <c r="F8475" s="43"/>
      <c r="G8475" s="48">
        <f t="shared" si="214"/>
        <v>432784.52150537609</v>
      </c>
      <c r="H8475" s="392" t="s">
        <v>9568</v>
      </c>
    </row>
    <row r="8476" spans="1:14" x14ac:dyDescent="0.3">
      <c r="A8476" s="45">
        <v>45315</v>
      </c>
      <c r="B8476" s="399"/>
      <c r="C8476" s="5" t="s">
        <v>54</v>
      </c>
      <c r="D8476" s="5" t="s">
        <v>13228</v>
      </c>
      <c r="E8476" s="43">
        <v>3500</v>
      </c>
      <c r="F8476" s="43"/>
      <c r="G8476" s="48">
        <f t="shared" si="214"/>
        <v>429284.52150537609</v>
      </c>
      <c r="H8476" s="392" t="s">
        <v>9568</v>
      </c>
    </row>
    <row r="8477" spans="1:14" x14ac:dyDescent="0.3">
      <c r="A8477" s="45">
        <v>45315</v>
      </c>
      <c r="B8477" s="399" t="s">
        <v>12132</v>
      </c>
      <c r="C8477" s="5" t="s">
        <v>30</v>
      </c>
      <c r="D8477" s="5" t="s">
        <v>40</v>
      </c>
      <c r="E8477" s="43">
        <v>700</v>
      </c>
      <c r="F8477" s="43"/>
      <c r="G8477" s="48">
        <f t="shared" si="214"/>
        <v>428584.52150537609</v>
      </c>
      <c r="H8477" s="392" t="s">
        <v>9568</v>
      </c>
    </row>
    <row r="8478" spans="1:14" x14ac:dyDescent="0.3">
      <c r="A8478" s="45">
        <v>45315</v>
      </c>
      <c r="B8478" s="399" t="s">
        <v>12640</v>
      </c>
      <c r="C8478" s="5" t="s">
        <v>12446</v>
      </c>
      <c r="D8478" s="5" t="s">
        <v>13230</v>
      </c>
      <c r="E8478" s="43">
        <v>19000</v>
      </c>
      <c r="F8478" s="43"/>
      <c r="G8478" s="48">
        <f t="shared" si="214"/>
        <v>409584.52150537609</v>
      </c>
      <c r="H8478" s="392" t="s">
        <v>9568</v>
      </c>
    </row>
    <row r="8479" spans="1:14" x14ac:dyDescent="0.3">
      <c r="A8479" s="45">
        <v>45315</v>
      </c>
      <c r="B8479" s="399" t="s">
        <v>5958</v>
      </c>
      <c r="C8479" s="5" t="s">
        <v>57</v>
      </c>
      <c r="D8479" s="5" t="s">
        <v>3910</v>
      </c>
      <c r="E8479" s="43">
        <v>5000</v>
      </c>
      <c r="F8479" s="43"/>
      <c r="G8479" s="48">
        <f t="shared" si="214"/>
        <v>404584.52150537609</v>
      </c>
      <c r="H8479" s="392" t="s">
        <v>9568</v>
      </c>
    </row>
    <row r="8480" spans="1:14" x14ac:dyDescent="0.3">
      <c r="A8480" s="45">
        <v>45315</v>
      </c>
      <c r="B8480" s="399"/>
      <c r="C8480" s="5" t="s">
        <v>54</v>
      </c>
      <c r="D8480" s="5" t="s">
        <v>13233</v>
      </c>
      <c r="E8480" s="43">
        <v>33000</v>
      </c>
      <c r="F8480" s="43"/>
      <c r="G8480" s="48">
        <f t="shared" si="214"/>
        <v>371584.52150537609</v>
      </c>
      <c r="H8480" s="392" t="s">
        <v>9568</v>
      </c>
    </row>
    <row r="8481" spans="1:10" x14ac:dyDescent="0.3">
      <c r="A8481" s="45">
        <v>45315</v>
      </c>
      <c r="B8481" s="399" t="s">
        <v>12640</v>
      </c>
      <c r="C8481" s="5" t="s">
        <v>5288</v>
      </c>
      <c r="D8481" s="5" t="s">
        <v>13234</v>
      </c>
      <c r="E8481" s="43">
        <v>50000</v>
      </c>
      <c r="F8481" s="43"/>
      <c r="G8481" s="48">
        <f t="shared" si="214"/>
        <v>321584.52150537609</v>
      </c>
      <c r="H8481" s="392" t="s">
        <v>9568</v>
      </c>
    </row>
    <row r="8482" spans="1:10" x14ac:dyDescent="0.3">
      <c r="A8482" s="45">
        <v>45316</v>
      </c>
      <c r="B8482" s="399" t="s">
        <v>12189</v>
      </c>
      <c r="C8482" s="5" t="s">
        <v>5793</v>
      </c>
      <c r="D8482" s="5" t="s">
        <v>13239</v>
      </c>
      <c r="E8482" s="43">
        <v>500</v>
      </c>
      <c r="F8482" s="43"/>
      <c r="G8482" s="48">
        <f t="shared" si="214"/>
        <v>321084.52150537609</v>
      </c>
      <c r="H8482" s="392" t="s">
        <v>9568</v>
      </c>
    </row>
    <row r="8483" spans="1:10" x14ac:dyDescent="0.3">
      <c r="A8483" s="45">
        <v>45316</v>
      </c>
      <c r="B8483" s="399" t="s">
        <v>25</v>
      </c>
      <c r="C8483" s="5" t="s">
        <v>25</v>
      </c>
      <c r="D8483" s="5" t="s">
        <v>1458</v>
      </c>
      <c r="E8483" s="43">
        <v>1500</v>
      </c>
      <c r="F8483" s="43"/>
      <c r="G8483" s="48">
        <f t="shared" si="214"/>
        <v>319584.52150537609</v>
      </c>
      <c r="H8483" s="392" t="s">
        <v>9568</v>
      </c>
    </row>
    <row r="8484" spans="1:10" x14ac:dyDescent="0.3">
      <c r="A8484" s="45">
        <v>45316</v>
      </c>
      <c r="B8484" s="399" t="s">
        <v>10333</v>
      </c>
      <c r="C8484" s="5" t="s">
        <v>11011</v>
      </c>
      <c r="D8484" s="5" t="s">
        <v>5508</v>
      </c>
      <c r="E8484" s="43">
        <v>54400</v>
      </c>
      <c r="F8484" s="43"/>
      <c r="G8484" s="48">
        <f t="shared" si="214"/>
        <v>265184.52150537609</v>
      </c>
      <c r="H8484" s="392" t="s">
        <v>9568</v>
      </c>
    </row>
    <row r="8485" spans="1:10" x14ac:dyDescent="0.3">
      <c r="A8485" s="45">
        <v>45316</v>
      </c>
      <c r="B8485" s="399"/>
      <c r="C8485" s="5" t="s">
        <v>68</v>
      </c>
      <c r="D8485" s="5" t="s">
        <v>5813</v>
      </c>
      <c r="E8485" s="43">
        <v>6000</v>
      </c>
      <c r="F8485" s="43"/>
      <c r="G8485" s="48">
        <f t="shared" si="214"/>
        <v>259184.52150537609</v>
      </c>
      <c r="H8485" s="392" t="s">
        <v>9568</v>
      </c>
    </row>
    <row r="8486" spans="1:10" x14ac:dyDescent="0.3">
      <c r="A8486" s="45">
        <v>45316</v>
      </c>
      <c r="B8486" s="399" t="s">
        <v>12287</v>
      </c>
      <c r="C8486" s="5" t="s">
        <v>1074</v>
      </c>
      <c r="D8486" s="5" t="s">
        <v>12272</v>
      </c>
      <c r="E8486" s="43">
        <f>36155+6655</f>
        <v>42810</v>
      </c>
      <c r="F8486" s="43"/>
      <c r="G8486" s="48">
        <f t="shared" si="214"/>
        <v>216374.52150537609</v>
      </c>
      <c r="H8486" s="392" t="s">
        <v>9568</v>
      </c>
    </row>
    <row r="8487" spans="1:10" x14ac:dyDescent="0.3">
      <c r="A8487" s="45">
        <v>45316</v>
      </c>
      <c r="B8487" s="399" t="s">
        <v>25</v>
      </c>
      <c r="C8487" s="5" t="s">
        <v>1074</v>
      </c>
      <c r="D8487" s="5" t="s">
        <v>12272</v>
      </c>
      <c r="E8487" s="43">
        <f>16396+2452</f>
        <v>18848</v>
      </c>
      <c r="F8487" s="43"/>
      <c r="G8487" s="48">
        <f t="shared" ref="G8487:G8530" si="215">G8486+F8487-E8487</f>
        <v>197526.52150537609</v>
      </c>
      <c r="H8487" s="392" t="s">
        <v>9568</v>
      </c>
    </row>
    <row r="8488" spans="1:10" x14ac:dyDescent="0.3">
      <c r="A8488" s="45">
        <v>45316</v>
      </c>
      <c r="B8488" s="399" t="s">
        <v>25</v>
      </c>
      <c r="C8488" s="5" t="s">
        <v>1074</v>
      </c>
      <c r="D8488" s="5" t="s">
        <v>4601</v>
      </c>
      <c r="E8488" s="43">
        <v>670</v>
      </c>
      <c r="F8488" s="43"/>
      <c r="G8488" s="48">
        <f t="shared" si="215"/>
        <v>196856.52150537609</v>
      </c>
      <c r="H8488" s="392" t="s">
        <v>9568</v>
      </c>
    </row>
    <row r="8489" spans="1:10" x14ac:dyDescent="0.3">
      <c r="A8489" s="45">
        <v>45316</v>
      </c>
      <c r="B8489" s="399" t="s">
        <v>13246</v>
      </c>
      <c r="C8489" s="5" t="s">
        <v>5793</v>
      </c>
      <c r="D8489" s="5" t="s">
        <v>40</v>
      </c>
      <c r="E8489" s="43">
        <v>1000</v>
      </c>
      <c r="F8489" s="43"/>
      <c r="G8489" s="48">
        <f t="shared" si="215"/>
        <v>195856.52150537609</v>
      </c>
      <c r="H8489" s="392" t="s">
        <v>9568</v>
      </c>
      <c r="J8489" s="52">
        <f>100000-62328</f>
        <v>37672</v>
      </c>
    </row>
    <row r="8490" spans="1:10" x14ac:dyDescent="0.3">
      <c r="A8490" s="45">
        <v>45316</v>
      </c>
      <c r="B8490" s="399" t="s">
        <v>13252</v>
      </c>
      <c r="C8490" s="5" t="s">
        <v>9765</v>
      </c>
      <c r="D8490" s="5" t="s">
        <v>40</v>
      </c>
      <c r="E8490" s="43">
        <v>5000</v>
      </c>
      <c r="F8490" s="43"/>
      <c r="G8490" s="48">
        <f t="shared" si="215"/>
        <v>190856.52150537609</v>
      </c>
      <c r="H8490" s="392" t="s">
        <v>9568</v>
      </c>
    </row>
    <row r="8491" spans="1:10" x14ac:dyDescent="0.3">
      <c r="A8491" s="45">
        <v>45316</v>
      </c>
      <c r="B8491" s="399" t="s">
        <v>25</v>
      </c>
      <c r="C8491" s="5" t="s">
        <v>25</v>
      </c>
      <c r="D8491" s="5" t="s">
        <v>1458</v>
      </c>
      <c r="E8491" s="43">
        <v>2000</v>
      </c>
      <c r="F8491" s="43"/>
      <c r="G8491" s="48">
        <f t="shared" si="215"/>
        <v>188856.52150537609</v>
      </c>
      <c r="H8491" s="392" t="s">
        <v>9568</v>
      </c>
    </row>
    <row r="8492" spans="1:10" x14ac:dyDescent="0.3">
      <c r="A8492" s="45">
        <v>45317</v>
      </c>
      <c r="B8492" s="399" t="s">
        <v>12867</v>
      </c>
      <c r="C8492" s="5" t="s">
        <v>13250</v>
      </c>
      <c r="D8492" s="5" t="s">
        <v>13251</v>
      </c>
      <c r="E8492" s="43">
        <v>72000</v>
      </c>
      <c r="F8492" s="43"/>
      <c r="G8492" s="48">
        <f t="shared" si="215"/>
        <v>116856.52150537609</v>
      </c>
      <c r="H8492" s="392" t="s">
        <v>9568</v>
      </c>
    </row>
    <row r="8493" spans="1:10" x14ac:dyDescent="0.3">
      <c r="A8493" s="45">
        <v>45317</v>
      </c>
      <c r="B8493" s="518" t="s">
        <v>13246</v>
      </c>
      <c r="C8493" s="517" t="s">
        <v>11194</v>
      </c>
      <c r="D8493" s="517" t="s">
        <v>13268</v>
      </c>
      <c r="E8493" s="519">
        <v>4250</v>
      </c>
      <c r="F8493" s="43"/>
      <c r="G8493" s="48">
        <f t="shared" si="215"/>
        <v>112606.52150537609</v>
      </c>
      <c r="H8493" s="392" t="s">
        <v>9568</v>
      </c>
    </row>
    <row r="8494" spans="1:10" x14ac:dyDescent="0.3">
      <c r="A8494" s="45">
        <v>45317</v>
      </c>
      <c r="B8494" s="399" t="s">
        <v>25</v>
      </c>
      <c r="C8494" s="5" t="s">
        <v>25</v>
      </c>
      <c r="D8494" s="5" t="s">
        <v>1458</v>
      </c>
      <c r="E8494" s="43">
        <v>3000</v>
      </c>
      <c r="F8494" s="43"/>
      <c r="G8494" s="48">
        <f t="shared" si="215"/>
        <v>109606.52150537609</v>
      </c>
      <c r="H8494" s="392" t="s">
        <v>9568</v>
      </c>
    </row>
    <row r="8495" spans="1:10" x14ac:dyDescent="0.3">
      <c r="A8495" s="45">
        <v>45317</v>
      </c>
      <c r="B8495" s="399" t="s">
        <v>12088</v>
      </c>
      <c r="C8495" s="5" t="s">
        <v>12628</v>
      </c>
      <c r="D8495" s="5" t="s">
        <v>13255</v>
      </c>
      <c r="E8495" s="43">
        <v>30000</v>
      </c>
      <c r="F8495" s="43"/>
      <c r="G8495" s="48">
        <f t="shared" si="215"/>
        <v>79606.521505376091</v>
      </c>
      <c r="H8495" s="392" t="s">
        <v>9568</v>
      </c>
    </row>
    <row r="8496" spans="1:10" x14ac:dyDescent="0.3">
      <c r="A8496" s="45">
        <v>45317</v>
      </c>
      <c r="B8496" s="399" t="s">
        <v>12189</v>
      </c>
      <c r="C8496" s="5" t="s">
        <v>11194</v>
      </c>
      <c r="D8496" s="5" t="s">
        <v>13256</v>
      </c>
      <c r="E8496" s="43">
        <v>11180</v>
      </c>
      <c r="F8496" s="43"/>
      <c r="G8496" s="48">
        <f t="shared" si="215"/>
        <v>68426.521505376091</v>
      </c>
      <c r="H8496" s="392" t="s">
        <v>9568</v>
      </c>
    </row>
    <row r="8497" spans="1:8" x14ac:dyDescent="0.3">
      <c r="A8497" s="45">
        <v>45317</v>
      </c>
      <c r="B8497" s="399" t="s">
        <v>12867</v>
      </c>
      <c r="C8497" s="5" t="s">
        <v>30</v>
      </c>
      <c r="D8497" s="5" t="s">
        <v>12010</v>
      </c>
      <c r="E8497" s="43">
        <v>400</v>
      </c>
      <c r="F8497" s="43"/>
      <c r="G8497" s="48">
        <f t="shared" si="215"/>
        <v>68026.521505376091</v>
      </c>
      <c r="H8497" s="392" t="s">
        <v>9568</v>
      </c>
    </row>
    <row r="8498" spans="1:8" x14ac:dyDescent="0.3">
      <c r="A8498" s="45">
        <v>45317</v>
      </c>
      <c r="B8498" s="399" t="s">
        <v>13252</v>
      </c>
      <c r="C8498" s="5" t="s">
        <v>5793</v>
      </c>
      <c r="D8498" s="5" t="s">
        <v>40</v>
      </c>
      <c r="E8498" s="43">
        <v>800</v>
      </c>
      <c r="F8498" s="43"/>
      <c r="G8498" s="48">
        <f t="shared" si="215"/>
        <v>67226.521505376091</v>
      </c>
      <c r="H8498" s="392" t="s">
        <v>9568</v>
      </c>
    </row>
    <row r="8499" spans="1:8" x14ac:dyDescent="0.3">
      <c r="A8499" s="45">
        <v>45317</v>
      </c>
      <c r="B8499" s="399" t="s">
        <v>12138</v>
      </c>
      <c r="C8499" s="5" t="s">
        <v>5793</v>
      </c>
      <c r="D8499" s="5" t="s">
        <v>40</v>
      </c>
      <c r="E8499" s="43">
        <v>800</v>
      </c>
      <c r="F8499" s="43"/>
      <c r="G8499" s="48">
        <f t="shared" si="215"/>
        <v>66426.521505376091</v>
      </c>
      <c r="H8499" s="392" t="s">
        <v>9568</v>
      </c>
    </row>
    <row r="8500" spans="1:8" x14ac:dyDescent="0.3">
      <c r="A8500" s="45">
        <v>45317</v>
      </c>
      <c r="B8500" s="586"/>
      <c r="C8500" s="486"/>
      <c r="D8500" s="497" t="s">
        <v>12961</v>
      </c>
      <c r="E8500" s="486"/>
      <c r="F8500" s="28">
        <v>100000</v>
      </c>
      <c r="G8500" s="48">
        <f t="shared" si="215"/>
        <v>166426.52150537609</v>
      </c>
      <c r="H8500" s="392" t="s">
        <v>9568</v>
      </c>
    </row>
    <row r="8501" spans="1:8" x14ac:dyDescent="0.3">
      <c r="A8501" s="45">
        <v>45317</v>
      </c>
      <c r="B8501" s="399" t="s">
        <v>12703</v>
      </c>
      <c r="C8501" s="5" t="s">
        <v>11194</v>
      </c>
      <c r="D8501" s="5" t="s">
        <v>13261</v>
      </c>
      <c r="E8501" s="43">
        <v>25000</v>
      </c>
      <c r="F8501" s="43"/>
      <c r="G8501" s="48">
        <f t="shared" si="215"/>
        <v>141426.52150537609</v>
      </c>
      <c r="H8501" s="392" t="s">
        <v>9568</v>
      </c>
    </row>
    <row r="8502" spans="1:8" x14ac:dyDescent="0.3">
      <c r="A8502" s="45">
        <v>45317</v>
      </c>
      <c r="B8502" s="399"/>
      <c r="C8502" s="5" t="s">
        <v>84</v>
      </c>
      <c r="D8502" s="5" t="s">
        <v>13262</v>
      </c>
      <c r="E8502" s="43">
        <v>5000</v>
      </c>
      <c r="F8502" s="43"/>
      <c r="G8502" s="48">
        <f t="shared" si="215"/>
        <v>136426.52150537609</v>
      </c>
      <c r="H8502" s="392" t="s">
        <v>9568</v>
      </c>
    </row>
    <row r="8503" spans="1:8" x14ac:dyDescent="0.3">
      <c r="A8503" s="45">
        <v>45317</v>
      </c>
      <c r="B8503" s="399" t="s">
        <v>12088</v>
      </c>
      <c r="C8503" s="5" t="s">
        <v>13065</v>
      </c>
      <c r="D8503" s="5" t="s">
        <v>13263</v>
      </c>
      <c r="E8503" s="43">
        <v>5500</v>
      </c>
      <c r="F8503" s="43"/>
      <c r="G8503" s="48">
        <f t="shared" si="215"/>
        <v>130926.52150537609</v>
      </c>
      <c r="H8503" s="392" t="s">
        <v>9568</v>
      </c>
    </row>
    <row r="8504" spans="1:8" x14ac:dyDescent="0.3">
      <c r="A8504" s="45">
        <v>45317</v>
      </c>
      <c r="B8504" s="399" t="s">
        <v>13252</v>
      </c>
      <c r="C8504" s="5" t="s">
        <v>11194</v>
      </c>
      <c r="D8504" s="5" t="s">
        <v>13264</v>
      </c>
      <c r="E8504" s="43">
        <v>61000</v>
      </c>
      <c r="F8504" s="43"/>
      <c r="G8504" s="48">
        <f t="shared" si="215"/>
        <v>69926.521505376091</v>
      </c>
      <c r="H8504" s="392" t="s">
        <v>9568</v>
      </c>
    </row>
    <row r="8505" spans="1:8" x14ac:dyDescent="0.3">
      <c r="A8505" s="45">
        <v>45318</v>
      </c>
      <c r="B8505" s="399"/>
      <c r="C8505" s="5" t="s">
        <v>84</v>
      </c>
      <c r="D8505" s="5" t="s">
        <v>13265</v>
      </c>
      <c r="E8505" s="43">
        <v>1000</v>
      </c>
      <c r="F8505" s="43"/>
      <c r="G8505" s="48">
        <f t="shared" si="215"/>
        <v>68926.521505376091</v>
      </c>
      <c r="H8505" s="392" t="s">
        <v>9568</v>
      </c>
    </row>
    <row r="8506" spans="1:8" x14ac:dyDescent="0.3">
      <c r="A8506" s="45">
        <v>45318</v>
      </c>
      <c r="B8506" s="399" t="s">
        <v>12189</v>
      </c>
      <c r="C8506" s="5" t="s">
        <v>5793</v>
      </c>
      <c r="D8506" s="5" t="s">
        <v>13266</v>
      </c>
      <c r="E8506" s="43">
        <v>3500</v>
      </c>
      <c r="F8506" s="43"/>
      <c r="G8506" s="48">
        <f t="shared" si="215"/>
        <v>65426.521505376091</v>
      </c>
      <c r="H8506" s="392" t="s">
        <v>9568</v>
      </c>
    </row>
    <row r="8507" spans="1:8" x14ac:dyDescent="0.3">
      <c r="A8507" s="45">
        <v>45318</v>
      </c>
      <c r="B8507" s="399" t="s">
        <v>13584</v>
      </c>
      <c r="C8507" s="5" t="s">
        <v>12446</v>
      </c>
      <c r="D8507" s="5" t="s">
        <v>13267</v>
      </c>
      <c r="E8507" s="43">
        <v>3370</v>
      </c>
      <c r="F8507" s="43"/>
      <c r="G8507" s="48">
        <f t="shared" si="215"/>
        <v>62056.521505376091</v>
      </c>
      <c r="H8507" s="392" t="s">
        <v>9568</v>
      </c>
    </row>
    <row r="8508" spans="1:8" x14ac:dyDescent="0.3">
      <c r="A8508" s="45">
        <v>45318</v>
      </c>
      <c r="B8508" s="399" t="s">
        <v>25</v>
      </c>
      <c r="C8508" s="5" t="s">
        <v>4400</v>
      </c>
      <c r="D8508" s="5" t="s">
        <v>40</v>
      </c>
      <c r="E8508" s="43">
        <v>5330</v>
      </c>
      <c r="F8508" s="43"/>
      <c r="G8508" s="48">
        <f t="shared" si="215"/>
        <v>56726.521505376091</v>
      </c>
      <c r="H8508" s="392" t="s">
        <v>9568</v>
      </c>
    </row>
    <row r="8509" spans="1:8" x14ac:dyDescent="0.3">
      <c r="A8509" s="45">
        <v>45318</v>
      </c>
      <c r="B8509" s="399" t="s">
        <v>25</v>
      </c>
      <c r="C8509" s="5" t="s">
        <v>25</v>
      </c>
      <c r="D8509" s="5" t="s">
        <v>1458</v>
      </c>
      <c r="E8509" s="43">
        <v>3000</v>
      </c>
      <c r="F8509" s="43"/>
      <c r="G8509" s="48">
        <f t="shared" si="215"/>
        <v>53726.521505376091</v>
      </c>
      <c r="H8509" s="392" t="s">
        <v>9568</v>
      </c>
    </row>
    <row r="8510" spans="1:8" x14ac:dyDescent="0.3">
      <c r="A8510" s="45">
        <v>45318</v>
      </c>
      <c r="B8510" s="399" t="s">
        <v>12867</v>
      </c>
      <c r="C8510" s="5" t="s">
        <v>5793</v>
      </c>
      <c r="D8510" s="5" t="s">
        <v>13270</v>
      </c>
      <c r="E8510" s="43">
        <v>3500</v>
      </c>
      <c r="F8510" s="43"/>
      <c r="G8510" s="48">
        <f t="shared" si="215"/>
        <v>50226.521505376091</v>
      </c>
      <c r="H8510" s="392" t="s">
        <v>9568</v>
      </c>
    </row>
    <row r="8511" spans="1:8" x14ac:dyDescent="0.3">
      <c r="A8511" s="45">
        <v>45318</v>
      </c>
      <c r="B8511" s="399" t="s">
        <v>12189</v>
      </c>
      <c r="C8511" s="5" t="s">
        <v>11194</v>
      </c>
      <c r="D8511" s="5" t="s">
        <v>13271</v>
      </c>
      <c r="E8511" s="43">
        <v>2340</v>
      </c>
      <c r="F8511" s="43"/>
      <c r="G8511" s="48">
        <f t="shared" si="215"/>
        <v>47886.521505376091</v>
      </c>
      <c r="H8511" s="392" t="s">
        <v>9568</v>
      </c>
    </row>
    <row r="8512" spans="1:8" x14ac:dyDescent="0.3">
      <c r="A8512" s="45">
        <v>45318</v>
      </c>
      <c r="B8512" s="399" t="s">
        <v>11772</v>
      </c>
      <c r="C8512" s="5" t="s">
        <v>5793</v>
      </c>
      <c r="D8512" s="5" t="s">
        <v>8924</v>
      </c>
      <c r="E8512" s="43">
        <v>250</v>
      </c>
      <c r="F8512" s="43"/>
      <c r="G8512" s="48">
        <f t="shared" si="215"/>
        <v>47636.521505376091</v>
      </c>
      <c r="H8512" s="392" t="s">
        <v>9568</v>
      </c>
    </row>
    <row r="8513" spans="1:10" x14ac:dyDescent="0.3">
      <c r="A8513" s="45">
        <v>45318</v>
      </c>
      <c r="B8513" s="586"/>
      <c r="C8513" s="486"/>
      <c r="D8513" s="497" t="s">
        <v>12961</v>
      </c>
      <c r="E8513" s="486"/>
      <c r="F8513" s="28">
        <v>500000</v>
      </c>
      <c r="G8513" s="48">
        <f t="shared" si="215"/>
        <v>547636.52150537609</v>
      </c>
      <c r="H8513" s="392" t="s">
        <v>9568</v>
      </c>
    </row>
    <row r="8514" spans="1:10" x14ac:dyDescent="0.3">
      <c r="A8514" s="45">
        <v>45318</v>
      </c>
      <c r="B8514" s="408"/>
      <c r="C8514" s="218" t="s">
        <v>84</v>
      </c>
      <c r="D8514" s="218" t="s">
        <v>13273</v>
      </c>
      <c r="E8514" s="211">
        <v>3000</v>
      </c>
      <c r="F8514" s="43"/>
      <c r="G8514" s="48">
        <f t="shared" si="215"/>
        <v>544636.52150537609</v>
      </c>
      <c r="H8514" s="392" t="s">
        <v>9568</v>
      </c>
    </row>
    <row r="8515" spans="1:10" x14ac:dyDescent="0.3">
      <c r="A8515" s="45">
        <v>45320</v>
      </c>
      <c r="B8515" s="399" t="s">
        <v>25</v>
      </c>
      <c r="C8515" s="5" t="s">
        <v>14</v>
      </c>
      <c r="D8515" s="5" t="s">
        <v>640</v>
      </c>
      <c r="E8515" s="43">
        <v>1000</v>
      </c>
      <c r="F8515" s="43"/>
      <c r="G8515" s="48">
        <f t="shared" si="215"/>
        <v>543636.52150537609</v>
      </c>
      <c r="H8515" s="392" t="s">
        <v>9568</v>
      </c>
      <c r="J8515" s="52" t="e">
        <f>#REF!*1.18</f>
        <v>#REF!</v>
      </c>
    </row>
    <row r="8516" spans="1:10" x14ac:dyDescent="0.3">
      <c r="A8516" s="45">
        <v>45320</v>
      </c>
      <c r="B8516" s="399" t="s">
        <v>25</v>
      </c>
      <c r="C8516" s="5" t="s">
        <v>25</v>
      </c>
      <c r="D8516" s="5" t="s">
        <v>1458</v>
      </c>
      <c r="E8516" s="43">
        <v>3000</v>
      </c>
      <c r="F8516" s="43"/>
      <c r="G8516" s="48">
        <f t="shared" si="215"/>
        <v>540636.52150537609</v>
      </c>
      <c r="H8516" s="392" t="s">
        <v>9568</v>
      </c>
    </row>
    <row r="8517" spans="1:10" x14ac:dyDescent="0.3">
      <c r="A8517" s="45">
        <v>45320</v>
      </c>
      <c r="B8517" s="399" t="s">
        <v>12287</v>
      </c>
      <c r="C8517" s="5" t="s">
        <v>1616</v>
      </c>
      <c r="D8517" s="5" t="s">
        <v>640</v>
      </c>
      <c r="E8517" s="43">
        <v>1500</v>
      </c>
      <c r="F8517" s="43"/>
      <c r="G8517" s="48">
        <f t="shared" si="215"/>
        <v>539136.52150537609</v>
      </c>
      <c r="H8517" s="392" t="s">
        <v>9568</v>
      </c>
      <c r="J8517" s="52" t="e">
        <f>J8515/70</f>
        <v>#REF!</v>
      </c>
    </row>
    <row r="8518" spans="1:10" x14ac:dyDescent="0.3">
      <c r="A8518" s="45">
        <v>45320</v>
      </c>
      <c r="B8518" s="586"/>
      <c r="C8518" s="486"/>
      <c r="D8518" s="497" t="s">
        <v>12961</v>
      </c>
      <c r="E8518" s="486"/>
      <c r="F8518" s="28">
        <v>200000</v>
      </c>
      <c r="G8518" s="48">
        <f t="shared" si="215"/>
        <v>739136.52150537609</v>
      </c>
      <c r="H8518" s="392" t="s">
        <v>9568</v>
      </c>
    </row>
    <row r="8519" spans="1:10" x14ac:dyDescent="0.3">
      <c r="A8519" s="45">
        <v>45320</v>
      </c>
      <c r="B8519" s="399"/>
      <c r="C8519" s="5" t="s">
        <v>14</v>
      </c>
      <c r="D8519" s="5" t="s">
        <v>3910</v>
      </c>
      <c r="E8519" s="43">
        <v>100000</v>
      </c>
      <c r="F8519" s="43"/>
      <c r="G8519" s="48">
        <f t="shared" si="215"/>
        <v>639136.52150537609</v>
      </c>
      <c r="H8519" s="392" t="s">
        <v>9568</v>
      </c>
    </row>
    <row r="8520" spans="1:10" x14ac:dyDescent="0.3">
      <c r="A8520" s="45">
        <v>45320</v>
      </c>
      <c r="B8520" s="399" t="s">
        <v>12189</v>
      </c>
      <c r="C8520" s="5" t="s">
        <v>12908</v>
      </c>
      <c r="D8520" s="5" t="s">
        <v>582</v>
      </c>
      <c r="E8520" s="43">
        <v>15000</v>
      </c>
      <c r="F8520" s="43"/>
      <c r="G8520" s="48">
        <f t="shared" si="215"/>
        <v>624136.52150537609</v>
      </c>
      <c r="H8520" s="392" t="s">
        <v>9568</v>
      </c>
    </row>
    <row r="8521" spans="1:10" x14ac:dyDescent="0.3">
      <c r="A8521" s="45">
        <v>45320</v>
      </c>
      <c r="B8521" s="399" t="s">
        <v>13252</v>
      </c>
      <c r="C8521" s="5" t="s">
        <v>9452</v>
      </c>
      <c r="D8521" s="5" t="s">
        <v>13149</v>
      </c>
      <c r="E8521" s="43">
        <v>1250</v>
      </c>
      <c r="F8521" s="43"/>
      <c r="G8521" s="48">
        <f t="shared" si="215"/>
        <v>622886.52150537609</v>
      </c>
      <c r="H8521" s="392" t="s">
        <v>9568</v>
      </c>
    </row>
    <row r="8522" spans="1:10" x14ac:dyDescent="0.3">
      <c r="A8522" s="45">
        <v>45320</v>
      </c>
      <c r="B8522" s="399" t="s">
        <v>12867</v>
      </c>
      <c r="C8522" s="5" t="s">
        <v>5793</v>
      </c>
      <c r="D8522" s="5" t="s">
        <v>40</v>
      </c>
      <c r="E8522" s="43">
        <v>3500</v>
      </c>
      <c r="F8522" s="43"/>
      <c r="G8522" s="48">
        <f t="shared" si="215"/>
        <v>619386.52150537609</v>
      </c>
      <c r="H8522" s="392" t="s">
        <v>9568</v>
      </c>
    </row>
    <row r="8523" spans="1:10" x14ac:dyDescent="0.3">
      <c r="A8523" s="45">
        <v>45320</v>
      </c>
      <c r="B8523" s="399" t="s">
        <v>11772</v>
      </c>
      <c r="C8523" s="5" t="s">
        <v>10709</v>
      </c>
      <c r="D8523" s="5" t="s">
        <v>294</v>
      </c>
      <c r="E8523" s="43">
        <v>50000</v>
      </c>
      <c r="F8523" s="43"/>
      <c r="G8523" s="48">
        <f t="shared" si="215"/>
        <v>569386.52150537609</v>
      </c>
      <c r="H8523" s="392" t="s">
        <v>9568</v>
      </c>
    </row>
    <row r="8524" spans="1:10" x14ac:dyDescent="0.3">
      <c r="A8524" s="45">
        <v>45320</v>
      </c>
      <c r="B8524" s="399" t="s">
        <v>13285</v>
      </c>
      <c r="C8524" s="5" t="s">
        <v>11194</v>
      </c>
      <c r="D8524" s="5" t="s">
        <v>13280</v>
      </c>
      <c r="E8524" s="43">
        <v>3680</v>
      </c>
      <c r="F8524" s="43"/>
      <c r="G8524" s="48">
        <f t="shared" si="215"/>
        <v>565706.52150537609</v>
      </c>
      <c r="H8524" s="392" t="s">
        <v>9568</v>
      </c>
    </row>
    <row r="8525" spans="1:10" x14ac:dyDescent="0.3">
      <c r="A8525" s="45">
        <v>45320</v>
      </c>
      <c r="B8525" s="399" t="s">
        <v>12097</v>
      </c>
      <c r="C8525" s="5" t="s">
        <v>5793</v>
      </c>
      <c r="D8525" s="5" t="s">
        <v>40</v>
      </c>
      <c r="E8525" s="43">
        <v>250</v>
      </c>
      <c r="F8525" s="43"/>
      <c r="G8525" s="48">
        <f t="shared" si="215"/>
        <v>565456.52150537609</v>
      </c>
      <c r="H8525" s="392" t="s">
        <v>9568</v>
      </c>
      <c r="J8525" s="52">
        <v>100</v>
      </c>
    </row>
    <row r="8526" spans="1:10" x14ac:dyDescent="0.3">
      <c r="A8526" s="45">
        <v>45320</v>
      </c>
      <c r="B8526" s="399" t="s">
        <v>13285</v>
      </c>
      <c r="C8526" s="5" t="s">
        <v>5793</v>
      </c>
      <c r="D8526" s="5" t="s">
        <v>40</v>
      </c>
      <c r="E8526" s="43">
        <v>500</v>
      </c>
      <c r="F8526" s="43"/>
      <c r="G8526" s="48">
        <f t="shared" si="215"/>
        <v>564956.52150537609</v>
      </c>
      <c r="H8526" s="392" t="s">
        <v>9568</v>
      </c>
    </row>
    <row r="8527" spans="1:10" x14ac:dyDescent="0.3">
      <c r="A8527" s="45">
        <v>45320</v>
      </c>
      <c r="B8527" s="399" t="s">
        <v>13584</v>
      </c>
      <c r="C8527" s="5" t="s">
        <v>9765</v>
      </c>
      <c r="D8527" s="5" t="s">
        <v>40</v>
      </c>
      <c r="E8527" s="43">
        <v>5000</v>
      </c>
      <c r="F8527" s="43"/>
      <c r="G8527" s="48">
        <f t="shared" si="215"/>
        <v>559956.52150537609</v>
      </c>
      <c r="H8527" s="392" t="s">
        <v>9568</v>
      </c>
    </row>
    <row r="8528" spans="1:10" x14ac:dyDescent="0.3">
      <c r="A8528" s="45">
        <v>45321</v>
      </c>
      <c r="B8528" s="399"/>
      <c r="C8528" s="5" t="s">
        <v>14</v>
      </c>
      <c r="D8528" s="5" t="s">
        <v>3910</v>
      </c>
      <c r="E8528" s="43">
        <v>100000</v>
      </c>
      <c r="F8528" s="43"/>
      <c r="G8528" s="48">
        <f t="shared" si="215"/>
        <v>459956.52150537609</v>
      </c>
      <c r="H8528" s="392" t="s">
        <v>9568</v>
      </c>
    </row>
    <row r="8529" spans="1:8" x14ac:dyDescent="0.3">
      <c r="A8529" s="45">
        <v>45321</v>
      </c>
      <c r="B8529" s="399" t="s">
        <v>12088</v>
      </c>
      <c r="C8529" s="5" t="s">
        <v>12628</v>
      </c>
      <c r="D8529" s="5" t="s">
        <v>13288</v>
      </c>
      <c r="E8529" s="43">
        <v>29280</v>
      </c>
      <c r="F8529" s="43"/>
      <c r="G8529" s="48">
        <f t="shared" si="215"/>
        <v>430676.52150537609</v>
      </c>
      <c r="H8529" s="392" t="s">
        <v>9568</v>
      </c>
    </row>
    <row r="8530" spans="1:8" x14ac:dyDescent="0.3">
      <c r="A8530" s="45">
        <v>45321</v>
      </c>
      <c r="B8530" s="399" t="s">
        <v>13285</v>
      </c>
      <c r="C8530" s="5" t="s">
        <v>11194</v>
      </c>
      <c r="D8530" s="5" t="s">
        <v>13286</v>
      </c>
      <c r="E8530" s="43">
        <v>11060</v>
      </c>
      <c r="F8530" s="43"/>
      <c r="G8530" s="48">
        <f t="shared" si="215"/>
        <v>419616.52150537609</v>
      </c>
      <c r="H8530" s="392" t="s">
        <v>9568</v>
      </c>
    </row>
    <row r="8531" spans="1:8" x14ac:dyDescent="0.3">
      <c r="A8531" s="45">
        <v>45321</v>
      </c>
      <c r="B8531" s="399" t="s">
        <v>13285</v>
      </c>
      <c r="C8531" s="5" t="s">
        <v>5793</v>
      </c>
      <c r="D8531" s="5" t="s">
        <v>40</v>
      </c>
      <c r="E8531" s="43">
        <v>1000</v>
      </c>
      <c r="F8531" s="43"/>
      <c r="G8531" s="48">
        <f t="shared" ref="G8531:G8601" si="216">G8530+F8531-E8531</f>
        <v>418616.52150537609</v>
      </c>
      <c r="H8531" s="392" t="s">
        <v>9568</v>
      </c>
    </row>
    <row r="8532" spans="1:8" x14ac:dyDescent="0.3">
      <c r="A8532" s="45">
        <v>45321</v>
      </c>
      <c r="B8532" s="399" t="s">
        <v>13246</v>
      </c>
      <c r="C8532" s="5" t="s">
        <v>11194</v>
      </c>
      <c r="D8532" s="5" t="s">
        <v>11276</v>
      </c>
      <c r="E8532" s="43">
        <v>1500</v>
      </c>
      <c r="F8532" s="43"/>
      <c r="G8532" s="48">
        <f t="shared" si="216"/>
        <v>417116.52150537609</v>
      </c>
      <c r="H8532" s="392" t="s">
        <v>9568</v>
      </c>
    </row>
    <row r="8533" spans="1:8" x14ac:dyDescent="0.3">
      <c r="A8533" s="45">
        <v>45321</v>
      </c>
      <c r="B8533" s="399" t="s">
        <v>13285</v>
      </c>
      <c r="C8533" s="5" t="s">
        <v>11194</v>
      </c>
      <c r="D8533" s="5" t="s">
        <v>13287</v>
      </c>
      <c r="E8533" s="43">
        <v>2715</v>
      </c>
      <c r="F8533" s="43"/>
      <c r="G8533" s="48">
        <f t="shared" si="216"/>
        <v>414401.52150537609</v>
      </c>
      <c r="H8533" s="392" t="s">
        <v>9568</v>
      </c>
    </row>
    <row r="8534" spans="1:8" x14ac:dyDescent="0.3">
      <c r="A8534" s="45">
        <v>45321</v>
      </c>
      <c r="B8534" s="399" t="s">
        <v>13246</v>
      </c>
      <c r="C8534" s="5" t="s">
        <v>5288</v>
      </c>
      <c r="D8534" s="5" t="s">
        <v>13291</v>
      </c>
      <c r="E8534" s="43">
        <v>5000</v>
      </c>
      <c r="F8534" s="43"/>
      <c r="G8534" s="48">
        <f t="shared" si="216"/>
        <v>409401.52150537609</v>
      </c>
      <c r="H8534" s="392" t="s">
        <v>9568</v>
      </c>
    </row>
    <row r="8535" spans="1:8" x14ac:dyDescent="0.3">
      <c r="A8535" s="45">
        <v>45321</v>
      </c>
      <c r="B8535" s="399" t="s">
        <v>13292</v>
      </c>
      <c r="C8535" s="5" t="s">
        <v>84</v>
      </c>
      <c r="D8535" s="5" t="s">
        <v>13214</v>
      </c>
      <c r="E8535" s="43">
        <v>5000</v>
      </c>
      <c r="F8535" s="43"/>
      <c r="G8535" s="48">
        <f t="shared" si="216"/>
        <v>404401.52150537609</v>
      </c>
      <c r="H8535" s="392" t="s">
        <v>9568</v>
      </c>
    </row>
    <row r="8536" spans="1:8" x14ac:dyDescent="0.3">
      <c r="A8536" s="45">
        <v>45321</v>
      </c>
      <c r="B8536" s="399" t="s">
        <v>13292</v>
      </c>
      <c r="C8536" s="5" t="s">
        <v>30</v>
      </c>
      <c r="D8536" s="5" t="s">
        <v>13302</v>
      </c>
      <c r="E8536" s="43">
        <v>2700</v>
      </c>
      <c r="F8536" s="43"/>
      <c r="G8536" s="48">
        <f t="shared" si="216"/>
        <v>401701.52150537609</v>
      </c>
      <c r="H8536" s="392" t="s">
        <v>9568</v>
      </c>
    </row>
    <row r="8537" spans="1:8" x14ac:dyDescent="0.3">
      <c r="A8537" s="45">
        <v>45321</v>
      </c>
      <c r="B8537" s="399"/>
      <c r="C8537" s="5" t="s">
        <v>4550</v>
      </c>
      <c r="D8537" s="5" t="s">
        <v>294</v>
      </c>
      <c r="E8537" s="43">
        <v>39000</v>
      </c>
      <c r="F8537" s="43"/>
      <c r="G8537" s="48">
        <f t="shared" si="216"/>
        <v>362701.52150537609</v>
      </c>
      <c r="H8537" s="392" t="s">
        <v>9568</v>
      </c>
    </row>
    <row r="8538" spans="1:8" x14ac:dyDescent="0.3">
      <c r="A8538" s="45">
        <v>45322</v>
      </c>
      <c r="B8538" s="399"/>
      <c r="C8538" s="5" t="s">
        <v>18</v>
      </c>
      <c r="D8538" s="5" t="s">
        <v>294</v>
      </c>
      <c r="E8538" s="43">
        <v>5000</v>
      </c>
      <c r="F8538" s="43"/>
      <c r="G8538" s="48">
        <f t="shared" si="216"/>
        <v>357701.52150537609</v>
      </c>
      <c r="H8538" s="392" t="s">
        <v>9568</v>
      </c>
    </row>
    <row r="8539" spans="1:8" x14ac:dyDescent="0.3">
      <c r="A8539" s="45">
        <v>45322</v>
      </c>
      <c r="B8539" s="399" t="s">
        <v>13584</v>
      </c>
      <c r="C8539" s="5" t="s">
        <v>3220</v>
      </c>
      <c r="D8539" s="5" t="s">
        <v>13293</v>
      </c>
      <c r="E8539" s="43">
        <v>15000</v>
      </c>
      <c r="F8539" s="43"/>
      <c r="G8539" s="48">
        <f t="shared" si="216"/>
        <v>342701.52150537609</v>
      </c>
      <c r="H8539" s="392" t="s">
        <v>9568</v>
      </c>
    </row>
    <row r="8540" spans="1:8" x14ac:dyDescent="0.3">
      <c r="A8540" s="45">
        <v>45322</v>
      </c>
      <c r="B8540" s="399" t="s">
        <v>25</v>
      </c>
      <c r="C8540" s="5" t="s">
        <v>25</v>
      </c>
      <c r="D8540" s="5" t="s">
        <v>1458</v>
      </c>
      <c r="E8540" s="43">
        <v>3000</v>
      </c>
      <c r="F8540" s="43"/>
      <c r="G8540" s="48">
        <f t="shared" si="216"/>
        <v>339701.52150537609</v>
      </c>
      <c r="H8540" s="392" t="s">
        <v>9568</v>
      </c>
    </row>
    <row r="8541" spans="1:8" x14ac:dyDescent="0.3">
      <c r="A8541" s="45">
        <v>45322</v>
      </c>
      <c r="B8541" s="399" t="s">
        <v>12287</v>
      </c>
      <c r="C8541" s="5" t="s">
        <v>1074</v>
      </c>
      <c r="D8541" s="5" t="s">
        <v>4601</v>
      </c>
      <c r="E8541" s="43">
        <v>860</v>
      </c>
      <c r="F8541" s="43"/>
      <c r="G8541" s="48">
        <f t="shared" si="216"/>
        <v>338841.52150537609</v>
      </c>
      <c r="H8541" s="392" t="s">
        <v>9568</v>
      </c>
    </row>
    <row r="8542" spans="1:8" x14ac:dyDescent="0.3">
      <c r="A8542" s="45">
        <v>45322</v>
      </c>
      <c r="B8542" s="399"/>
      <c r="C8542" s="5" t="s">
        <v>14</v>
      </c>
      <c r="D8542" s="5" t="s">
        <v>4601</v>
      </c>
      <c r="E8542" s="43">
        <v>610</v>
      </c>
      <c r="F8542" s="43"/>
      <c r="G8542" s="48">
        <f t="shared" si="216"/>
        <v>338231.52150537609</v>
      </c>
      <c r="H8542" s="392" t="s">
        <v>9568</v>
      </c>
    </row>
    <row r="8543" spans="1:8" x14ac:dyDescent="0.3">
      <c r="A8543" s="45">
        <v>45322</v>
      </c>
      <c r="B8543" s="399" t="s">
        <v>12867</v>
      </c>
      <c r="C8543" s="5" t="s">
        <v>5793</v>
      </c>
      <c r="D8543" s="5" t="s">
        <v>40</v>
      </c>
      <c r="E8543" s="43">
        <v>2700</v>
      </c>
      <c r="F8543" s="43"/>
      <c r="G8543" s="48">
        <f t="shared" si="216"/>
        <v>335531.52150537609</v>
      </c>
      <c r="H8543" s="392" t="s">
        <v>9568</v>
      </c>
    </row>
    <row r="8544" spans="1:8" x14ac:dyDescent="0.3">
      <c r="A8544" s="45">
        <v>45322</v>
      </c>
      <c r="B8544" s="399" t="s">
        <v>13285</v>
      </c>
      <c r="C8544" s="5" t="s">
        <v>5793</v>
      </c>
      <c r="D8544" s="5" t="s">
        <v>40</v>
      </c>
      <c r="E8544" s="43">
        <v>1500</v>
      </c>
      <c r="F8544" s="43"/>
      <c r="G8544" s="48">
        <f t="shared" si="216"/>
        <v>334031.52150537609</v>
      </c>
      <c r="H8544" s="392" t="s">
        <v>9568</v>
      </c>
    </row>
    <row r="8545" spans="1:14" x14ac:dyDescent="0.3">
      <c r="A8545" s="45">
        <v>45322</v>
      </c>
      <c r="B8545" s="399" t="s">
        <v>12189</v>
      </c>
      <c r="C8545" s="5" t="s">
        <v>12559</v>
      </c>
      <c r="D8545" s="5" t="s">
        <v>13299</v>
      </c>
      <c r="E8545" s="43">
        <v>19100</v>
      </c>
      <c r="F8545" s="43"/>
      <c r="G8545" s="48">
        <f t="shared" si="216"/>
        <v>314931.52150537609</v>
      </c>
      <c r="H8545" s="392" t="s">
        <v>9568</v>
      </c>
    </row>
    <row r="8546" spans="1:14" x14ac:dyDescent="0.3">
      <c r="A8546" s="45">
        <v>45323</v>
      </c>
      <c r="B8546" s="399"/>
      <c r="C8546" s="5" t="s">
        <v>84</v>
      </c>
      <c r="D8546" s="5" t="s">
        <v>13304</v>
      </c>
      <c r="E8546" s="43">
        <v>4000</v>
      </c>
      <c r="F8546" s="43"/>
      <c r="G8546" s="48">
        <f t="shared" si="216"/>
        <v>310931.52150537609</v>
      </c>
      <c r="H8546" s="392" t="s">
        <v>9568</v>
      </c>
    </row>
    <row r="8547" spans="1:14" x14ac:dyDescent="0.3">
      <c r="A8547" s="45">
        <v>45323</v>
      </c>
      <c r="B8547" s="399" t="s">
        <v>13252</v>
      </c>
      <c r="C8547" s="5" t="s">
        <v>5793</v>
      </c>
      <c r="D8547" s="5" t="s">
        <v>40</v>
      </c>
      <c r="E8547" s="43">
        <v>2000</v>
      </c>
      <c r="F8547" s="43"/>
      <c r="G8547" s="48">
        <f t="shared" si="216"/>
        <v>308931.52150537609</v>
      </c>
      <c r="H8547" s="392" t="s">
        <v>9568</v>
      </c>
    </row>
    <row r="8548" spans="1:14" s="390" customFormat="1" ht="56.25" x14ac:dyDescent="0.3">
      <c r="A8548" s="45">
        <v>45323</v>
      </c>
      <c r="B8548" s="322" t="s">
        <v>25</v>
      </c>
      <c r="C8548" s="44" t="s">
        <v>25</v>
      </c>
      <c r="D8548" s="124" t="s">
        <v>13305</v>
      </c>
      <c r="E8548" s="28">
        <v>121000</v>
      </c>
      <c r="F8548" s="28"/>
      <c r="G8548" s="48">
        <f t="shared" si="216"/>
        <v>187931.52150537609</v>
      </c>
      <c r="H8548" s="392" t="s">
        <v>9568</v>
      </c>
      <c r="I8548" s="155"/>
      <c r="J8548" s="155"/>
      <c r="K8548" s="155"/>
      <c r="N8548" s="155"/>
    </row>
    <row r="8549" spans="1:14" x14ac:dyDescent="0.3">
      <c r="A8549" s="45">
        <v>45323</v>
      </c>
      <c r="B8549" s="399" t="s">
        <v>25</v>
      </c>
      <c r="C8549" s="5" t="s">
        <v>25</v>
      </c>
      <c r="D8549" s="5" t="s">
        <v>7533</v>
      </c>
      <c r="E8549" s="43">
        <v>5000</v>
      </c>
      <c r="F8549" s="43"/>
      <c r="G8549" s="48">
        <f t="shared" si="216"/>
        <v>182931.52150537609</v>
      </c>
      <c r="H8549" s="392" t="s">
        <v>9568</v>
      </c>
    </row>
    <row r="8550" spans="1:14" x14ac:dyDescent="0.3">
      <c r="A8550" s="45">
        <v>45324</v>
      </c>
      <c r="B8550" s="399" t="s">
        <v>12189</v>
      </c>
      <c r="C8550" s="5" t="s">
        <v>11194</v>
      </c>
      <c r="D8550" s="5" t="s">
        <v>13307</v>
      </c>
      <c r="E8550" s="43">
        <v>24600</v>
      </c>
      <c r="F8550" s="43"/>
      <c r="G8550" s="48">
        <f t="shared" si="216"/>
        <v>158331.52150537609</v>
      </c>
      <c r="H8550" s="392" t="s">
        <v>9568</v>
      </c>
    </row>
    <row r="8551" spans="1:14" x14ac:dyDescent="0.3">
      <c r="A8551" s="45">
        <v>45324</v>
      </c>
      <c r="B8551" s="399" t="s">
        <v>12867</v>
      </c>
      <c r="C8551" s="5" t="s">
        <v>11194</v>
      </c>
      <c r="D8551" s="5" t="s">
        <v>13306</v>
      </c>
      <c r="E8551" s="43">
        <v>10770</v>
      </c>
      <c r="F8551" s="43"/>
      <c r="G8551" s="48">
        <f t="shared" si="216"/>
        <v>147561.52150537609</v>
      </c>
      <c r="H8551" s="392" t="s">
        <v>9568</v>
      </c>
    </row>
    <row r="8552" spans="1:14" x14ac:dyDescent="0.3">
      <c r="A8552" s="45">
        <v>45324</v>
      </c>
      <c r="B8552" s="399" t="s">
        <v>12867</v>
      </c>
      <c r="C8552" s="5" t="s">
        <v>30</v>
      </c>
      <c r="D8552" s="5" t="s">
        <v>10651</v>
      </c>
      <c r="E8552" s="43">
        <v>1000</v>
      </c>
      <c r="F8552" s="43"/>
      <c r="G8552" s="48">
        <f t="shared" si="216"/>
        <v>146561.52150537609</v>
      </c>
      <c r="H8552" s="392" t="s">
        <v>9568</v>
      </c>
      <c r="I8552" s="52">
        <v>9786488</v>
      </c>
    </row>
    <row r="8553" spans="1:14" x14ac:dyDescent="0.3">
      <c r="A8553" s="45">
        <v>45324</v>
      </c>
      <c r="B8553" s="399" t="s">
        <v>25</v>
      </c>
      <c r="C8553" s="5" t="s">
        <v>25</v>
      </c>
      <c r="D8553" s="5" t="s">
        <v>13308</v>
      </c>
      <c r="E8553" s="43">
        <v>7000</v>
      </c>
      <c r="F8553" s="43"/>
      <c r="G8553" s="48">
        <f t="shared" si="216"/>
        <v>139561.52150537609</v>
      </c>
      <c r="H8553" s="392" t="s">
        <v>9568</v>
      </c>
      <c r="I8553" s="52">
        <v>18170858</v>
      </c>
      <c r="K8553" s="52">
        <v>250000</v>
      </c>
    </row>
    <row r="8554" spans="1:14" x14ac:dyDescent="0.3">
      <c r="A8554" s="45">
        <v>45324</v>
      </c>
      <c r="B8554" s="399" t="s">
        <v>12189</v>
      </c>
      <c r="C8554" s="5" t="s">
        <v>5162</v>
      </c>
      <c r="D8554" s="5" t="s">
        <v>294</v>
      </c>
      <c r="E8554" s="43">
        <v>2000</v>
      </c>
      <c r="F8554" s="43"/>
      <c r="G8554" s="48">
        <f t="shared" si="216"/>
        <v>137561.52150537609</v>
      </c>
      <c r="H8554" s="392" t="s">
        <v>9568</v>
      </c>
      <c r="I8554" s="52">
        <v>8901000</v>
      </c>
      <c r="K8554" s="52">
        <v>50000</v>
      </c>
    </row>
    <row r="8555" spans="1:14" x14ac:dyDescent="0.3">
      <c r="A8555" s="45">
        <v>45324</v>
      </c>
      <c r="B8555" s="399" t="s">
        <v>12867</v>
      </c>
      <c r="C8555" s="5" t="s">
        <v>5793</v>
      </c>
      <c r="D8555" s="5" t="s">
        <v>13310</v>
      </c>
      <c r="E8555" s="43">
        <v>3000</v>
      </c>
      <c r="F8555" s="43"/>
      <c r="G8555" s="48">
        <f t="shared" si="216"/>
        <v>134561.52150537609</v>
      </c>
      <c r="H8555" s="392" t="s">
        <v>9568</v>
      </c>
      <c r="I8555" s="52">
        <f>SUM(I8552:I8554)</f>
        <v>36858346</v>
      </c>
      <c r="K8555" s="52">
        <v>800000</v>
      </c>
    </row>
    <row r="8556" spans="1:14" x14ac:dyDescent="0.3">
      <c r="A8556" s="45">
        <v>45324</v>
      </c>
      <c r="B8556" s="399" t="s">
        <v>12678</v>
      </c>
      <c r="C8556" s="5" t="s">
        <v>6430</v>
      </c>
      <c r="D8556" s="5" t="s">
        <v>294</v>
      </c>
      <c r="E8556" s="43">
        <v>10000</v>
      </c>
      <c r="F8556" s="43"/>
      <c r="G8556" s="48">
        <f t="shared" si="216"/>
        <v>124561.52150537609</v>
      </c>
      <c r="H8556" s="392" t="s">
        <v>9568</v>
      </c>
      <c r="K8556" s="52">
        <v>499000</v>
      </c>
    </row>
    <row r="8557" spans="1:14" x14ac:dyDescent="0.3">
      <c r="A8557" s="45">
        <v>45324</v>
      </c>
      <c r="B8557" s="399"/>
      <c r="C8557" s="5" t="s">
        <v>4550</v>
      </c>
      <c r="D8557" s="5" t="s">
        <v>13311</v>
      </c>
      <c r="E8557" s="43">
        <v>25000</v>
      </c>
      <c r="F8557" s="43"/>
      <c r="G8557" s="48">
        <f t="shared" si="216"/>
        <v>99561.521505376091</v>
      </c>
      <c r="H8557" s="392" t="s">
        <v>9568</v>
      </c>
      <c r="K8557" s="52">
        <v>45400</v>
      </c>
    </row>
    <row r="8558" spans="1:14" x14ac:dyDescent="0.3">
      <c r="A8558" s="45">
        <v>45324</v>
      </c>
      <c r="B8558" s="586"/>
      <c r="C8558" s="486"/>
      <c r="D8558" s="497" t="s">
        <v>12333</v>
      </c>
      <c r="E8558" s="486"/>
      <c r="F8558" s="28">
        <v>2000000</v>
      </c>
      <c r="G8558" s="48">
        <f t="shared" si="216"/>
        <v>2099561.5215053763</v>
      </c>
      <c r="H8558" s="392" t="s">
        <v>9568</v>
      </c>
      <c r="K8558" s="52">
        <v>355600</v>
      </c>
    </row>
    <row r="8559" spans="1:14" x14ac:dyDescent="0.3">
      <c r="A8559" s="45">
        <v>45324</v>
      </c>
      <c r="B8559" s="399" t="s">
        <v>25</v>
      </c>
      <c r="C8559" s="5" t="s">
        <v>25</v>
      </c>
      <c r="D8559" s="5" t="s">
        <v>13312</v>
      </c>
      <c r="E8559" s="43">
        <v>2200</v>
      </c>
      <c r="F8559" s="43"/>
      <c r="G8559" s="48">
        <f t="shared" si="216"/>
        <v>2097361.5215053763</v>
      </c>
      <c r="H8559" s="392" t="s">
        <v>9568</v>
      </c>
      <c r="K8559" s="52">
        <f>SUM(K8553:K8558)</f>
        <v>2000000</v>
      </c>
    </row>
    <row r="8560" spans="1:14" x14ac:dyDescent="0.3">
      <c r="A8560" s="45">
        <v>45324</v>
      </c>
      <c r="B8560" s="399" t="s">
        <v>13285</v>
      </c>
      <c r="C8560" s="5" t="s">
        <v>13314</v>
      </c>
      <c r="D8560" s="5" t="s">
        <v>13315</v>
      </c>
      <c r="E8560" s="43">
        <v>500000</v>
      </c>
      <c r="F8560" s="43"/>
      <c r="G8560" s="48">
        <f t="shared" si="216"/>
        <v>1597361.5215053763</v>
      </c>
      <c r="H8560" s="392" t="s">
        <v>9568</v>
      </c>
    </row>
    <row r="8561" spans="1:10" x14ac:dyDescent="0.3">
      <c r="A8561" s="45">
        <v>45325</v>
      </c>
      <c r="B8561" s="399" t="s">
        <v>12189</v>
      </c>
      <c r="C8561" s="5" t="s">
        <v>11194</v>
      </c>
      <c r="D8561" s="5" t="s">
        <v>13354</v>
      </c>
      <c r="E8561" s="43">
        <v>1600</v>
      </c>
      <c r="F8561" s="43"/>
      <c r="G8561" s="48">
        <f t="shared" si="216"/>
        <v>1595761.5215053763</v>
      </c>
      <c r="H8561" s="392" t="s">
        <v>9568</v>
      </c>
    </row>
    <row r="8562" spans="1:10" x14ac:dyDescent="0.3">
      <c r="A8562" s="45">
        <v>45325</v>
      </c>
      <c r="B8562" s="399" t="s">
        <v>12867</v>
      </c>
      <c r="C8562" s="5" t="s">
        <v>5793</v>
      </c>
      <c r="D8562" s="5" t="s">
        <v>13355</v>
      </c>
      <c r="E8562" s="43">
        <v>500</v>
      </c>
      <c r="F8562" s="43"/>
      <c r="G8562" s="48">
        <f t="shared" si="216"/>
        <v>1595261.5215053763</v>
      </c>
      <c r="H8562" s="392" t="s">
        <v>9568</v>
      </c>
    </row>
    <row r="8563" spans="1:10" x14ac:dyDescent="0.3">
      <c r="A8563" s="45">
        <v>45325</v>
      </c>
      <c r="B8563" s="399" t="s">
        <v>12703</v>
      </c>
      <c r="C8563" s="5" t="s">
        <v>11194</v>
      </c>
      <c r="D8563" s="5" t="s">
        <v>13356</v>
      </c>
      <c r="E8563" s="43">
        <v>2115</v>
      </c>
      <c r="F8563" s="43"/>
      <c r="G8563" s="48">
        <f t="shared" si="216"/>
        <v>1593146.5215053763</v>
      </c>
      <c r="H8563" s="392" t="s">
        <v>9568</v>
      </c>
    </row>
    <row r="8564" spans="1:10" x14ac:dyDescent="0.3">
      <c r="A8564" s="45">
        <v>45325</v>
      </c>
      <c r="B8564" s="399" t="s">
        <v>12189</v>
      </c>
      <c r="C8564" s="5" t="s">
        <v>11194</v>
      </c>
      <c r="D8564" s="5" t="s">
        <v>11180</v>
      </c>
      <c r="E8564" s="43">
        <v>3810</v>
      </c>
      <c r="F8564" s="43"/>
      <c r="G8564" s="48">
        <f t="shared" si="216"/>
        <v>1589336.5215053763</v>
      </c>
      <c r="H8564" s="392" t="s">
        <v>9568</v>
      </c>
    </row>
    <row r="8565" spans="1:10" x14ac:dyDescent="0.3">
      <c r="A8565" s="45">
        <v>45325</v>
      </c>
      <c r="B8565" s="399" t="s">
        <v>12189</v>
      </c>
      <c r="C8565" s="5" t="s">
        <v>11194</v>
      </c>
      <c r="D8565" s="5" t="s">
        <v>2242</v>
      </c>
      <c r="E8565" s="43">
        <v>1500</v>
      </c>
      <c r="F8565" s="43"/>
      <c r="G8565" s="48">
        <f t="shared" si="216"/>
        <v>1587836.5215053763</v>
      </c>
      <c r="H8565" s="392" t="s">
        <v>9568</v>
      </c>
    </row>
    <row r="8566" spans="1:10" x14ac:dyDescent="0.3">
      <c r="A8566" s="45">
        <v>45325</v>
      </c>
      <c r="B8566" s="399" t="s">
        <v>12189</v>
      </c>
      <c r="C8566" s="5" t="s">
        <v>5793</v>
      </c>
      <c r="D8566" s="5" t="s">
        <v>40</v>
      </c>
      <c r="E8566" s="43">
        <v>2350</v>
      </c>
      <c r="F8566" s="43"/>
      <c r="G8566" s="48">
        <f t="shared" si="216"/>
        <v>1585486.5215053763</v>
      </c>
      <c r="H8566" s="392" t="s">
        <v>9568</v>
      </c>
      <c r="I8566" s="52">
        <f>E8566+E8565+E8564+E8563+E8562+E8561</f>
        <v>11875</v>
      </c>
    </row>
    <row r="8567" spans="1:10" x14ac:dyDescent="0.3">
      <c r="A8567" s="45">
        <v>45325</v>
      </c>
      <c r="B8567" s="399" t="s">
        <v>12867</v>
      </c>
      <c r="C8567" s="5" t="s">
        <v>9801</v>
      </c>
      <c r="D8567" s="5" t="s">
        <v>5125</v>
      </c>
      <c r="E8567" s="43">
        <f>80+200+780+2280+836+1040</f>
        <v>5216</v>
      </c>
      <c r="F8567" s="43"/>
      <c r="G8567" s="48">
        <f t="shared" si="216"/>
        <v>1580270.5215053763</v>
      </c>
      <c r="H8567" s="392" t="s">
        <v>9568</v>
      </c>
      <c r="I8567" s="52">
        <v>1000</v>
      </c>
    </row>
    <row r="8568" spans="1:10" x14ac:dyDescent="0.3">
      <c r="A8568" s="45">
        <v>45325</v>
      </c>
      <c r="B8568" s="399" t="s">
        <v>12867</v>
      </c>
      <c r="C8568" s="5" t="s">
        <v>11194</v>
      </c>
      <c r="D8568" s="5" t="s">
        <v>13313</v>
      </c>
      <c r="E8568" s="43">
        <v>85000</v>
      </c>
      <c r="F8568" s="43"/>
      <c r="G8568" s="48">
        <f t="shared" si="216"/>
        <v>1495270.5215053763</v>
      </c>
      <c r="H8568" s="392" t="s">
        <v>9568</v>
      </c>
      <c r="I8568" s="52">
        <f>I8567+I8566</f>
        <v>12875</v>
      </c>
    </row>
    <row r="8569" spans="1:10" x14ac:dyDescent="0.3">
      <c r="A8569" s="45">
        <v>45325</v>
      </c>
      <c r="B8569" s="399" t="s">
        <v>25</v>
      </c>
      <c r="C8569" s="5" t="s">
        <v>84</v>
      </c>
      <c r="D8569" s="5" t="s">
        <v>13316</v>
      </c>
      <c r="E8569" s="43">
        <v>1000</v>
      </c>
      <c r="F8569" s="43"/>
      <c r="G8569" s="48">
        <f t="shared" si="216"/>
        <v>1494270.5215053763</v>
      </c>
      <c r="H8569" s="392" t="s">
        <v>9568</v>
      </c>
    </row>
    <row r="8570" spans="1:10" x14ac:dyDescent="0.3">
      <c r="A8570" s="45">
        <v>45325</v>
      </c>
      <c r="B8570" s="399" t="s">
        <v>12867</v>
      </c>
      <c r="C8570" s="5" t="s">
        <v>2059</v>
      </c>
      <c r="D8570" s="5" t="s">
        <v>13317</v>
      </c>
      <c r="E8570" s="43">
        <v>158700</v>
      </c>
      <c r="F8570" s="43"/>
      <c r="G8570" s="48">
        <f t="shared" si="216"/>
        <v>1335570.5215053763</v>
      </c>
      <c r="H8570" s="392" t="s">
        <v>9568</v>
      </c>
    </row>
    <row r="8571" spans="1:10" x14ac:dyDescent="0.3">
      <c r="A8571" s="45">
        <v>45325</v>
      </c>
      <c r="B8571" s="409" t="s">
        <v>12678</v>
      </c>
      <c r="C8571" s="61" t="s">
        <v>54</v>
      </c>
      <c r="D8571" s="61" t="s">
        <v>13318</v>
      </c>
      <c r="E8571" s="62">
        <v>649700</v>
      </c>
      <c r="F8571" s="43"/>
      <c r="G8571" s="48">
        <f t="shared" si="216"/>
        <v>685870.52150537632</v>
      </c>
      <c r="H8571" s="392" t="s">
        <v>9568</v>
      </c>
    </row>
    <row r="8572" spans="1:10" x14ac:dyDescent="0.3">
      <c r="A8572" s="45">
        <v>45325</v>
      </c>
      <c r="B8572" s="409" t="s">
        <v>12132</v>
      </c>
      <c r="C8572" s="61" t="s">
        <v>54</v>
      </c>
      <c r="D8572" s="61" t="s">
        <v>12815</v>
      </c>
      <c r="E8572" s="62">
        <v>169677.41935483873</v>
      </c>
      <c r="F8572" s="43"/>
      <c r="G8572" s="48">
        <f t="shared" si="216"/>
        <v>516193.1021505376</v>
      </c>
      <c r="H8572" s="392" t="s">
        <v>9568</v>
      </c>
    </row>
    <row r="8573" spans="1:10" x14ac:dyDescent="0.3">
      <c r="A8573" s="45">
        <v>45325</v>
      </c>
      <c r="B8573" s="409" t="s">
        <v>25</v>
      </c>
      <c r="C8573" s="61" t="s">
        <v>54</v>
      </c>
      <c r="D8573" s="61" t="s">
        <v>11399</v>
      </c>
      <c r="E8573" s="62">
        <v>260000</v>
      </c>
      <c r="F8573" s="43"/>
      <c r="G8573" s="48">
        <f t="shared" si="216"/>
        <v>256193.1021505376</v>
      </c>
      <c r="H8573" s="392" t="s">
        <v>9568</v>
      </c>
    </row>
    <row r="8574" spans="1:10" x14ac:dyDescent="0.3">
      <c r="A8574" s="45">
        <v>45325</v>
      </c>
      <c r="B8574" s="399" t="s">
        <v>13584</v>
      </c>
      <c r="C8574" s="61" t="s">
        <v>54</v>
      </c>
      <c r="D8574" s="61" t="s">
        <v>13319</v>
      </c>
      <c r="E8574" s="62">
        <f>24700+36500</f>
        <v>61200</v>
      </c>
      <c r="F8574" s="43"/>
      <c r="G8574" s="48">
        <f t="shared" si="216"/>
        <v>194993.1021505376</v>
      </c>
      <c r="H8574" s="392" t="s">
        <v>9568</v>
      </c>
      <c r="I8574" s="609" t="s">
        <v>12581</v>
      </c>
      <c r="J8574" s="187" t="e">
        <f>#REF!</f>
        <v>#REF!</v>
      </c>
    </row>
    <row r="8575" spans="1:10" x14ac:dyDescent="0.3">
      <c r="A8575" s="45">
        <v>45325</v>
      </c>
      <c r="B8575" s="409" t="s">
        <v>12189</v>
      </c>
      <c r="C8575" s="61" t="s">
        <v>54</v>
      </c>
      <c r="D8575" s="61" t="s">
        <v>12822</v>
      </c>
      <c r="E8575" s="62">
        <v>42700</v>
      </c>
      <c r="F8575" s="43"/>
      <c r="G8575" s="48">
        <f t="shared" si="216"/>
        <v>152293.1021505376</v>
      </c>
      <c r="H8575" s="392" t="s">
        <v>9568</v>
      </c>
      <c r="I8575" s="609" t="s">
        <v>55</v>
      </c>
      <c r="J8575" s="187">
        <f ca="1">SUMIF(C8571:E8630,"salary",E8571:E8630)</f>
        <v>2197844.2096774192</v>
      </c>
    </row>
    <row r="8576" spans="1:10" x14ac:dyDescent="0.3">
      <c r="A8576" s="45">
        <v>45325</v>
      </c>
      <c r="B8576" s="409" t="s">
        <v>12191</v>
      </c>
      <c r="C8576" s="61" t="s">
        <v>54</v>
      </c>
      <c r="D8576" s="61" t="s">
        <v>13320</v>
      </c>
      <c r="E8576" s="62">
        <v>36200</v>
      </c>
      <c r="F8576" s="43"/>
      <c r="G8576" s="48">
        <f t="shared" si="216"/>
        <v>116093.1021505376</v>
      </c>
      <c r="H8576" s="392" t="s">
        <v>9568</v>
      </c>
      <c r="I8576" s="609" t="s">
        <v>12294</v>
      </c>
      <c r="J8576" s="187" t="e">
        <f ca="1">J8574-J8575</f>
        <v>#REF!</v>
      </c>
    </row>
    <row r="8577" spans="1:12" x14ac:dyDescent="0.3">
      <c r="A8577" s="45">
        <v>45325</v>
      </c>
      <c r="B8577" s="399" t="s">
        <v>25</v>
      </c>
      <c r="C8577" s="5" t="s">
        <v>3205</v>
      </c>
      <c r="D8577" s="5" t="s">
        <v>13321</v>
      </c>
      <c r="E8577" s="43">
        <v>1000</v>
      </c>
      <c r="F8577" s="43"/>
      <c r="G8577" s="48">
        <f t="shared" si="216"/>
        <v>115093.1021505376</v>
      </c>
      <c r="H8577" s="392" t="s">
        <v>9568</v>
      </c>
      <c r="L8577" s="93">
        <f>E8581+E8580+E8576+E8575+E8574+E8573+E8572+E8571</f>
        <v>1298567.4193548388</v>
      </c>
    </row>
    <row r="8578" spans="1:12" x14ac:dyDescent="0.3">
      <c r="A8578" s="45">
        <v>45325</v>
      </c>
      <c r="B8578" s="399" t="s">
        <v>12132</v>
      </c>
      <c r="C8578" s="5" t="s">
        <v>26</v>
      </c>
      <c r="D8578" s="5" t="s">
        <v>13322</v>
      </c>
      <c r="E8578" s="43">
        <v>3000</v>
      </c>
      <c r="F8578" s="43"/>
      <c r="G8578" s="48">
        <f t="shared" si="216"/>
        <v>112093.1021505376</v>
      </c>
      <c r="H8578" s="392" t="s">
        <v>9568</v>
      </c>
    </row>
    <row r="8579" spans="1:12" x14ac:dyDescent="0.3">
      <c r="A8579" s="45">
        <v>45325</v>
      </c>
      <c r="B8579" s="399" t="s">
        <v>12097</v>
      </c>
      <c r="C8579" s="5" t="s">
        <v>9765</v>
      </c>
      <c r="D8579" s="5" t="s">
        <v>13341</v>
      </c>
      <c r="E8579" s="43">
        <v>5000</v>
      </c>
      <c r="F8579" s="43"/>
      <c r="G8579" s="48">
        <f t="shared" si="216"/>
        <v>107093.1021505376</v>
      </c>
      <c r="H8579" s="392" t="s">
        <v>9568</v>
      </c>
    </row>
    <row r="8580" spans="1:12" x14ac:dyDescent="0.3">
      <c r="A8580" s="45">
        <v>45328</v>
      </c>
      <c r="B8580" s="409" t="s">
        <v>12189</v>
      </c>
      <c r="C8580" s="61" t="s">
        <v>54</v>
      </c>
      <c r="D8580" s="61" t="s">
        <v>13324</v>
      </c>
      <c r="E8580" s="62">
        <v>44250</v>
      </c>
      <c r="F8580" s="43"/>
      <c r="G8580" s="48">
        <f t="shared" si="216"/>
        <v>62843.102150537597</v>
      </c>
      <c r="H8580" s="392" t="s">
        <v>9568</v>
      </c>
    </row>
    <row r="8581" spans="1:12" x14ac:dyDescent="0.3">
      <c r="A8581" s="45">
        <v>45328</v>
      </c>
      <c r="B8581" s="409" t="s">
        <v>12189</v>
      </c>
      <c r="C8581" s="61" t="s">
        <v>54</v>
      </c>
      <c r="D8581" s="61" t="s">
        <v>13325</v>
      </c>
      <c r="E8581" s="62">
        <v>34840</v>
      </c>
      <c r="F8581" s="43"/>
      <c r="G8581" s="48">
        <f t="shared" si="216"/>
        <v>28003.102150537597</v>
      </c>
      <c r="H8581" s="392" t="s">
        <v>9568</v>
      </c>
      <c r="L8581" s="93"/>
    </row>
    <row r="8582" spans="1:12" x14ac:dyDescent="0.3">
      <c r="A8582" s="45">
        <v>45328</v>
      </c>
      <c r="B8582" s="399" t="s">
        <v>12867</v>
      </c>
      <c r="C8582" s="5" t="s">
        <v>5793</v>
      </c>
      <c r="D8582" s="5" t="s">
        <v>13326</v>
      </c>
      <c r="E8582" s="43">
        <v>1500</v>
      </c>
      <c r="F8582" s="43"/>
      <c r="G8582" s="48">
        <f t="shared" si="216"/>
        <v>26503.102150537597</v>
      </c>
      <c r="H8582" s="392" t="s">
        <v>9568</v>
      </c>
    </row>
    <row r="8583" spans="1:12" x14ac:dyDescent="0.3">
      <c r="A8583" s="45">
        <v>45328</v>
      </c>
      <c r="B8583" s="399" t="s">
        <v>10333</v>
      </c>
      <c r="C8583" s="5" t="s">
        <v>5793</v>
      </c>
      <c r="D8583" s="5" t="s">
        <v>2263</v>
      </c>
      <c r="E8583" s="43">
        <v>2800</v>
      </c>
      <c r="F8583" s="43"/>
      <c r="G8583" s="48">
        <f t="shared" si="216"/>
        <v>23703.102150537597</v>
      </c>
      <c r="H8583" s="392" t="s">
        <v>9568</v>
      </c>
      <c r="I8583" s="52">
        <f>E8560+E8561+E8567+E8568+E8569+E8570</f>
        <v>751516</v>
      </c>
      <c r="J8583" s="52">
        <f ca="1">I8583+J8575</f>
        <v>2949360.2096774192</v>
      </c>
    </row>
    <row r="8584" spans="1:12" x14ac:dyDescent="0.3">
      <c r="A8584" s="45">
        <v>45328</v>
      </c>
      <c r="B8584" s="399" t="s">
        <v>25</v>
      </c>
      <c r="C8584" s="5" t="s">
        <v>25</v>
      </c>
      <c r="D8584" s="5" t="s">
        <v>7533</v>
      </c>
      <c r="E8584" s="43">
        <v>5000</v>
      </c>
      <c r="F8584" s="43"/>
      <c r="G8584" s="48">
        <f t="shared" si="216"/>
        <v>18703.102150537597</v>
      </c>
      <c r="H8584" s="392" t="s">
        <v>9568</v>
      </c>
    </row>
    <row r="8585" spans="1:12" x14ac:dyDescent="0.3">
      <c r="A8585" s="45">
        <v>45328</v>
      </c>
      <c r="B8585" s="399" t="s">
        <v>13342</v>
      </c>
      <c r="C8585" s="5" t="s">
        <v>9765</v>
      </c>
      <c r="D8585" s="5" t="s">
        <v>13343</v>
      </c>
      <c r="E8585" s="43">
        <v>5000</v>
      </c>
      <c r="F8585" s="43"/>
      <c r="G8585" s="48">
        <f t="shared" si="216"/>
        <v>13703.102150537597</v>
      </c>
      <c r="H8585" s="392" t="s">
        <v>9568</v>
      </c>
    </row>
    <row r="8586" spans="1:12" x14ac:dyDescent="0.3">
      <c r="A8586" s="45">
        <v>45328</v>
      </c>
      <c r="B8586" s="399" t="s">
        <v>25</v>
      </c>
      <c r="C8586" s="5" t="s">
        <v>64</v>
      </c>
      <c r="D8586" s="5" t="s">
        <v>40</v>
      </c>
      <c r="E8586" s="43">
        <v>1200</v>
      </c>
      <c r="F8586" s="43"/>
      <c r="G8586" s="48">
        <f t="shared" si="216"/>
        <v>12503.102150537597</v>
      </c>
      <c r="H8586" s="392" t="s">
        <v>9568</v>
      </c>
    </row>
    <row r="8587" spans="1:12" x14ac:dyDescent="0.3">
      <c r="A8587" s="45">
        <v>45328</v>
      </c>
      <c r="B8587" s="399"/>
      <c r="C8587" s="5" t="s">
        <v>14</v>
      </c>
      <c r="D8587" s="5" t="s">
        <v>294</v>
      </c>
      <c r="E8587" s="43">
        <v>10000</v>
      </c>
      <c r="F8587" s="43"/>
      <c r="G8587" s="48">
        <f t="shared" si="216"/>
        <v>2503.1021505375975</v>
      </c>
      <c r="H8587" s="392" t="s">
        <v>9568</v>
      </c>
    </row>
    <row r="8588" spans="1:12" x14ac:dyDescent="0.3">
      <c r="A8588" s="45">
        <v>45328</v>
      </c>
      <c r="B8588" s="399" t="s">
        <v>12867</v>
      </c>
      <c r="C8588" s="5" t="s">
        <v>5793</v>
      </c>
      <c r="D8588" s="5" t="s">
        <v>40</v>
      </c>
      <c r="E8588" s="43">
        <v>1700</v>
      </c>
      <c r="F8588" s="43"/>
      <c r="G8588" s="48">
        <f t="shared" si="216"/>
        <v>803.10215053759748</v>
      </c>
      <c r="H8588" s="392" t="s">
        <v>9568</v>
      </c>
    </row>
    <row r="8589" spans="1:12" x14ac:dyDescent="0.3">
      <c r="A8589" s="45">
        <v>45328</v>
      </c>
      <c r="B8589" s="586"/>
      <c r="C8589" s="486"/>
      <c r="D8589" s="497" t="s">
        <v>12333</v>
      </c>
      <c r="E8589" s="486"/>
      <c r="F8589" s="28">
        <v>1500000</v>
      </c>
      <c r="G8589" s="48">
        <f t="shared" si="216"/>
        <v>1500803.1021505375</v>
      </c>
      <c r="H8589" s="392" t="s">
        <v>9568</v>
      </c>
    </row>
    <row r="8590" spans="1:12" x14ac:dyDescent="0.3">
      <c r="A8590" s="45">
        <v>45328</v>
      </c>
      <c r="B8590" s="409" t="s">
        <v>12640</v>
      </c>
      <c r="C8590" s="61" t="s">
        <v>54</v>
      </c>
      <c r="D8590" s="61" t="s">
        <v>12587</v>
      </c>
      <c r="E8590" s="62">
        <v>45000</v>
      </c>
      <c r="F8590" s="43"/>
      <c r="G8590" s="48">
        <f t="shared" si="216"/>
        <v>1455803.1021505375</v>
      </c>
      <c r="H8590" s="392" t="s">
        <v>9568</v>
      </c>
    </row>
    <row r="8591" spans="1:12" x14ac:dyDescent="0.3">
      <c r="A8591" s="45">
        <v>45328</v>
      </c>
      <c r="B8591" s="409" t="s">
        <v>12867</v>
      </c>
      <c r="C8591" s="61" t="s">
        <v>54</v>
      </c>
      <c r="D8591" s="61" t="s">
        <v>6245</v>
      </c>
      <c r="E8591" s="62">
        <v>100500</v>
      </c>
      <c r="F8591" s="43"/>
      <c r="G8591" s="48">
        <f t="shared" si="216"/>
        <v>1355303.1021505375</v>
      </c>
      <c r="H8591" s="392" t="s">
        <v>9568</v>
      </c>
    </row>
    <row r="8592" spans="1:12" x14ac:dyDescent="0.3">
      <c r="A8592" s="45">
        <v>45329</v>
      </c>
      <c r="B8592" s="399" t="s">
        <v>12189</v>
      </c>
      <c r="C8592" s="5" t="s">
        <v>11194</v>
      </c>
      <c r="D8592" s="5" t="s">
        <v>13331</v>
      </c>
      <c r="E8592" s="43">
        <v>25500</v>
      </c>
      <c r="F8592" s="43"/>
      <c r="G8592" s="48">
        <f t="shared" si="216"/>
        <v>1329803.1021505375</v>
      </c>
      <c r="H8592" s="392" t="s">
        <v>9568</v>
      </c>
    </row>
    <row r="8593" spans="1:9" x14ac:dyDescent="0.3">
      <c r="A8593" s="45">
        <v>45329</v>
      </c>
      <c r="B8593" s="409" t="s">
        <v>12131</v>
      </c>
      <c r="C8593" s="61" t="s">
        <v>54</v>
      </c>
      <c r="D8593" s="61" t="s">
        <v>6253</v>
      </c>
      <c r="E8593" s="62">
        <v>137891.12903225806</v>
      </c>
      <c r="F8593" s="43"/>
      <c r="G8593" s="48">
        <f t="shared" si="216"/>
        <v>1191911.9731182796</v>
      </c>
      <c r="H8593" s="392" t="s">
        <v>9568</v>
      </c>
    </row>
    <row r="8594" spans="1:9" x14ac:dyDescent="0.3">
      <c r="A8594" s="45">
        <v>45329</v>
      </c>
      <c r="B8594" s="409" t="s">
        <v>12098</v>
      </c>
      <c r="C8594" s="61" t="s">
        <v>54</v>
      </c>
      <c r="D8594" s="61" t="s">
        <v>13332</v>
      </c>
      <c r="E8594" s="62">
        <v>128949.59677419355</v>
      </c>
      <c r="F8594" s="43"/>
      <c r="G8594" s="48">
        <f t="shared" si="216"/>
        <v>1062962.3763440861</v>
      </c>
      <c r="H8594" s="392" t="s">
        <v>9568</v>
      </c>
    </row>
    <row r="8595" spans="1:9" x14ac:dyDescent="0.3">
      <c r="A8595" s="45">
        <v>45329</v>
      </c>
      <c r="B8595" s="399" t="s">
        <v>13584</v>
      </c>
      <c r="C8595" s="61" t="s">
        <v>54</v>
      </c>
      <c r="D8595" s="61" t="s">
        <v>13333</v>
      </c>
      <c r="E8595" s="62">
        <f>166068+16600</f>
        <v>182668</v>
      </c>
      <c r="F8595" s="43"/>
      <c r="G8595" s="48">
        <f t="shared" si="216"/>
        <v>880294.37634408614</v>
      </c>
      <c r="H8595" s="392" t="s">
        <v>9568</v>
      </c>
    </row>
    <row r="8596" spans="1:9" x14ac:dyDescent="0.3">
      <c r="A8596" s="45">
        <v>45329</v>
      </c>
      <c r="B8596" s="409" t="s">
        <v>12640</v>
      </c>
      <c r="C8596" s="61" t="s">
        <v>54</v>
      </c>
      <c r="D8596" s="61" t="s">
        <v>13334</v>
      </c>
      <c r="E8596" s="62">
        <v>62250</v>
      </c>
      <c r="F8596" s="43"/>
      <c r="G8596" s="48">
        <f t="shared" si="216"/>
        <v>818044.37634408614</v>
      </c>
      <c r="H8596" s="392" t="s">
        <v>9568</v>
      </c>
      <c r="I8596" s="52">
        <f>72661+43407+50000</f>
        <v>166068</v>
      </c>
    </row>
    <row r="8597" spans="1:9" x14ac:dyDescent="0.3">
      <c r="A8597" s="45">
        <v>45329</v>
      </c>
      <c r="B8597" s="409" t="s">
        <v>12138</v>
      </c>
      <c r="C8597" s="61" t="s">
        <v>54</v>
      </c>
      <c r="D8597" s="61" t="s">
        <v>13125</v>
      </c>
      <c r="E8597" s="62">
        <v>60000</v>
      </c>
      <c r="F8597" s="43"/>
      <c r="G8597" s="48">
        <f t="shared" si="216"/>
        <v>758044.37634408614</v>
      </c>
      <c r="H8597" s="392" t="s">
        <v>9568</v>
      </c>
    </row>
    <row r="8598" spans="1:9" x14ac:dyDescent="0.3">
      <c r="A8598" s="45">
        <v>45329</v>
      </c>
      <c r="B8598" s="409" t="s">
        <v>12138</v>
      </c>
      <c r="C8598" s="61" t="s">
        <v>54</v>
      </c>
      <c r="D8598" s="61" t="s">
        <v>13335</v>
      </c>
      <c r="E8598" s="62">
        <v>38258.06451612903</v>
      </c>
      <c r="F8598" s="43"/>
      <c r="G8598" s="48">
        <f t="shared" si="216"/>
        <v>719786.31182795716</v>
      </c>
      <c r="H8598" s="392" t="s">
        <v>9568</v>
      </c>
    </row>
    <row r="8599" spans="1:9" x14ac:dyDescent="0.3">
      <c r="A8599" s="45">
        <v>45329</v>
      </c>
      <c r="B8599" s="409" t="s">
        <v>12867</v>
      </c>
      <c r="C8599" s="61" t="s">
        <v>54</v>
      </c>
      <c r="D8599" s="61" t="s">
        <v>12599</v>
      </c>
      <c r="E8599" s="62">
        <v>51900</v>
      </c>
      <c r="F8599" s="43"/>
      <c r="G8599" s="48">
        <f t="shared" si="216"/>
        <v>667886.31182795716</v>
      </c>
      <c r="H8599" s="392" t="s">
        <v>9568</v>
      </c>
    </row>
    <row r="8600" spans="1:9" x14ac:dyDescent="0.3">
      <c r="A8600" s="45">
        <v>45329</v>
      </c>
      <c r="B8600" s="409" t="s">
        <v>12189</v>
      </c>
      <c r="C8600" s="61" t="s">
        <v>54</v>
      </c>
      <c r="D8600" s="61" t="s">
        <v>12831</v>
      </c>
      <c r="E8600" s="62">
        <v>41010</v>
      </c>
      <c r="F8600" s="43"/>
      <c r="G8600" s="48">
        <f t="shared" si="216"/>
        <v>626876.31182795716</v>
      </c>
      <c r="H8600" s="392" t="s">
        <v>9568</v>
      </c>
    </row>
    <row r="8601" spans="1:9" x14ac:dyDescent="0.3">
      <c r="A8601" s="45">
        <v>45329</v>
      </c>
      <c r="B8601" s="409" t="s">
        <v>12098</v>
      </c>
      <c r="C8601" s="61" t="s">
        <v>54</v>
      </c>
      <c r="D8601" s="61" t="s">
        <v>13336</v>
      </c>
      <c r="E8601" s="62">
        <v>31000</v>
      </c>
      <c r="F8601" s="43"/>
      <c r="G8601" s="48">
        <f t="shared" si="216"/>
        <v>595876.31182795716</v>
      </c>
      <c r="H8601" s="392" t="s">
        <v>9568</v>
      </c>
    </row>
    <row r="8602" spans="1:9" x14ac:dyDescent="0.3">
      <c r="A8602" s="45">
        <v>45329</v>
      </c>
      <c r="B8602" s="518" t="s">
        <v>12189</v>
      </c>
      <c r="C8602" s="517" t="s">
        <v>11194</v>
      </c>
      <c r="D8602" s="517" t="s">
        <v>13337</v>
      </c>
      <c r="E8602" s="519">
        <v>1000</v>
      </c>
      <c r="F8602" s="43"/>
      <c r="G8602" s="48">
        <f t="shared" ref="G8602:G8611" si="217">G8601+F8602-E8602</f>
        <v>594876.31182795716</v>
      </c>
      <c r="H8602" s="392" t="s">
        <v>9568</v>
      </c>
    </row>
    <row r="8603" spans="1:9" x14ac:dyDescent="0.3">
      <c r="A8603" s="45">
        <v>45329</v>
      </c>
      <c r="B8603" s="399" t="s">
        <v>25</v>
      </c>
      <c r="C8603" s="5" t="s">
        <v>25</v>
      </c>
      <c r="D8603" s="5" t="s">
        <v>7533</v>
      </c>
      <c r="E8603" s="43">
        <v>2000</v>
      </c>
      <c r="F8603" s="43"/>
      <c r="G8603" s="48">
        <f t="shared" si="217"/>
        <v>592876.31182795716</v>
      </c>
      <c r="H8603" s="392" t="s">
        <v>9568</v>
      </c>
    </row>
    <row r="8604" spans="1:9" x14ac:dyDescent="0.3">
      <c r="A8604" s="45">
        <v>45329</v>
      </c>
      <c r="B8604" s="409" t="s">
        <v>12092</v>
      </c>
      <c r="C8604" s="61" t="s">
        <v>54</v>
      </c>
      <c r="D8604" s="61" t="s">
        <v>13048</v>
      </c>
      <c r="E8604" s="62">
        <v>17750</v>
      </c>
      <c r="F8604" s="43"/>
      <c r="G8604" s="48">
        <f t="shared" si="217"/>
        <v>575126.31182795716</v>
      </c>
      <c r="H8604" s="392" t="s">
        <v>9568</v>
      </c>
    </row>
    <row r="8605" spans="1:9" x14ac:dyDescent="0.3">
      <c r="A8605" s="45">
        <v>45329</v>
      </c>
      <c r="B8605" s="399" t="s">
        <v>12092</v>
      </c>
      <c r="C8605" s="5" t="s">
        <v>4055</v>
      </c>
      <c r="D8605" s="5" t="s">
        <v>294</v>
      </c>
      <c r="E8605" s="43">
        <v>35000</v>
      </c>
      <c r="F8605" s="43"/>
      <c r="G8605" s="48">
        <f t="shared" si="217"/>
        <v>540126.31182795716</v>
      </c>
      <c r="H8605" s="392" t="s">
        <v>9568</v>
      </c>
    </row>
    <row r="8606" spans="1:9" x14ac:dyDescent="0.3">
      <c r="A8606" s="45">
        <v>45329</v>
      </c>
      <c r="B8606" s="399" t="s">
        <v>12138</v>
      </c>
      <c r="C8606" s="5" t="s">
        <v>5793</v>
      </c>
      <c r="D8606" s="5" t="s">
        <v>40</v>
      </c>
      <c r="E8606" s="43">
        <v>2700</v>
      </c>
      <c r="F8606" s="43"/>
      <c r="G8606" s="48">
        <f t="shared" si="217"/>
        <v>537426.31182795716</v>
      </c>
      <c r="H8606" s="392" t="s">
        <v>9568</v>
      </c>
    </row>
    <row r="8607" spans="1:9" x14ac:dyDescent="0.3">
      <c r="A8607" s="45">
        <v>45331</v>
      </c>
      <c r="B8607" s="586"/>
      <c r="C8607" s="486"/>
      <c r="D8607" s="497" t="s">
        <v>4106</v>
      </c>
      <c r="E8607" s="486"/>
      <c r="F8607" s="28">
        <v>350000</v>
      </c>
      <c r="G8607" s="48">
        <f t="shared" si="217"/>
        <v>887426.31182795716</v>
      </c>
      <c r="H8607" s="392" t="s">
        <v>9568</v>
      </c>
    </row>
    <row r="8608" spans="1:9" x14ac:dyDescent="0.3">
      <c r="A8608" s="45">
        <v>45331</v>
      </c>
      <c r="B8608" s="399"/>
      <c r="C8608" s="5" t="s">
        <v>14</v>
      </c>
      <c r="D8608" s="5" t="s">
        <v>13344</v>
      </c>
      <c r="E8608" s="43">
        <v>102000</v>
      </c>
      <c r="F8608" s="43"/>
      <c r="G8608" s="48">
        <f t="shared" si="217"/>
        <v>785426.31182795716</v>
      </c>
      <c r="H8608" s="392" t="s">
        <v>9568</v>
      </c>
    </row>
    <row r="8609" spans="1:8" x14ac:dyDescent="0.3">
      <c r="A8609" s="45">
        <v>45331</v>
      </c>
      <c r="B8609" s="399"/>
      <c r="C8609" s="5" t="s">
        <v>14</v>
      </c>
      <c r="D8609" s="5" t="s">
        <v>13345</v>
      </c>
      <c r="E8609" s="43">
        <v>9031</v>
      </c>
      <c r="F8609" s="43"/>
      <c r="G8609" s="48">
        <f t="shared" si="217"/>
        <v>776395.31182795716</v>
      </c>
      <c r="H8609" s="392" t="s">
        <v>9568</v>
      </c>
    </row>
    <row r="8610" spans="1:8" x14ac:dyDescent="0.3">
      <c r="A8610" s="45">
        <v>45331</v>
      </c>
      <c r="B8610" s="399" t="s">
        <v>12640</v>
      </c>
      <c r="C8610" s="5" t="s">
        <v>12196</v>
      </c>
      <c r="D8610" s="5" t="s">
        <v>294</v>
      </c>
      <c r="E8610" s="43">
        <v>50000</v>
      </c>
      <c r="F8610" s="43"/>
      <c r="G8610" s="48">
        <f t="shared" si="217"/>
        <v>726395.31182795716</v>
      </c>
      <c r="H8610" s="392" t="s">
        <v>9568</v>
      </c>
    </row>
    <row r="8611" spans="1:8" x14ac:dyDescent="0.3">
      <c r="A8611" s="45">
        <v>45331</v>
      </c>
      <c r="B8611" s="518" t="s">
        <v>13285</v>
      </c>
      <c r="C8611" s="517" t="s">
        <v>11194</v>
      </c>
      <c r="D8611" s="517" t="s">
        <v>13347</v>
      </c>
      <c r="E8611" s="519">
        <v>3000</v>
      </c>
      <c r="F8611" s="43"/>
      <c r="G8611" s="48">
        <f t="shared" si="217"/>
        <v>723395.31182795716</v>
      </c>
      <c r="H8611" s="392" t="s">
        <v>9568</v>
      </c>
    </row>
    <row r="8612" spans="1:8" x14ac:dyDescent="0.3">
      <c r="A8612" s="45">
        <v>45331</v>
      </c>
      <c r="B8612" s="399" t="s">
        <v>25</v>
      </c>
      <c r="C8612" s="5" t="s">
        <v>25</v>
      </c>
      <c r="D8612" s="5" t="s">
        <v>7533</v>
      </c>
      <c r="E8612" s="43">
        <v>3000</v>
      </c>
      <c r="F8612" s="43"/>
      <c r="G8612" s="48">
        <f t="shared" ref="G8612:G8678" si="218">G8611+F8612-E8612</f>
        <v>720395.31182795716</v>
      </c>
      <c r="H8612" s="392" t="s">
        <v>9568</v>
      </c>
    </row>
    <row r="8613" spans="1:8" x14ac:dyDescent="0.3">
      <c r="A8613" s="45">
        <v>45331</v>
      </c>
      <c r="B8613" s="399" t="s">
        <v>12189</v>
      </c>
      <c r="C8613" s="5" t="s">
        <v>5793</v>
      </c>
      <c r="D8613" s="5" t="s">
        <v>40</v>
      </c>
      <c r="E8613" s="43">
        <v>2000</v>
      </c>
      <c r="F8613" s="43"/>
      <c r="G8613" s="48">
        <f t="shared" si="218"/>
        <v>718395.31182795716</v>
      </c>
      <c r="H8613" s="392" t="s">
        <v>9568</v>
      </c>
    </row>
    <row r="8614" spans="1:8" x14ac:dyDescent="0.3">
      <c r="A8614" s="45">
        <v>45331</v>
      </c>
      <c r="B8614" s="399" t="s">
        <v>12093</v>
      </c>
      <c r="C8614" s="5" t="s">
        <v>5288</v>
      </c>
      <c r="D8614" s="5" t="s">
        <v>294</v>
      </c>
      <c r="E8614" s="43">
        <v>50000</v>
      </c>
      <c r="F8614" s="43"/>
      <c r="G8614" s="48">
        <f t="shared" si="218"/>
        <v>668395.31182795716</v>
      </c>
      <c r="H8614" s="392" t="s">
        <v>9568</v>
      </c>
    </row>
    <row r="8615" spans="1:8" x14ac:dyDescent="0.3">
      <c r="A8615" s="45">
        <v>45331</v>
      </c>
      <c r="B8615" s="399" t="s">
        <v>12089</v>
      </c>
      <c r="C8615" s="5" t="s">
        <v>5288</v>
      </c>
      <c r="D8615" s="5" t="s">
        <v>294</v>
      </c>
      <c r="E8615" s="43">
        <v>25000</v>
      </c>
      <c r="F8615" s="43"/>
      <c r="G8615" s="48">
        <f t="shared" si="218"/>
        <v>643395.31182795716</v>
      </c>
      <c r="H8615" s="392" t="s">
        <v>9568</v>
      </c>
    </row>
    <row r="8616" spans="1:8" x14ac:dyDescent="0.3">
      <c r="A8616" s="45">
        <v>45332</v>
      </c>
      <c r="B8616" s="399" t="s">
        <v>13584</v>
      </c>
      <c r="C8616" s="5" t="s">
        <v>12628</v>
      </c>
      <c r="D8616" s="5" t="s">
        <v>13349</v>
      </c>
      <c r="E8616" s="43">
        <v>12000</v>
      </c>
      <c r="F8616" s="43"/>
      <c r="G8616" s="48">
        <f t="shared" si="218"/>
        <v>631395.31182795716</v>
      </c>
      <c r="H8616" s="392" t="s">
        <v>9568</v>
      </c>
    </row>
    <row r="8617" spans="1:8" x14ac:dyDescent="0.3">
      <c r="A8617" s="45">
        <v>45332</v>
      </c>
      <c r="B8617" s="399"/>
      <c r="C8617" s="5" t="s">
        <v>5162</v>
      </c>
      <c r="D8617" s="5" t="s">
        <v>13350</v>
      </c>
      <c r="E8617" s="43">
        <v>2000</v>
      </c>
      <c r="F8617" s="43"/>
      <c r="G8617" s="48">
        <f t="shared" si="218"/>
        <v>629395.31182795716</v>
      </c>
      <c r="H8617" s="392" t="s">
        <v>9568</v>
      </c>
    </row>
    <row r="8618" spans="1:8" x14ac:dyDescent="0.3">
      <c r="A8618" s="45">
        <v>45332</v>
      </c>
      <c r="B8618" s="399" t="s">
        <v>12189</v>
      </c>
      <c r="C8618" s="5" t="s">
        <v>5793</v>
      </c>
      <c r="D8618" s="5" t="s">
        <v>13351</v>
      </c>
      <c r="E8618" s="43">
        <v>3500</v>
      </c>
      <c r="F8618" s="43"/>
      <c r="G8618" s="48">
        <f t="shared" si="218"/>
        <v>625895.31182795716</v>
      </c>
      <c r="H8618" s="392" t="s">
        <v>9568</v>
      </c>
    </row>
    <row r="8619" spans="1:8" x14ac:dyDescent="0.3">
      <c r="A8619" s="45">
        <v>45332</v>
      </c>
      <c r="B8619" s="399" t="s">
        <v>13352</v>
      </c>
      <c r="C8619" s="5" t="s">
        <v>5793</v>
      </c>
      <c r="D8619" s="5" t="s">
        <v>13353</v>
      </c>
      <c r="E8619" s="43">
        <v>2200</v>
      </c>
      <c r="F8619" s="43"/>
      <c r="G8619" s="48">
        <f t="shared" si="218"/>
        <v>623695.31182795716</v>
      </c>
      <c r="H8619" s="392" t="s">
        <v>9568</v>
      </c>
    </row>
    <row r="8620" spans="1:8" x14ac:dyDescent="0.3">
      <c r="A8620" s="45">
        <v>45332</v>
      </c>
      <c r="B8620" s="399"/>
      <c r="C8620" s="5" t="s">
        <v>6430</v>
      </c>
      <c r="D8620" s="5" t="s">
        <v>13357</v>
      </c>
      <c r="E8620" s="43">
        <v>6000</v>
      </c>
      <c r="F8620" s="43"/>
      <c r="G8620" s="48">
        <f t="shared" si="218"/>
        <v>617695.31182795716</v>
      </c>
      <c r="H8620" s="392" t="s">
        <v>9568</v>
      </c>
    </row>
    <row r="8621" spans="1:8" x14ac:dyDescent="0.3">
      <c r="A8621" s="45">
        <v>45332</v>
      </c>
      <c r="B8621" s="399" t="s">
        <v>12867</v>
      </c>
      <c r="C8621" s="5" t="s">
        <v>12628</v>
      </c>
      <c r="D8621" s="5" t="s">
        <v>13358</v>
      </c>
      <c r="E8621" s="43">
        <v>85000</v>
      </c>
      <c r="F8621" s="43"/>
      <c r="G8621" s="48">
        <f t="shared" si="218"/>
        <v>532695.31182795716</v>
      </c>
      <c r="H8621" s="392" t="s">
        <v>9568</v>
      </c>
    </row>
    <row r="8622" spans="1:8" x14ac:dyDescent="0.3">
      <c r="A8622" s="45">
        <v>45332</v>
      </c>
      <c r="B8622" s="399" t="s">
        <v>10333</v>
      </c>
      <c r="C8622" s="5" t="s">
        <v>7737</v>
      </c>
      <c r="D8622" s="5" t="s">
        <v>13359</v>
      </c>
      <c r="E8622" s="43">
        <v>24000</v>
      </c>
      <c r="F8622" s="43"/>
      <c r="G8622" s="48">
        <f t="shared" si="218"/>
        <v>508695.31182795716</v>
      </c>
      <c r="H8622" s="392" t="s">
        <v>9568</v>
      </c>
    </row>
    <row r="8623" spans="1:8" x14ac:dyDescent="0.3">
      <c r="A8623" s="45">
        <v>45332</v>
      </c>
      <c r="B8623" s="399" t="s">
        <v>13584</v>
      </c>
      <c r="C8623" s="5" t="s">
        <v>5793</v>
      </c>
      <c r="D8623" s="5" t="s">
        <v>40</v>
      </c>
      <c r="E8623" s="43">
        <v>3000</v>
      </c>
      <c r="F8623" s="43"/>
      <c r="G8623" s="48">
        <f t="shared" si="218"/>
        <v>505695.31182795716</v>
      </c>
      <c r="H8623" s="392" t="s">
        <v>9568</v>
      </c>
    </row>
    <row r="8624" spans="1:8" x14ac:dyDescent="0.3">
      <c r="A8624" s="45">
        <v>45332</v>
      </c>
      <c r="B8624" s="399" t="s">
        <v>12867</v>
      </c>
      <c r="C8624" s="5" t="s">
        <v>5793</v>
      </c>
      <c r="D8624" s="5" t="s">
        <v>40</v>
      </c>
      <c r="E8624" s="43">
        <v>600</v>
      </c>
      <c r="F8624" s="43"/>
      <c r="G8624" s="48">
        <f t="shared" si="218"/>
        <v>505095.31182795716</v>
      </c>
      <c r="H8624" s="392" t="s">
        <v>9568</v>
      </c>
    </row>
    <row r="8625" spans="1:14" x14ac:dyDescent="0.3">
      <c r="A8625" s="45">
        <v>45332</v>
      </c>
      <c r="B8625" s="399" t="s">
        <v>12097</v>
      </c>
      <c r="C8625" s="5" t="s">
        <v>9765</v>
      </c>
      <c r="D8625" s="5" t="s">
        <v>13360</v>
      </c>
      <c r="E8625" s="43">
        <v>5000</v>
      </c>
      <c r="F8625" s="43"/>
      <c r="G8625" s="48">
        <f t="shared" si="218"/>
        <v>500095.31182795716</v>
      </c>
      <c r="H8625" s="392" t="s">
        <v>9568</v>
      </c>
    </row>
    <row r="8626" spans="1:14" x14ac:dyDescent="0.3">
      <c r="A8626" s="45">
        <v>45332</v>
      </c>
      <c r="B8626" s="399" t="s">
        <v>12867</v>
      </c>
      <c r="C8626" s="5" t="s">
        <v>11194</v>
      </c>
      <c r="D8626" s="5" t="s">
        <v>13361</v>
      </c>
      <c r="E8626" s="43">
        <v>7500</v>
      </c>
      <c r="F8626" s="43"/>
      <c r="G8626" s="48">
        <f t="shared" si="218"/>
        <v>492595.31182795716</v>
      </c>
      <c r="H8626" s="392" t="s">
        <v>9568</v>
      </c>
    </row>
    <row r="8627" spans="1:14" x14ac:dyDescent="0.3">
      <c r="A8627" s="45">
        <v>45332</v>
      </c>
      <c r="B8627" s="399" t="s">
        <v>12131</v>
      </c>
      <c r="C8627" s="5" t="s">
        <v>54</v>
      </c>
      <c r="D8627" s="5" t="s">
        <v>13362</v>
      </c>
      <c r="E8627" s="43">
        <v>2100</v>
      </c>
      <c r="F8627" s="43"/>
      <c r="G8627" s="48">
        <f t="shared" si="218"/>
        <v>490495.31182795716</v>
      </c>
      <c r="H8627" s="392" t="s">
        <v>9568</v>
      </c>
    </row>
    <row r="8628" spans="1:14" x14ac:dyDescent="0.3">
      <c r="A8628" s="45">
        <v>45332</v>
      </c>
      <c r="B8628" s="399"/>
      <c r="C8628" s="5" t="s">
        <v>18</v>
      </c>
      <c r="D8628" s="5" t="s">
        <v>294</v>
      </c>
      <c r="E8628" s="43">
        <v>5000</v>
      </c>
      <c r="F8628" s="43"/>
      <c r="G8628" s="48">
        <f t="shared" si="218"/>
        <v>485495.31182795716</v>
      </c>
      <c r="H8628" s="392" t="s">
        <v>9568</v>
      </c>
    </row>
    <row r="8629" spans="1:14" x14ac:dyDescent="0.3">
      <c r="A8629" s="45">
        <v>45332</v>
      </c>
      <c r="B8629" s="399" t="s">
        <v>12867</v>
      </c>
      <c r="C8629" s="5" t="s">
        <v>5793</v>
      </c>
      <c r="D8629" s="5" t="s">
        <v>40</v>
      </c>
      <c r="E8629" s="43">
        <v>450</v>
      </c>
      <c r="F8629" s="43"/>
      <c r="G8629" s="48">
        <f t="shared" si="218"/>
        <v>485045.31182795716</v>
      </c>
      <c r="H8629" s="392" t="s">
        <v>9568</v>
      </c>
    </row>
    <row r="8630" spans="1:14" x14ac:dyDescent="0.3">
      <c r="A8630" s="45">
        <v>45332</v>
      </c>
      <c r="B8630" s="399" t="s">
        <v>13363</v>
      </c>
      <c r="C8630" s="5" t="s">
        <v>13364</v>
      </c>
      <c r="D8630" s="5" t="s">
        <v>13365</v>
      </c>
      <c r="E8630" s="43">
        <v>20900</v>
      </c>
      <c r="F8630" s="43"/>
      <c r="G8630" s="48">
        <f t="shared" si="218"/>
        <v>464145.31182795716</v>
      </c>
      <c r="H8630" s="392" t="s">
        <v>9568</v>
      </c>
    </row>
    <row r="8631" spans="1:14" x14ac:dyDescent="0.3">
      <c r="A8631" s="45">
        <v>45332</v>
      </c>
      <c r="B8631" s="399" t="s">
        <v>12867</v>
      </c>
      <c r="C8631" s="5" t="s">
        <v>5793</v>
      </c>
      <c r="D8631" s="5" t="s">
        <v>40</v>
      </c>
      <c r="E8631" s="43">
        <v>600</v>
      </c>
      <c r="F8631" s="43"/>
      <c r="G8631" s="48">
        <f t="shared" si="218"/>
        <v>463545.31182795716</v>
      </c>
      <c r="H8631" s="392" t="s">
        <v>9568</v>
      </c>
    </row>
    <row r="8632" spans="1:14" x14ac:dyDescent="0.3">
      <c r="A8632" s="45">
        <v>45332</v>
      </c>
      <c r="B8632" s="399" t="s">
        <v>12138</v>
      </c>
      <c r="C8632" s="5" t="s">
        <v>5793</v>
      </c>
      <c r="D8632" s="5" t="s">
        <v>40</v>
      </c>
      <c r="E8632" s="43">
        <v>2000</v>
      </c>
      <c r="F8632" s="43"/>
      <c r="G8632" s="48">
        <f t="shared" si="218"/>
        <v>461545.31182795716</v>
      </c>
      <c r="H8632" s="392" t="s">
        <v>9568</v>
      </c>
    </row>
    <row r="8633" spans="1:14" x14ac:dyDescent="0.3">
      <c r="A8633" s="45">
        <v>45333</v>
      </c>
      <c r="B8633" s="399" t="s">
        <v>5958</v>
      </c>
      <c r="C8633" s="5" t="s">
        <v>57</v>
      </c>
      <c r="D8633" s="5" t="s">
        <v>13378</v>
      </c>
      <c r="E8633" s="43">
        <v>5000</v>
      </c>
      <c r="F8633" s="43"/>
      <c r="G8633" s="48">
        <f t="shared" si="218"/>
        <v>456545.31182795716</v>
      </c>
      <c r="H8633" s="392" t="s">
        <v>9568</v>
      </c>
    </row>
    <row r="8634" spans="1:14" x14ac:dyDescent="0.3">
      <c r="A8634" s="45">
        <v>45333</v>
      </c>
      <c r="B8634" s="399" t="s">
        <v>13380</v>
      </c>
      <c r="C8634" s="5" t="s">
        <v>10709</v>
      </c>
      <c r="D8634" s="5" t="s">
        <v>13379</v>
      </c>
      <c r="E8634" s="43">
        <v>1000</v>
      </c>
      <c r="F8634" s="43"/>
      <c r="G8634" s="48">
        <f t="shared" si="218"/>
        <v>455545.31182795716</v>
      </c>
      <c r="H8634" s="392" t="s">
        <v>9568</v>
      </c>
    </row>
    <row r="8635" spans="1:14" x14ac:dyDescent="0.3">
      <c r="A8635" s="45">
        <v>45333</v>
      </c>
      <c r="B8635" s="399"/>
      <c r="C8635" s="5" t="s">
        <v>5793</v>
      </c>
      <c r="D8635" s="5" t="s">
        <v>13381</v>
      </c>
      <c r="E8635" s="43">
        <v>1200</v>
      </c>
      <c r="F8635" s="43"/>
      <c r="G8635" s="48">
        <f t="shared" si="218"/>
        <v>454345.31182795716</v>
      </c>
      <c r="H8635" s="392" t="s">
        <v>9568</v>
      </c>
    </row>
    <row r="8636" spans="1:14" x14ac:dyDescent="0.3">
      <c r="A8636" s="45">
        <v>45334</v>
      </c>
      <c r="B8636" s="399" t="s">
        <v>25</v>
      </c>
      <c r="C8636" s="5" t="s">
        <v>25</v>
      </c>
      <c r="D8636" s="5" t="s">
        <v>7533</v>
      </c>
      <c r="E8636" s="43">
        <v>3000</v>
      </c>
      <c r="F8636" s="43"/>
      <c r="G8636" s="48">
        <f t="shared" si="218"/>
        <v>451345.31182795716</v>
      </c>
      <c r="H8636" s="392" t="s">
        <v>9568</v>
      </c>
      <c r="J8636" s="52">
        <v>9220</v>
      </c>
    </row>
    <row r="8637" spans="1:14" x14ac:dyDescent="0.3">
      <c r="A8637" s="45">
        <v>45334</v>
      </c>
      <c r="B8637" s="399" t="s">
        <v>12138</v>
      </c>
      <c r="C8637" s="5" t="s">
        <v>5793</v>
      </c>
      <c r="D8637" s="5" t="s">
        <v>40</v>
      </c>
      <c r="E8637" s="43">
        <v>2000</v>
      </c>
      <c r="F8637" s="43"/>
      <c r="G8637" s="48">
        <f t="shared" si="218"/>
        <v>449345.31182795716</v>
      </c>
      <c r="H8637" s="392" t="s">
        <v>9568</v>
      </c>
      <c r="J8637" s="52">
        <f>J8636*8%</f>
        <v>737.6</v>
      </c>
    </row>
    <row r="8638" spans="1:14" x14ac:dyDescent="0.3">
      <c r="A8638" s="45">
        <v>45334</v>
      </c>
      <c r="B8638" s="399" t="s">
        <v>12138</v>
      </c>
      <c r="C8638" s="5" t="s">
        <v>5793</v>
      </c>
      <c r="D8638" s="5" t="s">
        <v>40</v>
      </c>
      <c r="E8638" s="43">
        <v>500</v>
      </c>
      <c r="F8638" s="43"/>
      <c r="G8638" s="48">
        <f t="shared" si="218"/>
        <v>448845.31182795716</v>
      </c>
      <c r="H8638" s="392" t="s">
        <v>9568</v>
      </c>
      <c r="J8638" s="52">
        <f>J8636-J8637</f>
        <v>8482.4</v>
      </c>
    </row>
    <row r="8639" spans="1:14" s="390" customFormat="1" ht="37.5" x14ac:dyDescent="0.25">
      <c r="A8639" s="45">
        <v>45334</v>
      </c>
      <c r="B8639" s="322" t="s">
        <v>12097</v>
      </c>
      <c r="C8639" s="44" t="s">
        <v>11194</v>
      </c>
      <c r="D8639" s="124" t="s">
        <v>13383</v>
      </c>
      <c r="E8639" s="28">
        <v>35000</v>
      </c>
      <c r="F8639" s="28"/>
      <c r="G8639" s="48">
        <f t="shared" si="218"/>
        <v>413845.31182795716</v>
      </c>
      <c r="H8639" s="553" t="s">
        <v>9568</v>
      </c>
      <c r="I8639" s="155"/>
      <c r="J8639" s="155"/>
      <c r="K8639" s="155"/>
      <c r="N8639" s="155"/>
    </row>
    <row r="8640" spans="1:14" x14ac:dyDescent="0.3">
      <c r="A8640" s="45">
        <v>45334</v>
      </c>
      <c r="B8640" s="399" t="s">
        <v>13584</v>
      </c>
      <c r="C8640" s="5" t="s">
        <v>5793</v>
      </c>
      <c r="D8640" s="5" t="s">
        <v>13384</v>
      </c>
      <c r="E8640" s="43">
        <v>500</v>
      </c>
      <c r="F8640" s="43"/>
      <c r="G8640" s="48">
        <f t="shared" si="218"/>
        <v>413345.31182795716</v>
      </c>
      <c r="H8640" s="392" t="s">
        <v>9568</v>
      </c>
    </row>
    <row r="8641" spans="1:10" x14ac:dyDescent="0.3">
      <c r="A8641" s="45">
        <v>45334</v>
      </c>
      <c r="B8641" s="399" t="s">
        <v>12089</v>
      </c>
      <c r="C8641" s="5" t="s">
        <v>11194</v>
      </c>
      <c r="D8641" s="5" t="s">
        <v>13390</v>
      </c>
      <c r="E8641" s="43">
        <v>5000</v>
      </c>
      <c r="F8641" s="43"/>
      <c r="G8641" s="48">
        <f t="shared" si="218"/>
        <v>408345.31182795716</v>
      </c>
      <c r="H8641" s="392" t="s">
        <v>9568</v>
      </c>
      <c r="J8641" s="52">
        <v>300</v>
      </c>
    </row>
    <row r="8642" spans="1:10" x14ac:dyDescent="0.3">
      <c r="A8642" s="45">
        <v>45334</v>
      </c>
      <c r="B8642" s="399" t="s">
        <v>12089</v>
      </c>
      <c r="C8642" s="5" t="s">
        <v>84</v>
      </c>
      <c r="D8642" s="5" t="s">
        <v>13385</v>
      </c>
      <c r="E8642" s="43">
        <v>3000</v>
      </c>
      <c r="F8642" s="43"/>
      <c r="G8642" s="48">
        <f t="shared" si="218"/>
        <v>405345.31182795716</v>
      </c>
      <c r="H8642" s="392" t="s">
        <v>9568</v>
      </c>
      <c r="J8642" s="52">
        <v>300</v>
      </c>
    </row>
    <row r="8643" spans="1:10" x14ac:dyDescent="0.3">
      <c r="A8643" s="45">
        <v>45334</v>
      </c>
      <c r="B8643" s="399" t="s">
        <v>12089</v>
      </c>
      <c r="C8643" s="5" t="s">
        <v>26</v>
      </c>
      <c r="D8643" s="5" t="s">
        <v>13386</v>
      </c>
      <c r="E8643" s="43">
        <v>1500</v>
      </c>
      <c r="F8643" s="43"/>
      <c r="G8643" s="48">
        <f t="shared" si="218"/>
        <v>403845.31182795716</v>
      </c>
      <c r="H8643" s="392" t="s">
        <v>9568</v>
      </c>
      <c r="J8643" s="52">
        <v>250</v>
      </c>
    </row>
    <row r="8644" spans="1:10" x14ac:dyDescent="0.3">
      <c r="A8644" s="45">
        <v>45334</v>
      </c>
      <c r="B8644" s="399" t="s">
        <v>12189</v>
      </c>
      <c r="C8644" s="5" t="s">
        <v>13387</v>
      </c>
      <c r="D8644" s="5" t="s">
        <v>13388</v>
      </c>
      <c r="E8644" s="43">
        <v>20000</v>
      </c>
      <c r="F8644" s="43"/>
      <c r="G8644" s="48">
        <f t="shared" si="218"/>
        <v>383845.31182795716</v>
      </c>
      <c r="H8644" s="392" t="s">
        <v>9568</v>
      </c>
      <c r="J8644" s="52">
        <v>500</v>
      </c>
    </row>
    <row r="8645" spans="1:10" x14ac:dyDescent="0.3">
      <c r="A8645" s="45">
        <v>45334</v>
      </c>
      <c r="B8645" s="399" t="s">
        <v>13389</v>
      </c>
      <c r="C8645" s="5" t="s">
        <v>5793</v>
      </c>
      <c r="D8645" s="5" t="s">
        <v>40</v>
      </c>
      <c r="E8645" s="43">
        <v>200</v>
      </c>
      <c r="F8645" s="43"/>
      <c r="G8645" s="48">
        <f t="shared" si="218"/>
        <v>383645.31182795716</v>
      </c>
      <c r="H8645" s="392" t="s">
        <v>9568</v>
      </c>
      <c r="J8645" s="52">
        <v>300</v>
      </c>
    </row>
    <row r="8646" spans="1:10" x14ac:dyDescent="0.3">
      <c r="A8646" s="45">
        <v>45334</v>
      </c>
      <c r="B8646" s="399" t="s">
        <v>12867</v>
      </c>
      <c r="C8646" s="5" t="s">
        <v>5793</v>
      </c>
      <c r="D8646" s="5" t="s">
        <v>40</v>
      </c>
      <c r="E8646" s="43">
        <v>1350</v>
      </c>
      <c r="F8646" s="43"/>
      <c r="G8646" s="48">
        <f t="shared" si="218"/>
        <v>382295.31182795716</v>
      </c>
      <c r="H8646" s="392" t="s">
        <v>9568</v>
      </c>
      <c r="J8646" s="52">
        <v>4000</v>
      </c>
    </row>
    <row r="8647" spans="1:10" x14ac:dyDescent="0.3">
      <c r="A8647" s="45">
        <v>45334</v>
      </c>
      <c r="B8647" s="399" t="s">
        <v>25</v>
      </c>
      <c r="C8647" s="5" t="s">
        <v>13392</v>
      </c>
      <c r="D8647" s="5" t="s">
        <v>40</v>
      </c>
      <c r="E8647" s="43">
        <v>6300</v>
      </c>
      <c r="F8647" s="43"/>
      <c r="G8647" s="48">
        <f t="shared" si="218"/>
        <v>375995.31182795716</v>
      </c>
      <c r="H8647" s="392" t="s">
        <v>9568</v>
      </c>
      <c r="J8647" s="52">
        <f>SUM(J8641:J8646)</f>
        <v>5650</v>
      </c>
    </row>
    <row r="8648" spans="1:10" x14ac:dyDescent="0.3">
      <c r="A8648" s="45">
        <v>45334</v>
      </c>
      <c r="B8648" s="399" t="s">
        <v>25</v>
      </c>
      <c r="C8648" s="5" t="s">
        <v>25</v>
      </c>
      <c r="D8648" s="5" t="s">
        <v>13395</v>
      </c>
      <c r="E8648" s="43">
        <v>2000</v>
      </c>
      <c r="F8648" s="43"/>
      <c r="G8648" s="48">
        <f t="shared" si="218"/>
        <v>373995.31182795716</v>
      </c>
      <c r="H8648" s="392" t="s">
        <v>9568</v>
      </c>
      <c r="J8648" s="52">
        <v>2000</v>
      </c>
    </row>
    <row r="8649" spans="1:10" x14ac:dyDescent="0.3">
      <c r="A8649" s="45">
        <v>45334</v>
      </c>
      <c r="B8649" s="399" t="s">
        <v>25</v>
      </c>
      <c r="C8649" s="5" t="s">
        <v>13382</v>
      </c>
      <c r="D8649" s="5" t="s">
        <v>13393</v>
      </c>
      <c r="E8649" s="43">
        <v>12840</v>
      </c>
      <c r="F8649" s="43"/>
      <c r="G8649" s="48">
        <f t="shared" si="218"/>
        <v>361155.31182795716</v>
      </c>
      <c r="H8649" s="392" t="s">
        <v>9568</v>
      </c>
      <c r="J8649" s="52">
        <v>2460</v>
      </c>
    </row>
    <row r="8650" spans="1:10" x14ac:dyDescent="0.3">
      <c r="A8650" s="45">
        <v>45335</v>
      </c>
      <c r="B8650" s="399" t="s">
        <v>12640</v>
      </c>
      <c r="C8650" s="5" t="s">
        <v>5793</v>
      </c>
      <c r="D8650" s="5" t="s">
        <v>13394</v>
      </c>
      <c r="E8650" s="43">
        <v>300</v>
      </c>
      <c r="F8650" s="43"/>
      <c r="G8650" s="48">
        <f t="shared" si="218"/>
        <v>360855.31182795716</v>
      </c>
      <c r="H8650" s="392" t="s">
        <v>9568</v>
      </c>
      <c r="J8650" s="52">
        <v>10380</v>
      </c>
    </row>
    <row r="8651" spans="1:10" x14ac:dyDescent="0.3">
      <c r="A8651" s="45">
        <v>45335</v>
      </c>
      <c r="B8651" s="399" t="s">
        <v>25</v>
      </c>
      <c r="C8651" s="5" t="s">
        <v>25</v>
      </c>
      <c r="D8651" s="5" t="s">
        <v>13396</v>
      </c>
      <c r="E8651" s="43">
        <v>4370</v>
      </c>
      <c r="F8651" s="43"/>
      <c r="G8651" s="48">
        <f t="shared" si="218"/>
        <v>356485.31182795716</v>
      </c>
      <c r="H8651" s="392" t="s">
        <v>9568</v>
      </c>
      <c r="J8651" s="52">
        <f>J8650+J8649+J8648+J8647</f>
        <v>20490</v>
      </c>
    </row>
    <row r="8652" spans="1:10" x14ac:dyDescent="0.3">
      <c r="A8652" s="45">
        <v>45335</v>
      </c>
      <c r="B8652" s="399" t="s">
        <v>25</v>
      </c>
      <c r="C8652" s="5" t="s">
        <v>25</v>
      </c>
      <c r="D8652" s="5" t="s">
        <v>13395</v>
      </c>
      <c r="E8652" s="43">
        <v>4660</v>
      </c>
      <c r="F8652" s="43"/>
      <c r="G8652" s="48">
        <f t="shared" si="218"/>
        <v>351825.31182795716</v>
      </c>
      <c r="H8652" s="392" t="s">
        <v>9568</v>
      </c>
    </row>
    <row r="8653" spans="1:10" x14ac:dyDescent="0.3">
      <c r="A8653" s="45">
        <v>45335</v>
      </c>
      <c r="B8653" s="399" t="s">
        <v>25</v>
      </c>
      <c r="C8653" s="5" t="s">
        <v>4504</v>
      </c>
      <c r="D8653" s="5" t="s">
        <v>13397</v>
      </c>
      <c r="E8653" s="43">
        <v>7500</v>
      </c>
      <c r="F8653" s="43"/>
      <c r="G8653" s="48">
        <f t="shared" si="218"/>
        <v>344325.31182795716</v>
      </c>
      <c r="H8653" s="392" t="s">
        <v>9568</v>
      </c>
    </row>
    <row r="8654" spans="1:10" x14ac:dyDescent="0.3">
      <c r="A8654" s="45">
        <v>45335</v>
      </c>
      <c r="B8654" s="399" t="s">
        <v>25</v>
      </c>
      <c r="C8654" s="5" t="s">
        <v>25</v>
      </c>
      <c r="D8654" s="5" t="s">
        <v>7533</v>
      </c>
      <c r="E8654" s="43">
        <v>3000</v>
      </c>
      <c r="F8654" s="43"/>
      <c r="G8654" s="48">
        <f t="shared" si="218"/>
        <v>341325.31182795716</v>
      </c>
      <c r="H8654" s="392" t="s">
        <v>9568</v>
      </c>
    </row>
    <row r="8655" spans="1:10" x14ac:dyDescent="0.3">
      <c r="A8655" s="45">
        <v>45335</v>
      </c>
      <c r="B8655" s="399"/>
      <c r="C8655" s="5" t="s">
        <v>84</v>
      </c>
      <c r="D8655" s="5" t="s">
        <v>13398</v>
      </c>
      <c r="E8655" s="43">
        <v>15000</v>
      </c>
      <c r="F8655" s="43"/>
      <c r="G8655" s="48">
        <f t="shared" si="218"/>
        <v>326325.31182795716</v>
      </c>
      <c r="H8655" s="392" t="s">
        <v>9568</v>
      </c>
    </row>
    <row r="8656" spans="1:10" x14ac:dyDescent="0.3">
      <c r="A8656" s="45">
        <v>45335</v>
      </c>
      <c r="B8656" s="399" t="s">
        <v>13399</v>
      </c>
      <c r="C8656" s="5" t="s">
        <v>2059</v>
      </c>
      <c r="D8656" s="5" t="s">
        <v>13406</v>
      </c>
      <c r="E8656" s="43">
        <v>27500</v>
      </c>
      <c r="F8656" s="43"/>
      <c r="G8656" s="48">
        <f t="shared" si="218"/>
        <v>298825.31182795716</v>
      </c>
      <c r="H8656" s="392" t="s">
        <v>9568</v>
      </c>
    </row>
    <row r="8657" spans="1:9" x14ac:dyDescent="0.3">
      <c r="A8657" s="45">
        <v>45335</v>
      </c>
      <c r="B8657" s="399"/>
      <c r="C8657" s="5" t="s">
        <v>84</v>
      </c>
      <c r="D8657" s="5" t="s">
        <v>13400</v>
      </c>
      <c r="E8657" s="43">
        <v>2500</v>
      </c>
      <c r="F8657" s="43"/>
      <c r="G8657" s="48">
        <f t="shared" si="218"/>
        <v>296325.31182795716</v>
      </c>
      <c r="H8657" s="392" t="s">
        <v>9568</v>
      </c>
    </row>
    <row r="8658" spans="1:9" x14ac:dyDescent="0.3">
      <c r="A8658" s="45">
        <v>45335</v>
      </c>
      <c r="B8658" s="399" t="s">
        <v>13584</v>
      </c>
      <c r="C8658" s="5" t="s">
        <v>5793</v>
      </c>
      <c r="D8658" s="5" t="s">
        <v>40</v>
      </c>
      <c r="E8658" s="43">
        <v>650</v>
      </c>
      <c r="F8658" s="43"/>
      <c r="G8658" s="48">
        <f t="shared" si="218"/>
        <v>295675.31182795716</v>
      </c>
      <c r="H8658" s="392" t="s">
        <v>9568</v>
      </c>
    </row>
    <row r="8659" spans="1:9" x14ac:dyDescent="0.3">
      <c r="A8659" s="45">
        <v>45335</v>
      </c>
      <c r="B8659" s="399" t="s">
        <v>25</v>
      </c>
      <c r="C8659" s="5" t="s">
        <v>30</v>
      </c>
      <c r="D8659" s="5" t="s">
        <v>12010</v>
      </c>
      <c r="E8659" s="43">
        <v>150</v>
      </c>
      <c r="F8659" s="43"/>
      <c r="G8659" s="48">
        <f t="shared" si="218"/>
        <v>295525.31182795716</v>
      </c>
      <c r="H8659" s="392" t="s">
        <v>9568</v>
      </c>
    </row>
    <row r="8660" spans="1:9" x14ac:dyDescent="0.3">
      <c r="A8660" s="45">
        <v>45335</v>
      </c>
      <c r="B8660" s="399" t="s">
        <v>13399</v>
      </c>
      <c r="C8660" s="5" t="s">
        <v>5793</v>
      </c>
      <c r="D8660" s="5" t="s">
        <v>13402</v>
      </c>
      <c r="E8660" s="43">
        <v>700</v>
      </c>
      <c r="F8660" s="43"/>
      <c r="G8660" s="48">
        <f t="shared" si="218"/>
        <v>294825.31182795716</v>
      </c>
      <c r="H8660" s="392" t="s">
        <v>9568</v>
      </c>
      <c r="I8660" s="52">
        <v>660</v>
      </c>
    </row>
    <row r="8661" spans="1:9" x14ac:dyDescent="0.3">
      <c r="A8661" s="45">
        <v>45336</v>
      </c>
      <c r="B8661" s="399" t="s">
        <v>12287</v>
      </c>
      <c r="C8661" s="5" t="s">
        <v>1616</v>
      </c>
      <c r="D8661" s="5" t="s">
        <v>13403</v>
      </c>
      <c r="E8661" s="62">
        <v>2400</v>
      </c>
      <c r="F8661" s="43"/>
      <c r="G8661" s="48">
        <f t="shared" si="218"/>
        <v>292425.31182795716</v>
      </c>
      <c r="H8661" s="392" t="s">
        <v>9568</v>
      </c>
    </row>
    <row r="8662" spans="1:9" x14ac:dyDescent="0.3">
      <c r="A8662" s="45">
        <v>45336</v>
      </c>
      <c r="B8662" s="399" t="s">
        <v>13584</v>
      </c>
      <c r="C8662" s="5" t="s">
        <v>3220</v>
      </c>
      <c r="D8662" s="5" t="s">
        <v>13404</v>
      </c>
      <c r="E8662" s="43">
        <v>20000</v>
      </c>
      <c r="F8662" s="43"/>
      <c r="G8662" s="48">
        <f t="shared" si="218"/>
        <v>272425.31182795716</v>
      </c>
      <c r="H8662" s="392" t="s">
        <v>9568</v>
      </c>
    </row>
    <row r="8663" spans="1:9" x14ac:dyDescent="0.3">
      <c r="A8663" s="45">
        <v>45336</v>
      </c>
      <c r="B8663" s="399" t="s">
        <v>12132</v>
      </c>
      <c r="C8663" s="5" t="s">
        <v>54</v>
      </c>
      <c r="D8663" s="5" t="s">
        <v>13405</v>
      </c>
      <c r="E8663" s="43">
        <v>105000</v>
      </c>
      <c r="F8663" s="43"/>
      <c r="G8663" s="48">
        <f t="shared" si="218"/>
        <v>167425.31182795716</v>
      </c>
      <c r="H8663" s="392" t="s">
        <v>9568</v>
      </c>
    </row>
    <row r="8664" spans="1:9" x14ac:dyDescent="0.3">
      <c r="A8664" s="45">
        <v>45336</v>
      </c>
      <c r="B8664" s="399" t="s">
        <v>12138</v>
      </c>
      <c r="C8664" s="5" t="s">
        <v>5793</v>
      </c>
      <c r="D8664" s="5" t="s">
        <v>40</v>
      </c>
      <c r="E8664" s="43">
        <v>600</v>
      </c>
      <c r="F8664" s="43"/>
      <c r="G8664" s="48">
        <f t="shared" si="218"/>
        <v>166825.31182795716</v>
      </c>
      <c r="H8664" s="392" t="s">
        <v>9568</v>
      </c>
    </row>
    <row r="8665" spans="1:9" x14ac:dyDescent="0.3">
      <c r="A8665" s="45">
        <v>45337</v>
      </c>
      <c r="B8665" s="399" t="s">
        <v>12189</v>
      </c>
      <c r="C8665" s="5" t="s">
        <v>12908</v>
      </c>
      <c r="D8665" s="5" t="s">
        <v>13407</v>
      </c>
      <c r="E8665" s="43">
        <v>10000</v>
      </c>
      <c r="F8665" s="43"/>
      <c r="G8665" s="48">
        <f t="shared" si="218"/>
        <v>156825.31182795716</v>
      </c>
      <c r="H8665" s="392" t="s">
        <v>9568</v>
      </c>
    </row>
    <row r="8666" spans="1:9" x14ac:dyDescent="0.3">
      <c r="A8666" s="45">
        <v>45337</v>
      </c>
      <c r="B8666" s="399" t="s">
        <v>12189</v>
      </c>
      <c r="C8666" s="5" t="s">
        <v>5162</v>
      </c>
      <c r="D8666" s="5" t="s">
        <v>3910</v>
      </c>
      <c r="E8666" s="43">
        <v>2000</v>
      </c>
      <c r="F8666" s="43"/>
      <c r="G8666" s="48">
        <f t="shared" si="218"/>
        <v>154825.31182795716</v>
      </c>
      <c r="H8666" s="392" t="s">
        <v>9568</v>
      </c>
    </row>
    <row r="8667" spans="1:9" x14ac:dyDescent="0.3">
      <c r="A8667" s="45">
        <v>45338</v>
      </c>
      <c r="B8667" s="399" t="s">
        <v>12189</v>
      </c>
      <c r="C8667" s="5" t="s">
        <v>9052</v>
      </c>
      <c r="D8667" s="5" t="s">
        <v>13408</v>
      </c>
      <c r="E8667" s="43">
        <v>4800</v>
      </c>
      <c r="F8667" s="43"/>
      <c r="G8667" s="48">
        <f t="shared" si="218"/>
        <v>150025.31182795716</v>
      </c>
      <c r="H8667" s="392" t="s">
        <v>9568</v>
      </c>
    </row>
    <row r="8668" spans="1:9" x14ac:dyDescent="0.3">
      <c r="A8668" s="45">
        <v>45338</v>
      </c>
      <c r="B8668" s="399" t="s">
        <v>12138</v>
      </c>
      <c r="C8668" s="5" t="s">
        <v>11194</v>
      </c>
      <c r="D8668" s="5" t="s">
        <v>13409</v>
      </c>
      <c r="E8668" s="43">
        <v>9000</v>
      </c>
      <c r="F8668" s="43"/>
      <c r="G8668" s="48">
        <f t="shared" si="218"/>
        <v>141025.31182795716</v>
      </c>
      <c r="H8668" s="392" t="s">
        <v>9568</v>
      </c>
    </row>
    <row r="8669" spans="1:9" x14ac:dyDescent="0.3">
      <c r="A8669" s="45">
        <v>45338</v>
      </c>
      <c r="B8669" s="399" t="s">
        <v>12189</v>
      </c>
      <c r="C8669" s="5" t="s">
        <v>5793</v>
      </c>
      <c r="D8669" s="5" t="s">
        <v>13410</v>
      </c>
      <c r="E8669" s="43">
        <v>4000</v>
      </c>
      <c r="F8669" s="43"/>
      <c r="G8669" s="48">
        <f t="shared" si="218"/>
        <v>137025.31182795716</v>
      </c>
      <c r="H8669" s="392" t="s">
        <v>9568</v>
      </c>
    </row>
    <row r="8670" spans="1:9" x14ac:dyDescent="0.3">
      <c r="A8670" s="45">
        <v>45338</v>
      </c>
      <c r="B8670" s="399" t="s">
        <v>13380</v>
      </c>
      <c r="C8670" s="5" t="s">
        <v>5288</v>
      </c>
      <c r="D8670" s="5" t="s">
        <v>13418</v>
      </c>
      <c r="E8670" s="43">
        <v>1000</v>
      </c>
      <c r="F8670" s="43"/>
      <c r="G8670" s="48">
        <f t="shared" si="218"/>
        <v>136025.31182795716</v>
      </c>
      <c r="H8670" s="392" t="s">
        <v>9568</v>
      </c>
    </row>
    <row r="8671" spans="1:9" x14ac:dyDescent="0.3">
      <c r="A8671" s="45">
        <v>45338</v>
      </c>
      <c r="B8671" s="399" t="s">
        <v>13285</v>
      </c>
      <c r="C8671" s="5" t="s">
        <v>13411</v>
      </c>
      <c r="D8671" s="5" t="s">
        <v>13412</v>
      </c>
      <c r="E8671" s="43">
        <v>9880</v>
      </c>
      <c r="F8671" s="43"/>
      <c r="G8671" s="48">
        <f t="shared" si="218"/>
        <v>126145.31182795716</v>
      </c>
      <c r="H8671" s="392" t="s">
        <v>9568</v>
      </c>
    </row>
    <row r="8672" spans="1:9" x14ac:dyDescent="0.3">
      <c r="A8672" s="45">
        <v>45338</v>
      </c>
      <c r="B8672" s="399" t="s">
        <v>25</v>
      </c>
      <c r="C8672" s="5" t="s">
        <v>25</v>
      </c>
      <c r="D8672" s="5" t="s">
        <v>13414</v>
      </c>
      <c r="E8672" s="43">
        <v>17700</v>
      </c>
      <c r="F8672" s="43"/>
      <c r="G8672" s="48">
        <f t="shared" si="218"/>
        <v>108445.31182795716</v>
      </c>
      <c r="H8672" s="392" t="s">
        <v>9568</v>
      </c>
    </row>
    <row r="8673" spans="1:14" x14ac:dyDescent="0.3">
      <c r="A8673" s="45">
        <v>45338</v>
      </c>
      <c r="B8673" s="399"/>
      <c r="C8673" s="5" t="s">
        <v>6430</v>
      </c>
      <c r="D8673" s="5" t="s">
        <v>13415</v>
      </c>
      <c r="E8673" s="43">
        <v>2000</v>
      </c>
      <c r="F8673" s="43"/>
      <c r="G8673" s="48">
        <f t="shared" si="218"/>
        <v>106445.31182795716</v>
      </c>
      <c r="H8673" s="392" t="s">
        <v>9568</v>
      </c>
    </row>
    <row r="8674" spans="1:14" x14ac:dyDescent="0.3">
      <c r="A8674" s="45">
        <v>45338</v>
      </c>
      <c r="B8674" s="399"/>
      <c r="C8674" s="5" t="s">
        <v>5793</v>
      </c>
      <c r="D8674" s="5" t="s">
        <v>13416</v>
      </c>
      <c r="E8674" s="43">
        <v>700</v>
      </c>
      <c r="F8674" s="43"/>
      <c r="G8674" s="48">
        <f t="shared" si="218"/>
        <v>105745.31182795716</v>
      </c>
      <c r="H8674" s="392" t="s">
        <v>9568</v>
      </c>
    </row>
    <row r="8675" spans="1:14" x14ac:dyDescent="0.3">
      <c r="A8675" s="45">
        <v>45338</v>
      </c>
      <c r="B8675" s="399" t="s">
        <v>12867</v>
      </c>
      <c r="C8675" s="5" t="s">
        <v>11194</v>
      </c>
      <c r="D8675" s="5" t="s">
        <v>13417</v>
      </c>
      <c r="E8675" s="43">
        <v>3000</v>
      </c>
      <c r="F8675" s="43"/>
      <c r="G8675" s="48">
        <f t="shared" si="218"/>
        <v>102745.31182795716</v>
      </c>
      <c r="H8675" s="392" t="s">
        <v>9568</v>
      </c>
    </row>
    <row r="8676" spans="1:14" x14ac:dyDescent="0.3">
      <c r="A8676" s="45">
        <v>45338</v>
      </c>
      <c r="B8676" s="399" t="s">
        <v>12138</v>
      </c>
      <c r="C8676" s="5" t="s">
        <v>5793</v>
      </c>
      <c r="D8676" s="5" t="s">
        <v>40</v>
      </c>
      <c r="E8676" s="43">
        <v>3000</v>
      </c>
      <c r="F8676" s="43"/>
      <c r="G8676" s="48">
        <f t="shared" si="218"/>
        <v>99745.311827957164</v>
      </c>
      <c r="H8676" s="392" t="s">
        <v>9568</v>
      </c>
    </row>
    <row r="8677" spans="1:14" x14ac:dyDescent="0.3">
      <c r="A8677" s="45">
        <v>45338</v>
      </c>
      <c r="B8677" s="399" t="s">
        <v>25</v>
      </c>
      <c r="C8677" s="5" t="s">
        <v>26</v>
      </c>
      <c r="D8677" s="5" t="s">
        <v>13427</v>
      </c>
      <c r="E8677" s="43">
        <v>2250</v>
      </c>
      <c r="F8677" s="43"/>
      <c r="G8677" s="48">
        <f t="shared" si="218"/>
        <v>97495.311827957164</v>
      </c>
      <c r="H8677" s="392" t="s">
        <v>9568</v>
      </c>
    </row>
    <row r="8678" spans="1:14" x14ac:dyDescent="0.3">
      <c r="A8678" s="45">
        <v>45339</v>
      </c>
      <c r="B8678" s="399" t="s">
        <v>25</v>
      </c>
      <c r="C8678" s="5" t="s">
        <v>25</v>
      </c>
      <c r="D8678" s="5" t="s">
        <v>7533</v>
      </c>
      <c r="E8678" s="43">
        <v>4000</v>
      </c>
      <c r="F8678" s="43"/>
      <c r="G8678" s="48">
        <f t="shared" si="218"/>
        <v>93495.311827957164</v>
      </c>
      <c r="H8678" s="392" t="s">
        <v>9568</v>
      </c>
    </row>
    <row r="8679" spans="1:14" x14ac:dyDescent="0.3">
      <c r="A8679" s="45">
        <v>45339</v>
      </c>
      <c r="B8679" s="399" t="s">
        <v>12098</v>
      </c>
      <c r="C8679" s="5" t="s">
        <v>54</v>
      </c>
      <c r="D8679" s="5" t="s">
        <v>13419</v>
      </c>
      <c r="E8679" s="43">
        <v>6050</v>
      </c>
      <c r="F8679" s="43"/>
      <c r="G8679" s="48">
        <f t="shared" ref="G8679:G8748" si="219">G8678+F8679-E8679</f>
        <v>87445.311827957164</v>
      </c>
      <c r="H8679" s="392" t="s">
        <v>9568</v>
      </c>
    </row>
    <row r="8680" spans="1:14" s="390" customFormat="1" ht="37.5" x14ac:dyDescent="0.3">
      <c r="A8680" s="45">
        <v>45339</v>
      </c>
      <c r="B8680" s="322" t="s">
        <v>12098</v>
      </c>
      <c r="C8680" s="44" t="s">
        <v>5793</v>
      </c>
      <c r="D8680" s="124" t="s">
        <v>13420</v>
      </c>
      <c r="E8680" s="28">
        <v>5000</v>
      </c>
      <c r="F8680" s="28"/>
      <c r="G8680" s="48">
        <f t="shared" si="219"/>
        <v>82445.311827957164</v>
      </c>
      <c r="H8680" s="392" t="s">
        <v>9568</v>
      </c>
      <c r="I8680" s="155"/>
      <c r="J8680" s="155"/>
      <c r="K8680" s="155"/>
      <c r="N8680" s="155"/>
    </row>
    <row r="8681" spans="1:14" x14ac:dyDescent="0.3">
      <c r="A8681" s="45">
        <v>45339</v>
      </c>
      <c r="B8681" s="322" t="s">
        <v>12098</v>
      </c>
      <c r="C8681" s="5" t="s">
        <v>30</v>
      </c>
      <c r="D8681" s="5" t="s">
        <v>12431</v>
      </c>
      <c r="E8681" s="43">
        <v>500</v>
      </c>
      <c r="F8681" s="43"/>
      <c r="G8681" s="48">
        <f t="shared" si="219"/>
        <v>81945.311827957164</v>
      </c>
      <c r="H8681" s="392" t="s">
        <v>9568</v>
      </c>
    </row>
    <row r="8682" spans="1:14" x14ac:dyDescent="0.3">
      <c r="A8682" s="45">
        <v>45339</v>
      </c>
      <c r="B8682" s="653" t="s">
        <v>12098</v>
      </c>
      <c r="C8682" s="517" t="s">
        <v>11194</v>
      </c>
      <c r="D8682" s="517" t="s">
        <v>13421</v>
      </c>
      <c r="E8682" s="519">
        <v>800</v>
      </c>
      <c r="F8682" s="43"/>
      <c r="G8682" s="48">
        <f t="shared" si="219"/>
        <v>81145.311827957164</v>
      </c>
      <c r="H8682" s="392" t="s">
        <v>9568</v>
      </c>
    </row>
    <row r="8683" spans="1:14" x14ac:dyDescent="0.3">
      <c r="A8683" s="45">
        <v>45339</v>
      </c>
      <c r="B8683" s="399" t="s">
        <v>13469</v>
      </c>
      <c r="C8683" s="5" t="s">
        <v>5288</v>
      </c>
      <c r="D8683" s="5" t="s">
        <v>13422</v>
      </c>
      <c r="E8683" s="43">
        <v>6000</v>
      </c>
      <c r="F8683" s="43"/>
      <c r="G8683" s="48">
        <f t="shared" si="219"/>
        <v>75145.311827957164</v>
      </c>
      <c r="H8683" s="392" t="s">
        <v>9568</v>
      </c>
    </row>
    <row r="8684" spans="1:14" x14ac:dyDescent="0.3">
      <c r="A8684" s="45">
        <v>45339</v>
      </c>
      <c r="B8684" s="399"/>
      <c r="C8684" s="5" t="s">
        <v>4550</v>
      </c>
      <c r="D8684" s="5" t="s">
        <v>294</v>
      </c>
      <c r="E8684" s="43">
        <v>50000</v>
      </c>
      <c r="F8684" s="43"/>
      <c r="G8684" s="48">
        <f t="shared" si="219"/>
        <v>25145.311827957164</v>
      </c>
      <c r="H8684" s="392" t="s">
        <v>9568</v>
      </c>
    </row>
    <row r="8685" spans="1:14" x14ac:dyDescent="0.3">
      <c r="A8685" s="45">
        <v>45339</v>
      </c>
      <c r="B8685" s="399" t="s">
        <v>13584</v>
      </c>
      <c r="C8685" s="5" t="s">
        <v>12628</v>
      </c>
      <c r="D8685" s="5" t="s">
        <v>13349</v>
      </c>
      <c r="E8685" s="43">
        <v>12000</v>
      </c>
      <c r="F8685" s="43"/>
      <c r="G8685" s="48">
        <f t="shared" si="219"/>
        <v>13145.311827957164</v>
      </c>
      <c r="H8685" s="392" t="s">
        <v>9568</v>
      </c>
    </row>
    <row r="8686" spans="1:14" x14ac:dyDescent="0.3">
      <c r="A8686" s="45">
        <v>45339</v>
      </c>
      <c r="B8686" s="586"/>
      <c r="C8686" s="486"/>
      <c r="D8686" s="497" t="s">
        <v>11032</v>
      </c>
      <c r="E8686" s="486"/>
      <c r="F8686" s="28">
        <v>50000</v>
      </c>
      <c r="G8686" s="48">
        <f t="shared" si="219"/>
        <v>63145.311827957164</v>
      </c>
      <c r="H8686" s="392" t="s">
        <v>9568</v>
      </c>
    </row>
    <row r="8687" spans="1:14" x14ac:dyDescent="0.3">
      <c r="A8687" s="45">
        <v>45339</v>
      </c>
      <c r="B8687" s="399" t="s">
        <v>13584</v>
      </c>
      <c r="C8687" s="5" t="s">
        <v>11194</v>
      </c>
      <c r="D8687" s="5" t="s">
        <v>13423</v>
      </c>
      <c r="E8687" s="43">
        <v>1130</v>
      </c>
      <c r="F8687" s="43"/>
      <c r="G8687" s="48">
        <f t="shared" si="219"/>
        <v>62015.311827957164</v>
      </c>
      <c r="H8687" s="392" t="s">
        <v>9568</v>
      </c>
    </row>
    <row r="8688" spans="1:14" x14ac:dyDescent="0.3">
      <c r="A8688" s="45">
        <v>45339</v>
      </c>
      <c r="B8688" s="399" t="s">
        <v>13285</v>
      </c>
      <c r="C8688" s="5" t="s">
        <v>13424</v>
      </c>
      <c r="D8688" s="5" t="s">
        <v>13425</v>
      </c>
      <c r="E8688" s="43">
        <v>12000</v>
      </c>
      <c r="F8688" s="43"/>
      <c r="G8688" s="48">
        <f t="shared" si="219"/>
        <v>50015.311827957164</v>
      </c>
      <c r="H8688" s="392" t="s">
        <v>9568</v>
      </c>
    </row>
    <row r="8689" spans="1:10" x14ac:dyDescent="0.3">
      <c r="A8689" s="45">
        <v>45339</v>
      </c>
      <c r="B8689" s="399" t="s">
        <v>13584</v>
      </c>
      <c r="C8689" s="5" t="s">
        <v>5793</v>
      </c>
      <c r="D8689" s="5" t="s">
        <v>40</v>
      </c>
      <c r="E8689" s="43">
        <v>2000</v>
      </c>
      <c r="F8689" s="43"/>
      <c r="G8689" s="48">
        <f t="shared" si="219"/>
        <v>48015.311827957164</v>
      </c>
      <c r="H8689" s="392" t="s">
        <v>9568</v>
      </c>
    </row>
    <row r="8690" spans="1:10" x14ac:dyDescent="0.3">
      <c r="A8690" s="45">
        <v>45339</v>
      </c>
      <c r="B8690" s="399" t="s">
        <v>13584</v>
      </c>
      <c r="C8690" s="5" t="s">
        <v>13424</v>
      </c>
      <c r="D8690" s="5" t="s">
        <v>13425</v>
      </c>
      <c r="E8690" s="43">
        <v>13000</v>
      </c>
      <c r="F8690" s="43"/>
      <c r="G8690" s="48">
        <f t="shared" si="219"/>
        <v>35015.311827957164</v>
      </c>
      <c r="H8690" s="392" t="s">
        <v>9568</v>
      </c>
    </row>
    <row r="8691" spans="1:10" x14ac:dyDescent="0.3">
      <c r="A8691" s="45">
        <v>45339</v>
      </c>
      <c r="B8691" s="399" t="s">
        <v>12867</v>
      </c>
      <c r="C8691" s="5" t="s">
        <v>5793</v>
      </c>
      <c r="D8691" s="5" t="s">
        <v>13426</v>
      </c>
      <c r="E8691" s="43">
        <v>3000</v>
      </c>
      <c r="F8691" s="43"/>
      <c r="G8691" s="48">
        <f t="shared" si="219"/>
        <v>32015.311827957164</v>
      </c>
      <c r="H8691" s="392" t="s">
        <v>9568</v>
      </c>
    </row>
    <row r="8692" spans="1:10" x14ac:dyDescent="0.3">
      <c r="A8692" s="45">
        <v>45339</v>
      </c>
      <c r="B8692" s="399" t="s">
        <v>12867</v>
      </c>
      <c r="C8692" s="5" t="s">
        <v>5793</v>
      </c>
      <c r="D8692" s="5" t="s">
        <v>12865</v>
      </c>
      <c r="E8692" s="43">
        <v>2700</v>
      </c>
      <c r="F8692" s="43"/>
      <c r="G8692" s="48">
        <f t="shared" si="219"/>
        <v>29315.311827957164</v>
      </c>
      <c r="H8692" s="392" t="s">
        <v>9568</v>
      </c>
    </row>
    <row r="8693" spans="1:10" x14ac:dyDescent="0.3">
      <c r="A8693" s="45">
        <v>45339</v>
      </c>
      <c r="B8693" s="399" t="s">
        <v>25</v>
      </c>
      <c r="C8693" s="5" t="s">
        <v>30</v>
      </c>
      <c r="D8693" s="5" t="s">
        <v>10651</v>
      </c>
      <c r="E8693" s="43">
        <v>750</v>
      </c>
      <c r="F8693" s="43"/>
      <c r="G8693" s="48">
        <f t="shared" si="219"/>
        <v>28565.311827957164</v>
      </c>
      <c r="H8693" s="392" t="s">
        <v>9568</v>
      </c>
      <c r="J8693" s="52">
        <v>1900</v>
      </c>
    </row>
    <row r="8694" spans="1:10" x14ac:dyDescent="0.3">
      <c r="A8694" s="45">
        <v>45339</v>
      </c>
      <c r="B8694" s="399" t="s">
        <v>12287</v>
      </c>
      <c r="C8694" s="5" t="s">
        <v>1074</v>
      </c>
      <c r="D8694" s="5" t="s">
        <v>6280</v>
      </c>
      <c r="E8694" s="43">
        <v>3635</v>
      </c>
      <c r="F8694" s="43"/>
      <c r="G8694" s="48">
        <f t="shared" si="219"/>
        <v>24930.311827957164</v>
      </c>
      <c r="H8694" s="392" t="s">
        <v>9568</v>
      </c>
      <c r="J8694" s="52">
        <v>3000</v>
      </c>
    </row>
    <row r="8695" spans="1:10" x14ac:dyDescent="0.3">
      <c r="A8695" s="45">
        <v>45339</v>
      </c>
      <c r="B8695" s="399" t="s">
        <v>25</v>
      </c>
      <c r="C8695" s="5" t="s">
        <v>1074</v>
      </c>
      <c r="D8695" s="5" t="s">
        <v>6280</v>
      </c>
      <c r="E8695" s="43">
        <v>9800</v>
      </c>
      <c r="F8695" s="43"/>
      <c r="G8695" s="48">
        <f t="shared" si="219"/>
        <v>15130.311827957164</v>
      </c>
      <c r="H8695" s="392" t="s">
        <v>9568</v>
      </c>
      <c r="J8695" s="52">
        <v>1000</v>
      </c>
    </row>
    <row r="8696" spans="1:10" x14ac:dyDescent="0.3">
      <c r="A8696" s="45">
        <v>45339</v>
      </c>
      <c r="B8696" s="399" t="s">
        <v>11772</v>
      </c>
      <c r="C8696" s="5" t="s">
        <v>5793</v>
      </c>
      <c r="D8696" s="5" t="s">
        <v>40</v>
      </c>
      <c r="E8696" s="43">
        <v>1200</v>
      </c>
      <c r="F8696" s="43"/>
      <c r="G8696" s="48">
        <f t="shared" si="219"/>
        <v>13930.311827957164</v>
      </c>
      <c r="H8696" s="392" t="s">
        <v>9568</v>
      </c>
      <c r="J8696" s="52">
        <v>350</v>
      </c>
    </row>
    <row r="8697" spans="1:10" x14ac:dyDescent="0.3">
      <c r="A8697" s="45">
        <v>45341</v>
      </c>
      <c r="B8697" s="399" t="s">
        <v>12189</v>
      </c>
      <c r="C8697" s="5" t="s">
        <v>9452</v>
      </c>
      <c r="D8697" s="5" t="s">
        <v>40</v>
      </c>
      <c r="E8697" s="43">
        <v>5000</v>
      </c>
      <c r="F8697" s="43"/>
      <c r="G8697" s="48">
        <f t="shared" si="219"/>
        <v>8930.3118279571645</v>
      </c>
      <c r="H8697" s="392" t="s">
        <v>9568</v>
      </c>
      <c r="J8697" s="52">
        <f>SUM(J8693:J8696)</f>
        <v>6250</v>
      </c>
    </row>
    <row r="8698" spans="1:10" x14ac:dyDescent="0.3">
      <c r="A8698" s="45">
        <v>45341</v>
      </c>
      <c r="B8698" s="399" t="s">
        <v>11772</v>
      </c>
      <c r="C8698" s="5" t="s">
        <v>26</v>
      </c>
      <c r="D8698" s="5" t="s">
        <v>13428</v>
      </c>
      <c r="E8698" s="43">
        <v>7000</v>
      </c>
      <c r="F8698" s="43"/>
      <c r="G8698" s="48">
        <f t="shared" si="219"/>
        <v>1930.3118279571645</v>
      </c>
      <c r="H8698" s="392" t="s">
        <v>9568</v>
      </c>
      <c r="J8698" s="52">
        <v>750</v>
      </c>
    </row>
    <row r="8699" spans="1:10" x14ac:dyDescent="0.3">
      <c r="A8699" s="45">
        <v>45341</v>
      </c>
      <c r="B8699" s="399" t="s">
        <v>25</v>
      </c>
      <c r="C8699" s="5" t="s">
        <v>25</v>
      </c>
      <c r="D8699" s="5" t="s">
        <v>7533</v>
      </c>
      <c r="E8699" s="43">
        <v>1200</v>
      </c>
      <c r="F8699" s="43"/>
      <c r="G8699" s="48">
        <f t="shared" si="219"/>
        <v>730.3118279571645</v>
      </c>
      <c r="H8699" s="392" t="s">
        <v>9568</v>
      </c>
      <c r="J8699" s="52">
        <f>J8698+J8697</f>
        <v>7000</v>
      </c>
    </row>
    <row r="8700" spans="1:10" x14ac:dyDescent="0.3">
      <c r="A8700" s="45">
        <v>45342</v>
      </c>
      <c r="B8700" s="399" t="s">
        <v>12138</v>
      </c>
      <c r="C8700" s="5" t="s">
        <v>11194</v>
      </c>
      <c r="D8700" s="5" t="s">
        <v>13431</v>
      </c>
      <c r="E8700" s="43">
        <v>700</v>
      </c>
      <c r="F8700" s="43"/>
      <c r="G8700" s="48">
        <f t="shared" si="219"/>
        <v>30.311827957164496</v>
      </c>
      <c r="H8700" s="392" t="s">
        <v>9568</v>
      </c>
    </row>
    <row r="8701" spans="1:10" x14ac:dyDescent="0.3">
      <c r="A8701" s="45">
        <v>45342</v>
      </c>
      <c r="B8701" s="586"/>
      <c r="C8701" s="486"/>
      <c r="D8701" s="497" t="s">
        <v>4106</v>
      </c>
      <c r="E8701" s="486"/>
      <c r="F8701" s="28">
        <v>100000</v>
      </c>
      <c r="G8701" s="48">
        <f t="shared" ref="G8701:G8702" si="220">G8700+F8701-E8701</f>
        <v>100030.31182795716</v>
      </c>
      <c r="H8701" s="392" t="s">
        <v>9568</v>
      </c>
    </row>
    <row r="8702" spans="1:10" x14ac:dyDescent="0.3">
      <c r="A8702" s="45">
        <v>45342</v>
      </c>
      <c r="B8702" s="399"/>
      <c r="C8702" s="5" t="s">
        <v>14</v>
      </c>
      <c r="D8702" s="5" t="s">
        <v>640</v>
      </c>
      <c r="E8702" s="43">
        <v>1000</v>
      </c>
      <c r="F8702" s="43"/>
      <c r="G8702" s="48">
        <f t="shared" si="220"/>
        <v>99030.311827957164</v>
      </c>
      <c r="H8702" s="392" t="s">
        <v>9568</v>
      </c>
    </row>
    <row r="8703" spans="1:10" x14ac:dyDescent="0.3">
      <c r="A8703" s="45">
        <v>45342</v>
      </c>
      <c r="B8703" s="399" t="s">
        <v>12138</v>
      </c>
      <c r="C8703" s="5" t="s">
        <v>5793</v>
      </c>
      <c r="D8703" s="5" t="s">
        <v>40</v>
      </c>
      <c r="E8703" s="43">
        <v>2000</v>
      </c>
      <c r="F8703" s="43"/>
      <c r="G8703" s="48">
        <f t="shared" si="219"/>
        <v>97030.311827957164</v>
      </c>
      <c r="H8703" s="392" t="s">
        <v>9568</v>
      </c>
    </row>
    <row r="8704" spans="1:10" x14ac:dyDescent="0.3">
      <c r="A8704" s="45">
        <v>45342</v>
      </c>
      <c r="B8704" s="399" t="s">
        <v>13285</v>
      </c>
      <c r="C8704" s="5" t="s">
        <v>26</v>
      </c>
      <c r="D8704" s="5" t="s">
        <v>13432</v>
      </c>
      <c r="E8704" s="43">
        <v>6000</v>
      </c>
      <c r="F8704" s="43"/>
      <c r="G8704" s="48">
        <f t="shared" si="219"/>
        <v>91030.311827957164</v>
      </c>
      <c r="H8704" s="392" t="s">
        <v>9568</v>
      </c>
    </row>
    <row r="8705" spans="1:16" x14ac:dyDescent="0.3">
      <c r="A8705" s="45">
        <v>45342</v>
      </c>
      <c r="B8705" s="399"/>
      <c r="C8705" s="5" t="s">
        <v>25</v>
      </c>
      <c r="D8705" s="5" t="s">
        <v>13433</v>
      </c>
      <c r="E8705" s="43">
        <v>7000</v>
      </c>
      <c r="F8705" s="43"/>
      <c r="G8705" s="48">
        <f t="shared" si="219"/>
        <v>84030.311827957164</v>
      </c>
      <c r="H8705" s="392" t="s">
        <v>9568</v>
      </c>
      <c r="L8705" s="52">
        <v>45000</v>
      </c>
      <c r="M8705" s="52"/>
      <c r="P8705" s="52"/>
    </row>
    <row r="8706" spans="1:16" x14ac:dyDescent="0.3">
      <c r="A8706" s="45">
        <v>45342</v>
      </c>
      <c r="B8706" s="399"/>
      <c r="C8706" s="5" t="s">
        <v>68</v>
      </c>
      <c r="D8706" s="5" t="s">
        <v>294</v>
      </c>
      <c r="E8706" s="43">
        <v>3000</v>
      </c>
      <c r="F8706" s="43"/>
      <c r="G8706" s="48">
        <f t="shared" si="219"/>
        <v>81030.311827957164</v>
      </c>
      <c r="H8706" s="392" t="s">
        <v>9568</v>
      </c>
      <c r="L8706" s="52">
        <v>30000</v>
      </c>
      <c r="M8706" s="52"/>
      <c r="P8706" s="52"/>
    </row>
    <row r="8707" spans="1:16" x14ac:dyDescent="0.3">
      <c r="A8707" s="45">
        <v>45342</v>
      </c>
      <c r="B8707" s="399" t="s">
        <v>11772</v>
      </c>
      <c r="C8707" s="5" t="s">
        <v>26</v>
      </c>
      <c r="D8707" s="5" t="s">
        <v>13428</v>
      </c>
      <c r="E8707" s="43">
        <v>3000</v>
      </c>
      <c r="F8707" s="43"/>
      <c r="G8707" s="48">
        <f t="shared" si="219"/>
        <v>78030.311827957164</v>
      </c>
      <c r="H8707" s="392" t="s">
        <v>9568</v>
      </c>
      <c r="L8707" s="52">
        <v>30000</v>
      </c>
      <c r="M8707" s="52"/>
      <c r="P8707" s="52"/>
    </row>
    <row r="8708" spans="1:16" x14ac:dyDescent="0.3">
      <c r="A8708" s="45">
        <v>45342</v>
      </c>
      <c r="B8708" s="399" t="s">
        <v>13285</v>
      </c>
      <c r="C8708" s="5" t="s">
        <v>5793</v>
      </c>
      <c r="D8708" s="5" t="s">
        <v>8924</v>
      </c>
      <c r="E8708" s="43">
        <v>400</v>
      </c>
      <c r="F8708" s="43"/>
      <c r="G8708" s="48">
        <f t="shared" si="219"/>
        <v>77630.311827957164</v>
      </c>
      <c r="H8708" s="392" t="s">
        <v>9568</v>
      </c>
      <c r="L8708" s="52">
        <v>24000</v>
      </c>
      <c r="M8708" s="52"/>
      <c r="P8708" s="52"/>
    </row>
    <row r="8709" spans="1:16" x14ac:dyDescent="0.3">
      <c r="A8709" s="45">
        <v>45342</v>
      </c>
      <c r="B8709" s="399" t="s">
        <v>25</v>
      </c>
      <c r="C8709" s="5" t="s">
        <v>13392</v>
      </c>
      <c r="D8709" s="5" t="s">
        <v>40</v>
      </c>
      <c r="E8709" s="43">
        <v>1000</v>
      </c>
      <c r="F8709" s="43"/>
      <c r="G8709" s="48">
        <f t="shared" si="219"/>
        <v>76630.311827957164</v>
      </c>
      <c r="H8709" s="392" t="s">
        <v>9568</v>
      </c>
      <c r="L8709" s="52">
        <v>54000</v>
      </c>
      <c r="M8709" s="52"/>
      <c r="P8709" s="52"/>
    </row>
    <row r="8710" spans="1:16" x14ac:dyDescent="0.3">
      <c r="A8710" s="45">
        <v>45343</v>
      </c>
      <c r="B8710" s="399"/>
      <c r="C8710" s="5" t="s">
        <v>84</v>
      </c>
      <c r="D8710" s="5" t="s">
        <v>13436</v>
      </c>
      <c r="E8710" s="43">
        <v>3000</v>
      </c>
      <c r="F8710" s="43"/>
      <c r="G8710" s="48">
        <f t="shared" si="219"/>
        <v>73630.311827957164</v>
      </c>
      <c r="H8710" s="392" t="s">
        <v>9568</v>
      </c>
      <c r="L8710" s="52">
        <v>69000</v>
      </c>
      <c r="M8710" s="52"/>
      <c r="P8710" s="52"/>
    </row>
    <row r="8711" spans="1:16" x14ac:dyDescent="0.3">
      <c r="A8711" s="45">
        <v>45343</v>
      </c>
      <c r="B8711" s="399" t="s">
        <v>12189</v>
      </c>
      <c r="C8711" s="5" t="s">
        <v>11194</v>
      </c>
      <c r="D8711" s="5" t="s">
        <v>13437</v>
      </c>
      <c r="E8711" s="43">
        <v>7300</v>
      </c>
      <c r="F8711" s="43"/>
      <c r="G8711" s="48">
        <f t="shared" si="219"/>
        <v>66330.311827957164</v>
      </c>
      <c r="H8711" s="392" t="s">
        <v>9568</v>
      </c>
      <c r="L8711" s="52">
        <v>2320000</v>
      </c>
      <c r="M8711" s="52"/>
      <c r="P8711" s="52"/>
    </row>
    <row r="8712" spans="1:16" x14ac:dyDescent="0.3">
      <c r="A8712" s="45">
        <v>45343</v>
      </c>
      <c r="B8712" s="399" t="s">
        <v>13584</v>
      </c>
      <c r="C8712" s="5" t="s">
        <v>11194</v>
      </c>
      <c r="D8712" s="5" t="s">
        <v>13438</v>
      </c>
      <c r="E8712" s="43">
        <v>1100</v>
      </c>
      <c r="F8712" s="43"/>
      <c r="G8712" s="48">
        <f t="shared" si="219"/>
        <v>65230.311827957164</v>
      </c>
      <c r="H8712" s="392" t="s">
        <v>9568</v>
      </c>
      <c r="L8712" s="52">
        <v>500000</v>
      </c>
      <c r="M8712" s="52"/>
      <c r="P8712" s="52"/>
    </row>
    <row r="8713" spans="1:16" x14ac:dyDescent="0.3">
      <c r="A8713" s="45">
        <v>45343</v>
      </c>
      <c r="B8713" s="399" t="s">
        <v>12138</v>
      </c>
      <c r="C8713" s="5" t="s">
        <v>26</v>
      </c>
      <c r="D8713" s="5" t="s">
        <v>11559</v>
      </c>
      <c r="E8713" s="43">
        <v>1000</v>
      </c>
      <c r="F8713" s="43"/>
      <c r="G8713" s="48">
        <f t="shared" si="219"/>
        <v>64230.311827957164</v>
      </c>
      <c r="H8713" s="392" t="s">
        <v>9568</v>
      </c>
      <c r="L8713" s="52">
        <v>429000</v>
      </c>
      <c r="M8713" s="52"/>
      <c r="P8713" s="52"/>
    </row>
    <row r="8714" spans="1:16" x14ac:dyDescent="0.3">
      <c r="A8714" s="45">
        <v>45343</v>
      </c>
      <c r="B8714" s="399" t="s">
        <v>13285</v>
      </c>
      <c r="C8714" s="5" t="s">
        <v>5793</v>
      </c>
      <c r="D8714" s="5" t="s">
        <v>13439</v>
      </c>
      <c r="E8714" s="43">
        <v>500</v>
      </c>
      <c r="F8714" s="43"/>
      <c r="G8714" s="48">
        <f t="shared" si="219"/>
        <v>63730.311827957164</v>
      </c>
      <c r="H8714" s="392" t="s">
        <v>9568</v>
      </c>
      <c r="I8714" s="52">
        <v>7300</v>
      </c>
      <c r="L8714" s="52">
        <v>230400</v>
      </c>
      <c r="M8714" s="52"/>
      <c r="P8714" s="52"/>
    </row>
    <row r="8715" spans="1:16" x14ac:dyDescent="0.3">
      <c r="A8715" s="45">
        <v>45343</v>
      </c>
      <c r="B8715" s="399" t="s">
        <v>13285</v>
      </c>
      <c r="C8715" s="5" t="s">
        <v>5793</v>
      </c>
      <c r="D8715" s="5" t="s">
        <v>40</v>
      </c>
      <c r="E8715" s="43">
        <v>1800</v>
      </c>
      <c r="F8715" s="43"/>
      <c r="G8715" s="48">
        <f t="shared" si="219"/>
        <v>61930.311827957164</v>
      </c>
      <c r="H8715" s="392" t="s">
        <v>9568</v>
      </c>
      <c r="I8715" s="52">
        <v>1100</v>
      </c>
      <c r="L8715" s="52">
        <v>1824000</v>
      </c>
      <c r="M8715" s="52"/>
      <c r="P8715" s="52"/>
    </row>
    <row r="8716" spans="1:16" x14ac:dyDescent="0.3">
      <c r="A8716" s="45">
        <v>45343</v>
      </c>
      <c r="B8716" s="399"/>
      <c r="C8716" s="5" t="s">
        <v>25</v>
      </c>
      <c r="D8716" s="5" t="s">
        <v>13433</v>
      </c>
      <c r="E8716" s="43">
        <v>3000</v>
      </c>
      <c r="F8716" s="43"/>
      <c r="G8716" s="48">
        <f t="shared" si="219"/>
        <v>58930.311827957164</v>
      </c>
      <c r="H8716" s="392" t="s">
        <v>9568</v>
      </c>
      <c r="I8716" s="52">
        <v>400</v>
      </c>
      <c r="L8716" s="52">
        <v>380000</v>
      </c>
      <c r="M8716" s="52"/>
      <c r="P8716" s="52"/>
    </row>
    <row r="8717" spans="1:16" x14ac:dyDescent="0.3">
      <c r="A8717" s="45">
        <v>45344</v>
      </c>
      <c r="B8717" s="399" t="s">
        <v>12097</v>
      </c>
      <c r="C8717" s="5" t="s">
        <v>57</v>
      </c>
      <c r="D8717" s="5" t="s">
        <v>13441</v>
      </c>
      <c r="E8717" s="43">
        <v>50000</v>
      </c>
      <c r="F8717" s="43"/>
      <c r="G8717" s="48">
        <f t="shared" si="219"/>
        <v>8930.3118279571645</v>
      </c>
      <c r="H8717" s="392" t="s">
        <v>9568</v>
      </c>
      <c r="I8717" s="52">
        <v>130</v>
      </c>
      <c r="L8717" s="52">
        <v>545000</v>
      </c>
      <c r="M8717" s="52"/>
      <c r="P8717" s="52"/>
    </row>
    <row r="8718" spans="1:16" x14ac:dyDescent="0.3">
      <c r="A8718" s="45">
        <v>45344</v>
      </c>
      <c r="B8718" s="399" t="s">
        <v>13584</v>
      </c>
      <c r="C8718" s="517" t="s">
        <v>11194</v>
      </c>
      <c r="D8718" s="517" t="s">
        <v>13442</v>
      </c>
      <c r="E8718" s="519">
        <v>5200</v>
      </c>
      <c r="F8718" s="43"/>
      <c r="G8718" s="48">
        <f t="shared" si="219"/>
        <v>3730.3118279571645</v>
      </c>
      <c r="H8718" s="392" t="s">
        <v>9568</v>
      </c>
      <c r="I8718" s="52">
        <f>SUM(I8714:I8717)</f>
        <v>8930</v>
      </c>
      <c r="L8718" s="52">
        <v>535000</v>
      </c>
      <c r="M8718" s="52"/>
      <c r="P8718" s="52"/>
    </row>
    <row r="8719" spans="1:16" x14ac:dyDescent="0.3">
      <c r="A8719" s="45">
        <v>45344</v>
      </c>
      <c r="B8719" s="586"/>
      <c r="C8719" s="486"/>
      <c r="D8719" s="497" t="s">
        <v>11032</v>
      </c>
      <c r="E8719" s="486"/>
      <c r="F8719" s="28">
        <v>100000</v>
      </c>
      <c r="G8719" s="48">
        <f t="shared" si="219"/>
        <v>103730.31182795716</v>
      </c>
      <c r="H8719" s="392" t="s">
        <v>9568</v>
      </c>
    </row>
    <row r="8720" spans="1:16" x14ac:dyDescent="0.3">
      <c r="A8720" s="45">
        <v>45344</v>
      </c>
      <c r="B8720" s="399"/>
      <c r="C8720" s="5" t="s">
        <v>84</v>
      </c>
      <c r="D8720" s="5" t="s">
        <v>13443</v>
      </c>
      <c r="E8720" s="43">
        <v>10000</v>
      </c>
      <c r="F8720" s="43"/>
      <c r="G8720" s="48">
        <f t="shared" si="219"/>
        <v>93730.311827957164</v>
      </c>
      <c r="H8720" s="392" t="s">
        <v>9568</v>
      </c>
      <c r="L8720" s="52">
        <v>750000</v>
      </c>
      <c r="M8720" s="52"/>
      <c r="P8720" s="52"/>
    </row>
    <row r="8721" spans="1:16" x14ac:dyDescent="0.3">
      <c r="A8721" s="45">
        <v>45344</v>
      </c>
      <c r="B8721" s="399" t="s">
        <v>12678</v>
      </c>
      <c r="C8721" s="5" t="s">
        <v>84</v>
      </c>
      <c r="D8721" s="5" t="s">
        <v>13445</v>
      </c>
      <c r="E8721" s="43">
        <v>15000</v>
      </c>
      <c r="F8721" s="43"/>
      <c r="G8721" s="48">
        <f t="shared" si="219"/>
        <v>78730.311827957164</v>
      </c>
      <c r="H8721" s="392" t="s">
        <v>9568</v>
      </c>
      <c r="L8721" s="52">
        <v>200000</v>
      </c>
      <c r="M8721" s="52"/>
      <c r="P8721" s="52"/>
    </row>
    <row r="8722" spans="1:16" x14ac:dyDescent="0.3">
      <c r="A8722" s="45">
        <v>45344</v>
      </c>
      <c r="B8722" s="399" t="s">
        <v>25</v>
      </c>
      <c r="C8722" s="5" t="s">
        <v>4400</v>
      </c>
      <c r="D8722" s="5" t="s">
        <v>40</v>
      </c>
      <c r="E8722" s="43">
        <v>5330</v>
      </c>
      <c r="F8722" s="43"/>
      <c r="G8722" s="48">
        <f t="shared" si="219"/>
        <v>73400.311827957164</v>
      </c>
      <c r="H8722" s="392" t="s">
        <v>9568</v>
      </c>
      <c r="L8722" s="52">
        <v>50000</v>
      </c>
      <c r="M8722" s="52"/>
      <c r="P8722" s="52"/>
    </row>
    <row r="8723" spans="1:16" x14ac:dyDescent="0.3">
      <c r="A8723" s="45">
        <v>45344</v>
      </c>
      <c r="B8723" s="399" t="s">
        <v>13584</v>
      </c>
      <c r="C8723" s="5" t="s">
        <v>107</v>
      </c>
      <c r="D8723" s="5" t="s">
        <v>4187</v>
      </c>
      <c r="E8723" s="43">
        <v>1000</v>
      </c>
      <c r="F8723" s="43"/>
      <c r="G8723" s="48">
        <f t="shared" si="219"/>
        <v>72400.311827957164</v>
      </c>
      <c r="H8723" s="392" t="s">
        <v>9568</v>
      </c>
      <c r="L8723" s="52">
        <v>50000</v>
      </c>
      <c r="M8723" s="52"/>
      <c r="P8723" s="52"/>
    </row>
    <row r="8724" spans="1:16" x14ac:dyDescent="0.3">
      <c r="A8724" s="45">
        <v>45344</v>
      </c>
      <c r="B8724" s="399"/>
      <c r="C8724" s="5" t="s">
        <v>84</v>
      </c>
      <c r="D8724" s="5" t="s">
        <v>13446</v>
      </c>
      <c r="E8724" s="43">
        <v>1000</v>
      </c>
      <c r="F8724" s="43"/>
      <c r="G8724" s="48">
        <f t="shared" si="219"/>
        <v>71400.311827957164</v>
      </c>
      <c r="H8724" s="392" t="s">
        <v>9568</v>
      </c>
      <c r="L8724" s="52">
        <v>50000</v>
      </c>
      <c r="M8724" s="52"/>
      <c r="P8724" s="52"/>
    </row>
    <row r="8725" spans="1:16" x14ac:dyDescent="0.3">
      <c r="A8725" s="45">
        <v>45345</v>
      </c>
      <c r="B8725" s="399" t="s">
        <v>12287</v>
      </c>
      <c r="C8725" s="5" t="s">
        <v>1074</v>
      </c>
      <c r="D8725" s="5" t="s">
        <v>12272</v>
      </c>
      <c r="E8725" s="43">
        <v>45290</v>
      </c>
      <c r="F8725" s="43"/>
      <c r="G8725" s="48">
        <f t="shared" si="219"/>
        <v>26110.311827957164</v>
      </c>
      <c r="H8725" s="392" t="s">
        <v>9568</v>
      </c>
      <c r="L8725" s="52">
        <f>SUM(L8705:L8724)</f>
        <v>8115400</v>
      </c>
      <c r="M8725" s="52"/>
      <c r="P8725" s="52"/>
    </row>
    <row r="8726" spans="1:16" x14ac:dyDescent="0.3">
      <c r="A8726" s="45">
        <v>45345</v>
      </c>
      <c r="B8726" s="399" t="s">
        <v>25</v>
      </c>
      <c r="C8726" s="5" t="s">
        <v>1074</v>
      </c>
      <c r="D8726" s="5" t="s">
        <v>12272</v>
      </c>
      <c r="E8726" s="43">
        <v>17872</v>
      </c>
      <c r="F8726" s="43"/>
      <c r="G8726" s="48">
        <f t="shared" si="219"/>
        <v>8238.3118279571645</v>
      </c>
      <c r="H8726" s="392" t="s">
        <v>9568</v>
      </c>
    </row>
    <row r="8727" spans="1:16" x14ac:dyDescent="0.3">
      <c r="A8727" s="45">
        <v>45345</v>
      </c>
      <c r="B8727" s="399"/>
      <c r="C8727" s="5" t="s">
        <v>5162</v>
      </c>
      <c r="D8727" s="5" t="s">
        <v>5813</v>
      </c>
      <c r="E8727" s="43">
        <v>3000</v>
      </c>
      <c r="F8727" s="43"/>
      <c r="G8727" s="48">
        <f t="shared" si="219"/>
        <v>5238.3118279571645</v>
      </c>
      <c r="H8727" s="392" t="s">
        <v>9568</v>
      </c>
    </row>
    <row r="8728" spans="1:16" x14ac:dyDescent="0.3">
      <c r="A8728" s="45">
        <v>45345</v>
      </c>
      <c r="B8728" s="399"/>
      <c r="C8728" s="5" t="s">
        <v>25</v>
      </c>
      <c r="D8728" s="5" t="s">
        <v>13433</v>
      </c>
      <c r="E8728" s="43">
        <v>3500</v>
      </c>
      <c r="F8728" s="43"/>
      <c r="G8728" s="48">
        <f t="shared" si="219"/>
        <v>1738.3118279571645</v>
      </c>
      <c r="H8728" s="392" t="s">
        <v>9568</v>
      </c>
    </row>
    <row r="8729" spans="1:16" x14ac:dyDescent="0.3">
      <c r="A8729" s="45">
        <v>45345</v>
      </c>
      <c r="B8729" s="399" t="s">
        <v>12138</v>
      </c>
      <c r="C8729" s="5" t="s">
        <v>30</v>
      </c>
      <c r="D8729" s="5" t="s">
        <v>10643</v>
      </c>
      <c r="E8729" s="43">
        <v>400</v>
      </c>
      <c r="F8729" s="43"/>
      <c r="G8729" s="48">
        <f t="shared" si="219"/>
        <v>1338.3118279571645</v>
      </c>
      <c r="H8729" s="392" t="s">
        <v>9568</v>
      </c>
    </row>
    <row r="8730" spans="1:16" x14ac:dyDescent="0.3">
      <c r="A8730" s="45">
        <v>45348</v>
      </c>
      <c r="B8730" s="586"/>
      <c r="C8730" s="486"/>
      <c r="D8730" s="497" t="s">
        <v>11032</v>
      </c>
      <c r="E8730" s="486"/>
      <c r="F8730" s="28">
        <v>50000</v>
      </c>
      <c r="G8730" s="48">
        <f t="shared" si="219"/>
        <v>51338.311827957164</v>
      </c>
      <c r="H8730" s="392" t="s">
        <v>9568</v>
      </c>
    </row>
    <row r="8731" spans="1:16" x14ac:dyDescent="0.3">
      <c r="A8731" s="45">
        <v>45348</v>
      </c>
      <c r="B8731" s="399" t="s">
        <v>12098</v>
      </c>
      <c r="C8731" s="5" t="s">
        <v>26</v>
      </c>
      <c r="D8731" s="5" t="s">
        <v>13458</v>
      </c>
      <c r="E8731" s="43">
        <v>11000</v>
      </c>
      <c r="F8731" s="43"/>
      <c r="G8731" s="48">
        <f t="shared" si="219"/>
        <v>40338.311827957164</v>
      </c>
      <c r="H8731" s="392" t="s">
        <v>9568</v>
      </c>
    </row>
    <row r="8732" spans="1:16" x14ac:dyDescent="0.3">
      <c r="A8732" s="45">
        <v>45348</v>
      </c>
      <c r="B8732" s="399" t="s">
        <v>12097</v>
      </c>
      <c r="C8732" s="5" t="s">
        <v>5793</v>
      </c>
      <c r="D8732" s="5" t="s">
        <v>40</v>
      </c>
      <c r="E8732" s="43">
        <v>5000</v>
      </c>
      <c r="F8732" s="43"/>
      <c r="G8732" s="48">
        <f t="shared" si="219"/>
        <v>35338.311827957164</v>
      </c>
      <c r="H8732" s="392" t="s">
        <v>9568</v>
      </c>
      <c r="K8732" s="52">
        <v>1357756</v>
      </c>
    </row>
    <row r="8733" spans="1:16" x14ac:dyDescent="0.3">
      <c r="A8733" s="45">
        <v>45348</v>
      </c>
      <c r="B8733" s="399"/>
      <c r="C8733" s="5" t="s">
        <v>14</v>
      </c>
      <c r="D8733" s="5" t="s">
        <v>294</v>
      </c>
      <c r="E8733" s="43">
        <v>5000</v>
      </c>
      <c r="F8733" s="43"/>
      <c r="G8733" s="48">
        <f t="shared" si="219"/>
        <v>30338.311827957164</v>
      </c>
      <c r="H8733" s="392" t="s">
        <v>9568</v>
      </c>
      <c r="K8733" s="52">
        <f>K8732*9%</f>
        <v>122198.04</v>
      </c>
    </row>
    <row r="8734" spans="1:16" x14ac:dyDescent="0.3">
      <c r="A8734" s="45">
        <v>45348</v>
      </c>
      <c r="B8734" s="399" t="s">
        <v>11772</v>
      </c>
      <c r="C8734" s="5" t="s">
        <v>11194</v>
      </c>
      <c r="D8734" s="5" t="s">
        <v>13459</v>
      </c>
      <c r="E8734" s="43">
        <v>1350</v>
      </c>
      <c r="F8734" s="43"/>
      <c r="G8734" s="48">
        <f t="shared" si="219"/>
        <v>28988.311827957164</v>
      </c>
      <c r="H8734" s="392" t="s">
        <v>9568</v>
      </c>
      <c r="K8734" s="52">
        <f>K8732-K8733</f>
        <v>1235557.96</v>
      </c>
    </row>
    <row r="8735" spans="1:16" x14ac:dyDescent="0.3">
      <c r="A8735" s="45">
        <v>45348</v>
      </c>
      <c r="B8735" s="399" t="s">
        <v>12867</v>
      </c>
      <c r="C8735" s="5" t="s">
        <v>11194</v>
      </c>
      <c r="D8735" s="5" t="s">
        <v>12345</v>
      </c>
      <c r="E8735" s="43">
        <v>3450</v>
      </c>
      <c r="F8735" s="43"/>
      <c r="G8735" s="48">
        <f t="shared" si="219"/>
        <v>25538.311827957164</v>
      </c>
      <c r="H8735" s="392" t="s">
        <v>9568</v>
      </c>
    </row>
    <row r="8736" spans="1:16" x14ac:dyDescent="0.3">
      <c r="A8736" s="45">
        <v>45348</v>
      </c>
      <c r="B8736" s="399" t="s">
        <v>12138</v>
      </c>
      <c r="C8736" s="5" t="s">
        <v>11194</v>
      </c>
      <c r="D8736" s="5" t="s">
        <v>13460</v>
      </c>
      <c r="E8736" s="43">
        <v>1950</v>
      </c>
      <c r="F8736" s="43"/>
      <c r="G8736" s="48">
        <f t="shared" si="219"/>
        <v>23588.311827957164</v>
      </c>
      <c r="H8736" s="392" t="s">
        <v>9568</v>
      </c>
    </row>
    <row r="8737" spans="1:10" x14ac:dyDescent="0.3">
      <c r="A8737" s="45">
        <v>45348</v>
      </c>
      <c r="B8737" s="399"/>
      <c r="C8737" s="5" t="s">
        <v>25</v>
      </c>
      <c r="D8737" s="5" t="s">
        <v>13433</v>
      </c>
      <c r="E8737" s="43">
        <v>5500</v>
      </c>
      <c r="F8737" s="43"/>
      <c r="G8737" s="48">
        <f t="shared" si="219"/>
        <v>18088.311827957164</v>
      </c>
      <c r="H8737" s="392" t="s">
        <v>9568</v>
      </c>
      <c r="J8737" s="52">
        <v>7750</v>
      </c>
    </row>
    <row r="8738" spans="1:10" x14ac:dyDescent="0.3">
      <c r="A8738" s="45">
        <v>45349</v>
      </c>
      <c r="B8738" s="399" t="s">
        <v>10333</v>
      </c>
      <c r="C8738" s="5" t="s">
        <v>9801</v>
      </c>
      <c r="D8738" s="5" t="s">
        <v>40</v>
      </c>
      <c r="E8738" s="43">
        <v>7600</v>
      </c>
      <c r="F8738" s="43"/>
      <c r="G8738" s="48">
        <f t="shared" si="219"/>
        <v>10488.311827957164</v>
      </c>
      <c r="H8738" s="392" t="s">
        <v>9568</v>
      </c>
    </row>
    <row r="8739" spans="1:10" x14ac:dyDescent="0.3">
      <c r="A8739" s="45">
        <v>45349</v>
      </c>
      <c r="B8739" s="399" t="s">
        <v>12189</v>
      </c>
      <c r="C8739" s="5" t="s">
        <v>12628</v>
      </c>
      <c r="D8739" s="5" t="s">
        <v>13463</v>
      </c>
      <c r="E8739" s="43">
        <v>6500</v>
      </c>
      <c r="F8739" s="43"/>
      <c r="G8739" s="48">
        <f t="shared" si="219"/>
        <v>3988.3118279571645</v>
      </c>
      <c r="H8739" s="392" t="s">
        <v>9568</v>
      </c>
    </row>
    <row r="8740" spans="1:10" x14ac:dyDescent="0.3">
      <c r="A8740" s="45">
        <v>45349</v>
      </c>
      <c r="B8740" s="399" t="s">
        <v>12189</v>
      </c>
      <c r="C8740" s="5" t="s">
        <v>84</v>
      </c>
      <c r="D8740" s="5" t="s">
        <v>13464</v>
      </c>
      <c r="E8740" s="43">
        <v>2500</v>
      </c>
      <c r="F8740" s="43"/>
      <c r="G8740" s="48">
        <f t="shared" si="219"/>
        <v>1488.3118279571645</v>
      </c>
      <c r="H8740" s="392" t="s">
        <v>9568</v>
      </c>
    </row>
    <row r="8741" spans="1:10" x14ac:dyDescent="0.3">
      <c r="A8741" s="45">
        <v>45350</v>
      </c>
      <c r="B8741" s="399"/>
      <c r="C8741" s="5" t="s">
        <v>5793</v>
      </c>
      <c r="D8741" s="5" t="s">
        <v>8924</v>
      </c>
      <c r="E8741" s="43">
        <v>250</v>
      </c>
      <c r="F8741" s="43"/>
      <c r="G8741" s="48">
        <f t="shared" si="219"/>
        <v>1238.3118279571645</v>
      </c>
      <c r="H8741" s="392" t="s">
        <v>9568</v>
      </c>
    </row>
    <row r="8742" spans="1:10" x14ac:dyDescent="0.3">
      <c r="A8742" s="45">
        <v>45350</v>
      </c>
      <c r="B8742" s="399"/>
      <c r="C8742" s="5" t="s">
        <v>25</v>
      </c>
      <c r="D8742" s="5" t="s">
        <v>13433</v>
      </c>
      <c r="E8742" s="43">
        <v>1000</v>
      </c>
      <c r="F8742" s="43"/>
      <c r="G8742" s="48">
        <f t="shared" si="219"/>
        <v>238.3118279571645</v>
      </c>
      <c r="H8742" s="392" t="s">
        <v>9568</v>
      </c>
    </row>
    <row r="8743" spans="1:10" x14ac:dyDescent="0.3">
      <c r="A8743" s="45">
        <v>45351</v>
      </c>
      <c r="B8743" s="586"/>
      <c r="C8743" s="486"/>
      <c r="D8743" s="497" t="s">
        <v>13470</v>
      </c>
      <c r="E8743" s="486"/>
      <c r="F8743" s="28">
        <v>300000</v>
      </c>
      <c r="G8743" s="48">
        <f t="shared" si="219"/>
        <v>300238.31182795716</v>
      </c>
      <c r="H8743" s="392" t="s">
        <v>9568</v>
      </c>
    </row>
    <row r="8744" spans="1:10" x14ac:dyDescent="0.3">
      <c r="A8744" s="45">
        <v>45351</v>
      </c>
      <c r="B8744" s="399" t="s">
        <v>12189</v>
      </c>
      <c r="C8744" s="5" t="s">
        <v>68</v>
      </c>
      <c r="D8744" s="186" t="s">
        <v>13471</v>
      </c>
      <c r="E8744" s="43">
        <v>1000</v>
      </c>
      <c r="F8744" s="43"/>
      <c r="G8744" s="48">
        <f t="shared" si="219"/>
        <v>299238.31182795716</v>
      </c>
      <c r="H8744" s="392" t="s">
        <v>9568</v>
      </c>
    </row>
    <row r="8745" spans="1:10" x14ac:dyDescent="0.3">
      <c r="A8745" s="45">
        <v>45351</v>
      </c>
      <c r="B8745" s="399" t="s">
        <v>25</v>
      </c>
      <c r="C8745" s="5" t="s">
        <v>25</v>
      </c>
      <c r="D8745" s="5" t="s">
        <v>13433</v>
      </c>
      <c r="E8745" s="43">
        <v>7000</v>
      </c>
      <c r="F8745" s="43"/>
      <c r="G8745" s="48">
        <f t="shared" si="219"/>
        <v>292238.31182795716</v>
      </c>
      <c r="H8745" s="392" t="s">
        <v>9568</v>
      </c>
    </row>
    <row r="8746" spans="1:10" x14ac:dyDescent="0.3">
      <c r="A8746" s="45">
        <v>45351</v>
      </c>
      <c r="B8746" s="399" t="s">
        <v>12189</v>
      </c>
      <c r="C8746" s="5" t="s">
        <v>5793</v>
      </c>
      <c r="D8746" s="5" t="s">
        <v>40</v>
      </c>
      <c r="E8746" s="43">
        <v>3000</v>
      </c>
      <c r="F8746" s="43"/>
      <c r="G8746" s="48">
        <f t="shared" si="219"/>
        <v>289238.31182795716</v>
      </c>
      <c r="H8746" s="392" t="s">
        <v>9568</v>
      </c>
    </row>
    <row r="8747" spans="1:10" x14ac:dyDescent="0.3">
      <c r="A8747" s="45">
        <v>45351</v>
      </c>
      <c r="B8747" s="399" t="s">
        <v>13399</v>
      </c>
      <c r="C8747" s="5" t="s">
        <v>26</v>
      </c>
      <c r="D8747" s="5" t="s">
        <v>13472</v>
      </c>
      <c r="E8747" s="43">
        <v>450</v>
      </c>
      <c r="F8747" s="43"/>
      <c r="G8747" s="48">
        <f t="shared" si="219"/>
        <v>288788.31182795716</v>
      </c>
      <c r="H8747" s="392" t="s">
        <v>9568</v>
      </c>
    </row>
    <row r="8748" spans="1:10" x14ac:dyDescent="0.3">
      <c r="A8748" s="45">
        <v>45351</v>
      </c>
      <c r="B8748" s="399" t="s">
        <v>12138</v>
      </c>
      <c r="C8748" s="5" t="s">
        <v>11194</v>
      </c>
      <c r="D8748" s="5" t="s">
        <v>13473</v>
      </c>
      <c r="E8748" s="43">
        <v>17400</v>
      </c>
      <c r="F8748" s="43"/>
      <c r="G8748" s="48">
        <f t="shared" si="219"/>
        <v>271388.31182795716</v>
      </c>
      <c r="H8748" s="392" t="s">
        <v>9568</v>
      </c>
    </row>
    <row r="8749" spans="1:10" x14ac:dyDescent="0.3">
      <c r="A8749" s="45">
        <v>45351</v>
      </c>
      <c r="B8749" s="399" t="s">
        <v>10333</v>
      </c>
      <c r="C8749" s="5" t="s">
        <v>11194</v>
      </c>
      <c r="D8749" s="5" t="s">
        <v>13474</v>
      </c>
      <c r="E8749" s="43">
        <v>9500</v>
      </c>
      <c r="F8749" s="43"/>
      <c r="G8749" s="48">
        <f t="shared" ref="G8749:G8771" si="221">G8748+F8749-E8749</f>
        <v>261888.31182795716</v>
      </c>
      <c r="H8749" s="392" t="s">
        <v>9568</v>
      </c>
    </row>
    <row r="8750" spans="1:10" x14ac:dyDescent="0.3">
      <c r="A8750" s="45">
        <v>45351</v>
      </c>
      <c r="B8750" s="399" t="s">
        <v>12138</v>
      </c>
      <c r="C8750" s="5" t="s">
        <v>30</v>
      </c>
      <c r="D8750" s="5" t="s">
        <v>13475</v>
      </c>
      <c r="E8750" s="43">
        <v>1000</v>
      </c>
      <c r="F8750" s="43"/>
      <c r="G8750" s="48">
        <f t="shared" si="221"/>
        <v>260888.31182795716</v>
      </c>
      <c r="H8750" s="392" t="s">
        <v>9568</v>
      </c>
    </row>
    <row r="8751" spans="1:10" x14ac:dyDescent="0.3">
      <c r="A8751" s="45">
        <v>45351</v>
      </c>
      <c r="B8751" s="399" t="s">
        <v>13476</v>
      </c>
      <c r="C8751" s="5" t="s">
        <v>13477</v>
      </c>
      <c r="D8751" s="5" t="s">
        <v>13478</v>
      </c>
      <c r="E8751" s="43">
        <v>50000</v>
      </c>
      <c r="F8751" s="43"/>
      <c r="G8751" s="48">
        <f t="shared" si="221"/>
        <v>210888.31182795716</v>
      </c>
      <c r="H8751" s="392" t="s">
        <v>9568</v>
      </c>
    </row>
    <row r="8752" spans="1:10" x14ac:dyDescent="0.3">
      <c r="A8752" s="45">
        <v>45351</v>
      </c>
      <c r="B8752" s="399" t="s">
        <v>13476</v>
      </c>
      <c r="C8752" s="5" t="s">
        <v>26</v>
      </c>
      <c r="D8752" s="5" t="s">
        <v>13479</v>
      </c>
      <c r="E8752" s="43">
        <v>10000</v>
      </c>
      <c r="F8752" s="43"/>
      <c r="G8752" s="48">
        <f t="shared" si="221"/>
        <v>200888.31182795716</v>
      </c>
      <c r="H8752" s="392" t="s">
        <v>9568</v>
      </c>
    </row>
    <row r="8753" spans="1:11" x14ac:dyDescent="0.3">
      <c r="A8753" s="45">
        <v>45351</v>
      </c>
      <c r="B8753" s="399" t="s">
        <v>13476</v>
      </c>
      <c r="C8753" s="5" t="s">
        <v>30</v>
      </c>
      <c r="D8753" s="5" t="s">
        <v>13480</v>
      </c>
      <c r="E8753" s="43">
        <v>5000</v>
      </c>
      <c r="F8753" s="43"/>
      <c r="G8753" s="48">
        <f t="shared" si="221"/>
        <v>195888.31182795716</v>
      </c>
      <c r="H8753" s="392" t="s">
        <v>9568</v>
      </c>
    </row>
    <row r="8754" spans="1:11" x14ac:dyDescent="0.3">
      <c r="A8754" s="45">
        <v>45351</v>
      </c>
      <c r="B8754" s="399" t="s">
        <v>12867</v>
      </c>
      <c r="C8754" s="5" t="s">
        <v>26</v>
      </c>
      <c r="D8754" s="5" t="s">
        <v>13481</v>
      </c>
      <c r="E8754" s="43">
        <v>1000</v>
      </c>
      <c r="F8754" s="43"/>
      <c r="G8754" s="48">
        <f t="shared" si="221"/>
        <v>194888.31182795716</v>
      </c>
      <c r="H8754" s="392" t="s">
        <v>9568</v>
      </c>
    </row>
    <row r="8755" spans="1:11" x14ac:dyDescent="0.3">
      <c r="A8755" s="45">
        <v>45351</v>
      </c>
      <c r="B8755" s="399" t="s">
        <v>12867</v>
      </c>
      <c r="C8755" s="5" t="s">
        <v>5793</v>
      </c>
      <c r="D8755" s="5" t="s">
        <v>40</v>
      </c>
      <c r="E8755" s="43">
        <v>270</v>
      </c>
      <c r="F8755" s="43"/>
      <c r="G8755" s="48">
        <f t="shared" si="221"/>
        <v>194618.31182795716</v>
      </c>
      <c r="H8755" s="392" t="s">
        <v>9568</v>
      </c>
    </row>
    <row r="8756" spans="1:11" x14ac:dyDescent="0.3">
      <c r="A8756" s="45">
        <v>45351</v>
      </c>
      <c r="B8756" s="399" t="s">
        <v>12189</v>
      </c>
      <c r="C8756" s="5" t="s">
        <v>13387</v>
      </c>
      <c r="D8756" s="5" t="s">
        <v>294</v>
      </c>
      <c r="E8756" s="43">
        <v>10000</v>
      </c>
      <c r="F8756" s="43"/>
      <c r="G8756" s="48">
        <f t="shared" si="221"/>
        <v>184618.31182795716</v>
      </c>
      <c r="H8756" s="392" t="s">
        <v>9568</v>
      </c>
    </row>
    <row r="8757" spans="1:11" x14ac:dyDescent="0.3">
      <c r="A8757" s="45">
        <v>45351</v>
      </c>
      <c r="B8757" s="399" t="s">
        <v>12189</v>
      </c>
      <c r="C8757" s="5" t="s">
        <v>5162</v>
      </c>
      <c r="D8757" s="5" t="s">
        <v>13482</v>
      </c>
      <c r="E8757" s="43">
        <v>3000</v>
      </c>
      <c r="F8757" s="43"/>
      <c r="G8757" s="48">
        <f t="shared" si="221"/>
        <v>181618.31182795716</v>
      </c>
      <c r="H8757" s="392" t="s">
        <v>9568</v>
      </c>
      <c r="K8757" s="238"/>
    </row>
    <row r="8758" spans="1:11" x14ac:dyDescent="0.3">
      <c r="A8758" s="45">
        <v>45351</v>
      </c>
      <c r="B8758" s="399"/>
      <c r="C8758" s="5" t="s">
        <v>84</v>
      </c>
      <c r="D8758" s="5" t="s">
        <v>13483</v>
      </c>
      <c r="E8758" s="43">
        <v>8000</v>
      </c>
      <c r="F8758" s="43"/>
      <c r="G8758" s="48">
        <f t="shared" si="221"/>
        <v>173618.31182795716</v>
      </c>
      <c r="H8758" s="392" t="s">
        <v>9568</v>
      </c>
      <c r="K8758" s="656"/>
    </row>
    <row r="8759" spans="1:11" x14ac:dyDescent="0.3">
      <c r="A8759" s="45">
        <v>45351</v>
      </c>
      <c r="B8759" s="399" t="s">
        <v>25</v>
      </c>
      <c r="C8759" s="5" t="s">
        <v>4400</v>
      </c>
      <c r="D8759" s="5" t="s">
        <v>13484</v>
      </c>
      <c r="E8759" s="43">
        <v>5330</v>
      </c>
      <c r="F8759" s="43"/>
      <c r="G8759" s="48">
        <f t="shared" si="221"/>
        <v>168288.31182795716</v>
      </c>
      <c r="H8759" s="392" t="s">
        <v>9568</v>
      </c>
    </row>
    <row r="8760" spans="1:11" x14ac:dyDescent="0.3">
      <c r="A8760" s="45">
        <v>45353</v>
      </c>
      <c r="B8760" s="399"/>
      <c r="C8760" s="5" t="s">
        <v>10709</v>
      </c>
      <c r="D8760" s="5" t="s">
        <v>3172</v>
      </c>
      <c r="E8760" s="43">
        <v>2000</v>
      </c>
      <c r="F8760" s="43"/>
      <c r="G8760" s="48">
        <f t="shared" si="221"/>
        <v>166288.31182795716</v>
      </c>
      <c r="H8760" s="392" t="s">
        <v>9568</v>
      </c>
    </row>
    <row r="8761" spans="1:11" x14ac:dyDescent="0.3">
      <c r="A8761" s="45">
        <v>45353</v>
      </c>
      <c r="B8761" s="399"/>
      <c r="C8761" s="5" t="s">
        <v>25</v>
      </c>
      <c r="D8761" s="5" t="s">
        <v>13433</v>
      </c>
      <c r="E8761" s="43">
        <v>6000</v>
      </c>
      <c r="F8761" s="43"/>
      <c r="G8761" s="48">
        <f t="shared" si="221"/>
        <v>160288.31182795716</v>
      </c>
      <c r="H8761" s="392" t="s">
        <v>9568</v>
      </c>
    </row>
    <row r="8762" spans="1:11" x14ac:dyDescent="0.3">
      <c r="A8762" s="45">
        <v>45353</v>
      </c>
      <c r="B8762" s="399" t="s">
        <v>13476</v>
      </c>
      <c r="C8762" s="5" t="s">
        <v>14</v>
      </c>
      <c r="D8762" s="5" t="s">
        <v>294</v>
      </c>
      <c r="E8762" s="43">
        <v>10000</v>
      </c>
      <c r="F8762" s="43"/>
      <c r="G8762" s="48">
        <f t="shared" si="221"/>
        <v>150288.31182795716</v>
      </c>
      <c r="H8762" s="392" t="s">
        <v>9568</v>
      </c>
    </row>
    <row r="8763" spans="1:11" x14ac:dyDescent="0.3">
      <c r="A8763" s="45">
        <v>45353</v>
      </c>
      <c r="B8763" s="399" t="s">
        <v>13476</v>
      </c>
      <c r="C8763" s="5" t="s">
        <v>57</v>
      </c>
      <c r="D8763" s="5" t="s">
        <v>5813</v>
      </c>
      <c r="E8763" s="43">
        <v>100000</v>
      </c>
      <c r="F8763" s="43"/>
      <c r="G8763" s="48">
        <f t="shared" si="221"/>
        <v>50288.311827957164</v>
      </c>
      <c r="H8763" s="392" t="s">
        <v>9568</v>
      </c>
    </row>
    <row r="8764" spans="1:11" x14ac:dyDescent="0.3">
      <c r="A8764" s="45">
        <v>45353</v>
      </c>
      <c r="B8764" s="399" t="s">
        <v>13584</v>
      </c>
      <c r="C8764" s="517" t="s">
        <v>11194</v>
      </c>
      <c r="D8764" s="517" t="s">
        <v>13442</v>
      </c>
      <c r="E8764" s="519">
        <v>17000</v>
      </c>
      <c r="F8764" s="43"/>
      <c r="G8764" s="48">
        <f t="shared" si="221"/>
        <v>33288.311827957164</v>
      </c>
      <c r="H8764" s="392" t="s">
        <v>9568</v>
      </c>
    </row>
    <row r="8765" spans="1:11" x14ac:dyDescent="0.3">
      <c r="A8765" s="45">
        <v>45353</v>
      </c>
      <c r="B8765" s="399" t="s">
        <v>12088</v>
      </c>
      <c r="C8765" s="5" t="s">
        <v>5793</v>
      </c>
      <c r="D8765" s="5" t="s">
        <v>8924</v>
      </c>
      <c r="E8765" s="43">
        <v>400</v>
      </c>
      <c r="F8765" s="43"/>
      <c r="G8765" s="48">
        <f t="shared" si="221"/>
        <v>32888.311827957164</v>
      </c>
      <c r="H8765" s="392" t="s">
        <v>9568</v>
      </c>
    </row>
    <row r="8766" spans="1:11" x14ac:dyDescent="0.3">
      <c r="A8766" s="45">
        <v>45353</v>
      </c>
      <c r="B8766" s="399" t="s">
        <v>12088</v>
      </c>
      <c r="C8766" s="5" t="s">
        <v>9801</v>
      </c>
      <c r="D8766" s="5" t="s">
        <v>40</v>
      </c>
      <c r="E8766" s="43">
        <v>200</v>
      </c>
      <c r="F8766" s="43"/>
      <c r="G8766" s="48">
        <f t="shared" si="221"/>
        <v>32688.311827957164</v>
      </c>
      <c r="H8766" s="392" t="s">
        <v>9568</v>
      </c>
    </row>
    <row r="8767" spans="1:11" x14ac:dyDescent="0.3">
      <c r="A8767" s="45">
        <v>45353</v>
      </c>
      <c r="B8767" s="399" t="s">
        <v>10333</v>
      </c>
      <c r="C8767" s="5" t="s">
        <v>5793</v>
      </c>
      <c r="D8767" s="5" t="s">
        <v>13487</v>
      </c>
      <c r="E8767" s="43">
        <v>5000</v>
      </c>
      <c r="F8767" s="43"/>
      <c r="G8767" s="48">
        <f t="shared" si="221"/>
        <v>27688.311827957164</v>
      </c>
      <c r="H8767" s="392" t="s">
        <v>9568</v>
      </c>
    </row>
    <row r="8768" spans="1:11" x14ac:dyDescent="0.3">
      <c r="A8768" s="45">
        <v>45353</v>
      </c>
      <c r="B8768" s="399" t="s">
        <v>12678</v>
      </c>
      <c r="C8768" s="5" t="s">
        <v>6430</v>
      </c>
      <c r="D8768" s="5" t="s">
        <v>13488</v>
      </c>
      <c r="E8768" s="43">
        <v>8000</v>
      </c>
      <c r="F8768" s="43"/>
      <c r="G8768" s="48">
        <f t="shared" si="221"/>
        <v>19688.311827957164</v>
      </c>
      <c r="H8768" s="392" t="s">
        <v>9568</v>
      </c>
    </row>
    <row r="8769" spans="1:15" x14ac:dyDescent="0.3">
      <c r="A8769" s="45">
        <v>45353</v>
      </c>
      <c r="B8769" s="399" t="s">
        <v>12189</v>
      </c>
      <c r="C8769" s="5" t="s">
        <v>5162</v>
      </c>
      <c r="D8769" s="5" t="s">
        <v>5813</v>
      </c>
      <c r="E8769" s="43">
        <v>4000</v>
      </c>
      <c r="F8769" s="43"/>
      <c r="G8769" s="48">
        <f t="shared" si="221"/>
        <v>15688.311827957164</v>
      </c>
      <c r="H8769" s="392" t="s">
        <v>9568</v>
      </c>
    </row>
    <row r="8770" spans="1:15" x14ac:dyDescent="0.3">
      <c r="A8770" s="45">
        <v>45353</v>
      </c>
      <c r="B8770" s="399" t="s">
        <v>12189</v>
      </c>
      <c r="C8770" s="5" t="s">
        <v>84</v>
      </c>
      <c r="D8770" s="5" t="s">
        <v>13489</v>
      </c>
      <c r="E8770" s="43">
        <v>2000</v>
      </c>
      <c r="F8770" s="43"/>
      <c r="G8770" s="48">
        <f t="shared" si="221"/>
        <v>13688.311827957164</v>
      </c>
      <c r="H8770" s="392" t="s">
        <v>9568</v>
      </c>
    </row>
    <row r="8771" spans="1:15" x14ac:dyDescent="0.3">
      <c r="A8771" s="45">
        <v>45353</v>
      </c>
      <c r="B8771" s="399" t="s">
        <v>25</v>
      </c>
      <c r="C8771" s="5" t="s">
        <v>13490</v>
      </c>
      <c r="D8771" s="5" t="s">
        <v>13491</v>
      </c>
      <c r="E8771" s="43">
        <v>3000</v>
      </c>
      <c r="F8771" s="43"/>
      <c r="G8771" s="48">
        <f t="shared" si="221"/>
        <v>10688.311827957164</v>
      </c>
      <c r="H8771" s="392" t="s">
        <v>9568</v>
      </c>
    </row>
    <row r="8772" spans="1:15" x14ac:dyDescent="0.3">
      <c r="A8772" s="45">
        <v>45353</v>
      </c>
      <c r="B8772" s="399" t="s">
        <v>12189</v>
      </c>
      <c r="C8772" s="5" t="s">
        <v>5793</v>
      </c>
      <c r="D8772" s="5" t="s">
        <v>40</v>
      </c>
      <c r="E8772" s="43">
        <v>1200</v>
      </c>
      <c r="F8772" s="43"/>
      <c r="G8772" s="48">
        <f t="shared" ref="G8772:G8811" si="222">G8771+F8772-E8772</f>
        <v>9488.3118279571645</v>
      </c>
      <c r="H8772" s="392" t="s">
        <v>9568</v>
      </c>
    </row>
    <row r="8773" spans="1:15" x14ac:dyDescent="0.3">
      <c r="A8773" s="45">
        <v>45355</v>
      </c>
      <c r="B8773" s="399" t="s">
        <v>12287</v>
      </c>
      <c r="C8773" s="5" t="s">
        <v>1074</v>
      </c>
      <c r="D8773" s="5" t="s">
        <v>4601</v>
      </c>
      <c r="E8773" s="43">
        <v>865</v>
      </c>
      <c r="F8773" s="43"/>
      <c r="G8773" s="48">
        <f t="shared" si="222"/>
        <v>8623.3118279571645</v>
      </c>
      <c r="H8773" s="392" t="s">
        <v>9568</v>
      </c>
    </row>
    <row r="8774" spans="1:15" x14ac:dyDescent="0.3">
      <c r="A8774" s="45">
        <v>45355</v>
      </c>
      <c r="B8774" s="399" t="s">
        <v>25</v>
      </c>
      <c r="C8774" s="5" t="s">
        <v>1074</v>
      </c>
      <c r="D8774" s="5" t="s">
        <v>4601</v>
      </c>
      <c r="E8774" s="43">
        <v>745</v>
      </c>
      <c r="F8774" s="43"/>
      <c r="G8774" s="48">
        <f t="shared" si="222"/>
        <v>7878.3118279571645</v>
      </c>
      <c r="H8774" s="392" t="s">
        <v>9568</v>
      </c>
    </row>
    <row r="8775" spans="1:15" x14ac:dyDescent="0.3">
      <c r="A8775" s="45">
        <v>45355</v>
      </c>
      <c r="B8775" s="399"/>
      <c r="C8775" s="5" t="s">
        <v>14</v>
      </c>
      <c r="D8775" s="5" t="s">
        <v>4601</v>
      </c>
      <c r="E8775" s="43">
        <v>675</v>
      </c>
      <c r="F8775" s="43"/>
      <c r="G8775" s="48">
        <f t="shared" si="222"/>
        <v>7203.3118279571645</v>
      </c>
      <c r="H8775" s="392" t="s">
        <v>9568</v>
      </c>
    </row>
    <row r="8776" spans="1:15" x14ac:dyDescent="0.3">
      <c r="A8776" s="45">
        <v>45355</v>
      </c>
      <c r="B8776" s="399"/>
      <c r="C8776" s="5" t="s">
        <v>25</v>
      </c>
      <c r="D8776" s="5" t="s">
        <v>13433</v>
      </c>
      <c r="E8776" s="43">
        <v>3000</v>
      </c>
      <c r="F8776" s="43"/>
      <c r="G8776" s="48">
        <f t="shared" si="222"/>
        <v>4203.3118279571645</v>
      </c>
      <c r="H8776" s="392" t="s">
        <v>9568</v>
      </c>
    </row>
    <row r="8777" spans="1:15" x14ac:dyDescent="0.3">
      <c r="A8777" s="45">
        <v>45355</v>
      </c>
      <c r="B8777" s="586"/>
      <c r="C8777" s="486"/>
      <c r="D8777" s="497" t="s">
        <v>13470</v>
      </c>
      <c r="E8777" s="486"/>
      <c r="F8777" s="28">
        <v>100000</v>
      </c>
      <c r="G8777" s="48">
        <f t="shared" si="222"/>
        <v>104203.31182795716</v>
      </c>
      <c r="H8777" s="392" t="s">
        <v>9568</v>
      </c>
    </row>
    <row r="8778" spans="1:15" x14ac:dyDescent="0.3">
      <c r="A8778" s="45">
        <v>45355</v>
      </c>
      <c r="B8778" s="399" t="s">
        <v>12189</v>
      </c>
      <c r="C8778" s="5" t="s">
        <v>9288</v>
      </c>
      <c r="D8778" s="5" t="s">
        <v>294</v>
      </c>
      <c r="E8778" s="43">
        <v>10000</v>
      </c>
      <c r="F8778" s="43"/>
      <c r="G8778" s="48">
        <f t="shared" si="222"/>
        <v>94203.311827957164</v>
      </c>
      <c r="H8778" s="392" t="s">
        <v>9568</v>
      </c>
    </row>
    <row r="8779" spans="1:15" x14ac:dyDescent="0.3">
      <c r="A8779" s="45">
        <v>45355</v>
      </c>
      <c r="B8779" s="399" t="s">
        <v>12867</v>
      </c>
      <c r="C8779" s="5" t="s">
        <v>11194</v>
      </c>
      <c r="D8779" s="5" t="s">
        <v>13493</v>
      </c>
      <c r="E8779" s="43">
        <v>10000</v>
      </c>
      <c r="F8779" s="43"/>
      <c r="G8779" s="48">
        <f t="shared" si="222"/>
        <v>84203.311827957164</v>
      </c>
      <c r="H8779" s="392" t="s">
        <v>9568</v>
      </c>
    </row>
    <row r="8780" spans="1:15" x14ac:dyDescent="0.3">
      <c r="A8780" s="45">
        <v>45355</v>
      </c>
      <c r="B8780" s="399" t="s">
        <v>12867</v>
      </c>
      <c r="C8780" s="5" t="s">
        <v>9452</v>
      </c>
      <c r="D8780" s="5" t="s">
        <v>13494</v>
      </c>
      <c r="E8780" s="43">
        <v>6000</v>
      </c>
      <c r="F8780" s="43"/>
      <c r="G8780" s="48">
        <f t="shared" si="222"/>
        <v>78203.311827957164</v>
      </c>
      <c r="H8780" s="392" t="s">
        <v>9568</v>
      </c>
    </row>
    <row r="8781" spans="1:15" x14ac:dyDescent="0.3">
      <c r="A8781" s="45">
        <v>45355</v>
      </c>
      <c r="B8781" s="399"/>
      <c r="C8781" s="5" t="s">
        <v>14</v>
      </c>
      <c r="D8781" s="5" t="s">
        <v>294</v>
      </c>
      <c r="E8781" s="43">
        <v>5000</v>
      </c>
      <c r="F8781" s="43"/>
      <c r="G8781" s="48">
        <f t="shared" si="222"/>
        <v>73203.311827957164</v>
      </c>
      <c r="H8781" s="392" t="s">
        <v>9568</v>
      </c>
    </row>
    <row r="8782" spans="1:15" x14ac:dyDescent="0.3">
      <c r="A8782" s="45">
        <v>45355</v>
      </c>
      <c r="B8782" s="399" t="s">
        <v>25</v>
      </c>
      <c r="C8782" s="5" t="s">
        <v>13495</v>
      </c>
      <c r="D8782" s="5" t="s">
        <v>294</v>
      </c>
      <c r="E8782" s="43">
        <v>7000</v>
      </c>
      <c r="F8782" s="43"/>
      <c r="G8782" s="48">
        <f t="shared" si="222"/>
        <v>66203.311827957164</v>
      </c>
      <c r="H8782" s="392" t="s">
        <v>9568</v>
      </c>
    </row>
    <row r="8783" spans="1:15" ht="21" x14ac:dyDescent="0.3">
      <c r="A8783" s="45">
        <v>45355</v>
      </c>
      <c r="B8783" s="586"/>
      <c r="C8783" s="486"/>
      <c r="D8783" s="497" t="s">
        <v>13470</v>
      </c>
      <c r="E8783" s="486"/>
      <c r="F8783" s="28">
        <v>1000000</v>
      </c>
      <c r="G8783" s="48">
        <f t="shared" si="222"/>
        <v>1066203.3118279572</v>
      </c>
      <c r="H8783" s="392" t="s">
        <v>9568</v>
      </c>
      <c r="M8783" s="669" t="s">
        <v>13499</v>
      </c>
      <c r="N8783" s="670"/>
      <c r="O8783" s="657"/>
    </row>
    <row r="8784" spans="1:15" x14ac:dyDescent="0.3">
      <c r="A8784" s="45">
        <v>45355</v>
      </c>
      <c r="B8784" s="397" t="s">
        <v>12189</v>
      </c>
      <c r="C8784" s="186" t="s">
        <v>54</v>
      </c>
      <c r="D8784" s="186" t="s">
        <v>12822</v>
      </c>
      <c r="E8784" s="187">
        <v>46250</v>
      </c>
      <c r="F8784" s="43"/>
      <c r="G8784" s="48">
        <f t="shared" si="222"/>
        <v>1019953.3118279572</v>
      </c>
      <c r="H8784" s="392" t="s">
        <v>9568</v>
      </c>
      <c r="M8784" s="43">
        <v>468000</v>
      </c>
      <c r="N8784" s="5" t="s">
        <v>13497</v>
      </c>
      <c r="O8784" s="5"/>
    </row>
    <row r="8785" spans="1:15" x14ac:dyDescent="0.3">
      <c r="A8785" s="45">
        <v>45355</v>
      </c>
      <c r="B8785" s="399" t="s">
        <v>25</v>
      </c>
      <c r="C8785" s="5" t="s">
        <v>25</v>
      </c>
      <c r="D8785" s="5" t="s">
        <v>13321</v>
      </c>
      <c r="E8785" s="43">
        <v>1000</v>
      </c>
      <c r="F8785" s="43"/>
      <c r="G8785" s="48">
        <f t="shared" si="222"/>
        <v>1018953.3118279572</v>
      </c>
      <c r="H8785" s="392" t="s">
        <v>9568</v>
      </c>
      <c r="M8785" s="43"/>
      <c r="N8785" s="5"/>
      <c r="O8785" s="5"/>
    </row>
    <row r="8786" spans="1:15" x14ac:dyDescent="0.3">
      <c r="A8786" s="45">
        <v>45355</v>
      </c>
      <c r="B8786" s="399" t="s">
        <v>13476</v>
      </c>
      <c r="C8786" s="5" t="s">
        <v>57</v>
      </c>
      <c r="D8786" s="5" t="s">
        <v>3910</v>
      </c>
      <c r="E8786" s="43">
        <v>150000</v>
      </c>
      <c r="F8786" s="43"/>
      <c r="G8786" s="48">
        <f t="shared" si="222"/>
        <v>868953.31182795716</v>
      </c>
      <c r="H8786" s="392" t="s">
        <v>9568</v>
      </c>
      <c r="M8786" s="43">
        <v>535500</v>
      </c>
      <c r="N8786" s="5" t="s">
        <v>13498</v>
      </c>
      <c r="O8786" s="5"/>
    </row>
    <row r="8787" spans="1:15" x14ac:dyDescent="0.3">
      <c r="A8787" s="45">
        <v>45355</v>
      </c>
      <c r="B8787" s="397" t="s">
        <v>12191</v>
      </c>
      <c r="C8787" s="186" t="s">
        <v>54</v>
      </c>
      <c r="D8787" s="186" t="s">
        <v>13320</v>
      </c>
      <c r="E8787" s="187">
        <v>36050</v>
      </c>
      <c r="F8787" s="43"/>
      <c r="G8787" s="48">
        <f t="shared" si="222"/>
        <v>832903.31182795716</v>
      </c>
      <c r="H8787" s="392" t="s">
        <v>9568</v>
      </c>
    </row>
    <row r="8788" spans="1:15" x14ac:dyDescent="0.3">
      <c r="A8788" s="45">
        <v>45355</v>
      </c>
      <c r="B8788" s="397" t="s">
        <v>25</v>
      </c>
      <c r="C8788" s="186" t="s">
        <v>54</v>
      </c>
      <c r="D8788" s="186" t="s">
        <v>11399</v>
      </c>
      <c r="E8788" s="187">
        <f>5000+22000+75000+77000+47000+41000</f>
        <v>267000</v>
      </c>
      <c r="F8788" s="43"/>
      <c r="G8788" s="48">
        <f t="shared" si="222"/>
        <v>565903.31182795716</v>
      </c>
      <c r="H8788" s="392" t="s">
        <v>9568</v>
      </c>
      <c r="M8788" s="93"/>
    </row>
    <row r="8789" spans="1:15" x14ac:dyDescent="0.3">
      <c r="A8789" s="45">
        <v>45355</v>
      </c>
      <c r="B8789" s="397" t="s">
        <v>13584</v>
      </c>
      <c r="C8789" s="186" t="s">
        <v>54</v>
      </c>
      <c r="D8789" s="186" t="s">
        <v>12824</v>
      </c>
      <c r="E8789" s="187">
        <v>50430</v>
      </c>
      <c r="F8789" s="43"/>
      <c r="G8789" s="48">
        <f t="shared" si="222"/>
        <v>515473.31182795716</v>
      </c>
      <c r="H8789" s="392" t="s">
        <v>9568</v>
      </c>
      <c r="M8789" s="93"/>
    </row>
    <row r="8790" spans="1:15" x14ac:dyDescent="0.3">
      <c r="A8790" s="45">
        <v>45356</v>
      </c>
      <c r="B8790" s="399" t="s">
        <v>12388</v>
      </c>
      <c r="C8790" s="5" t="s">
        <v>11194</v>
      </c>
      <c r="D8790" s="5" t="s">
        <v>13496</v>
      </c>
      <c r="E8790" s="43">
        <v>4800</v>
      </c>
      <c r="F8790" s="43"/>
      <c r="G8790" s="48">
        <f t="shared" si="222"/>
        <v>510673.31182795716</v>
      </c>
      <c r="H8790" s="392" t="s">
        <v>9568</v>
      </c>
    </row>
    <row r="8791" spans="1:15" x14ac:dyDescent="0.3">
      <c r="A8791" s="45">
        <v>45356</v>
      </c>
      <c r="B8791" s="397" t="s">
        <v>12132</v>
      </c>
      <c r="C8791" s="186" t="s">
        <v>54</v>
      </c>
      <c r="D8791" s="186" t="s">
        <v>12815</v>
      </c>
      <c r="E8791" s="187">
        <v>164698.27586206899</v>
      </c>
      <c r="F8791" s="43"/>
      <c r="G8791" s="48">
        <f t="shared" si="222"/>
        <v>345975.03596588818</v>
      </c>
      <c r="H8791" s="392" t="s">
        <v>9568</v>
      </c>
    </row>
    <row r="8792" spans="1:15" x14ac:dyDescent="0.3">
      <c r="A8792" s="45">
        <v>45356</v>
      </c>
      <c r="B8792" s="399" t="s">
        <v>12138</v>
      </c>
      <c r="C8792" s="5" t="s">
        <v>30</v>
      </c>
      <c r="D8792" s="5" t="s">
        <v>10651</v>
      </c>
      <c r="E8792" s="43">
        <v>500</v>
      </c>
      <c r="F8792" s="43"/>
      <c r="G8792" s="48">
        <f t="shared" si="222"/>
        <v>345475.03596588818</v>
      </c>
      <c r="H8792" s="392" t="s">
        <v>9568</v>
      </c>
    </row>
    <row r="8793" spans="1:15" x14ac:dyDescent="0.3">
      <c r="A8793" s="45">
        <v>45356</v>
      </c>
      <c r="B8793" s="399"/>
      <c r="C8793" s="5" t="s">
        <v>25</v>
      </c>
      <c r="D8793" s="5" t="s">
        <v>13433</v>
      </c>
      <c r="E8793" s="43">
        <v>4000</v>
      </c>
      <c r="F8793" s="43"/>
      <c r="G8793" s="48">
        <f t="shared" si="222"/>
        <v>341475.03596588818</v>
      </c>
      <c r="H8793" s="392" t="s">
        <v>9568</v>
      </c>
    </row>
    <row r="8794" spans="1:15" x14ac:dyDescent="0.3">
      <c r="A8794" s="45">
        <v>45356</v>
      </c>
      <c r="B8794" s="397" t="s">
        <v>12867</v>
      </c>
      <c r="C8794" s="186" t="s">
        <v>54</v>
      </c>
      <c r="D8794" s="186" t="s">
        <v>13334</v>
      </c>
      <c r="E8794" s="187">
        <v>70000</v>
      </c>
      <c r="F8794" s="43"/>
      <c r="G8794" s="48">
        <f t="shared" si="222"/>
        <v>271475.03596588818</v>
      </c>
      <c r="H8794" s="392" t="s">
        <v>9568</v>
      </c>
    </row>
    <row r="8795" spans="1:15" x14ac:dyDescent="0.3">
      <c r="A8795" s="45">
        <v>45356</v>
      </c>
      <c r="B8795" s="399"/>
      <c r="C8795" s="5" t="s">
        <v>5162</v>
      </c>
      <c r="D8795" s="5" t="s">
        <v>13500</v>
      </c>
      <c r="E8795" s="43">
        <v>5000</v>
      </c>
      <c r="F8795" s="43"/>
      <c r="G8795" s="48">
        <f t="shared" si="222"/>
        <v>266475.03596588818</v>
      </c>
      <c r="H8795" s="392" t="s">
        <v>9568</v>
      </c>
    </row>
    <row r="8796" spans="1:15" x14ac:dyDescent="0.3">
      <c r="A8796" s="45">
        <v>45356</v>
      </c>
      <c r="B8796" s="399" t="s">
        <v>12678</v>
      </c>
      <c r="C8796" s="5" t="s">
        <v>11194</v>
      </c>
      <c r="D8796" s="5" t="s">
        <v>13512</v>
      </c>
      <c r="E8796" s="43">
        <v>2400</v>
      </c>
      <c r="F8796" s="43"/>
      <c r="G8796" s="48">
        <f t="shared" si="222"/>
        <v>264075.03596588818</v>
      </c>
      <c r="H8796" s="392" t="s">
        <v>9568</v>
      </c>
    </row>
    <row r="8797" spans="1:15" x14ac:dyDescent="0.3">
      <c r="A8797" s="45">
        <v>45356</v>
      </c>
      <c r="B8797" s="399" t="s">
        <v>13285</v>
      </c>
      <c r="C8797" s="5" t="s">
        <v>9647</v>
      </c>
      <c r="D8797" s="5" t="s">
        <v>294</v>
      </c>
      <c r="E8797" s="43">
        <v>22000</v>
      </c>
      <c r="F8797" s="43"/>
      <c r="G8797" s="48">
        <f t="shared" si="222"/>
        <v>242075.03596588818</v>
      </c>
      <c r="H8797" s="392" t="s">
        <v>9568</v>
      </c>
    </row>
    <row r="8798" spans="1:15" x14ac:dyDescent="0.3">
      <c r="A8798" s="45">
        <v>45356</v>
      </c>
      <c r="B8798" s="586"/>
      <c r="C8798" s="486"/>
      <c r="D8798" s="497" t="s">
        <v>13504</v>
      </c>
      <c r="E8798" s="486"/>
      <c r="F8798" s="28">
        <v>100000</v>
      </c>
      <c r="G8798" s="48">
        <f t="shared" si="222"/>
        <v>342075.03596588818</v>
      </c>
      <c r="H8798" s="392" t="s">
        <v>9568</v>
      </c>
    </row>
    <row r="8799" spans="1:15" x14ac:dyDescent="0.3">
      <c r="A8799" s="45">
        <v>45356</v>
      </c>
      <c r="B8799" s="397" t="s">
        <v>12098</v>
      </c>
      <c r="C8799" s="186" t="s">
        <v>54</v>
      </c>
      <c r="D8799" s="186" t="s">
        <v>6236</v>
      </c>
      <c r="E8799" s="187">
        <v>131915.94827586209</v>
      </c>
      <c r="F8799" s="43"/>
      <c r="G8799" s="48">
        <f t="shared" si="222"/>
        <v>210159.08769002609</v>
      </c>
      <c r="H8799" s="392" t="s">
        <v>9568</v>
      </c>
    </row>
    <row r="8800" spans="1:15" x14ac:dyDescent="0.3">
      <c r="A8800" s="45">
        <v>45356</v>
      </c>
      <c r="B8800" s="397" t="s">
        <v>12191</v>
      </c>
      <c r="C8800" s="186" t="s">
        <v>54</v>
      </c>
      <c r="D8800" s="186" t="s">
        <v>13502</v>
      </c>
      <c r="E8800" s="187">
        <v>88680</v>
      </c>
      <c r="F8800" s="43"/>
      <c r="G8800" s="48">
        <f t="shared" si="222"/>
        <v>121479.08769002609</v>
      </c>
      <c r="H8800" s="392" t="s">
        <v>9568</v>
      </c>
    </row>
    <row r="8801" spans="1:15" x14ac:dyDescent="0.3">
      <c r="A8801" s="45">
        <v>45356</v>
      </c>
      <c r="B8801" s="397" t="s">
        <v>13476</v>
      </c>
      <c r="C8801" s="186" t="s">
        <v>54</v>
      </c>
      <c r="D8801" s="186" t="s">
        <v>13503</v>
      </c>
      <c r="E8801" s="187">
        <v>71890</v>
      </c>
      <c r="F8801" s="43"/>
      <c r="G8801" s="48">
        <f t="shared" si="222"/>
        <v>49589.087690026092</v>
      </c>
      <c r="H8801" s="392" t="s">
        <v>9568</v>
      </c>
    </row>
    <row r="8802" spans="1:15" x14ac:dyDescent="0.3">
      <c r="A8802" s="45">
        <v>45356</v>
      </c>
      <c r="B8802" s="397" t="s">
        <v>12138</v>
      </c>
      <c r="C8802" s="186" t="s">
        <v>54</v>
      </c>
      <c r="D8802" s="186" t="s">
        <v>12821</v>
      </c>
      <c r="E8802" s="187">
        <v>17930</v>
      </c>
      <c r="F8802" s="43"/>
      <c r="G8802" s="48">
        <f t="shared" si="222"/>
        <v>31659.087690026092</v>
      </c>
      <c r="H8802" s="392" t="s">
        <v>9568</v>
      </c>
    </row>
    <row r="8803" spans="1:15" x14ac:dyDescent="0.3">
      <c r="A8803" s="45">
        <v>45356</v>
      </c>
      <c r="B8803" s="399" t="s">
        <v>12132</v>
      </c>
      <c r="C8803" s="5" t="s">
        <v>26</v>
      </c>
      <c r="D8803" s="5" t="s">
        <v>5915</v>
      </c>
      <c r="E8803" s="43">
        <v>3000</v>
      </c>
      <c r="F8803" s="43"/>
      <c r="G8803" s="48">
        <f t="shared" si="222"/>
        <v>28659.087690026092</v>
      </c>
      <c r="H8803" s="392" t="s">
        <v>9568</v>
      </c>
    </row>
    <row r="8804" spans="1:15" x14ac:dyDescent="0.3">
      <c r="A8804" s="45">
        <v>45356</v>
      </c>
      <c r="B8804" s="518" t="s">
        <v>12132</v>
      </c>
      <c r="C8804" s="517" t="s">
        <v>11194</v>
      </c>
      <c r="D8804" s="517" t="s">
        <v>13505</v>
      </c>
      <c r="E8804" s="519">
        <v>5000</v>
      </c>
      <c r="F8804" s="43"/>
      <c r="G8804" s="48">
        <f t="shared" si="222"/>
        <v>23659.087690026092</v>
      </c>
      <c r="H8804" s="392" t="s">
        <v>9568</v>
      </c>
    </row>
    <row r="8805" spans="1:15" ht="21" x14ac:dyDescent="0.3">
      <c r="A8805" s="45">
        <v>45356</v>
      </c>
      <c r="B8805" s="586"/>
      <c r="C8805" s="486"/>
      <c r="D8805" s="497" t="s">
        <v>13470</v>
      </c>
      <c r="E8805" s="486"/>
      <c r="F8805" s="28">
        <v>500000</v>
      </c>
      <c r="G8805" s="48">
        <f t="shared" si="222"/>
        <v>523659.08769002609</v>
      </c>
      <c r="H8805" s="392" t="s">
        <v>9568</v>
      </c>
      <c r="I8805" s="609" t="s">
        <v>12581</v>
      </c>
      <c r="J8805" s="187" t="e">
        <f>#REF!</f>
        <v>#REF!</v>
      </c>
      <c r="M8805" s="669" t="s">
        <v>13499</v>
      </c>
      <c r="N8805" s="670"/>
      <c r="O8805" s="657"/>
    </row>
    <row r="8806" spans="1:15" x14ac:dyDescent="0.3">
      <c r="A8806" s="45">
        <v>45356</v>
      </c>
      <c r="B8806" s="397" t="s">
        <v>12138</v>
      </c>
      <c r="C8806" s="186" t="s">
        <v>54</v>
      </c>
      <c r="D8806" s="186" t="s">
        <v>6245</v>
      </c>
      <c r="E8806" s="187">
        <v>83000</v>
      </c>
      <c r="F8806" s="43"/>
      <c r="G8806" s="48">
        <f t="shared" si="222"/>
        <v>440659.08769002609</v>
      </c>
      <c r="H8806" s="392" t="s">
        <v>9568</v>
      </c>
      <c r="I8806" s="609" t="s">
        <v>55</v>
      </c>
      <c r="J8806" s="187">
        <f ca="1">SUMIF(C8780:E8861,"salary",E8780:E8861)</f>
        <v>2272167.7586206896</v>
      </c>
    </row>
    <row r="8807" spans="1:15" x14ac:dyDescent="0.3">
      <c r="A8807" s="45">
        <v>45356</v>
      </c>
      <c r="B8807" s="399"/>
      <c r="C8807" s="5" t="s">
        <v>5288</v>
      </c>
      <c r="D8807" s="5" t="s">
        <v>13506</v>
      </c>
      <c r="E8807" s="43">
        <v>5000</v>
      </c>
      <c r="F8807" s="43"/>
      <c r="G8807" s="48">
        <f t="shared" si="222"/>
        <v>435659.08769002609</v>
      </c>
      <c r="H8807" s="392" t="s">
        <v>9568</v>
      </c>
      <c r="I8807" s="609" t="s">
        <v>12294</v>
      </c>
      <c r="J8807" s="187" t="e">
        <f ca="1">J8805-J8806</f>
        <v>#REF!</v>
      </c>
    </row>
    <row r="8808" spans="1:15" x14ac:dyDescent="0.3">
      <c r="A8808" s="45">
        <v>45356</v>
      </c>
      <c r="B8808" s="397" t="s">
        <v>12189</v>
      </c>
      <c r="C8808" s="186" t="s">
        <v>54</v>
      </c>
      <c r="D8808" s="186" t="s">
        <v>11926</v>
      </c>
      <c r="E8808" s="187">
        <v>20700</v>
      </c>
      <c r="F8808" s="43"/>
      <c r="G8808" s="48">
        <f t="shared" si="222"/>
        <v>414959.08769002609</v>
      </c>
      <c r="H8808" s="392" t="s">
        <v>9568</v>
      </c>
    </row>
    <row r="8809" spans="1:15" x14ac:dyDescent="0.3">
      <c r="A8809" s="45">
        <v>45357</v>
      </c>
      <c r="B8809" s="399"/>
      <c r="C8809" s="5" t="s">
        <v>25</v>
      </c>
      <c r="D8809" s="5" t="s">
        <v>13433</v>
      </c>
      <c r="E8809" s="43">
        <v>5000</v>
      </c>
      <c r="F8809" s="43"/>
      <c r="G8809" s="48">
        <f t="shared" si="222"/>
        <v>409959.08769002609</v>
      </c>
      <c r="H8809" s="392" t="s">
        <v>9568</v>
      </c>
    </row>
    <row r="8810" spans="1:15" x14ac:dyDescent="0.3">
      <c r="A8810" s="45">
        <v>45357</v>
      </c>
      <c r="B8810" s="397" t="s">
        <v>12189</v>
      </c>
      <c r="C8810" s="186" t="s">
        <v>54</v>
      </c>
      <c r="D8810" s="186" t="s">
        <v>13507</v>
      </c>
      <c r="E8810" s="187">
        <v>39100</v>
      </c>
      <c r="F8810" s="43"/>
      <c r="G8810" s="48">
        <f t="shared" si="222"/>
        <v>370859.08769002609</v>
      </c>
      <c r="H8810" s="392" t="s">
        <v>9568</v>
      </c>
    </row>
    <row r="8811" spans="1:15" x14ac:dyDescent="0.3">
      <c r="A8811" s="45">
        <v>45357</v>
      </c>
      <c r="B8811" s="397" t="s">
        <v>12189</v>
      </c>
      <c r="C8811" s="186" t="s">
        <v>54</v>
      </c>
      <c r="D8811" s="186" t="s">
        <v>13508</v>
      </c>
      <c r="E8811" s="187">
        <v>34300</v>
      </c>
      <c r="F8811" s="43"/>
      <c r="G8811" s="48">
        <f t="shared" si="222"/>
        <v>336559.08769002609</v>
      </c>
      <c r="H8811" s="392" t="s">
        <v>9568</v>
      </c>
    </row>
    <row r="8812" spans="1:15" x14ac:dyDescent="0.3">
      <c r="A8812" s="45">
        <v>45357</v>
      </c>
      <c r="B8812" s="399" t="s">
        <v>12138</v>
      </c>
      <c r="C8812" s="5" t="s">
        <v>11194</v>
      </c>
      <c r="D8812" s="5" t="s">
        <v>13509</v>
      </c>
      <c r="E8812" s="65">
        <v>15500</v>
      </c>
      <c r="F8812" s="43"/>
      <c r="G8812" s="48">
        <f t="shared" ref="G8812:G8875" si="223">G8811+F8812-E8812</f>
        <v>321059.08769002609</v>
      </c>
      <c r="H8812" s="392" t="s">
        <v>9568</v>
      </c>
    </row>
    <row r="8813" spans="1:15" x14ac:dyDescent="0.3">
      <c r="A8813" s="45">
        <v>45357</v>
      </c>
      <c r="B8813" s="518" t="s">
        <v>5958</v>
      </c>
      <c r="C8813" s="517" t="s">
        <v>11194</v>
      </c>
      <c r="D8813" s="517" t="s">
        <v>13510</v>
      </c>
      <c r="E8813" s="519">
        <v>5000</v>
      </c>
      <c r="F8813" s="43"/>
      <c r="G8813" s="48">
        <f t="shared" si="223"/>
        <v>316059.08769002609</v>
      </c>
      <c r="H8813" s="392" t="s">
        <v>9568</v>
      </c>
    </row>
    <row r="8814" spans="1:15" x14ac:dyDescent="0.3">
      <c r="A8814" s="45">
        <v>45357</v>
      </c>
      <c r="B8814" s="397" t="s">
        <v>12131</v>
      </c>
      <c r="C8814" s="186" t="s">
        <v>54</v>
      </c>
      <c r="D8814" s="186" t="s">
        <v>13332</v>
      </c>
      <c r="E8814" s="187">
        <v>140338.36206896551</v>
      </c>
      <c r="F8814" s="43"/>
      <c r="G8814" s="48">
        <f t="shared" si="223"/>
        <v>175720.72562106058</v>
      </c>
      <c r="H8814" s="392" t="s">
        <v>9568</v>
      </c>
    </row>
    <row r="8815" spans="1:15" x14ac:dyDescent="0.3">
      <c r="A8815" s="45">
        <v>45357</v>
      </c>
      <c r="B8815" s="397" t="s">
        <v>12138</v>
      </c>
      <c r="C8815" s="186" t="s">
        <v>54</v>
      </c>
      <c r="D8815" s="186" t="s">
        <v>13125</v>
      </c>
      <c r="E8815" s="187">
        <v>57930</v>
      </c>
      <c r="F8815" s="43"/>
      <c r="G8815" s="48">
        <f t="shared" si="223"/>
        <v>117790.72562106058</v>
      </c>
      <c r="H8815" s="392" t="s">
        <v>9568</v>
      </c>
    </row>
    <row r="8816" spans="1:15" x14ac:dyDescent="0.3">
      <c r="A8816" s="45">
        <v>45357</v>
      </c>
      <c r="B8816" s="397" t="s">
        <v>12138</v>
      </c>
      <c r="C8816" s="186" t="s">
        <v>54</v>
      </c>
      <c r="D8816" s="186" t="s">
        <v>12849</v>
      </c>
      <c r="E8816" s="187">
        <v>28500</v>
      </c>
      <c r="F8816" s="43"/>
      <c r="G8816" s="48">
        <f t="shared" si="223"/>
        <v>89290.725621060585</v>
      </c>
      <c r="H8816" s="392" t="s">
        <v>9568</v>
      </c>
    </row>
    <row r="8817" spans="1:12" x14ac:dyDescent="0.3">
      <c r="A8817" s="45">
        <v>45357</v>
      </c>
      <c r="B8817" s="399" t="s">
        <v>25</v>
      </c>
      <c r="C8817" s="5" t="s">
        <v>13392</v>
      </c>
      <c r="D8817" s="5" t="s">
        <v>40</v>
      </c>
      <c r="E8817" s="43">
        <v>6000</v>
      </c>
      <c r="F8817" s="43"/>
      <c r="G8817" s="48">
        <f t="shared" si="223"/>
        <v>83290.725621060585</v>
      </c>
      <c r="H8817" s="392" t="s">
        <v>9568</v>
      </c>
    </row>
    <row r="8818" spans="1:12" x14ac:dyDescent="0.3">
      <c r="A8818" s="45">
        <v>45357</v>
      </c>
      <c r="B8818" s="397" t="s">
        <v>12867</v>
      </c>
      <c r="C8818" s="186" t="s">
        <v>54</v>
      </c>
      <c r="D8818" s="186" t="s">
        <v>13335</v>
      </c>
      <c r="E8818" s="187">
        <v>60000</v>
      </c>
      <c r="F8818" s="43"/>
      <c r="G8818" s="48">
        <f t="shared" si="223"/>
        <v>23290.725621060585</v>
      </c>
      <c r="H8818" s="392" t="s">
        <v>9568</v>
      </c>
    </row>
    <row r="8819" spans="1:12" x14ac:dyDescent="0.3">
      <c r="A8819" s="45">
        <v>45357</v>
      </c>
      <c r="B8819" s="399" t="s">
        <v>25</v>
      </c>
      <c r="C8819" s="5" t="s">
        <v>64</v>
      </c>
      <c r="D8819" s="5" t="s">
        <v>40</v>
      </c>
      <c r="E8819" s="43">
        <v>1700</v>
      </c>
      <c r="F8819" s="43"/>
      <c r="G8819" s="48">
        <f t="shared" si="223"/>
        <v>21590.725621060585</v>
      </c>
      <c r="H8819" s="392" t="s">
        <v>9568</v>
      </c>
    </row>
    <row r="8820" spans="1:12" x14ac:dyDescent="0.3">
      <c r="A8820" s="45">
        <v>45357</v>
      </c>
      <c r="B8820" s="399" t="s">
        <v>12189</v>
      </c>
      <c r="C8820" s="5" t="s">
        <v>5793</v>
      </c>
      <c r="D8820" s="5" t="s">
        <v>40</v>
      </c>
      <c r="E8820" s="43">
        <v>1400</v>
      </c>
      <c r="F8820" s="43"/>
      <c r="G8820" s="48">
        <f t="shared" si="223"/>
        <v>20190.725621060585</v>
      </c>
      <c r="H8820" s="392" t="s">
        <v>9568</v>
      </c>
    </row>
    <row r="8821" spans="1:12" x14ac:dyDescent="0.3">
      <c r="A8821" s="45">
        <v>45357</v>
      </c>
      <c r="B8821" s="399" t="s">
        <v>12189</v>
      </c>
      <c r="C8821" s="5" t="s">
        <v>11194</v>
      </c>
      <c r="D8821" s="5" t="s">
        <v>13513</v>
      </c>
      <c r="E8821" s="43">
        <v>950</v>
      </c>
      <c r="F8821" s="43"/>
      <c r="G8821" s="48">
        <f t="shared" si="223"/>
        <v>19240.725621060585</v>
      </c>
      <c r="H8821" s="392" t="s">
        <v>9568</v>
      </c>
    </row>
    <row r="8822" spans="1:12" x14ac:dyDescent="0.3">
      <c r="A8822" s="45">
        <v>45357</v>
      </c>
      <c r="B8822" s="399" t="s">
        <v>12189</v>
      </c>
      <c r="C8822" s="5" t="s">
        <v>107</v>
      </c>
      <c r="D8822" s="5" t="s">
        <v>294</v>
      </c>
      <c r="E8822" s="43">
        <v>5000</v>
      </c>
      <c r="F8822" s="43"/>
      <c r="G8822" s="48">
        <f t="shared" si="223"/>
        <v>14240.725621060585</v>
      </c>
      <c r="H8822" s="392" t="s">
        <v>9568</v>
      </c>
    </row>
    <row r="8823" spans="1:12" x14ac:dyDescent="0.3">
      <c r="A8823" s="45">
        <v>45358</v>
      </c>
      <c r="B8823" s="399"/>
      <c r="C8823" s="5" t="s">
        <v>14</v>
      </c>
      <c r="D8823" s="5" t="s">
        <v>12272</v>
      </c>
      <c r="E8823" s="43">
        <v>12067</v>
      </c>
      <c r="F8823" s="43"/>
      <c r="G8823" s="48">
        <f t="shared" si="223"/>
        <v>2173.7256210605847</v>
      </c>
      <c r="H8823" s="392" t="s">
        <v>9568</v>
      </c>
      <c r="L8823" s="4">
        <v>62000</v>
      </c>
    </row>
    <row r="8824" spans="1:12" x14ac:dyDescent="0.3">
      <c r="A8824" s="45">
        <v>45358</v>
      </c>
      <c r="B8824" s="399" t="s">
        <v>12138</v>
      </c>
      <c r="C8824" s="5" t="s">
        <v>30</v>
      </c>
      <c r="D8824" s="5" t="s">
        <v>13516</v>
      </c>
      <c r="E8824" s="43">
        <v>650</v>
      </c>
      <c r="F8824" s="43"/>
      <c r="G8824" s="48">
        <f t="shared" si="223"/>
        <v>1523.7256210605847</v>
      </c>
      <c r="H8824" s="392" t="s">
        <v>9568</v>
      </c>
      <c r="L8824" s="4">
        <v>6000</v>
      </c>
    </row>
    <row r="8825" spans="1:12" x14ac:dyDescent="0.3">
      <c r="A8825" s="45">
        <v>45358</v>
      </c>
      <c r="B8825" s="586"/>
      <c r="C8825" s="486"/>
      <c r="D8825" s="497" t="s">
        <v>13470</v>
      </c>
      <c r="E8825" s="486"/>
      <c r="F8825" s="28">
        <v>1000000</v>
      </c>
      <c r="G8825" s="48">
        <f t="shared" si="223"/>
        <v>1001523.7256210606</v>
      </c>
      <c r="H8825" s="392" t="s">
        <v>9568</v>
      </c>
      <c r="L8825" s="4">
        <f>SUM(L8823:L8824)</f>
        <v>68000</v>
      </c>
    </row>
    <row r="8826" spans="1:12" x14ac:dyDescent="0.3">
      <c r="A8826" s="45">
        <v>45358</v>
      </c>
      <c r="B8826" s="397" t="s">
        <v>12138</v>
      </c>
      <c r="C8826" s="186" t="s">
        <v>54</v>
      </c>
      <c r="D8826" s="186" t="s">
        <v>12587</v>
      </c>
      <c r="E8826" s="187">
        <v>40650</v>
      </c>
      <c r="F8826" s="43"/>
      <c r="G8826" s="48">
        <f t="shared" si="223"/>
        <v>960873.72562106058</v>
      </c>
      <c r="H8826" s="392" t="s">
        <v>9568</v>
      </c>
    </row>
    <row r="8827" spans="1:12" x14ac:dyDescent="0.3">
      <c r="A8827" s="45">
        <v>45358</v>
      </c>
      <c r="B8827" s="397" t="s">
        <v>12098</v>
      </c>
      <c r="C8827" s="186" t="s">
        <v>54</v>
      </c>
      <c r="D8827" s="186" t="s">
        <v>13517</v>
      </c>
      <c r="E8827" s="187">
        <v>28000</v>
      </c>
      <c r="F8827" s="43"/>
      <c r="G8827" s="48">
        <f t="shared" si="223"/>
        <v>932873.72562106058</v>
      </c>
      <c r="H8827" s="392" t="s">
        <v>9568</v>
      </c>
    </row>
    <row r="8828" spans="1:12" x14ac:dyDescent="0.3">
      <c r="A8828" s="45">
        <v>45358</v>
      </c>
      <c r="B8828" s="397" t="s">
        <v>13584</v>
      </c>
      <c r="C8828" s="186" t="s">
        <v>54</v>
      </c>
      <c r="D8828" s="186" t="s">
        <v>8820</v>
      </c>
      <c r="E8828" s="187">
        <v>51750</v>
      </c>
      <c r="F8828" s="43"/>
      <c r="G8828" s="48">
        <f t="shared" si="223"/>
        <v>881123.72562106058</v>
      </c>
      <c r="H8828" s="392" t="s">
        <v>9568</v>
      </c>
    </row>
    <row r="8829" spans="1:12" x14ac:dyDescent="0.3">
      <c r="A8829" s="45">
        <v>45358</v>
      </c>
      <c r="B8829" s="399"/>
      <c r="C8829" s="5" t="s">
        <v>84</v>
      </c>
      <c r="D8829" s="5" t="s">
        <v>13518</v>
      </c>
      <c r="E8829" s="43">
        <v>50000</v>
      </c>
      <c r="F8829" s="43"/>
      <c r="G8829" s="48">
        <f t="shared" si="223"/>
        <v>831123.72562106058</v>
      </c>
      <c r="H8829" s="392" t="s">
        <v>9568</v>
      </c>
    </row>
    <row r="8830" spans="1:12" x14ac:dyDescent="0.3">
      <c r="A8830" s="45">
        <v>45358</v>
      </c>
      <c r="B8830" s="397" t="s">
        <v>12867</v>
      </c>
      <c r="C8830" s="186" t="s">
        <v>54</v>
      </c>
      <c r="D8830" s="186" t="s">
        <v>13519</v>
      </c>
      <c r="E8830" s="187">
        <v>64150</v>
      </c>
      <c r="F8830" s="43"/>
      <c r="G8830" s="48">
        <f t="shared" si="223"/>
        <v>766973.72562106058</v>
      </c>
      <c r="H8830" s="392" t="s">
        <v>9568</v>
      </c>
      <c r="J8830" s="52">
        <v>43200</v>
      </c>
    </row>
    <row r="8831" spans="1:12" x14ac:dyDescent="0.3">
      <c r="A8831" s="45">
        <v>45358</v>
      </c>
      <c r="B8831" s="399" t="s">
        <v>13584</v>
      </c>
      <c r="C8831" s="5" t="s">
        <v>12908</v>
      </c>
      <c r="D8831" s="5" t="s">
        <v>13514</v>
      </c>
      <c r="E8831" s="43">
        <v>20000</v>
      </c>
      <c r="F8831" s="43"/>
      <c r="G8831" s="48">
        <f t="shared" si="223"/>
        <v>746973.72562106058</v>
      </c>
      <c r="H8831" s="392" t="s">
        <v>9568</v>
      </c>
      <c r="J8831" s="52">
        <v>21280</v>
      </c>
    </row>
    <row r="8832" spans="1:12" x14ac:dyDescent="0.3">
      <c r="A8832" s="45">
        <v>45358</v>
      </c>
      <c r="B8832" s="399" t="s">
        <v>12189</v>
      </c>
      <c r="C8832" s="5" t="s">
        <v>5793</v>
      </c>
      <c r="D8832" s="5" t="s">
        <v>40</v>
      </c>
      <c r="E8832" s="43">
        <v>800</v>
      </c>
      <c r="F8832" s="43"/>
      <c r="G8832" s="48">
        <f t="shared" si="223"/>
        <v>746173.72562106058</v>
      </c>
      <c r="H8832" s="392" t="s">
        <v>9568</v>
      </c>
      <c r="J8832" s="52">
        <v>4200</v>
      </c>
    </row>
    <row r="8833" spans="1:12" x14ac:dyDescent="0.3">
      <c r="A8833" s="45">
        <v>45359</v>
      </c>
      <c r="B8833" s="399"/>
      <c r="C8833" s="5" t="s">
        <v>25</v>
      </c>
      <c r="D8833" s="5" t="s">
        <v>13433</v>
      </c>
      <c r="E8833" s="43">
        <v>4000</v>
      </c>
      <c r="F8833" s="43"/>
      <c r="G8833" s="48">
        <f t="shared" si="223"/>
        <v>742173.72562106058</v>
      </c>
      <c r="H8833" s="392" t="s">
        <v>9568</v>
      </c>
      <c r="J8833" s="52">
        <v>114300</v>
      </c>
    </row>
    <row r="8834" spans="1:12" x14ac:dyDescent="0.3">
      <c r="A8834" s="45">
        <v>45359</v>
      </c>
      <c r="B8834" s="397" t="s">
        <v>12678</v>
      </c>
      <c r="C8834" s="186" t="s">
        <v>54</v>
      </c>
      <c r="D8834" s="186" t="s">
        <v>13318</v>
      </c>
      <c r="E8834" s="187">
        <v>678905.17241379316</v>
      </c>
      <c r="F8834" s="43"/>
      <c r="G8834" s="48">
        <f t="shared" si="223"/>
        <v>63268.553207267425</v>
      </c>
      <c r="H8834" s="392" t="s">
        <v>9568</v>
      </c>
      <c r="J8834" s="52">
        <f>SUM(J8830:J8833)</f>
        <v>182980</v>
      </c>
    </row>
    <row r="8835" spans="1:12" x14ac:dyDescent="0.3">
      <c r="A8835" s="45">
        <v>45359</v>
      </c>
      <c r="B8835" s="586"/>
      <c r="C8835" s="486"/>
      <c r="D8835" s="497" t="s">
        <v>13526</v>
      </c>
      <c r="E8835" s="486"/>
      <c r="F8835" s="28">
        <v>200000</v>
      </c>
      <c r="G8835" s="48">
        <f t="shared" si="223"/>
        <v>263268.55320726743</v>
      </c>
      <c r="H8835" s="392" t="s">
        <v>9568</v>
      </c>
    </row>
    <row r="8836" spans="1:12" x14ac:dyDescent="0.3">
      <c r="A8836" s="45">
        <v>45359</v>
      </c>
      <c r="B8836" s="399" t="s">
        <v>13520</v>
      </c>
      <c r="C8836" s="5" t="s">
        <v>11194</v>
      </c>
      <c r="D8836" s="5" t="s">
        <v>13521</v>
      </c>
      <c r="E8836" s="43">
        <v>182980</v>
      </c>
      <c r="F8836" s="43"/>
      <c r="G8836" s="48">
        <f t="shared" si="223"/>
        <v>80288.553207267425</v>
      </c>
      <c r="H8836" s="392" t="s">
        <v>9568</v>
      </c>
    </row>
    <row r="8837" spans="1:12" x14ac:dyDescent="0.3">
      <c r="A8837" s="45">
        <v>45359</v>
      </c>
      <c r="B8837" s="399" t="s">
        <v>13520</v>
      </c>
      <c r="C8837" s="5" t="s">
        <v>5793</v>
      </c>
      <c r="D8837" s="5" t="s">
        <v>40</v>
      </c>
      <c r="E8837" s="43">
        <v>500</v>
      </c>
      <c r="F8837" s="43"/>
      <c r="G8837" s="48">
        <f t="shared" si="223"/>
        <v>79788.553207267425</v>
      </c>
      <c r="H8837" s="392" t="s">
        <v>9568</v>
      </c>
    </row>
    <row r="8838" spans="1:12" x14ac:dyDescent="0.3">
      <c r="A8838" s="45">
        <v>45359</v>
      </c>
      <c r="B8838" s="399" t="s">
        <v>13520</v>
      </c>
      <c r="C8838" s="5" t="s">
        <v>30</v>
      </c>
      <c r="D8838" s="5" t="s">
        <v>10651</v>
      </c>
      <c r="E8838" s="43">
        <v>500</v>
      </c>
      <c r="F8838" s="43"/>
      <c r="G8838" s="48">
        <f t="shared" si="223"/>
        <v>79288.553207267425</v>
      </c>
      <c r="H8838" s="392" t="s">
        <v>9568</v>
      </c>
    </row>
    <row r="8839" spans="1:12" x14ac:dyDescent="0.3">
      <c r="A8839" s="45">
        <v>45359</v>
      </c>
      <c r="B8839" s="399" t="s">
        <v>13520</v>
      </c>
      <c r="C8839" s="5" t="s">
        <v>12852</v>
      </c>
      <c r="D8839" s="5" t="s">
        <v>13531</v>
      </c>
      <c r="E8839" s="43">
        <v>10000</v>
      </c>
      <c r="F8839" s="43"/>
      <c r="G8839" s="48">
        <f t="shared" si="223"/>
        <v>69288.553207267425</v>
      </c>
      <c r="H8839" s="392" t="s">
        <v>9568</v>
      </c>
    </row>
    <row r="8840" spans="1:12" x14ac:dyDescent="0.3">
      <c r="A8840" s="45">
        <v>45359</v>
      </c>
      <c r="B8840" s="399" t="s">
        <v>13520</v>
      </c>
      <c r="C8840" s="5" t="s">
        <v>5793</v>
      </c>
      <c r="D8840" s="5" t="s">
        <v>40</v>
      </c>
      <c r="E8840" s="43">
        <v>1500</v>
      </c>
      <c r="F8840" s="43"/>
      <c r="G8840" s="48">
        <f t="shared" si="223"/>
        <v>67788.553207267425</v>
      </c>
      <c r="H8840" s="392" t="s">
        <v>9568</v>
      </c>
      <c r="J8840" s="52">
        <v>1000</v>
      </c>
    </row>
    <row r="8841" spans="1:12" x14ac:dyDescent="0.3">
      <c r="A8841" s="45">
        <v>45360</v>
      </c>
      <c r="B8841" s="399"/>
      <c r="C8841" s="5" t="s">
        <v>25</v>
      </c>
      <c r="D8841" s="5" t="s">
        <v>13433</v>
      </c>
      <c r="E8841" s="43">
        <v>3000</v>
      </c>
      <c r="F8841" s="43"/>
      <c r="G8841" s="48">
        <f t="shared" si="223"/>
        <v>64788.553207267425</v>
      </c>
      <c r="H8841" s="392" t="s">
        <v>9568</v>
      </c>
      <c r="J8841" s="52">
        <f>J8840+J8834</f>
        <v>183980</v>
      </c>
    </row>
    <row r="8842" spans="1:12" x14ac:dyDescent="0.3">
      <c r="A8842" s="45">
        <v>45360</v>
      </c>
      <c r="B8842" s="399" t="s">
        <v>13584</v>
      </c>
      <c r="C8842" s="5" t="s">
        <v>3220</v>
      </c>
      <c r="D8842" s="5" t="s">
        <v>294</v>
      </c>
      <c r="E8842" s="43">
        <v>8500</v>
      </c>
      <c r="F8842" s="43"/>
      <c r="G8842" s="48">
        <f t="shared" si="223"/>
        <v>56288.553207267425</v>
      </c>
      <c r="H8842" s="392" t="s">
        <v>9568</v>
      </c>
      <c r="J8842" s="52">
        <v>10000</v>
      </c>
    </row>
    <row r="8843" spans="1:12" x14ac:dyDescent="0.3">
      <c r="A8843" s="45">
        <v>45360</v>
      </c>
      <c r="B8843" s="399" t="s">
        <v>12189</v>
      </c>
      <c r="C8843" s="5" t="s">
        <v>11194</v>
      </c>
      <c r="D8843" s="5" t="s">
        <v>13524</v>
      </c>
      <c r="E8843" s="43">
        <v>1050</v>
      </c>
      <c r="F8843" s="43"/>
      <c r="G8843" s="48">
        <f t="shared" si="223"/>
        <v>55238.553207267425</v>
      </c>
      <c r="H8843" s="392" t="s">
        <v>9568</v>
      </c>
      <c r="J8843" s="52">
        <f>J8842+J8841</f>
        <v>193980</v>
      </c>
    </row>
    <row r="8844" spans="1:12" x14ac:dyDescent="0.3">
      <c r="A8844" s="45">
        <v>45360</v>
      </c>
      <c r="B8844" s="399" t="s">
        <v>12189</v>
      </c>
      <c r="C8844" s="5" t="s">
        <v>25</v>
      </c>
      <c r="D8844" s="5" t="s">
        <v>13525</v>
      </c>
      <c r="E8844" s="43">
        <v>12000</v>
      </c>
      <c r="F8844" s="43"/>
      <c r="G8844" s="48">
        <f t="shared" si="223"/>
        <v>43238.553207267425</v>
      </c>
      <c r="H8844" s="392" t="s">
        <v>9568</v>
      </c>
      <c r="J8844" s="52">
        <f>J8843-200000</f>
        <v>-6020</v>
      </c>
    </row>
    <row r="8845" spans="1:12" x14ac:dyDescent="0.3">
      <c r="A8845" s="45">
        <v>45360</v>
      </c>
      <c r="B8845" s="399"/>
      <c r="C8845" s="5" t="s">
        <v>14</v>
      </c>
      <c r="D8845" s="5" t="s">
        <v>294</v>
      </c>
      <c r="E8845" s="43">
        <v>40000</v>
      </c>
      <c r="F8845" s="43"/>
      <c r="G8845" s="48">
        <f t="shared" si="223"/>
        <v>3238.553207267425</v>
      </c>
      <c r="H8845" s="392" t="s">
        <v>9568</v>
      </c>
    </row>
    <row r="8846" spans="1:12" x14ac:dyDescent="0.3">
      <c r="A8846" s="45">
        <v>45362</v>
      </c>
      <c r="B8846" s="399" t="s">
        <v>12098</v>
      </c>
      <c r="C8846" s="5" t="s">
        <v>5793</v>
      </c>
      <c r="D8846" s="5" t="s">
        <v>13530</v>
      </c>
      <c r="E8846" s="43">
        <v>3000</v>
      </c>
      <c r="F8846" s="43"/>
      <c r="G8846" s="48">
        <f t="shared" si="223"/>
        <v>238.55320726742502</v>
      </c>
      <c r="H8846" s="392" t="s">
        <v>9568</v>
      </c>
    </row>
    <row r="8847" spans="1:12" x14ac:dyDescent="0.3">
      <c r="A8847" s="45">
        <v>45362</v>
      </c>
      <c r="B8847" s="586"/>
      <c r="C8847" s="486"/>
      <c r="D8847" s="497" t="s">
        <v>4364</v>
      </c>
      <c r="E8847" s="486"/>
      <c r="F8847" s="28">
        <v>150000</v>
      </c>
      <c r="G8847" s="48">
        <f t="shared" si="223"/>
        <v>150238.55320726743</v>
      </c>
      <c r="H8847" s="392" t="s">
        <v>9568</v>
      </c>
    </row>
    <row r="8848" spans="1:12" x14ac:dyDescent="0.3">
      <c r="A8848" s="45">
        <v>45362</v>
      </c>
      <c r="B8848" s="399" t="s">
        <v>12867</v>
      </c>
      <c r="C8848" s="5" t="s">
        <v>5793</v>
      </c>
      <c r="D8848" s="5" t="s">
        <v>40</v>
      </c>
      <c r="E8848" s="43">
        <v>2000</v>
      </c>
      <c r="F8848" s="43"/>
      <c r="G8848" s="48">
        <f t="shared" si="223"/>
        <v>148238.55320726743</v>
      </c>
      <c r="H8848" s="392" t="s">
        <v>9568</v>
      </c>
      <c r="J8848" s="52">
        <v>595000</v>
      </c>
      <c r="L8848" s="4">
        <v>595000</v>
      </c>
    </row>
    <row r="8849" spans="1:12" x14ac:dyDescent="0.3">
      <c r="A8849" s="45">
        <v>45362</v>
      </c>
      <c r="B8849" s="399" t="s">
        <v>25</v>
      </c>
      <c r="C8849" s="5" t="s">
        <v>25</v>
      </c>
      <c r="D8849" s="5" t="s">
        <v>13433</v>
      </c>
      <c r="E8849" s="43">
        <v>2000</v>
      </c>
      <c r="F8849" s="43"/>
      <c r="G8849" s="48">
        <f t="shared" si="223"/>
        <v>146238.55320726743</v>
      </c>
      <c r="H8849" s="392" t="s">
        <v>9568</v>
      </c>
      <c r="I8849" s="52">
        <v>1500</v>
      </c>
      <c r="J8849" s="52">
        <f>J8848*10%</f>
        <v>59500</v>
      </c>
      <c r="L8849" s="4">
        <f>L8848/118%</f>
        <v>504237.28813559323</v>
      </c>
    </row>
    <row r="8850" spans="1:12" x14ac:dyDescent="0.3">
      <c r="A8850" s="45">
        <v>45362</v>
      </c>
      <c r="B8850" s="399" t="s">
        <v>13476</v>
      </c>
      <c r="C8850" s="5" t="s">
        <v>5793</v>
      </c>
      <c r="D8850" s="5" t="s">
        <v>13541</v>
      </c>
      <c r="E8850" s="65">
        <v>500</v>
      </c>
      <c r="F8850" s="43"/>
      <c r="G8850" s="48">
        <f t="shared" si="223"/>
        <v>145738.55320726743</v>
      </c>
      <c r="H8850" s="392" t="s">
        <v>9568</v>
      </c>
      <c r="I8850" s="52">
        <v>2000</v>
      </c>
      <c r="J8850" s="52">
        <f>J8848-J8849</f>
        <v>535500</v>
      </c>
    </row>
    <row r="8851" spans="1:12" x14ac:dyDescent="0.3">
      <c r="A8851" s="45">
        <v>45362</v>
      </c>
      <c r="B8851" s="399" t="s">
        <v>13542</v>
      </c>
      <c r="C8851" s="5" t="s">
        <v>5793</v>
      </c>
      <c r="D8851" s="5" t="s">
        <v>13541</v>
      </c>
      <c r="E8851" s="65">
        <v>550</v>
      </c>
      <c r="F8851" s="43"/>
      <c r="G8851" s="48">
        <f t="shared" si="223"/>
        <v>145188.55320726743</v>
      </c>
      <c r="H8851" s="392" t="s">
        <v>9568</v>
      </c>
    </row>
    <row r="8852" spans="1:12" x14ac:dyDescent="0.3">
      <c r="A8852" s="45">
        <v>45362</v>
      </c>
      <c r="B8852" s="399" t="s">
        <v>12867</v>
      </c>
      <c r="C8852" s="5" t="s">
        <v>11194</v>
      </c>
      <c r="D8852" s="5" t="s">
        <v>10837</v>
      </c>
      <c r="E8852" s="65">
        <v>2500</v>
      </c>
      <c r="F8852" s="43"/>
      <c r="G8852" s="48">
        <f t="shared" si="223"/>
        <v>142688.55320726743</v>
      </c>
      <c r="H8852" s="392" t="s">
        <v>9568</v>
      </c>
    </row>
    <row r="8853" spans="1:12" x14ac:dyDescent="0.3">
      <c r="A8853" s="45">
        <v>45362</v>
      </c>
      <c r="B8853" s="399" t="s">
        <v>12867</v>
      </c>
      <c r="C8853" s="5" t="s">
        <v>5793</v>
      </c>
      <c r="D8853" s="5" t="s">
        <v>13543</v>
      </c>
      <c r="E8853" s="65">
        <v>1500</v>
      </c>
      <c r="F8853" s="43"/>
      <c r="G8853" s="48">
        <f t="shared" si="223"/>
        <v>141188.55320726743</v>
      </c>
      <c r="H8853" s="392" t="s">
        <v>9568</v>
      </c>
    </row>
    <row r="8854" spans="1:12" x14ac:dyDescent="0.3">
      <c r="A8854" s="45">
        <v>45362</v>
      </c>
      <c r="B8854" s="399" t="s">
        <v>12191</v>
      </c>
      <c r="C8854" s="5" t="s">
        <v>11194</v>
      </c>
      <c r="D8854" s="5" t="s">
        <v>13544</v>
      </c>
      <c r="E8854" s="65">
        <v>2000</v>
      </c>
      <c r="F8854" s="43"/>
      <c r="G8854" s="48">
        <f t="shared" si="223"/>
        <v>139188.55320726743</v>
      </c>
      <c r="H8854" s="392" t="s">
        <v>9568</v>
      </c>
    </row>
    <row r="8855" spans="1:12" x14ac:dyDescent="0.3">
      <c r="A8855" s="45">
        <v>45362</v>
      </c>
      <c r="B8855" s="399" t="s">
        <v>25</v>
      </c>
      <c r="C8855" s="5" t="s">
        <v>25</v>
      </c>
      <c r="D8855" s="5" t="s">
        <v>13535</v>
      </c>
      <c r="E8855" s="43">
        <v>8000</v>
      </c>
      <c r="F8855" s="43"/>
      <c r="G8855" s="48">
        <f t="shared" si="223"/>
        <v>131188.55320726743</v>
      </c>
      <c r="H8855" s="392" t="s">
        <v>9568</v>
      </c>
      <c r="I8855" s="52">
        <v>2500</v>
      </c>
      <c r="K8855" s="238">
        <v>11.6</v>
      </c>
      <c r="L8855" s="4">
        <v>6</v>
      </c>
    </row>
    <row r="8856" spans="1:12" x14ac:dyDescent="0.3">
      <c r="A8856" s="45">
        <v>45362</v>
      </c>
      <c r="B8856" s="399" t="s">
        <v>13536</v>
      </c>
      <c r="C8856" s="5" t="s">
        <v>9765</v>
      </c>
      <c r="D8856" s="5" t="s">
        <v>13537</v>
      </c>
      <c r="E8856" s="43">
        <v>5000</v>
      </c>
      <c r="F8856" s="43"/>
      <c r="G8856" s="48">
        <f t="shared" si="223"/>
        <v>126188.55320726743</v>
      </c>
      <c r="H8856" s="392" t="s">
        <v>9568</v>
      </c>
      <c r="I8856" s="52">
        <v>500</v>
      </c>
      <c r="L8856" s="659">
        <f>24-K8855-L8855-8</f>
        <v>-1.5999999999999996</v>
      </c>
    </row>
    <row r="8857" spans="1:12" x14ac:dyDescent="0.3">
      <c r="A8857" s="45">
        <v>45363</v>
      </c>
      <c r="B8857" s="399" t="s">
        <v>12867</v>
      </c>
      <c r="C8857" s="5" t="s">
        <v>5793</v>
      </c>
      <c r="D8857" s="5" t="s">
        <v>40</v>
      </c>
      <c r="E8857" s="43">
        <v>2000</v>
      </c>
      <c r="F8857" s="43"/>
      <c r="G8857" s="48">
        <f t="shared" si="223"/>
        <v>124188.55320726743</v>
      </c>
      <c r="H8857" s="392" t="s">
        <v>9568</v>
      </c>
      <c r="I8857" s="52">
        <v>250</v>
      </c>
    </row>
    <row r="8858" spans="1:12" x14ac:dyDescent="0.3">
      <c r="A8858" s="45">
        <v>45363</v>
      </c>
      <c r="B8858" s="399" t="s">
        <v>12189</v>
      </c>
      <c r="C8858" s="5" t="s">
        <v>5793</v>
      </c>
      <c r="D8858" s="5" t="s">
        <v>40</v>
      </c>
      <c r="E8858" s="43">
        <v>1500</v>
      </c>
      <c r="F8858" s="43"/>
      <c r="G8858" s="48">
        <f t="shared" si="223"/>
        <v>122688.55320726743</v>
      </c>
      <c r="H8858" s="392" t="s">
        <v>9568</v>
      </c>
      <c r="I8858" s="52">
        <v>300</v>
      </c>
    </row>
    <row r="8859" spans="1:12" x14ac:dyDescent="0.3">
      <c r="A8859" s="45">
        <v>45363</v>
      </c>
      <c r="B8859" s="399" t="s">
        <v>12189</v>
      </c>
      <c r="C8859" s="5" t="s">
        <v>11194</v>
      </c>
      <c r="D8859" s="5" t="s">
        <v>13547</v>
      </c>
      <c r="E8859" s="43">
        <v>18000</v>
      </c>
      <c r="F8859" s="43"/>
      <c r="G8859" s="48">
        <f t="shared" si="223"/>
        <v>104688.55320726743</v>
      </c>
      <c r="H8859" s="392" t="s">
        <v>9568</v>
      </c>
      <c r="I8859" s="52">
        <f>SUM(I8849:I8858)</f>
        <v>7050</v>
      </c>
      <c r="K8859" s="660"/>
      <c r="L8859" s="661"/>
    </row>
    <row r="8860" spans="1:12" x14ac:dyDescent="0.3">
      <c r="A8860" s="45">
        <v>45364</v>
      </c>
      <c r="B8860" s="399" t="s">
        <v>12867</v>
      </c>
      <c r="C8860" s="5" t="s">
        <v>9452</v>
      </c>
      <c r="D8860" s="5" t="s">
        <v>13548</v>
      </c>
      <c r="E8860" s="43">
        <v>2400</v>
      </c>
      <c r="F8860" s="43"/>
      <c r="G8860" s="48">
        <f t="shared" si="223"/>
        <v>102288.55320726743</v>
      </c>
      <c r="H8860" s="392" t="s">
        <v>9568</v>
      </c>
      <c r="J8860" s="52">
        <f>E8854+E8853+E8852+E8851+E8850</f>
        <v>7050</v>
      </c>
      <c r="L8860" s="659"/>
    </row>
    <row r="8861" spans="1:12" x14ac:dyDescent="0.3">
      <c r="A8861" s="45">
        <v>45364</v>
      </c>
      <c r="B8861" s="399" t="s">
        <v>12678</v>
      </c>
      <c r="C8861" s="5" t="s">
        <v>5793</v>
      </c>
      <c r="D8861" s="5" t="s">
        <v>40</v>
      </c>
      <c r="E8861" s="43">
        <v>2000</v>
      </c>
      <c r="F8861" s="43"/>
      <c r="G8861" s="48">
        <f t="shared" si="223"/>
        <v>100288.55320726743</v>
      </c>
      <c r="H8861" s="392" t="s">
        <v>9568</v>
      </c>
      <c r="K8861" s="356"/>
      <c r="L8861" s="661"/>
    </row>
    <row r="8862" spans="1:12" x14ac:dyDescent="0.3">
      <c r="A8862" s="45">
        <v>45364</v>
      </c>
      <c r="B8862" s="399" t="s">
        <v>25</v>
      </c>
      <c r="C8862" s="5" t="s">
        <v>11161</v>
      </c>
      <c r="D8862" s="5" t="s">
        <v>294</v>
      </c>
      <c r="E8862" s="43">
        <v>5000</v>
      </c>
      <c r="F8862" s="43"/>
      <c r="G8862" s="48">
        <f t="shared" si="223"/>
        <v>95288.553207267425</v>
      </c>
      <c r="H8862" s="392" t="s">
        <v>9568</v>
      </c>
      <c r="L8862" s="661"/>
    </row>
    <row r="8863" spans="1:12" x14ac:dyDescent="0.3">
      <c r="A8863" s="45">
        <v>45364</v>
      </c>
      <c r="B8863" s="399" t="s">
        <v>12131</v>
      </c>
      <c r="C8863" s="5" t="s">
        <v>84</v>
      </c>
      <c r="D8863" s="5" t="s">
        <v>13554</v>
      </c>
      <c r="E8863" s="43">
        <v>25000</v>
      </c>
      <c r="F8863" s="43"/>
      <c r="G8863" s="48">
        <f t="shared" si="223"/>
        <v>70288.553207267425</v>
      </c>
      <c r="H8863" s="392" t="s">
        <v>9568</v>
      </c>
      <c r="L8863" s="661"/>
    </row>
    <row r="8864" spans="1:12" x14ac:dyDescent="0.3">
      <c r="A8864" s="45">
        <v>45364</v>
      </c>
      <c r="B8864" s="399" t="s">
        <v>12678</v>
      </c>
      <c r="C8864" s="5" t="s">
        <v>64</v>
      </c>
      <c r="D8864" s="5" t="s">
        <v>13550</v>
      </c>
      <c r="E8864" s="43">
        <v>4860</v>
      </c>
      <c r="F8864" s="43"/>
      <c r="G8864" s="48">
        <f t="shared" si="223"/>
        <v>65428.553207267425</v>
      </c>
      <c r="H8864" s="392" t="s">
        <v>9568</v>
      </c>
      <c r="L8864" s="661"/>
    </row>
    <row r="8865" spans="1:12" x14ac:dyDescent="0.3">
      <c r="A8865" s="45">
        <v>45364</v>
      </c>
      <c r="B8865" s="399" t="s">
        <v>12678</v>
      </c>
      <c r="C8865" s="5" t="s">
        <v>6430</v>
      </c>
      <c r="D8865" s="5" t="s">
        <v>13551</v>
      </c>
      <c r="E8865" s="43">
        <v>2000</v>
      </c>
      <c r="F8865" s="43"/>
      <c r="G8865" s="48">
        <f t="shared" si="223"/>
        <v>63428.553207267425</v>
      </c>
      <c r="H8865" s="392" t="s">
        <v>9568</v>
      </c>
      <c r="J8865" s="52" t="s">
        <v>13545</v>
      </c>
    </row>
    <row r="8866" spans="1:12" x14ac:dyDescent="0.3">
      <c r="A8866" s="45">
        <v>45364</v>
      </c>
      <c r="B8866" s="397" t="s">
        <v>12678</v>
      </c>
      <c r="C8866" s="186" t="s">
        <v>54</v>
      </c>
      <c r="D8866" s="186" t="s">
        <v>13552</v>
      </c>
      <c r="E8866" s="187">
        <v>3500</v>
      </c>
      <c r="F8866" s="43"/>
      <c r="G8866" s="48">
        <f t="shared" si="223"/>
        <v>59928.553207267425</v>
      </c>
      <c r="H8866" s="392" t="s">
        <v>9568</v>
      </c>
    </row>
    <row r="8867" spans="1:12" x14ac:dyDescent="0.3">
      <c r="A8867" s="45">
        <v>45364</v>
      </c>
      <c r="B8867" s="397" t="s">
        <v>12678</v>
      </c>
      <c r="C8867" s="186" t="s">
        <v>54</v>
      </c>
      <c r="D8867" s="186" t="s">
        <v>13553</v>
      </c>
      <c r="E8867" s="187">
        <v>32500</v>
      </c>
      <c r="F8867" s="43"/>
      <c r="G8867" s="48">
        <f t="shared" si="223"/>
        <v>27428.553207267425</v>
      </c>
      <c r="H8867" s="392" t="s">
        <v>9568</v>
      </c>
      <c r="J8867" s="52" t="s">
        <v>13546</v>
      </c>
    </row>
    <row r="8868" spans="1:12" x14ac:dyDescent="0.3">
      <c r="A8868" s="45">
        <v>45364</v>
      </c>
      <c r="B8868" s="399" t="s">
        <v>12287</v>
      </c>
      <c r="C8868" s="5" t="s">
        <v>1616</v>
      </c>
      <c r="D8868" s="5" t="s">
        <v>13555</v>
      </c>
      <c r="E8868" s="43">
        <v>900</v>
      </c>
      <c r="F8868" s="43"/>
      <c r="G8868" s="48">
        <f t="shared" si="223"/>
        <v>26528.553207267425</v>
      </c>
      <c r="H8868" s="392" t="s">
        <v>9568</v>
      </c>
      <c r="L8868" s="4" t="e">
        <f>#REF!*8%</f>
        <v>#REF!</v>
      </c>
    </row>
    <row r="8869" spans="1:12" x14ac:dyDescent="0.3">
      <c r="A8869" s="45">
        <v>45364</v>
      </c>
      <c r="B8869" s="399" t="s">
        <v>25</v>
      </c>
      <c r="C8869" s="5" t="s">
        <v>25</v>
      </c>
      <c r="D8869" s="5" t="s">
        <v>13433</v>
      </c>
      <c r="E8869" s="43">
        <v>1000</v>
      </c>
      <c r="F8869" s="43"/>
      <c r="G8869" s="48">
        <f t="shared" si="223"/>
        <v>25528.553207267425</v>
      </c>
      <c r="H8869" s="392" t="s">
        <v>9568</v>
      </c>
      <c r="L8869" s="4" t="e">
        <f>#REF!-L8868</f>
        <v>#REF!</v>
      </c>
    </row>
    <row r="8870" spans="1:12" x14ac:dyDescent="0.3">
      <c r="A8870" s="45">
        <v>45365</v>
      </c>
      <c r="B8870" s="399" t="s">
        <v>12867</v>
      </c>
      <c r="C8870" s="5" t="s">
        <v>11194</v>
      </c>
      <c r="D8870" s="5" t="s">
        <v>13557</v>
      </c>
      <c r="E8870" s="43">
        <v>1800</v>
      </c>
      <c r="F8870" s="43"/>
      <c r="G8870" s="48">
        <f t="shared" si="223"/>
        <v>23728.553207267425</v>
      </c>
      <c r="H8870" s="392" t="s">
        <v>9568</v>
      </c>
      <c r="I8870" s="52">
        <v>11983</v>
      </c>
      <c r="L8870" s="4">
        <v>1613998</v>
      </c>
    </row>
    <row r="8871" spans="1:12" x14ac:dyDescent="0.3">
      <c r="A8871" s="45">
        <v>45365</v>
      </c>
      <c r="B8871" s="399" t="s">
        <v>12867</v>
      </c>
      <c r="C8871" s="5" t="s">
        <v>11194</v>
      </c>
      <c r="D8871" s="5" t="s">
        <v>13558</v>
      </c>
      <c r="E8871" s="65">
        <v>1250</v>
      </c>
      <c r="F8871" s="43"/>
      <c r="G8871" s="48">
        <f t="shared" si="223"/>
        <v>22478.553207267425</v>
      </c>
      <c r="H8871" s="392" t="s">
        <v>9568</v>
      </c>
      <c r="I8871" s="52">
        <f>I8870*18%</f>
        <v>2156.94</v>
      </c>
      <c r="L8871" s="4" t="e">
        <f>L8870+L8869</f>
        <v>#REF!</v>
      </c>
    </row>
    <row r="8872" spans="1:12" x14ac:dyDescent="0.3">
      <c r="A8872" s="45">
        <v>45365</v>
      </c>
      <c r="B8872" s="586"/>
      <c r="C8872" s="486"/>
      <c r="D8872" s="497" t="s">
        <v>4364</v>
      </c>
      <c r="E8872" s="486"/>
      <c r="F8872" s="28">
        <v>160000</v>
      </c>
      <c r="G8872" s="48">
        <f t="shared" si="223"/>
        <v>182478.55320726743</v>
      </c>
      <c r="H8872" s="392" t="s">
        <v>9568</v>
      </c>
    </row>
    <row r="8873" spans="1:12" x14ac:dyDescent="0.3">
      <c r="A8873" s="45">
        <v>45365</v>
      </c>
      <c r="B8873" s="399" t="s">
        <v>12287</v>
      </c>
      <c r="C8873" s="5" t="s">
        <v>1074</v>
      </c>
      <c r="D8873" s="5" t="s">
        <v>6280</v>
      </c>
      <c r="E8873" s="43">
        <v>2905</v>
      </c>
      <c r="F8873" s="43"/>
      <c r="G8873" s="48">
        <f t="shared" si="223"/>
        <v>179573.55320726743</v>
      </c>
      <c r="H8873" s="392" t="s">
        <v>9568</v>
      </c>
      <c r="I8873" s="52">
        <f>I8872*20</f>
        <v>0</v>
      </c>
    </row>
    <row r="8874" spans="1:12" x14ac:dyDescent="0.3">
      <c r="A8874" s="45">
        <v>45365</v>
      </c>
      <c r="B8874" s="399" t="s">
        <v>25</v>
      </c>
      <c r="C8874" s="5" t="s">
        <v>1074</v>
      </c>
      <c r="D8874" s="5" t="s">
        <v>6280</v>
      </c>
      <c r="E8874" s="43">
        <v>9220</v>
      </c>
      <c r="F8874" s="43"/>
      <c r="G8874" s="48">
        <f t="shared" si="223"/>
        <v>170353.55320726743</v>
      </c>
      <c r="H8874" s="392" t="s">
        <v>9568</v>
      </c>
    </row>
    <row r="8875" spans="1:12" x14ac:dyDescent="0.3">
      <c r="A8875" s="45">
        <v>45365</v>
      </c>
      <c r="B8875" s="399" t="s">
        <v>12867</v>
      </c>
      <c r="C8875" s="5" t="s">
        <v>5793</v>
      </c>
      <c r="D8875" s="5" t="s">
        <v>40</v>
      </c>
      <c r="E8875" s="43">
        <v>3000</v>
      </c>
      <c r="F8875" s="43"/>
      <c r="G8875" s="48">
        <f t="shared" si="223"/>
        <v>167353.55320726743</v>
      </c>
      <c r="H8875" s="392" t="s">
        <v>9568</v>
      </c>
    </row>
    <row r="8876" spans="1:12" x14ac:dyDescent="0.3">
      <c r="A8876" s="45">
        <v>45365</v>
      </c>
      <c r="B8876" s="399" t="s">
        <v>12867</v>
      </c>
      <c r="C8876" s="5" t="s">
        <v>5793</v>
      </c>
      <c r="D8876" s="5" t="s">
        <v>13559</v>
      </c>
      <c r="E8876" s="43">
        <v>250</v>
      </c>
      <c r="F8876" s="43"/>
      <c r="G8876" s="48">
        <f t="shared" ref="G8876:G8943" si="224">G8875+F8876-E8876</f>
        <v>167103.55320726743</v>
      </c>
      <c r="H8876" s="392" t="s">
        <v>9568</v>
      </c>
    </row>
    <row r="8877" spans="1:12" x14ac:dyDescent="0.3">
      <c r="A8877" s="45">
        <v>45365</v>
      </c>
      <c r="B8877" s="399" t="s">
        <v>12138</v>
      </c>
      <c r="C8877" s="5" t="s">
        <v>5793</v>
      </c>
      <c r="D8877" s="5" t="s">
        <v>13560</v>
      </c>
      <c r="E8877" s="43">
        <v>300</v>
      </c>
      <c r="F8877" s="43"/>
      <c r="G8877" s="48">
        <f t="shared" si="224"/>
        <v>166803.55320726743</v>
      </c>
      <c r="H8877" s="392" t="s">
        <v>9568</v>
      </c>
    </row>
    <row r="8878" spans="1:12" x14ac:dyDescent="0.3">
      <c r="A8878" s="45">
        <v>45365</v>
      </c>
      <c r="B8878" s="399" t="s">
        <v>12867</v>
      </c>
      <c r="C8878" s="5" t="s">
        <v>30</v>
      </c>
      <c r="D8878" s="5" t="s">
        <v>13561</v>
      </c>
      <c r="E8878" s="43">
        <v>1000</v>
      </c>
      <c r="F8878" s="43"/>
      <c r="G8878" s="48">
        <f t="shared" si="224"/>
        <v>165803.55320726743</v>
      </c>
      <c r="H8878" s="392" t="s">
        <v>9568</v>
      </c>
    </row>
    <row r="8879" spans="1:12" x14ac:dyDescent="0.3">
      <c r="A8879" s="45">
        <v>45365</v>
      </c>
      <c r="B8879" s="399" t="s">
        <v>25</v>
      </c>
      <c r="C8879" s="5" t="s">
        <v>25</v>
      </c>
      <c r="D8879" s="5" t="s">
        <v>13433</v>
      </c>
      <c r="E8879" s="43">
        <v>1000</v>
      </c>
      <c r="F8879" s="43"/>
      <c r="G8879" s="48">
        <f t="shared" si="224"/>
        <v>164803.55320726743</v>
      </c>
      <c r="H8879" s="392" t="s">
        <v>9568</v>
      </c>
    </row>
    <row r="8880" spans="1:12" x14ac:dyDescent="0.3">
      <c r="A8880" s="45">
        <v>45365</v>
      </c>
      <c r="B8880" s="399" t="s">
        <v>12867</v>
      </c>
      <c r="C8880" s="5" t="s">
        <v>5793</v>
      </c>
      <c r="D8880" s="5" t="s">
        <v>40</v>
      </c>
      <c r="E8880" s="43">
        <v>250</v>
      </c>
      <c r="F8880" s="43"/>
      <c r="G8880" s="48">
        <f t="shared" si="224"/>
        <v>164553.55320726743</v>
      </c>
      <c r="H8880" s="392" t="s">
        <v>9568</v>
      </c>
    </row>
    <row r="8881" spans="1:8" x14ac:dyDescent="0.3">
      <c r="A8881" s="45">
        <v>45366</v>
      </c>
      <c r="B8881" s="399" t="s">
        <v>12867</v>
      </c>
      <c r="C8881" s="5" t="s">
        <v>11194</v>
      </c>
      <c r="D8881" s="5" t="s">
        <v>13562</v>
      </c>
      <c r="E8881" s="43">
        <v>15600</v>
      </c>
      <c r="F8881" s="43"/>
      <c r="G8881" s="48">
        <f t="shared" si="224"/>
        <v>148953.55320726743</v>
      </c>
      <c r="H8881" s="392" t="s">
        <v>9568</v>
      </c>
    </row>
    <row r="8882" spans="1:8" x14ac:dyDescent="0.3">
      <c r="A8882" s="45">
        <v>45366</v>
      </c>
      <c r="B8882" s="399" t="s">
        <v>12138</v>
      </c>
      <c r="C8882" s="5" t="s">
        <v>11194</v>
      </c>
      <c r="D8882" s="5" t="s">
        <v>13563</v>
      </c>
      <c r="E8882" s="43">
        <v>1000</v>
      </c>
      <c r="F8882" s="43"/>
      <c r="G8882" s="48">
        <f t="shared" si="224"/>
        <v>147953.55320726743</v>
      </c>
      <c r="H8882" s="392" t="s">
        <v>9568</v>
      </c>
    </row>
    <row r="8883" spans="1:8" x14ac:dyDescent="0.3">
      <c r="A8883" s="45">
        <v>45366</v>
      </c>
      <c r="B8883" s="399" t="s">
        <v>12867</v>
      </c>
      <c r="C8883" s="5" t="s">
        <v>11194</v>
      </c>
      <c r="D8883" s="5" t="s">
        <v>13564</v>
      </c>
      <c r="E8883" s="43">
        <v>7500</v>
      </c>
      <c r="F8883" s="43"/>
      <c r="G8883" s="48">
        <f t="shared" si="224"/>
        <v>140453.55320726743</v>
      </c>
      <c r="H8883" s="392" t="s">
        <v>9568</v>
      </c>
    </row>
    <row r="8884" spans="1:8" x14ac:dyDescent="0.3">
      <c r="A8884" s="45">
        <v>45366</v>
      </c>
      <c r="B8884" s="399" t="s">
        <v>12867</v>
      </c>
      <c r="C8884" s="5" t="s">
        <v>11194</v>
      </c>
      <c r="D8884" s="5" t="s">
        <v>13565</v>
      </c>
      <c r="E8884" s="43">
        <v>540</v>
      </c>
      <c r="F8884" s="43"/>
      <c r="G8884" s="48">
        <f t="shared" si="224"/>
        <v>139913.55320726743</v>
      </c>
      <c r="H8884" s="392" t="s">
        <v>9568</v>
      </c>
    </row>
    <row r="8885" spans="1:8" x14ac:dyDescent="0.3">
      <c r="A8885" s="45">
        <v>45366</v>
      </c>
      <c r="B8885" s="399" t="s">
        <v>12089</v>
      </c>
      <c r="C8885" s="5" t="s">
        <v>26</v>
      </c>
      <c r="D8885" s="5" t="s">
        <v>13386</v>
      </c>
      <c r="E8885" s="43">
        <v>1500</v>
      </c>
      <c r="F8885" s="43"/>
      <c r="G8885" s="48">
        <f t="shared" si="224"/>
        <v>138413.55320726743</v>
      </c>
      <c r="H8885" s="392" t="s">
        <v>9568</v>
      </c>
    </row>
    <row r="8886" spans="1:8" x14ac:dyDescent="0.3">
      <c r="A8886" s="45">
        <v>45366</v>
      </c>
      <c r="B8886" s="399" t="s">
        <v>12089</v>
      </c>
      <c r="C8886" s="5" t="s">
        <v>5162</v>
      </c>
      <c r="D8886" s="5" t="s">
        <v>5813</v>
      </c>
      <c r="E8886" s="43">
        <v>5000</v>
      </c>
      <c r="F8886" s="43"/>
      <c r="G8886" s="48">
        <f t="shared" si="224"/>
        <v>133413.55320726743</v>
      </c>
      <c r="H8886" s="392" t="s">
        <v>9568</v>
      </c>
    </row>
    <row r="8887" spans="1:8" x14ac:dyDescent="0.3">
      <c r="A8887" s="45">
        <v>45367</v>
      </c>
      <c r="B8887" s="399" t="s">
        <v>12867</v>
      </c>
      <c r="C8887" s="5" t="s">
        <v>11194</v>
      </c>
      <c r="D8887" s="5" t="s">
        <v>12345</v>
      </c>
      <c r="E8887" s="43">
        <v>5560</v>
      </c>
      <c r="F8887" s="43"/>
      <c r="G8887" s="48">
        <f t="shared" si="224"/>
        <v>127853.55320726743</v>
      </c>
      <c r="H8887" s="392" t="s">
        <v>9568</v>
      </c>
    </row>
    <row r="8888" spans="1:8" x14ac:dyDescent="0.3">
      <c r="A8888" s="45">
        <v>45367</v>
      </c>
      <c r="B8888" s="399" t="s">
        <v>12867</v>
      </c>
      <c r="C8888" s="5" t="s">
        <v>5793</v>
      </c>
      <c r="D8888" s="5" t="s">
        <v>40</v>
      </c>
      <c r="E8888" s="43">
        <v>350</v>
      </c>
      <c r="F8888" s="43"/>
      <c r="G8888" s="48">
        <f t="shared" si="224"/>
        <v>127503.55320726743</v>
      </c>
      <c r="H8888" s="392" t="s">
        <v>9568</v>
      </c>
    </row>
    <row r="8889" spans="1:8" x14ac:dyDescent="0.3">
      <c r="A8889" s="45">
        <v>45367</v>
      </c>
      <c r="B8889" s="399" t="s">
        <v>12678</v>
      </c>
      <c r="C8889" s="5" t="s">
        <v>7366</v>
      </c>
      <c r="D8889" s="5" t="s">
        <v>13569</v>
      </c>
      <c r="E8889" s="43">
        <v>12400</v>
      </c>
      <c r="F8889" s="43"/>
      <c r="G8889" s="48">
        <f t="shared" si="224"/>
        <v>115103.55320726743</v>
      </c>
      <c r="H8889" s="392" t="s">
        <v>9568</v>
      </c>
    </row>
    <row r="8890" spans="1:8" x14ac:dyDescent="0.3">
      <c r="A8890" s="45">
        <v>45367</v>
      </c>
      <c r="B8890" s="399" t="s">
        <v>12138</v>
      </c>
      <c r="C8890" s="5" t="s">
        <v>11194</v>
      </c>
      <c r="D8890" s="5" t="s">
        <v>13570</v>
      </c>
      <c r="E8890" s="43">
        <v>950</v>
      </c>
      <c r="F8890" s="43"/>
      <c r="G8890" s="48">
        <f t="shared" si="224"/>
        <v>114153.55320726743</v>
      </c>
      <c r="H8890" s="392" t="s">
        <v>9568</v>
      </c>
    </row>
    <row r="8891" spans="1:8" x14ac:dyDescent="0.3">
      <c r="A8891" s="45">
        <v>45367</v>
      </c>
      <c r="B8891" s="399" t="s">
        <v>10333</v>
      </c>
      <c r="C8891" s="5" t="s">
        <v>7737</v>
      </c>
      <c r="D8891" s="5" t="s">
        <v>13571</v>
      </c>
      <c r="E8891" s="43">
        <v>9500</v>
      </c>
      <c r="F8891" s="43"/>
      <c r="G8891" s="48">
        <f t="shared" si="224"/>
        <v>104653.55320726743</v>
      </c>
      <c r="H8891" s="392" t="s">
        <v>9568</v>
      </c>
    </row>
    <row r="8892" spans="1:8" x14ac:dyDescent="0.3">
      <c r="A8892" s="45">
        <v>45367</v>
      </c>
      <c r="B8892" s="399" t="s">
        <v>12138</v>
      </c>
      <c r="C8892" s="5" t="s">
        <v>5793</v>
      </c>
      <c r="D8892" s="5" t="s">
        <v>40</v>
      </c>
      <c r="E8892" s="43">
        <v>500</v>
      </c>
      <c r="F8892" s="43"/>
      <c r="G8892" s="48">
        <f t="shared" si="224"/>
        <v>104153.55320726743</v>
      </c>
      <c r="H8892" s="392" t="s">
        <v>9568</v>
      </c>
    </row>
    <row r="8893" spans="1:8" x14ac:dyDescent="0.3">
      <c r="A8893" s="45">
        <v>45369</v>
      </c>
      <c r="B8893" s="399" t="s">
        <v>12287</v>
      </c>
      <c r="C8893" s="5" t="s">
        <v>5288</v>
      </c>
      <c r="D8893" s="5" t="s">
        <v>13575</v>
      </c>
      <c r="E8893" s="43">
        <v>7000</v>
      </c>
      <c r="F8893" s="43"/>
      <c r="G8893" s="48">
        <f t="shared" si="224"/>
        <v>97153.553207267425</v>
      </c>
      <c r="H8893" s="392" t="s">
        <v>9568</v>
      </c>
    </row>
    <row r="8894" spans="1:8" x14ac:dyDescent="0.3">
      <c r="A8894" s="45">
        <v>45369</v>
      </c>
      <c r="B8894" s="399" t="s">
        <v>12132</v>
      </c>
      <c r="C8894" s="5" t="s">
        <v>7418</v>
      </c>
      <c r="D8894" s="5" t="s">
        <v>13576</v>
      </c>
      <c r="E8894" s="43">
        <v>1557</v>
      </c>
      <c r="F8894" s="43"/>
      <c r="G8894" s="48">
        <f t="shared" si="224"/>
        <v>95596.553207267425</v>
      </c>
      <c r="H8894" s="392" t="s">
        <v>9568</v>
      </c>
    </row>
    <row r="8895" spans="1:8" x14ac:dyDescent="0.3">
      <c r="A8895" s="45">
        <v>45370</v>
      </c>
      <c r="B8895" s="399"/>
      <c r="C8895" s="5" t="s">
        <v>14</v>
      </c>
      <c r="D8895" s="5" t="s">
        <v>294</v>
      </c>
      <c r="E8895" s="43">
        <v>10000</v>
      </c>
      <c r="F8895" s="43"/>
      <c r="G8895" s="48">
        <f t="shared" si="224"/>
        <v>85596.553207267425</v>
      </c>
      <c r="H8895" s="392" t="s">
        <v>9568</v>
      </c>
    </row>
    <row r="8896" spans="1:8" x14ac:dyDescent="0.3">
      <c r="A8896" s="45">
        <v>45370</v>
      </c>
      <c r="B8896" s="399" t="s">
        <v>13584</v>
      </c>
      <c r="C8896" s="5" t="s">
        <v>13577</v>
      </c>
      <c r="D8896" s="5" t="s">
        <v>13578</v>
      </c>
      <c r="E8896" s="43">
        <v>5000</v>
      </c>
      <c r="F8896" s="43"/>
      <c r="G8896" s="48">
        <f t="shared" si="224"/>
        <v>80596.553207267425</v>
      </c>
      <c r="H8896" s="392" t="s">
        <v>9568</v>
      </c>
    </row>
    <row r="8897" spans="1:11" x14ac:dyDescent="0.3">
      <c r="A8897" s="45">
        <v>45370</v>
      </c>
      <c r="B8897" s="399" t="s">
        <v>13584</v>
      </c>
      <c r="C8897" s="5" t="s">
        <v>5793</v>
      </c>
      <c r="D8897" s="5" t="s">
        <v>40</v>
      </c>
      <c r="E8897" s="43">
        <v>200</v>
      </c>
      <c r="F8897" s="43"/>
      <c r="G8897" s="48">
        <f t="shared" si="224"/>
        <v>80396.553207267425</v>
      </c>
      <c r="H8897" s="392" t="s">
        <v>9568</v>
      </c>
    </row>
    <row r="8898" spans="1:11" x14ac:dyDescent="0.3">
      <c r="A8898" s="45">
        <v>45371</v>
      </c>
      <c r="B8898" s="399" t="s">
        <v>12678</v>
      </c>
      <c r="C8898" s="5" t="s">
        <v>11194</v>
      </c>
      <c r="D8898" s="5" t="s">
        <v>13580</v>
      </c>
      <c r="E8898" s="43">
        <v>11435</v>
      </c>
      <c r="F8898" s="43"/>
      <c r="G8898" s="48">
        <f t="shared" si="224"/>
        <v>68961.553207267425</v>
      </c>
      <c r="H8898" s="392" t="s">
        <v>9568</v>
      </c>
    </row>
    <row r="8899" spans="1:11" x14ac:dyDescent="0.3">
      <c r="A8899" s="45">
        <v>45371</v>
      </c>
      <c r="B8899" s="399" t="s">
        <v>13584</v>
      </c>
      <c r="C8899" s="5" t="s">
        <v>3220</v>
      </c>
      <c r="D8899" s="5" t="s">
        <v>582</v>
      </c>
      <c r="E8899" s="43">
        <v>20000</v>
      </c>
      <c r="F8899" s="43"/>
      <c r="G8899" s="48">
        <f t="shared" si="224"/>
        <v>48961.553207267425</v>
      </c>
      <c r="H8899" s="392" t="s">
        <v>9568</v>
      </c>
    </row>
    <row r="8900" spans="1:11" x14ac:dyDescent="0.3">
      <c r="A8900" s="45">
        <v>45371</v>
      </c>
      <c r="B8900" s="399" t="s">
        <v>12867</v>
      </c>
      <c r="C8900" s="5" t="s">
        <v>30</v>
      </c>
      <c r="D8900" s="5" t="s">
        <v>10651</v>
      </c>
      <c r="E8900" s="43">
        <v>1000</v>
      </c>
      <c r="F8900" s="43"/>
      <c r="G8900" s="48">
        <f t="shared" si="224"/>
        <v>47961.553207267425</v>
      </c>
      <c r="H8900" s="392" t="s">
        <v>9568</v>
      </c>
    </row>
    <row r="8901" spans="1:11" x14ac:dyDescent="0.3">
      <c r="A8901" s="45">
        <v>45371</v>
      </c>
      <c r="B8901" s="399" t="s">
        <v>12678</v>
      </c>
      <c r="C8901" s="5" t="s">
        <v>5793</v>
      </c>
      <c r="D8901" s="5" t="s">
        <v>40</v>
      </c>
      <c r="E8901" s="43">
        <v>1400</v>
      </c>
      <c r="F8901" s="43"/>
      <c r="G8901" s="48">
        <f t="shared" si="224"/>
        <v>46561.553207267425</v>
      </c>
      <c r="H8901" s="392" t="s">
        <v>9568</v>
      </c>
    </row>
    <row r="8902" spans="1:11" x14ac:dyDescent="0.3">
      <c r="A8902" s="45">
        <v>45371</v>
      </c>
      <c r="B8902" s="399" t="s">
        <v>12189</v>
      </c>
      <c r="C8902" s="5" t="s">
        <v>5793</v>
      </c>
      <c r="D8902" s="5" t="s">
        <v>40</v>
      </c>
      <c r="E8902" s="43">
        <v>700</v>
      </c>
      <c r="F8902" s="43"/>
      <c r="G8902" s="48">
        <f t="shared" si="224"/>
        <v>45861.553207267425</v>
      </c>
      <c r="H8902" s="392" t="s">
        <v>9568</v>
      </c>
    </row>
    <row r="8903" spans="1:11" x14ac:dyDescent="0.3">
      <c r="A8903" s="45">
        <v>45371</v>
      </c>
      <c r="B8903" s="399" t="s">
        <v>12089</v>
      </c>
      <c r="C8903" s="5" t="s">
        <v>11194</v>
      </c>
      <c r="D8903" s="5" t="s">
        <v>13581</v>
      </c>
      <c r="E8903" s="43">
        <v>1000</v>
      </c>
      <c r="F8903" s="43"/>
      <c r="G8903" s="48">
        <f t="shared" si="224"/>
        <v>44861.553207267425</v>
      </c>
      <c r="H8903" s="392" t="s">
        <v>9568</v>
      </c>
      <c r="K8903" s="52">
        <v>5000</v>
      </c>
    </row>
    <row r="8904" spans="1:11" x14ac:dyDescent="0.3">
      <c r="A8904" s="45">
        <v>45371</v>
      </c>
      <c r="B8904" s="399" t="s">
        <v>12089</v>
      </c>
      <c r="C8904" s="5" t="s">
        <v>5793</v>
      </c>
      <c r="D8904" s="5" t="s">
        <v>40</v>
      </c>
      <c r="E8904" s="43">
        <v>700</v>
      </c>
      <c r="F8904" s="43"/>
      <c r="G8904" s="48">
        <f t="shared" si="224"/>
        <v>44161.553207267425</v>
      </c>
      <c r="H8904" s="392" t="s">
        <v>9568</v>
      </c>
      <c r="K8904" s="52">
        <v>2000</v>
      </c>
    </row>
    <row r="8905" spans="1:11" x14ac:dyDescent="0.3">
      <c r="A8905" s="45">
        <v>45371</v>
      </c>
      <c r="B8905" s="399" t="s">
        <v>12867</v>
      </c>
      <c r="C8905" s="5" t="s">
        <v>13582</v>
      </c>
      <c r="D8905" s="5" t="s">
        <v>13583</v>
      </c>
      <c r="E8905" s="43">
        <v>540</v>
      </c>
      <c r="F8905" s="43"/>
      <c r="G8905" s="48">
        <f t="shared" si="224"/>
        <v>43621.553207267425</v>
      </c>
      <c r="H8905" s="392" t="s">
        <v>9568</v>
      </c>
      <c r="K8905" s="52">
        <v>200000</v>
      </c>
    </row>
    <row r="8906" spans="1:11" x14ac:dyDescent="0.3">
      <c r="A8906" s="45">
        <v>45371</v>
      </c>
      <c r="B8906" s="399" t="s">
        <v>12189</v>
      </c>
      <c r="C8906" s="5" t="s">
        <v>5793</v>
      </c>
      <c r="D8906" s="5" t="s">
        <v>40</v>
      </c>
      <c r="E8906" s="43">
        <v>400</v>
      </c>
      <c r="F8906" s="43"/>
      <c r="G8906" s="48">
        <f t="shared" si="224"/>
        <v>43221.553207267425</v>
      </c>
      <c r="H8906" s="392" t="s">
        <v>9568</v>
      </c>
      <c r="K8906" s="52">
        <v>100000</v>
      </c>
    </row>
    <row r="8907" spans="1:11" x14ac:dyDescent="0.3">
      <c r="A8907" s="45">
        <v>45371</v>
      </c>
      <c r="B8907" s="397" t="s">
        <v>25</v>
      </c>
      <c r="C8907" s="186" t="s">
        <v>54</v>
      </c>
      <c r="D8907" s="186" t="s">
        <v>7837</v>
      </c>
      <c r="E8907" s="187">
        <v>6000</v>
      </c>
      <c r="F8907" s="43"/>
      <c r="G8907" s="48">
        <f t="shared" si="224"/>
        <v>37221.553207267425</v>
      </c>
      <c r="H8907" s="392" t="s">
        <v>9568</v>
      </c>
      <c r="K8907" s="52">
        <v>2000</v>
      </c>
    </row>
    <row r="8908" spans="1:11" x14ac:dyDescent="0.3">
      <c r="A8908" s="45">
        <v>45371</v>
      </c>
      <c r="B8908" s="399" t="s">
        <v>12189</v>
      </c>
      <c r="C8908" s="5" t="s">
        <v>5793</v>
      </c>
      <c r="D8908" s="5" t="s">
        <v>40</v>
      </c>
      <c r="E8908" s="43">
        <v>600</v>
      </c>
      <c r="F8908" s="43"/>
      <c r="G8908" s="48">
        <f t="shared" si="224"/>
        <v>36621.553207267425</v>
      </c>
      <c r="H8908" s="392" t="s">
        <v>9568</v>
      </c>
      <c r="K8908" s="52">
        <v>2000</v>
      </c>
    </row>
    <row r="8909" spans="1:11" x14ac:dyDescent="0.3">
      <c r="A8909" s="45">
        <v>45371</v>
      </c>
      <c r="B8909" s="399" t="s">
        <v>25</v>
      </c>
      <c r="C8909" s="5" t="s">
        <v>25</v>
      </c>
      <c r="D8909" s="5" t="s">
        <v>7438</v>
      </c>
      <c r="E8909" s="43">
        <v>1000</v>
      </c>
      <c r="F8909" s="43"/>
      <c r="G8909" s="48">
        <f t="shared" si="224"/>
        <v>35621.553207267425</v>
      </c>
      <c r="H8909" s="392" t="s">
        <v>9568</v>
      </c>
      <c r="K8909" s="52">
        <v>10000</v>
      </c>
    </row>
    <row r="8910" spans="1:11" x14ac:dyDescent="0.3">
      <c r="A8910" s="45">
        <v>45371</v>
      </c>
      <c r="B8910" s="399" t="s">
        <v>25</v>
      </c>
      <c r="C8910" s="5" t="s">
        <v>25</v>
      </c>
      <c r="D8910" s="5" t="s">
        <v>2637</v>
      </c>
      <c r="E8910" s="43">
        <v>1000</v>
      </c>
      <c r="F8910" s="43"/>
      <c r="G8910" s="48">
        <f t="shared" si="224"/>
        <v>34621.553207267425</v>
      </c>
      <c r="H8910" s="392" t="s">
        <v>9568</v>
      </c>
      <c r="K8910" s="52">
        <v>15000</v>
      </c>
    </row>
    <row r="8911" spans="1:11" x14ac:dyDescent="0.3">
      <c r="A8911" s="45">
        <v>45372</v>
      </c>
      <c r="B8911" s="399" t="s">
        <v>12867</v>
      </c>
      <c r="C8911" s="5" t="s">
        <v>11194</v>
      </c>
      <c r="D8911" s="5" t="s">
        <v>13586</v>
      </c>
      <c r="E8911" s="43">
        <v>3000</v>
      </c>
      <c r="F8911" s="43"/>
      <c r="G8911" s="48">
        <f t="shared" si="224"/>
        <v>31621.553207267425</v>
      </c>
      <c r="H8911" s="392" t="s">
        <v>9568</v>
      </c>
      <c r="K8911" s="52">
        <v>10000</v>
      </c>
    </row>
    <row r="8912" spans="1:11" x14ac:dyDescent="0.3">
      <c r="A8912" s="45">
        <v>45372</v>
      </c>
      <c r="B8912" s="399" t="s">
        <v>12189</v>
      </c>
      <c r="C8912" s="5" t="s">
        <v>84</v>
      </c>
      <c r="D8912" s="5" t="s">
        <v>13585</v>
      </c>
      <c r="E8912" s="43">
        <v>3000</v>
      </c>
      <c r="F8912" s="43"/>
      <c r="G8912" s="48">
        <f t="shared" si="224"/>
        <v>28621.553207267425</v>
      </c>
      <c r="H8912" s="392" t="s">
        <v>9568</v>
      </c>
      <c r="K8912" s="52">
        <v>5000</v>
      </c>
    </row>
    <row r="8913" spans="1:11" x14ac:dyDescent="0.3">
      <c r="A8913" s="45">
        <v>45372</v>
      </c>
      <c r="B8913" s="399" t="s">
        <v>12867</v>
      </c>
      <c r="C8913" s="5" t="s">
        <v>9801</v>
      </c>
      <c r="D8913" s="5" t="s">
        <v>9802</v>
      </c>
      <c r="E8913" s="43">
        <v>2000</v>
      </c>
      <c r="F8913" s="43"/>
      <c r="G8913" s="48">
        <f t="shared" si="224"/>
        <v>26621.553207267425</v>
      </c>
      <c r="H8913" s="392" t="s">
        <v>9568</v>
      </c>
      <c r="K8913" s="52">
        <v>125000</v>
      </c>
    </row>
    <row r="8914" spans="1:11" x14ac:dyDescent="0.3">
      <c r="A8914" s="45">
        <v>45372</v>
      </c>
      <c r="B8914" s="399" t="s">
        <v>12189</v>
      </c>
      <c r="C8914" s="5" t="s">
        <v>84</v>
      </c>
      <c r="D8914" s="5" t="s">
        <v>13587</v>
      </c>
      <c r="E8914" s="43">
        <v>10000</v>
      </c>
      <c r="F8914" s="43"/>
      <c r="G8914" s="48">
        <f t="shared" si="224"/>
        <v>16621.553207267425</v>
      </c>
      <c r="H8914" s="392" t="s">
        <v>9568</v>
      </c>
      <c r="K8914" s="52">
        <f>SUM(K8903:K8913)</f>
        <v>476000</v>
      </c>
    </row>
    <row r="8915" spans="1:11" x14ac:dyDescent="0.3">
      <c r="A8915" s="45">
        <v>45372</v>
      </c>
      <c r="B8915" s="399" t="s">
        <v>12189</v>
      </c>
      <c r="C8915" s="5" t="s">
        <v>84</v>
      </c>
      <c r="D8915" s="5" t="s">
        <v>13588</v>
      </c>
      <c r="E8915" s="43">
        <v>4000</v>
      </c>
      <c r="F8915" s="43"/>
      <c r="G8915" s="48">
        <f t="shared" si="224"/>
        <v>12621.553207267425</v>
      </c>
      <c r="H8915" s="392" t="s">
        <v>9568</v>
      </c>
      <c r="K8915" s="52">
        <f>500000-K8914</f>
        <v>24000</v>
      </c>
    </row>
    <row r="8916" spans="1:11" x14ac:dyDescent="0.3">
      <c r="A8916" s="45">
        <v>45372</v>
      </c>
      <c r="B8916" s="399" t="s">
        <v>12088</v>
      </c>
      <c r="C8916" s="5" t="s">
        <v>11194</v>
      </c>
      <c r="D8916" s="5" t="s">
        <v>13589</v>
      </c>
      <c r="E8916" s="43">
        <v>8000</v>
      </c>
      <c r="F8916" s="43"/>
      <c r="G8916" s="48">
        <f t="shared" si="224"/>
        <v>4621.553207267425</v>
      </c>
      <c r="H8916" s="392" t="s">
        <v>9568</v>
      </c>
    </row>
    <row r="8917" spans="1:11" x14ac:dyDescent="0.3">
      <c r="A8917" s="45">
        <v>45373</v>
      </c>
      <c r="B8917" s="586"/>
      <c r="C8917" s="486"/>
      <c r="D8917" s="497" t="s">
        <v>4364</v>
      </c>
      <c r="E8917" s="486"/>
      <c r="F8917" s="28">
        <v>45000</v>
      </c>
      <c r="G8917" s="48">
        <f t="shared" si="224"/>
        <v>49621.553207267425</v>
      </c>
      <c r="H8917" s="392" t="s">
        <v>9568</v>
      </c>
    </row>
    <row r="8918" spans="1:11" x14ac:dyDescent="0.3">
      <c r="A8918" s="45">
        <v>45373</v>
      </c>
      <c r="B8918" s="399" t="s">
        <v>13584</v>
      </c>
      <c r="C8918" s="5" t="s">
        <v>12908</v>
      </c>
      <c r="D8918" s="5" t="s">
        <v>582</v>
      </c>
      <c r="E8918" s="43">
        <v>10000</v>
      </c>
      <c r="F8918" s="43"/>
      <c r="G8918" s="48">
        <f t="shared" si="224"/>
        <v>39621.553207267425</v>
      </c>
      <c r="H8918" s="392" t="s">
        <v>9568</v>
      </c>
    </row>
    <row r="8919" spans="1:11" x14ac:dyDescent="0.3">
      <c r="A8919" s="45">
        <v>45376</v>
      </c>
      <c r="B8919" s="399" t="s">
        <v>12867</v>
      </c>
      <c r="C8919" s="5" t="s">
        <v>26</v>
      </c>
      <c r="D8919" s="5" t="s">
        <v>13590</v>
      </c>
      <c r="E8919" s="43">
        <v>1500</v>
      </c>
      <c r="F8919" s="43"/>
      <c r="G8919" s="48">
        <f t="shared" si="224"/>
        <v>38121.553207267425</v>
      </c>
      <c r="H8919" s="392" t="s">
        <v>9568</v>
      </c>
    </row>
    <row r="8920" spans="1:11" x14ac:dyDescent="0.3">
      <c r="A8920" s="45">
        <v>45376</v>
      </c>
      <c r="B8920" s="399" t="s">
        <v>12678</v>
      </c>
      <c r="C8920" s="5" t="s">
        <v>6430</v>
      </c>
      <c r="D8920" s="5" t="s">
        <v>13591</v>
      </c>
      <c r="E8920" s="43">
        <v>2000</v>
      </c>
      <c r="F8920" s="43"/>
      <c r="G8920" s="48">
        <f t="shared" si="224"/>
        <v>36121.553207267425</v>
      </c>
      <c r="H8920" s="392" t="s">
        <v>9568</v>
      </c>
    </row>
    <row r="8921" spans="1:11" x14ac:dyDescent="0.3">
      <c r="A8921" s="45">
        <v>45376</v>
      </c>
      <c r="B8921" s="399" t="s">
        <v>25</v>
      </c>
      <c r="C8921" s="5" t="s">
        <v>25</v>
      </c>
      <c r="D8921" s="5" t="s">
        <v>13597</v>
      </c>
      <c r="E8921" s="43">
        <v>31500</v>
      </c>
      <c r="F8921" s="43"/>
      <c r="G8921" s="48">
        <f t="shared" si="224"/>
        <v>4621.553207267425</v>
      </c>
      <c r="H8921" s="392" t="s">
        <v>9568</v>
      </c>
    </row>
    <row r="8922" spans="1:11" x14ac:dyDescent="0.3">
      <c r="A8922" s="45">
        <v>45384</v>
      </c>
      <c r="B8922" s="586"/>
      <c r="C8922" s="486"/>
      <c r="D8922" s="497" t="s">
        <v>13631</v>
      </c>
      <c r="E8922" s="486"/>
      <c r="F8922" s="28">
        <v>500000</v>
      </c>
      <c r="G8922" s="48">
        <f t="shared" si="224"/>
        <v>504621.55320726743</v>
      </c>
      <c r="H8922" s="392" t="s">
        <v>9568</v>
      </c>
    </row>
    <row r="8923" spans="1:11" x14ac:dyDescent="0.3">
      <c r="A8923" s="45">
        <v>45384</v>
      </c>
      <c r="B8923" s="397" t="s">
        <v>12867</v>
      </c>
      <c r="C8923" s="186" t="s">
        <v>54</v>
      </c>
      <c r="D8923" s="186" t="s">
        <v>6245</v>
      </c>
      <c r="E8923" s="187">
        <v>80160</v>
      </c>
      <c r="F8923" s="43"/>
      <c r="G8923" s="48">
        <f t="shared" si="224"/>
        <v>424461.55320726743</v>
      </c>
      <c r="H8923" s="392" t="s">
        <v>9568</v>
      </c>
    </row>
    <row r="8924" spans="1:11" x14ac:dyDescent="0.3">
      <c r="A8924" s="45">
        <v>45384</v>
      </c>
      <c r="B8924" s="397" t="s">
        <v>13612</v>
      </c>
      <c r="C8924" s="186" t="s">
        <v>54</v>
      </c>
      <c r="D8924" s="186" t="s">
        <v>12821</v>
      </c>
      <c r="E8924" s="187">
        <v>23130</v>
      </c>
      <c r="F8924" s="43"/>
      <c r="G8924" s="48">
        <f t="shared" si="224"/>
        <v>401331.55320726743</v>
      </c>
      <c r="H8924" s="392" t="s">
        <v>9568</v>
      </c>
    </row>
    <row r="8925" spans="1:11" x14ac:dyDescent="0.3">
      <c r="A8925" s="45">
        <v>45384</v>
      </c>
      <c r="B8925" s="399" t="s">
        <v>12098</v>
      </c>
      <c r="C8925" s="5" t="s">
        <v>11194</v>
      </c>
      <c r="D8925" s="5" t="s">
        <v>13613</v>
      </c>
      <c r="E8925" s="43">
        <v>1700</v>
      </c>
      <c r="F8925" s="43"/>
      <c r="G8925" s="48">
        <f t="shared" si="224"/>
        <v>399631.55320726743</v>
      </c>
      <c r="H8925" s="392" t="s">
        <v>9568</v>
      </c>
    </row>
    <row r="8926" spans="1:11" x14ac:dyDescent="0.3">
      <c r="A8926" s="45">
        <v>45384</v>
      </c>
      <c r="B8926" s="399" t="s">
        <v>25</v>
      </c>
      <c r="C8926" s="5" t="s">
        <v>25</v>
      </c>
      <c r="D8926" s="5" t="s">
        <v>13433</v>
      </c>
      <c r="E8926" s="43">
        <v>3000</v>
      </c>
      <c r="F8926" s="43"/>
      <c r="G8926" s="48">
        <f t="shared" si="224"/>
        <v>396631.55320726743</v>
      </c>
      <c r="H8926" s="392" t="s">
        <v>9568</v>
      </c>
    </row>
    <row r="8927" spans="1:11" x14ac:dyDescent="0.3">
      <c r="A8927" s="45">
        <v>45384</v>
      </c>
      <c r="B8927" s="399" t="s">
        <v>13542</v>
      </c>
      <c r="C8927" s="5" t="s">
        <v>9765</v>
      </c>
      <c r="D8927" s="5" t="s">
        <v>13341</v>
      </c>
      <c r="E8927" s="43">
        <v>5000</v>
      </c>
      <c r="F8927" s="43"/>
      <c r="G8927" s="48">
        <f t="shared" si="224"/>
        <v>391631.55320726743</v>
      </c>
      <c r="H8927" s="392" t="s">
        <v>9568</v>
      </c>
    </row>
    <row r="8928" spans="1:11" x14ac:dyDescent="0.3">
      <c r="A8928" s="45">
        <v>45384</v>
      </c>
      <c r="B8928" s="399"/>
      <c r="C8928" s="5" t="s">
        <v>1074</v>
      </c>
      <c r="D8928" s="5" t="s">
        <v>13618</v>
      </c>
      <c r="E8928" s="43">
        <v>900</v>
      </c>
      <c r="F8928" s="43"/>
      <c r="G8928" s="48">
        <f t="shared" si="224"/>
        <v>390731.55320726743</v>
      </c>
      <c r="H8928" s="392" t="s">
        <v>9568</v>
      </c>
    </row>
    <row r="8929" spans="1:8" x14ac:dyDescent="0.3">
      <c r="A8929" s="45">
        <v>45384</v>
      </c>
      <c r="B8929" s="399" t="s">
        <v>12287</v>
      </c>
      <c r="C8929" s="5" t="s">
        <v>1074</v>
      </c>
      <c r="D8929" s="5" t="s">
        <v>4601</v>
      </c>
      <c r="E8929" s="43">
        <v>1330</v>
      </c>
      <c r="F8929" s="43"/>
      <c r="G8929" s="48">
        <f t="shared" si="224"/>
        <v>389401.55320726743</v>
      </c>
      <c r="H8929" s="392" t="s">
        <v>9568</v>
      </c>
    </row>
    <row r="8930" spans="1:8" x14ac:dyDescent="0.3">
      <c r="A8930" s="45">
        <v>45384</v>
      </c>
      <c r="B8930" s="399" t="s">
        <v>12867</v>
      </c>
      <c r="C8930" s="5" t="s">
        <v>13619</v>
      </c>
      <c r="D8930" s="5" t="s">
        <v>13620</v>
      </c>
      <c r="E8930" s="43">
        <v>35000</v>
      </c>
      <c r="F8930" s="43"/>
      <c r="G8930" s="48">
        <f t="shared" si="224"/>
        <v>354401.55320726743</v>
      </c>
      <c r="H8930" s="392" t="s">
        <v>9568</v>
      </c>
    </row>
    <row r="8931" spans="1:8" x14ac:dyDescent="0.3">
      <c r="A8931" s="45">
        <v>45384</v>
      </c>
      <c r="B8931" s="399" t="s">
        <v>25</v>
      </c>
      <c r="C8931" s="5" t="s">
        <v>13621</v>
      </c>
      <c r="D8931" s="5" t="s">
        <v>13622</v>
      </c>
      <c r="E8931" s="43">
        <v>20000</v>
      </c>
      <c r="F8931" s="43"/>
      <c r="G8931" s="48">
        <f t="shared" si="224"/>
        <v>334401.55320726743</v>
      </c>
      <c r="H8931" s="392" t="s">
        <v>9568</v>
      </c>
    </row>
    <row r="8932" spans="1:8" x14ac:dyDescent="0.3">
      <c r="A8932" s="45">
        <v>45384</v>
      </c>
      <c r="B8932" s="399" t="s">
        <v>12867</v>
      </c>
      <c r="C8932" s="5" t="s">
        <v>5793</v>
      </c>
      <c r="D8932" s="5" t="s">
        <v>13624</v>
      </c>
      <c r="E8932" s="43">
        <v>4500</v>
      </c>
      <c r="F8932" s="43"/>
      <c r="G8932" s="48">
        <f t="shared" si="224"/>
        <v>329901.55320726743</v>
      </c>
      <c r="H8932" s="392" t="s">
        <v>9568</v>
      </c>
    </row>
    <row r="8933" spans="1:8" x14ac:dyDescent="0.3">
      <c r="A8933" s="45">
        <v>45384</v>
      </c>
      <c r="B8933" s="399" t="s">
        <v>13616</v>
      </c>
      <c r="C8933" s="5" t="s">
        <v>9765</v>
      </c>
      <c r="D8933" s="5" t="s">
        <v>13341</v>
      </c>
      <c r="E8933" s="43">
        <v>5000</v>
      </c>
      <c r="F8933" s="43"/>
      <c r="G8933" s="48">
        <f t="shared" si="224"/>
        <v>324901.55320726743</v>
      </c>
      <c r="H8933" s="392" t="s">
        <v>9568</v>
      </c>
    </row>
    <row r="8934" spans="1:8" x14ac:dyDescent="0.3">
      <c r="A8934" s="45">
        <v>45384</v>
      </c>
      <c r="B8934" s="399" t="s">
        <v>13612</v>
      </c>
      <c r="C8934" s="5" t="s">
        <v>11194</v>
      </c>
      <c r="D8934" s="5" t="s">
        <v>12700</v>
      </c>
      <c r="E8934" s="43">
        <v>1250</v>
      </c>
      <c r="F8934" s="43"/>
      <c r="G8934" s="48">
        <f t="shared" si="224"/>
        <v>323651.55320726743</v>
      </c>
      <c r="H8934" s="392" t="s">
        <v>9568</v>
      </c>
    </row>
    <row r="8935" spans="1:8" x14ac:dyDescent="0.3">
      <c r="A8935" s="45">
        <v>45384</v>
      </c>
      <c r="B8935" s="399" t="s">
        <v>25</v>
      </c>
      <c r="C8935" s="5" t="s">
        <v>1074</v>
      </c>
      <c r="D8935" s="5" t="s">
        <v>4601</v>
      </c>
      <c r="E8935" s="43">
        <v>1200</v>
      </c>
      <c r="F8935" s="43"/>
      <c r="G8935" s="48">
        <f t="shared" si="224"/>
        <v>322451.55320726743</v>
      </c>
      <c r="H8935" s="392" t="s">
        <v>9568</v>
      </c>
    </row>
    <row r="8936" spans="1:8" x14ac:dyDescent="0.3">
      <c r="A8936" s="45">
        <v>45384</v>
      </c>
      <c r="B8936" s="399" t="s">
        <v>13612</v>
      </c>
      <c r="C8936" s="5" t="s">
        <v>5793</v>
      </c>
      <c r="D8936" s="5" t="s">
        <v>40</v>
      </c>
      <c r="E8936" s="43">
        <v>1000</v>
      </c>
      <c r="F8936" s="43"/>
      <c r="G8936" s="48">
        <f t="shared" si="224"/>
        <v>321451.55320726743</v>
      </c>
      <c r="H8936" s="392" t="s">
        <v>9568</v>
      </c>
    </row>
    <row r="8937" spans="1:8" x14ac:dyDescent="0.3">
      <c r="A8937" s="45">
        <v>45384</v>
      </c>
      <c r="B8937" s="399"/>
      <c r="C8937" s="5" t="s">
        <v>14</v>
      </c>
      <c r="D8937" s="5" t="s">
        <v>294</v>
      </c>
      <c r="E8937" s="43">
        <v>25000</v>
      </c>
      <c r="F8937" s="43"/>
      <c r="G8937" s="48">
        <f t="shared" si="224"/>
        <v>296451.55320726743</v>
      </c>
      <c r="H8937" s="392" t="s">
        <v>9568</v>
      </c>
    </row>
    <row r="8938" spans="1:8" x14ac:dyDescent="0.3">
      <c r="A8938" s="45">
        <v>45384</v>
      </c>
      <c r="B8938" s="586"/>
      <c r="C8938" s="486"/>
      <c r="D8938" s="497" t="s">
        <v>12333</v>
      </c>
      <c r="E8938" s="486"/>
      <c r="F8938" s="28">
        <v>950000</v>
      </c>
      <c r="G8938" s="48">
        <f t="shared" si="224"/>
        <v>1246451.5532072675</v>
      </c>
      <c r="H8938" s="392" t="s">
        <v>9568</v>
      </c>
    </row>
    <row r="8939" spans="1:8" x14ac:dyDescent="0.3">
      <c r="A8939" s="45">
        <v>45384</v>
      </c>
      <c r="B8939" s="397" t="s">
        <v>25</v>
      </c>
      <c r="C8939" s="186" t="s">
        <v>54</v>
      </c>
      <c r="D8939" s="186" t="s">
        <v>11399</v>
      </c>
      <c r="E8939" s="187">
        <f>16000+78000+73500+40500+44350</f>
        <v>252350</v>
      </c>
      <c r="F8939" s="43"/>
      <c r="G8939" s="48">
        <f t="shared" si="224"/>
        <v>994101.55320726754</v>
      </c>
      <c r="H8939" s="392" t="s">
        <v>9568</v>
      </c>
    </row>
    <row r="8940" spans="1:8" x14ac:dyDescent="0.3">
      <c r="A8940" s="45">
        <v>45384</v>
      </c>
      <c r="B8940" s="397" t="s">
        <v>25</v>
      </c>
      <c r="C8940" s="186" t="s">
        <v>13633</v>
      </c>
      <c r="D8940" s="186" t="s">
        <v>13640</v>
      </c>
      <c r="E8940" s="187">
        <v>889250</v>
      </c>
      <c r="F8940" s="43"/>
      <c r="G8940" s="48">
        <f t="shared" si="224"/>
        <v>104851.55320726754</v>
      </c>
      <c r="H8940" s="392" t="s">
        <v>9568</v>
      </c>
    </row>
    <row r="8941" spans="1:8" x14ac:dyDescent="0.3">
      <c r="A8941" s="45">
        <v>45384</v>
      </c>
      <c r="B8941" s="399" t="s">
        <v>12867</v>
      </c>
      <c r="C8941" s="5" t="s">
        <v>5793</v>
      </c>
      <c r="D8941" s="5" t="s">
        <v>40</v>
      </c>
      <c r="E8941" s="43">
        <v>900</v>
      </c>
      <c r="F8941" s="43"/>
      <c r="G8941" s="48">
        <f t="shared" si="224"/>
        <v>103951.55320726754</v>
      </c>
      <c r="H8941" s="392" t="s">
        <v>9568</v>
      </c>
    </row>
    <row r="8942" spans="1:8" x14ac:dyDescent="0.3">
      <c r="A8942" s="45">
        <v>45384</v>
      </c>
      <c r="B8942" s="399" t="s">
        <v>12678</v>
      </c>
      <c r="C8942" s="5" t="s">
        <v>13625</v>
      </c>
      <c r="D8942" s="5" t="s">
        <v>13626</v>
      </c>
      <c r="E8942" s="43">
        <v>15000</v>
      </c>
      <c r="F8942" s="43"/>
      <c r="G8942" s="48">
        <f t="shared" si="224"/>
        <v>88951.553207267541</v>
      </c>
      <c r="H8942" s="392" t="s">
        <v>9568</v>
      </c>
    </row>
    <row r="8943" spans="1:8" x14ac:dyDescent="0.3">
      <c r="A8943" s="45">
        <v>45384</v>
      </c>
      <c r="B8943" s="397" t="s">
        <v>12189</v>
      </c>
      <c r="C8943" s="186" t="s">
        <v>54</v>
      </c>
      <c r="D8943" s="186" t="s">
        <v>12822</v>
      </c>
      <c r="E8943" s="187">
        <v>44050</v>
      </c>
      <c r="F8943" s="43"/>
      <c r="G8943" s="48">
        <f t="shared" si="224"/>
        <v>44901.553207267541</v>
      </c>
      <c r="H8943" s="392" t="s">
        <v>9568</v>
      </c>
    </row>
    <row r="8944" spans="1:8" x14ac:dyDescent="0.3">
      <c r="A8944" s="45">
        <v>45384</v>
      </c>
      <c r="B8944" s="399" t="s">
        <v>12867</v>
      </c>
      <c r="C8944" s="5" t="s">
        <v>26</v>
      </c>
      <c r="D8944" s="5" t="s">
        <v>13630</v>
      </c>
      <c r="E8944" s="43">
        <v>2000</v>
      </c>
      <c r="F8944" s="43"/>
      <c r="G8944" s="48">
        <f t="shared" ref="G8944:G9007" si="225">G8943+F8944-E8944</f>
        <v>42901.553207267541</v>
      </c>
      <c r="H8944" s="392" t="s">
        <v>9568</v>
      </c>
    </row>
    <row r="8945" spans="1:12" x14ac:dyDescent="0.3">
      <c r="A8945" s="45">
        <v>45385</v>
      </c>
      <c r="B8945" s="586"/>
      <c r="C8945" s="486"/>
      <c r="D8945" s="497" t="s">
        <v>4364</v>
      </c>
      <c r="E8945" s="486"/>
      <c r="F8945" s="43">
        <v>500000</v>
      </c>
      <c r="G8945" s="48">
        <f t="shared" si="225"/>
        <v>542901.55320726754</v>
      </c>
      <c r="H8945" s="392" t="s">
        <v>9568</v>
      </c>
    </row>
    <row r="8946" spans="1:12" x14ac:dyDescent="0.3">
      <c r="A8946" s="45">
        <v>45385</v>
      </c>
      <c r="B8946" s="586"/>
      <c r="C8946" s="486"/>
      <c r="D8946" s="497" t="s">
        <v>12333</v>
      </c>
      <c r="E8946" s="486"/>
      <c r="F8946" s="28">
        <v>800000</v>
      </c>
      <c r="G8946" s="48">
        <f t="shared" si="225"/>
        <v>1342901.5532072675</v>
      </c>
      <c r="H8946" s="392" t="s">
        <v>9568</v>
      </c>
    </row>
    <row r="8947" spans="1:12" x14ac:dyDescent="0.3">
      <c r="A8947" s="45">
        <v>45385</v>
      </c>
      <c r="B8947" s="397" t="s">
        <v>12132</v>
      </c>
      <c r="C8947" s="186" t="s">
        <v>54</v>
      </c>
      <c r="D8947" s="186" t="s">
        <v>12815</v>
      </c>
      <c r="E8947" s="187">
        <v>186200</v>
      </c>
      <c r="F8947" s="43"/>
      <c r="G8947" s="48">
        <f t="shared" si="225"/>
        <v>1156701.5532072675</v>
      </c>
      <c r="H8947" s="392" t="s">
        <v>9568</v>
      </c>
    </row>
    <row r="8948" spans="1:12" x14ac:dyDescent="0.3">
      <c r="A8948" s="45">
        <v>45385</v>
      </c>
      <c r="B8948" s="399" t="s">
        <v>25</v>
      </c>
      <c r="C8948" s="5" t="s">
        <v>25</v>
      </c>
      <c r="D8948" s="5" t="s">
        <v>9668</v>
      </c>
      <c r="E8948" s="43">
        <v>1000</v>
      </c>
      <c r="F8948" s="43"/>
      <c r="G8948" s="48">
        <f t="shared" si="225"/>
        <v>1155701.5532072675</v>
      </c>
      <c r="H8948" s="392" t="s">
        <v>9568</v>
      </c>
    </row>
    <row r="8949" spans="1:12" x14ac:dyDescent="0.3">
      <c r="A8949" s="45">
        <v>45385</v>
      </c>
      <c r="B8949" s="399" t="s">
        <v>12132</v>
      </c>
      <c r="C8949" s="5" t="s">
        <v>26</v>
      </c>
      <c r="D8949" s="5" t="s">
        <v>5915</v>
      </c>
      <c r="E8949" s="43">
        <v>3000</v>
      </c>
      <c r="F8949" s="43"/>
      <c r="G8949" s="48">
        <f t="shared" si="225"/>
        <v>1152701.5532072675</v>
      </c>
      <c r="H8949" s="392" t="s">
        <v>9568</v>
      </c>
    </row>
    <row r="8950" spans="1:12" x14ac:dyDescent="0.3">
      <c r="A8950" s="45">
        <v>45385</v>
      </c>
      <c r="B8950" s="399" t="s">
        <v>12132</v>
      </c>
      <c r="C8950" s="5" t="s">
        <v>26</v>
      </c>
      <c r="D8950" s="5" t="s">
        <v>13632</v>
      </c>
      <c r="E8950" s="43">
        <v>500</v>
      </c>
      <c r="F8950" s="43"/>
      <c r="G8950" s="48">
        <f t="shared" si="225"/>
        <v>1152201.5532072675</v>
      </c>
      <c r="H8950" s="392" t="s">
        <v>9568</v>
      </c>
    </row>
    <row r="8951" spans="1:12" x14ac:dyDescent="0.3">
      <c r="A8951" s="45">
        <v>45385</v>
      </c>
      <c r="B8951" s="397" t="s">
        <v>13476</v>
      </c>
      <c r="C8951" s="186" t="s">
        <v>54</v>
      </c>
      <c r="D8951" s="186" t="s">
        <v>13634</v>
      </c>
      <c r="E8951" s="187">
        <v>266282</v>
      </c>
      <c r="F8951" s="43"/>
      <c r="G8951" s="48">
        <f t="shared" si="225"/>
        <v>885919.55320726754</v>
      </c>
      <c r="H8951" s="392" t="s">
        <v>9568</v>
      </c>
    </row>
    <row r="8952" spans="1:12" x14ac:dyDescent="0.3">
      <c r="A8952" s="45">
        <v>45385</v>
      </c>
      <c r="B8952" s="397" t="s">
        <v>13584</v>
      </c>
      <c r="C8952" s="186" t="s">
        <v>54</v>
      </c>
      <c r="D8952" s="186" t="s">
        <v>13636</v>
      </c>
      <c r="E8952" s="187">
        <v>129000</v>
      </c>
      <c r="F8952" s="43"/>
      <c r="G8952" s="48">
        <f t="shared" si="225"/>
        <v>756919.55320726754</v>
      </c>
      <c r="H8952" s="392" t="s">
        <v>9568</v>
      </c>
    </row>
    <row r="8953" spans="1:12" x14ac:dyDescent="0.3">
      <c r="A8953" s="45">
        <v>45385</v>
      </c>
      <c r="B8953" s="399" t="s">
        <v>25</v>
      </c>
      <c r="C8953" s="5" t="s">
        <v>13621</v>
      </c>
      <c r="D8953" s="5" t="s">
        <v>13622</v>
      </c>
      <c r="E8953" s="43">
        <v>5000</v>
      </c>
      <c r="F8953" s="43"/>
      <c r="G8953" s="48">
        <f t="shared" si="225"/>
        <v>751919.55320726754</v>
      </c>
      <c r="H8953" s="392" t="s">
        <v>9568</v>
      </c>
    </row>
    <row r="8954" spans="1:12" x14ac:dyDescent="0.3">
      <c r="A8954" s="45">
        <v>45386</v>
      </c>
      <c r="B8954" s="397" t="s">
        <v>13616</v>
      </c>
      <c r="C8954" s="186" t="s">
        <v>54</v>
      </c>
      <c r="D8954" s="186" t="s">
        <v>13641</v>
      </c>
      <c r="E8954" s="187">
        <v>43016</v>
      </c>
      <c r="F8954" s="43"/>
      <c r="G8954" s="48">
        <f t="shared" si="225"/>
        <v>708903.55320726754</v>
      </c>
      <c r="H8954" s="392" t="s">
        <v>9568</v>
      </c>
    </row>
    <row r="8955" spans="1:12" x14ac:dyDescent="0.3">
      <c r="A8955" s="45">
        <v>45386</v>
      </c>
      <c r="B8955" s="397" t="s">
        <v>12138</v>
      </c>
      <c r="C8955" s="186" t="s">
        <v>54</v>
      </c>
      <c r="D8955" s="186" t="s">
        <v>12587</v>
      </c>
      <c r="E8955" s="187">
        <v>36300</v>
      </c>
      <c r="F8955" s="43"/>
      <c r="G8955" s="48">
        <f t="shared" si="225"/>
        <v>672603.55320726754</v>
      </c>
      <c r="H8955" s="392" t="s">
        <v>9568</v>
      </c>
    </row>
    <row r="8956" spans="1:12" x14ac:dyDescent="0.3">
      <c r="A8956" s="45">
        <v>45386</v>
      </c>
      <c r="B8956" s="397" t="s">
        <v>12867</v>
      </c>
      <c r="C8956" s="186" t="s">
        <v>54</v>
      </c>
      <c r="D8956" s="186" t="s">
        <v>13642</v>
      </c>
      <c r="E8956" s="187">
        <v>65000</v>
      </c>
      <c r="F8956" s="43"/>
      <c r="G8956" s="48">
        <f t="shared" si="225"/>
        <v>607603.55320726754</v>
      </c>
      <c r="H8956" s="392" t="s">
        <v>9568</v>
      </c>
    </row>
    <row r="8957" spans="1:12" x14ac:dyDescent="0.3">
      <c r="A8957" s="45">
        <v>45386</v>
      </c>
      <c r="B8957" s="399" t="s">
        <v>12678</v>
      </c>
      <c r="C8957" s="5" t="s">
        <v>5793</v>
      </c>
      <c r="D8957" s="5" t="s">
        <v>40</v>
      </c>
      <c r="E8957" s="43">
        <v>2000</v>
      </c>
      <c r="F8957" s="43"/>
      <c r="G8957" s="48">
        <f t="shared" si="225"/>
        <v>605603.55320726754</v>
      </c>
      <c r="H8957" s="392" t="s">
        <v>9568</v>
      </c>
    </row>
    <row r="8958" spans="1:12" x14ac:dyDescent="0.3">
      <c r="A8958" s="45">
        <v>45386</v>
      </c>
      <c r="B8958" s="399" t="s">
        <v>12867</v>
      </c>
      <c r="C8958" s="5" t="s">
        <v>5793</v>
      </c>
      <c r="D8958" s="5" t="s">
        <v>40</v>
      </c>
      <c r="E8958" s="43">
        <v>200</v>
      </c>
      <c r="F8958" s="43"/>
      <c r="G8958" s="48">
        <f t="shared" si="225"/>
        <v>605403.55320726754</v>
      </c>
      <c r="H8958" s="392" t="s">
        <v>9568</v>
      </c>
    </row>
    <row r="8959" spans="1:12" x14ac:dyDescent="0.3">
      <c r="A8959" s="45">
        <v>45386</v>
      </c>
      <c r="B8959" s="397" t="s">
        <v>12678</v>
      </c>
      <c r="C8959" s="186" t="s">
        <v>54</v>
      </c>
      <c r="D8959" s="186" t="s">
        <v>13318</v>
      </c>
      <c r="E8959" s="187">
        <v>535700</v>
      </c>
      <c r="F8959" s="43"/>
      <c r="G8959" s="48">
        <f t="shared" si="225"/>
        <v>69703.553207267541</v>
      </c>
      <c r="H8959" s="392" t="s">
        <v>9568</v>
      </c>
      <c r="L8959" s="52" t="s">
        <v>13545</v>
      </c>
    </row>
    <row r="8960" spans="1:12" x14ac:dyDescent="0.3">
      <c r="A8960" s="45">
        <v>45386</v>
      </c>
      <c r="B8960" s="399" t="s">
        <v>13285</v>
      </c>
      <c r="C8960" s="5" t="s">
        <v>13644</v>
      </c>
      <c r="D8960" s="5" t="s">
        <v>13645</v>
      </c>
      <c r="E8960" s="43">
        <v>50000</v>
      </c>
      <c r="F8960" s="43"/>
      <c r="G8960" s="48">
        <f t="shared" si="225"/>
        <v>19703.553207267541</v>
      </c>
      <c r="H8960" s="392" t="s">
        <v>9568</v>
      </c>
      <c r="L8960" s="52"/>
    </row>
    <row r="8961" spans="1:12" x14ac:dyDescent="0.3">
      <c r="A8961" s="45">
        <v>45386</v>
      </c>
      <c r="B8961" s="399" t="s">
        <v>12678</v>
      </c>
      <c r="C8961" s="5" t="s">
        <v>5793</v>
      </c>
      <c r="D8961" s="5" t="s">
        <v>40</v>
      </c>
      <c r="E8961" s="43">
        <v>1000</v>
      </c>
      <c r="F8961" s="43"/>
      <c r="G8961" s="48">
        <f t="shared" si="225"/>
        <v>18703.553207267541</v>
      </c>
      <c r="H8961" s="392" t="s">
        <v>9568</v>
      </c>
      <c r="I8961" s="609" t="s">
        <v>13635</v>
      </c>
      <c r="J8961" s="187">
        <f>'[1]Salary Sheets'!$D$78</f>
        <v>969250</v>
      </c>
      <c r="L8961" s="52"/>
    </row>
    <row r="8962" spans="1:12" x14ac:dyDescent="0.3">
      <c r="A8962" s="45">
        <v>45386</v>
      </c>
      <c r="B8962" s="399" t="s">
        <v>12189</v>
      </c>
      <c r="C8962" s="186" t="s">
        <v>26</v>
      </c>
      <c r="D8962" s="5" t="s">
        <v>13647</v>
      </c>
      <c r="E8962" s="43">
        <v>1500</v>
      </c>
      <c r="F8962" s="43"/>
      <c r="G8962" s="48">
        <f t="shared" si="225"/>
        <v>17203.553207267541</v>
      </c>
      <c r="H8962" s="392" t="s">
        <v>9568</v>
      </c>
      <c r="I8962" s="609" t="s">
        <v>55</v>
      </c>
      <c r="J8962" s="187">
        <f ca="1">SUMIF(C8898:E9000,"EIDI",E8898:E9000)</f>
        <v>893250</v>
      </c>
    </row>
    <row r="8963" spans="1:12" x14ac:dyDescent="0.3">
      <c r="A8963" s="45">
        <v>45385</v>
      </c>
      <c r="B8963" s="586"/>
      <c r="C8963" s="486"/>
      <c r="D8963" s="497" t="s">
        <v>4364</v>
      </c>
      <c r="E8963" s="486"/>
      <c r="F8963" s="43">
        <v>425000</v>
      </c>
      <c r="G8963" s="48">
        <f t="shared" si="225"/>
        <v>442203.55320726754</v>
      </c>
      <c r="H8963" s="392" t="s">
        <v>9568</v>
      </c>
      <c r="I8963" s="609" t="s">
        <v>12294</v>
      </c>
      <c r="J8963" s="187">
        <f ca="1">J8961-J8962</f>
        <v>76000</v>
      </c>
    </row>
    <row r="8964" spans="1:12" x14ac:dyDescent="0.3">
      <c r="A8964" s="45">
        <v>45386</v>
      </c>
      <c r="B8964" s="397" t="s">
        <v>12098</v>
      </c>
      <c r="C8964" s="186" t="s">
        <v>54</v>
      </c>
      <c r="D8964" s="186" t="s">
        <v>6253</v>
      </c>
      <c r="E8964" s="187">
        <v>137409.27419354839</v>
      </c>
      <c r="F8964" s="43"/>
      <c r="G8964" s="48">
        <f t="shared" si="225"/>
        <v>304794.27901371918</v>
      </c>
      <c r="H8964" s="392" t="s">
        <v>9568</v>
      </c>
      <c r="J8964" s="52">
        <v>95000</v>
      </c>
    </row>
    <row r="8965" spans="1:12" x14ac:dyDescent="0.3">
      <c r="A8965" s="45">
        <v>45386</v>
      </c>
      <c r="B8965" s="397" t="s">
        <v>12131</v>
      </c>
      <c r="C8965" s="186" t="s">
        <v>54</v>
      </c>
      <c r="D8965" s="186" t="s">
        <v>6236</v>
      </c>
      <c r="E8965" s="187">
        <v>139459.67741935485</v>
      </c>
      <c r="F8965" s="43"/>
      <c r="G8965" s="48">
        <f t="shared" si="225"/>
        <v>165334.60159436433</v>
      </c>
      <c r="H8965" s="392" t="s">
        <v>9568</v>
      </c>
    </row>
    <row r="8966" spans="1:12" x14ac:dyDescent="0.3">
      <c r="A8966" s="45">
        <v>45386</v>
      </c>
      <c r="B8966" s="397" t="s">
        <v>12098</v>
      </c>
      <c r="C8966" s="186" t="s">
        <v>54</v>
      </c>
      <c r="D8966" s="186" t="s">
        <v>13517</v>
      </c>
      <c r="E8966" s="187">
        <v>28000</v>
      </c>
      <c r="F8966" s="43"/>
      <c r="G8966" s="48">
        <f t="shared" si="225"/>
        <v>137334.60159436433</v>
      </c>
      <c r="H8966" s="392" t="s">
        <v>9568</v>
      </c>
      <c r="L8966" s="52" t="s">
        <v>13617</v>
      </c>
    </row>
    <row r="8967" spans="1:12" x14ac:dyDescent="0.3">
      <c r="A8967" s="45">
        <v>45386</v>
      </c>
      <c r="B8967" s="399" t="s">
        <v>25</v>
      </c>
      <c r="C8967" s="5" t="s">
        <v>13621</v>
      </c>
      <c r="D8967" s="5" t="s">
        <v>13646</v>
      </c>
      <c r="E8967" s="43">
        <v>20000</v>
      </c>
      <c r="F8967" s="43"/>
      <c r="G8967" s="48">
        <f t="shared" si="225"/>
        <v>117334.60159436433</v>
      </c>
      <c r="H8967" s="392" t="s">
        <v>9568</v>
      </c>
      <c r="L8967" s="52"/>
    </row>
    <row r="8968" spans="1:12" x14ac:dyDescent="0.3">
      <c r="A8968" s="45">
        <v>45386</v>
      </c>
      <c r="B8968" s="399" t="s">
        <v>12867</v>
      </c>
      <c r="C8968" s="5" t="s">
        <v>12673</v>
      </c>
      <c r="D8968" s="5" t="s">
        <v>582</v>
      </c>
      <c r="E8968" s="43">
        <v>50000</v>
      </c>
      <c r="F8968" s="43"/>
      <c r="G8968" s="48">
        <f t="shared" si="225"/>
        <v>67334.601594364329</v>
      </c>
      <c r="H8968" s="392" t="s">
        <v>9568</v>
      </c>
    </row>
    <row r="8969" spans="1:12" x14ac:dyDescent="0.3">
      <c r="A8969" s="45">
        <v>45386</v>
      </c>
      <c r="B8969" s="399" t="s">
        <v>12867</v>
      </c>
      <c r="C8969" s="5" t="s">
        <v>11194</v>
      </c>
      <c r="D8969" s="5" t="s">
        <v>13643</v>
      </c>
      <c r="E8969" s="43">
        <v>4900</v>
      </c>
      <c r="F8969" s="43"/>
      <c r="G8969" s="48">
        <f t="shared" si="225"/>
        <v>62434.601594364329</v>
      </c>
      <c r="H8969" s="392" t="s">
        <v>9568</v>
      </c>
    </row>
    <row r="8970" spans="1:12" x14ac:dyDescent="0.3">
      <c r="A8970" s="45">
        <v>45386</v>
      </c>
      <c r="B8970" s="399" t="s">
        <v>12287</v>
      </c>
      <c r="C8970" s="5" t="s">
        <v>26</v>
      </c>
      <c r="D8970" s="5" t="s">
        <v>640</v>
      </c>
      <c r="E8970" s="43">
        <v>1500</v>
      </c>
      <c r="F8970" s="43"/>
      <c r="G8970" s="48">
        <f t="shared" si="225"/>
        <v>60934.601594364329</v>
      </c>
      <c r="H8970" s="392" t="s">
        <v>9568</v>
      </c>
      <c r="I8970" s="609" t="s">
        <v>12581</v>
      </c>
      <c r="J8970" s="187">
        <f>'[2]Salary Sheets'!$Q$87</f>
        <v>2330058.4677419355</v>
      </c>
    </row>
    <row r="8971" spans="1:12" x14ac:dyDescent="0.3">
      <c r="A8971" s="45">
        <v>45387</v>
      </c>
      <c r="B8971" s="399" t="s">
        <v>25</v>
      </c>
      <c r="C8971" s="5" t="s">
        <v>26</v>
      </c>
      <c r="D8971" s="5" t="s">
        <v>13652</v>
      </c>
      <c r="E8971" s="43">
        <v>1000</v>
      </c>
      <c r="F8971" s="43"/>
      <c r="G8971" s="48">
        <f t="shared" si="225"/>
        <v>59934.601594364329</v>
      </c>
      <c r="H8971" s="392" t="s">
        <v>9568</v>
      </c>
      <c r="I8971" s="609" t="s">
        <v>55</v>
      </c>
      <c r="J8971" s="187">
        <f ca="1">SUMIF(C8904:E9006,"salary",E8904:E9006)</f>
        <v>1997906.9516129033</v>
      </c>
    </row>
    <row r="8972" spans="1:12" x14ac:dyDescent="0.3">
      <c r="A8972" s="45">
        <v>45387</v>
      </c>
      <c r="B8972" s="399"/>
      <c r="C8972" s="5" t="s">
        <v>14</v>
      </c>
      <c r="D8972" s="5" t="s">
        <v>13345</v>
      </c>
      <c r="E8972" s="43">
        <v>16900</v>
      </c>
      <c r="F8972" s="43"/>
      <c r="G8972" s="48">
        <f t="shared" si="225"/>
        <v>43034.601594364329</v>
      </c>
      <c r="H8972" s="392" t="s">
        <v>9568</v>
      </c>
      <c r="I8972" s="609" t="s">
        <v>12294</v>
      </c>
      <c r="J8972" s="187">
        <f ca="1">J8970-J8971</f>
        <v>332151.51612903224</v>
      </c>
      <c r="L8972" s="93">
        <f ca="1">J8972+J8971+J8964+J8962</f>
        <v>3318308.4677419355</v>
      </c>
    </row>
    <row r="8973" spans="1:12" x14ac:dyDescent="0.3">
      <c r="A8973" s="45">
        <v>45387</v>
      </c>
      <c r="B8973" s="586"/>
      <c r="C8973" s="486"/>
      <c r="D8973" s="497" t="s">
        <v>13654</v>
      </c>
      <c r="E8973" s="486"/>
      <c r="F8973" s="43">
        <v>510000</v>
      </c>
      <c r="G8973" s="48">
        <f t="shared" si="225"/>
        <v>553034.60159436427</v>
      </c>
      <c r="H8973" s="392" t="s">
        <v>9568</v>
      </c>
      <c r="J8973" s="52">
        <v>170000</v>
      </c>
    </row>
    <row r="8974" spans="1:12" x14ac:dyDescent="0.3">
      <c r="A8974" s="45">
        <v>45387</v>
      </c>
      <c r="B8974" s="399" t="s">
        <v>13584</v>
      </c>
      <c r="C8974" s="5" t="s">
        <v>3220</v>
      </c>
      <c r="D8974" s="5" t="s">
        <v>582</v>
      </c>
      <c r="E8974" s="43">
        <v>65250</v>
      </c>
      <c r="F8974" s="43"/>
      <c r="G8974" s="48">
        <f t="shared" si="225"/>
        <v>487784.60159436427</v>
      </c>
      <c r="H8974" s="392" t="s">
        <v>9568</v>
      </c>
      <c r="J8974" s="52">
        <v>60000</v>
      </c>
    </row>
    <row r="8975" spans="1:12" x14ac:dyDescent="0.3">
      <c r="A8975" s="45">
        <v>45387</v>
      </c>
      <c r="B8975" s="399" t="s">
        <v>12089</v>
      </c>
      <c r="C8975" s="5" t="s">
        <v>12196</v>
      </c>
      <c r="D8975" s="5" t="s">
        <v>582</v>
      </c>
      <c r="E8975" s="43">
        <v>25000</v>
      </c>
      <c r="F8975" s="43"/>
      <c r="G8975" s="48">
        <f t="shared" si="225"/>
        <v>462784.60159436427</v>
      </c>
      <c r="H8975" s="392" t="s">
        <v>9568</v>
      </c>
      <c r="J8975" s="52">
        <v>42258.06451612903</v>
      </c>
    </row>
    <row r="8976" spans="1:12" x14ac:dyDescent="0.3">
      <c r="A8976" s="45">
        <v>45387</v>
      </c>
      <c r="B8976" s="399" t="s">
        <v>12678</v>
      </c>
      <c r="C8976" s="5" t="s">
        <v>54</v>
      </c>
      <c r="D8976" s="5" t="s">
        <v>13657</v>
      </c>
      <c r="E8976" s="43">
        <v>24650</v>
      </c>
      <c r="F8976" s="43"/>
      <c r="G8976" s="48">
        <f t="shared" si="225"/>
        <v>438134.60159436427</v>
      </c>
      <c r="H8976" s="392" t="s">
        <v>9568</v>
      </c>
      <c r="J8976" s="52">
        <v>60967.741935483871</v>
      </c>
    </row>
    <row r="8977" spans="1:12" x14ac:dyDescent="0.3">
      <c r="A8977" s="45">
        <v>45387</v>
      </c>
      <c r="B8977" s="399"/>
      <c r="C8977" s="5" t="s">
        <v>13621</v>
      </c>
      <c r="D8977" s="5" t="s">
        <v>13656</v>
      </c>
      <c r="E8977" s="43">
        <v>15000</v>
      </c>
      <c r="F8977" s="43"/>
      <c r="G8977" s="48">
        <f t="shared" si="225"/>
        <v>423134.60159436427</v>
      </c>
      <c r="H8977" s="392" t="s">
        <v>9568</v>
      </c>
      <c r="J8977" s="52">
        <f ca="1">J8972-J8973-J8974-J8975-J8976</f>
        <v>-1074.2903225806585</v>
      </c>
    </row>
    <row r="8978" spans="1:12" x14ac:dyDescent="0.3">
      <c r="A8978" s="45">
        <v>45387</v>
      </c>
      <c r="B8978" s="397" t="s">
        <v>12098</v>
      </c>
      <c r="C8978" s="186" t="s">
        <v>54</v>
      </c>
      <c r="D8978" s="186" t="s">
        <v>13659</v>
      </c>
      <c r="E8978" s="187">
        <v>1200</v>
      </c>
      <c r="F8978" s="43"/>
      <c r="G8978" s="48">
        <f t="shared" si="225"/>
        <v>421934.60159436427</v>
      </c>
      <c r="H8978" s="392" t="s">
        <v>9568</v>
      </c>
    </row>
    <row r="8979" spans="1:12" x14ac:dyDescent="0.3">
      <c r="A8979" s="45">
        <v>45387</v>
      </c>
      <c r="B8979" s="399"/>
      <c r="C8979" s="5" t="s">
        <v>14</v>
      </c>
      <c r="D8979" s="5" t="s">
        <v>13660</v>
      </c>
      <c r="E8979" s="43">
        <v>10000</v>
      </c>
      <c r="F8979" s="43"/>
      <c r="G8979" s="48">
        <f t="shared" si="225"/>
        <v>411934.60159436427</v>
      </c>
      <c r="H8979" s="392" t="s">
        <v>9568</v>
      </c>
    </row>
    <row r="8980" spans="1:12" x14ac:dyDescent="0.3">
      <c r="A8980" s="45">
        <v>45387</v>
      </c>
      <c r="B8980" s="399" t="s">
        <v>13612</v>
      </c>
      <c r="C8980" s="5" t="s">
        <v>9765</v>
      </c>
      <c r="D8980" s="5" t="s">
        <v>13341</v>
      </c>
      <c r="E8980" s="43">
        <v>5000</v>
      </c>
      <c r="F8980" s="43"/>
      <c r="G8980" s="48">
        <f t="shared" si="225"/>
        <v>406934.60159436427</v>
      </c>
      <c r="H8980" s="392" t="s">
        <v>9568</v>
      </c>
      <c r="I8980" s="52">
        <v>275000</v>
      </c>
    </row>
    <row r="8981" spans="1:12" x14ac:dyDescent="0.3">
      <c r="A8981" s="45">
        <v>45388</v>
      </c>
      <c r="B8981" s="399"/>
      <c r="C8981" s="5" t="s">
        <v>11194</v>
      </c>
      <c r="D8981" s="5" t="s">
        <v>11420</v>
      </c>
      <c r="E8981" s="43">
        <v>11650</v>
      </c>
      <c r="F8981" s="43"/>
      <c r="G8981" s="48">
        <f t="shared" si="225"/>
        <v>395284.60159436427</v>
      </c>
      <c r="H8981" s="392" t="s">
        <v>9568</v>
      </c>
      <c r="I8981" s="52">
        <v>25000</v>
      </c>
    </row>
    <row r="8982" spans="1:12" x14ac:dyDescent="0.3">
      <c r="A8982" s="45">
        <v>45388</v>
      </c>
      <c r="B8982" s="399" t="s">
        <v>12189</v>
      </c>
      <c r="C8982" s="5" t="s">
        <v>12908</v>
      </c>
      <c r="D8982" s="5" t="s">
        <v>582</v>
      </c>
      <c r="E8982" s="43">
        <v>30000</v>
      </c>
      <c r="F8982" s="43"/>
      <c r="G8982" s="48">
        <f t="shared" si="225"/>
        <v>365284.60159436427</v>
      </c>
      <c r="H8982" s="392" t="s">
        <v>9568</v>
      </c>
      <c r="I8982" s="52">
        <v>100000</v>
      </c>
    </row>
    <row r="8983" spans="1:12" x14ac:dyDescent="0.3">
      <c r="A8983" s="45">
        <v>45388</v>
      </c>
      <c r="B8983" s="399" t="s">
        <v>12867</v>
      </c>
      <c r="C8983" s="5" t="s">
        <v>30</v>
      </c>
      <c r="D8983" s="5" t="s">
        <v>10651</v>
      </c>
      <c r="E8983" s="43">
        <v>1000</v>
      </c>
      <c r="F8983" s="43"/>
      <c r="G8983" s="48">
        <f t="shared" si="225"/>
        <v>364284.60159436427</v>
      </c>
      <c r="H8983" s="392" t="s">
        <v>9568</v>
      </c>
      <c r="I8983" s="52">
        <v>5000</v>
      </c>
    </row>
    <row r="8984" spans="1:12" x14ac:dyDescent="0.3">
      <c r="A8984" s="45">
        <v>45388</v>
      </c>
      <c r="B8984" s="399" t="s">
        <v>12867</v>
      </c>
      <c r="C8984" s="5" t="s">
        <v>5793</v>
      </c>
      <c r="D8984" s="5" t="s">
        <v>13673</v>
      </c>
      <c r="E8984" s="43">
        <v>2500</v>
      </c>
      <c r="F8984" s="43"/>
      <c r="G8984" s="48">
        <f t="shared" si="225"/>
        <v>361784.60159436427</v>
      </c>
      <c r="H8984" s="392" t="s">
        <v>9568</v>
      </c>
      <c r="I8984" s="52">
        <f>SUM(I8980:I8983)</f>
        <v>405000</v>
      </c>
    </row>
    <row r="8985" spans="1:12" x14ac:dyDescent="0.3">
      <c r="A8985" s="45">
        <v>45388</v>
      </c>
      <c r="B8985" s="399" t="s">
        <v>10333</v>
      </c>
      <c r="C8985" s="5" t="s">
        <v>13670</v>
      </c>
      <c r="D8985" s="5" t="s">
        <v>13671</v>
      </c>
      <c r="E8985" s="43">
        <v>3600</v>
      </c>
      <c r="F8985" s="43"/>
      <c r="G8985" s="48">
        <f t="shared" si="225"/>
        <v>358184.60159436427</v>
      </c>
      <c r="H8985" s="392" t="s">
        <v>9568</v>
      </c>
    </row>
    <row r="8986" spans="1:12" x14ac:dyDescent="0.3">
      <c r="A8986" s="45">
        <v>45388</v>
      </c>
      <c r="B8986" s="399" t="s">
        <v>13476</v>
      </c>
      <c r="C8986" s="5" t="s">
        <v>3554</v>
      </c>
      <c r="D8986" s="5" t="s">
        <v>582</v>
      </c>
      <c r="E8986" s="43">
        <v>100000</v>
      </c>
      <c r="F8986" s="43"/>
      <c r="G8986" s="48">
        <f t="shared" si="225"/>
        <v>258184.60159436427</v>
      </c>
      <c r="H8986" s="392" t="s">
        <v>9568</v>
      </c>
    </row>
    <row r="8987" spans="1:12" x14ac:dyDescent="0.3">
      <c r="A8987" s="45">
        <v>45388</v>
      </c>
      <c r="B8987" s="399" t="s">
        <v>25</v>
      </c>
      <c r="C8987" s="5" t="s">
        <v>13633</v>
      </c>
      <c r="D8987" s="5" t="s">
        <v>13672</v>
      </c>
      <c r="E8987" s="43">
        <v>4000</v>
      </c>
      <c r="F8987" s="43"/>
      <c r="G8987" s="48">
        <f t="shared" si="225"/>
        <v>254184.60159436427</v>
      </c>
      <c r="H8987" s="392" t="s">
        <v>9568</v>
      </c>
      <c r="J8987" s="52">
        <v>50</v>
      </c>
      <c r="K8987" s="52">
        <v>5000</v>
      </c>
      <c r="L8987" s="52">
        <f>K8987*J8987</f>
        <v>250000</v>
      </c>
    </row>
    <row r="8988" spans="1:12" x14ac:dyDescent="0.3">
      <c r="A8988" s="45">
        <v>45388</v>
      </c>
      <c r="B8988" s="399"/>
      <c r="C8988" s="5" t="s">
        <v>14</v>
      </c>
      <c r="D8988" s="5" t="s">
        <v>294</v>
      </c>
      <c r="E8988" s="43">
        <v>253000</v>
      </c>
      <c r="F8988" s="43"/>
      <c r="G8988" s="48">
        <f t="shared" si="225"/>
        <v>1184.6015943642706</v>
      </c>
      <c r="H8988" s="392" t="s">
        <v>9568</v>
      </c>
      <c r="L8988" s="52"/>
    </row>
    <row r="8989" spans="1:12" x14ac:dyDescent="0.3">
      <c r="A8989" s="45">
        <v>45402</v>
      </c>
      <c r="B8989" s="586"/>
      <c r="C8989" s="486"/>
      <c r="D8989" s="497" t="s">
        <v>11032</v>
      </c>
      <c r="E8989" s="486"/>
      <c r="F8989" s="43">
        <v>50000</v>
      </c>
      <c r="G8989" s="48">
        <f t="shared" si="225"/>
        <v>51184.601594364271</v>
      </c>
      <c r="H8989" s="392" t="s">
        <v>9568</v>
      </c>
      <c r="L8989" s="52"/>
    </row>
    <row r="8990" spans="1:12" x14ac:dyDescent="0.3">
      <c r="A8990" s="45">
        <v>45402</v>
      </c>
      <c r="B8990" s="399" t="s">
        <v>13584</v>
      </c>
      <c r="C8990" s="5" t="s">
        <v>12908</v>
      </c>
      <c r="D8990" s="5" t="s">
        <v>294</v>
      </c>
      <c r="E8990" s="43">
        <v>5500</v>
      </c>
      <c r="F8990" s="43"/>
      <c r="G8990" s="48">
        <f t="shared" si="225"/>
        <v>45684.601594364271</v>
      </c>
      <c r="H8990" s="392" t="s">
        <v>10772</v>
      </c>
    </row>
    <row r="8991" spans="1:12" x14ac:dyDescent="0.3">
      <c r="A8991" s="45">
        <v>45402</v>
      </c>
      <c r="B8991" s="399" t="s">
        <v>12678</v>
      </c>
      <c r="C8991" s="5" t="s">
        <v>5793</v>
      </c>
      <c r="D8991" s="5" t="s">
        <v>13696</v>
      </c>
      <c r="E8991" s="43">
        <v>5000</v>
      </c>
      <c r="F8991" s="43"/>
      <c r="G8991" s="48">
        <f t="shared" si="225"/>
        <v>40684.601594364271</v>
      </c>
      <c r="H8991" s="392" t="s">
        <v>10772</v>
      </c>
    </row>
    <row r="8992" spans="1:12" x14ac:dyDescent="0.3">
      <c r="A8992" s="45">
        <v>45402</v>
      </c>
      <c r="B8992" s="399" t="s">
        <v>25</v>
      </c>
      <c r="C8992" s="5" t="s">
        <v>13621</v>
      </c>
      <c r="D8992" s="5" t="s">
        <v>13691</v>
      </c>
      <c r="E8992" s="43">
        <v>5000</v>
      </c>
      <c r="F8992" s="43"/>
      <c r="G8992" s="48">
        <f t="shared" si="225"/>
        <v>35684.601594364271</v>
      </c>
      <c r="H8992" s="392" t="s">
        <v>10772</v>
      </c>
      <c r="K8992" s="52" t="s">
        <v>13683</v>
      </c>
      <c r="L8992" s="52">
        <v>25000</v>
      </c>
    </row>
    <row r="8993" spans="1:15" x14ac:dyDescent="0.3">
      <c r="A8993" s="45">
        <v>45402</v>
      </c>
      <c r="B8993" s="399" t="s">
        <v>13542</v>
      </c>
      <c r="C8993" s="5" t="s">
        <v>11194</v>
      </c>
      <c r="D8993" s="5" t="s">
        <v>13692</v>
      </c>
      <c r="E8993" s="43">
        <v>7280</v>
      </c>
      <c r="F8993" s="43"/>
      <c r="G8993" s="48">
        <f t="shared" si="225"/>
        <v>28404.601594364271</v>
      </c>
      <c r="H8993" s="392" t="s">
        <v>10772</v>
      </c>
      <c r="K8993" s="52" t="s">
        <v>13282</v>
      </c>
      <c r="L8993" s="52">
        <v>15000</v>
      </c>
    </row>
    <row r="8994" spans="1:15" x14ac:dyDescent="0.3">
      <c r="A8994" s="45">
        <v>45402</v>
      </c>
      <c r="B8994" s="399" t="s">
        <v>12867</v>
      </c>
      <c r="C8994" s="5" t="s">
        <v>5793</v>
      </c>
      <c r="D8994" s="5" t="s">
        <v>13426</v>
      </c>
      <c r="E8994" s="43">
        <v>4500</v>
      </c>
      <c r="F8994" s="43"/>
      <c r="G8994" s="48">
        <f t="shared" si="225"/>
        <v>23904.601594364271</v>
      </c>
      <c r="H8994" s="392" t="s">
        <v>10772</v>
      </c>
      <c r="K8994" s="52" t="s">
        <v>9553</v>
      </c>
      <c r="L8994" s="52">
        <v>30000</v>
      </c>
    </row>
    <row r="8995" spans="1:15" x14ac:dyDescent="0.3">
      <c r="A8995" s="45">
        <v>45402</v>
      </c>
      <c r="B8995" s="399" t="s">
        <v>12189</v>
      </c>
      <c r="C8995" s="5" t="s">
        <v>5793</v>
      </c>
      <c r="D8995" s="5" t="s">
        <v>40</v>
      </c>
      <c r="E8995" s="43">
        <v>1000</v>
      </c>
      <c r="F8995" s="43"/>
      <c r="G8995" s="48">
        <f t="shared" si="225"/>
        <v>22904.601594364271</v>
      </c>
      <c r="H8995" s="392" t="s">
        <v>10772</v>
      </c>
      <c r="K8995" s="52" t="s">
        <v>4989</v>
      </c>
      <c r="L8995" s="52">
        <v>5000</v>
      </c>
    </row>
    <row r="8996" spans="1:15" x14ac:dyDescent="0.3">
      <c r="A8996" s="45">
        <v>45402</v>
      </c>
      <c r="B8996" s="399" t="s">
        <v>12138</v>
      </c>
      <c r="C8996" s="5" t="s">
        <v>5793</v>
      </c>
      <c r="D8996" s="5" t="s">
        <v>40</v>
      </c>
      <c r="E8996" s="43">
        <v>1200</v>
      </c>
      <c r="F8996" s="43"/>
      <c r="G8996" s="48">
        <f t="shared" si="225"/>
        <v>21704.601594364271</v>
      </c>
      <c r="H8996" s="392" t="s">
        <v>10772</v>
      </c>
      <c r="L8996" s="52"/>
    </row>
    <row r="8997" spans="1:15" x14ac:dyDescent="0.3">
      <c r="A8997" s="45">
        <v>45402</v>
      </c>
      <c r="B8997" s="399"/>
      <c r="C8997" s="5" t="s">
        <v>14</v>
      </c>
      <c r="D8997" s="5" t="s">
        <v>294</v>
      </c>
      <c r="E8997" s="43">
        <v>5000</v>
      </c>
      <c r="F8997" s="43"/>
      <c r="G8997" s="48">
        <f t="shared" si="225"/>
        <v>16704.601594364271</v>
      </c>
      <c r="H8997" s="392" t="s">
        <v>9568</v>
      </c>
      <c r="K8997" s="52" t="s">
        <v>6205</v>
      </c>
      <c r="L8997" s="52">
        <v>25000</v>
      </c>
    </row>
    <row r="8998" spans="1:15" x14ac:dyDescent="0.3">
      <c r="A8998" s="45">
        <v>45402</v>
      </c>
      <c r="B8998" s="399" t="s">
        <v>25</v>
      </c>
      <c r="C8998" s="5" t="s">
        <v>25</v>
      </c>
      <c r="D8998" s="5" t="s">
        <v>8503</v>
      </c>
      <c r="E8998" s="43">
        <v>3000</v>
      </c>
      <c r="F8998" s="43"/>
      <c r="G8998" s="48">
        <f t="shared" si="225"/>
        <v>13704.601594364271</v>
      </c>
      <c r="H8998" s="392" t="s">
        <v>10772</v>
      </c>
      <c r="K8998" s="52" t="s">
        <v>13684</v>
      </c>
      <c r="L8998" s="52">
        <v>22000</v>
      </c>
    </row>
    <row r="8999" spans="1:15" x14ac:dyDescent="0.3">
      <c r="A8999" s="45">
        <v>45402</v>
      </c>
      <c r="B8999" s="399" t="s">
        <v>12189</v>
      </c>
      <c r="C8999" s="5" t="s">
        <v>84</v>
      </c>
      <c r="D8999" s="5" t="s">
        <v>13698</v>
      </c>
      <c r="E8999" s="43">
        <v>5000</v>
      </c>
      <c r="F8999" s="43"/>
      <c r="G8999" s="48">
        <f t="shared" si="225"/>
        <v>8704.6015943642706</v>
      </c>
      <c r="H8999" s="392" t="s">
        <v>9568</v>
      </c>
      <c r="L8999" s="52"/>
    </row>
    <row r="9000" spans="1:15" x14ac:dyDescent="0.3">
      <c r="A9000" s="45">
        <v>45402</v>
      </c>
      <c r="B9000" s="399" t="s">
        <v>12138</v>
      </c>
      <c r="C9000" s="5" t="s">
        <v>11194</v>
      </c>
      <c r="D9000" s="5" t="s">
        <v>13699</v>
      </c>
      <c r="E9000" s="43">
        <v>1230</v>
      </c>
      <c r="F9000" s="43"/>
      <c r="G9000" s="48">
        <f t="shared" si="225"/>
        <v>7474.6015943642706</v>
      </c>
      <c r="H9000" s="392" t="s">
        <v>10772</v>
      </c>
      <c r="L9000" s="52">
        <f>SUM(L8992:L8999)</f>
        <v>122000</v>
      </c>
    </row>
    <row r="9001" spans="1:15" x14ac:dyDescent="0.3">
      <c r="A9001" s="45">
        <v>45402</v>
      </c>
      <c r="B9001" s="399" t="s">
        <v>12189</v>
      </c>
      <c r="C9001" s="5" t="s">
        <v>5793</v>
      </c>
      <c r="D9001" s="5" t="s">
        <v>13701</v>
      </c>
      <c r="E9001" s="43">
        <v>3000</v>
      </c>
      <c r="F9001" s="43"/>
      <c r="G9001" s="48">
        <f t="shared" si="225"/>
        <v>4474.6015943642706</v>
      </c>
      <c r="H9001" s="392" t="s">
        <v>10772</v>
      </c>
      <c r="L9001" s="52"/>
    </row>
    <row r="9002" spans="1:15" x14ac:dyDescent="0.3">
      <c r="A9002" s="45"/>
      <c r="B9002" s="399"/>
      <c r="C9002" s="5"/>
      <c r="D9002" s="5"/>
      <c r="E9002" s="43"/>
      <c r="F9002" s="43"/>
      <c r="G9002" s="48">
        <f t="shared" si="225"/>
        <v>4474.6015943642706</v>
      </c>
      <c r="H9002" s="392" t="s">
        <v>10772</v>
      </c>
      <c r="I9002" s="52">
        <v>259</v>
      </c>
    </row>
    <row r="9003" spans="1:15" x14ac:dyDescent="0.3">
      <c r="A9003" s="45"/>
      <c r="B9003" s="399"/>
      <c r="C9003" s="5"/>
      <c r="D9003" s="5"/>
      <c r="E9003" s="43"/>
      <c r="F9003" s="43"/>
      <c r="G9003" s="48">
        <f t="shared" si="225"/>
        <v>4474.6015943642706</v>
      </c>
      <c r="H9003" s="392" t="s">
        <v>10772</v>
      </c>
      <c r="I9003" s="52">
        <v>3400</v>
      </c>
      <c r="L9003" s="4">
        <v>5000</v>
      </c>
      <c r="N9003" s="52">
        <v>5000</v>
      </c>
    </row>
    <row r="9004" spans="1:15" x14ac:dyDescent="0.3">
      <c r="A9004" s="45"/>
      <c r="B9004" s="399"/>
      <c r="C9004" s="5"/>
      <c r="D9004" s="5"/>
      <c r="E9004" s="43"/>
      <c r="F9004" s="43"/>
      <c r="G9004" s="48">
        <f t="shared" si="225"/>
        <v>4474.6015943642706</v>
      </c>
      <c r="H9004" s="392" t="s">
        <v>10772</v>
      </c>
      <c r="I9004" s="52">
        <v>2100</v>
      </c>
      <c r="L9004" s="4">
        <v>5000</v>
      </c>
      <c r="N9004" s="52">
        <v>1000</v>
      </c>
    </row>
    <row r="9005" spans="1:15" x14ac:dyDescent="0.3">
      <c r="A9005" s="5"/>
      <c r="B9005" s="399"/>
      <c r="C9005" s="5"/>
      <c r="D9005" s="5" t="s">
        <v>13685</v>
      </c>
      <c r="E9005" s="43"/>
      <c r="F9005" s="43"/>
      <c r="G9005" s="48">
        <f t="shared" si="225"/>
        <v>4474.6015943642706</v>
      </c>
      <c r="H9005" s="392" t="s">
        <v>10772</v>
      </c>
      <c r="I9005" s="52">
        <v>9899</v>
      </c>
      <c r="L9005" s="4">
        <v>7280</v>
      </c>
      <c r="N9005" s="52">
        <f>SUM(N9003:N9004)</f>
        <v>6000</v>
      </c>
    </row>
    <row r="9006" spans="1:15" x14ac:dyDescent="0.3">
      <c r="A9006" s="5"/>
      <c r="B9006" s="399"/>
      <c r="C9006" s="5"/>
      <c r="D9006" s="5"/>
      <c r="E9006" s="43"/>
      <c r="F9006" s="43"/>
      <c r="G9006" s="48">
        <f t="shared" si="225"/>
        <v>4474.6015943642706</v>
      </c>
      <c r="H9006" s="392" t="s">
        <v>10772</v>
      </c>
      <c r="I9006" s="52">
        <v>2293</v>
      </c>
      <c r="L9006" s="4">
        <v>4500</v>
      </c>
      <c r="N9006" s="52">
        <v>1300</v>
      </c>
      <c r="O9006" s="4" t="s">
        <v>13693</v>
      </c>
    </row>
    <row r="9007" spans="1:15" x14ac:dyDescent="0.3">
      <c r="A9007" s="5"/>
      <c r="B9007" s="399"/>
      <c r="C9007" s="5"/>
      <c r="D9007" s="5"/>
      <c r="E9007" s="43"/>
      <c r="F9007" s="43"/>
      <c r="G9007" s="48">
        <f t="shared" si="225"/>
        <v>4474.6015943642706</v>
      </c>
      <c r="H9007" s="392" t="s">
        <v>10772</v>
      </c>
      <c r="I9007" s="52">
        <v>5628</v>
      </c>
      <c r="L9007" s="4">
        <f>SUM(L9003:L9006)</f>
        <v>21780</v>
      </c>
      <c r="N9007" s="52">
        <v>700</v>
      </c>
      <c r="O9007" s="4" t="s">
        <v>25</v>
      </c>
    </row>
    <row r="9008" spans="1:15" x14ac:dyDescent="0.3">
      <c r="A9008" s="5"/>
      <c r="B9008" s="399"/>
      <c r="C9008" s="5"/>
      <c r="D9008" s="5"/>
      <c r="E9008" s="43"/>
      <c r="F9008" s="43"/>
      <c r="G9008" s="48">
        <f t="shared" ref="G9008:G9045" si="226">G9007+F9008-E9008</f>
        <v>4474.6015943642706</v>
      </c>
      <c r="H9008" s="392" t="s">
        <v>10772</v>
      </c>
      <c r="I9008" s="52">
        <v>4315</v>
      </c>
      <c r="N9008" s="52">
        <v>1000</v>
      </c>
      <c r="O9008" s="4" t="s">
        <v>1189</v>
      </c>
    </row>
    <row r="9009" spans="1:15" x14ac:dyDescent="0.3">
      <c r="A9009" s="5"/>
      <c r="B9009" s="399"/>
      <c r="C9009" s="5"/>
      <c r="D9009" s="5"/>
      <c r="E9009" s="43"/>
      <c r="F9009" s="43"/>
      <c r="G9009" s="48">
        <f t="shared" si="226"/>
        <v>4474.6015943642706</v>
      </c>
      <c r="H9009" s="392" t="s">
        <v>10772</v>
      </c>
      <c r="I9009" s="52">
        <v>361</v>
      </c>
      <c r="N9009" s="52">
        <v>2000</v>
      </c>
      <c r="O9009" s="4" t="s">
        <v>13694</v>
      </c>
    </row>
    <row r="9010" spans="1:15" x14ac:dyDescent="0.3">
      <c r="A9010" s="5"/>
      <c r="B9010" s="399"/>
      <c r="C9010" s="5"/>
      <c r="D9010" s="5"/>
      <c r="E9010" s="43"/>
      <c r="F9010" s="43"/>
      <c r="G9010" s="48">
        <f t="shared" si="226"/>
        <v>4474.6015943642706</v>
      </c>
      <c r="H9010" s="392" t="s">
        <v>10772</v>
      </c>
      <c r="I9010" s="52">
        <v>5561</v>
      </c>
      <c r="N9010" s="52">
        <v>400</v>
      </c>
      <c r="O9010" s="4" t="s">
        <v>5793</v>
      </c>
    </row>
    <row r="9011" spans="1:15" x14ac:dyDescent="0.3">
      <c r="A9011" s="5"/>
      <c r="B9011" s="399"/>
      <c r="C9011" s="5"/>
      <c r="D9011" s="5"/>
      <c r="E9011" s="43"/>
      <c r="F9011" s="43"/>
      <c r="G9011" s="48">
        <f t="shared" si="226"/>
        <v>4474.6015943642706</v>
      </c>
      <c r="H9011" s="392" t="s">
        <v>10772</v>
      </c>
      <c r="I9011" s="52">
        <v>2099</v>
      </c>
      <c r="N9011" s="52">
        <v>300</v>
      </c>
      <c r="O9011" s="4" t="s">
        <v>5793</v>
      </c>
    </row>
    <row r="9012" spans="1:15" x14ac:dyDescent="0.3">
      <c r="A9012" s="5"/>
      <c r="B9012" s="399"/>
      <c r="C9012" s="5"/>
      <c r="D9012" s="5"/>
      <c r="E9012" s="43"/>
      <c r="F9012" s="43"/>
      <c r="G9012" s="48">
        <f t="shared" si="226"/>
        <v>4474.6015943642706</v>
      </c>
      <c r="H9012" s="392" t="s">
        <v>10772</v>
      </c>
      <c r="K9012" s="52">
        <v>670</v>
      </c>
      <c r="L9012" s="783">
        <f>K9012*10.8</f>
        <v>7236.0000000000009</v>
      </c>
      <c r="N9012" s="52">
        <v>100</v>
      </c>
      <c r="O9012" s="4" t="s">
        <v>5793</v>
      </c>
    </row>
    <row r="9013" spans="1:15" x14ac:dyDescent="0.3">
      <c r="A9013" s="5"/>
      <c r="B9013" s="399"/>
      <c r="C9013" s="5"/>
      <c r="D9013" s="5"/>
      <c r="E9013" s="43"/>
      <c r="F9013" s="43"/>
      <c r="G9013" s="48">
        <f t="shared" si="226"/>
        <v>4474.6015943642706</v>
      </c>
      <c r="H9013" s="392" t="s">
        <v>10772</v>
      </c>
      <c r="K9013" s="52">
        <v>650</v>
      </c>
      <c r="L9013" s="783">
        <f>K9013*10.8</f>
        <v>7020.0000000000009</v>
      </c>
    </row>
    <row r="9014" spans="1:15" x14ac:dyDescent="0.3">
      <c r="A9014" s="5"/>
      <c r="B9014" s="399"/>
      <c r="C9014" s="5"/>
      <c r="D9014" s="5"/>
      <c r="E9014" s="43"/>
      <c r="F9014" s="43"/>
      <c r="G9014" s="48">
        <f t="shared" si="226"/>
        <v>4474.6015943642706</v>
      </c>
      <c r="H9014" s="392" t="s">
        <v>10772</v>
      </c>
    </row>
    <row r="9015" spans="1:15" x14ac:dyDescent="0.3">
      <c r="A9015" s="5"/>
      <c r="B9015" s="399"/>
      <c r="C9015" s="5"/>
      <c r="D9015" s="5"/>
      <c r="E9015" s="43"/>
      <c r="F9015" s="43"/>
      <c r="G9015" s="48">
        <f t="shared" si="226"/>
        <v>4474.6015943642706</v>
      </c>
      <c r="H9015" s="392" t="s">
        <v>10772</v>
      </c>
    </row>
    <row r="9016" spans="1:15" x14ac:dyDescent="0.3">
      <c r="A9016" s="5"/>
      <c r="B9016" s="399"/>
      <c r="C9016" s="5"/>
      <c r="D9016" s="5"/>
      <c r="E9016" s="43"/>
      <c r="F9016" s="43"/>
      <c r="G9016" s="48">
        <f t="shared" si="226"/>
        <v>4474.6015943642706</v>
      </c>
      <c r="H9016" s="392" t="s">
        <v>10772</v>
      </c>
    </row>
    <row r="9017" spans="1:15" x14ac:dyDescent="0.3">
      <c r="A9017" s="5"/>
      <c r="B9017" s="399"/>
      <c r="C9017" s="5"/>
      <c r="D9017" s="5"/>
      <c r="E9017" s="43"/>
      <c r="F9017" s="43"/>
      <c r="G9017" s="48">
        <f t="shared" si="226"/>
        <v>4474.6015943642706</v>
      </c>
      <c r="H9017" s="392" t="s">
        <v>10772</v>
      </c>
    </row>
    <row r="9018" spans="1:15" x14ac:dyDescent="0.3">
      <c r="A9018" s="5"/>
      <c r="B9018" s="399"/>
      <c r="C9018" s="5"/>
      <c r="D9018" s="5"/>
      <c r="E9018" s="43"/>
      <c r="F9018" s="43"/>
      <c r="G9018" s="48">
        <f t="shared" si="226"/>
        <v>4474.6015943642706</v>
      </c>
      <c r="H9018" s="392" t="s">
        <v>10772</v>
      </c>
    </row>
    <row r="9019" spans="1:15" x14ac:dyDescent="0.3">
      <c r="A9019" s="5"/>
      <c r="B9019" s="399"/>
      <c r="C9019" s="5"/>
      <c r="D9019" s="5"/>
      <c r="E9019" s="43"/>
      <c r="F9019" s="43"/>
      <c r="G9019" s="48">
        <f t="shared" si="226"/>
        <v>4474.6015943642706</v>
      </c>
      <c r="H9019" s="392" t="s">
        <v>10772</v>
      </c>
    </row>
    <row r="9020" spans="1:15" x14ac:dyDescent="0.3">
      <c r="A9020" s="5"/>
      <c r="B9020" s="399"/>
      <c r="C9020" s="5"/>
      <c r="D9020" s="5"/>
      <c r="E9020" s="43"/>
      <c r="F9020" s="43"/>
      <c r="G9020" s="48">
        <f t="shared" si="226"/>
        <v>4474.6015943642706</v>
      </c>
      <c r="H9020" s="392" t="s">
        <v>10772</v>
      </c>
    </row>
    <row r="9021" spans="1:15" x14ac:dyDescent="0.3">
      <c r="A9021" s="5"/>
      <c r="B9021" s="399"/>
      <c r="C9021" s="5"/>
      <c r="D9021" s="5"/>
      <c r="E9021" s="43"/>
      <c r="F9021" s="43"/>
      <c r="G9021" s="48">
        <f t="shared" si="226"/>
        <v>4474.6015943642706</v>
      </c>
      <c r="H9021" s="392" t="s">
        <v>10772</v>
      </c>
    </row>
    <row r="9022" spans="1:15" x14ac:dyDescent="0.3">
      <c r="A9022" s="5"/>
      <c r="B9022" s="399"/>
      <c r="C9022" s="5"/>
      <c r="D9022" s="5"/>
      <c r="E9022" s="43"/>
      <c r="F9022" s="43"/>
      <c r="G9022" s="48">
        <f t="shared" si="226"/>
        <v>4474.6015943642706</v>
      </c>
      <c r="H9022" s="392" t="s">
        <v>10772</v>
      </c>
    </row>
    <row r="9023" spans="1:15" x14ac:dyDescent="0.3">
      <c r="A9023" s="5"/>
      <c r="B9023" s="399"/>
      <c r="C9023" s="5"/>
      <c r="D9023" s="5"/>
      <c r="E9023" s="43"/>
      <c r="F9023" s="43"/>
      <c r="G9023" s="48">
        <f t="shared" si="226"/>
        <v>4474.6015943642706</v>
      </c>
      <c r="H9023" s="392" t="s">
        <v>10772</v>
      </c>
    </row>
    <row r="9024" spans="1:15" x14ac:dyDescent="0.3">
      <c r="A9024" s="5"/>
      <c r="B9024" s="399"/>
      <c r="C9024" s="5"/>
      <c r="D9024" s="5"/>
      <c r="E9024" s="43"/>
      <c r="F9024" s="43"/>
      <c r="G9024" s="48">
        <f t="shared" si="226"/>
        <v>4474.6015943642706</v>
      </c>
      <c r="H9024" s="392" t="s">
        <v>10772</v>
      </c>
    </row>
    <row r="9025" spans="1:8" x14ac:dyDescent="0.3">
      <c r="A9025" s="5"/>
      <c r="B9025" s="399"/>
      <c r="C9025" s="5"/>
      <c r="D9025" s="5"/>
      <c r="E9025" s="43"/>
      <c r="F9025" s="43"/>
      <c r="G9025" s="48">
        <f t="shared" si="226"/>
        <v>4474.6015943642706</v>
      </c>
      <c r="H9025" s="392" t="s">
        <v>10772</v>
      </c>
    </row>
    <row r="9026" spans="1:8" x14ac:dyDescent="0.3">
      <c r="A9026" s="5"/>
      <c r="B9026" s="399"/>
      <c r="C9026" s="5"/>
      <c r="D9026" s="5"/>
      <c r="E9026" s="43"/>
      <c r="F9026" s="43"/>
      <c r="G9026" s="48">
        <f t="shared" si="226"/>
        <v>4474.6015943642706</v>
      </c>
      <c r="H9026" s="392" t="s">
        <v>10772</v>
      </c>
    </row>
    <row r="9027" spans="1:8" x14ac:dyDescent="0.3">
      <c r="A9027" s="5"/>
      <c r="B9027" s="399"/>
      <c r="C9027" s="5"/>
      <c r="D9027" s="5"/>
      <c r="E9027" s="43"/>
      <c r="F9027" s="43"/>
      <c r="G9027" s="48">
        <f t="shared" si="226"/>
        <v>4474.6015943642706</v>
      </c>
      <c r="H9027" s="392" t="s">
        <v>10772</v>
      </c>
    </row>
    <row r="9028" spans="1:8" x14ac:dyDescent="0.3">
      <c r="A9028" s="5"/>
      <c r="B9028" s="399"/>
      <c r="C9028" s="5"/>
      <c r="D9028" s="5"/>
      <c r="E9028" s="43"/>
      <c r="F9028" s="43"/>
      <c r="G9028" s="48">
        <f t="shared" si="226"/>
        <v>4474.6015943642706</v>
      </c>
      <c r="H9028" s="392" t="s">
        <v>10772</v>
      </c>
    </row>
    <row r="9029" spans="1:8" x14ac:dyDescent="0.3">
      <c r="A9029" s="5"/>
      <c r="B9029" s="399"/>
      <c r="C9029" s="5"/>
      <c r="D9029" s="5"/>
      <c r="E9029" s="43"/>
      <c r="F9029" s="43"/>
      <c r="G9029" s="48">
        <f t="shared" si="226"/>
        <v>4474.6015943642706</v>
      </c>
      <c r="H9029" s="392" t="s">
        <v>10772</v>
      </c>
    </row>
    <row r="9030" spans="1:8" x14ac:dyDescent="0.3">
      <c r="A9030" s="5"/>
      <c r="B9030" s="399"/>
      <c r="C9030" s="5"/>
      <c r="D9030" s="5"/>
      <c r="E9030" s="43"/>
      <c r="F9030" s="43"/>
      <c r="G9030" s="48">
        <f t="shared" si="226"/>
        <v>4474.6015943642706</v>
      </c>
      <c r="H9030" s="392" t="s">
        <v>10772</v>
      </c>
    </row>
    <row r="9031" spans="1:8" x14ac:dyDescent="0.3">
      <c r="A9031" s="5"/>
      <c r="B9031" s="399"/>
      <c r="C9031" s="5"/>
      <c r="D9031" s="5"/>
      <c r="E9031" s="43"/>
      <c r="F9031" s="43"/>
      <c r="G9031" s="48">
        <f t="shared" si="226"/>
        <v>4474.6015943642706</v>
      </c>
      <c r="H9031" s="392" t="s">
        <v>10772</v>
      </c>
    </row>
    <row r="9032" spans="1:8" x14ac:dyDescent="0.3">
      <c r="A9032" s="5"/>
      <c r="B9032" s="399"/>
      <c r="C9032" s="5"/>
      <c r="D9032" s="5"/>
      <c r="E9032" s="43"/>
      <c r="F9032" s="43"/>
      <c r="G9032" s="48">
        <f t="shared" si="226"/>
        <v>4474.6015943642706</v>
      </c>
      <c r="H9032" s="392" t="s">
        <v>10772</v>
      </c>
    </row>
    <row r="9033" spans="1:8" x14ac:dyDescent="0.3">
      <c r="A9033" s="5"/>
      <c r="B9033" s="399"/>
      <c r="C9033" s="5"/>
      <c r="D9033" s="5"/>
      <c r="E9033" s="43"/>
      <c r="F9033" s="43"/>
      <c r="G9033" s="48">
        <f t="shared" si="226"/>
        <v>4474.6015943642706</v>
      </c>
      <c r="H9033" s="392" t="s">
        <v>10772</v>
      </c>
    </row>
    <row r="9034" spans="1:8" x14ac:dyDescent="0.3">
      <c r="A9034" s="5"/>
      <c r="B9034" s="399"/>
      <c r="C9034" s="5"/>
      <c r="D9034" s="5"/>
      <c r="E9034" s="43"/>
      <c r="F9034" s="43"/>
      <c r="G9034" s="48">
        <f t="shared" si="226"/>
        <v>4474.6015943642706</v>
      </c>
      <c r="H9034" s="392" t="s">
        <v>10772</v>
      </c>
    </row>
    <row r="9035" spans="1:8" x14ac:dyDescent="0.3">
      <c r="A9035" s="5"/>
      <c r="B9035" s="399"/>
      <c r="C9035" s="5"/>
      <c r="D9035" s="5"/>
      <c r="E9035" s="43"/>
      <c r="F9035" s="43"/>
      <c r="G9035" s="48">
        <f t="shared" si="226"/>
        <v>4474.6015943642706</v>
      </c>
      <c r="H9035" s="392" t="s">
        <v>10772</v>
      </c>
    </row>
    <row r="9036" spans="1:8" x14ac:dyDescent="0.3">
      <c r="A9036" s="5"/>
      <c r="B9036" s="399"/>
      <c r="C9036" s="5"/>
      <c r="D9036" s="5"/>
      <c r="E9036" s="43"/>
      <c r="F9036" s="43"/>
      <c r="G9036" s="48">
        <f t="shared" si="226"/>
        <v>4474.6015943642706</v>
      </c>
      <c r="H9036" s="392" t="s">
        <v>10772</v>
      </c>
    </row>
    <row r="9037" spans="1:8" x14ac:dyDescent="0.3">
      <c r="A9037" s="5"/>
      <c r="B9037" s="399"/>
      <c r="C9037" s="5"/>
      <c r="D9037" s="5"/>
      <c r="E9037" s="43"/>
      <c r="F9037" s="43"/>
      <c r="G9037" s="48">
        <f t="shared" si="226"/>
        <v>4474.6015943642706</v>
      </c>
      <c r="H9037" s="392" t="s">
        <v>10772</v>
      </c>
    </row>
    <row r="9038" spans="1:8" x14ac:dyDescent="0.3">
      <c r="A9038" s="5"/>
      <c r="B9038" s="399"/>
      <c r="C9038" s="5"/>
      <c r="D9038" s="5"/>
      <c r="E9038" s="43"/>
      <c r="F9038" s="43"/>
      <c r="G9038" s="48">
        <f t="shared" si="226"/>
        <v>4474.6015943642706</v>
      </c>
      <c r="H9038" s="392" t="s">
        <v>10772</v>
      </c>
    </row>
    <row r="9039" spans="1:8" x14ac:dyDescent="0.3">
      <c r="A9039" s="5"/>
      <c r="B9039" s="399"/>
      <c r="C9039" s="5"/>
      <c r="D9039" s="5"/>
      <c r="E9039" s="43"/>
      <c r="F9039" s="43"/>
      <c r="G9039" s="48">
        <f t="shared" si="226"/>
        <v>4474.6015943642706</v>
      </c>
      <c r="H9039" s="392" t="s">
        <v>10772</v>
      </c>
    </row>
    <row r="9040" spans="1:8" x14ac:dyDescent="0.3">
      <c r="A9040" s="5"/>
      <c r="B9040" s="399"/>
      <c r="C9040" s="5"/>
      <c r="D9040" s="5"/>
      <c r="E9040" s="43"/>
      <c r="F9040" s="43"/>
      <c r="G9040" s="48">
        <f t="shared" si="226"/>
        <v>4474.6015943642706</v>
      </c>
      <c r="H9040" s="392" t="s">
        <v>10772</v>
      </c>
    </row>
    <row r="9041" spans="1:8" x14ac:dyDescent="0.3">
      <c r="A9041" s="5"/>
      <c r="B9041" s="399"/>
      <c r="C9041" s="5"/>
      <c r="D9041" s="5"/>
      <c r="E9041" s="43"/>
      <c r="F9041" s="43"/>
      <c r="G9041" s="48">
        <f t="shared" si="226"/>
        <v>4474.6015943642706</v>
      </c>
      <c r="H9041" s="392" t="s">
        <v>10772</v>
      </c>
    </row>
    <row r="9042" spans="1:8" x14ac:dyDescent="0.3">
      <c r="A9042" s="5"/>
      <c r="B9042" s="399"/>
      <c r="C9042" s="5"/>
      <c r="D9042" s="5"/>
      <c r="E9042" s="43"/>
      <c r="F9042" s="43"/>
      <c r="G9042" s="48">
        <f t="shared" si="226"/>
        <v>4474.6015943642706</v>
      </c>
      <c r="H9042" s="392" t="s">
        <v>10772</v>
      </c>
    </row>
    <row r="9043" spans="1:8" x14ac:dyDescent="0.3">
      <c r="A9043" s="5"/>
      <c r="B9043" s="399"/>
      <c r="C9043" s="5"/>
      <c r="D9043" s="5"/>
      <c r="E9043" s="43"/>
      <c r="F9043" s="43"/>
      <c r="G9043" s="48">
        <f t="shared" si="226"/>
        <v>4474.6015943642706</v>
      </c>
      <c r="H9043" s="392" t="s">
        <v>10772</v>
      </c>
    </row>
    <row r="9044" spans="1:8" x14ac:dyDescent="0.3">
      <c r="A9044" s="5"/>
      <c r="B9044" s="399"/>
      <c r="C9044" s="5"/>
      <c r="D9044" s="5"/>
      <c r="E9044" s="43"/>
      <c r="F9044" s="43"/>
      <c r="G9044" s="48">
        <f t="shared" si="226"/>
        <v>4474.6015943642706</v>
      </c>
      <c r="H9044" s="392" t="s">
        <v>10772</v>
      </c>
    </row>
    <row r="9045" spans="1:8" x14ac:dyDescent="0.3">
      <c r="A9045" s="5"/>
      <c r="B9045" s="399"/>
      <c r="C9045" s="5"/>
      <c r="D9045" s="5"/>
      <c r="E9045" s="43"/>
      <c r="F9045" s="43"/>
      <c r="G9045" s="48">
        <f t="shared" si="226"/>
        <v>4474.6015943642706</v>
      </c>
      <c r="H9045" s="392" t="s">
        <v>10772</v>
      </c>
    </row>
    <row r="9046" spans="1:8" x14ac:dyDescent="0.3">
      <c r="A9046" s="5"/>
      <c r="B9046" s="399"/>
      <c r="C9046" s="5"/>
      <c r="D9046" s="5"/>
      <c r="E9046" s="43"/>
      <c r="F9046" s="43"/>
      <c r="G9046" s="48">
        <f t="shared" ref="G9046:G9049" si="227">G9045+F9046-E9046</f>
        <v>4474.6015943642706</v>
      </c>
      <c r="H9046" s="392" t="s">
        <v>10772</v>
      </c>
    </row>
    <row r="9047" spans="1:8" x14ac:dyDescent="0.3">
      <c r="A9047" s="5"/>
      <c r="B9047" s="399"/>
      <c r="C9047" s="5"/>
      <c r="D9047" s="5"/>
      <c r="E9047" s="43"/>
      <c r="F9047" s="43"/>
      <c r="G9047" s="48">
        <f t="shared" si="227"/>
        <v>4474.6015943642706</v>
      </c>
      <c r="H9047" s="392" t="s">
        <v>10772</v>
      </c>
    </row>
    <row r="9048" spans="1:8" x14ac:dyDescent="0.3">
      <c r="A9048" s="5"/>
      <c r="B9048" s="399"/>
      <c r="C9048" s="5"/>
      <c r="D9048" s="5"/>
      <c r="E9048" s="43"/>
      <c r="F9048" s="43"/>
      <c r="G9048" s="48">
        <f t="shared" si="227"/>
        <v>4474.6015943642706</v>
      </c>
      <c r="H9048" s="392" t="s">
        <v>10772</v>
      </c>
    </row>
    <row r="9049" spans="1:8" x14ac:dyDescent="0.3">
      <c r="A9049" s="5"/>
      <c r="B9049" s="399"/>
      <c r="C9049" s="5"/>
      <c r="D9049" s="5"/>
      <c r="E9049" s="43"/>
      <c r="F9049" s="43"/>
      <c r="G9049" s="48">
        <f t="shared" si="227"/>
        <v>4474.6015943642706</v>
      </c>
      <c r="H9049" s="392" t="s">
        <v>10772</v>
      </c>
    </row>
    <row r="9050" spans="1:8" x14ac:dyDescent="0.3">
      <c r="A9050" s="5"/>
      <c r="B9050" s="399"/>
      <c r="C9050" s="5"/>
      <c r="D9050" s="5"/>
      <c r="E9050" s="43"/>
      <c r="F9050" s="43"/>
      <c r="G9050" s="48">
        <f t="shared" ref="G9050:G9113" si="228">G9049+F9050-E9051</f>
        <v>4474.6015943642706</v>
      </c>
      <c r="H9050" s="392" t="s">
        <v>10772</v>
      </c>
    </row>
    <row r="9051" spans="1:8" x14ac:dyDescent="0.3">
      <c r="A9051" s="5"/>
      <c r="B9051" s="399"/>
      <c r="C9051" s="5"/>
      <c r="D9051" s="5"/>
      <c r="E9051" s="43"/>
      <c r="F9051" s="43"/>
      <c r="G9051" s="48">
        <f t="shared" si="228"/>
        <v>4474.6015943642706</v>
      </c>
      <c r="H9051" s="392" t="s">
        <v>10772</v>
      </c>
    </row>
    <row r="9052" spans="1:8" x14ac:dyDescent="0.3">
      <c r="A9052" s="5"/>
      <c r="B9052" s="399"/>
      <c r="C9052" s="5"/>
      <c r="D9052" s="5"/>
      <c r="E9052" s="43"/>
      <c r="F9052" s="43"/>
      <c r="G9052" s="48">
        <f t="shared" si="228"/>
        <v>4474.6015943642706</v>
      </c>
      <c r="H9052" s="392" t="s">
        <v>10772</v>
      </c>
    </row>
    <row r="9053" spans="1:8" x14ac:dyDescent="0.3">
      <c r="A9053" s="5"/>
      <c r="B9053" s="399"/>
      <c r="C9053" s="5"/>
      <c r="D9053" s="5"/>
      <c r="E9053" s="43"/>
      <c r="F9053" s="43"/>
      <c r="G9053" s="48">
        <f t="shared" si="228"/>
        <v>4474.6015943642706</v>
      </c>
      <c r="H9053" s="392" t="s">
        <v>10772</v>
      </c>
    </row>
    <row r="9054" spans="1:8" x14ac:dyDescent="0.3">
      <c r="A9054" s="5"/>
      <c r="B9054" s="399"/>
      <c r="C9054" s="5"/>
      <c r="D9054" s="5"/>
      <c r="E9054" s="43"/>
      <c r="F9054" s="43"/>
      <c r="G9054" s="48">
        <f t="shared" si="228"/>
        <v>4474.6015943642706</v>
      </c>
      <c r="H9054" s="392" t="s">
        <v>10772</v>
      </c>
    </row>
    <row r="9055" spans="1:8" x14ac:dyDescent="0.3">
      <c r="A9055" s="5"/>
      <c r="B9055" s="399"/>
      <c r="C9055" s="5"/>
      <c r="D9055" s="5"/>
      <c r="E9055" s="43"/>
      <c r="F9055" s="43"/>
      <c r="G9055" s="48">
        <f t="shared" si="228"/>
        <v>4474.6015943642706</v>
      </c>
      <c r="H9055" s="392" t="s">
        <v>10772</v>
      </c>
    </row>
    <row r="9056" spans="1:8" x14ac:dyDescent="0.3">
      <c r="A9056" s="5"/>
      <c r="B9056" s="399"/>
      <c r="C9056" s="5"/>
      <c r="D9056" s="5"/>
      <c r="E9056" s="43"/>
      <c r="F9056" s="43"/>
      <c r="G9056" s="48">
        <f t="shared" si="228"/>
        <v>4474.6015943642706</v>
      </c>
      <c r="H9056" s="392" t="s">
        <v>10772</v>
      </c>
    </row>
    <row r="9057" spans="1:8" x14ac:dyDescent="0.3">
      <c r="A9057" s="5"/>
      <c r="B9057" s="399"/>
      <c r="C9057" s="5"/>
      <c r="D9057" s="5"/>
      <c r="E9057" s="43"/>
      <c r="F9057" s="43"/>
      <c r="G9057" s="48">
        <f t="shared" si="228"/>
        <v>4474.6015943642706</v>
      </c>
      <c r="H9057" s="392" t="s">
        <v>10772</v>
      </c>
    </row>
    <row r="9058" spans="1:8" x14ac:dyDescent="0.3">
      <c r="A9058" s="5"/>
      <c r="B9058" s="399"/>
      <c r="C9058" s="5"/>
      <c r="D9058" s="5"/>
      <c r="E9058" s="43"/>
      <c r="F9058" s="43"/>
      <c r="G9058" s="48">
        <f t="shared" si="228"/>
        <v>4474.6015943642706</v>
      </c>
      <c r="H9058" s="392" t="s">
        <v>10772</v>
      </c>
    </row>
    <row r="9059" spans="1:8" x14ac:dyDescent="0.3">
      <c r="A9059" s="5"/>
      <c r="B9059" s="399"/>
      <c r="C9059" s="5"/>
      <c r="D9059" s="5"/>
      <c r="E9059" s="43"/>
      <c r="F9059" s="43"/>
      <c r="G9059" s="48">
        <f t="shared" si="228"/>
        <v>4474.6015943642706</v>
      </c>
      <c r="H9059" s="392" t="s">
        <v>10772</v>
      </c>
    </row>
    <row r="9060" spans="1:8" x14ac:dyDescent="0.3">
      <c r="A9060" s="5"/>
      <c r="B9060" s="399"/>
      <c r="C9060" s="5"/>
      <c r="D9060" s="5"/>
      <c r="E9060" s="43"/>
      <c r="F9060" s="43"/>
      <c r="G9060" s="48">
        <f t="shared" si="228"/>
        <v>4474.6015943642706</v>
      </c>
      <c r="H9060" s="392" t="s">
        <v>10772</v>
      </c>
    </row>
    <row r="9061" spans="1:8" x14ac:dyDescent="0.3">
      <c r="A9061" s="5"/>
      <c r="B9061" s="399"/>
      <c r="C9061" s="5"/>
      <c r="D9061" s="5"/>
      <c r="E9061" s="43"/>
      <c r="F9061" s="43"/>
      <c r="G9061" s="48">
        <f t="shared" si="228"/>
        <v>4474.6015943642706</v>
      </c>
      <c r="H9061" s="392" t="s">
        <v>10772</v>
      </c>
    </row>
    <row r="9062" spans="1:8" x14ac:dyDescent="0.3">
      <c r="A9062" s="5"/>
      <c r="B9062" s="399"/>
      <c r="C9062" s="5"/>
      <c r="D9062" s="5"/>
      <c r="E9062" s="43"/>
      <c r="F9062" s="43"/>
      <c r="G9062" s="48">
        <f t="shared" si="228"/>
        <v>4474.6015943642706</v>
      </c>
      <c r="H9062" s="392" t="s">
        <v>10772</v>
      </c>
    </row>
    <row r="9063" spans="1:8" x14ac:dyDescent="0.3">
      <c r="A9063" s="5"/>
      <c r="B9063" s="399"/>
      <c r="C9063" s="5"/>
      <c r="D9063" s="5"/>
      <c r="E9063" s="43"/>
      <c r="F9063" s="43"/>
      <c r="G9063" s="48">
        <f t="shared" si="228"/>
        <v>4474.6015943642706</v>
      </c>
      <c r="H9063" s="392" t="s">
        <v>10772</v>
      </c>
    </row>
    <row r="9064" spans="1:8" x14ac:dyDescent="0.3">
      <c r="A9064" s="5"/>
      <c r="B9064" s="399"/>
      <c r="C9064" s="5"/>
      <c r="D9064" s="5"/>
      <c r="E9064" s="43"/>
      <c r="F9064" s="43"/>
      <c r="G9064" s="48">
        <f t="shared" si="228"/>
        <v>4474.6015943642706</v>
      </c>
      <c r="H9064" s="392" t="s">
        <v>10772</v>
      </c>
    </row>
    <row r="9065" spans="1:8" x14ac:dyDescent="0.3">
      <c r="A9065" s="5"/>
      <c r="B9065" s="399"/>
      <c r="C9065" s="5"/>
      <c r="D9065" s="5"/>
      <c r="E9065" s="43"/>
      <c r="F9065" s="43"/>
      <c r="G9065" s="48">
        <f t="shared" si="228"/>
        <v>4474.6015943642706</v>
      </c>
      <c r="H9065" s="392" t="s">
        <v>10772</v>
      </c>
    </row>
    <row r="9066" spans="1:8" x14ac:dyDescent="0.3">
      <c r="A9066" s="5"/>
      <c r="B9066" s="399"/>
      <c r="C9066" s="5"/>
      <c r="D9066" s="5"/>
      <c r="E9066" s="43"/>
      <c r="F9066" s="43"/>
      <c r="G9066" s="48">
        <f t="shared" si="228"/>
        <v>4474.6015943642706</v>
      </c>
      <c r="H9066" s="392" t="s">
        <v>10772</v>
      </c>
    </row>
    <row r="9067" spans="1:8" x14ac:dyDescent="0.3">
      <c r="A9067" s="5"/>
      <c r="B9067" s="399"/>
      <c r="C9067" s="5"/>
      <c r="D9067" s="5"/>
      <c r="E9067" s="43"/>
      <c r="F9067" s="43"/>
      <c r="G9067" s="48">
        <f t="shared" si="228"/>
        <v>4474.6015943642706</v>
      </c>
      <c r="H9067" s="392" t="s">
        <v>10772</v>
      </c>
    </row>
    <row r="9068" spans="1:8" x14ac:dyDescent="0.3">
      <c r="A9068" s="5"/>
      <c r="B9068" s="399"/>
      <c r="C9068" s="5"/>
      <c r="D9068" s="5"/>
      <c r="E9068" s="43"/>
      <c r="F9068" s="43"/>
      <c r="G9068" s="48">
        <f t="shared" si="228"/>
        <v>4474.6015943642706</v>
      </c>
      <c r="H9068" s="392" t="s">
        <v>10772</v>
      </c>
    </row>
    <row r="9069" spans="1:8" x14ac:dyDescent="0.3">
      <c r="A9069" s="5"/>
      <c r="B9069" s="399"/>
      <c r="C9069" s="5"/>
      <c r="D9069" s="5"/>
      <c r="E9069" s="43"/>
      <c r="F9069" s="43"/>
      <c r="G9069" s="48">
        <f t="shared" si="228"/>
        <v>4474.6015943642706</v>
      </c>
      <c r="H9069" s="392" t="s">
        <v>10772</v>
      </c>
    </row>
    <row r="9070" spans="1:8" x14ac:dyDescent="0.3">
      <c r="A9070" s="5"/>
      <c r="B9070" s="399"/>
      <c r="C9070" s="5"/>
      <c r="D9070" s="5"/>
      <c r="E9070" s="43"/>
      <c r="F9070" s="43"/>
      <c r="G9070" s="48">
        <f t="shared" si="228"/>
        <v>4474.6015943642706</v>
      </c>
      <c r="H9070" s="392" t="s">
        <v>10772</v>
      </c>
    </row>
    <row r="9071" spans="1:8" x14ac:dyDescent="0.3">
      <c r="A9071" s="5"/>
      <c r="B9071" s="399"/>
      <c r="C9071" s="5"/>
      <c r="D9071" s="5"/>
      <c r="E9071" s="43"/>
      <c r="F9071" s="43"/>
      <c r="G9071" s="48">
        <f t="shared" si="228"/>
        <v>4474.6015943642706</v>
      </c>
      <c r="H9071" s="392" t="s">
        <v>10772</v>
      </c>
    </row>
    <row r="9072" spans="1:8" x14ac:dyDescent="0.3">
      <c r="A9072" s="5"/>
      <c r="B9072" s="399"/>
      <c r="C9072" s="5"/>
      <c r="D9072" s="5"/>
      <c r="E9072" s="43"/>
      <c r="F9072" s="43"/>
      <c r="G9072" s="48">
        <f t="shared" si="228"/>
        <v>4474.6015943642706</v>
      </c>
      <c r="H9072" s="392" t="s">
        <v>10772</v>
      </c>
    </row>
    <row r="9073" spans="1:8" x14ac:dyDescent="0.3">
      <c r="A9073" s="5"/>
      <c r="B9073" s="399"/>
      <c r="C9073" s="5"/>
      <c r="D9073" s="5"/>
      <c r="E9073" s="43"/>
      <c r="F9073" s="43"/>
      <c r="G9073" s="48">
        <f t="shared" si="228"/>
        <v>4474.6015943642706</v>
      </c>
      <c r="H9073" s="392" t="s">
        <v>10772</v>
      </c>
    </row>
    <row r="9074" spans="1:8" x14ac:dyDescent="0.3">
      <c r="A9074" s="5"/>
      <c r="B9074" s="399"/>
      <c r="C9074" s="5"/>
      <c r="D9074" s="5"/>
      <c r="E9074" s="43"/>
      <c r="F9074" s="43"/>
      <c r="G9074" s="48">
        <f t="shared" si="228"/>
        <v>4474.6015943642706</v>
      </c>
      <c r="H9074" s="392" t="s">
        <v>10772</v>
      </c>
    </row>
    <row r="9075" spans="1:8" x14ac:dyDescent="0.3">
      <c r="A9075" s="5"/>
      <c r="B9075" s="399"/>
      <c r="C9075" s="5"/>
      <c r="D9075" s="5"/>
      <c r="E9075" s="43"/>
      <c r="F9075" s="43"/>
      <c r="G9075" s="48">
        <f t="shared" si="228"/>
        <v>4474.6015943642706</v>
      </c>
      <c r="H9075" s="392" t="s">
        <v>10772</v>
      </c>
    </row>
    <row r="9076" spans="1:8" x14ac:dyDescent="0.3">
      <c r="A9076" s="5"/>
      <c r="B9076" s="399"/>
      <c r="C9076" s="5"/>
      <c r="D9076" s="5"/>
      <c r="E9076" s="43"/>
      <c r="F9076" s="43"/>
      <c r="G9076" s="48">
        <f t="shared" si="228"/>
        <v>4474.6015943642706</v>
      </c>
      <c r="H9076" s="392" t="s">
        <v>10772</v>
      </c>
    </row>
    <row r="9077" spans="1:8" x14ac:dyDescent="0.3">
      <c r="A9077" s="5"/>
      <c r="B9077" s="399"/>
      <c r="C9077" s="5"/>
      <c r="D9077" s="5"/>
      <c r="E9077" s="43"/>
      <c r="F9077" s="43"/>
      <c r="G9077" s="48">
        <f t="shared" si="228"/>
        <v>4474.6015943642706</v>
      </c>
      <c r="H9077" s="392" t="s">
        <v>10772</v>
      </c>
    </row>
    <row r="9078" spans="1:8" x14ac:dyDescent="0.3">
      <c r="A9078" s="5"/>
      <c r="B9078" s="399"/>
      <c r="C9078" s="5"/>
      <c r="D9078" s="5"/>
      <c r="E9078" s="43"/>
      <c r="F9078" s="43"/>
      <c r="G9078" s="48">
        <f t="shared" si="228"/>
        <v>4474.6015943642706</v>
      </c>
      <c r="H9078" s="392" t="s">
        <v>10772</v>
      </c>
    </row>
    <row r="9079" spans="1:8" x14ac:dyDescent="0.3">
      <c r="A9079" s="5"/>
      <c r="B9079" s="399"/>
      <c r="C9079" s="5"/>
      <c r="D9079" s="5"/>
      <c r="E9079" s="43"/>
      <c r="F9079" s="43"/>
      <c r="G9079" s="48">
        <f t="shared" si="228"/>
        <v>4474.6015943642706</v>
      </c>
      <c r="H9079" s="392" t="s">
        <v>10772</v>
      </c>
    </row>
    <row r="9080" spans="1:8" x14ac:dyDescent="0.3">
      <c r="A9080" s="5"/>
      <c r="B9080" s="399"/>
      <c r="C9080" s="5"/>
      <c r="D9080" s="5"/>
      <c r="E9080" s="43"/>
      <c r="F9080" s="43"/>
      <c r="G9080" s="48">
        <f t="shared" si="228"/>
        <v>4474.6015943642706</v>
      </c>
      <c r="H9080" s="392" t="s">
        <v>10772</v>
      </c>
    </row>
    <row r="9081" spans="1:8" x14ac:dyDescent="0.3">
      <c r="A9081" s="5"/>
      <c r="B9081" s="399"/>
      <c r="C9081" s="5"/>
      <c r="D9081" s="5"/>
      <c r="E9081" s="43"/>
      <c r="F9081" s="43"/>
      <c r="G9081" s="48">
        <f t="shared" si="228"/>
        <v>4474.6015943642706</v>
      </c>
      <c r="H9081" s="392" t="s">
        <v>10772</v>
      </c>
    </row>
    <row r="9082" spans="1:8" x14ac:dyDescent="0.3">
      <c r="A9082" s="5"/>
      <c r="B9082" s="399"/>
      <c r="C9082" s="5"/>
      <c r="D9082" s="5"/>
      <c r="E9082" s="43"/>
      <c r="F9082" s="43"/>
      <c r="G9082" s="48">
        <f t="shared" si="228"/>
        <v>4474.6015943642706</v>
      </c>
      <c r="H9082" s="392" t="s">
        <v>10772</v>
      </c>
    </row>
    <row r="9083" spans="1:8" x14ac:dyDescent="0.3">
      <c r="A9083" s="5"/>
      <c r="B9083" s="399"/>
      <c r="C9083" s="5"/>
      <c r="D9083" s="5"/>
      <c r="E9083" s="43"/>
      <c r="F9083" s="43"/>
      <c r="G9083" s="48">
        <f t="shared" si="228"/>
        <v>4474.6015943642706</v>
      </c>
      <c r="H9083" s="392" t="s">
        <v>10772</v>
      </c>
    </row>
    <row r="9084" spans="1:8" x14ac:dyDescent="0.3">
      <c r="A9084" s="5"/>
      <c r="B9084" s="399"/>
      <c r="C9084" s="5"/>
      <c r="D9084" s="5"/>
      <c r="E9084" s="43"/>
      <c r="F9084" s="43"/>
      <c r="G9084" s="48">
        <f t="shared" si="228"/>
        <v>4474.6015943642706</v>
      </c>
      <c r="H9084" s="392" t="s">
        <v>10772</v>
      </c>
    </row>
    <row r="9085" spans="1:8" x14ac:dyDescent="0.3">
      <c r="A9085" s="5"/>
      <c r="B9085" s="399"/>
      <c r="C9085" s="5"/>
      <c r="D9085" s="5"/>
      <c r="E9085" s="43"/>
      <c r="F9085" s="43"/>
      <c r="G9085" s="48">
        <f t="shared" si="228"/>
        <v>4474.6015943642706</v>
      </c>
      <c r="H9085" s="392" t="s">
        <v>10772</v>
      </c>
    </row>
    <row r="9086" spans="1:8" x14ac:dyDescent="0.3">
      <c r="A9086" s="5"/>
      <c r="B9086" s="399"/>
      <c r="C9086" s="5"/>
      <c r="D9086" s="5"/>
      <c r="E9086" s="43"/>
      <c r="F9086" s="43"/>
      <c r="G9086" s="48">
        <f t="shared" si="228"/>
        <v>4474.6015943642706</v>
      </c>
      <c r="H9086" s="392" t="s">
        <v>10772</v>
      </c>
    </row>
    <row r="9087" spans="1:8" x14ac:dyDescent="0.3">
      <c r="A9087" s="5"/>
      <c r="B9087" s="399"/>
      <c r="C9087" s="5"/>
      <c r="D9087" s="5"/>
      <c r="E9087" s="43"/>
      <c r="F9087" s="43"/>
      <c r="G9087" s="48">
        <f t="shared" si="228"/>
        <v>4474.6015943642706</v>
      </c>
      <c r="H9087" s="392" t="s">
        <v>10772</v>
      </c>
    </row>
    <row r="9088" spans="1:8" x14ac:dyDescent="0.3">
      <c r="A9088" s="5"/>
      <c r="B9088" s="399"/>
      <c r="C9088" s="5"/>
      <c r="D9088" s="5"/>
      <c r="E9088" s="43"/>
      <c r="F9088" s="43"/>
      <c r="G9088" s="48">
        <f t="shared" si="228"/>
        <v>4474.6015943642706</v>
      </c>
      <c r="H9088" s="392" t="s">
        <v>10772</v>
      </c>
    </row>
    <row r="9089" spans="1:8" x14ac:dyDescent="0.3">
      <c r="A9089" s="5"/>
      <c r="B9089" s="399"/>
      <c r="C9089" s="5"/>
      <c r="D9089" s="5"/>
      <c r="E9089" s="43"/>
      <c r="F9089" s="43"/>
      <c r="G9089" s="48">
        <f t="shared" si="228"/>
        <v>4474.6015943642706</v>
      </c>
      <c r="H9089" s="392" t="s">
        <v>10772</v>
      </c>
    </row>
    <row r="9090" spans="1:8" x14ac:dyDescent="0.3">
      <c r="A9090" s="5"/>
      <c r="B9090" s="399"/>
      <c r="C9090" s="5"/>
      <c r="D9090" s="5"/>
      <c r="E9090" s="43"/>
      <c r="F9090" s="43"/>
      <c r="G9090" s="48">
        <f t="shared" si="228"/>
        <v>4474.6015943642706</v>
      </c>
      <c r="H9090" s="392" t="s">
        <v>10772</v>
      </c>
    </row>
    <row r="9091" spans="1:8" x14ac:dyDescent="0.3">
      <c r="A9091" s="5"/>
      <c r="B9091" s="399"/>
      <c r="C9091" s="5"/>
      <c r="D9091" s="5"/>
      <c r="E9091" s="43"/>
      <c r="F9091" s="43"/>
      <c r="G9091" s="48">
        <f t="shared" si="228"/>
        <v>4474.6015943642706</v>
      </c>
      <c r="H9091" s="392" t="s">
        <v>10772</v>
      </c>
    </row>
    <row r="9092" spans="1:8" x14ac:dyDescent="0.3">
      <c r="A9092" s="5"/>
      <c r="B9092" s="399"/>
      <c r="C9092" s="5"/>
      <c r="D9092" s="5"/>
      <c r="E9092" s="43"/>
      <c r="F9092" s="43"/>
      <c r="G9092" s="48">
        <f t="shared" si="228"/>
        <v>4474.6015943642706</v>
      </c>
      <c r="H9092" s="392" t="s">
        <v>10772</v>
      </c>
    </row>
    <row r="9093" spans="1:8" x14ac:dyDescent="0.3">
      <c r="A9093" s="5"/>
      <c r="B9093" s="399"/>
      <c r="C9093" s="5"/>
      <c r="D9093" s="5"/>
      <c r="E9093" s="43"/>
      <c r="F9093" s="43"/>
      <c r="G9093" s="48">
        <f t="shared" si="228"/>
        <v>4474.6015943642706</v>
      </c>
      <c r="H9093" s="392" t="s">
        <v>10772</v>
      </c>
    </row>
    <row r="9094" spans="1:8" x14ac:dyDescent="0.3">
      <c r="A9094" s="5"/>
      <c r="B9094" s="399"/>
      <c r="C9094" s="5"/>
      <c r="D9094" s="5"/>
      <c r="E9094" s="43"/>
      <c r="F9094" s="43"/>
      <c r="G9094" s="48">
        <f t="shared" si="228"/>
        <v>4474.6015943642706</v>
      </c>
      <c r="H9094" s="392" t="s">
        <v>10772</v>
      </c>
    </row>
    <row r="9095" spans="1:8" x14ac:dyDescent="0.3">
      <c r="A9095" s="5"/>
      <c r="B9095" s="399"/>
      <c r="C9095" s="5"/>
      <c r="D9095" s="5"/>
      <c r="E9095" s="43"/>
      <c r="F9095" s="43"/>
      <c r="G9095" s="48">
        <f t="shared" si="228"/>
        <v>4474.6015943642706</v>
      </c>
      <c r="H9095" s="392" t="s">
        <v>10772</v>
      </c>
    </row>
    <row r="9096" spans="1:8" x14ac:dyDescent="0.3">
      <c r="A9096" s="5"/>
      <c r="B9096" s="399"/>
      <c r="C9096" s="5"/>
      <c r="D9096" s="5"/>
      <c r="E9096" s="43"/>
      <c r="F9096" s="43"/>
      <c r="G9096" s="48">
        <f t="shared" si="228"/>
        <v>4474.6015943642706</v>
      </c>
      <c r="H9096" s="392" t="s">
        <v>10772</v>
      </c>
    </row>
    <row r="9097" spans="1:8" x14ac:dyDescent="0.3">
      <c r="A9097" s="5"/>
      <c r="B9097" s="399"/>
      <c r="C9097" s="5"/>
      <c r="D9097" s="5"/>
      <c r="E9097" s="43"/>
      <c r="F9097" s="43"/>
      <c r="G9097" s="48">
        <f t="shared" si="228"/>
        <v>4474.6015943642706</v>
      </c>
      <c r="H9097" s="392" t="s">
        <v>10772</v>
      </c>
    </row>
    <row r="9098" spans="1:8" x14ac:dyDescent="0.3">
      <c r="A9098" s="5"/>
      <c r="B9098" s="399"/>
      <c r="C9098" s="5"/>
      <c r="D9098" s="5"/>
      <c r="E9098" s="43"/>
      <c r="F9098" s="43"/>
      <c r="G9098" s="48">
        <f t="shared" si="228"/>
        <v>4474.6015943642706</v>
      </c>
      <c r="H9098" s="392" t="s">
        <v>10772</v>
      </c>
    </row>
    <row r="9099" spans="1:8" x14ac:dyDescent="0.3">
      <c r="A9099" s="5"/>
      <c r="B9099" s="399"/>
      <c r="C9099" s="5"/>
      <c r="D9099" s="5"/>
      <c r="E9099" s="43"/>
      <c r="F9099" s="43"/>
      <c r="G9099" s="48">
        <f t="shared" si="228"/>
        <v>4474.6015943642706</v>
      </c>
      <c r="H9099" s="392" t="s">
        <v>10772</v>
      </c>
    </row>
    <row r="9100" spans="1:8" x14ac:dyDescent="0.3">
      <c r="A9100" s="5"/>
      <c r="B9100" s="399"/>
      <c r="C9100" s="5"/>
      <c r="D9100" s="5"/>
      <c r="E9100" s="43"/>
      <c r="F9100" s="43"/>
      <c r="G9100" s="48">
        <f t="shared" si="228"/>
        <v>4474.6015943642706</v>
      </c>
      <c r="H9100" s="392" t="s">
        <v>10772</v>
      </c>
    </row>
    <row r="9101" spans="1:8" x14ac:dyDescent="0.3">
      <c r="A9101" s="5"/>
      <c r="B9101" s="399"/>
      <c r="C9101" s="5"/>
      <c r="D9101" s="5"/>
      <c r="E9101" s="43"/>
      <c r="F9101" s="43"/>
      <c r="G9101" s="48">
        <f t="shared" si="228"/>
        <v>4474.6015943642706</v>
      </c>
      <c r="H9101" s="392" t="s">
        <v>10772</v>
      </c>
    </row>
    <row r="9102" spans="1:8" x14ac:dyDescent="0.3">
      <c r="A9102" s="5"/>
      <c r="B9102" s="399"/>
      <c r="C9102" s="5"/>
      <c r="D9102" s="5"/>
      <c r="E9102" s="43"/>
      <c r="F9102" s="43"/>
      <c r="G9102" s="48">
        <f t="shared" si="228"/>
        <v>4474.6015943642706</v>
      </c>
      <c r="H9102" s="392" t="s">
        <v>10772</v>
      </c>
    </row>
    <row r="9103" spans="1:8" x14ac:dyDescent="0.3">
      <c r="A9103" s="5"/>
      <c r="B9103" s="399"/>
      <c r="C9103" s="5"/>
      <c r="D9103" s="5"/>
      <c r="E9103" s="43"/>
      <c r="F9103" s="43"/>
      <c r="G9103" s="48">
        <f t="shared" si="228"/>
        <v>4474.6015943642706</v>
      </c>
      <c r="H9103" s="392" t="s">
        <v>10772</v>
      </c>
    </row>
    <row r="9104" spans="1:8" x14ac:dyDescent="0.3">
      <c r="A9104" s="5"/>
      <c r="B9104" s="399"/>
      <c r="C9104" s="5"/>
      <c r="D9104" s="5"/>
      <c r="E9104" s="43"/>
      <c r="F9104" s="43"/>
      <c r="G9104" s="48">
        <f t="shared" si="228"/>
        <v>4474.6015943642706</v>
      </c>
      <c r="H9104" s="392" t="s">
        <v>10772</v>
      </c>
    </row>
    <row r="9105" spans="1:8" x14ac:dyDescent="0.3">
      <c r="A9105" s="5"/>
      <c r="B9105" s="399"/>
      <c r="C9105" s="5"/>
      <c r="D9105" s="5"/>
      <c r="E9105" s="43"/>
      <c r="F9105" s="43"/>
      <c r="G9105" s="48">
        <f t="shared" si="228"/>
        <v>4474.6015943642706</v>
      </c>
      <c r="H9105" s="392" t="s">
        <v>10772</v>
      </c>
    </row>
    <row r="9106" spans="1:8" x14ac:dyDescent="0.3">
      <c r="A9106" s="5"/>
      <c r="B9106" s="399"/>
      <c r="C9106" s="5"/>
      <c r="D9106" s="5"/>
      <c r="E9106" s="43"/>
      <c r="F9106" s="43"/>
      <c r="G9106" s="48">
        <f t="shared" si="228"/>
        <v>4474.6015943642706</v>
      </c>
      <c r="H9106" s="392" t="s">
        <v>10772</v>
      </c>
    </row>
    <row r="9107" spans="1:8" x14ac:dyDescent="0.3">
      <c r="A9107" s="5"/>
      <c r="B9107" s="399"/>
      <c r="C9107" s="5"/>
      <c r="D9107" s="5"/>
      <c r="E9107" s="43"/>
      <c r="F9107" s="43"/>
      <c r="G9107" s="48">
        <f t="shared" si="228"/>
        <v>4474.6015943642706</v>
      </c>
      <c r="H9107" s="392" t="s">
        <v>10772</v>
      </c>
    </row>
    <row r="9108" spans="1:8" x14ac:dyDescent="0.3">
      <c r="A9108" s="5"/>
      <c r="B9108" s="399"/>
      <c r="C9108" s="5"/>
      <c r="D9108" s="5"/>
      <c r="E9108" s="43"/>
      <c r="F9108" s="43"/>
      <c r="G9108" s="48">
        <f t="shared" si="228"/>
        <v>4474.6015943642706</v>
      </c>
      <c r="H9108" s="392" t="s">
        <v>10772</v>
      </c>
    </row>
    <row r="9109" spans="1:8" x14ac:dyDescent="0.3">
      <c r="A9109" s="5"/>
      <c r="B9109" s="399"/>
      <c r="C9109" s="5"/>
      <c r="D9109" s="5"/>
      <c r="E9109" s="43"/>
      <c r="F9109" s="43"/>
      <c r="G9109" s="48">
        <f t="shared" si="228"/>
        <v>4474.6015943642706</v>
      </c>
      <c r="H9109" s="392" t="s">
        <v>10772</v>
      </c>
    </row>
    <row r="9110" spans="1:8" x14ac:dyDescent="0.3">
      <c r="A9110" s="5"/>
      <c r="B9110" s="399"/>
      <c r="C9110" s="5"/>
      <c r="D9110" s="5"/>
      <c r="E9110" s="43"/>
      <c r="F9110" s="43"/>
      <c r="G9110" s="48">
        <f t="shared" si="228"/>
        <v>4474.6015943642706</v>
      </c>
      <c r="H9110" s="392" t="s">
        <v>10772</v>
      </c>
    </row>
    <row r="9111" spans="1:8" x14ac:dyDescent="0.3">
      <c r="A9111" s="5"/>
      <c r="B9111" s="399"/>
      <c r="C9111" s="5"/>
      <c r="D9111" s="5"/>
      <c r="E9111" s="43"/>
      <c r="F9111" s="43"/>
      <c r="G9111" s="48">
        <f t="shared" si="228"/>
        <v>4474.6015943642706</v>
      </c>
      <c r="H9111" s="392" t="s">
        <v>10772</v>
      </c>
    </row>
    <row r="9112" spans="1:8" x14ac:dyDescent="0.3">
      <c r="A9112" s="5"/>
      <c r="B9112" s="399"/>
      <c r="C9112" s="5"/>
      <c r="D9112" s="5"/>
      <c r="E9112" s="43"/>
      <c r="F9112" s="43"/>
      <c r="G9112" s="48">
        <f t="shared" si="228"/>
        <v>4474.6015943642706</v>
      </c>
      <c r="H9112" s="392" t="s">
        <v>10772</v>
      </c>
    </row>
    <row r="9113" spans="1:8" x14ac:dyDescent="0.3">
      <c r="A9113" s="5"/>
      <c r="B9113" s="399"/>
      <c r="C9113" s="5"/>
      <c r="D9113" s="5"/>
      <c r="E9113" s="43"/>
      <c r="F9113" s="43"/>
      <c r="G9113" s="48">
        <f t="shared" si="228"/>
        <v>4474.6015943642706</v>
      </c>
      <c r="H9113" s="392" t="s">
        <v>10772</v>
      </c>
    </row>
    <row r="9114" spans="1:8" x14ac:dyDescent="0.3">
      <c r="A9114" s="5"/>
      <c r="B9114" s="399"/>
      <c r="C9114" s="5"/>
      <c r="D9114" s="5"/>
      <c r="E9114" s="43"/>
      <c r="F9114" s="43"/>
      <c r="G9114" s="48">
        <f t="shared" ref="G9114:G9177" si="229">G9113+F9114-E9115</f>
        <v>4474.6015943642706</v>
      </c>
      <c r="H9114" s="392" t="s">
        <v>10772</v>
      </c>
    </row>
    <row r="9115" spans="1:8" x14ac:dyDescent="0.3">
      <c r="A9115" s="5"/>
      <c r="B9115" s="399"/>
      <c r="C9115" s="5"/>
      <c r="D9115" s="5"/>
      <c r="E9115" s="43"/>
      <c r="F9115" s="43"/>
      <c r="G9115" s="48">
        <f t="shared" si="229"/>
        <v>4474.6015943642706</v>
      </c>
      <c r="H9115" s="392" t="s">
        <v>10772</v>
      </c>
    </row>
    <row r="9116" spans="1:8" x14ac:dyDescent="0.3">
      <c r="A9116" s="5"/>
      <c r="B9116" s="399"/>
      <c r="C9116" s="5"/>
      <c r="D9116" s="5"/>
      <c r="E9116" s="43"/>
      <c r="F9116" s="43"/>
      <c r="G9116" s="48">
        <f t="shared" si="229"/>
        <v>4474.6015943642706</v>
      </c>
      <c r="H9116" s="392" t="s">
        <v>10772</v>
      </c>
    </row>
    <row r="9117" spans="1:8" x14ac:dyDescent="0.3">
      <c r="A9117" s="5"/>
      <c r="B9117" s="399"/>
      <c r="C9117" s="5"/>
      <c r="D9117" s="5"/>
      <c r="E9117" s="43"/>
      <c r="F9117" s="43"/>
      <c r="G9117" s="48">
        <f t="shared" si="229"/>
        <v>4474.6015943642706</v>
      </c>
      <c r="H9117" s="392" t="s">
        <v>10772</v>
      </c>
    </row>
    <row r="9118" spans="1:8" x14ac:dyDescent="0.3">
      <c r="A9118" s="5"/>
      <c r="B9118" s="399"/>
      <c r="C9118" s="5"/>
      <c r="D9118" s="5"/>
      <c r="E9118" s="43"/>
      <c r="F9118" s="43"/>
      <c r="G9118" s="48">
        <f t="shared" si="229"/>
        <v>4474.6015943642706</v>
      </c>
      <c r="H9118" s="392" t="s">
        <v>10772</v>
      </c>
    </row>
    <row r="9119" spans="1:8" x14ac:dyDescent="0.3">
      <c r="A9119" s="5"/>
      <c r="B9119" s="399"/>
      <c r="C9119" s="5"/>
      <c r="D9119" s="5"/>
      <c r="E9119" s="43"/>
      <c r="F9119" s="43"/>
      <c r="G9119" s="48">
        <f t="shared" si="229"/>
        <v>4474.6015943642706</v>
      </c>
      <c r="H9119" s="392" t="s">
        <v>10772</v>
      </c>
    </row>
    <row r="9120" spans="1:8" x14ac:dyDescent="0.3">
      <c r="A9120" s="5"/>
      <c r="B9120" s="399"/>
      <c r="C9120" s="5"/>
      <c r="D9120" s="5"/>
      <c r="E9120" s="43"/>
      <c r="F9120" s="43"/>
      <c r="G9120" s="48">
        <f t="shared" si="229"/>
        <v>4474.6015943642706</v>
      </c>
      <c r="H9120" s="392" t="s">
        <v>10772</v>
      </c>
    </row>
    <row r="9121" spans="1:8" x14ac:dyDescent="0.3">
      <c r="A9121" s="5"/>
      <c r="B9121" s="399"/>
      <c r="C9121" s="5"/>
      <c r="D9121" s="5"/>
      <c r="E9121" s="43"/>
      <c r="F9121" s="43"/>
      <c r="G9121" s="48">
        <f t="shared" si="229"/>
        <v>4474.6015943642706</v>
      </c>
      <c r="H9121" s="392" t="s">
        <v>10772</v>
      </c>
    </row>
    <row r="9122" spans="1:8" x14ac:dyDescent="0.3">
      <c r="A9122" s="5"/>
      <c r="B9122" s="399"/>
      <c r="C9122" s="5"/>
      <c r="D9122" s="5"/>
      <c r="E9122" s="43"/>
      <c r="F9122" s="43"/>
      <c r="G9122" s="48">
        <f t="shared" si="229"/>
        <v>4474.6015943642706</v>
      </c>
      <c r="H9122" s="392" t="s">
        <v>10772</v>
      </c>
    </row>
    <row r="9123" spans="1:8" x14ac:dyDescent="0.3">
      <c r="A9123" s="5"/>
      <c r="B9123" s="399"/>
      <c r="C9123" s="5"/>
      <c r="D9123" s="5"/>
      <c r="E9123" s="43"/>
      <c r="F9123" s="43"/>
      <c r="G9123" s="48">
        <f t="shared" si="229"/>
        <v>4474.6015943642706</v>
      </c>
      <c r="H9123" s="392" t="s">
        <v>10772</v>
      </c>
    </row>
    <row r="9124" spans="1:8" x14ac:dyDescent="0.3">
      <c r="A9124" s="5"/>
      <c r="B9124" s="399"/>
      <c r="C9124" s="5"/>
      <c r="D9124" s="5"/>
      <c r="E9124" s="43"/>
      <c r="F9124" s="43"/>
      <c r="G9124" s="48">
        <f t="shared" si="229"/>
        <v>4474.6015943642706</v>
      </c>
      <c r="H9124" s="392" t="s">
        <v>10772</v>
      </c>
    </row>
    <row r="9125" spans="1:8" x14ac:dyDescent="0.3">
      <c r="A9125" s="5"/>
      <c r="B9125" s="399"/>
      <c r="C9125" s="5"/>
      <c r="D9125" s="5"/>
      <c r="E9125" s="43"/>
      <c r="F9125" s="43"/>
      <c r="G9125" s="48">
        <f t="shared" si="229"/>
        <v>4474.6015943642706</v>
      </c>
      <c r="H9125" s="392" t="s">
        <v>10772</v>
      </c>
    </row>
    <row r="9126" spans="1:8" x14ac:dyDescent="0.3">
      <c r="A9126" s="5"/>
      <c r="B9126" s="399"/>
      <c r="C9126" s="5"/>
      <c r="D9126" s="5"/>
      <c r="E9126" s="43"/>
      <c r="F9126" s="43"/>
      <c r="G9126" s="48">
        <f t="shared" si="229"/>
        <v>4474.6015943642706</v>
      </c>
      <c r="H9126" s="392" t="s">
        <v>10772</v>
      </c>
    </row>
    <row r="9127" spans="1:8" x14ac:dyDescent="0.3">
      <c r="A9127" s="5"/>
      <c r="B9127" s="399"/>
      <c r="C9127" s="5"/>
      <c r="D9127" s="5"/>
      <c r="E9127" s="43"/>
      <c r="F9127" s="43"/>
      <c r="G9127" s="48">
        <f t="shared" si="229"/>
        <v>4474.6015943642706</v>
      </c>
      <c r="H9127" s="392" t="s">
        <v>10772</v>
      </c>
    </row>
    <row r="9128" spans="1:8" x14ac:dyDescent="0.3">
      <c r="A9128" s="5"/>
      <c r="B9128" s="399"/>
      <c r="C9128" s="5"/>
      <c r="D9128" s="5"/>
      <c r="E9128" s="43"/>
      <c r="F9128" s="43"/>
      <c r="G9128" s="48">
        <f t="shared" si="229"/>
        <v>4474.6015943642706</v>
      </c>
      <c r="H9128" s="392" t="s">
        <v>10772</v>
      </c>
    </row>
    <row r="9129" spans="1:8" x14ac:dyDescent="0.3">
      <c r="A9129" s="5"/>
      <c r="B9129" s="399"/>
      <c r="C9129" s="5"/>
      <c r="D9129" s="5"/>
      <c r="E9129" s="43"/>
      <c r="F9129" s="43"/>
      <c r="G9129" s="48">
        <f t="shared" si="229"/>
        <v>4474.6015943642706</v>
      </c>
      <c r="H9129" s="392" t="s">
        <v>10772</v>
      </c>
    </row>
    <row r="9130" spans="1:8" x14ac:dyDescent="0.3">
      <c r="A9130" s="5"/>
      <c r="B9130" s="399"/>
      <c r="C9130" s="5"/>
      <c r="D9130" s="5"/>
      <c r="E9130" s="43"/>
      <c r="F9130" s="43"/>
      <c r="G9130" s="48">
        <f t="shared" si="229"/>
        <v>4474.6015943642706</v>
      </c>
      <c r="H9130" s="392" t="s">
        <v>10772</v>
      </c>
    </row>
    <row r="9131" spans="1:8" x14ac:dyDescent="0.3">
      <c r="A9131" s="5"/>
      <c r="B9131" s="399"/>
      <c r="C9131" s="5"/>
      <c r="D9131" s="5"/>
      <c r="E9131" s="43"/>
      <c r="F9131" s="43"/>
      <c r="G9131" s="48">
        <f t="shared" si="229"/>
        <v>4474.6015943642706</v>
      </c>
      <c r="H9131" s="392" t="s">
        <v>10772</v>
      </c>
    </row>
    <row r="9132" spans="1:8" x14ac:dyDescent="0.3">
      <c r="A9132" s="5"/>
      <c r="B9132" s="399"/>
      <c r="C9132" s="5"/>
      <c r="D9132" s="5"/>
      <c r="E9132" s="43"/>
      <c r="F9132" s="43"/>
      <c r="G9132" s="48">
        <f t="shared" si="229"/>
        <v>4474.6015943642706</v>
      </c>
      <c r="H9132" s="392" t="s">
        <v>10772</v>
      </c>
    </row>
    <row r="9133" spans="1:8" x14ac:dyDescent="0.3">
      <c r="A9133" s="5"/>
      <c r="B9133" s="399"/>
      <c r="C9133" s="5"/>
      <c r="D9133" s="5"/>
      <c r="E9133" s="43"/>
      <c r="F9133" s="43"/>
      <c r="G9133" s="48">
        <f t="shared" si="229"/>
        <v>4474.6015943642706</v>
      </c>
      <c r="H9133" s="392" t="s">
        <v>10772</v>
      </c>
    </row>
    <row r="9134" spans="1:8" x14ac:dyDescent="0.3">
      <c r="A9134" s="5"/>
      <c r="B9134" s="399"/>
      <c r="C9134" s="5"/>
      <c r="D9134" s="5"/>
      <c r="E9134" s="43"/>
      <c r="F9134" s="43"/>
      <c r="G9134" s="48">
        <f t="shared" si="229"/>
        <v>4474.6015943642706</v>
      </c>
      <c r="H9134" s="392" t="s">
        <v>10772</v>
      </c>
    </row>
    <row r="9135" spans="1:8" x14ac:dyDescent="0.3">
      <c r="A9135" s="5"/>
      <c r="B9135" s="399"/>
      <c r="C9135" s="5"/>
      <c r="D9135" s="5"/>
      <c r="E9135" s="43"/>
      <c r="F9135" s="43"/>
      <c r="G9135" s="48">
        <f t="shared" si="229"/>
        <v>4474.6015943642706</v>
      </c>
      <c r="H9135" s="392" t="s">
        <v>10772</v>
      </c>
    </row>
    <row r="9136" spans="1:8" x14ac:dyDescent="0.3">
      <c r="A9136" s="5"/>
      <c r="B9136" s="399"/>
      <c r="C9136" s="5"/>
      <c r="D9136" s="5"/>
      <c r="E9136" s="43"/>
      <c r="F9136" s="43"/>
      <c r="G9136" s="48">
        <f t="shared" si="229"/>
        <v>4474.6015943642706</v>
      </c>
      <c r="H9136" s="392" t="s">
        <v>10772</v>
      </c>
    </row>
    <row r="9137" spans="1:8" x14ac:dyDescent="0.3">
      <c r="A9137" s="5"/>
      <c r="B9137" s="399"/>
      <c r="C9137" s="5"/>
      <c r="D9137" s="5"/>
      <c r="E9137" s="43"/>
      <c r="F9137" s="43"/>
      <c r="G9137" s="48">
        <f t="shared" si="229"/>
        <v>4474.6015943642706</v>
      </c>
      <c r="H9137" s="392" t="s">
        <v>10772</v>
      </c>
    </row>
    <row r="9138" spans="1:8" x14ac:dyDescent="0.3">
      <c r="A9138" s="5"/>
      <c r="B9138" s="399"/>
      <c r="C9138" s="5"/>
      <c r="D9138" s="5"/>
      <c r="E9138" s="43"/>
      <c r="F9138" s="43"/>
      <c r="G9138" s="48">
        <f t="shared" si="229"/>
        <v>4474.6015943642706</v>
      </c>
      <c r="H9138" s="392" t="s">
        <v>10772</v>
      </c>
    </row>
    <row r="9139" spans="1:8" x14ac:dyDescent="0.3">
      <c r="A9139" s="5"/>
      <c r="B9139" s="399"/>
      <c r="C9139" s="5"/>
      <c r="D9139" s="5"/>
      <c r="E9139" s="43"/>
      <c r="F9139" s="43"/>
      <c r="G9139" s="48">
        <f t="shared" si="229"/>
        <v>4474.6015943642706</v>
      </c>
      <c r="H9139" s="392" t="s">
        <v>10772</v>
      </c>
    </row>
    <row r="9140" spans="1:8" x14ac:dyDescent="0.3">
      <c r="A9140" s="5"/>
      <c r="B9140" s="399"/>
      <c r="C9140" s="5"/>
      <c r="D9140" s="5"/>
      <c r="E9140" s="43"/>
      <c r="F9140" s="43"/>
      <c r="G9140" s="48">
        <f t="shared" si="229"/>
        <v>4474.6015943642706</v>
      </c>
      <c r="H9140" s="392" t="s">
        <v>10772</v>
      </c>
    </row>
    <row r="9141" spans="1:8" x14ac:dyDescent="0.3">
      <c r="A9141" s="5"/>
      <c r="B9141" s="399"/>
      <c r="C9141" s="5"/>
      <c r="D9141" s="5"/>
      <c r="E9141" s="43"/>
      <c r="F9141" s="43"/>
      <c r="G9141" s="48">
        <f t="shared" si="229"/>
        <v>4474.6015943642706</v>
      </c>
      <c r="H9141" s="392" t="s">
        <v>10772</v>
      </c>
    </row>
    <row r="9142" spans="1:8" x14ac:dyDescent="0.3">
      <c r="A9142" s="5"/>
      <c r="B9142" s="399"/>
      <c r="C9142" s="5"/>
      <c r="D9142" s="5"/>
      <c r="E9142" s="43"/>
      <c r="F9142" s="43"/>
      <c r="G9142" s="48">
        <f t="shared" si="229"/>
        <v>4474.6015943642706</v>
      </c>
      <c r="H9142" s="392" t="s">
        <v>10772</v>
      </c>
    </row>
    <row r="9143" spans="1:8" x14ac:dyDescent="0.3">
      <c r="A9143" s="5"/>
      <c r="B9143" s="399"/>
      <c r="C9143" s="5"/>
      <c r="D9143" s="5"/>
      <c r="E9143" s="43"/>
      <c r="F9143" s="43"/>
      <c r="G9143" s="48">
        <f t="shared" si="229"/>
        <v>4474.6015943642706</v>
      </c>
      <c r="H9143" s="392" t="s">
        <v>10772</v>
      </c>
    </row>
    <row r="9144" spans="1:8" x14ac:dyDescent="0.3">
      <c r="A9144" s="5"/>
      <c r="B9144" s="399"/>
      <c r="C9144" s="5"/>
      <c r="D9144" s="5"/>
      <c r="E9144" s="43"/>
      <c r="F9144" s="43"/>
      <c r="G9144" s="48">
        <f t="shared" si="229"/>
        <v>4474.6015943642706</v>
      </c>
      <c r="H9144" s="392" t="s">
        <v>10772</v>
      </c>
    </row>
    <row r="9145" spans="1:8" x14ac:dyDescent="0.3">
      <c r="A9145" s="5"/>
      <c r="B9145" s="399"/>
      <c r="C9145" s="5"/>
      <c r="D9145" s="5"/>
      <c r="E9145" s="43"/>
      <c r="F9145" s="43"/>
      <c r="G9145" s="48">
        <f t="shared" si="229"/>
        <v>4474.6015943642706</v>
      </c>
      <c r="H9145" s="392" t="s">
        <v>10772</v>
      </c>
    </row>
    <row r="9146" spans="1:8" x14ac:dyDescent="0.3">
      <c r="A9146" s="5"/>
      <c r="B9146" s="399"/>
      <c r="C9146" s="5"/>
      <c r="D9146" s="5"/>
      <c r="E9146" s="43"/>
      <c r="F9146" s="43"/>
      <c r="G9146" s="48">
        <f t="shared" si="229"/>
        <v>4474.6015943642706</v>
      </c>
      <c r="H9146" s="392" t="s">
        <v>10772</v>
      </c>
    </row>
    <row r="9147" spans="1:8" x14ac:dyDescent="0.3">
      <c r="A9147" s="5"/>
      <c r="B9147" s="399"/>
      <c r="C9147" s="5"/>
      <c r="D9147" s="5"/>
      <c r="E9147" s="43"/>
      <c r="F9147" s="43"/>
      <c r="G9147" s="48">
        <f t="shared" si="229"/>
        <v>4474.6015943642706</v>
      </c>
      <c r="H9147" s="392" t="s">
        <v>10772</v>
      </c>
    </row>
    <row r="9148" spans="1:8" x14ac:dyDescent="0.3">
      <c r="A9148" s="5"/>
      <c r="B9148" s="399"/>
      <c r="C9148" s="5"/>
      <c r="D9148" s="5"/>
      <c r="E9148" s="43"/>
      <c r="F9148" s="43"/>
      <c r="G9148" s="48">
        <f t="shared" si="229"/>
        <v>4474.6015943642706</v>
      </c>
      <c r="H9148" s="392" t="s">
        <v>10772</v>
      </c>
    </row>
    <row r="9149" spans="1:8" x14ac:dyDescent="0.3">
      <c r="A9149" s="5"/>
      <c r="B9149" s="399"/>
      <c r="C9149" s="5"/>
      <c r="D9149" s="5"/>
      <c r="E9149" s="43"/>
      <c r="F9149" s="43"/>
      <c r="G9149" s="48">
        <f t="shared" si="229"/>
        <v>4474.6015943642706</v>
      </c>
      <c r="H9149" s="392" t="s">
        <v>10772</v>
      </c>
    </row>
    <row r="9150" spans="1:8" x14ac:dyDescent="0.3">
      <c r="A9150" s="5"/>
      <c r="B9150" s="399"/>
      <c r="C9150" s="5"/>
      <c r="D9150" s="5"/>
      <c r="E9150" s="43"/>
      <c r="F9150" s="43"/>
      <c r="G9150" s="48">
        <f t="shared" si="229"/>
        <v>4474.6015943642706</v>
      </c>
      <c r="H9150" s="392" t="s">
        <v>10772</v>
      </c>
    </row>
    <row r="9151" spans="1:8" x14ac:dyDescent="0.3">
      <c r="A9151" s="5"/>
      <c r="B9151" s="399"/>
      <c r="C9151" s="5"/>
      <c r="D9151" s="5"/>
      <c r="E9151" s="43"/>
      <c r="F9151" s="43"/>
      <c r="G9151" s="48">
        <f t="shared" si="229"/>
        <v>4474.6015943642706</v>
      </c>
      <c r="H9151" s="392" t="s">
        <v>10772</v>
      </c>
    </row>
    <row r="9152" spans="1:8" x14ac:dyDescent="0.3">
      <c r="A9152" s="5"/>
      <c r="B9152" s="399"/>
      <c r="C9152" s="5"/>
      <c r="D9152" s="5"/>
      <c r="E9152" s="43"/>
      <c r="F9152" s="43"/>
      <c r="G9152" s="48">
        <f t="shared" si="229"/>
        <v>4474.6015943642706</v>
      </c>
      <c r="H9152" s="392" t="s">
        <v>10772</v>
      </c>
    </row>
    <row r="9153" spans="1:8" x14ac:dyDescent="0.3">
      <c r="A9153" s="5"/>
      <c r="B9153" s="399"/>
      <c r="C9153" s="5"/>
      <c r="D9153" s="5"/>
      <c r="E9153" s="43"/>
      <c r="F9153" s="43"/>
      <c r="G9153" s="48">
        <f t="shared" si="229"/>
        <v>4474.6015943642706</v>
      </c>
      <c r="H9153" s="392" t="s">
        <v>10772</v>
      </c>
    </row>
    <row r="9154" spans="1:8" x14ac:dyDescent="0.3">
      <c r="A9154" s="5"/>
      <c r="B9154" s="399"/>
      <c r="C9154" s="5"/>
      <c r="D9154" s="5"/>
      <c r="E9154" s="43"/>
      <c r="F9154" s="43"/>
      <c r="G9154" s="48">
        <f t="shared" si="229"/>
        <v>4474.6015943642706</v>
      </c>
      <c r="H9154" s="392" t="s">
        <v>10772</v>
      </c>
    </row>
    <row r="9155" spans="1:8" x14ac:dyDescent="0.3">
      <c r="A9155" s="5"/>
      <c r="B9155" s="399"/>
      <c r="C9155" s="5"/>
      <c r="D9155" s="5"/>
      <c r="E9155" s="43"/>
      <c r="F9155" s="43"/>
      <c r="G9155" s="48">
        <f t="shared" si="229"/>
        <v>4474.6015943642706</v>
      </c>
      <c r="H9155" s="392" t="s">
        <v>10772</v>
      </c>
    </row>
    <row r="9156" spans="1:8" x14ac:dyDescent="0.3">
      <c r="A9156" s="5"/>
      <c r="B9156" s="399"/>
      <c r="C9156" s="5"/>
      <c r="D9156" s="5"/>
      <c r="E9156" s="43"/>
      <c r="F9156" s="43"/>
      <c r="G9156" s="48">
        <f t="shared" si="229"/>
        <v>4474.6015943642706</v>
      </c>
      <c r="H9156" s="392" t="s">
        <v>10772</v>
      </c>
    </row>
    <row r="9157" spans="1:8" x14ac:dyDescent="0.3">
      <c r="A9157" s="5"/>
      <c r="B9157" s="399"/>
      <c r="C9157" s="5"/>
      <c r="D9157" s="5"/>
      <c r="E9157" s="43"/>
      <c r="F9157" s="43"/>
      <c r="G9157" s="48">
        <f t="shared" si="229"/>
        <v>4474.6015943642706</v>
      </c>
      <c r="H9157" s="392" t="s">
        <v>10772</v>
      </c>
    </row>
    <row r="9158" spans="1:8" x14ac:dyDescent="0.3">
      <c r="A9158" s="5"/>
      <c r="B9158" s="399"/>
      <c r="C9158" s="5"/>
      <c r="D9158" s="5"/>
      <c r="E9158" s="43"/>
      <c r="F9158" s="43"/>
      <c r="G9158" s="48">
        <f t="shared" si="229"/>
        <v>4474.6015943642706</v>
      </c>
      <c r="H9158" s="392" t="s">
        <v>10772</v>
      </c>
    </row>
    <row r="9159" spans="1:8" x14ac:dyDescent="0.3">
      <c r="A9159" s="5"/>
      <c r="B9159" s="399"/>
      <c r="C9159" s="5"/>
      <c r="D9159" s="5"/>
      <c r="E9159" s="43"/>
      <c r="F9159" s="43"/>
      <c r="G9159" s="48">
        <f t="shared" si="229"/>
        <v>4474.6015943642706</v>
      </c>
      <c r="H9159" s="392" t="s">
        <v>10772</v>
      </c>
    </row>
    <row r="9160" spans="1:8" x14ac:dyDescent="0.3">
      <c r="A9160" s="5"/>
      <c r="B9160" s="399"/>
      <c r="C9160" s="5"/>
      <c r="D9160" s="5"/>
      <c r="E9160" s="43"/>
      <c r="F9160" s="43"/>
      <c r="G9160" s="48">
        <f t="shared" si="229"/>
        <v>4474.6015943642706</v>
      </c>
      <c r="H9160" s="392" t="s">
        <v>10772</v>
      </c>
    </row>
    <row r="9161" spans="1:8" x14ac:dyDescent="0.3">
      <c r="A9161" s="5"/>
      <c r="B9161" s="399"/>
      <c r="C9161" s="5"/>
      <c r="D9161" s="5"/>
      <c r="E9161" s="43"/>
      <c r="F9161" s="43"/>
      <c r="G9161" s="48">
        <f t="shared" si="229"/>
        <v>4474.6015943642706</v>
      </c>
      <c r="H9161" s="392" t="s">
        <v>10772</v>
      </c>
    </row>
    <row r="9162" spans="1:8" x14ac:dyDescent="0.3">
      <c r="A9162" s="5"/>
      <c r="B9162" s="399"/>
      <c r="C9162" s="5"/>
      <c r="D9162" s="5"/>
      <c r="E9162" s="43"/>
      <c r="F9162" s="43"/>
      <c r="G9162" s="48">
        <f t="shared" si="229"/>
        <v>4474.6015943642706</v>
      </c>
      <c r="H9162" s="392" t="s">
        <v>10772</v>
      </c>
    </row>
    <row r="9163" spans="1:8" x14ac:dyDescent="0.3">
      <c r="A9163" s="5"/>
      <c r="B9163" s="399"/>
      <c r="C9163" s="5"/>
      <c r="D9163" s="5"/>
      <c r="E9163" s="43"/>
      <c r="F9163" s="43"/>
      <c r="G9163" s="48">
        <f t="shared" si="229"/>
        <v>4474.6015943642706</v>
      </c>
      <c r="H9163" s="392" t="s">
        <v>10772</v>
      </c>
    </row>
    <row r="9164" spans="1:8" x14ac:dyDescent="0.3">
      <c r="A9164" s="5"/>
      <c r="B9164" s="399"/>
      <c r="C9164" s="5"/>
      <c r="D9164" s="5"/>
      <c r="E9164" s="43"/>
      <c r="F9164" s="43"/>
      <c r="G9164" s="48">
        <f t="shared" si="229"/>
        <v>4474.6015943642706</v>
      </c>
      <c r="H9164" s="392" t="s">
        <v>10772</v>
      </c>
    </row>
    <row r="9165" spans="1:8" x14ac:dyDescent="0.3">
      <c r="A9165" s="5"/>
      <c r="B9165" s="399"/>
      <c r="C9165" s="5"/>
      <c r="D9165" s="5"/>
      <c r="E9165" s="43"/>
      <c r="F9165" s="43"/>
      <c r="G9165" s="48">
        <f t="shared" si="229"/>
        <v>4474.6015943642706</v>
      </c>
      <c r="H9165" s="392" t="s">
        <v>10772</v>
      </c>
    </row>
    <row r="9166" spans="1:8" x14ac:dyDescent="0.3">
      <c r="A9166" s="5"/>
      <c r="B9166" s="399"/>
      <c r="C9166" s="5"/>
      <c r="D9166" s="5"/>
      <c r="E9166" s="43"/>
      <c r="F9166" s="43"/>
      <c r="G9166" s="48">
        <f t="shared" si="229"/>
        <v>4474.6015943642706</v>
      </c>
      <c r="H9166" s="392" t="s">
        <v>10772</v>
      </c>
    </row>
    <row r="9167" spans="1:8" x14ac:dyDescent="0.3">
      <c r="A9167" s="5"/>
      <c r="B9167" s="399"/>
      <c r="C9167" s="5"/>
      <c r="D9167" s="5"/>
      <c r="E9167" s="43"/>
      <c r="F9167" s="43"/>
      <c r="G9167" s="48">
        <f t="shared" si="229"/>
        <v>4474.6015943642706</v>
      </c>
      <c r="H9167" s="392" t="s">
        <v>10772</v>
      </c>
    </row>
    <row r="9168" spans="1:8" x14ac:dyDescent="0.3">
      <c r="A9168" s="5"/>
      <c r="B9168" s="399"/>
      <c r="C9168" s="5"/>
      <c r="D9168" s="5"/>
      <c r="E9168" s="43"/>
      <c r="F9168" s="43"/>
      <c r="G9168" s="48">
        <f t="shared" si="229"/>
        <v>4474.6015943642706</v>
      </c>
      <c r="H9168" s="392" t="s">
        <v>10772</v>
      </c>
    </row>
    <row r="9169" spans="1:8" x14ac:dyDescent="0.3">
      <c r="A9169" s="5"/>
      <c r="B9169" s="399"/>
      <c r="C9169" s="5"/>
      <c r="D9169" s="5"/>
      <c r="E9169" s="43"/>
      <c r="F9169" s="43"/>
      <c r="G9169" s="48">
        <f t="shared" si="229"/>
        <v>4474.6015943642706</v>
      </c>
      <c r="H9169" s="392" t="s">
        <v>10772</v>
      </c>
    </row>
    <row r="9170" spans="1:8" x14ac:dyDescent="0.3">
      <c r="A9170" s="5"/>
      <c r="B9170" s="399"/>
      <c r="C9170" s="5"/>
      <c r="D9170" s="5"/>
      <c r="E9170" s="43"/>
      <c r="F9170" s="43"/>
      <c r="G9170" s="48">
        <f t="shared" si="229"/>
        <v>4474.6015943642706</v>
      </c>
      <c r="H9170" s="392" t="s">
        <v>10772</v>
      </c>
    </row>
    <row r="9171" spans="1:8" x14ac:dyDescent="0.3">
      <c r="A9171" s="5"/>
      <c r="B9171" s="399"/>
      <c r="C9171" s="5"/>
      <c r="D9171" s="5"/>
      <c r="E9171" s="43"/>
      <c r="F9171" s="43"/>
      <c r="G9171" s="48">
        <f t="shared" si="229"/>
        <v>4474.6015943642706</v>
      </c>
      <c r="H9171" s="392" t="s">
        <v>10772</v>
      </c>
    </row>
    <row r="9172" spans="1:8" x14ac:dyDescent="0.3">
      <c r="A9172" s="5"/>
      <c r="B9172" s="399"/>
      <c r="C9172" s="5"/>
      <c r="D9172" s="5"/>
      <c r="E9172" s="43"/>
      <c r="F9172" s="43"/>
      <c r="G9172" s="48">
        <f t="shared" si="229"/>
        <v>4474.6015943642706</v>
      </c>
      <c r="H9172" s="392" t="s">
        <v>10772</v>
      </c>
    </row>
    <row r="9173" spans="1:8" x14ac:dyDescent="0.3">
      <c r="A9173" s="5"/>
      <c r="B9173" s="399"/>
      <c r="C9173" s="5"/>
      <c r="D9173" s="5"/>
      <c r="E9173" s="43"/>
      <c r="F9173" s="43"/>
      <c r="G9173" s="48">
        <f t="shared" si="229"/>
        <v>4474.6015943642706</v>
      </c>
      <c r="H9173" s="392" t="s">
        <v>10772</v>
      </c>
    </row>
    <row r="9174" spans="1:8" x14ac:dyDescent="0.3">
      <c r="A9174" s="5"/>
      <c r="B9174" s="399"/>
      <c r="C9174" s="5"/>
      <c r="D9174" s="5"/>
      <c r="E9174" s="43"/>
      <c r="F9174" s="43"/>
      <c r="G9174" s="48">
        <f t="shared" si="229"/>
        <v>4474.6015943642706</v>
      </c>
      <c r="H9174" s="392" t="s">
        <v>10772</v>
      </c>
    </row>
    <row r="9175" spans="1:8" x14ac:dyDescent="0.3">
      <c r="A9175" s="5"/>
      <c r="B9175" s="399"/>
      <c r="C9175" s="5"/>
      <c r="D9175" s="5"/>
      <c r="E9175" s="43"/>
      <c r="F9175" s="43"/>
      <c r="G9175" s="48">
        <f t="shared" si="229"/>
        <v>4474.6015943642706</v>
      </c>
      <c r="H9175" s="392" t="s">
        <v>10772</v>
      </c>
    </row>
    <row r="9176" spans="1:8" x14ac:dyDescent="0.3">
      <c r="A9176" s="5"/>
      <c r="B9176" s="399"/>
      <c r="C9176" s="5"/>
      <c r="D9176" s="5"/>
      <c r="E9176" s="43"/>
      <c r="F9176" s="43"/>
      <c r="G9176" s="48">
        <f t="shared" si="229"/>
        <v>4474.6015943642706</v>
      </c>
      <c r="H9176" s="392" t="s">
        <v>10772</v>
      </c>
    </row>
    <row r="9177" spans="1:8" x14ac:dyDescent="0.3">
      <c r="A9177" s="5"/>
      <c r="B9177" s="399"/>
      <c r="C9177" s="5"/>
      <c r="D9177" s="5"/>
      <c r="E9177" s="43"/>
      <c r="F9177" s="43"/>
      <c r="G9177" s="48">
        <f t="shared" si="229"/>
        <v>4474.6015943642706</v>
      </c>
      <c r="H9177" s="392" t="s">
        <v>10772</v>
      </c>
    </row>
    <row r="9178" spans="1:8" x14ac:dyDescent="0.3">
      <c r="A9178" s="5"/>
      <c r="B9178" s="399"/>
      <c r="C9178" s="5"/>
      <c r="D9178" s="5"/>
      <c r="E9178" s="43"/>
      <c r="F9178" s="43"/>
      <c r="G9178" s="48">
        <f t="shared" ref="G9178:G9241" si="230">G9177+F9178-E9179</f>
        <v>4474.6015943642706</v>
      </c>
      <c r="H9178" s="392" t="s">
        <v>10772</v>
      </c>
    </row>
    <row r="9179" spans="1:8" x14ac:dyDescent="0.3">
      <c r="A9179" s="5"/>
      <c r="B9179" s="399"/>
      <c r="C9179" s="5"/>
      <c r="D9179" s="5"/>
      <c r="E9179" s="43"/>
      <c r="F9179" s="43"/>
      <c r="G9179" s="48">
        <f t="shared" si="230"/>
        <v>4474.6015943642706</v>
      </c>
      <c r="H9179" s="392" t="s">
        <v>10772</v>
      </c>
    </row>
    <row r="9180" spans="1:8" x14ac:dyDescent="0.3">
      <c r="A9180" s="5"/>
      <c r="B9180" s="399"/>
      <c r="C9180" s="5"/>
      <c r="D9180" s="5"/>
      <c r="E9180" s="43"/>
      <c r="F9180" s="43"/>
      <c r="G9180" s="48">
        <f t="shared" si="230"/>
        <v>4474.6015943642706</v>
      </c>
      <c r="H9180" s="392" t="s">
        <v>10772</v>
      </c>
    </row>
    <row r="9181" spans="1:8" x14ac:dyDescent="0.3">
      <c r="A9181" s="5"/>
      <c r="B9181" s="399"/>
      <c r="C9181" s="5"/>
      <c r="D9181" s="5"/>
      <c r="E9181" s="43"/>
      <c r="F9181" s="43"/>
      <c r="G9181" s="48">
        <f t="shared" si="230"/>
        <v>4474.6015943642706</v>
      </c>
      <c r="H9181" s="392" t="s">
        <v>10772</v>
      </c>
    </row>
    <row r="9182" spans="1:8" x14ac:dyDescent="0.3">
      <c r="A9182" s="5"/>
      <c r="B9182" s="399"/>
      <c r="C9182" s="5"/>
      <c r="D9182" s="5"/>
      <c r="E9182" s="43"/>
      <c r="F9182" s="43"/>
      <c r="G9182" s="48">
        <f t="shared" si="230"/>
        <v>4474.6015943642706</v>
      </c>
      <c r="H9182" s="392" t="s">
        <v>10772</v>
      </c>
    </row>
    <row r="9183" spans="1:8" x14ac:dyDescent="0.3">
      <c r="A9183" s="5"/>
      <c r="B9183" s="399"/>
      <c r="C9183" s="5"/>
      <c r="D9183" s="5"/>
      <c r="E9183" s="43"/>
      <c r="F9183" s="43"/>
      <c r="G9183" s="48">
        <f t="shared" si="230"/>
        <v>4474.6015943642706</v>
      </c>
      <c r="H9183" s="392" t="s">
        <v>10772</v>
      </c>
    </row>
    <row r="9184" spans="1:8" x14ac:dyDescent="0.3">
      <c r="A9184" s="5"/>
      <c r="B9184" s="399"/>
      <c r="C9184" s="5"/>
      <c r="D9184" s="5"/>
      <c r="E9184" s="43"/>
      <c r="F9184" s="43"/>
      <c r="G9184" s="48">
        <f t="shared" si="230"/>
        <v>4474.6015943642706</v>
      </c>
      <c r="H9184" s="392" t="s">
        <v>10772</v>
      </c>
    </row>
    <row r="9185" spans="1:8" x14ac:dyDescent="0.3">
      <c r="A9185" s="5"/>
      <c r="B9185" s="399"/>
      <c r="C9185" s="5"/>
      <c r="D9185" s="5"/>
      <c r="E9185" s="43"/>
      <c r="F9185" s="43"/>
      <c r="G9185" s="48">
        <f t="shared" si="230"/>
        <v>4474.6015943642706</v>
      </c>
      <c r="H9185" s="392" t="s">
        <v>10772</v>
      </c>
    </row>
    <row r="9186" spans="1:8" x14ac:dyDescent="0.3">
      <c r="A9186" s="5"/>
      <c r="B9186" s="399"/>
      <c r="C9186" s="5"/>
      <c r="D9186" s="5"/>
      <c r="E9186" s="43"/>
      <c r="F9186" s="43"/>
      <c r="G9186" s="48">
        <f t="shared" si="230"/>
        <v>4474.6015943642706</v>
      </c>
      <c r="H9186" s="392" t="s">
        <v>10772</v>
      </c>
    </row>
    <row r="9187" spans="1:8" x14ac:dyDescent="0.3">
      <c r="A9187" s="5"/>
      <c r="B9187" s="399"/>
      <c r="C9187" s="5"/>
      <c r="D9187" s="5"/>
      <c r="E9187" s="43"/>
      <c r="F9187" s="43"/>
      <c r="G9187" s="48">
        <f t="shared" si="230"/>
        <v>4474.6015943642706</v>
      </c>
      <c r="H9187" s="392" t="s">
        <v>10772</v>
      </c>
    </row>
    <row r="9188" spans="1:8" x14ac:dyDescent="0.3">
      <c r="A9188" s="5"/>
      <c r="B9188" s="399"/>
      <c r="C9188" s="5"/>
      <c r="D9188" s="5"/>
      <c r="E9188" s="43"/>
      <c r="F9188" s="43"/>
      <c r="G9188" s="48">
        <f t="shared" si="230"/>
        <v>4474.6015943642706</v>
      </c>
      <c r="H9188" s="392" t="s">
        <v>10772</v>
      </c>
    </row>
    <row r="9189" spans="1:8" x14ac:dyDescent="0.3">
      <c r="A9189" s="5"/>
      <c r="B9189" s="399"/>
      <c r="C9189" s="5"/>
      <c r="D9189" s="5"/>
      <c r="E9189" s="43"/>
      <c r="F9189" s="43"/>
      <c r="G9189" s="48">
        <f t="shared" si="230"/>
        <v>4474.6015943642706</v>
      </c>
      <c r="H9189" s="392" t="s">
        <v>10772</v>
      </c>
    </row>
    <row r="9190" spans="1:8" x14ac:dyDescent="0.3">
      <c r="A9190" s="5"/>
      <c r="B9190" s="399"/>
      <c r="C9190" s="5"/>
      <c r="D9190" s="5"/>
      <c r="E9190" s="43"/>
      <c r="F9190" s="43"/>
      <c r="G9190" s="48">
        <f t="shared" si="230"/>
        <v>4474.6015943642706</v>
      </c>
      <c r="H9190" s="392" t="s">
        <v>10772</v>
      </c>
    </row>
    <row r="9191" spans="1:8" x14ac:dyDescent="0.3">
      <c r="A9191" s="5"/>
      <c r="B9191" s="399"/>
      <c r="C9191" s="5"/>
      <c r="D9191" s="5"/>
      <c r="E9191" s="43"/>
      <c r="F9191" s="43"/>
      <c r="G9191" s="48">
        <f t="shared" si="230"/>
        <v>4474.6015943642706</v>
      </c>
      <c r="H9191" s="392" t="s">
        <v>10772</v>
      </c>
    </row>
    <row r="9192" spans="1:8" x14ac:dyDescent="0.3">
      <c r="A9192" s="5"/>
      <c r="B9192" s="399"/>
      <c r="C9192" s="5"/>
      <c r="D9192" s="5"/>
      <c r="E9192" s="43"/>
      <c r="F9192" s="43"/>
      <c r="G9192" s="48">
        <f t="shared" si="230"/>
        <v>4474.6015943642706</v>
      </c>
      <c r="H9192" s="392" t="s">
        <v>10772</v>
      </c>
    </row>
    <row r="9193" spans="1:8" x14ac:dyDescent="0.3">
      <c r="A9193" s="5"/>
      <c r="B9193" s="399"/>
      <c r="C9193" s="5"/>
      <c r="D9193" s="5"/>
      <c r="E9193" s="43"/>
      <c r="F9193" s="43"/>
      <c r="G9193" s="48">
        <f t="shared" si="230"/>
        <v>4474.6015943642706</v>
      </c>
      <c r="H9193" s="392" t="s">
        <v>10772</v>
      </c>
    </row>
    <row r="9194" spans="1:8" x14ac:dyDescent="0.3">
      <c r="A9194" s="5"/>
      <c r="B9194" s="399"/>
      <c r="C9194" s="5"/>
      <c r="D9194" s="5"/>
      <c r="E9194" s="43"/>
      <c r="F9194" s="43"/>
      <c r="G9194" s="48">
        <f t="shared" si="230"/>
        <v>4474.6015943642706</v>
      </c>
      <c r="H9194" s="392" t="s">
        <v>10772</v>
      </c>
    </row>
    <row r="9195" spans="1:8" x14ac:dyDescent="0.3">
      <c r="A9195" s="5"/>
      <c r="B9195" s="399"/>
      <c r="C9195" s="5"/>
      <c r="D9195" s="5"/>
      <c r="E9195" s="43"/>
      <c r="F9195" s="43"/>
      <c r="G9195" s="48">
        <f t="shared" si="230"/>
        <v>4474.6015943642706</v>
      </c>
      <c r="H9195" s="392" t="s">
        <v>10772</v>
      </c>
    </row>
    <row r="9196" spans="1:8" x14ac:dyDescent="0.3">
      <c r="A9196" s="5"/>
      <c r="B9196" s="399"/>
      <c r="C9196" s="5"/>
      <c r="D9196" s="5"/>
      <c r="E9196" s="43"/>
      <c r="F9196" s="43"/>
      <c r="G9196" s="48">
        <f t="shared" si="230"/>
        <v>4474.6015943642706</v>
      </c>
      <c r="H9196" s="392" t="s">
        <v>10772</v>
      </c>
    </row>
    <row r="9197" spans="1:8" x14ac:dyDescent="0.3">
      <c r="A9197" s="5"/>
      <c r="B9197" s="399"/>
      <c r="C9197" s="5"/>
      <c r="D9197" s="5"/>
      <c r="E9197" s="43"/>
      <c r="F9197" s="43"/>
      <c r="G9197" s="48">
        <f t="shared" si="230"/>
        <v>4474.6015943642706</v>
      </c>
      <c r="H9197" s="392" t="s">
        <v>10772</v>
      </c>
    </row>
    <row r="9198" spans="1:8" x14ac:dyDescent="0.3">
      <c r="A9198" s="5"/>
      <c r="B9198" s="399"/>
      <c r="C9198" s="5"/>
      <c r="D9198" s="5"/>
      <c r="E9198" s="43"/>
      <c r="F9198" s="43"/>
      <c r="G9198" s="48">
        <f t="shared" si="230"/>
        <v>4474.6015943642706</v>
      </c>
      <c r="H9198" s="392" t="s">
        <v>10772</v>
      </c>
    </row>
    <row r="9199" spans="1:8" x14ac:dyDescent="0.3">
      <c r="A9199" s="5"/>
      <c r="B9199" s="399"/>
      <c r="C9199" s="5"/>
      <c r="D9199" s="5"/>
      <c r="E9199" s="43"/>
      <c r="F9199" s="43"/>
      <c r="G9199" s="48">
        <f t="shared" si="230"/>
        <v>4474.6015943642706</v>
      </c>
      <c r="H9199" s="392" t="s">
        <v>10772</v>
      </c>
    </row>
    <row r="9200" spans="1:8" x14ac:dyDescent="0.3">
      <c r="A9200" s="5"/>
      <c r="B9200" s="399"/>
      <c r="C9200" s="5"/>
      <c r="D9200" s="5"/>
      <c r="E9200" s="43"/>
      <c r="F9200" s="43"/>
      <c r="G9200" s="48">
        <f t="shared" si="230"/>
        <v>4474.6015943642706</v>
      </c>
      <c r="H9200" s="392" t="s">
        <v>10772</v>
      </c>
    </row>
    <row r="9201" spans="1:8" x14ac:dyDescent="0.3">
      <c r="A9201" s="5"/>
      <c r="B9201" s="399"/>
      <c r="C9201" s="5"/>
      <c r="D9201" s="5"/>
      <c r="E9201" s="43"/>
      <c r="F9201" s="43"/>
      <c r="G9201" s="48">
        <f t="shared" si="230"/>
        <v>4474.6015943642706</v>
      </c>
      <c r="H9201" s="392" t="s">
        <v>10772</v>
      </c>
    </row>
    <row r="9202" spans="1:8" x14ac:dyDescent="0.3">
      <c r="A9202" s="5"/>
      <c r="B9202" s="399"/>
      <c r="C9202" s="5"/>
      <c r="D9202" s="5"/>
      <c r="E9202" s="43"/>
      <c r="F9202" s="43"/>
      <c r="G9202" s="48">
        <f t="shared" si="230"/>
        <v>4474.6015943642706</v>
      </c>
      <c r="H9202" s="392" t="s">
        <v>10772</v>
      </c>
    </row>
    <row r="9203" spans="1:8" x14ac:dyDescent="0.3">
      <c r="A9203" s="5"/>
      <c r="B9203" s="399"/>
      <c r="C9203" s="5"/>
      <c r="D9203" s="5"/>
      <c r="E9203" s="43"/>
      <c r="F9203" s="43"/>
      <c r="G9203" s="48">
        <f t="shared" si="230"/>
        <v>4474.6015943642706</v>
      </c>
      <c r="H9203" s="392" t="s">
        <v>10772</v>
      </c>
    </row>
    <row r="9204" spans="1:8" x14ac:dyDescent="0.3">
      <c r="A9204" s="5"/>
      <c r="B9204" s="399"/>
      <c r="C9204" s="5"/>
      <c r="D9204" s="5"/>
      <c r="E9204" s="43"/>
      <c r="F9204" s="43"/>
      <c r="G9204" s="48">
        <f t="shared" si="230"/>
        <v>4474.6015943642706</v>
      </c>
      <c r="H9204" s="392" t="s">
        <v>10772</v>
      </c>
    </row>
    <row r="9205" spans="1:8" x14ac:dyDescent="0.3">
      <c r="A9205" s="5"/>
      <c r="B9205" s="399"/>
      <c r="C9205" s="5"/>
      <c r="D9205" s="5"/>
      <c r="E9205" s="43"/>
      <c r="F9205" s="43"/>
      <c r="G9205" s="48">
        <f t="shared" si="230"/>
        <v>4474.6015943642706</v>
      </c>
      <c r="H9205" s="392" t="s">
        <v>10772</v>
      </c>
    </row>
    <row r="9206" spans="1:8" x14ac:dyDescent="0.3">
      <c r="A9206" s="5"/>
      <c r="B9206" s="399"/>
      <c r="C9206" s="5"/>
      <c r="D9206" s="5"/>
      <c r="E9206" s="43"/>
      <c r="F9206" s="43"/>
      <c r="G9206" s="48">
        <f t="shared" si="230"/>
        <v>4474.6015943642706</v>
      </c>
      <c r="H9206" s="392" t="s">
        <v>10772</v>
      </c>
    </row>
    <row r="9207" spans="1:8" x14ac:dyDescent="0.3">
      <c r="A9207" s="5"/>
      <c r="B9207" s="399"/>
      <c r="C9207" s="5"/>
      <c r="D9207" s="5"/>
      <c r="E9207" s="43"/>
      <c r="F9207" s="43"/>
      <c r="G9207" s="48">
        <f t="shared" si="230"/>
        <v>4474.6015943642706</v>
      </c>
      <c r="H9207" s="392" t="s">
        <v>10772</v>
      </c>
    </row>
    <row r="9208" spans="1:8" x14ac:dyDescent="0.3">
      <c r="A9208" s="5"/>
      <c r="B9208" s="399"/>
      <c r="C9208" s="5"/>
      <c r="D9208" s="5"/>
      <c r="E9208" s="43"/>
      <c r="F9208" s="43"/>
      <c r="G9208" s="48">
        <f t="shared" si="230"/>
        <v>4474.6015943642706</v>
      </c>
      <c r="H9208" s="392" t="s">
        <v>10772</v>
      </c>
    </row>
    <row r="9209" spans="1:8" x14ac:dyDescent="0.3">
      <c r="A9209" s="5"/>
      <c r="B9209" s="399"/>
      <c r="C9209" s="5"/>
      <c r="D9209" s="5"/>
      <c r="E9209" s="43"/>
      <c r="F9209" s="43"/>
      <c r="G9209" s="48">
        <f t="shared" si="230"/>
        <v>4474.6015943642706</v>
      </c>
      <c r="H9209" s="392" t="s">
        <v>10772</v>
      </c>
    </row>
    <row r="9210" spans="1:8" x14ac:dyDescent="0.3">
      <c r="A9210" s="5"/>
      <c r="B9210" s="399"/>
      <c r="C9210" s="5"/>
      <c r="D9210" s="5"/>
      <c r="E9210" s="43"/>
      <c r="F9210" s="43"/>
      <c r="G9210" s="48">
        <f t="shared" si="230"/>
        <v>4474.6015943642706</v>
      </c>
      <c r="H9210" s="392" t="s">
        <v>10772</v>
      </c>
    </row>
    <row r="9211" spans="1:8" x14ac:dyDescent="0.3">
      <c r="A9211" s="5"/>
      <c r="B9211" s="399"/>
      <c r="C9211" s="5"/>
      <c r="D9211" s="5"/>
      <c r="E9211" s="43"/>
      <c r="F9211" s="43"/>
      <c r="G9211" s="48">
        <f t="shared" si="230"/>
        <v>4474.6015943642706</v>
      </c>
      <c r="H9211" s="392" t="s">
        <v>10772</v>
      </c>
    </row>
    <row r="9212" spans="1:8" x14ac:dyDescent="0.3">
      <c r="A9212" s="5"/>
      <c r="B9212" s="399"/>
      <c r="C9212" s="5"/>
      <c r="D9212" s="5"/>
      <c r="E9212" s="43"/>
      <c r="F9212" s="43"/>
      <c r="G9212" s="48">
        <f t="shared" si="230"/>
        <v>4474.6015943642706</v>
      </c>
      <c r="H9212" s="392" t="s">
        <v>10772</v>
      </c>
    </row>
    <row r="9213" spans="1:8" x14ac:dyDescent="0.3">
      <c r="A9213" s="5"/>
      <c r="B9213" s="399"/>
      <c r="C9213" s="5"/>
      <c r="D9213" s="5"/>
      <c r="E9213" s="43"/>
      <c r="F9213" s="43"/>
      <c r="G9213" s="48">
        <f t="shared" si="230"/>
        <v>4474.6015943642706</v>
      </c>
      <c r="H9213" s="392" t="s">
        <v>10772</v>
      </c>
    </row>
    <row r="9214" spans="1:8" x14ac:dyDescent="0.3">
      <c r="A9214" s="5"/>
      <c r="B9214" s="399"/>
      <c r="C9214" s="5"/>
      <c r="D9214" s="5"/>
      <c r="E9214" s="43"/>
      <c r="F9214" s="43"/>
      <c r="G9214" s="48">
        <f t="shared" si="230"/>
        <v>4474.6015943642706</v>
      </c>
      <c r="H9214" s="392" t="s">
        <v>10772</v>
      </c>
    </row>
    <row r="9215" spans="1:8" x14ac:dyDescent="0.3">
      <c r="A9215" s="5"/>
      <c r="B9215" s="399"/>
      <c r="C9215" s="5"/>
      <c r="D9215" s="5"/>
      <c r="E9215" s="43"/>
      <c r="F9215" s="43"/>
      <c r="G9215" s="48">
        <f t="shared" si="230"/>
        <v>4474.6015943642706</v>
      </c>
      <c r="H9215" s="392" t="s">
        <v>10772</v>
      </c>
    </row>
    <row r="9216" spans="1:8" x14ac:dyDescent="0.3">
      <c r="A9216" s="5"/>
      <c r="B9216" s="399"/>
      <c r="C9216" s="5"/>
      <c r="D9216" s="5"/>
      <c r="E9216" s="43"/>
      <c r="F9216" s="43"/>
      <c r="G9216" s="48">
        <f t="shared" si="230"/>
        <v>4474.6015943642706</v>
      </c>
      <c r="H9216" s="392" t="s">
        <v>10772</v>
      </c>
    </row>
    <row r="9217" spans="1:8" x14ac:dyDescent="0.3">
      <c r="A9217" s="5"/>
      <c r="B9217" s="399"/>
      <c r="C9217" s="5"/>
      <c r="D9217" s="5"/>
      <c r="E9217" s="43"/>
      <c r="F9217" s="43"/>
      <c r="G9217" s="48">
        <f t="shared" si="230"/>
        <v>4474.6015943642706</v>
      </c>
      <c r="H9217" s="392" t="s">
        <v>10772</v>
      </c>
    </row>
    <row r="9218" spans="1:8" x14ac:dyDescent="0.3">
      <c r="A9218" s="5"/>
      <c r="B9218" s="399"/>
      <c r="C9218" s="5"/>
      <c r="D9218" s="5"/>
      <c r="E9218" s="43"/>
      <c r="F9218" s="43"/>
      <c r="G9218" s="48">
        <f t="shared" si="230"/>
        <v>4474.6015943642706</v>
      </c>
      <c r="H9218" s="392" t="s">
        <v>10772</v>
      </c>
    </row>
    <row r="9219" spans="1:8" x14ac:dyDescent="0.3">
      <c r="A9219" s="5"/>
      <c r="B9219" s="399"/>
      <c r="C9219" s="5"/>
      <c r="D9219" s="5"/>
      <c r="E9219" s="43"/>
      <c r="F9219" s="43"/>
      <c r="G9219" s="48">
        <f t="shared" si="230"/>
        <v>4474.6015943642706</v>
      </c>
      <c r="H9219" s="392" t="s">
        <v>10772</v>
      </c>
    </row>
    <row r="9220" spans="1:8" x14ac:dyDescent="0.3">
      <c r="A9220" s="5"/>
      <c r="B9220" s="399"/>
      <c r="C9220" s="5"/>
      <c r="D9220" s="5"/>
      <c r="E9220" s="43"/>
      <c r="F9220" s="43"/>
      <c r="G9220" s="48">
        <f t="shared" si="230"/>
        <v>4474.6015943642706</v>
      </c>
      <c r="H9220" s="392" t="s">
        <v>10772</v>
      </c>
    </row>
    <row r="9221" spans="1:8" x14ac:dyDescent="0.3">
      <c r="A9221" s="5"/>
      <c r="B9221" s="399"/>
      <c r="C9221" s="5"/>
      <c r="D9221" s="5"/>
      <c r="E9221" s="43"/>
      <c r="F9221" s="43"/>
      <c r="G9221" s="48">
        <f t="shared" si="230"/>
        <v>4474.6015943642706</v>
      </c>
      <c r="H9221" s="392" t="s">
        <v>10772</v>
      </c>
    </row>
    <row r="9222" spans="1:8" x14ac:dyDescent="0.3">
      <c r="A9222" s="5"/>
      <c r="B9222" s="399"/>
      <c r="C9222" s="5"/>
      <c r="D9222" s="5"/>
      <c r="E9222" s="43"/>
      <c r="F9222" s="43"/>
      <c r="G9222" s="48">
        <f t="shared" si="230"/>
        <v>4474.6015943642706</v>
      </c>
      <c r="H9222" s="392" t="s">
        <v>10772</v>
      </c>
    </row>
    <row r="9223" spans="1:8" x14ac:dyDescent="0.3">
      <c r="A9223" s="5"/>
      <c r="B9223" s="399"/>
      <c r="C9223" s="5"/>
      <c r="D9223" s="5"/>
      <c r="E9223" s="43"/>
      <c r="F9223" s="43"/>
      <c r="G9223" s="48">
        <f t="shared" si="230"/>
        <v>4474.6015943642706</v>
      </c>
      <c r="H9223" s="392" t="s">
        <v>10772</v>
      </c>
    </row>
    <row r="9224" spans="1:8" x14ac:dyDescent="0.3">
      <c r="A9224" s="5"/>
      <c r="B9224" s="399"/>
      <c r="C9224" s="5"/>
      <c r="D9224" s="5"/>
      <c r="E9224" s="43"/>
      <c r="F9224" s="43"/>
      <c r="G9224" s="48">
        <f t="shared" si="230"/>
        <v>4474.6015943642706</v>
      </c>
      <c r="H9224" s="392" t="s">
        <v>10772</v>
      </c>
    </row>
    <row r="9225" spans="1:8" x14ac:dyDescent="0.3">
      <c r="A9225" s="5"/>
      <c r="B9225" s="399"/>
      <c r="C9225" s="5"/>
      <c r="D9225" s="5"/>
      <c r="E9225" s="43"/>
      <c r="F9225" s="43"/>
      <c r="G9225" s="48">
        <f t="shared" si="230"/>
        <v>4474.6015943642706</v>
      </c>
      <c r="H9225" s="392" t="s">
        <v>10772</v>
      </c>
    </row>
    <row r="9226" spans="1:8" x14ac:dyDescent="0.3">
      <c r="A9226" s="5"/>
      <c r="B9226" s="399"/>
      <c r="C9226" s="5"/>
      <c r="D9226" s="5"/>
      <c r="E9226" s="43"/>
      <c r="F9226" s="43"/>
      <c r="G9226" s="48">
        <f t="shared" si="230"/>
        <v>4474.6015943642706</v>
      </c>
      <c r="H9226" s="392" t="s">
        <v>10772</v>
      </c>
    </row>
    <row r="9227" spans="1:8" x14ac:dyDescent="0.3">
      <c r="A9227" s="5"/>
      <c r="B9227" s="399"/>
      <c r="C9227" s="5"/>
      <c r="D9227" s="5"/>
      <c r="E9227" s="43"/>
      <c r="F9227" s="43"/>
      <c r="G9227" s="48">
        <f t="shared" si="230"/>
        <v>4474.6015943642706</v>
      </c>
      <c r="H9227" s="392" t="s">
        <v>10772</v>
      </c>
    </row>
    <row r="9228" spans="1:8" x14ac:dyDescent="0.3">
      <c r="A9228" s="5"/>
      <c r="B9228" s="399"/>
      <c r="C9228" s="5"/>
      <c r="D9228" s="5"/>
      <c r="E9228" s="43"/>
      <c r="F9228" s="43"/>
      <c r="G9228" s="48">
        <f t="shared" si="230"/>
        <v>4474.6015943642706</v>
      </c>
      <c r="H9228" s="392" t="s">
        <v>10772</v>
      </c>
    </row>
    <row r="9229" spans="1:8" x14ac:dyDescent="0.3">
      <c r="A9229" s="5"/>
      <c r="B9229" s="399"/>
      <c r="C9229" s="5"/>
      <c r="D9229" s="5"/>
      <c r="E9229" s="43"/>
      <c r="F9229" s="43"/>
      <c r="G9229" s="48">
        <f t="shared" si="230"/>
        <v>4474.6015943642706</v>
      </c>
      <c r="H9229" s="392" t="s">
        <v>10772</v>
      </c>
    </row>
    <row r="9230" spans="1:8" x14ac:dyDescent="0.3">
      <c r="A9230" s="5"/>
      <c r="B9230" s="399"/>
      <c r="C9230" s="5"/>
      <c r="D9230" s="5"/>
      <c r="E9230" s="43"/>
      <c r="F9230" s="43"/>
      <c r="G9230" s="48">
        <f t="shared" si="230"/>
        <v>4474.6015943642706</v>
      </c>
      <c r="H9230" s="392" t="s">
        <v>10772</v>
      </c>
    </row>
    <row r="9231" spans="1:8" x14ac:dyDescent="0.3">
      <c r="A9231" s="5"/>
      <c r="B9231" s="399"/>
      <c r="C9231" s="5"/>
      <c r="D9231" s="5"/>
      <c r="E9231" s="43"/>
      <c r="F9231" s="43"/>
      <c r="G9231" s="48">
        <f t="shared" si="230"/>
        <v>4474.6015943642706</v>
      </c>
      <c r="H9231" s="392" t="s">
        <v>10772</v>
      </c>
    </row>
    <row r="9232" spans="1:8" x14ac:dyDescent="0.3">
      <c r="A9232" s="5"/>
      <c r="B9232" s="399"/>
      <c r="C9232" s="5"/>
      <c r="D9232" s="5"/>
      <c r="E9232" s="43"/>
      <c r="F9232" s="43"/>
      <c r="G9232" s="48">
        <f t="shared" si="230"/>
        <v>4474.6015943642706</v>
      </c>
      <c r="H9232" s="392" t="s">
        <v>10772</v>
      </c>
    </row>
    <row r="9233" spans="1:8" x14ac:dyDescent="0.3">
      <c r="A9233" s="5"/>
      <c r="B9233" s="399"/>
      <c r="C9233" s="5"/>
      <c r="D9233" s="5"/>
      <c r="E9233" s="43"/>
      <c r="F9233" s="43"/>
      <c r="G9233" s="48">
        <f t="shared" si="230"/>
        <v>4474.6015943642706</v>
      </c>
      <c r="H9233" s="392" t="s">
        <v>10772</v>
      </c>
    </row>
    <row r="9234" spans="1:8" x14ac:dyDescent="0.3">
      <c r="A9234" s="5"/>
      <c r="B9234" s="399"/>
      <c r="C9234" s="5"/>
      <c r="D9234" s="5"/>
      <c r="E9234" s="43"/>
      <c r="F9234" s="43"/>
      <c r="G9234" s="48">
        <f t="shared" si="230"/>
        <v>4474.6015943642706</v>
      </c>
      <c r="H9234" s="392" t="s">
        <v>10772</v>
      </c>
    </row>
    <row r="9235" spans="1:8" x14ac:dyDescent="0.3">
      <c r="A9235" s="5"/>
      <c r="B9235" s="399"/>
      <c r="C9235" s="5"/>
      <c r="D9235" s="5"/>
      <c r="E9235" s="43"/>
      <c r="F9235" s="43"/>
      <c r="G9235" s="48">
        <f t="shared" si="230"/>
        <v>4474.6015943642706</v>
      </c>
      <c r="H9235" s="392" t="s">
        <v>10772</v>
      </c>
    </row>
    <row r="9236" spans="1:8" x14ac:dyDescent="0.3">
      <c r="A9236" s="5"/>
      <c r="B9236" s="399"/>
      <c r="C9236" s="5"/>
      <c r="D9236" s="5"/>
      <c r="E9236" s="43"/>
      <c r="F9236" s="43"/>
      <c r="G9236" s="48">
        <f t="shared" si="230"/>
        <v>4474.6015943642706</v>
      </c>
      <c r="H9236" s="392" t="s">
        <v>10772</v>
      </c>
    </row>
    <row r="9237" spans="1:8" x14ac:dyDescent="0.3">
      <c r="A9237" s="5"/>
      <c r="B9237" s="399"/>
      <c r="C9237" s="5"/>
      <c r="D9237" s="5"/>
      <c r="E9237" s="43"/>
      <c r="F9237" s="43"/>
      <c r="G9237" s="48">
        <f t="shared" si="230"/>
        <v>4474.6015943642706</v>
      </c>
      <c r="H9237" s="392" t="s">
        <v>10772</v>
      </c>
    </row>
    <row r="9238" spans="1:8" x14ac:dyDescent="0.3">
      <c r="A9238" s="5"/>
      <c r="B9238" s="399"/>
      <c r="C9238" s="5"/>
      <c r="D9238" s="5"/>
      <c r="E9238" s="43"/>
      <c r="F9238" s="43"/>
      <c r="G9238" s="48">
        <f t="shared" si="230"/>
        <v>4474.6015943642706</v>
      </c>
      <c r="H9238" s="392" t="s">
        <v>10772</v>
      </c>
    </row>
    <row r="9239" spans="1:8" x14ac:dyDescent="0.3">
      <c r="A9239" s="5"/>
      <c r="B9239" s="399"/>
      <c r="C9239" s="5"/>
      <c r="D9239" s="5"/>
      <c r="E9239" s="43"/>
      <c r="F9239" s="43"/>
      <c r="G9239" s="48">
        <f t="shared" si="230"/>
        <v>4474.6015943642706</v>
      </c>
      <c r="H9239" s="392" t="s">
        <v>10772</v>
      </c>
    </row>
    <row r="9240" spans="1:8" x14ac:dyDescent="0.3">
      <c r="A9240" s="5"/>
      <c r="B9240" s="399"/>
      <c r="C9240" s="5"/>
      <c r="D9240" s="5"/>
      <c r="E9240" s="43"/>
      <c r="F9240" s="43"/>
      <c r="G9240" s="48">
        <f t="shared" si="230"/>
        <v>4474.6015943642706</v>
      </c>
      <c r="H9240" s="392" t="s">
        <v>10772</v>
      </c>
    </row>
    <row r="9241" spans="1:8" x14ac:dyDescent="0.3">
      <c r="A9241" s="5"/>
      <c r="B9241" s="399"/>
      <c r="C9241" s="5"/>
      <c r="D9241" s="5"/>
      <c r="E9241" s="43"/>
      <c r="F9241" s="43"/>
      <c r="G9241" s="48">
        <f t="shared" si="230"/>
        <v>4474.6015943642706</v>
      </c>
      <c r="H9241" s="392" t="s">
        <v>10772</v>
      </c>
    </row>
    <row r="9242" spans="1:8" x14ac:dyDescent="0.3">
      <c r="A9242" s="5"/>
      <c r="B9242" s="399"/>
      <c r="C9242" s="5"/>
      <c r="D9242" s="5"/>
      <c r="E9242" s="43"/>
      <c r="F9242" s="43"/>
      <c r="G9242" s="48">
        <f t="shared" ref="G9242:G9305" si="231">G9241+F9242-E9243</f>
        <v>4474.6015943642706</v>
      </c>
      <c r="H9242" s="392" t="s">
        <v>10772</v>
      </c>
    </row>
    <row r="9243" spans="1:8" x14ac:dyDescent="0.3">
      <c r="A9243" s="5"/>
      <c r="B9243" s="399"/>
      <c r="C9243" s="5"/>
      <c r="D9243" s="5"/>
      <c r="E9243" s="43"/>
      <c r="F9243" s="43"/>
      <c r="G9243" s="48">
        <f t="shared" si="231"/>
        <v>4474.6015943642706</v>
      </c>
      <c r="H9243" s="392" t="s">
        <v>10772</v>
      </c>
    </row>
    <row r="9244" spans="1:8" x14ac:dyDescent="0.3">
      <c r="A9244" s="5"/>
      <c r="B9244" s="399"/>
      <c r="C9244" s="5"/>
      <c r="D9244" s="5"/>
      <c r="E9244" s="43"/>
      <c r="F9244" s="43"/>
      <c r="G9244" s="48">
        <f t="shared" si="231"/>
        <v>4474.6015943642706</v>
      </c>
      <c r="H9244" s="392" t="s">
        <v>10772</v>
      </c>
    </row>
    <row r="9245" spans="1:8" x14ac:dyDescent="0.3">
      <c r="A9245" s="5"/>
      <c r="B9245" s="399"/>
      <c r="C9245" s="5"/>
      <c r="D9245" s="5"/>
      <c r="E9245" s="43"/>
      <c r="F9245" s="43"/>
      <c r="G9245" s="48">
        <f t="shared" si="231"/>
        <v>4474.6015943642706</v>
      </c>
      <c r="H9245" s="392" t="s">
        <v>10772</v>
      </c>
    </row>
    <row r="9246" spans="1:8" x14ac:dyDescent="0.3">
      <c r="A9246" s="5"/>
      <c r="B9246" s="399"/>
      <c r="C9246" s="5"/>
      <c r="D9246" s="5"/>
      <c r="E9246" s="43"/>
      <c r="F9246" s="43"/>
      <c r="G9246" s="48">
        <f t="shared" si="231"/>
        <v>4474.6015943642706</v>
      </c>
      <c r="H9246" s="392" t="s">
        <v>10772</v>
      </c>
    </row>
    <row r="9247" spans="1:8" x14ac:dyDescent="0.3">
      <c r="A9247" s="5"/>
      <c r="B9247" s="399"/>
      <c r="C9247" s="5"/>
      <c r="D9247" s="5"/>
      <c r="E9247" s="43"/>
      <c r="F9247" s="43"/>
      <c r="G9247" s="48">
        <f t="shared" si="231"/>
        <v>4474.6015943642706</v>
      </c>
      <c r="H9247" s="392" t="s">
        <v>10772</v>
      </c>
    </row>
    <row r="9248" spans="1:8" x14ac:dyDescent="0.3">
      <c r="A9248" s="5"/>
      <c r="B9248" s="399"/>
      <c r="C9248" s="5"/>
      <c r="D9248" s="5"/>
      <c r="E9248" s="43"/>
      <c r="F9248" s="43"/>
      <c r="G9248" s="48">
        <f t="shared" si="231"/>
        <v>4474.6015943642706</v>
      </c>
      <c r="H9248" s="392" t="s">
        <v>10772</v>
      </c>
    </row>
    <row r="9249" spans="1:8" x14ac:dyDescent="0.3">
      <c r="A9249" s="5"/>
      <c r="B9249" s="399"/>
      <c r="C9249" s="5"/>
      <c r="D9249" s="5"/>
      <c r="E9249" s="43"/>
      <c r="F9249" s="43"/>
      <c r="G9249" s="48">
        <f t="shared" si="231"/>
        <v>4474.6015943642706</v>
      </c>
      <c r="H9249" s="392" t="s">
        <v>10772</v>
      </c>
    </row>
    <row r="9250" spans="1:8" x14ac:dyDescent="0.3">
      <c r="A9250" s="5"/>
      <c r="B9250" s="399"/>
      <c r="C9250" s="5"/>
      <c r="D9250" s="5"/>
      <c r="E9250" s="43"/>
      <c r="F9250" s="43"/>
      <c r="G9250" s="48">
        <f t="shared" si="231"/>
        <v>4474.6015943642706</v>
      </c>
      <c r="H9250" s="392" t="s">
        <v>10772</v>
      </c>
    </row>
    <row r="9251" spans="1:8" x14ac:dyDescent="0.3">
      <c r="A9251" s="5"/>
      <c r="B9251" s="399"/>
      <c r="C9251" s="5"/>
      <c r="D9251" s="5"/>
      <c r="E9251" s="43"/>
      <c r="F9251" s="43"/>
      <c r="G9251" s="48">
        <f t="shared" si="231"/>
        <v>4474.6015943642706</v>
      </c>
      <c r="H9251" s="392" t="s">
        <v>10772</v>
      </c>
    </row>
    <row r="9252" spans="1:8" x14ac:dyDescent="0.3">
      <c r="A9252" s="5"/>
      <c r="B9252" s="399"/>
      <c r="C9252" s="5"/>
      <c r="D9252" s="5"/>
      <c r="E9252" s="43"/>
      <c r="F9252" s="43"/>
      <c r="G9252" s="48">
        <f t="shared" si="231"/>
        <v>4474.6015943642706</v>
      </c>
      <c r="H9252" s="392" t="s">
        <v>10772</v>
      </c>
    </row>
    <row r="9253" spans="1:8" x14ac:dyDescent="0.3">
      <c r="A9253" s="5"/>
      <c r="B9253" s="399"/>
      <c r="C9253" s="5"/>
      <c r="D9253" s="5"/>
      <c r="E9253" s="43"/>
      <c r="F9253" s="43"/>
      <c r="G9253" s="48">
        <f t="shared" si="231"/>
        <v>4474.6015943642706</v>
      </c>
      <c r="H9253" s="392" t="s">
        <v>10772</v>
      </c>
    </row>
    <row r="9254" spans="1:8" x14ac:dyDescent="0.3">
      <c r="A9254" s="5"/>
      <c r="B9254" s="399"/>
      <c r="C9254" s="5"/>
      <c r="D9254" s="5"/>
      <c r="E9254" s="43"/>
      <c r="F9254" s="43"/>
      <c r="G9254" s="48">
        <f t="shared" si="231"/>
        <v>4474.6015943642706</v>
      </c>
      <c r="H9254" s="392" t="s">
        <v>10772</v>
      </c>
    </row>
    <row r="9255" spans="1:8" x14ac:dyDescent="0.3">
      <c r="A9255" s="5"/>
      <c r="B9255" s="399"/>
      <c r="C9255" s="5"/>
      <c r="D9255" s="5"/>
      <c r="E9255" s="43"/>
      <c r="F9255" s="43"/>
      <c r="G9255" s="48">
        <f t="shared" si="231"/>
        <v>4474.6015943642706</v>
      </c>
      <c r="H9255" s="392" t="s">
        <v>10772</v>
      </c>
    </row>
    <row r="9256" spans="1:8" x14ac:dyDescent="0.3">
      <c r="A9256" s="5"/>
      <c r="B9256" s="399"/>
      <c r="C9256" s="5"/>
      <c r="D9256" s="5"/>
      <c r="E9256" s="43"/>
      <c r="F9256" s="43"/>
      <c r="G9256" s="48">
        <f t="shared" si="231"/>
        <v>4474.6015943642706</v>
      </c>
      <c r="H9256" s="392" t="s">
        <v>10772</v>
      </c>
    </row>
    <row r="9257" spans="1:8" x14ac:dyDescent="0.3">
      <c r="A9257" s="5"/>
      <c r="B9257" s="399"/>
      <c r="C9257" s="5"/>
      <c r="D9257" s="5"/>
      <c r="E9257" s="43"/>
      <c r="F9257" s="43"/>
      <c r="G9257" s="48">
        <f t="shared" si="231"/>
        <v>4474.6015943642706</v>
      </c>
      <c r="H9257" s="392" t="s">
        <v>10772</v>
      </c>
    </row>
    <row r="9258" spans="1:8" x14ac:dyDescent="0.3">
      <c r="A9258" s="5"/>
      <c r="B9258" s="399"/>
      <c r="C9258" s="5"/>
      <c r="D9258" s="5"/>
      <c r="E9258" s="43"/>
      <c r="F9258" s="43"/>
      <c r="G9258" s="48">
        <f t="shared" si="231"/>
        <v>4474.6015943642706</v>
      </c>
      <c r="H9258" s="392" t="s">
        <v>10772</v>
      </c>
    </row>
    <row r="9259" spans="1:8" x14ac:dyDescent="0.3">
      <c r="A9259" s="5"/>
      <c r="B9259" s="399"/>
      <c r="C9259" s="5"/>
      <c r="D9259" s="5"/>
      <c r="E9259" s="43"/>
      <c r="F9259" s="43"/>
      <c r="G9259" s="48">
        <f t="shared" si="231"/>
        <v>4474.6015943642706</v>
      </c>
      <c r="H9259" s="392" t="s">
        <v>10772</v>
      </c>
    </row>
    <row r="9260" spans="1:8" x14ac:dyDescent="0.3">
      <c r="A9260" s="5"/>
      <c r="B9260" s="399"/>
      <c r="C9260" s="5"/>
      <c r="D9260" s="5"/>
      <c r="E9260" s="43"/>
      <c r="F9260" s="43"/>
      <c r="G9260" s="48">
        <f t="shared" si="231"/>
        <v>4474.6015943642706</v>
      </c>
      <c r="H9260" s="392" t="s">
        <v>10772</v>
      </c>
    </row>
    <row r="9261" spans="1:8" x14ac:dyDescent="0.3">
      <c r="A9261" s="5"/>
      <c r="B9261" s="399"/>
      <c r="C9261" s="5"/>
      <c r="D9261" s="5"/>
      <c r="E9261" s="43"/>
      <c r="F9261" s="43"/>
      <c r="G9261" s="48">
        <f t="shared" si="231"/>
        <v>4474.6015943642706</v>
      </c>
      <c r="H9261" s="392" t="s">
        <v>10772</v>
      </c>
    </row>
    <row r="9262" spans="1:8" x14ac:dyDescent="0.3">
      <c r="A9262" s="5"/>
      <c r="B9262" s="399"/>
      <c r="C9262" s="5"/>
      <c r="D9262" s="5"/>
      <c r="E9262" s="43"/>
      <c r="F9262" s="43"/>
      <c r="G9262" s="48">
        <f t="shared" si="231"/>
        <v>4474.6015943642706</v>
      </c>
      <c r="H9262" s="392" t="s">
        <v>10772</v>
      </c>
    </row>
    <row r="9263" spans="1:8" x14ac:dyDescent="0.3">
      <c r="A9263" s="5"/>
      <c r="B9263" s="399"/>
      <c r="C9263" s="5"/>
      <c r="D9263" s="5"/>
      <c r="E9263" s="43"/>
      <c r="F9263" s="43"/>
      <c r="G9263" s="48">
        <f t="shared" si="231"/>
        <v>4474.6015943642706</v>
      </c>
      <c r="H9263" s="392" t="s">
        <v>10772</v>
      </c>
    </row>
    <row r="9264" spans="1:8" x14ac:dyDescent="0.3">
      <c r="A9264" s="5"/>
      <c r="B9264" s="399"/>
      <c r="C9264" s="5"/>
      <c r="D9264" s="5"/>
      <c r="E9264" s="43"/>
      <c r="F9264" s="43"/>
      <c r="G9264" s="48">
        <f t="shared" si="231"/>
        <v>4474.6015943642706</v>
      </c>
      <c r="H9264" s="392" t="s">
        <v>10772</v>
      </c>
    </row>
    <row r="9265" spans="1:8" x14ac:dyDescent="0.3">
      <c r="A9265" s="5"/>
      <c r="B9265" s="399"/>
      <c r="C9265" s="5"/>
      <c r="D9265" s="5"/>
      <c r="E9265" s="43"/>
      <c r="F9265" s="43"/>
      <c r="G9265" s="48">
        <f t="shared" si="231"/>
        <v>4474.6015943642706</v>
      </c>
      <c r="H9265" s="392" t="s">
        <v>10772</v>
      </c>
    </row>
    <row r="9266" spans="1:8" x14ac:dyDescent="0.3">
      <c r="A9266" s="5"/>
      <c r="B9266" s="399"/>
      <c r="C9266" s="5"/>
      <c r="D9266" s="5"/>
      <c r="E9266" s="43"/>
      <c r="F9266" s="43"/>
      <c r="G9266" s="48">
        <f t="shared" si="231"/>
        <v>4474.6015943642706</v>
      </c>
      <c r="H9266" s="392" t="s">
        <v>10772</v>
      </c>
    </row>
    <row r="9267" spans="1:8" x14ac:dyDescent="0.3">
      <c r="A9267" s="5"/>
      <c r="B9267" s="399"/>
      <c r="C9267" s="5"/>
      <c r="D9267" s="5"/>
      <c r="E9267" s="43"/>
      <c r="F9267" s="43"/>
      <c r="G9267" s="48">
        <f t="shared" si="231"/>
        <v>4474.6015943642706</v>
      </c>
      <c r="H9267" s="392" t="s">
        <v>10772</v>
      </c>
    </row>
    <row r="9268" spans="1:8" x14ac:dyDescent="0.3">
      <c r="A9268" s="5"/>
      <c r="B9268" s="399"/>
      <c r="C9268" s="5"/>
      <c r="D9268" s="5"/>
      <c r="E9268" s="43"/>
      <c r="F9268" s="43"/>
      <c r="G9268" s="48">
        <f t="shared" si="231"/>
        <v>4474.6015943642706</v>
      </c>
      <c r="H9268" s="392" t="s">
        <v>10772</v>
      </c>
    </row>
    <row r="9269" spans="1:8" x14ac:dyDescent="0.3">
      <c r="A9269" s="5"/>
      <c r="B9269" s="399"/>
      <c r="C9269" s="5"/>
      <c r="D9269" s="5"/>
      <c r="E9269" s="43"/>
      <c r="F9269" s="43"/>
      <c r="G9269" s="48">
        <f t="shared" si="231"/>
        <v>4474.6015943642706</v>
      </c>
      <c r="H9269" s="392" t="s">
        <v>10772</v>
      </c>
    </row>
    <row r="9270" spans="1:8" x14ac:dyDescent="0.3">
      <c r="A9270" s="5"/>
      <c r="B9270" s="399"/>
      <c r="C9270" s="5"/>
      <c r="D9270" s="5"/>
      <c r="E9270" s="43"/>
      <c r="F9270" s="43"/>
      <c r="G9270" s="48">
        <f t="shared" si="231"/>
        <v>4474.6015943642706</v>
      </c>
      <c r="H9270" s="392" t="s">
        <v>10772</v>
      </c>
    </row>
    <row r="9271" spans="1:8" x14ac:dyDescent="0.3">
      <c r="A9271" s="5"/>
      <c r="B9271" s="399"/>
      <c r="C9271" s="5"/>
      <c r="D9271" s="5"/>
      <c r="E9271" s="43"/>
      <c r="F9271" s="43"/>
      <c r="G9271" s="48">
        <f t="shared" si="231"/>
        <v>4474.6015943642706</v>
      </c>
      <c r="H9271" s="392" t="s">
        <v>10772</v>
      </c>
    </row>
    <row r="9272" spans="1:8" x14ac:dyDescent="0.3">
      <c r="A9272" s="5"/>
      <c r="B9272" s="399"/>
      <c r="C9272" s="5"/>
      <c r="D9272" s="5"/>
      <c r="E9272" s="43"/>
      <c r="F9272" s="43"/>
      <c r="G9272" s="48">
        <f t="shared" si="231"/>
        <v>4474.6015943642706</v>
      </c>
      <c r="H9272" s="392" t="s">
        <v>10772</v>
      </c>
    </row>
    <row r="9273" spans="1:8" x14ac:dyDescent="0.3">
      <c r="A9273" s="5"/>
      <c r="B9273" s="399"/>
      <c r="C9273" s="5"/>
      <c r="D9273" s="5"/>
      <c r="E9273" s="43"/>
      <c r="F9273" s="43"/>
      <c r="G9273" s="48">
        <f t="shared" si="231"/>
        <v>4474.6015943642706</v>
      </c>
      <c r="H9273" s="392" t="s">
        <v>10772</v>
      </c>
    </row>
    <row r="9274" spans="1:8" x14ac:dyDescent="0.3">
      <c r="A9274" s="5"/>
      <c r="B9274" s="399"/>
      <c r="C9274" s="5"/>
      <c r="D9274" s="5"/>
      <c r="E9274" s="43"/>
      <c r="F9274" s="43"/>
      <c r="G9274" s="48">
        <f t="shared" si="231"/>
        <v>4474.6015943642706</v>
      </c>
      <c r="H9274" s="392" t="s">
        <v>10772</v>
      </c>
    </row>
    <row r="9275" spans="1:8" x14ac:dyDescent="0.3">
      <c r="A9275" s="5"/>
      <c r="B9275" s="399"/>
      <c r="C9275" s="5"/>
      <c r="D9275" s="5"/>
      <c r="E9275" s="43"/>
      <c r="F9275" s="43"/>
      <c r="G9275" s="48">
        <f t="shared" si="231"/>
        <v>4474.6015943642706</v>
      </c>
      <c r="H9275" s="392" t="s">
        <v>10772</v>
      </c>
    </row>
    <row r="9276" spans="1:8" x14ac:dyDescent="0.3">
      <c r="A9276" s="5"/>
      <c r="B9276" s="399"/>
      <c r="C9276" s="5"/>
      <c r="D9276" s="5"/>
      <c r="E9276" s="43"/>
      <c r="F9276" s="43"/>
      <c r="G9276" s="48">
        <f t="shared" si="231"/>
        <v>4474.6015943642706</v>
      </c>
      <c r="H9276" s="392" t="s">
        <v>10772</v>
      </c>
    </row>
    <row r="9277" spans="1:8" x14ac:dyDescent="0.3">
      <c r="A9277" s="5"/>
      <c r="B9277" s="399"/>
      <c r="C9277" s="5"/>
      <c r="D9277" s="5"/>
      <c r="E9277" s="43"/>
      <c r="F9277" s="43"/>
      <c r="G9277" s="48">
        <f t="shared" si="231"/>
        <v>4474.6015943642706</v>
      </c>
      <c r="H9277" s="392" t="s">
        <v>10772</v>
      </c>
    </row>
    <row r="9278" spans="1:8" x14ac:dyDescent="0.3">
      <c r="A9278" s="5"/>
      <c r="B9278" s="399"/>
      <c r="C9278" s="5"/>
      <c r="D9278" s="5"/>
      <c r="E9278" s="43"/>
      <c r="F9278" s="43"/>
      <c r="G9278" s="48">
        <f t="shared" si="231"/>
        <v>4474.6015943642706</v>
      </c>
      <c r="H9278" s="392" t="s">
        <v>10772</v>
      </c>
    </row>
    <row r="9279" spans="1:8" x14ac:dyDescent="0.3">
      <c r="A9279" s="5"/>
      <c r="B9279" s="399"/>
      <c r="C9279" s="5"/>
      <c r="D9279" s="5"/>
      <c r="E9279" s="43"/>
      <c r="F9279" s="43"/>
      <c r="G9279" s="48">
        <f t="shared" si="231"/>
        <v>4474.6015943642706</v>
      </c>
      <c r="H9279" s="392" t="s">
        <v>10772</v>
      </c>
    </row>
    <row r="9280" spans="1:8" x14ac:dyDescent="0.3">
      <c r="A9280" s="5"/>
      <c r="B9280" s="399"/>
      <c r="C9280" s="5"/>
      <c r="D9280" s="5"/>
      <c r="E9280" s="43"/>
      <c r="F9280" s="43"/>
      <c r="G9280" s="48">
        <f t="shared" si="231"/>
        <v>4474.6015943642706</v>
      </c>
      <c r="H9280" s="392" t="s">
        <v>10772</v>
      </c>
    </row>
    <row r="9281" spans="1:8" x14ac:dyDescent="0.3">
      <c r="A9281" s="5"/>
      <c r="B9281" s="399"/>
      <c r="C9281" s="5"/>
      <c r="D9281" s="5"/>
      <c r="E9281" s="43"/>
      <c r="F9281" s="43"/>
      <c r="G9281" s="48">
        <f t="shared" si="231"/>
        <v>4474.6015943642706</v>
      </c>
      <c r="H9281" s="392" t="s">
        <v>10772</v>
      </c>
    </row>
    <row r="9282" spans="1:8" x14ac:dyDescent="0.3">
      <c r="A9282" s="5"/>
      <c r="B9282" s="399"/>
      <c r="C9282" s="5"/>
      <c r="D9282" s="5"/>
      <c r="E9282" s="43"/>
      <c r="F9282" s="43"/>
      <c r="G9282" s="48">
        <f t="shared" si="231"/>
        <v>4474.6015943642706</v>
      </c>
      <c r="H9282" s="392" t="s">
        <v>10772</v>
      </c>
    </row>
    <row r="9283" spans="1:8" x14ac:dyDescent="0.3">
      <c r="A9283" s="5"/>
      <c r="B9283" s="399"/>
      <c r="C9283" s="5"/>
      <c r="D9283" s="5"/>
      <c r="E9283" s="43"/>
      <c r="F9283" s="43"/>
      <c r="G9283" s="48">
        <f t="shared" si="231"/>
        <v>4474.6015943642706</v>
      </c>
      <c r="H9283" s="392" t="s">
        <v>10772</v>
      </c>
    </row>
    <row r="9284" spans="1:8" x14ac:dyDescent="0.3">
      <c r="A9284" s="5"/>
      <c r="B9284" s="399"/>
      <c r="C9284" s="5"/>
      <c r="D9284" s="5"/>
      <c r="E9284" s="43"/>
      <c r="F9284" s="43"/>
      <c r="G9284" s="48">
        <f t="shared" si="231"/>
        <v>4474.6015943642706</v>
      </c>
      <c r="H9284" s="392" t="s">
        <v>10772</v>
      </c>
    </row>
    <row r="9285" spans="1:8" x14ac:dyDescent="0.3">
      <c r="A9285" s="5"/>
      <c r="B9285" s="399"/>
      <c r="C9285" s="5"/>
      <c r="D9285" s="5"/>
      <c r="E9285" s="43"/>
      <c r="F9285" s="43"/>
      <c r="G9285" s="48">
        <f t="shared" si="231"/>
        <v>4474.6015943642706</v>
      </c>
      <c r="H9285" s="392" t="s">
        <v>10772</v>
      </c>
    </row>
    <row r="9286" spans="1:8" x14ac:dyDescent="0.3">
      <c r="A9286" s="5"/>
      <c r="B9286" s="399"/>
      <c r="C9286" s="5"/>
      <c r="D9286" s="5"/>
      <c r="E9286" s="43"/>
      <c r="F9286" s="43"/>
      <c r="G9286" s="48">
        <f t="shared" si="231"/>
        <v>4474.6015943642706</v>
      </c>
      <c r="H9286" s="392" t="s">
        <v>10772</v>
      </c>
    </row>
    <row r="9287" spans="1:8" x14ac:dyDescent="0.3">
      <c r="A9287" s="5"/>
      <c r="B9287" s="399"/>
      <c r="C9287" s="5"/>
      <c r="D9287" s="5"/>
      <c r="E9287" s="43"/>
      <c r="F9287" s="43"/>
      <c r="G9287" s="48">
        <f t="shared" si="231"/>
        <v>4474.6015943642706</v>
      </c>
      <c r="H9287" s="392" t="s">
        <v>10772</v>
      </c>
    </row>
    <row r="9288" spans="1:8" x14ac:dyDescent="0.3">
      <c r="A9288" s="5"/>
      <c r="B9288" s="399"/>
      <c r="C9288" s="5"/>
      <c r="D9288" s="5"/>
      <c r="E9288" s="43"/>
      <c r="F9288" s="43"/>
      <c r="G9288" s="48">
        <f t="shared" si="231"/>
        <v>4474.6015943642706</v>
      </c>
      <c r="H9288" s="392" t="s">
        <v>10772</v>
      </c>
    </row>
    <row r="9289" spans="1:8" x14ac:dyDescent="0.3">
      <c r="A9289" s="5"/>
      <c r="B9289" s="399"/>
      <c r="C9289" s="5"/>
      <c r="D9289" s="5"/>
      <c r="E9289" s="43"/>
      <c r="F9289" s="43"/>
      <c r="G9289" s="48">
        <f t="shared" si="231"/>
        <v>4474.6015943642706</v>
      </c>
      <c r="H9289" s="392" t="s">
        <v>10772</v>
      </c>
    </row>
    <row r="9290" spans="1:8" x14ac:dyDescent="0.3">
      <c r="A9290" s="5"/>
      <c r="B9290" s="399"/>
      <c r="C9290" s="5"/>
      <c r="D9290" s="5"/>
      <c r="E9290" s="43"/>
      <c r="F9290" s="43"/>
      <c r="G9290" s="48">
        <f t="shared" si="231"/>
        <v>4474.6015943642706</v>
      </c>
    </row>
    <row r="9291" spans="1:8" x14ac:dyDescent="0.3">
      <c r="A9291" s="5"/>
      <c r="B9291" s="399"/>
      <c r="C9291" s="5"/>
      <c r="D9291" s="5"/>
      <c r="E9291" s="43"/>
      <c r="F9291" s="43"/>
      <c r="G9291" s="48">
        <f t="shared" si="231"/>
        <v>4474.6015943642706</v>
      </c>
    </row>
    <row r="9292" spans="1:8" x14ac:dyDescent="0.3">
      <c r="A9292" s="5"/>
      <c r="B9292" s="399"/>
      <c r="C9292" s="5"/>
      <c r="D9292" s="5"/>
      <c r="E9292" s="43"/>
      <c r="F9292" s="43"/>
      <c r="G9292" s="48">
        <f t="shared" si="231"/>
        <v>4474.6015943642706</v>
      </c>
    </row>
    <row r="9293" spans="1:8" x14ac:dyDescent="0.3">
      <c r="A9293" s="5"/>
      <c r="B9293" s="399"/>
      <c r="C9293" s="5"/>
      <c r="D9293" s="5"/>
      <c r="E9293" s="43"/>
      <c r="F9293" s="43"/>
      <c r="G9293" s="48">
        <f t="shared" si="231"/>
        <v>4474.6015943642706</v>
      </c>
    </row>
    <row r="9294" spans="1:8" x14ac:dyDescent="0.3">
      <c r="A9294" s="5"/>
      <c r="B9294" s="399"/>
      <c r="C9294" s="5"/>
      <c r="D9294" s="5"/>
      <c r="E9294" s="43"/>
      <c r="F9294" s="43"/>
      <c r="G9294" s="48">
        <f t="shared" si="231"/>
        <v>4474.6015943642706</v>
      </c>
    </row>
    <row r="9295" spans="1:8" x14ac:dyDescent="0.3">
      <c r="A9295" s="5"/>
      <c r="B9295" s="399"/>
      <c r="C9295" s="5"/>
      <c r="D9295" s="5"/>
      <c r="E9295" s="43"/>
      <c r="F9295" s="43"/>
      <c r="G9295" s="48">
        <f t="shared" si="231"/>
        <v>4474.6015943642706</v>
      </c>
    </row>
    <row r="9296" spans="1:8" x14ac:dyDescent="0.3">
      <c r="A9296" s="5"/>
      <c r="B9296" s="399"/>
      <c r="C9296" s="5"/>
      <c r="D9296" s="5"/>
      <c r="E9296" s="43"/>
      <c r="F9296" s="43"/>
      <c r="G9296" s="48">
        <f t="shared" si="231"/>
        <v>4474.6015943642706</v>
      </c>
    </row>
    <row r="9297" spans="1:7" x14ac:dyDescent="0.3">
      <c r="A9297" s="5"/>
      <c r="B9297" s="399"/>
      <c r="C9297" s="5"/>
      <c r="D9297" s="5"/>
      <c r="E9297" s="43"/>
      <c r="F9297" s="43"/>
      <c r="G9297" s="48">
        <f t="shared" si="231"/>
        <v>4474.6015943642706</v>
      </c>
    </row>
    <row r="9298" spans="1:7" x14ac:dyDescent="0.3">
      <c r="A9298" s="5"/>
      <c r="B9298" s="399"/>
      <c r="C9298" s="5"/>
      <c r="D9298" s="5"/>
      <c r="E9298" s="43"/>
      <c r="F9298" s="43"/>
      <c r="G9298" s="48">
        <f t="shared" si="231"/>
        <v>4474.6015943642706</v>
      </c>
    </row>
    <row r="9299" spans="1:7" x14ac:dyDescent="0.3">
      <c r="A9299" s="5"/>
      <c r="B9299" s="399"/>
      <c r="C9299" s="5"/>
      <c r="D9299" s="5"/>
      <c r="E9299" s="43"/>
      <c r="F9299" s="43"/>
      <c r="G9299" s="48">
        <f t="shared" si="231"/>
        <v>4474.6015943642706</v>
      </c>
    </row>
    <row r="9300" spans="1:7" x14ac:dyDescent="0.3">
      <c r="A9300" s="5"/>
      <c r="B9300" s="399"/>
      <c r="C9300" s="5"/>
      <c r="D9300" s="5"/>
      <c r="E9300" s="43"/>
      <c r="F9300" s="43"/>
      <c r="G9300" s="48">
        <f t="shared" si="231"/>
        <v>4474.6015943642706</v>
      </c>
    </row>
    <row r="9301" spans="1:7" x14ac:dyDescent="0.3">
      <c r="A9301" s="5"/>
      <c r="B9301" s="399"/>
      <c r="C9301" s="5"/>
      <c r="D9301" s="5"/>
      <c r="E9301" s="43"/>
      <c r="F9301" s="43"/>
      <c r="G9301" s="48">
        <f t="shared" si="231"/>
        <v>4474.6015943642706</v>
      </c>
    </row>
    <row r="9302" spans="1:7" x14ac:dyDescent="0.3">
      <c r="A9302" s="5"/>
      <c r="B9302" s="399"/>
      <c r="C9302" s="5"/>
      <c r="D9302" s="5"/>
      <c r="E9302" s="43"/>
      <c r="F9302" s="43"/>
      <c r="G9302" s="48">
        <f t="shared" si="231"/>
        <v>4474.6015943642706</v>
      </c>
    </row>
    <row r="9303" spans="1:7" x14ac:dyDescent="0.3">
      <c r="A9303" s="5"/>
      <c r="B9303" s="399"/>
      <c r="C9303" s="5"/>
      <c r="D9303" s="5"/>
      <c r="E9303" s="43"/>
      <c r="F9303" s="43"/>
      <c r="G9303" s="48">
        <f t="shared" si="231"/>
        <v>4474.6015943642706</v>
      </c>
    </row>
    <row r="9304" spans="1:7" x14ac:dyDescent="0.3">
      <c r="A9304" s="5"/>
      <c r="B9304" s="399"/>
      <c r="C9304" s="5"/>
      <c r="D9304" s="5"/>
      <c r="E9304" s="43"/>
      <c r="F9304" s="43"/>
      <c r="G9304" s="48">
        <f t="shared" si="231"/>
        <v>4474.6015943642706</v>
      </c>
    </row>
    <row r="9305" spans="1:7" x14ac:dyDescent="0.3">
      <c r="A9305" s="5"/>
      <c r="B9305" s="399"/>
      <c r="C9305" s="5"/>
      <c r="D9305" s="5"/>
      <c r="E9305" s="43"/>
      <c r="F9305" s="43"/>
      <c r="G9305" s="48">
        <f t="shared" si="231"/>
        <v>4474.6015943642706</v>
      </c>
    </row>
    <row r="9306" spans="1:7" x14ac:dyDescent="0.3">
      <c r="A9306" s="5"/>
      <c r="B9306" s="399"/>
      <c r="C9306" s="5"/>
      <c r="D9306" s="5"/>
      <c r="E9306" s="43"/>
      <c r="F9306" s="43"/>
      <c r="G9306" s="48">
        <f t="shared" ref="G9306:G9369" si="232">G9305+F9306-E9307</f>
        <v>4474.6015943642706</v>
      </c>
    </row>
    <row r="9307" spans="1:7" x14ac:dyDescent="0.3">
      <c r="A9307" s="5"/>
      <c r="B9307" s="399"/>
      <c r="C9307" s="5"/>
      <c r="D9307" s="5"/>
      <c r="E9307" s="43"/>
      <c r="F9307" s="43"/>
      <c r="G9307" s="48">
        <f t="shared" si="232"/>
        <v>4474.6015943642706</v>
      </c>
    </row>
    <row r="9308" spans="1:7" x14ac:dyDescent="0.3">
      <c r="A9308" s="5"/>
      <c r="B9308" s="399"/>
      <c r="C9308" s="5"/>
      <c r="D9308" s="5"/>
      <c r="E9308" s="43"/>
      <c r="F9308" s="43"/>
      <c r="G9308" s="48">
        <f t="shared" si="232"/>
        <v>4474.6015943642706</v>
      </c>
    </row>
    <row r="9309" spans="1:7" x14ac:dyDescent="0.3">
      <c r="A9309" s="5"/>
      <c r="B9309" s="399"/>
      <c r="C9309" s="5"/>
      <c r="D9309" s="5"/>
      <c r="E9309" s="43"/>
      <c r="F9309" s="43"/>
      <c r="G9309" s="48">
        <f t="shared" si="232"/>
        <v>4474.6015943642706</v>
      </c>
    </row>
    <row r="9310" spans="1:7" x14ac:dyDescent="0.3">
      <c r="A9310" s="5"/>
      <c r="B9310" s="399"/>
      <c r="C9310" s="5"/>
      <c r="D9310" s="5"/>
      <c r="E9310" s="43"/>
      <c r="F9310" s="43"/>
      <c r="G9310" s="48">
        <f t="shared" si="232"/>
        <v>4474.6015943642706</v>
      </c>
    </row>
    <row r="9311" spans="1:7" x14ac:dyDescent="0.3">
      <c r="A9311" s="5"/>
      <c r="B9311" s="399"/>
      <c r="C9311" s="5"/>
      <c r="D9311" s="5"/>
      <c r="E9311" s="43"/>
      <c r="F9311" s="43"/>
      <c r="G9311" s="48">
        <f t="shared" si="232"/>
        <v>4474.6015943642706</v>
      </c>
    </row>
    <row r="9312" spans="1:7" x14ac:dyDescent="0.3">
      <c r="A9312" s="5"/>
      <c r="B9312" s="399"/>
      <c r="C9312" s="5"/>
      <c r="D9312" s="5"/>
      <c r="E9312" s="43"/>
      <c r="F9312" s="43"/>
      <c r="G9312" s="48">
        <f t="shared" si="232"/>
        <v>4474.6015943642706</v>
      </c>
    </row>
    <row r="9313" spans="1:7" x14ac:dyDescent="0.3">
      <c r="A9313" s="5"/>
      <c r="B9313" s="399"/>
      <c r="C9313" s="5"/>
      <c r="D9313" s="5"/>
      <c r="E9313" s="43"/>
      <c r="F9313" s="43"/>
      <c r="G9313" s="48">
        <f t="shared" si="232"/>
        <v>4474.6015943642706</v>
      </c>
    </row>
    <row r="9314" spans="1:7" x14ac:dyDescent="0.3">
      <c r="A9314" s="5"/>
      <c r="B9314" s="399"/>
      <c r="C9314" s="5"/>
      <c r="D9314" s="5"/>
      <c r="E9314" s="43"/>
      <c r="F9314" s="43"/>
      <c r="G9314" s="48">
        <f t="shared" si="232"/>
        <v>4474.6015943642706</v>
      </c>
    </row>
    <row r="9315" spans="1:7" x14ac:dyDescent="0.3">
      <c r="A9315" s="5"/>
      <c r="B9315" s="399"/>
      <c r="C9315" s="5"/>
      <c r="D9315" s="5"/>
      <c r="E9315" s="43"/>
      <c r="F9315" s="43"/>
      <c r="G9315" s="48">
        <f t="shared" si="232"/>
        <v>4474.6015943642706</v>
      </c>
    </row>
    <row r="9316" spans="1:7" x14ac:dyDescent="0.3">
      <c r="A9316" s="5"/>
      <c r="B9316" s="399"/>
      <c r="C9316" s="5"/>
      <c r="D9316" s="5"/>
      <c r="E9316" s="43"/>
      <c r="F9316" s="43"/>
      <c r="G9316" s="48">
        <f t="shared" si="232"/>
        <v>4474.6015943642706</v>
      </c>
    </row>
    <row r="9317" spans="1:7" x14ac:dyDescent="0.3">
      <c r="A9317" s="5"/>
      <c r="B9317" s="399"/>
      <c r="C9317" s="5"/>
      <c r="D9317" s="5"/>
      <c r="E9317" s="43"/>
      <c r="F9317" s="43"/>
      <c r="G9317" s="48">
        <f t="shared" si="232"/>
        <v>4474.6015943642706</v>
      </c>
    </row>
    <row r="9318" spans="1:7" x14ac:dyDescent="0.3">
      <c r="A9318" s="5"/>
      <c r="B9318" s="399"/>
      <c r="C9318" s="5"/>
      <c r="D9318" s="5"/>
      <c r="E9318" s="43"/>
      <c r="F9318" s="43"/>
      <c r="G9318" s="48">
        <f t="shared" si="232"/>
        <v>4474.6015943642706</v>
      </c>
    </row>
    <row r="9319" spans="1:7" x14ac:dyDescent="0.3">
      <c r="A9319" s="5"/>
      <c r="B9319" s="399"/>
      <c r="C9319" s="5"/>
      <c r="D9319" s="5"/>
      <c r="E9319" s="43"/>
      <c r="F9319" s="43"/>
      <c r="G9319" s="48">
        <f t="shared" si="232"/>
        <v>4474.6015943642706</v>
      </c>
    </row>
    <row r="9320" spans="1:7" x14ac:dyDescent="0.3">
      <c r="A9320" s="5"/>
      <c r="B9320" s="399"/>
      <c r="C9320" s="5"/>
      <c r="D9320" s="5"/>
      <c r="E9320" s="43"/>
      <c r="F9320" s="43"/>
      <c r="G9320" s="48">
        <f t="shared" si="232"/>
        <v>4474.6015943642706</v>
      </c>
    </row>
    <row r="9321" spans="1:7" x14ac:dyDescent="0.3">
      <c r="A9321" s="5"/>
      <c r="B9321" s="399"/>
      <c r="C9321" s="5"/>
      <c r="D9321" s="5"/>
      <c r="E9321" s="43"/>
      <c r="F9321" s="43"/>
      <c r="G9321" s="48">
        <f t="shared" si="232"/>
        <v>4474.6015943642706</v>
      </c>
    </row>
    <row r="9322" spans="1:7" x14ac:dyDescent="0.3">
      <c r="A9322" s="5"/>
      <c r="B9322" s="399"/>
      <c r="C9322" s="5"/>
      <c r="D9322" s="5"/>
      <c r="E9322" s="43"/>
      <c r="F9322" s="43"/>
      <c r="G9322" s="48">
        <f t="shared" si="232"/>
        <v>4474.6015943642706</v>
      </c>
    </row>
    <row r="9323" spans="1:7" x14ac:dyDescent="0.3">
      <c r="A9323" s="5"/>
      <c r="B9323" s="399"/>
      <c r="C9323" s="5"/>
      <c r="D9323" s="5"/>
      <c r="E9323" s="43"/>
      <c r="F9323" s="43"/>
      <c r="G9323" s="48">
        <f t="shared" si="232"/>
        <v>4474.6015943642706</v>
      </c>
    </row>
    <row r="9324" spans="1:7" x14ac:dyDescent="0.3">
      <c r="A9324" s="5"/>
      <c r="B9324" s="399"/>
      <c r="C9324" s="5"/>
      <c r="D9324" s="5"/>
      <c r="E9324" s="43"/>
      <c r="F9324" s="43"/>
      <c r="G9324" s="48">
        <f t="shared" si="232"/>
        <v>4474.6015943642706</v>
      </c>
    </row>
    <row r="9325" spans="1:7" x14ac:dyDescent="0.3">
      <c r="A9325" s="5"/>
      <c r="B9325" s="399"/>
      <c r="C9325" s="5"/>
      <c r="D9325" s="5"/>
      <c r="E9325" s="43"/>
      <c r="F9325" s="43"/>
      <c r="G9325" s="48">
        <f t="shared" si="232"/>
        <v>4474.6015943642706</v>
      </c>
    </row>
    <row r="9326" spans="1:7" x14ac:dyDescent="0.3">
      <c r="A9326" s="5"/>
      <c r="B9326" s="399"/>
      <c r="C9326" s="5"/>
      <c r="D9326" s="5"/>
      <c r="E9326" s="43"/>
      <c r="F9326" s="43"/>
      <c r="G9326" s="48">
        <f t="shared" si="232"/>
        <v>4474.6015943642706</v>
      </c>
    </row>
    <row r="9327" spans="1:7" x14ac:dyDescent="0.3">
      <c r="A9327" s="5"/>
      <c r="B9327" s="399"/>
      <c r="C9327" s="5"/>
      <c r="D9327" s="5"/>
      <c r="E9327" s="43"/>
      <c r="F9327" s="43"/>
      <c r="G9327" s="48">
        <f t="shared" si="232"/>
        <v>4474.6015943642706</v>
      </c>
    </row>
    <row r="9328" spans="1:7" x14ac:dyDescent="0.3">
      <c r="A9328" s="5"/>
      <c r="B9328" s="399"/>
      <c r="C9328" s="5"/>
      <c r="D9328" s="5"/>
      <c r="E9328" s="43"/>
      <c r="F9328" s="43"/>
      <c r="G9328" s="48">
        <f t="shared" si="232"/>
        <v>4474.6015943642706</v>
      </c>
    </row>
    <row r="9329" spans="1:7" x14ac:dyDescent="0.3">
      <c r="A9329" s="5"/>
      <c r="B9329" s="399"/>
      <c r="C9329" s="5"/>
      <c r="D9329" s="5"/>
      <c r="E9329" s="43"/>
      <c r="F9329" s="43"/>
      <c r="G9329" s="48">
        <f t="shared" si="232"/>
        <v>4474.6015943642706</v>
      </c>
    </row>
    <row r="9330" spans="1:7" x14ac:dyDescent="0.3">
      <c r="A9330" s="5"/>
      <c r="B9330" s="399"/>
      <c r="C9330" s="5"/>
      <c r="D9330" s="5"/>
      <c r="E9330" s="43"/>
      <c r="F9330" s="43"/>
      <c r="G9330" s="48">
        <f t="shared" si="232"/>
        <v>4474.6015943642706</v>
      </c>
    </row>
    <row r="9331" spans="1:7" x14ac:dyDescent="0.3">
      <c r="A9331" s="5"/>
      <c r="B9331" s="399"/>
      <c r="C9331" s="5"/>
      <c r="D9331" s="5"/>
      <c r="E9331" s="43"/>
      <c r="F9331" s="43"/>
      <c r="G9331" s="48">
        <f t="shared" si="232"/>
        <v>4474.6015943642706</v>
      </c>
    </row>
    <row r="9332" spans="1:7" x14ac:dyDescent="0.3">
      <c r="A9332" s="5"/>
      <c r="B9332" s="399"/>
      <c r="C9332" s="5"/>
      <c r="D9332" s="5"/>
      <c r="E9332" s="43"/>
      <c r="F9332" s="43"/>
      <c r="G9332" s="48">
        <f t="shared" si="232"/>
        <v>4474.6015943642706</v>
      </c>
    </row>
    <row r="9333" spans="1:7" x14ac:dyDescent="0.3">
      <c r="A9333" s="5"/>
      <c r="B9333" s="399"/>
      <c r="C9333" s="5"/>
      <c r="D9333" s="5"/>
      <c r="E9333" s="43"/>
      <c r="F9333" s="43"/>
      <c r="G9333" s="48">
        <f t="shared" si="232"/>
        <v>4474.6015943642706</v>
      </c>
    </row>
    <row r="9334" spans="1:7" x14ac:dyDescent="0.3">
      <c r="A9334" s="5"/>
      <c r="B9334" s="399"/>
      <c r="C9334" s="5"/>
      <c r="D9334" s="5"/>
      <c r="E9334" s="43"/>
      <c r="F9334" s="43"/>
      <c r="G9334" s="48">
        <f t="shared" si="232"/>
        <v>4474.6015943642706</v>
      </c>
    </row>
    <row r="9335" spans="1:7" x14ac:dyDescent="0.3">
      <c r="A9335" s="5"/>
      <c r="B9335" s="399"/>
      <c r="C9335" s="5"/>
      <c r="D9335" s="5"/>
      <c r="E9335" s="43"/>
      <c r="F9335" s="43"/>
      <c r="G9335" s="48">
        <f t="shared" si="232"/>
        <v>4474.6015943642706</v>
      </c>
    </row>
    <row r="9336" spans="1:7" x14ac:dyDescent="0.3">
      <c r="A9336" s="5"/>
      <c r="B9336" s="399"/>
      <c r="C9336" s="5"/>
      <c r="D9336" s="5"/>
      <c r="E9336" s="43"/>
      <c r="F9336" s="43"/>
      <c r="G9336" s="48">
        <f t="shared" si="232"/>
        <v>4474.6015943642706</v>
      </c>
    </row>
    <row r="9337" spans="1:7" x14ac:dyDescent="0.3">
      <c r="A9337" s="5"/>
      <c r="B9337" s="399"/>
      <c r="C9337" s="5"/>
      <c r="D9337" s="5"/>
      <c r="E9337" s="43"/>
      <c r="F9337" s="43"/>
      <c r="G9337" s="48">
        <f t="shared" si="232"/>
        <v>4474.6015943642706</v>
      </c>
    </row>
    <row r="9338" spans="1:7" x14ac:dyDescent="0.3">
      <c r="A9338" s="5"/>
      <c r="B9338" s="399"/>
      <c r="C9338" s="5"/>
      <c r="D9338" s="5"/>
      <c r="E9338" s="43"/>
      <c r="F9338" s="43"/>
      <c r="G9338" s="48">
        <f t="shared" si="232"/>
        <v>4474.6015943642706</v>
      </c>
    </row>
    <row r="9339" spans="1:7" x14ac:dyDescent="0.3">
      <c r="A9339" s="5"/>
      <c r="B9339" s="399"/>
      <c r="C9339" s="5"/>
      <c r="D9339" s="5"/>
      <c r="E9339" s="43"/>
      <c r="F9339" s="43"/>
      <c r="G9339" s="48">
        <f t="shared" si="232"/>
        <v>4474.6015943642706</v>
      </c>
    </row>
    <row r="9340" spans="1:7" x14ac:dyDescent="0.3">
      <c r="A9340" s="5"/>
      <c r="B9340" s="399"/>
      <c r="C9340" s="5"/>
      <c r="D9340" s="5"/>
      <c r="E9340" s="43"/>
      <c r="F9340" s="43"/>
      <c r="G9340" s="48">
        <f t="shared" si="232"/>
        <v>4474.6015943642706</v>
      </c>
    </row>
    <row r="9341" spans="1:7" x14ac:dyDescent="0.3">
      <c r="A9341" s="5"/>
      <c r="B9341" s="399"/>
      <c r="C9341" s="5"/>
      <c r="D9341" s="5"/>
      <c r="E9341" s="43"/>
      <c r="F9341" s="43"/>
      <c r="G9341" s="48">
        <f t="shared" si="232"/>
        <v>4474.6015943642706</v>
      </c>
    </row>
    <row r="9342" spans="1:7" x14ac:dyDescent="0.3">
      <c r="A9342" s="5"/>
      <c r="B9342" s="399"/>
      <c r="C9342" s="5"/>
      <c r="D9342" s="5"/>
      <c r="E9342" s="43"/>
      <c r="F9342" s="43"/>
      <c r="G9342" s="48">
        <f t="shared" si="232"/>
        <v>4474.6015943642706</v>
      </c>
    </row>
    <row r="9343" spans="1:7" x14ac:dyDescent="0.3">
      <c r="A9343" s="5"/>
      <c r="B9343" s="399"/>
      <c r="C9343" s="5"/>
      <c r="D9343" s="5"/>
      <c r="E9343" s="43"/>
      <c r="F9343" s="43"/>
      <c r="G9343" s="48">
        <f t="shared" si="232"/>
        <v>4474.6015943642706</v>
      </c>
    </row>
    <row r="9344" spans="1:7" x14ac:dyDescent="0.3">
      <c r="A9344" s="5"/>
      <c r="B9344" s="399"/>
      <c r="C9344" s="5"/>
      <c r="D9344" s="5"/>
      <c r="E9344" s="43"/>
      <c r="F9344" s="43"/>
      <c r="G9344" s="48">
        <f t="shared" si="232"/>
        <v>4474.6015943642706</v>
      </c>
    </row>
    <row r="9345" spans="1:7" x14ac:dyDescent="0.3">
      <c r="A9345" s="5"/>
      <c r="B9345" s="399"/>
      <c r="C9345" s="5"/>
      <c r="D9345" s="5"/>
      <c r="E9345" s="43"/>
      <c r="F9345" s="43"/>
      <c r="G9345" s="48">
        <f t="shared" si="232"/>
        <v>4474.6015943642706</v>
      </c>
    </row>
    <row r="9346" spans="1:7" x14ac:dyDescent="0.3">
      <c r="A9346" s="5"/>
      <c r="B9346" s="399"/>
      <c r="C9346" s="5"/>
      <c r="D9346" s="5"/>
      <c r="E9346" s="43"/>
      <c r="F9346" s="43"/>
      <c r="G9346" s="48">
        <f t="shared" si="232"/>
        <v>4474.6015943642706</v>
      </c>
    </row>
    <row r="9347" spans="1:7" x14ac:dyDescent="0.3">
      <c r="A9347" s="5"/>
      <c r="B9347" s="399"/>
      <c r="C9347" s="5"/>
      <c r="D9347" s="5"/>
      <c r="E9347" s="43"/>
      <c r="F9347" s="43"/>
      <c r="G9347" s="48">
        <f t="shared" si="232"/>
        <v>4474.6015943642706</v>
      </c>
    </row>
    <row r="9348" spans="1:7" x14ac:dyDescent="0.3">
      <c r="A9348" s="5"/>
      <c r="B9348" s="399"/>
      <c r="C9348" s="5"/>
      <c r="D9348" s="5"/>
      <c r="E9348" s="43"/>
      <c r="F9348" s="43"/>
      <c r="G9348" s="48">
        <f t="shared" si="232"/>
        <v>4474.6015943642706</v>
      </c>
    </row>
    <row r="9349" spans="1:7" x14ac:dyDescent="0.3">
      <c r="A9349" s="5"/>
      <c r="B9349" s="399"/>
      <c r="C9349" s="5"/>
      <c r="D9349" s="5"/>
      <c r="E9349" s="43"/>
      <c r="F9349" s="43"/>
      <c r="G9349" s="48">
        <f t="shared" si="232"/>
        <v>4474.6015943642706</v>
      </c>
    </row>
    <row r="9350" spans="1:7" x14ac:dyDescent="0.3">
      <c r="A9350" s="5"/>
      <c r="B9350" s="399"/>
      <c r="C9350" s="5"/>
      <c r="D9350" s="5"/>
      <c r="E9350" s="43"/>
      <c r="F9350" s="43"/>
      <c r="G9350" s="48">
        <f t="shared" si="232"/>
        <v>4474.6015943642706</v>
      </c>
    </row>
    <row r="9351" spans="1:7" x14ac:dyDescent="0.3">
      <c r="A9351" s="5"/>
      <c r="B9351" s="399"/>
      <c r="C9351" s="5"/>
      <c r="D9351" s="5"/>
      <c r="E9351" s="43"/>
      <c r="F9351" s="43"/>
      <c r="G9351" s="48">
        <f t="shared" si="232"/>
        <v>4474.6015943642706</v>
      </c>
    </row>
    <row r="9352" spans="1:7" x14ac:dyDescent="0.3">
      <c r="A9352" s="5"/>
      <c r="B9352" s="399"/>
      <c r="C9352" s="5"/>
      <c r="D9352" s="5"/>
      <c r="E9352" s="43"/>
      <c r="F9352" s="43"/>
      <c r="G9352" s="48">
        <f t="shared" si="232"/>
        <v>4474.6015943642706</v>
      </c>
    </row>
    <row r="9353" spans="1:7" x14ac:dyDescent="0.3">
      <c r="A9353" s="5"/>
      <c r="B9353" s="399"/>
      <c r="C9353" s="5"/>
      <c r="D9353" s="5"/>
      <c r="E9353" s="43"/>
      <c r="F9353" s="43"/>
      <c r="G9353" s="48">
        <f t="shared" si="232"/>
        <v>4474.6015943642706</v>
      </c>
    </row>
    <row r="9354" spans="1:7" x14ac:dyDescent="0.3">
      <c r="A9354" s="5"/>
      <c r="B9354" s="399"/>
      <c r="C9354" s="5"/>
      <c r="D9354" s="5"/>
      <c r="E9354" s="43"/>
      <c r="F9354" s="43"/>
      <c r="G9354" s="48">
        <f t="shared" si="232"/>
        <v>4474.6015943642706</v>
      </c>
    </row>
    <row r="9355" spans="1:7" x14ac:dyDescent="0.3">
      <c r="A9355" s="5"/>
      <c r="B9355" s="399"/>
      <c r="C9355" s="5"/>
      <c r="D9355" s="5"/>
      <c r="E9355" s="43"/>
      <c r="F9355" s="43"/>
      <c r="G9355" s="48">
        <f t="shared" si="232"/>
        <v>4474.6015943642706</v>
      </c>
    </row>
    <row r="9356" spans="1:7" x14ac:dyDescent="0.3">
      <c r="A9356" s="5"/>
      <c r="B9356" s="399"/>
      <c r="C9356" s="5"/>
      <c r="D9356" s="5"/>
      <c r="E9356" s="43"/>
      <c r="F9356" s="43"/>
      <c r="G9356" s="48">
        <f t="shared" si="232"/>
        <v>4474.6015943642706</v>
      </c>
    </row>
    <row r="9357" spans="1:7" x14ac:dyDescent="0.3">
      <c r="A9357" s="5"/>
      <c r="B9357" s="399"/>
      <c r="C9357" s="5"/>
      <c r="D9357" s="5"/>
      <c r="E9357" s="43"/>
      <c r="F9357" s="43"/>
      <c r="G9357" s="48">
        <f t="shared" si="232"/>
        <v>4474.6015943642706</v>
      </c>
    </row>
    <row r="9358" spans="1:7" x14ac:dyDescent="0.3">
      <c r="A9358" s="5"/>
      <c r="B9358" s="399"/>
      <c r="C9358" s="5"/>
      <c r="D9358" s="5"/>
      <c r="E9358" s="43"/>
      <c r="F9358" s="43"/>
      <c r="G9358" s="48">
        <f t="shared" si="232"/>
        <v>4474.6015943642706</v>
      </c>
    </row>
    <row r="9359" spans="1:7" x14ac:dyDescent="0.3">
      <c r="A9359" s="5"/>
      <c r="B9359" s="399"/>
      <c r="C9359" s="5"/>
      <c r="D9359" s="5"/>
      <c r="E9359" s="43"/>
      <c r="F9359" s="43"/>
      <c r="G9359" s="48">
        <f t="shared" si="232"/>
        <v>4474.6015943642706</v>
      </c>
    </row>
    <row r="9360" spans="1:7" x14ac:dyDescent="0.3">
      <c r="A9360" s="5"/>
      <c r="B9360" s="399"/>
      <c r="C9360" s="5"/>
      <c r="D9360" s="5"/>
      <c r="E9360" s="43"/>
      <c r="F9360" s="43"/>
      <c r="G9360" s="48">
        <f t="shared" si="232"/>
        <v>4474.6015943642706</v>
      </c>
    </row>
    <row r="9361" spans="1:7" x14ac:dyDescent="0.3">
      <c r="A9361" s="5"/>
      <c r="B9361" s="399"/>
      <c r="C9361" s="5"/>
      <c r="D9361" s="5"/>
      <c r="E9361" s="43"/>
      <c r="F9361" s="43"/>
      <c r="G9361" s="48">
        <f t="shared" si="232"/>
        <v>4474.6015943642706</v>
      </c>
    </row>
    <row r="9362" spans="1:7" x14ac:dyDescent="0.3">
      <c r="A9362" s="5"/>
      <c r="B9362" s="399"/>
      <c r="C9362" s="5"/>
      <c r="D9362" s="5"/>
      <c r="E9362" s="43"/>
      <c r="F9362" s="43"/>
      <c r="G9362" s="48">
        <f t="shared" si="232"/>
        <v>4474.6015943642706</v>
      </c>
    </row>
    <row r="9363" spans="1:7" x14ac:dyDescent="0.3">
      <c r="A9363" s="5"/>
      <c r="B9363" s="399"/>
      <c r="C9363" s="5"/>
      <c r="D9363" s="5"/>
      <c r="E9363" s="43"/>
      <c r="F9363" s="43"/>
      <c r="G9363" s="48">
        <f t="shared" si="232"/>
        <v>4474.6015943642706</v>
      </c>
    </row>
    <row r="9364" spans="1:7" x14ac:dyDescent="0.3">
      <c r="A9364" s="5"/>
      <c r="B9364" s="399"/>
      <c r="C9364" s="5"/>
      <c r="D9364" s="5"/>
      <c r="E9364" s="43"/>
      <c r="F9364" s="43"/>
      <c r="G9364" s="48">
        <f t="shared" si="232"/>
        <v>4474.6015943642706</v>
      </c>
    </row>
    <row r="9365" spans="1:7" x14ac:dyDescent="0.3">
      <c r="A9365" s="5"/>
      <c r="B9365" s="399"/>
      <c r="C9365" s="5"/>
      <c r="D9365" s="5"/>
      <c r="E9365" s="43"/>
      <c r="F9365" s="43"/>
      <c r="G9365" s="48">
        <f t="shared" si="232"/>
        <v>4474.6015943642706</v>
      </c>
    </row>
    <row r="9366" spans="1:7" x14ac:dyDescent="0.3">
      <c r="A9366" s="5"/>
      <c r="B9366" s="399"/>
      <c r="C9366" s="5"/>
      <c r="D9366" s="5"/>
      <c r="E9366" s="43"/>
      <c r="F9366" s="43"/>
      <c r="G9366" s="48">
        <f t="shared" si="232"/>
        <v>4474.6015943642706</v>
      </c>
    </row>
    <row r="9367" spans="1:7" x14ac:dyDescent="0.3">
      <c r="A9367" s="5"/>
      <c r="B9367" s="399"/>
      <c r="C9367" s="5"/>
      <c r="D9367" s="5"/>
      <c r="E9367" s="43"/>
      <c r="F9367" s="43"/>
      <c r="G9367" s="48">
        <f t="shared" si="232"/>
        <v>4474.6015943642706</v>
      </c>
    </row>
    <row r="9368" spans="1:7" x14ac:dyDescent="0.3">
      <c r="A9368" s="5"/>
      <c r="B9368" s="399"/>
      <c r="C9368" s="5"/>
      <c r="D9368" s="5"/>
      <c r="E9368" s="43"/>
      <c r="F9368" s="43"/>
      <c r="G9368" s="48">
        <f t="shared" si="232"/>
        <v>4474.6015943642706</v>
      </c>
    </row>
    <row r="9369" spans="1:7" x14ac:dyDescent="0.3">
      <c r="A9369" s="5"/>
      <c r="B9369" s="399"/>
      <c r="C9369" s="5"/>
      <c r="D9369" s="5"/>
      <c r="E9369" s="43"/>
      <c r="F9369" s="43"/>
      <c r="G9369" s="48">
        <f t="shared" si="232"/>
        <v>4474.6015943642706</v>
      </c>
    </row>
    <row r="9370" spans="1:7" x14ac:dyDescent="0.3">
      <c r="A9370" s="5"/>
      <c r="B9370" s="399"/>
      <c r="C9370" s="5"/>
      <c r="D9370" s="5"/>
      <c r="E9370" s="43"/>
      <c r="F9370" s="43"/>
      <c r="G9370" s="48">
        <f t="shared" ref="G9370:G9433" si="233">G9369+F9370-E9371</f>
        <v>4474.6015943642706</v>
      </c>
    </row>
    <row r="9371" spans="1:7" x14ac:dyDescent="0.3">
      <c r="A9371" s="5"/>
      <c r="B9371" s="399"/>
      <c r="C9371" s="5"/>
      <c r="D9371" s="5"/>
      <c r="E9371" s="43"/>
      <c r="F9371" s="43"/>
      <c r="G9371" s="48">
        <f t="shared" si="233"/>
        <v>4474.6015943642706</v>
      </c>
    </row>
    <row r="9372" spans="1:7" x14ac:dyDescent="0.3">
      <c r="A9372" s="5"/>
      <c r="B9372" s="399"/>
      <c r="C9372" s="5"/>
      <c r="D9372" s="5"/>
      <c r="E9372" s="43"/>
      <c r="F9372" s="43"/>
      <c r="G9372" s="48">
        <f t="shared" si="233"/>
        <v>4474.6015943642706</v>
      </c>
    </row>
    <row r="9373" spans="1:7" x14ac:dyDescent="0.3">
      <c r="A9373" s="5"/>
      <c r="B9373" s="399"/>
      <c r="C9373" s="5"/>
      <c r="D9373" s="5"/>
      <c r="E9373" s="43"/>
      <c r="F9373" s="43"/>
      <c r="G9373" s="48">
        <f t="shared" si="233"/>
        <v>4474.6015943642706</v>
      </c>
    </row>
    <row r="9374" spans="1:7" x14ac:dyDescent="0.3">
      <c r="A9374" s="5"/>
      <c r="B9374" s="399"/>
      <c r="C9374" s="5"/>
      <c r="D9374" s="5"/>
      <c r="E9374" s="43"/>
      <c r="F9374" s="43"/>
      <c r="G9374" s="48">
        <f t="shared" si="233"/>
        <v>4474.6015943642706</v>
      </c>
    </row>
    <row r="9375" spans="1:7" x14ac:dyDescent="0.3">
      <c r="A9375" s="5"/>
      <c r="B9375" s="399"/>
      <c r="C9375" s="5"/>
      <c r="D9375" s="5"/>
      <c r="E9375" s="43"/>
      <c r="F9375" s="43"/>
      <c r="G9375" s="48">
        <f t="shared" si="233"/>
        <v>4474.6015943642706</v>
      </c>
    </row>
    <row r="9376" spans="1:7" x14ac:dyDescent="0.3">
      <c r="A9376" s="5"/>
      <c r="B9376" s="399"/>
      <c r="C9376" s="5"/>
      <c r="D9376" s="5"/>
      <c r="E9376" s="43"/>
      <c r="F9376" s="43"/>
      <c r="G9376" s="48">
        <f t="shared" si="233"/>
        <v>4474.6015943642706</v>
      </c>
    </row>
    <row r="9377" spans="1:7" x14ac:dyDescent="0.3">
      <c r="A9377" s="5"/>
      <c r="B9377" s="399"/>
      <c r="C9377" s="5"/>
      <c r="D9377" s="5"/>
      <c r="E9377" s="43"/>
      <c r="F9377" s="43"/>
      <c r="G9377" s="48">
        <f t="shared" si="233"/>
        <v>4474.6015943642706</v>
      </c>
    </row>
    <row r="9378" spans="1:7" x14ac:dyDescent="0.3">
      <c r="A9378" s="5"/>
      <c r="B9378" s="399"/>
      <c r="C9378" s="5"/>
      <c r="D9378" s="5"/>
      <c r="E9378" s="43"/>
      <c r="F9378" s="43"/>
      <c r="G9378" s="48">
        <f t="shared" si="233"/>
        <v>4474.6015943642706</v>
      </c>
    </row>
    <row r="9379" spans="1:7" x14ac:dyDescent="0.3">
      <c r="A9379" s="5"/>
      <c r="B9379" s="399"/>
      <c r="C9379" s="5"/>
      <c r="D9379" s="5"/>
      <c r="E9379" s="43"/>
      <c r="F9379" s="43"/>
      <c r="G9379" s="48">
        <f t="shared" si="233"/>
        <v>4474.6015943642706</v>
      </c>
    </row>
    <row r="9380" spans="1:7" x14ac:dyDescent="0.3">
      <c r="A9380" s="5"/>
      <c r="B9380" s="399"/>
      <c r="C9380" s="5"/>
      <c r="D9380" s="5"/>
      <c r="E9380" s="43"/>
      <c r="F9380" s="43"/>
      <c r="G9380" s="48">
        <f t="shared" si="233"/>
        <v>4474.6015943642706</v>
      </c>
    </row>
    <row r="9381" spans="1:7" x14ac:dyDescent="0.3">
      <c r="A9381" s="5"/>
      <c r="B9381" s="399"/>
      <c r="C9381" s="5"/>
      <c r="D9381" s="5"/>
      <c r="E9381" s="43"/>
      <c r="F9381" s="43"/>
      <c r="G9381" s="48">
        <f t="shared" si="233"/>
        <v>4474.6015943642706</v>
      </c>
    </row>
    <row r="9382" spans="1:7" x14ac:dyDescent="0.3">
      <c r="A9382" s="5"/>
      <c r="B9382" s="399"/>
      <c r="C9382" s="5"/>
      <c r="D9382" s="5"/>
      <c r="E9382" s="43"/>
      <c r="F9382" s="43"/>
      <c r="G9382" s="48">
        <f t="shared" si="233"/>
        <v>4474.6015943642706</v>
      </c>
    </row>
    <row r="9383" spans="1:7" x14ac:dyDescent="0.3">
      <c r="A9383" s="5"/>
      <c r="B9383" s="399"/>
      <c r="C9383" s="5"/>
      <c r="D9383" s="5"/>
      <c r="E9383" s="43"/>
      <c r="F9383" s="43"/>
      <c r="G9383" s="48">
        <f t="shared" si="233"/>
        <v>4474.6015943642706</v>
      </c>
    </row>
    <row r="9384" spans="1:7" x14ac:dyDescent="0.3">
      <c r="A9384" s="5"/>
      <c r="B9384" s="399"/>
      <c r="C9384" s="5"/>
      <c r="D9384" s="5"/>
      <c r="E9384" s="43"/>
      <c r="F9384" s="43"/>
      <c r="G9384" s="48">
        <f t="shared" si="233"/>
        <v>4474.6015943642706</v>
      </c>
    </row>
    <row r="9385" spans="1:7" x14ac:dyDescent="0.3">
      <c r="A9385" s="5"/>
      <c r="B9385" s="399"/>
      <c r="C9385" s="5"/>
      <c r="D9385" s="5"/>
      <c r="E9385" s="43"/>
      <c r="F9385" s="43"/>
      <c r="G9385" s="48">
        <f t="shared" si="233"/>
        <v>4474.6015943642706</v>
      </c>
    </row>
    <row r="9386" spans="1:7" x14ac:dyDescent="0.3">
      <c r="A9386" s="5"/>
      <c r="B9386" s="399"/>
      <c r="C9386" s="5"/>
      <c r="D9386" s="5"/>
      <c r="E9386" s="43"/>
      <c r="F9386" s="43"/>
      <c r="G9386" s="48">
        <f t="shared" si="233"/>
        <v>4474.6015943642706</v>
      </c>
    </row>
    <row r="9387" spans="1:7" x14ac:dyDescent="0.3">
      <c r="A9387" s="5"/>
      <c r="B9387" s="399"/>
      <c r="C9387" s="5"/>
      <c r="D9387" s="5"/>
      <c r="E9387" s="43"/>
      <c r="F9387" s="43"/>
      <c r="G9387" s="48">
        <f t="shared" si="233"/>
        <v>4474.6015943642706</v>
      </c>
    </row>
    <row r="9388" spans="1:7" x14ac:dyDescent="0.3">
      <c r="A9388" s="5"/>
      <c r="B9388" s="399"/>
      <c r="C9388" s="5"/>
      <c r="D9388" s="5"/>
      <c r="E9388" s="43"/>
      <c r="F9388" s="43"/>
      <c r="G9388" s="48">
        <f t="shared" si="233"/>
        <v>4474.6015943642706</v>
      </c>
    </row>
    <row r="9389" spans="1:7" x14ac:dyDescent="0.3">
      <c r="A9389" s="5"/>
      <c r="B9389" s="399"/>
      <c r="C9389" s="5"/>
      <c r="D9389" s="5"/>
      <c r="E9389" s="43"/>
      <c r="F9389" s="43"/>
      <c r="G9389" s="48">
        <f t="shared" si="233"/>
        <v>4474.6015943642706</v>
      </c>
    </row>
    <row r="9390" spans="1:7" x14ac:dyDescent="0.3">
      <c r="A9390" s="5"/>
      <c r="B9390" s="399"/>
      <c r="C9390" s="5"/>
      <c r="D9390" s="5"/>
      <c r="E9390" s="43"/>
      <c r="F9390" s="43"/>
      <c r="G9390" s="48">
        <f t="shared" si="233"/>
        <v>4474.6015943642706</v>
      </c>
    </row>
    <row r="9391" spans="1:7" x14ac:dyDescent="0.3">
      <c r="A9391" s="5"/>
      <c r="B9391" s="399"/>
      <c r="C9391" s="5"/>
      <c r="D9391" s="5"/>
      <c r="E9391" s="43"/>
      <c r="F9391" s="43"/>
      <c r="G9391" s="48">
        <f t="shared" si="233"/>
        <v>4474.6015943642706</v>
      </c>
    </row>
    <row r="9392" spans="1:7" x14ac:dyDescent="0.3">
      <c r="A9392" s="5"/>
      <c r="B9392" s="399"/>
      <c r="C9392" s="5"/>
      <c r="D9392" s="5"/>
      <c r="E9392" s="43"/>
      <c r="F9392" s="43"/>
      <c r="G9392" s="48">
        <f t="shared" si="233"/>
        <v>4474.6015943642706</v>
      </c>
    </row>
    <row r="9393" spans="1:7" x14ac:dyDescent="0.3">
      <c r="A9393" s="5"/>
      <c r="B9393" s="399"/>
      <c r="C9393" s="5"/>
      <c r="D9393" s="5"/>
      <c r="E9393" s="43"/>
      <c r="F9393" s="43"/>
      <c r="G9393" s="48">
        <f t="shared" si="233"/>
        <v>4474.6015943642706</v>
      </c>
    </row>
    <row r="9394" spans="1:7" x14ac:dyDescent="0.3">
      <c r="A9394" s="5"/>
      <c r="B9394" s="399"/>
      <c r="C9394" s="5"/>
      <c r="D9394" s="5"/>
      <c r="E9394" s="43"/>
      <c r="F9394" s="43"/>
      <c r="G9394" s="48">
        <f t="shared" si="233"/>
        <v>4474.6015943642706</v>
      </c>
    </row>
    <row r="9395" spans="1:7" x14ac:dyDescent="0.3">
      <c r="A9395" s="5"/>
      <c r="B9395" s="399"/>
      <c r="C9395" s="5"/>
      <c r="D9395" s="5"/>
      <c r="E9395" s="43"/>
      <c r="F9395" s="43"/>
      <c r="G9395" s="48">
        <f t="shared" si="233"/>
        <v>4474.6015943642706</v>
      </c>
    </row>
    <row r="9396" spans="1:7" x14ac:dyDescent="0.3">
      <c r="A9396" s="5"/>
      <c r="B9396" s="399"/>
      <c r="C9396" s="5"/>
      <c r="D9396" s="5"/>
      <c r="E9396" s="43"/>
      <c r="F9396" s="43"/>
      <c r="G9396" s="48">
        <f t="shared" si="233"/>
        <v>4474.6015943642706</v>
      </c>
    </row>
    <row r="9397" spans="1:7" x14ac:dyDescent="0.3">
      <c r="A9397" s="5"/>
      <c r="B9397" s="399"/>
      <c r="C9397" s="5"/>
      <c r="D9397" s="5"/>
      <c r="E9397" s="43"/>
      <c r="F9397" s="43"/>
      <c r="G9397" s="48">
        <f t="shared" si="233"/>
        <v>4474.6015943642706</v>
      </c>
    </row>
    <row r="9398" spans="1:7" x14ac:dyDescent="0.3">
      <c r="A9398" s="5"/>
      <c r="B9398" s="399"/>
      <c r="C9398" s="5"/>
      <c r="D9398" s="5"/>
      <c r="E9398" s="43"/>
      <c r="F9398" s="43"/>
      <c r="G9398" s="48">
        <f t="shared" si="233"/>
        <v>4474.6015943642706</v>
      </c>
    </row>
    <row r="9399" spans="1:7" x14ac:dyDescent="0.3">
      <c r="A9399" s="5"/>
      <c r="B9399" s="399"/>
      <c r="C9399" s="5"/>
      <c r="D9399" s="5"/>
      <c r="E9399" s="43"/>
      <c r="F9399" s="43"/>
      <c r="G9399" s="48">
        <f t="shared" si="233"/>
        <v>4474.6015943642706</v>
      </c>
    </row>
    <row r="9400" spans="1:7" x14ac:dyDescent="0.3">
      <c r="A9400" s="5"/>
      <c r="B9400" s="399"/>
      <c r="C9400" s="5"/>
      <c r="D9400" s="5"/>
      <c r="E9400" s="43"/>
      <c r="F9400" s="43"/>
      <c r="G9400" s="48">
        <f t="shared" si="233"/>
        <v>4474.6015943642706</v>
      </c>
    </row>
    <row r="9401" spans="1:7" x14ac:dyDescent="0.3">
      <c r="A9401" s="5"/>
      <c r="B9401" s="399"/>
      <c r="C9401" s="5"/>
      <c r="D9401" s="5"/>
      <c r="E9401" s="43"/>
      <c r="F9401" s="43"/>
      <c r="G9401" s="48">
        <f t="shared" si="233"/>
        <v>4474.6015943642706</v>
      </c>
    </row>
    <row r="9402" spans="1:7" x14ac:dyDescent="0.3">
      <c r="A9402" s="5"/>
      <c r="B9402" s="399"/>
      <c r="C9402" s="5"/>
      <c r="D9402" s="5"/>
      <c r="E9402" s="43"/>
      <c r="F9402" s="43"/>
      <c r="G9402" s="48">
        <f t="shared" si="233"/>
        <v>4474.6015943642706</v>
      </c>
    </row>
    <row r="9403" spans="1:7" x14ac:dyDescent="0.3">
      <c r="A9403" s="5"/>
      <c r="B9403" s="399"/>
      <c r="C9403" s="5"/>
      <c r="D9403" s="5"/>
      <c r="E9403" s="43"/>
      <c r="F9403" s="43"/>
      <c r="G9403" s="48">
        <f t="shared" si="233"/>
        <v>4474.6015943642706</v>
      </c>
    </row>
    <row r="9404" spans="1:7" x14ac:dyDescent="0.3">
      <c r="A9404" s="5"/>
      <c r="B9404" s="399"/>
      <c r="C9404" s="5"/>
      <c r="D9404" s="5"/>
      <c r="E9404" s="43"/>
      <c r="F9404" s="43"/>
      <c r="G9404" s="48">
        <f t="shared" si="233"/>
        <v>4474.6015943642706</v>
      </c>
    </row>
    <row r="9405" spans="1:7" x14ac:dyDescent="0.3">
      <c r="A9405" s="5"/>
      <c r="B9405" s="399"/>
      <c r="C9405" s="5"/>
      <c r="D9405" s="5"/>
      <c r="E9405" s="43"/>
      <c r="F9405" s="43"/>
      <c r="G9405" s="48">
        <f t="shared" si="233"/>
        <v>4474.6015943642706</v>
      </c>
    </row>
    <row r="9406" spans="1:7" x14ac:dyDescent="0.3">
      <c r="A9406" s="5"/>
      <c r="B9406" s="399"/>
      <c r="C9406" s="5"/>
      <c r="D9406" s="5"/>
      <c r="E9406" s="43"/>
      <c r="F9406" s="43"/>
      <c r="G9406" s="48">
        <f t="shared" si="233"/>
        <v>4474.6015943642706</v>
      </c>
    </row>
    <row r="9407" spans="1:7" x14ac:dyDescent="0.3">
      <c r="A9407" s="5"/>
      <c r="B9407" s="399"/>
      <c r="C9407" s="5"/>
      <c r="D9407" s="5"/>
      <c r="E9407" s="43"/>
      <c r="F9407" s="43"/>
      <c r="G9407" s="48">
        <f t="shared" si="233"/>
        <v>4474.6015943642706</v>
      </c>
    </row>
    <row r="9408" spans="1:7" x14ac:dyDescent="0.3">
      <c r="A9408" s="5"/>
      <c r="B9408" s="399"/>
      <c r="C9408" s="5"/>
      <c r="D9408" s="5"/>
      <c r="E9408" s="43"/>
      <c r="F9408" s="43"/>
      <c r="G9408" s="48">
        <f t="shared" si="233"/>
        <v>4474.6015943642706</v>
      </c>
    </row>
    <row r="9409" spans="1:7" x14ac:dyDescent="0.3">
      <c r="A9409" s="5"/>
      <c r="B9409" s="399"/>
      <c r="C9409" s="5"/>
      <c r="D9409" s="5"/>
      <c r="E9409" s="43"/>
      <c r="F9409" s="43"/>
      <c r="G9409" s="48">
        <f t="shared" si="233"/>
        <v>4474.6015943642706</v>
      </c>
    </row>
    <row r="9410" spans="1:7" x14ac:dyDescent="0.3">
      <c r="A9410" s="5"/>
      <c r="B9410" s="399"/>
      <c r="C9410" s="5"/>
      <c r="D9410" s="5"/>
      <c r="E9410" s="43"/>
      <c r="F9410" s="43"/>
      <c r="G9410" s="48">
        <f t="shared" si="233"/>
        <v>4474.6015943642706</v>
      </c>
    </row>
    <row r="9411" spans="1:7" x14ac:dyDescent="0.3">
      <c r="A9411" s="5"/>
      <c r="B9411" s="399"/>
      <c r="C9411" s="5"/>
      <c r="D9411" s="5"/>
      <c r="E9411" s="43"/>
      <c r="F9411" s="43"/>
      <c r="G9411" s="48">
        <f t="shared" si="233"/>
        <v>4474.6015943642706</v>
      </c>
    </row>
    <row r="9412" spans="1:7" x14ac:dyDescent="0.3">
      <c r="A9412" s="5"/>
      <c r="B9412" s="399"/>
      <c r="C9412" s="5"/>
      <c r="D9412" s="5"/>
      <c r="E9412" s="43"/>
      <c r="F9412" s="43"/>
      <c r="G9412" s="48">
        <f t="shared" si="233"/>
        <v>4474.6015943642706</v>
      </c>
    </row>
    <row r="9413" spans="1:7" x14ac:dyDescent="0.3">
      <c r="A9413" s="5"/>
      <c r="B9413" s="399"/>
      <c r="C9413" s="5"/>
      <c r="D9413" s="5"/>
      <c r="E9413" s="43"/>
      <c r="F9413" s="43"/>
      <c r="G9413" s="48">
        <f t="shared" si="233"/>
        <v>4474.6015943642706</v>
      </c>
    </row>
    <row r="9414" spans="1:7" x14ac:dyDescent="0.3">
      <c r="A9414" s="5"/>
      <c r="B9414" s="399"/>
      <c r="C9414" s="5"/>
      <c r="D9414" s="5"/>
      <c r="E9414" s="43"/>
      <c r="F9414" s="43"/>
      <c r="G9414" s="48">
        <f t="shared" si="233"/>
        <v>4474.6015943642706</v>
      </c>
    </row>
    <row r="9415" spans="1:7" x14ac:dyDescent="0.3">
      <c r="A9415" s="5"/>
      <c r="B9415" s="399"/>
      <c r="C9415" s="5"/>
      <c r="D9415" s="5"/>
      <c r="E9415" s="43"/>
      <c r="F9415" s="43"/>
      <c r="G9415" s="48">
        <f t="shared" si="233"/>
        <v>4474.6015943642706</v>
      </c>
    </row>
    <row r="9416" spans="1:7" x14ac:dyDescent="0.3">
      <c r="A9416" s="5"/>
      <c r="B9416" s="399"/>
      <c r="C9416" s="5"/>
      <c r="D9416" s="5"/>
      <c r="E9416" s="43"/>
      <c r="F9416" s="43"/>
      <c r="G9416" s="48">
        <f t="shared" si="233"/>
        <v>4474.6015943642706</v>
      </c>
    </row>
    <row r="9417" spans="1:7" x14ac:dyDescent="0.3">
      <c r="A9417" s="5"/>
      <c r="B9417" s="399"/>
      <c r="C9417" s="5"/>
      <c r="D9417" s="5"/>
      <c r="E9417" s="43"/>
      <c r="F9417" s="43"/>
      <c r="G9417" s="48">
        <f t="shared" si="233"/>
        <v>4474.6015943642706</v>
      </c>
    </row>
    <row r="9418" spans="1:7" x14ac:dyDescent="0.3">
      <c r="A9418" s="5"/>
      <c r="B9418" s="399"/>
      <c r="C9418" s="5"/>
      <c r="D9418" s="5"/>
      <c r="E9418" s="43"/>
      <c r="F9418" s="43"/>
      <c r="G9418" s="48">
        <f t="shared" si="233"/>
        <v>4474.6015943642706</v>
      </c>
    </row>
    <row r="9419" spans="1:7" x14ac:dyDescent="0.3">
      <c r="A9419" s="5"/>
      <c r="B9419" s="399"/>
      <c r="C9419" s="5"/>
      <c r="D9419" s="5"/>
      <c r="E9419" s="43"/>
      <c r="F9419" s="43"/>
      <c r="G9419" s="48">
        <f t="shared" si="233"/>
        <v>4474.6015943642706</v>
      </c>
    </row>
    <row r="9420" spans="1:7" x14ac:dyDescent="0.3">
      <c r="A9420" s="5"/>
      <c r="B9420" s="399"/>
      <c r="C9420" s="5"/>
      <c r="D9420" s="5"/>
      <c r="E9420" s="43"/>
      <c r="F9420" s="43"/>
      <c r="G9420" s="48">
        <f t="shared" si="233"/>
        <v>4474.6015943642706</v>
      </c>
    </row>
    <row r="9421" spans="1:7" x14ac:dyDescent="0.3">
      <c r="A9421" s="5"/>
      <c r="B9421" s="399"/>
      <c r="C9421" s="5"/>
      <c r="D9421" s="5"/>
      <c r="E9421" s="43"/>
      <c r="F9421" s="43"/>
      <c r="G9421" s="48">
        <f t="shared" si="233"/>
        <v>4474.6015943642706</v>
      </c>
    </row>
    <row r="9422" spans="1:7" x14ac:dyDescent="0.3">
      <c r="A9422" s="5"/>
      <c r="B9422" s="399"/>
      <c r="C9422" s="5"/>
      <c r="D9422" s="5"/>
      <c r="E9422" s="43"/>
      <c r="F9422" s="43"/>
      <c r="G9422" s="48">
        <f t="shared" si="233"/>
        <v>4474.6015943642706</v>
      </c>
    </row>
    <row r="9423" spans="1:7" x14ac:dyDescent="0.3">
      <c r="A9423" s="5"/>
      <c r="B9423" s="399"/>
      <c r="C9423" s="5"/>
      <c r="D9423" s="5"/>
      <c r="E9423" s="43"/>
      <c r="F9423" s="43"/>
      <c r="G9423" s="48">
        <f t="shared" si="233"/>
        <v>4474.6015943642706</v>
      </c>
    </row>
    <row r="9424" spans="1:7" x14ac:dyDescent="0.3">
      <c r="A9424" s="5"/>
      <c r="B9424" s="399"/>
      <c r="C9424" s="5"/>
      <c r="D9424" s="5"/>
      <c r="E9424" s="43"/>
      <c r="F9424" s="43"/>
      <c r="G9424" s="48">
        <f t="shared" si="233"/>
        <v>4474.6015943642706</v>
      </c>
    </row>
    <row r="9425" spans="1:7" x14ac:dyDescent="0.3">
      <c r="A9425" s="5"/>
      <c r="B9425" s="399"/>
      <c r="C9425" s="5"/>
      <c r="D9425" s="5"/>
      <c r="E9425" s="43"/>
      <c r="F9425" s="43"/>
      <c r="G9425" s="48">
        <f t="shared" si="233"/>
        <v>4474.6015943642706</v>
      </c>
    </row>
    <row r="9426" spans="1:7" x14ac:dyDescent="0.3">
      <c r="A9426" s="5"/>
      <c r="B9426" s="399"/>
      <c r="C9426" s="5"/>
      <c r="D9426" s="5"/>
      <c r="E9426" s="43"/>
      <c r="F9426" s="43"/>
      <c r="G9426" s="48">
        <f t="shared" si="233"/>
        <v>4474.6015943642706</v>
      </c>
    </row>
    <row r="9427" spans="1:7" x14ac:dyDescent="0.3">
      <c r="A9427" s="5"/>
      <c r="B9427" s="399"/>
      <c r="C9427" s="5"/>
      <c r="D9427" s="5"/>
      <c r="E9427" s="43"/>
      <c r="F9427" s="43"/>
      <c r="G9427" s="48">
        <f t="shared" si="233"/>
        <v>4474.6015943642706</v>
      </c>
    </row>
    <row r="9428" spans="1:7" x14ac:dyDescent="0.3">
      <c r="A9428" s="5"/>
      <c r="B9428" s="399"/>
      <c r="C9428" s="5"/>
      <c r="D9428" s="5"/>
      <c r="E9428" s="43"/>
      <c r="F9428" s="43"/>
      <c r="G9428" s="48">
        <f t="shared" si="233"/>
        <v>4474.6015943642706</v>
      </c>
    </row>
    <row r="9429" spans="1:7" x14ac:dyDescent="0.3">
      <c r="A9429" s="5"/>
      <c r="B9429" s="399"/>
      <c r="C9429" s="5"/>
      <c r="D9429" s="5"/>
      <c r="E9429" s="43"/>
      <c r="F9429" s="43"/>
      <c r="G9429" s="48">
        <f t="shared" si="233"/>
        <v>4474.6015943642706</v>
      </c>
    </row>
    <row r="9430" spans="1:7" x14ac:dyDescent="0.3">
      <c r="A9430" s="5"/>
      <c r="B9430" s="399"/>
      <c r="C9430" s="5"/>
      <c r="D9430" s="5"/>
      <c r="E9430" s="43"/>
      <c r="F9430" s="43"/>
      <c r="G9430" s="48">
        <f t="shared" si="233"/>
        <v>4474.6015943642706</v>
      </c>
    </row>
    <row r="9431" spans="1:7" x14ac:dyDescent="0.3">
      <c r="A9431" s="5"/>
      <c r="B9431" s="399"/>
      <c r="C9431" s="5"/>
      <c r="D9431" s="5"/>
      <c r="E9431" s="43"/>
      <c r="F9431" s="43"/>
      <c r="G9431" s="48">
        <f t="shared" si="233"/>
        <v>4474.6015943642706</v>
      </c>
    </row>
    <row r="9432" spans="1:7" x14ac:dyDescent="0.3">
      <c r="A9432" s="5"/>
      <c r="B9432" s="399"/>
      <c r="C9432" s="5"/>
      <c r="D9432" s="5"/>
      <c r="E9432" s="43"/>
      <c r="F9432" s="43"/>
      <c r="G9432" s="48">
        <f t="shared" si="233"/>
        <v>4474.6015943642706</v>
      </c>
    </row>
    <row r="9433" spans="1:7" x14ac:dyDescent="0.3">
      <c r="A9433" s="5"/>
      <c r="B9433" s="399"/>
      <c r="C9433" s="5"/>
      <c r="D9433" s="5"/>
      <c r="E9433" s="43"/>
      <c r="F9433" s="43"/>
      <c r="G9433" s="48">
        <f t="shared" si="233"/>
        <v>4474.6015943642706</v>
      </c>
    </row>
    <row r="9434" spans="1:7" x14ac:dyDescent="0.3">
      <c r="A9434" s="5"/>
      <c r="B9434" s="399"/>
      <c r="C9434" s="5"/>
      <c r="D9434" s="5"/>
      <c r="E9434" s="43"/>
      <c r="F9434" s="43"/>
      <c r="G9434" s="48">
        <f t="shared" ref="G9434:G9497" si="234">G9433+F9434-E9435</f>
        <v>4474.6015943642706</v>
      </c>
    </row>
    <row r="9435" spans="1:7" x14ac:dyDescent="0.3">
      <c r="A9435" s="5"/>
      <c r="B9435" s="399"/>
      <c r="C9435" s="5"/>
      <c r="D9435" s="5"/>
      <c r="E9435" s="43"/>
      <c r="F9435" s="43"/>
      <c r="G9435" s="48">
        <f t="shared" si="234"/>
        <v>4474.6015943642706</v>
      </c>
    </row>
    <row r="9436" spans="1:7" x14ac:dyDescent="0.3">
      <c r="A9436" s="5"/>
      <c r="B9436" s="399"/>
      <c r="C9436" s="5"/>
      <c r="D9436" s="5"/>
      <c r="E9436" s="43"/>
      <c r="F9436" s="43"/>
      <c r="G9436" s="48">
        <f t="shared" si="234"/>
        <v>4474.6015943642706</v>
      </c>
    </row>
    <row r="9437" spans="1:7" x14ac:dyDescent="0.3">
      <c r="A9437" s="5"/>
      <c r="B9437" s="399"/>
      <c r="C9437" s="5"/>
      <c r="D9437" s="5"/>
      <c r="E9437" s="43"/>
      <c r="F9437" s="43"/>
      <c r="G9437" s="48">
        <f t="shared" si="234"/>
        <v>4474.6015943642706</v>
      </c>
    </row>
    <row r="9438" spans="1:7" x14ac:dyDescent="0.3">
      <c r="A9438" s="5"/>
      <c r="B9438" s="399"/>
      <c r="C9438" s="5"/>
      <c r="D9438" s="5"/>
      <c r="E9438" s="43"/>
      <c r="F9438" s="43"/>
      <c r="G9438" s="48">
        <f t="shared" si="234"/>
        <v>4474.6015943642706</v>
      </c>
    </row>
    <row r="9439" spans="1:7" x14ac:dyDescent="0.3">
      <c r="A9439" s="5"/>
      <c r="B9439" s="399"/>
      <c r="C9439" s="5"/>
      <c r="D9439" s="5"/>
      <c r="E9439" s="43"/>
      <c r="F9439" s="43"/>
      <c r="G9439" s="48">
        <f t="shared" si="234"/>
        <v>4474.6015943642706</v>
      </c>
    </row>
    <row r="9440" spans="1:7" x14ac:dyDescent="0.3">
      <c r="A9440" s="5"/>
      <c r="B9440" s="399"/>
      <c r="C9440" s="5"/>
      <c r="D9440" s="5"/>
      <c r="E9440" s="43"/>
      <c r="F9440" s="43"/>
      <c r="G9440" s="48">
        <f t="shared" si="234"/>
        <v>4474.6015943642706</v>
      </c>
    </row>
    <row r="9441" spans="1:7" x14ac:dyDescent="0.3">
      <c r="A9441" s="5"/>
      <c r="B9441" s="399"/>
      <c r="C9441" s="5"/>
      <c r="D9441" s="5"/>
      <c r="E9441" s="43"/>
      <c r="F9441" s="43"/>
      <c r="G9441" s="48">
        <f t="shared" si="234"/>
        <v>4474.6015943642706</v>
      </c>
    </row>
    <row r="9442" spans="1:7" x14ac:dyDescent="0.3">
      <c r="A9442" s="5"/>
      <c r="B9442" s="399"/>
      <c r="C9442" s="5"/>
      <c r="D9442" s="5"/>
      <c r="E9442" s="43"/>
      <c r="F9442" s="43"/>
      <c r="G9442" s="48">
        <f t="shared" si="234"/>
        <v>4474.6015943642706</v>
      </c>
    </row>
    <row r="9443" spans="1:7" x14ac:dyDescent="0.3">
      <c r="A9443" s="5"/>
      <c r="B9443" s="399"/>
      <c r="C9443" s="5"/>
      <c r="D9443" s="5"/>
      <c r="E9443" s="43"/>
      <c r="F9443" s="43"/>
      <c r="G9443" s="48">
        <f t="shared" si="234"/>
        <v>4474.6015943642706</v>
      </c>
    </row>
    <row r="9444" spans="1:7" x14ac:dyDescent="0.3">
      <c r="A9444" s="5"/>
      <c r="B9444" s="399"/>
      <c r="C9444" s="5"/>
      <c r="D9444" s="5"/>
      <c r="E9444" s="43"/>
      <c r="F9444" s="43"/>
      <c r="G9444" s="48">
        <f t="shared" si="234"/>
        <v>4474.6015943642706</v>
      </c>
    </row>
    <row r="9445" spans="1:7" x14ac:dyDescent="0.3">
      <c r="A9445" s="5"/>
      <c r="B9445" s="399"/>
      <c r="C9445" s="5"/>
      <c r="D9445" s="5"/>
      <c r="E9445" s="43"/>
      <c r="F9445" s="43"/>
      <c r="G9445" s="48">
        <f t="shared" si="234"/>
        <v>4474.6015943642706</v>
      </c>
    </row>
    <row r="9446" spans="1:7" x14ac:dyDescent="0.3">
      <c r="A9446" s="5"/>
      <c r="B9446" s="399"/>
      <c r="C9446" s="5"/>
      <c r="D9446" s="5"/>
      <c r="E9446" s="43"/>
      <c r="F9446" s="43"/>
      <c r="G9446" s="48">
        <f t="shared" si="234"/>
        <v>4474.6015943642706</v>
      </c>
    </row>
    <row r="9447" spans="1:7" x14ac:dyDescent="0.3">
      <c r="A9447" s="5"/>
      <c r="B9447" s="399"/>
      <c r="C9447" s="5"/>
      <c r="D9447" s="5"/>
      <c r="E9447" s="43"/>
      <c r="F9447" s="43"/>
      <c r="G9447" s="48">
        <f t="shared" si="234"/>
        <v>4474.6015943642706</v>
      </c>
    </row>
    <row r="9448" spans="1:7" x14ac:dyDescent="0.3">
      <c r="A9448" s="5"/>
      <c r="B9448" s="399"/>
      <c r="C9448" s="5"/>
      <c r="D9448" s="5"/>
      <c r="E9448" s="43"/>
      <c r="F9448" s="43"/>
      <c r="G9448" s="48">
        <f t="shared" si="234"/>
        <v>4474.6015943642706</v>
      </c>
    </row>
    <row r="9449" spans="1:7" x14ac:dyDescent="0.3">
      <c r="A9449" s="5"/>
      <c r="B9449" s="399"/>
      <c r="C9449" s="5"/>
      <c r="D9449" s="5"/>
      <c r="E9449" s="43"/>
      <c r="F9449" s="43"/>
      <c r="G9449" s="48">
        <f t="shared" si="234"/>
        <v>4474.6015943642706</v>
      </c>
    </row>
    <row r="9450" spans="1:7" x14ac:dyDescent="0.3">
      <c r="A9450" s="5"/>
      <c r="B9450" s="399"/>
      <c r="C9450" s="5"/>
      <c r="D9450" s="5"/>
      <c r="E9450" s="43"/>
      <c r="F9450" s="43"/>
      <c r="G9450" s="48">
        <f t="shared" si="234"/>
        <v>4474.6015943642706</v>
      </c>
    </row>
    <row r="9451" spans="1:7" x14ac:dyDescent="0.3">
      <c r="A9451" s="5"/>
      <c r="B9451" s="399"/>
      <c r="C9451" s="5"/>
      <c r="D9451" s="5"/>
      <c r="E9451" s="43"/>
      <c r="F9451" s="43"/>
      <c r="G9451" s="48">
        <f t="shared" si="234"/>
        <v>4474.6015943642706</v>
      </c>
    </row>
    <row r="9452" spans="1:7" x14ac:dyDescent="0.3">
      <c r="A9452" s="5"/>
      <c r="B9452" s="399"/>
      <c r="C9452" s="5"/>
      <c r="D9452" s="5"/>
      <c r="E9452" s="43"/>
      <c r="F9452" s="43"/>
      <c r="G9452" s="48">
        <f t="shared" si="234"/>
        <v>4474.6015943642706</v>
      </c>
    </row>
    <row r="9453" spans="1:7" x14ac:dyDescent="0.3">
      <c r="A9453" s="5"/>
      <c r="B9453" s="399"/>
      <c r="C9453" s="5"/>
      <c r="D9453" s="5"/>
      <c r="E9453" s="43"/>
      <c r="F9453" s="43"/>
      <c r="G9453" s="48">
        <f t="shared" si="234"/>
        <v>4474.6015943642706</v>
      </c>
    </row>
    <row r="9454" spans="1:7" x14ac:dyDescent="0.3">
      <c r="A9454" s="5"/>
      <c r="B9454" s="399"/>
      <c r="C9454" s="5"/>
      <c r="D9454" s="5"/>
      <c r="E9454" s="43"/>
      <c r="F9454" s="43"/>
      <c r="G9454" s="48">
        <f t="shared" si="234"/>
        <v>4474.6015943642706</v>
      </c>
    </row>
    <row r="9455" spans="1:7" x14ac:dyDescent="0.3">
      <c r="A9455" s="5"/>
      <c r="B9455" s="399"/>
      <c r="C9455" s="5"/>
      <c r="D9455" s="5"/>
      <c r="E9455" s="43"/>
      <c r="F9455" s="43"/>
      <c r="G9455" s="48">
        <f t="shared" si="234"/>
        <v>4474.6015943642706</v>
      </c>
    </row>
    <row r="9456" spans="1:7" x14ac:dyDescent="0.3">
      <c r="A9456" s="5"/>
      <c r="B9456" s="399"/>
      <c r="C9456" s="5"/>
      <c r="D9456" s="5"/>
      <c r="E9456" s="43"/>
      <c r="F9456" s="43"/>
      <c r="G9456" s="48">
        <f t="shared" si="234"/>
        <v>4474.6015943642706</v>
      </c>
    </row>
    <row r="9457" spans="1:7" x14ac:dyDescent="0.3">
      <c r="A9457" s="5"/>
      <c r="B9457" s="399"/>
      <c r="C9457" s="5"/>
      <c r="D9457" s="5"/>
      <c r="E9457" s="43"/>
      <c r="F9457" s="43"/>
      <c r="G9457" s="48">
        <f t="shared" si="234"/>
        <v>4474.6015943642706</v>
      </c>
    </row>
    <row r="9458" spans="1:7" x14ac:dyDescent="0.3">
      <c r="A9458" s="5"/>
      <c r="B9458" s="399"/>
      <c r="C9458" s="5"/>
      <c r="D9458" s="5"/>
      <c r="E9458" s="43"/>
      <c r="F9458" s="43"/>
      <c r="G9458" s="48">
        <f t="shared" si="234"/>
        <v>4474.6015943642706</v>
      </c>
    </row>
    <row r="9459" spans="1:7" x14ac:dyDescent="0.3">
      <c r="A9459" s="5"/>
      <c r="B9459" s="399"/>
      <c r="C9459" s="5"/>
      <c r="D9459" s="5"/>
      <c r="E9459" s="43"/>
      <c r="F9459" s="43"/>
      <c r="G9459" s="48">
        <f t="shared" si="234"/>
        <v>4474.6015943642706</v>
      </c>
    </row>
    <row r="9460" spans="1:7" x14ac:dyDescent="0.3">
      <c r="A9460" s="5"/>
      <c r="B9460" s="399"/>
      <c r="C9460" s="5"/>
      <c r="D9460" s="5"/>
      <c r="E9460" s="43"/>
      <c r="F9460" s="43"/>
      <c r="G9460" s="48">
        <f t="shared" si="234"/>
        <v>4474.6015943642706</v>
      </c>
    </row>
    <row r="9461" spans="1:7" x14ac:dyDescent="0.3">
      <c r="A9461" s="5"/>
      <c r="B9461" s="399"/>
      <c r="C9461" s="5"/>
      <c r="D9461" s="5"/>
      <c r="E9461" s="43"/>
      <c r="F9461" s="43"/>
      <c r="G9461" s="48">
        <f t="shared" si="234"/>
        <v>4474.6015943642706</v>
      </c>
    </row>
    <row r="9462" spans="1:7" x14ac:dyDescent="0.3">
      <c r="A9462" s="5"/>
      <c r="B9462" s="399"/>
      <c r="C9462" s="5"/>
      <c r="D9462" s="5"/>
      <c r="E9462" s="43"/>
      <c r="F9462" s="43"/>
      <c r="G9462" s="48">
        <f t="shared" si="234"/>
        <v>4474.6015943642706</v>
      </c>
    </row>
    <row r="9463" spans="1:7" x14ac:dyDescent="0.3">
      <c r="A9463" s="5"/>
      <c r="B9463" s="399"/>
      <c r="C9463" s="5"/>
      <c r="D9463" s="5"/>
      <c r="E9463" s="43"/>
      <c r="F9463" s="43"/>
      <c r="G9463" s="48">
        <f t="shared" si="234"/>
        <v>4474.6015943642706</v>
      </c>
    </row>
    <row r="9464" spans="1:7" x14ac:dyDescent="0.3">
      <c r="A9464" s="5"/>
      <c r="B9464" s="399"/>
      <c r="C9464" s="5"/>
      <c r="D9464" s="5"/>
      <c r="E9464" s="43"/>
      <c r="F9464" s="43"/>
      <c r="G9464" s="48">
        <f t="shared" si="234"/>
        <v>4474.6015943642706</v>
      </c>
    </row>
    <row r="9465" spans="1:7" x14ac:dyDescent="0.3">
      <c r="A9465" s="5"/>
      <c r="B9465" s="399"/>
      <c r="C9465" s="5"/>
      <c r="D9465" s="5"/>
      <c r="E9465" s="43"/>
      <c r="F9465" s="43"/>
      <c r="G9465" s="48">
        <f t="shared" si="234"/>
        <v>4474.6015943642706</v>
      </c>
    </row>
    <row r="9466" spans="1:7" x14ac:dyDescent="0.3">
      <c r="A9466" s="5"/>
      <c r="B9466" s="399"/>
      <c r="C9466" s="5"/>
      <c r="D9466" s="5"/>
      <c r="E9466" s="43"/>
      <c r="F9466" s="43"/>
      <c r="G9466" s="48">
        <f t="shared" si="234"/>
        <v>4474.6015943642706</v>
      </c>
    </row>
    <row r="9467" spans="1:7" x14ac:dyDescent="0.3">
      <c r="A9467" s="5"/>
      <c r="B9467" s="399"/>
      <c r="C9467" s="5"/>
      <c r="D9467" s="5"/>
      <c r="E9467" s="43"/>
      <c r="F9467" s="43"/>
      <c r="G9467" s="48">
        <f t="shared" si="234"/>
        <v>4474.6015943642706</v>
      </c>
    </row>
    <row r="9468" spans="1:7" x14ac:dyDescent="0.3">
      <c r="A9468" s="5"/>
      <c r="B9468" s="399"/>
      <c r="C9468" s="5"/>
      <c r="D9468" s="5"/>
      <c r="E9468" s="43"/>
      <c r="F9468" s="43"/>
      <c r="G9468" s="48">
        <f t="shared" si="234"/>
        <v>4474.6015943642706</v>
      </c>
    </row>
    <row r="9469" spans="1:7" x14ac:dyDescent="0.3">
      <c r="A9469" s="5"/>
      <c r="B9469" s="399"/>
      <c r="C9469" s="5"/>
      <c r="D9469" s="5"/>
      <c r="E9469" s="43"/>
      <c r="F9469" s="43"/>
      <c r="G9469" s="48">
        <f t="shared" si="234"/>
        <v>4474.6015943642706</v>
      </c>
    </row>
    <row r="9470" spans="1:7" x14ac:dyDescent="0.3">
      <c r="A9470" s="5"/>
      <c r="B9470" s="399"/>
      <c r="C9470" s="5"/>
      <c r="D9470" s="5"/>
      <c r="E9470" s="43"/>
      <c r="F9470" s="43"/>
      <c r="G9470" s="48">
        <f t="shared" si="234"/>
        <v>4474.6015943642706</v>
      </c>
    </row>
    <row r="9471" spans="1:7" x14ac:dyDescent="0.3">
      <c r="A9471" s="5"/>
      <c r="B9471" s="399"/>
      <c r="C9471" s="5"/>
      <c r="D9471" s="5"/>
      <c r="E9471" s="43"/>
      <c r="F9471" s="43"/>
      <c r="G9471" s="48">
        <f t="shared" si="234"/>
        <v>4474.6015943642706</v>
      </c>
    </row>
    <row r="9472" spans="1:7" x14ac:dyDescent="0.3">
      <c r="A9472" s="5"/>
      <c r="B9472" s="399"/>
      <c r="C9472" s="5"/>
      <c r="D9472" s="5"/>
      <c r="E9472" s="43"/>
      <c r="F9472" s="43"/>
      <c r="G9472" s="48">
        <f t="shared" si="234"/>
        <v>4474.6015943642706</v>
      </c>
    </row>
    <row r="9473" spans="1:7" x14ac:dyDescent="0.3">
      <c r="A9473" s="5"/>
      <c r="B9473" s="399"/>
      <c r="C9473" s="5"/>
      <c r="D9473" s="5"/>
      <c r="E9473" s="43"/>
      <c r="F9473" s="43"/>
      <c r="G9473" s="48">
        <f t="shared" si="234"/>
        <v>4474.6015943642706</v>
      </c>
    </row>
    <row r="9474" spans="1:7" x14ac:dyDescent="0.3">
      <c r="A9474" s="5"/>
      <c r="B9474" s="399"/>
      <c r="C9474" s="5"/>
      <c r="D9474" s="5"/>
      <c r="E9474" s="43"/>
      <c r="F9474" s="43"/>
      <c r="G9474" s="48">
        <f t="shared" si="234"/>
        <v>4474.6015943642706</v>
      </c>
    </row>
    <row r="9475" spans="1:7" x14ac:dyDescent="0.3">
      <c r="A9475" s="5"/>
      <c r="B9475" s="399"/>
      <c r="C9475" s="5"/>
      <c r="D9475" s="5"/>
      <c r="E9475" s="43"/>
      <c r="F9475" s="43"/>
      <c r="G9475" s="48">
        <f t="shared" si="234"/>
        <v>4474.6015943642706</v>
      </c>
    </row>
    <row r="9476" spans="1:7" x14ac:dyDescent="0.3">
      <c r="A9476" s="5"/>
      <c r="B9476" s="399"/>
      <c r="C9476" s="5"/>
      <c r="D9476" s="5"/>
      <c r="E9476" s="43"/>
      <c r="F9476" s="43"/>
      <c r="G9476" s="48">
        <f t="shared" si="234"/>
        <v>4474.6015943642706</v>
      </c>
    </row>
    <row r="9477" spans="1:7" x14ac:dyDescent="0.3">
      <c r="A9477" s="5"/>
      <c r="B9477" s="399"/>
      <c r="C9477" s="5"/>
      <c r="D9477" s="5"/>
      <c r="E9477" s="43"/>
      <c r="F9477" s="43"/>
      <c r="G9477" s="48">
        <f t="shared" si="234"/>
        <v>4474.6015943642706</v>
      </c>
    </row>
    <row r="9478" spans="1:7" x14ac:dyDescent="0.3">
      <c r="A9478" s="5"/>
      <c r="B9478" s="399"/>
      <c r="C9478" s="5"/>
      <c r="D9478" s="5"/>
      <c r="E9478" s="43"/>
      <c r="F9478" s="43"/>
      <c r="G9478" s="48">
        <f t="shared" si="234"/>
        <v>4474.6015943642706</v>
      </c>
    </row>
    <row r="9479" spans="1:7" x14ac:dyDescent="0.3">
      <c r="A9479" s="5"/>
      <c r="B9479" s="399"/>
      <c r="C9479" s="5"/>
      <c r="D9479" s="5"/>
      <c r="E9479" s="43"/>
      <c r="F9479" s="43"/>
      <c r="G9479" s="48">
        <f t="shared" si="234"/>
        <v>4474.6015943642706</v>
      </c>
    </row>
    <row r="9480" spans="1:7" x14ac:dyDescent="0.3">
      <c r="A9480" s="5"/>
      <c r="B9480" s="399"/>
      <c r="C9480" s="5"/>
      <c r="D9480" s="5"/>
      <c r="E9480" s="43"/>
      <c r="F9480" s="43"/>
      <c r="G9480" s="48">
        <f t="shared" si="234"/>
        <v>4474.6015943642706</v>
      </c>
    </row>
    <row r="9481" spans="1:7" x14ac:dyDescent="0.3">
      <c r="A9481" s="5"/>
      <c r="B9481" s="399"/>
      <c r="C9481" s="5"/>
      <c r="D9481" s="5"/>
      <c r="E9481" s="43"/>
      <c r="F9481" s="43"/>
      <c r="G9481" s="48">
        <f t="shared" si="234"/>
        <v>4474.6015943642706</v>
      </c>
    </row>
    <row r="9482" spans="1:7" x14ac:dyDescent="0.3">
      <c r="A9482" s="5"/>
      <c r="B9482" s="399"/>
      <c r="C9482" s="5"/>
      <c r="D9482" s="5"/>
      <c r="E9482" s="43"/>
      <c r="F9482" s="43"/>
      <c r="G9482" s="48">
        <f t="shared" si="234"/>
        <v>4474.6015943642706</v>
      </c>
    </row>
    <row r="9483" spans="1:7" x14ac:dyDescent="0.3">
      <c r="A9483" s="5"/>
      <c r="B9483" s="399"/>
      <c r="C9483" s="5"/>
      <c r="D9483" s="5"/>
      <c r="E9483" s="43"/>
      <c r="F9483" s="43"/>
      <c r="G9483" s="48">
        <f t="shared" si="234"/>
        <v>4474.6015943642706</v>
      </c>
    </row>
    <row r="9484" spans="1:7" x14ac:dyDescent="0.3">
      <c r="A9484" s="5"/>
      <c r="B9484" s="399"/>
      <c r="C9484" s="5"/>
      <c r="D9484" s="5"/>
      <c r="E9484" s="43"/>
      <c r="F9484" s="43"/>
      <c r="G9484" s="48">
        <f t="shared" si="234"/>
        <v>4474.6015943642706</v>
      </c>
    </row>
    <row r="9485" spans="1:7" x14ac:dyDescent="0.3">
      <c r="A9485" s="5"/>
      <c r="B9485" s="399"/>
      <c r="C9485" s="5"/>
      <c r="D9485" s="5"/>
      <c r="E9485" s="43"/>
      <c r="F9485" s="43"/>
      <c r="G9485" s="48">
        <f t="shared" si="234"/>
        <v>4474.6015943642706</v>
      </c>
    </row>
    <row r="9486" spans="1:7" x14ac:dyDescent="0.3">
      <c r="A9486" s="5"/>
      <c r="B9486" s="399"/>
      <c r="C9486" s="5"/>
      <c r="D9486" s="5"/>
      <c r="E9486" s="43"/>
      <c r="F9486" s="43"/>
      <c r="G9486" s="48">
        <f t="shared" si="234"/>
        <v>4474.6015943642706</v>
      </c>
    </row>
    <row r="9487" spans="1:7" x14ac:dyDescent="0.3">
      <c r="A9487" s="5"/>
      <c r="B9487" s="399"/>
      <c r="C9487" s="5"/>
      <c r="D9487" s="5"/>
      <c r="E9487" s="43"/>
      <c r="F9487" s="43"/>
      <c r="G9487" s="48">
        <f t="shared" si="234"/>
        <v>4474.6015943642706</v>
      </c>
    </row>
    <row r="9488" spans="1:7" x14ac:dyDescent="0.3">
      <c r="A9488" s="5"/>
      <c r="B9488" s="399"/>
      <c r="C9488" s="5"/>
      <c r="D9488" s="5"/>
      <c r="E9488" s="43"/>
      <c r="F9488" s="43"/>
      <c r="G9488" s="48">
        <f t="shared" si="234"/>
        <v>4474.6015943642706</v>
      </c>
    </row>
    <row r="9489" spans="1:7" x14ac:dyDescent="0.3">
      <c r="A9489" s="5"/>
      <c r="B9489" s="399"/>
      <c r="C9489" s="5"/>
      <c r="D9489" s="5"/>
      <c r="E9489" s="43"/>
      <c r="F9489" s="43"/>
      <c r="G9489" s="48">
        <f t="shared" si="234"/>
        <v>4474.6015943642706</v>
      </c>
    </row>
    <row r="9490" spans="1:7" x14ac:dyDescent="0.3">
      <c r="A9490" s="5"/>
      <c r="B9490" s="399"/>
      <c r="C9490" s="5"/>
      <c r="D9490" s="5"/>
      <c r="E9490" s="43"/>
      <c r="F9490" s="43"/>
      <c r="G9490" s="48">
        <f t="shared" si="234"/>
        <v>4474.6015943642706</v>
      </c>
    </row>
    <row r="9491" spans="1:7" x14ac:dyDescent="0.3">
      <c r="A9491" s="5"/>
      <c r="B9491" s="399"/>
      <c r="C9491" s="5"/>
      <c r="D9491" s="5"/>
      <c r="E9491" s="43"/>
      <c r="F9491" s="43"/>
      <c r="G9491" s="48">
        <f t="shared" si="234"/>
        <v>4474.6015943642706</v>
      </c>
    </row>
    <row r="9492" spans="1:7" x14ac:dyDescent="0.3">
      <c r="A9492" s="5"/>
      <c r="B9492" s="399"/>
      <c r="C9492" s="5"/>
      <c r="D9492" s="5"/>
      <c r="E9492" s="43"/>
      <c r="F9492" s="43"/>
      <c r="G9492" s="48">
        <f t="shared" si="234"/>
        <v>4474.6015943642706</v>
      </c>
    </row>
    <row r="9493" spans="1:7" x14ac:dyDescent="0.3">
      <c r="A9493" s="5"/>
      <c r="B9493" s="399"/>
      <c r="C9493" s="5"/>
      <c r="D9493" s="5"/>
      <c r="E9493" s="43"/>
      <c r="F9493" s="43"/>
      <c r="G9493" s="48">
        <f t="shared" si="234"/>
        <v>4474.6015943642706</v>
      </c>
    </row>
    <row r="9494" spans="1:7" x14ac:dyDescent="0.3">
      <c r="A9494" s="5"/>
      <c r="B9494" s="399"/>
      <c r="C9494" s="5"/>
      <c r="D9494" s="5"/>
      <c r="E9494" s="43"/>
      <c r="F9494" s="43"/>
      <c r="G9494" s="48">
        <f t="shared" si="234"/>
        <v>4474.6015943642706</v>
      </c>
    </row>
    <row r="9495" spans="1:7" x14ac:dyDescent="0.3">
      <c r="A9495" s="5"/>
      <c r="B9495" s="399"/>
      <c r="C9495" s="5"/>
      <c r="D9495" s="5"/>
      <c r="E9495" s="43"/>
      <c r="F9495" s="43"/>
      <c r="G9495" s="48">
        <f t="shared" si="234"/>
        <v>4474.6015943642706</v>
      </c>
    </row>
    <row r="9496" spans="1:7" x14ac:dyDescent="0.3">
      <c r="A9496" s="5"/>
      <c r="B9496" s="399"/>
      <c r="C9496" s="5"/>
      <c r="D9496" s="5"/>
      <c r="E9496" s="43"/>
      <c r="F9496" s="43"/>
      <c r="G9496" s="48">
        <f t="shared" si="234"/>
        <v>4474.6015943642706</v>
      </c>
    </row>
    <row r="9497" spans="1:7" x14ac:dyDescent="0.3">
      <c r="A9497" s="5"/>
      <c r="B9497" s="399"/>
      <c r="C9497" s="5"/>
      <c r="D9497" s="5"/>
      <c r="E9497" s="43"/>
      <c r="F9497" s="43"/>
      <c r="G9497" s="48">
        <f t="shared" si="234"/>
        <v>4474.6015943642706</v>
      </c>
    </row>
    <row r="9498" spans="1:7" x14ac:dyDescent="0.3">
      <c r="A9498" s="5"/>
      <c r="B9498" s="399"/>
      <c r="C9498" s="5"/>
      <c r="D9498" s="5"/>
      <c r="E9498" s="43"/>
      <c r="F9498" s="43"/>
      <c r="G9498" s="48">
        <f t="shared" ref="G9498:G9539" si="235">G9497+F9498-E9499</f>
        <v>4474.6015943642706</v>
      </c>
    </row>
    <row r="9499" spans="1:7" x14ac:dyDescent="0.3">
      <c r="A9499" s="5"/>
      <c r="B9499" s="399"/>
      <c r="C9499" s="5"/>
      <c r="D9499" s="5"/>
      <c r="E9499" s="43"/>
      <c r="F9499" s="43"/>
      <c r="G9499" s="48">
        <f t="shared" si="235"/>
        <v>4474.6015943642706</v>
      </c>
    </row>
    <row r="9500" spans="1:7" x14ac:dyDescent="0.3">
      <c r="A9500" s="5"/>
      <c r="B9500" s="399"/>
      <c r="C9500" s="5"/>
      <c r="D9500" s="5"/>
      <c r="E9500" s="43"/>
      <c r="F9500" s="43"/>
      <c r="G9500" s="48">
        <f t="shared" si="235"/>
        <v>4474.6015943642706</v>
      </c>
    </row>
    <row r="9501" spans="1:7" x14ac:dyDescent="0.3">
      <c r="A9501" s="5"/>
      <c r="B9501" s="399"/>
      <c r="C9501" s="5"/>
      <c r="D9501" s="5"/>
      <c r="E9501" s="43"/>
      <c r="F9501" s="43"/>
      <c r="G9501" s="48">
        <f t="shared" si="235"/>
        <v>4474.6015943642706</v>
      </c>
    </row>
    <row r="9502" spans="1:7" x14ac:dyDescent="0.3">
      <c r="A9502" s="5"/>
      <c r="B9502" s="399"/>
      <c r="C9502" s="5"/>
      <c r="D9502" s="5"/>
      <c r="E9502" s="43"/>
      <c r="F9502" s="43"/>
      <c r="G9502" s="48">
        <f t="shared" si="235"/>
        <v>4474.6015943642706</v>
      </c>
    </row>
    <row r="9503" spans="1:7" x14ac:dyDescent="0.3">
      <c r="A9503" s="5"/>
      <c r="B9503" s="399"/>
      <c r="C9503" s="5"/>
      <c r="D9503" s="5"/>
      <c r="E9503" s="43"/>
      <c r="F9503" s="43"/>
      <c r="G9503" s="48">
        <f t="shared" si="235"/>
        <v>4474.6015943642706</v>
      </c>
    </row>
    <row r="9504" spans="1:7" x14ac:dyDescent="0.3">
      <c r="A9504" s="5"/>
      <c r="B9504" s="399"/>
      <c r="C9504" s="5"/>
      <c r="D9504" s="5"/>
      <c r="E9504" s="43"/>
      <c r="F9504" s="43"/>
      <c r="G9504" s="48">
        <f t="shared" si="235"/>
        <v>4474.6015943642706</v>
      </c>
    </row>
    <row r="9505" spans="1:7" x14ac:dyDescent="0.3">
      <c r="A9505" s="5"/>
      <c r="B9505" s="399"/>
      <c r="C9505" s="5"/>
      <c r="D9505" s="5"/>
      <c r="E9505" s="43"/>
      <c r="F9505" s="43"/>
      <c r="G9505" s="48">
        <f t="shared" si="235"/>
        <v>4474.6015943642706</v>
      </c>
    </row>
    <row r="9506" spans="1:7" x14ac:dyDescent="0.3">
      <c r="A9506" s="5"/>
      <c r="B9506" s="399"/>
      <c r="C9506" s="5"/>
      <c r="D9506" s="5"/>
      <c r="E9506" s="43"/>
      <c r="F9506" s="43"/>
      <c r="G9506" s="48">
        <f t="shared" si="235"/>
        <v>4474.6015943642706</v>
      </c>
    </row>
    <row r="9507" spans="1:7" x14ac:dyDescent="0.3">
      <c r="A9507" s="5"/>
      <c r="B9507" s="399"/>
      <c r="C9507" s="5"/>
      <c r="D9507" s="5"/>
      <c r="E9507" s="43"/>
      <c r="F9507" s="43"/>
      <c r="G9507" s="48">
        <f t="shared" si="235"/>
        <v>4474.6015943642706</v>
      </c>
    </row>
    <row r="9508" spans="1:7" x14ac:dyDescent="0.3">
      <c r="A9508" s="5"/>
      <c r="B9508" s="399"/>
      <c r="C9508" s="5"/>
      <c r="D9508" s="5"/>
      <c r="E9508" s="43"/>
      <c r="F9508" s="43"/>
      <c r="G9508" s="48">
        <f t="shared" si="235"/>
        <v>4474.6015943642706</v>
      </c>
    </row>
    <row r="9509" spans="1:7" x14ac:dyDescent="0.3">
      <c r="A9509" s="5"/>
      <c r="B9509" s="399"/>
      <c r="C9509" s="5"/>
      <c r="D9509" s="5"/>
      <c r="E9509" s="43"/>
      <c r="F9509" s="43"/>
      <c r="G9509" s="48">
        <f t="shared" si="235"/>
        <v>4474.6015943642706</v>
      </c>
    </row>
    <row r="9510" spans="1:7" x14ac:dyDescent="0.3">
      <c r="A9510" s="5"/>
      <c r="B9510" s="399"/>
      <c r="C9510" s="5"/>
      <c r="D9510" s="5"/>
      <c r="E9510" s="43"/>
      <c r="F9510" s="43"/>
      <c r="G9510" s="48">
        <f t="shared" si="235"/>
        <v>4474.6015943642706</v>
      </c>
    </row>
    <row r="9511" spans="1:7" x14ac:dyDescent="0.3">
      <c r="A9511" s="5"/>
      <c r="B9511" s="399"/>
      <c r="C9511" s="5"/>
      <c r="D9511" s="5"/>
      <c r="E9511" s="43"/>
      <c r="F9511" s="43"/>
      <c r="G9511" s="48">
        <f t="shared" si="235"/>
        <v>4474.6015943642706</v>
      </c>
    </row>
    <row r="9512" spans="1:7" x14ac:dyDescent="0.3">
      <c r="A9512" s="5"/>
      <c r="B9512" s="399"/>
      <c r="C9512" s="5"/>
      <c r="D9512" s="5"/>
      <c r="E9512" s="43"/>
      <c r="F9512" s="43"/>
      <c r="G9512" s="48">
        <f t="shared" si="235"/>
        <v>4474.6015943642706</v>
      </c>
    </row>
    <row r="9513" spans="1:7" x14ac:dyDescent="0.3">
      <c r="A9513" s="5"/>
      <c r="B9513" s="399"/>
      <c r="C9513" s="5"/>
      <c r="D9513" s="5"/>
      <c r="E9513" s="43"/>
      <c r="F9513" s="43"/>
      <c r="G9513" s="48">
        <f t="shared" si="235"/>
        <v>4474.6015943642706</v>
      </c>
    </row>
    <row r="9514" spans="1:7" x14ac:dyDescent="0.3">
      <c r="A9514" s="5"/>
      <c r="B9514" s="399"/>
      <c r="C9514" s="5"/>
      <c r="D9514" s="5"/>
      <c r="E9514" s="43"/>
      <c r="F9514" s="43"/>
      <c r="G9514" s="48">
        <f t="shared" si="235"/>
        <v>4474.6015943642706</v>
      </c>
    </row>
    <row r="9515" spans="1:7" x14ac:dyDescent="0.3">
      <c r="A9515" s="5"/>
      <c r="B9515" s="399"/>
      <c r="C9515" s="5"/>
      <c r="D9515" s="5"/>
      <c r="E9515" s="43"/>
      <c r="F9515" s="43"/>
      <c r="G9515" s="48">
        <f t="shared" si="235"/>
        <v>4474.6015943642706</v>
      </c>
    </row>
    <row r="9516" spans="1:7" x14ac:dyDescent="0.3">
      <c r="A9516" s="5"/>
      <c r="B9516" s="399"/>
      <c r="C9516" s="5"/>
      <c r="D9516" s="5"/>
      <c r="E9516" s="43"/>
      <c r="F9516" s="43"/>
      <c r="G9516" s="48">
        <f t="shared" si="235"/>
        <v>4474.6015943642706</v>
      </c>
    </row>
    <row r="9517" spans="1:7" x14ac:dyDescent="0.3">
      <c r="A9517" s="5"/>
      <c r="B9517" s="399"/>
      <c r="C9517" s="5"/>
      <c r="D9517" s="5"/>
      <c r="E9517" s="43"/>
      <c r="F9517" s="43"/>
      <c r="G9517" s="48">
        <f t="shared" si="235"/>
        <v>4474.6015943642706</v>
      </c>
    </row>
    <row r="9518" spans="1:7" x14ac:dyDescent="0.3">
      <c r="A9518" s="5"/>
      <c r="B9518" s="399"/>
      <c r="C9518" s="5"/>
      <c r="D9518" s="5"/>
      <c r="E9518" s="43"/>
      <c r="F9518" s="43"/>
      <c r="G9518" s="48">
        <f t="shared" si="235"/>
        <v>4474.6015943642706</v>
      </c>
    </row>
    <row r="9519" spans="1:7" x14ac:dyDescent="0.3">
      <c r="A9519" s="5"/>
      <c r="B9519" s="399"/>
      <c r="C9519" s="5"/>
      <c r="D9519" s="5"/>
      <c r="E9519" s="43"/>
      <c r="F9519" s="43"/>
      <c r="G9519" s="48">
        <f t="shared" si="235"/>
        <v>4474.6015943642706</v>
      </c>
    </row>
    <row r="9520" spans="1:7" x14ac:dyDescent="0.3">
      <c r="A9520" s="5"/>
      <c r="B9520" s="399"/>
      <c r="C9520" s="5"/>
      <c r="D9520" s="5"/>
      <c r="E9520" s="43"/>
      <c r="F9520" s="43"/>
      <c r="G9520" s="48">
        <f t="shared" si="235"/>
        <v>4474.6015943642706</v>
      </c>
    </row>
    <row r="9521" spans="1:7" x14ac:dyDescent="0.3">
      <c r="A9521" s="5"/>
      <c r="B9521" s="399"/>
      <c r="C9521" s="5"/>
      <c r="D9521" s="5"/>
      <c r="E9521" s="43"/>
      <c r="F9521" s="43"/>
      <c r="G9521" s="48">
        <f t="shared" si="235"/>
        <v>4474.6015943642706</v>
      </c>
    </row>
    <row r="9522" spans="1:7" x14ac:dyDescent="0.3">
      <c r="A9522" s="5"/>
      <c r="B9522" s="399"/>
      <c r="C9522" s="5"/>
      <c r="D9522" s="5"/>
      <c r="E9522" s="43"/>
      <c r="F9522" s="43"/>
      <c r="G9522" s="48">
        <f t="shared" si="235"/>
        <v>4474.6015943642706</v>
      </c>
    </row>
    <row r="9523" spans="1:7" x14ac:dyDescent="0.3">
      <c r="A9523" s="5"/>
      <c r="B9523" s="399"/>
      <c r="C9523" s="5"/>
      <c r="D9523" s="5"/>
      <c r="E9523" s="43"/>
      <c r="F9523" s="43"/>
      <c r="G9523" s="48">
        <f t="shared" si="235"/>
        <v>4474.6015943642706</v>
      </c>
    </row>
    <row r="9524" spans="1:7" x14ac:dyDescent="0.3">
      <c r="A9524" s="5"/>
      <c r="B9524" s="399"/>
      <c r="C9524" s="5"/>
      <c r="D9524" s="5"/>
      <c r="E9524" s="43"/>
      <c r="F9524" s="43"/>
      <c r="G9524" s="48">
        <f t="shared" si="235"/>
        <v>4474.6015943642706</v>
      </c>
    </row>
    <row r="9525" spans="1:7" x14ac:dyDescent="0.3">
      <c r="A9525" s="5"/>
      <c r="B9525" s="399"/>
      <c r="C9525" s="5"/>
      <c r="D9525" s="5"/>
      <c r="E9525" s="43"/>
      <c r="F9525" s="43"/>
      <c r="G9525" s="48">
        <f t="shared" si="235"/>
        <v>4474.6015943642706</v>
      </c>
    </row>
    <row r="9526" spans="1:7" x14ac:dyDescent="0.3">
      <c r="A9526" s="5"/>
      <c r="B9526" s="399"/>
      <c r="C9526" s="5"/>
      <c r="D9526" s="5"/>
      <c r="E9526" s="43"/>
      <c r="F9526" s="43"/>
      <c r="G9526" s="48">
        <f t="shared" si="235"/>
        <v>4474.6015943642706</v>
      </c>
    </row>
    <row r="9527" spans="1:7" x14ac:dyDescent="0.3">
      <c r="A9527" s="5"/>
      <c r="B9527" s="399"/>
      <c r="C9527" s="5"/>
      <c r="D9527" s="5"/>
      <c r="E9527" s="43"/>
      <c r="F9527" s="43"/>
      <c r="G9527" s="48">
        <f t="shared" si="235"/>
        <v>4474.6015943642706</v>
      </c>
    </row>
    <row r="9528" spans="1:7" x14ac:dyDescent="0.3">
      <c r="A9528" s="5"/>
      <c r="B9528" s="399"/>
      <c r="C9528" s="5"/>
      <c r="D9528" s="5"/>
      <c r="E9528" s="43"/>
      <c r="F9528" s="43"/>
      <c r="G9528" s="48">
        <f t="shared" si="235"/>
        <v>4474.6015943642706</v>
      </c>
    </row>
    <row r="9529" spans="1:7" x14ac:dyDescent="0.3">
      <c r="A9529" s="5"/>
      <c r="B9529" s="399"/>
      <c r="C9529" s="5"/>
      <c r="D9529" s="5"/>
      <c r="E9529" s="43"/>
      <c r="F9529" s="43"/>
      <c r="G9529" s="48">
        <f t="shared" si="235"/>
        <v>4474.6015943642706</v>
      </c>
    </row>
    <row r="9530" spans="1:7" x14ac:dyDescent="0.3">
      <c r="A9530" s="5"/>
      <c r="B9530" s="399"/>
      <c r="C9530" s="5"/>
      <c r="D9530" s="5"/>
      <c r="E9530" s="43"/>
      <c r="F9530" s="43"/>
      <c r="G9530" s="48">
        <f t="shared" si="235"/>
        <v>4474.6015943642706</v>
      </c>
    </row>
    <row r="9531" spans="1:7" x14ac:dyDescent="0.3">
      <c r="A9531" s="5"/>
      <c r="B9531" s="399"/>
      <c r="C9531" s="5"/>
      <c r="D9531" s="5"/>
      <c r="E9531" s="43"/>
      <c r="F9531" s="43"/>
      <c r="G9531" s="48">
        <f t="shared" si="235"/>
        <v>4474.6015943642706</v>
      </c>
    </row>
    <row r="9532" spans="1:7" x14ac:dyDescent="0.3">
      <c r="A9532" s="5"/>
      <c r="B9532" s="399"/>
      <c r="C9532" s="5"/>
      <c r="D9532" s="5"/>
      <c r="E9532" s="43"/>
      <c r="F9532" s="43"/>
      <c r="G9532" s="48">
        <f t="shared" si="235"/>
        <v>4474.6015943642706</v>
      </c>
    </row>
    <row r="9533" spans="1:7" x14ac:dyDescent="0.3">
      <c r="A9533" s="5"/>
      <c r="B9533" s="399"/>
      <c r="C9533" s="5"/>
      <c r="D9533" s="5"/>
      <c r="E9533" s="43"/>
      <c r="F9533" s="43"/>
      <c r="G9533" s="48">
        <f t="shared" si="235"/>
        <v>4474.6015943642706</v>
      </c>
    </row>
    <row r="9534" spans="1:7" x14ac:dyDescent="0.3">
      <c r="A9534" s="5"/>
      <c r="B9534" s="399"/>
      <c r="C9534" s="5"/>
      <c r="D9534" s="5"/>
      <c r="E9534" s="43"/>
      <c r="F9534" s="43"/>
      <c r="G9534" s="48">
        <f t="shared" si="235"/>
        <v>4474.6015943642706</v>
      </c>
    </row>
    <row r="9535" spans="1:7" x14ac:dyDescent="0.3">
      <c r="A9535" s="5"/>
      <c r="B9535" s="399"/>
      <c r="C9535" s="5"/>
      <c r="D9535" s="5"/>
      <c r="E9535" s="43"/>
      <c r="F9535" s="43"/>
      <c r="G9535" s="48">
        <f t="shared" si="235"/>
        <v>4474.6015943642706</v>
      </c>
    </row>
    <row r="9536" spans="1:7" x14ac:dyDescent="0.3">
      <c r="A9536" s="5"/>
      <c r="B9536" s="399"/>
      <c r="C9536" s="5"/>
      <c r="D9536" s="5"/>
      <c r="E9536" s="43"/>
      <c r="F9536" s="43"/>
      <c r="G9536" s="48">
        <f t="shared" si="235"/>
        <v>4474.6015943642706</v>
      </c>
    </row>
    <row r="9537" spans="1:8" x14ac:dyDescent="0.3">
      <c r="A9537" s="5"/>
      <c r="B9537" s="399"/>
      <c r="C9537" s="5"/>
      <c r="D9537" s="5"/>
      <c r="E9537" s="43"/>
      <c r="F9537" s="43"/>
      <c r="G9537" s="48">
        <f t="shared" si="235"/>
        <v>4474.6015943642706</v>
      </c>
    </row>
    <row r="9538" spans="1:8" x14ac:dyDescent="0.3">
      <c r="A9538" s="5"/>
      <c r="B9538" s="399"/>
      <c r="C9538" s="5"/>
      <c r="D9538" s="5"/>
      <c r="E9538" s="43"/>
      <c r="F9538" s="43"/>
      <c r="G9538" s="48">
        <f t="shared" si="235"/>
        <v>4474.6015943642706</v>
      </c>
    </row>
    <row r="9539" spans="1:8" x14ac:dyDescent="0.3">
      <c r="A9539" s="5"/>
      <c r="B9539" s="399"/>
      <c r="C9539" s="5"/>
      <c r="D9539" s="5"/>
      <c r="E9539" s="43"/>
      <c r="F9539" s="43"/>
      <c r="G9539" s="48">
        <f t="shared" si="235"/>
        <v>4474.6015943642706</v>
      </c>
    </row>
    <row r="9540" spans="1:8" x14ac:dyDescent="0.3">
      <c r="A9540" s="5"/>
      <c r="B9540" s="399"/>
      <c r="C9540" s="5"/>
      <c r="D9540" s="5"/>
      <c r="E9540" s="43"/>
      <c r="G9540" s="241"/>
    </row>
    <row r="9541" spans="1:8" x14ac:dyDescent="0.3">
      <c r="G9541" s="48"/>
      <c r="H9541" s="640"/>
    </row>
  </sheetData>
  <sheetProtection formatColumns="0" formatRows="0" insertColumns="0" insertRows="0" insertHyperlinks="0" deleteColumns="0" deleteRows="0" sort="0" autoFilter="0" pivotTables="0"/>
  <autoFilter ref="A1:O9541" xr:uid="{00000000-0001-0000-0000-000000000000}"/>
  <sortState xmlns:xlrd2="http://schemas.microsoft.com/office/spreadsheetml/2017/richdata2" ref="A4161:M4175">
    <sortCondition descending="1" ref="D4161:D4175"/>
  </sortState>
  <dataConsolidate topLabels="1">
    <dataRefs count="1">
      <dataRef ref="B9728:B9739" sheet="Cash"/>
    </dataRefs>
  </dataConsolidate>
  <mergeCells count="3">
    <mergeCell ref="I8163:K8165"/>
    <mergeCell ref="M8783:N8783"/>
    <mergeCell ref="M8805:N8805"/>
  </mergeCells>
  <conditionalFormatting sqref="H1:H1048576">
    <cfRule type="cellIs" dxfId="3" priority="5" operator="equal">
      <formula>"Posted"</formula>
    </cfRule>
  </conditionalFormatting>
  <dataValidations disablePrompts="1" count="3">
    <dataValidation type="list" allowBlank="1" showInputMessage="1" showErrorMessage="1" sqref="B7206:B7208 B7210:B7212 B7257 B7253 B7248 B7243:B7244 B7225:B7233 B7219:B7223 B7217 B7214 B7250 B7259 B7261 B7263 B7272:B7275 B6538:B6539 B6830 B7278:B7282 B7154 B7290:B7293 B7295:B7305 B7307:B7308 B7310 B7312:B7316 B7318:B7322 B6634 B6663:B6664 B6666 B6693:B6695 B6737:B6740 B6742 B6753 B6760:B6762 B6861 B6871 B6894 B6897:B6899 B6902 B6908 B6919:B6920 B6930:B6932 B6981:B6982 B7023 B7026 B7028 B7042 B7046 B7051 B7054 B7057:B7059 B7065 B7097 B7101:B7102 B7104:B7106 B7110:B7111 B7123:B7124 B7141:B7142 B7150:B7152 B7160 B7204 B7088:B7089 B7092:B7093 B7130:B7131 B7136:B7137 B7195:B7196 B7061:B7062 B7071:B7073 B6875 B6877 B6904:B6905 B6869 B6777 B6719:B6720 B7180:B7187 B7075 B6936 B6939:B6940 B6976:B6977 B7002 B6873 B6714:B6715 B6724 B6751 B6755 B6757 B6767:B6772 B6775 B6779 B6787 B6708:B6709 B6706 B6704 B6636 B6669 B6622:B6623 B6549 B6599 B6612 B7235 B7237:B7240 B7085 B7121 B6150:B6151 B6161:B6162 B6217:B6218 B6229 B6252:B6253 B6369 B6399:B6400 B6429 B6471 B6489 B6512 B6625 B6657 B6699 B6735 B6747:B6749 B6824 B6827 B7269:B7270 B7266:B7267 B5427 B5440 B5479 B5490 B5497 B5503:B5504 B5512 B5517 B5524 B5533:B5534 B5541 B5543 B5549 B5568:B5569 B5592 B5599:B5600 B5669 B5728 B5755 B5771 B5777 B5791:B5792 B5805 B5833 B5835 B5880 B5882 B5884 B5903:B5904 B5908 B5918 B5943 B5948:B5950 B5953:B5954 B5974:B5975 B5981:B5985 B5992 B6029:B6031 B6033 B6051 B6071 B6079 B6081 B6084 B6101 B6103 B6112 B6120:B6121 B6126 B6131 B6135:B6136 B6140 B6159 B6169 B6174 B6176 B6186 B6191 B6194 B6197 B6256 B6270 B6276 B6278 B6292 B6317 B6324 B6339 B6357 B6360 B6372 B6375:B6378 B6395:B6396 B6438:B6439 B6445 B6452 B6455 B6457 B6467 B6514 B6519:B6520 B6522 B6544 B6558 B6567 B6587 B6618 B6651 B6733 B6804 B6808 B6834:B6835 B6845 B6864:B6865 B6880 B6888:B6890 B6969 B6973 B7004 B7017 B7019 B7116 B7133:B7134 B7284:B7288 B6811 B6915 B6999 B7082 B7108 B7119 B7145 B7158 B7168:B7174 B7198 B7327 B7406 B7409 B7413 B7454 B7466 B7480 B7485 B7489 B7507 B7526 B7530 B7547 B7589 B7592 B7613 B7606 B7631 B7639 B7643 B7664 B7671 B7695 B7698 B7719 B7735 B7749 B7771 B7794 B7815 B7838 B7859 B7873:B7874 B7886 B7907 B7913 B7929 B7922 B7931 B7948 B7963 B7970 B7985 B8021 B8027:B8028 B8045 B8057 B8069 B8077 B8099 B8128 B8136 B8146 B8171 B8188 B8211 B8231 B8238 B8245 B8256 B8262 B8287 B8291 B8312 B8363 B8393 B8397 B8431 B8437 B8460 B8500 B8513 B8518 B8558 B8589 B8607 B8686 B8701 B8719 B8730 B8743 B8777 B8783 B8798 B8805 B8825 B8835 B8847 B8872 B8917 B8922 B8938 B8945:B8946 B8963 B8973 B8989" xr:uid="{58C701C2-9AE4-4A8E-8D22-AF9BC014AB81}">
      <formula1>$K$7216:$K$7247</formula1>
    </dataValidation>
    <dataValidation type="list" allowBlank="1" showInputMessage="1" showErrorMessage="1" sqref="B7216" xr:uid="{ED79FC93-6A33-4793-93EB-17FD5707D4D7}">
      <formula1>$K$7216:$K$7249</formula1>
    </dataValidation>
    <dataValidation type="list" allowBlank="1" showInputMessage="1" showErrorMessage="1" sqref="B7260" xr:uid="{419EBD13-888C-440B-9B7C-FBB1462D8963}">
      <formula1>$K$7216:$K$8494</formula1>
    </dataValidation>
  </dataValidations>
  <printOptions horizontalCentered="1"/>
  <pageMargins left="0" right="0" top="0" bottom="0" header="0.3" footer="0.3"/>
  <pageSetup paperSize="9" scale="68" fitToHeight="0" orientation="portrait" r:id="rId1"/>
  <colBreaks count="1" manualBreakCount="1">
    <brk id="4" min="4683" max="4803"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7655"/>
  <sheetViews>
    <sheetView zoomScaleNormal="100" workbookViewId="0">
      <pane ySplit="1" topLeftCell="A1277" activePane="bottomLeft" state="frozen"/>
      <selection activeCell="D6707" sqref="D6707"/>
      <selection pane="bottomLeft" activeCell="G1300" sqref="G1300"/>
    </sheetView>
  </sheetViews>
  <sheetFormatPr defaultRowHeight="21" x14ac:dyDescent="0.3"/>
  <cols>
    <col min="1" max="1" width="15.5703125" style="294" customWidth="1"/>
    <col min="2" max="2" width="21" style="321" customWidth="1"/>
    <col min="3" max="3" width="50.5703125" style="294" customWidth="1"/>
    <col min="4" max="4" width="13.7109375" style="304" customWidth="1"/>
    <col min="5" max="5" width="14.5703125" style="304" customWidth="1"/>
    <col min="6" max="6" width="15" style="294" customWidth="1"/>
    <col min="7" max="7" width="16.42578125" style="392" customWidth="1"/>
    <col min="8" max="8" width="20.7109375" customWidth="1"/>
    <col min="9" max="9" width="13.140625" customWidth="1"/>
    <col min="10" max="10" width="10.5703125" bestFit="1" customWidth="1"/>
  </cols>
  <sheetData>
    <row r="1" spans="1:9" ht="37.5" x14ac:dyDescent="0.25">
      <c r="A1" s="53" t="s">
        <v>1</v>
      </c>
      <c r="B1" s="320" t="s">
        <v>7766</v>
      </c>
      <c r="C1" s="49" t="s">
        <v>3</v>
      </c>
      <c r="D1" s="50" t="s">
        <v>4361</v>
      </c>
      <c r="E1" s="50" t="s">
        <v>4360</v>
      </c>
      <c r="F1" s="50" t="s">
        <v>7767</v>
      </c>
      <c r="G1" s="393" t="s">
        <v>9569</v>
      </c>
      <c r="I1" s="2"/>
    </row>
    <row r="2" spans="1:9" x14ac:dyDescent="0.3">
      <c r="A2" s="47">
        <v>43537</v>
      </c>
      <c r="C2" s="44" t="s">
        <v>4365</v>
      </c>
      <c r="D2" s="28">
        <v>10100</v>
      </c>
      <c r="E2" s="28"/>
      <c r="F2" s="46">
        <f>E2-D2</f>
        <v>-10100</v>
      </c>
      <c r="G2" s="391" t="s">
        <v>9568</v>
      </c>
      <c r="I2" s="2"/>
    </row>
    <row r="3" spans="1:9" x14ac:dyDescent="0.3">
      <c r="A3" s="47">
        <v>43538</v>
      </c>
      <c r="C3" s="44" t="s">
        <v>4446</v>
      </c>
      <c r="D3" s="28">
        <v>23466</v>
      </c>
      <c r="E3" s="28"/>
      <c r="F3" s="46">
        <f>F2+E3-D3</f>
        <v>-33566</v>
      </c>
      <c r="G3" s="391" t="s">
        <v>9568</v>
      </c>
      <c r="I3" s="2"/>
    </row>
    <row r="4" spans="1:9" x14ac:dyDescent="0.3">
      <c r="A4" s="47">
        <v>43538</v>
      </c>
      <c r="C4" s="44" t="s">
        <v>4426</v>
      </c>
      <c r="D4" s="28">
        <v>7000</v>
      </c>
      <c r="E4" s="28"/>
      <c r="F4" s="46">
        <f t="shared" ref="F4:F67" si="0">F3+E4-D4</f>
        <v>-40566</v>
      </c>
      <c r="G4" s="391" t="s">
        <v>9568</v>
      </c>
      <c r="I4" s="2"/>
    </row>
    <row r="5" spans="1:9" x14ac:dyDescent="0.3">
      <c r="A5" s="47">
        <v>43538</v>
      </c>
      <c r="C5" s="44" t="s">
        <v>4756</v>
      </c>
      <c r="D5" s="28">
        <v>25290</v>
      </c>
      <c r="E5" s="28"/>
      <c r="F5" s="46">
        <f t="shared" si="0"/>
        <v>-65856</v>
      </c>
      <c r="G5" s="391" t="s">
        <v>9568</v>
      </c>
      <c r="I5" s="2"/>
    </row>
    <row r="6" spans="1:9" x14ac:dyDescent="0.3">
      <c r="A6" s="47">
        <v>43538</v>
      </c>
      <c r="C6" s="44" t="s">
        <v>4490</v>
      </c>
      <c r="D6" s="28">
        <v>5000</v>
      </c>
      <c r="E6" s="28"/>
      <c r="F6" s="46">
        <f t="shared" si="0"/>
        <v>-70856</v>
      </c>
      <c r="G6" s="391" t="s">
        <v>9568</v>
      </c>
      <c r="I6" s="2"/>
    </row>
    <row r="7" spans="1:9" x14ac:dyDescent="0.3">
      <c r="A7" s="47">
        <v>43538</v>
      </c>
      <c r="C7" s="44" t="s">
        <v>88</v>
      </c>
      <c r="D7" s="28">
        <v>1000</v>
      </c>
      <c r="E7" s="28"/>
      <c r="F7" s="46">
        <f t="shared" si="0"/>
        <v>-71856</v>
      </c>
      <c r="G7" s="391" t="s">
        <v>9568</v>
      </c>
      <c r="H7" t="s">
        <v>120</v>
      </c>
      <c r="I7" s="2">
        <v>522710</v>
      </c>
    </row>
    <row r="8" spans="1:9" x14ac:dyDescent="0.3">
      <c r="A8" s="47">
        <v>43538</v>
      </c>
      <c r="C8" s="44" t="s">
        <v>88</v>
      </c>
      <c r="D8" s="28">
        <v>1300</v>
      </c>
      <c r="E8" s="28"/>
      <c r="F8" s="46">
        <f t="shared" si="0"/>
        <v>-73156</v>
      </c>
      <c r="G8" s="391" t="s">
        <v>9568</v>
      </c>
      <c r="I8" s="2"/>
    </row>
    <row r="9" spans="1:9" x14ac:dyDescent="0.3">
      <c r="A9" s="47">
        <v>43538</v>
      </c>
      <c r="C9" s="44" t="s">
        <v>294</v>
      </c>
      <c r="D9" s="28"/>
      <c r="E9" s="28">
        <v>15000</v>
      </c>
      <c r="F9" s="46">
        <f t="shared" si="0"/>
        <v>-58156</v>
      </c>
      <c r="G9" s="391" t="s">
        <v>9568</v>
      </c>
      <c r="I9" s="2"/>
    </row>
    <row r="10" spans="1:9" x14ac:dyDescent="0.3">
      <c r="A10" s="47">
        <v>43538</v>
      </c>
      <c r="C10" s="44" t="s">
        <v>4774</v>
      </c>
      <c r="D10" s="28">
        <v>8400</v>
      </c>
      <c r="E10" s="28"/>
      <c r="F10" s="46">
        <f t="shared" si="0"/>
        <v>-66556</v>
      </c>
      <c r="G10" s="391" t="s">
        <v>9568</v>
      </c>
      <c r="I10" s="2"/>
    </row>
    <row r="11" spans="1:9" x14ac:dyDescent="0.3">
      <c r="A11" s="47">
        <v>43538</v>
      </c>
      <c r="C11" s="44" t="s">
        <v>4405</v>
      </c>
      <c r="D11" s="28">
        <v>3000</v>
      </c>
      <c r="E11" s="28"/>
      <c r="F11" s="46">
        <f t="shared" si="0"/>
        <v>-69556</v>
      </c>
      <c r="G11" s="391" t="s">
        <v>9568</v>
      </c>
      <c r="I11" s="2"/>
    </row>
    <row r="12" spans="1:9" x14ac:dyDescent="0.3">
      <c r="A12" s="47">
        <v>43538</v>
      </c>
      <c r="C12" s="44" t="s">
        <v>294</v>
      </c>
      <c r="D12" s="28"/>
      <c r="E12" s="28">
        <v>13000</v>
      </c>
      <c r="F12" s="46">
        <f t="shared" si="0"/>
        <v>-56556</v>
      </c>
      <c r="G12" s="391" t="s">
        <v>9568</v>
      </c>
      <c r="I12" s="2"/>
    </row>
    <row r="13" spans="1:9" x14ac:dyDescent="0.3">
      <c r="A13" s="47">
        <v>43538</v>
      </c>
      <c r="C13" s="44" t="s">
        <v>294</v>
      </c>
      <c r="D13" s="28"/>
      <c r="E13" s="28">
        <v>30000</v>
      </c>
      <c r="F13" s="46">
        <f t="shared" si="0"/>
        <v>-26556</v>
      </c>
      <c r="G13" s="391" t="s">
        <v>9568</v>
      </c>
      <c r="I13" s="2"/>
    </row>
    <row r="14" spans="1:9" x14ac:dyDescent="0.3">
      <c r="A14" s="47">
        <v>43538</v>
      </c>
      <c r="C14" s="44" t="s">
        <v>40</v>
      </c>
      <c r="D14" s="28"/>
      <c r="E14" s="28">
        <v>500</v>
      </c>
      <c r="F14" s="46">
        <f t="shared" si="0"/>
        <v>-26056</v>
      </c>
      <c r="G14" s="391" t="s">
        <v>9568</v>
      </c>
      <c r="I14" s="2"/>
    </row>
    <row r="15" spans="1:9" x14ac:dyDescent="0.3">
      <c r="A15" s="47">
        <v>43538</v>
      </c>
      <c r="C15" s="44" t="s">
        <v>294</v>
      </c>
      <c r="D15" s="28"/>
      <c r="E15" s="28">
        <v>25000</v>
      </c>
      <c r="F15" s="46">
        <f t="shared" si="0"/>
        <v>-1056</v>
      </c>
      <c r="G15" s="391" t="s">
        <v>9568</v>
      </c>
      <c r="I15" s="2"/>
    </row>
    <row r="16" spans="1:9" x14ac:dyDescent="0.3">
      <c r="A16" s="47">
        <v>43556</v>
      </c>
      <c r="C16" s="44" t="s">
        <v>294</v>
      </c>
      <c r="D16" s="28"/>
      <c r="E16" s="28">
        <v>15000</v>
      </c>
      <c r="F16" s="46">
        <f t="shared" si="0"/>
        <v>13944</v>
      </c>
      <c r="G16" s="391" t="s">
        <v>9568</v>
      </c>
      <c r="I16" s="2"/>
    </row>
    <row r="17" spans="1:9" x14ac:dyDescent="0.3">
      <c r="A17" s="47">
        <v>43556</v>
      </c>
      <c r="C17" s="44" t="s">
        <v>4836</v>
      </c>
      <c r="D17" s="28">
        <v>1000</v>
      </c>
      <c r="E17" s="28"/>
      <c r="F17" s="46">
        <f t="shared" si="0"/>
        <v>12944</v>
      </c>
      <c r="G17" s="391" t="s">
        <v>9568</v>
      </c>
      <c r="I17" s="2"/>
    </row>
    <row r="18" spans="1:9" x14ac:dyDescent="0.3">
      <c r="A18" s="47">
        <v>43564</v>
      </c>
      <c r="C18" s="44" t="s">
        <v>3920</v>
      </c>
      <c r="D18" s="28">
        <v>4350</v>
      </c>
      <c r="E18" s="28"/>
      <c r="F18" s="46">
        <f t="shared" si="0"/>
        <v>8594</v>
      </c>
      <c r="G18" s="391" t="s">
        <v>9568</v>
      </c>
      <c r="I18" s="2"/>
    </row>
    <row r="19" spans="1:9" x14ac:dyDescent="0.3">
      <c r="A19" s="47">
        <v>43564</v>
      </c>
      <c r="C19" s="44" t="s">
        <v>3920</v>
      </c>
      <c r="D19" s="28">
        <v>3440</v>
      </c>
      <c r="E19" s="28"/>
      <c r="F19" s="46">
        <f t="shared" si="0"/>
        <v>5154</v>
      </c>
      <c r="G19" s="391" t="s">
        <v>9568</v>
      </c>
      <c r="I19" s="2"/>
    </row>
    <row r="20" spans="1:9" x14ac:dyDescent="0.3">
      <c r="A20" s="47">
        <v>43564</v>
      </c>
      <c r="C20" s="44" t="s">
        <v>3920</v>
      </c>
      <c r="D20" s="28">
        <v>43100</v>
      </c>
      <c r="E20" s="28"/>
      <c r="F20" s="46">
        <f t="shared" si="0"/>
        <v>-37946</v>
      </c>
      <c r="G20" s="391" t="s">
        <v>9568</v>
      </c>
      <c r="I20" s="2"/>
    </row>
    <row r="21" spans="1:9" x14ac:dyDescent="0.3">
      <c r="A21" s="47">
        <v>43566</v>
      </c>
      <c r="C21" s="44" t="s">
        <v>4446</v>
      </c>
      <c r="D21" s="28">
        <v>8500</v>
      </c>
      <c r="E21" s="28"/>
      <c r="F21" s="46">
        <f t="shared" si="0"/>
        <v>-46446</v>
      </c>
      <c r="G21" s="391" t="s">
        <v>9568</v>
      </c>
      <c r="I21" s="2"/>
    </row>
    <row r="22" spans="1:9" x14ac:dyDescent="0.3">
      <c r="A22" s="47">
        <v>43566</v>
      </c>
      <c r="C22" s="44" t="s">
        <v>4841</v>
      </c>
      <c r="D22" s="28">
        <v>5000</v>
      </c>
      <c r="E22" s="28"/>
      <c r="F22" s="46">
        <f t="shared" si="0"/>
        <v>-51446</v>
      </c>
      <c r="G22" s="391" t="s">
        <v>9568</v>
      </c>
      <c r="I22" s="2"/>
    </row>
    <row r="23" spans="1:9" x14ac:dyDescent="0.3">
      <c r="A23" s="47">
        <v>43566</v>
      </c>
      <c r="C23" s="44" t="s">
        <v>4364</v>
      </c>
      <c r="D23" s="28"/>
      <c r="E23" s="28">
        <v>5000</v>
      </c>
      <c r="F23" s="46">
        <f t="shared" si="0"/>
        <v>-46446</v>
      </c>
      <c r="G23" s="391" t="s">
        <v>9568</v>
      </c>
      <c r="I23" s="2"/>
    </row>
    <row r="24" spans="1:9" x14ac:dyDescent="0.3">
      <c r="A24" s="47">
        <v>43574</v>
      </c>
      <c r="C24" s="44" t="s">
        <v>4871</v>
      </c>
      <c r="D24" s="28">
        <v>3600</v>
      </c>
      <c r="E24" s="28"/>
      <c r="F24" s="46">
        <f t="shared" si="0"/>
        <v>-50046</v>
      </c>
      <c r="G24" s="391" t="s">
        <v>9568</v>
      </c>
      <c r="I24" s="2"/>
    </row>
    <row r="25" spans="1:9" x14ac:dyDescent="0.3">
      <c r="A25" s="47">
        <v>43574</v>
      </c>
      <c r="C25" s="44" t="s">
        <v>4872</v>
      </c>
      <c r="D25" s="28">
        <v>2000</v>
      </c>
      <c r="E25" s="28"/>
      <c r="F25" s="46">
        <f t="shared" si="0"/>
        <v>-52046</v>
      </c>
      <c r="G25" s="391" t="s">
        <v>9568</v>
      </c>
      <c r="I25" s="2"/>
    </row>
    <row r="26" spans="1:9" x14ac:dyDescent="0.3">
      <c r="A26" s="47">
        <v>43574</v>
      </c>
      <c r="C26" s="44" t="s">
        <v>4873</v>
      </c>
      <c r="D26" s="28"/>
      <c r="E26" s="28">
        <v>300000</v>
      </c>
      <c r="F26" s="46">
        <f t="shared" si="0"/>
        <v>247954</v>
      </c>
      <c r="G26" s="391" t="s">
        <v>9568</v>
      </c>
      <c r="I26" s="2"/>
    </row>
    <row r="27" spans="1:9" x14ac:dyDescent="0.3">
      <c r="A27" s="47">
        <v>43574</v>
      </c>
      <c r="C27" s="44" t="s">
        <v>4874</v>
      </c>
      <c r="D27" s="28">
        <v>10000</v>
      </c>
      <c r="E27" s="28"/>
      <c r="F27" s="46">
        <f t="shared" si="0"/>
        <v>237954</v>
      </c>
      <c r="G27" s="391" t="s">
        <v>9568</v>
      </c>
      <c r="I27" s="2"/>
    </row>
    <row r="28" spans="1:9" x14ac:dyDescent="0.3">
      <c r="A28" s="47">
        <v>43574</v>
      </c>
      <c r="C28" s="44" t="s">
        <v>4875</v>
      </c>
      <c r="D28" s="28">
        <v>30284</v>
      </c>
      <c r="E28" s="28"/>
      <c r="F28" s="46">
        <f t="shared" si="0"/>
        <v>207670</v>
      </c>
      <c r="G28" s="391" t="s">
        <v>9568</v>
      </c>
      <c r="I28" s="2"/>
    </row>
    <row r="29" spans="1:9" x14ac:dyDescent="0.3">
      <c r="A29" s="47">
        <v>43574</v>
      </c>
      <c r="C29" s="44" t="s">
        <v>4877</v>
      </c>
      <c r="D29" s="28">
        <v>35000</v>
      </c>
      <c r="E29" s="28"/>
      <c r="F29" s="46">
        <f t="shared" si="0"/>
        <v>172670</v>
      </c>
      <c r="G29" s="391" t="s">
        <v>9568</v>
      </c>
      <c r="I29" s="2"/>
    </row>
    <row r="30" spans="1:9" x14ac:dyDescent="0.3">
      <c r="A30" s="47">
        <v>43577</v>
      </c>
      <c r="C30" s="44" t="s">
        <v>4881</v>
      </c>
      <c r="D30" s="28">
        <v>10000</v>
      </c>
      <c r="E30" s="28"/>
      <c r="F30" s="46">
        <f t="shared" si="0"/>
        <v>162670</v>
      </c>
      <c r="G30" s="391" t="s">
        <v>9568</v>
      </c>
      <c r="I30" s="2"/>
    </row>
    <row r="31" spans="1:9" x14ac:dyDescent="0.3">
      <c r="A31" s="47">
        <v>43578</v>
      </c>
      <c r="C31" s="44" t="s">
        <v>4363</v>
      </c>
      <c r="D31" s="28">
        <v>9200</v>
      </c>
      <c r="E31" s="28"/>
      <c r="F31" s="46">
        <f t="shared" si="0"/>
        <v>153470</v>
      </c>
      <c r="G31" s="391" t="s">
        <v>9568</v>
      </c>
      <c r="I31" s="2"/>
    </row>
    <row r="32" spans="1:9" x14ac:dyDescent="0.3">
      <c r="A32" s="47">
        <v>43578</v>
      </c>
      <c r="C32" s="44" t="s">
        <v>4883</v>
      </c>
      <c r="D32" s="28">
        <v>2000</v>
      </c>
      <c r="E32" s="28"/>
      <c r="F32" s="46">
        <f t="shared" si="0"/>
        <v>151470</v>
      </c>
      <c r="G32" s="391" t="s">
        <v>9568</v>
      </c>
      <c r="I32" s="2"/>
    </row>
    <row r="33" spans="1:9" x14ac:dyDescent="0.3">
      <c r="A33" s="47">
        <v>43578</v>
      </c>
      <c r="C33" s="44" t="s">
        <v>4884</v>
      </c>
      <c r="D33" s="28">
        <v>17000</v>
      </c>
      <c r="E33" s="28"/>
      <c r="F33" s="46">
        <f t="shared" si="0"/>
        <v>134470</v>
      </c>
      <c r="G33" s="391" t="s">
        <v>9568</v>
      </c>
      <c r="I33" s="2"/>
    </row>
    <row r="34" spans="1:9" x14ac:dyDescent="0.3">
      <c r="A34" s="47">
        <v>43578</v>
      </c>
      <c r="C34" s="44" t="s">
        <v>4885</v>
      </c>
      <c r="D34" s="28">
        <v>36000</v>
      </c>
      <c r="E34" s="28"/>
      <c r="F34" s="46">
        <f t="shared" si="0"/>
        <v>98470</v>
      </c>
      <c r="G34" s="391" t="s">
        <v>9568</v>
      </c>
      <c r="I34" s="2"/>
    </row>
    <row r="35" spans="1:9" x14ac:dyDescent="0.3">
      <c r="A35" s="47">
        <v>43578</v>
      </c>
      <c r="C35" s="44" t="s">
        <v>4901</v>
      </c>
      <c r="D35" s="28">
        <v>5000</v>
      </c>
      <c r="E35" s="28"/>
      <c r="F35" s="46">
        <f t="shared" si="0"/>
        <v>93470</v>
      </c>
      <c r="G35" s="391" t="s">
        <v>9568</v>
      </c>
      <c r="I35" s="2"/>
    </row>
    <row r="36" spans="1:9" x14ac:dyDescent="0.3">
      <c r="A36" s="47">
        <v>43579</v>
      </c>
      <c r="C36" s="44" t="s">
        <v>4891</v>
      </c>
      <c r="D36" s="28">
        <v>30000</v>
      </c>
      <c r="E36" s="28"/>
      <c r="F36" s="46">
        <f t="shared" si="0"/>
        <v>63470</v>
      </c>
      <c r="G36" s="391" t="s">
        <v>9568</v>
      </c>
      <c r="I36" s="2"/>
    </row>
    <row r="37" spans="1:9" x14ac:dyDescent="0.3">
      <c r="A37" s="47">
        <v>43579</v>
      </c>
      <c r="C37" s="44" t="s">
        <v>4892</v>
      </c>
      <c r="D37" s="28">
        <v>10000</v>
      </c>
      <c r="E37" s="28"/>
      <c r="F37" s="46">
        <f t="shared" si="0"/>
        <v>53470</v>
      </c>
      <c r="G37" s="391" t="s">
        <v>9568</v>
      </c>
      <c r="I37" s="2"/>
    </row>
    <row r="38" spans="1:9" x14ac:dyDescent="0.3">
      <c r="A38" s="47">
        <v>43579</v>
      </c>
      <c r="C38" s="44" t="s">
        <v>4894</v>
      </c>
      <c r="D38" s="28">
        <v>15000</v>
      </c>
      <c r="E38" s="28"/>
      <c r="F38" s="46">
        <f t="shared" si="0"/>
        <v>38470</v>
      </c>
      <c r="G38" s="391" t="s">
        <v>9568</v>
      </c>
      <c r="I38" s="2"/>
    </row>
    <row r="39" spans="1:9" x14ac:dyDescent="0.3">
      <c r="A39" s="47">
        <v>43579</v>
      </c>
      <c r="C39" s="44" t="s">
        <v>4895</v>
      </c>
      <c r="D39" s="28">
        <v>10000</v>
      </c>
      <c r="E39" s="28"/>
      <c r="F39" s="46">
        <f t="shared" si="0"/>
        <v>28470</v>
      </c>
      <c r="G39" s="391" t="s">
        <v>9568</v>
      </c>
      <c r="I39" s="2"/>
    </row>
    <row r="40" spans="1:9" x14ac:dyDescent="0.3">
      <c r="A40" s="47">
        <v>43579</v>
      </c>
      <c r="C40" s="44" t="s">
        <v>4896</v>
      </c>
      <c r="D40" s="28">
        <v>1000</v>
      </c>
      <c r="E40" s="28"/>
      <c r="F40" s="46">
        <f t="shared" si="0"/>
        <v>27470</v>
      </c>
      <c r="G40" s="391" t="s">
        <v>9568</v>
      </c>
      <c r="I40" s="2"/>
    </row>
    <row r="41" spans="1:9" x14ac:dyDescent="0.3">
      <c r="A41" s="47">
        <v>43579</v>
      </c>
      <c r="C41" s="44" t="s">
        <v>4897</v>
      </c>
      <c r="D41" s="28">
        <v>6000</v>
      </c>
      <c r="E41" s="28"/>
      <c r="F41" s="46">
        <f t="shared" si="0"/>
        <v>21470</v>
      </c>
      <c r="G41" s="391" t="s">
        <v>9568</v>
      </c>
      <c r="I41" s="2"/>
    </row>
    <row r="42" spans="1:9" x14ac:dyDescent="0.3">
      <c r="A42" s="47">
        <v>43579</v>
      </c>
      <c r="C42" s="44" t="s">
        <v>294</v>
      </c>
      <c r="D42" s="28"/>
      <c r="E42" s="28">
        <v>3000</v>
      </c>
      <c r="F42" s="46">
        <f t="shared" si="0"/>
        <v>24470</v>
      </c>
      <c r="G42" s="391" t="s">
        <v>9568</v>
      </c>
      <c r="I42" s="2"/>
    </row>
    <row r="43" spans="1:9" x14ac:dyDescent="0.3">
      <c r="A43" s="47">
        <v>43580</v>
      </c>
      <c r="C43" s="44" t="s">
        <v>294</v>
      </c>
      <c r="D43" s="28"/>
      <c r="E43" s="28">
        <v>125000</v>
      </c>
      <c r="F43" s="46">
        <f t="shared" si="0"/>
        <v>149470</v>
      </c>
      <c r="G43" s="391" t="s">
        <v>9568</v>
      </c>
      <c r="I43" s="2"/>
    </row>
    <row r="44" spans="1:9" x14ac:dyDescent="0.3">
      <c r="A44" s="47">
        <v>43587</v>
      </c>
      <c r="C44" s="44" t="s">
        <v>4919</v>
      </c>
      <c r="D44" s="28">
        <v>5000</v>
      </c>
      <c r="E44" s="28"/>
      <c r="F44" s="46">
        <f t="shared" si="0"/>
        <v>144470</v>
      </c>
      <c r="G44" s="391" t="s">
        <v>9568</v>
      </c>
      <c r="I44" s="2"/>
    </row>
    <row r="45" spans="1:9" x14ac:dyDescent="0.3">
      <c r="A45" s="47">
        <v>43587</v>
      </c>
      <c r="C45" s="44" t="s">
        <v>4920</v>
      </c>
      <c r="D45" s="28">
        <v>5000</v>
      </c>
      <c r="E45" s="28"/>
      <c r="F45" s="46">
        <f t="shared" si="0"/>
        <v>139470</v>
      </c>
      <c r="G45" s="391" t="s">
        <v>9568</v>
      </c>
      <c r="I45" s="2"/>
    </row>
    <row r="46" spans="1:9" x14ac:dyDescent="0.3">
      <c r="A46" s="47">
        <v>43587</v>
      </c>
      <c r="C46" s="44" t="s">
        <v>4921</v>
      </c>
      <c r="D46" s="28">
        <v>5000</v>
      </c>
      <c r="E46" s="28"/>
      <c r="F46" s="46">
        <f t="shared" si="0"/>
        <v>134470</v>
      </c>
      <c r="G46" s="391" t="s">
        <v>9568</v>
      </c>
      <c r="I46" s="2"/>
    </row>
    <row r="47" spans="1:9" x14ac:dyDescent="0.3">
      <c r="A47" s="47">
        <v>43587</v>
      </c>
      <c r="C47" s="44" t="s">
        <v>4922</v>
      </c>
      <c r="D47" s="28">
        <v>6000</v>
      </c>
      <c r="E47" s="28"/>
      <c r="F47" s="46">
        <f t="shared" si="0"/>
        <v>128470</v>
      </c>
      <c r="G47" s="391" t="s">
        <v>9568</v>
      </c>
      <c r="I47" s="2"/>
    </row>
    <row r="48" spans="1:9" x14ac:dyDescent="0.3">
      <c r="A48" s="47">
        <v>43587</v>
      </c>
      <c r="C48" s="44" t="s">
        <v>4923</v>
      </c>
      <c r="D48" s="28">
        <v>5500</v>
      </c>
      <c r="E48" s="28"/>
      <c r="F48" s="46">
        <f t="shared" si="0"/>
        <v>122970</v>
      </c>
      <c r="G48" s="391" t="s">
        <v>9568</v>
      </c>
      <c r="I48" s="2"/>
    </row>
    <row r="49" spans="1:9" x14ac:dyDescent="0.3">
      <c r="A49" s="47">
        <v>43587</v>
      </c>
      <c r="C49" s="44" t="s">
        <v>4924</v>
      </c>
      <c r="D49" s="28">
        <v>37200</v>
      </c>
      <c r="E49" s="28"/>
      <c r="F49" s="46">
        <f t="shared" si="0"/>
        <v>85770</v>
      </c>
      <c r="G49" s="391" t="s">
        <v>9568</v>
      </c>
      <c r="I49" s="2"/>
    </row>
    <row r="50" spans="1:9" x14ac:dyDescent="0.3">
      <c r="A50" s="47">
        <v>43587</v>
      </c>
      <c r="C50" s="44" t="s">
        <v>4926</v>
      </c>
      <c r="D50" s="28">
        <v>28000</v>
      </c>
      <c r="E50" s="28"/>
      <c r="F50" s="46">
        <f t="shared" si="0"/>
        <v>57770</v>
      </c>
      <c r="G50" s="391" t="s">
        <v>9568</v>
      </c>
      <c r="I50" s="2"/>
    </row>
    <row r="51" spans="1:9" x14ac:dyDescent="0.3">
      <c r="A51" s="47">
        <v>43591</v>
      </c>
      <c r="C51" s="44" t="s">
        <v>4936</v>
      </c>
      <c r="D51" s="28">
        <v>1000</v>
      </c>
      <c r="E51" s="28"/>
      <c r="F51" s="46">
        <f t="shared" si="0"/>
        <v>56770</v>
      </c>
      <c r="G51" s="391" t="s">
        <v>9568</v>
      </c>
      <c r="I51" s="2"/>
    </row>
    <row r="52" spans="1:9" x14ac:dyDescent="0.3">
      <c r="A52" s="47">
        <v>43591</v>
      </c>
      <c r="C52" s="44" t="s">
        <v>4942</v>
      </c>
      <c r="D52" s="28">
        <v>3662</v>
      </c>
      <c r="E52" s="28"/>
      <c r="F52" s="46">
        <f t="shared" si="0"/>
        <v>53108</v>
      </c>
      <c r="G52" s="391" t="s">
        <v>9568</v>
      </c>
      <c r="I52" s="2"/>
    </row>
    <row r="53" spans="1:9" x14ac:dyDescent="0.3">
      <c r="A53" s="47">
        <v>43591</v>
      </c>
      <c r="C53" s="44" t="s">
        <v>4490</v>
      </c>
      <c r="D53" s="28">
        <v>9000</v>
      </c>
      <c r="E53" s="28"/>
      <c r="F53" s="46">
        <f t="shared" si="0"/>
        <v>44108</v>
      </c>
      <c r="G53" s="391" t="s">
        <v>9568</v>
      </c>
      <c r="I53" s="2"/>
    </row>
    <row r="54" spans="1:9" x14ac:dyDescent="0.3">
      <c r="A54" s="47">
        <v>43591</v>
      </c>
      <c r="C54" s="44" t="s">
        <v>4950</v>
      </c>
      <c r="D54" s="28">
        <v>52000</v>
      </c>
      <c r="E54" s="28"/>
      <c r="F54" s="46">
        <f t="shared" si="0"/>
        <v>-7892</v>
      </c>
      <c r="G54" s="391" t="s">
        <v>9568</v>
      </c>
      <c r="I54" s="2"/>
    </row>
    <row r="55" spans="1:9" x14ac:dyDescent="0.3">
      <c r="A55" s="47">
        <v>43593</v>
      </c>
      <c r="C55" s="44" t="s">
        <v>4951</v>
      </c>
      <c r="D55" s="28">
        <v>20000</v>
      </c>
      <c r="E55" s="28"/>
      <c r="F55" s="46">
        <f t="shared" si="0"/>
        <v>-27892</v>
      </c>
      <c r="G55" s="391" t="s">
        <v>9568</v>
      </c>
      <c r="I55" s="2"/>
    </row>
    <row r="56" spans="1:9" x14ac:dyDescent="0.3">
      <c r="A56" s="47">
        <v>43594</v>
      </c>
      <c r="C56" s="44" t="s">
        <v>4363</v>
      </c>
      <c r="D56" s="28">
        <v>14000</v>
      </c>
      <c r="E56" s="28"/>
      <c r="F56" s="46">
        <f t="shared" si="0"/>
        <v>-41892</v>
      </c>
      <c r="G56" s="391" t="s">
        <v>9568</v>
      </c>
      <c r="I56" s="2"/>
    </row>
    <row r="57" spans="1:9" x14ac:dyDescent="0.3">
      <c r="A57" s="47">
        <v>43598</v>
      </c>
      <c r="C57" s="44" t="s">
        <v>640</v>
      </c>
      <c r="D57" s="28">
        <v>1000</v>
      </c>
      <c r="E57" s="28"/>
      <c r="F57" s="46">
        <f t="shared" si="0"/>
        <v>-42892</v>
      </c>
      <c r="G57" s="391" t="s">
        <v>9568</v>
      </c>
      <c r="I57" s="2"/>
    </row>
    <row r="58" spans="1:9" x14ac:dyDescent="0.3">
      <c r="A58" s="47">
        <v>43605</v>
      </c>
      <c r="C58" s="44" t="s">
        <v>4996</v>
      </c>
      <c r="D58" s="28">
        <v>5000</v>
      </c>
      <c r="E58" s="28"/>
      <c r="F58" s="46">
        <f t="shared" si="0"/>
        <v>-47892</v>
      </c>
      <c r="G58" s="391" t="s">
        <v>9568</v>
      </c>
      <c r="I58" s="2"/>
    </row>
    <row r="59" spans="1:9" x14ac:dyDescent="0.3">
      <c r="A59" s="47">
        <v>43605</v>
      </c>
      <c r="C59" s="44" t="s">
        <v>4877</v>
      </c>
      <c r="D59" s="28">
        <v>7000</v>
      </c>
      <c r="E59" s="28"/>
      <c r="F59" s="46">
        <f t="shared" si="0"/>
        <v>-54892</v>
      </c>
      <c r="G59" s="391" t="s">
        <v>9568</v>
      </c>
      <c r="I59" s="2"/>
    </row>
    <row r="60" spans="1:9" x14ac:dyDescent="0.3">
      <c r="A60" s="47">
        <v>43605</v>
      </c>
      <c r="C60" s="44" t="s">
        <v>5000</v>
      </c>
      <c r="D60" s="28">
        <v>7000</v>
      </c>
      <c r="E60" s="28"/>
      <c r="F60" s="46">
        <f t="shared" si="0"/>
        <v>-61892</v>
      </c>
      <c r="G60" s="391" t="s">
        <v>9568</v>
      </c>
      <c r="I60" s="2"/>
    </row>
    <row r="61" spans="1:9" x14ac:dyDescent="0.3">
      <c r="A61" s="47">
        <v>43605</v>
      </c>
      <c r="C61" s="44" t="s">
        <v>5008</v>
      </c>
      <c r="D61" s="28">
        <v>8500</v>
      </c>
      <c r="E61" s="28"/>
      <c r="F61" s="46">
        <f t="shared" si="0"/>
        <v>-70392</v>
      </c>
      <c r="G61" s="391" t="s">
        <v>9568</v>
      </c>
      <c r="I61" s="2"/>
    </row>
    <row r="62" spans="1:9" x14ac:dyDescent="0.3">
      <c r="A62" s="47">
        <v>43608</v>
      </c>
      <c r="C62" s="44" t="s">
        <v>5016</v>
      </c>
      <c r="D62" s="28">
        <v>10000</v>
      </c>
      <c r="E62" s="28"/>
      <c r="F62" s="46">
        <f t="shared" si="0"/>
        <v>-80392</v>
      </c>
      <c r="G62" s="391" t="s">
        <v>9568</v>
      </c>
      <c r="I62" s="2"/>
    </row>
    <row r="63" spans="1:9" x14ac:dyDescent="0.3">
      <c r="A63" s="47">
        <v>43608</v>
      </c>
      <c r="C63" s="44" t="s">
        <v>294</v>
      </c>
      <c r="D63" s="28"/>
      <c r="E63" s="28">
        <v>10000</v>
      </c>
      <c r="F63" s="46">
        <f t="shared" si="0"/>
        <v>-70392</v>
      </c>
      <c r="G63" s="391" t="s">
        <v>9568</v>
      </c>
      <c r="I63" s="2"/>
    </row>
    <row r="64" spans="1:9" x14ac:dyDescent="0.3">
      <c r="A64" s="47">
        <v>43613</v>
      </c>
      <c r="C64" s="44" t="s">
        <v>294</v>
      </c>
      <c r="D64" s="28"/>
      <c r="E64" s="28">
        <v>3000</v>
      </c>
      <c r="F64" s="46">
        <f t="shared" si="0"/>
        <v>-67392</v>
      </c>
      <c r="G64" s="391" t="s">
        <v>9568</v>
      </c>
      <c r="I64" s="2"/>
    </row>
    <row r="65" spans="1:9" x14ac:dyDescent="0.3">
      <c r="A65" s="47">
        <v>43614</v>
      </c>
      <c r="C65" s="44" t="s">
        <v>5033</v>
      </c>
      <c r="D65" s="28">
        <v>1000</v>
      </c>
      <c r="E65" s="28"/>
      <c r="F65" s="46">
        <f t="shared" si="0"/>
        <v>-68392</v>
      </c>
      <c r="G65" s="391" t="s">
        <v>9568</v>
      </c>
      <c r="I65" s="2"/>
    </row>
    <row r="66" spans="1:9" x14ac:dyDescent="0.3">
      <c r="A66" s="47">
        <v>43614</v>
      </c>
      <c r="C66" s="44" t="s">
        <v>5034</v>
      </c>
      <c r="D66" s="28">
        <v>4100</v>
      </c>
      <c r="E66" s="28"/>
      <c r="F66" s="46">
        <f t="shared" si="0"/>
        <v>-72492</v>
      </c>
      <c r="G66" s="391" t="s">
        <v>9568</v>
      </c>
      <c r="I66" s="2"/>
    </row>
    <row r="67" spans="1:9" x14ac:dyDescent="0.3">
      <c r="A67" s="47">
        <v>43614</v>
      </c>
      <c r="C67" s="44" t="s">
        <v>4365</v>
      </c>
      <c r="D67" s="28">
        <v>2000</v>
      </c>
      <c r="E67" s="28"/>
      <c r="F67" s="46">
        <f t="shared" si="0"/>
        <v>-74492</v>
      </c>
      <c r="G67" s="391" t="s">
        <v>9568</v>
      </c>
      <c r="I67" s="2"/>
    </row>
    <row r="68" spans="1:9" x14ac:dyDescent="0.3">
      <c r="A68" s="47">
        <v>43614</v>
      </c>
      <c r="C68" s="44" t="s">
        <v>5035</v>
      </c>
      <c r="D68" s="28">
        <v>1000</v>
      </c>
      <c r="E68" s="28"/>
      <c r="F68" s="46">
        <f t="shared" ref="F68:F131" si="1">F67+E68-D68</f>
        <v>-75492</v>
      </c>
      <c r="G68" s="391" t="s">
        <v>9568</v>
      </c>
      <c r="I68" s="2"/>
    </row>
    <row r="69" spans="1:9" x14ac:dyDescent="0.3">
      <c r="A69" s="47">
        <v>43614</v>
      </c>
      <c r="C69" s="44" t="s">
        <v>5036</v>
      </c>
      <c r="D69" s="28">
        <v>1000</v>
      </c>
      <c r="E69" s="28"/>
      <c r="F69" s="46">
        <f t="shared" si="1"/>
        <v>-76492</v>
      </c>
      <c r="G69" s="391" t="s">
        <v>9568</v>
      </c>
      <c r="I69" s="2"/>
    </row>
    <row r="70" spans="1:9" x14ac:dyDescent="0.3">
      <c r="A70" s="47">
        <v>43614</v>
      </c>
      <c r="C70" s="44" t="s">
        <v>5037</v>
      </c>
      <c r="D70" s="28">
        <v>1000</v>
      </c>
      <c r="E70" s="28"/>
      <c r="F70" s="46">
        <f t="shared" si="1"/>
        <v>-77492</v>
      </c>
      <c r="G70" s="391" t="s">
        <v>9568</v>
      </c>
      <c r="I70" s="2"/>
    </row>
    <row r="71" spans="1:9" x14ac:dyDescent="0.3">
      <c r="A71" s="47">
        <v>43615</v>
      </c>
      <c r="C71" s="44" t="s">
        <v>294</v>
      </c>
      <c r="D71" s="28"/>
      <c r="E71" s="28">
        <v>10000</v>
      </c>
      <c r="F71" s="46">
        <f t="shared" si="1"/>
        <v>-67492</v>
      </c>
      <c r="G71" s="391" t="s">
        <v>9568</v>
      </c>
      <c r="I71" s="2"/>
    </row>
    <row r="72" spans="1:9" x14ac:dyDescent="0.3">
      <c r="A72" s="47">
        <v>43619</v>
      </c>
      <c r="C72" s="44" t="s">
        <v>3920</v>
      </c>
      <c r="D72" s="28">
        <v>2000</v>
      </c>
      <c r="E72" s="28"/>
      <c r="F72" s="46">
        <f t="shared" si="1"/>
        <v>-69492</v>
      </c>
      <c r="G72" s="391" t="s">
        <v>9568</v>
      </c>
      <c r="I72" s="2"/>
    </row>
    <row r="73" spans="1:9" x14ac:dyDescent="0.3">
      <c r="A73" s="47">
        <v>43627</v>
      </c>
      <c r="C73" s="44" t="s">
        <v>5051</v>
      </c>
      <c r="D73" s="28">
        <v>10000</v>
      </c>
      <c r="E73" s="28"/>
      <c r="F73" s="46">
        <f t="shared" si="1"/>
        <v>-79492</v>
      </c>
      <c r="G73" s="391" t="s">
        <v>9568</v>
      </c>
      <c r="I73" s="2"/>
    </row>
    <row r="74" spans="1:9" x14ac:dyDescent="0.3">
      <c r="A74" s="47">
        <v>43627</v>
      </c>
      <c r="C74" s="44" t="s">
        <v>294</v>
      </c>
      <c r="D74" s="28"/>
      <c r="E74" s="28">
        <v>40000</v>
      </c>
      <c r="F74" s="46">
        <f t="shared" si="1"/>
        <v>-39492</v>
      </c>
      <c r="G74" s="391" t="s">
        <v>9568</v>
      </c>
      <c r="I74" s="2"/>
    </row>
    <row r="75" spans="1:9" x14ac:dyDescent="0.3">
      <c r="A75" s="47">
        <v>43631</v>
      </c>
      <c r="C75" s="44" t="s">
        <v>5063</v>
      </c>
      <c r="D75" s="28">
        <v>25000</v>
      </c>
      <c r="E75" s="28"/>
      <c r="F75" s="46">
        <f t="shared" si="1"/>
        <v>-64492</v>
      </c>
      <c r="G75" s="391" t="s">
        <v>9568</v>
      </c>
      <c r="I75" s="2"/>
    </row>
    <row r="76" spans="1:9" x14ac:dyDescent="0.3">
      <c r="A76" s="47">
        <v>43631</v>
      </c>
      <c r="C76" s="44" t="s">
        <v>5064</v>
      </c>
      <c r="D76" s="28">
        <v>4000</v>
      </c>
      <c r="E76" s="28"/>
      <c r="F76" s="46">
        <f t="shared" si="1"/>
        <v>-68492</v>
      </c>
      <c r="G76" s="391" t="s">
        <v>9568</v>
      </c>
      <c r="I76" s="2"/>
    </row>
    <row r="77" spans="1:9" x14ac:dyDescent="0.3">
      <c r="A77" s="47">
        <v>43647</v>
      </c>
      <c r="C77" s="44" t="s">
        <v>5016</v>
      </c>
      <c r="D77" s="28">
        <v>5000</v>
      </c>
      <c r="E77" s="28"/>
      <c r="F77" s="46">
        <f t="shared" si="1"/>
        <v>-73492</v>
      </c>
      <c r="G77" s="391" t="s">
        <v>9568</v>
      </c>
      <c r="I77" s="2"/>
    </row>
    <row r="78" spans="1:9" x14ac:dyDescent="0.3">
      <c r="A78" s="47">
        <v>43649</v>
      </c>
      <c r="C78" s="44" t="s">
        <v>5111</v>
      </c>
      <c r="D78" s="28">
        <v>1000</v>
      </c>
      <c r="E78" s="28"/>
      <c r="F78" s="46">
        <f t="shared" si="1"/>
        <v>-74492</v>
      </c>
      <c r="G78" s="391" t="s">
        <v>9568</v>
      </c>
      <c r="I78" s="2"/>
    </row>
    <row r="79" spans="1:9" x14ac:dyDescent="0.3">
      <c r="A79" s="47">
        <v>43649</v>
      </c>
      <c r="C79" s="44" t="s">
        <v>5112</v>
      </c>
      <c r="D79" s="28">
        <v>3000</v>
      </c>
      <c r="E79" s="28"/>
      <c r="F79" s="46">
        <f t="shared" si="1"/>
        <v>-77492</v>
      </c>
      <c r="G79" s="391" t="s">
        <v>9568</v>
      </c>
      <c r="I79" s="2"/>
    </row>
    <row r="80" spans="1:9" x14ac:dyDescent="0.3">
      <c r="A80" s="47">
        <v>43649</v>
      </c>
      <c r="C80" s="44" t="s">
        <v>5113</v>
      </c>
      <c r="D80" s="28">
        <v>2000</v>
      </c>
      <c r="E80" s="28"/>
      <c r="F80" s="46">
        <f t="shared" si="1"/>
        <v>-79492</v>
      </c>
      <c r="G80" s="391" t="s">
        <v>9568</v>
      </c>
      <c r="I80" s="2"/>
    </row>
    <row r="81" spans="1:9" x14ac:dyDescent="0.3">
      <c r="A81" s="47">
        <v>43649</v>
      </c>
      <c r="C81" s="44" t="s">
        <v>5114</v>
      </c>
      <c r="D81" s="28">
        <v>2000</v>
      </c>
      <c r="E81" s="28"/>
      <c r="F81" s="46">
        <f t="shared" si="1"/>
        <v>-81492</v>
      </c>
      <c r="G81" s="391" t="s">
        <v>9568</v>
      </c>
      <c r="I81" s="2"/>
    </row>
    <row r="82" spans="1:9" x14ac:dyDescent="0.3">
      <c r="A82" s="47">
        <v>43657</v>
      </c>
      <c r="C82" s="44" t="s">
        <v>640</v>
      </c>
      <c r="D82" s="28">
        <v>1000</v>
      </c>
      <c r="E82" s="28"/>
      <c r="F82" s="46">
        <f t="shared" si="1"/>
        <v>-82492</v>
      </c>
      <c r="G82" s="391" t="s">
        <v>9568</v>
      </c>
      <c r="I82" s="2"/>
    </row>
    <row r="83" spans="1:9" x14ac:dyDescent="0.3">
      <c r="A83" s="47">
        <v>43657</v>
      </c>
      <c r="C83" s="44" t="s">
        <v>294</v>
      </c>
      <c r="D83" s="28"/>
      <c r="E83" s="28">
        <v>13000</v>
      </c>
      <c r="F83" s="46">
        <f t="shared" si="1"/>
        <v>-69492</v>
      </c>
      <c r="G83" s="391" t="s">
        <v>9568</v>
      </c>
      <c r="I83" s="2"/>
    </row>
    <row r="84" spans="1:9" x14ac:dyDescent="0.3">
      <c r="A84" s="47">
        <v>43662</v>
      </c>
      <c r="C84" s="44" t="s">
        <v>4490</v>
      </c>
      <c r="D84" s="28">
        <v>500</v>
      </c>
      <c r="E84" s="28"/>
      <c r="F84" s="46">
        <f t="shared" si="1"/>
        <v>-69992</v>
      </c>
      <c r="G84" s="391" t="s">
        <v>9568</v>
      </c>
      <c r="I84" s="2"/>
    </row>
    <row r="85" spans="1:9" x14ac:dyDescent="0.3">
      <c r="A85" s="47">
        <v>43668</v>
      </c>
      <c r="C85" s="44" t="s">
        <v>294</v>
      </c>
      <c r="D85" s="28"/>
      <c r="E85" s="28">
        <v>5000</v>
      </c>
      <c r="F85" s="46">
        <f t="shared" si="1"/>
        <v>-64992</v>
      </c>
      <c r="G85" s="391" t="s">
        <v>9568</v>
      </c>
      <c r="I85" s="2"/>
    </row>
    <row r="86" spans="1:9" x14ac:dyDescent="0.3">
      <c r="A86" s="47">
        <v>43668</v>
      </c>
      <c r="C86" s="44" t="s">
        <v>5186</v>
      </c>
      <c r="D86" s="28">
        <v>4000</v>
      </c>
      <c r="E86" s="28"/>
      <c r="F86" s="46">
        <f t="shared" si="1"/>
        <v>-68992</v>
      </c>
      <c r="G86" s="391" t="s">
        <v>9568</v>
      </c>
      <c r="I86" s="2"/>
    </row>
    <row r="87" spans="1:9" x14ac:dyDescent="0.3">
      <c r="A87" s="47">
        <v>43668</v>
      </c>
      <c r="C87" s="44" t="s">
        <v>5189</v>
      </c>
      <c r="D87" s="28"/>
      <c r="E87" s="28">
        <v>50000</v>
      </c>
      <c r="F87" s="46">
        <f t="shared" si="1"/>
        <v>-18992</v>
      </c>
      <c r="G87" s="391" t="s">
        <v>9568</v>
      </c>
      <c r="I87" s="2"/>
    </row>
    <row r="88" spans="1:9" x14ac:dyDescent="0.3">
      <c r="A88" s="47">
        <v>43669</v>
      </c>
      <c r="C88" s="44" t="s">
        <v>294</v>
      </c>
      <c r="D88" s="28"/>
      <c r="E88" s="28">
        <v>5000</v>
      </c>
      <c r="F88" s="46">
        <f t="shared" si="1"/>
        <v>-13992</v>
      </c>
      <c r="G88" s="391" t="s">
        <v>9568</v>
      </c>
      <c r="I88" s="2"/>
    </row>
    <row r="89" spans="1:9" x14ac:dyDescent="0.3">
      <c r="A89" s="47">
        <v>43672</v>
      </c>
      <c r="C89" s="44" t="s">
        <v>5201</v>
      </c>
      <c r="D89" s="28">
        <v>15000</v>
      </c>
      <c r="E89" s="28"/>
      <c r="F89" s="46">
        <f t="shared" si="1"/>
        <v>-28992</v>
      </c>
      <c r="G89" s="391" t="s">
        <v>9568</v>
      </c>
      <c r="I89" s="2"/>
    </row>
    <row r="90" spans="1:9" x14ac:dyDescent="0.3">
      <c r="A90" s="47">
        <v>43672</v>
      </c>
      <c r="C90" s="44" t="s">
        <v>5202</v>
      </c>
      <c r="D90" s="28">
        <v>30000</v>
      </c>
      <c r="E90" s="28"/>
      <c r="F90" s="46">
        <f t="shared" si="1"/>
        <v>-58992</v>
      </c>
      <c r="G90" s="391" t="s">
        <v>9568</v>
      </c>
      <c r="I90" s="2"/>
    </row>
    <row r="91" spans="1:9" x14ac:dyDescent="0.3">
      <c r="A91" s="47">
        <v>43673</v>
      </c>
      <c r="C91" s="44" t="s">
        <v>294</v>
      </c>
      <c r="D91" s="28"/>
      <c r="E91" s="28">
        <v>9000</v>
      </c>
      <c r="F91" s="46">
        <f t="shared" si="1"/>
        <v>-49992</v>
      </c>
      <c r="G91" s="391" t="s">
        <v>9568</v>
      </c>
      <c r="I91" s="2"/>
    </row>
    <row r="92" spans="1:9" x14ac:dyDescent="0.3">
      <c r="A92" s="47">
        <v>43673</v>
      </c>
      <c r="C92" s="44" t="s">
        <v>4884</v>
      </c>
      <c r="D92" s="28">
        <v>2000</v>
      </c>
      <c r="E92" s="28"/>
      <c r="F92" s="46">
        <f t="shared" si="1"/>
        <v>-51992</v>
      </c>
      <c r="G92" s="391" t="s">
        <v>9568</v>
      </c>
      <c r="I92" s="2"/>
    </row>
    <row r="93" spans="1:9" x14ac:dyDescent="0.3">
      <c r="A93" s="47">
        <v>43673</v>
      </c>
      <c r="C93" s="44" t="s">
        <v>4363</v>
      </c>
      <c r="D93" s="28">
        <v>2000</v>
      </c>
      <c r="E93" s="28"/>
      <c r="F93" s="46">
        <f t="shared" si="1"/>
        <v>-53992</v>
      </c>
      <c r="G93" s="391" t="s">
        <v>9568</v>
      </c>
      <c r="I93" s="2"/>
    </row>
    <row r="94" spans="1:9" x14ac:dyDescent="0.3">
      <c r="A94" s="47">
        <v>43673</v>
      </c>
      <c r="C94" s="44" t="s">
        <v>4884</v>
      </c>
      <c r="D94" s="28">
        <v>12180</v>
      </c>
      <c r="E94" s="28"/>
      <c r="F94" s="46">
        <f t="shared" si="1"/>
        <v>-66172</v>
      </c>
      <c r="G94" s="391" t="s">
        <v>9568</v>
      </c>
      <c r="I94" s="2"/>
    </row>
    <row r="95" spans="1:9" x14ac:dyDescent="0.3">
      <c r="A95" s="47">
        <v>43673</v>
      </c>
      <c r="C95" s="44" t="s">
        <v>5124</v>
      </c>
      <c r="D95" s="28">
        <v>4600</v>
      </c>
      <c r="E95" s="28"/>
      <c r="F95" s="46">
        <f t="shared" si="1"/>
        <v>-70772</v>
      </c>
      <c r="G95" s="391" t="s">
        <v>9568</v>
      </c>
      <c r="I95" s="2"/>
    </row>
    <row r="96" spans="1:9" x14ac:dyDescent="0.3">
      <c r="A96" s="47">
        <v>43679</v>
      </c>
      <c r="C96" s="44" t="s">
        <v>294</v>
      </c>
      <c r="D96" s="28"/>
      <c r="E96" s="28">
        <v>2000</v>
      </c>
      <c r="F96" s="46">
        <f t="shared" si="1"/>
        <v>-68772</v>
      </c>
      <c r="G96" s="391" t="s">
        <v>9568</v>
      </c>
      <c r="I96" s="2"/>
    </row>
    <row r="97" spans="1:9" x14ac:dyDescent="0.3">
      <c r="A97" s="47">
        <v>43696</v>
      </c>
      <c r="C97" s="44" t="s">
        <v>1530</v>
      </c>
      <c r="D97" s="28"/>
      <c r="E97" s="28">
        <v>5000</v>
      </c>
      <c r="F97" s="46">
        <f t="shared" si="1"/>
        <v>-63772</v>
      </c>
      <c r="G97" s="391" t="s">
        <v>9568</v>
      </c>
      <c r="I97" s="2"/>
    </row>
    <row r="98" spans="1:9" x14ac:dyDescent="0.3">
      <c r="A98" s="47">
        <v>43705</v>
      </c>
      <c r="C98" s="44" t="s">
        <v>5034</v>
      </c>
      <c r="D98" s="28">
        <v>3500</v>
      </c>
      <c r="E98" s="28"/>
      <c r="F98" s="46">
        <f t="shared" si="1"/>
        <v>-67272</v>
      </c>
      <c r="G98" s="391" t="s">
        <v>9568</v>
      </c>
      <c r="I98" s="2"/>
    </row>
    <row r="99" spans="1:9" x14ac:dyDescent="0.3">
      <c r="A99" s="47">
        <v>43705</v>
      </c>
      <c r="C99" s="44" t="s">
        <v>4446</v>
      </c>
      <c r="D99" s="28">
        <v>4250</v>
      </c>
      <c r="E99" s="28"/>
      <c r="F99" s="46">
        <f t="shared" si="1"/>
        <v>-71522</v>
      </c>
      <c r="G99" s="391" t="s">
        <v>9568</v>
      </c>
      <c r="I99" s="2"/>
    </row>
    <row r="100" spans="1:9" x14ac:dyDescent="0.3">
      <c r="A100" s="47">
        <v>43705</v>
      </c>
      <c r="C100" s="44" t="s">
        <v>5304</v>
      </c>
      <c r="D100" s="28">
        <v>2500</v>
      </c>
      <c r="E100" s="28"/>
      <c r="F100" s="46">
        <f t="shared" si="1"/>
        <v>-74022</v>
      </c>
      <c r="G100" s="391" t="s">
        <v>9568</v>
      </c>
      <c r="I100" s="2"/>
    </row>
    <row r="101" spans="1:9" x14ac:dyDescent="0.3">
      <c r="A101" s="47">
        <v>43710</v>
      </c>
      <c r="C101" s="44" t="s">
        <v>1530</v>
      </c>
      <c r="D101" s="28"/>
      <c r="E101" s="28">
        <v>22000</v>
      </c>
      <c r="F101" s="46">
        <f t="shared" si="1"/>
        <v>-52022</v>
      </c>
      <c r="G101" s="391" t="s">
        <v>9568</v>
      </c>
      <c r="I101" s="2"/>
    </row>
    <row r="102" spans="1:9" x14ac:dyDescent="0.3">
      <c r="A102" s="47">
        <v>43710</v>
      </c>
      <c r="C102" s="44" t="s">
        <v>4350</v>
      </c>
      <c r="D102" s="28"/>
      <c r="E102" s="28">
        <v>60000</v>
      </c>
      <c r="F102" s="46">
        <f t="shared" si="1"/>
        <v>7978</v>
      </c>
      <c r="G102" s="391" t="s">
        <v>9568</v>
      </c>
      <c r="I102" s="2"/>
    </row>
    <row r="103" spans="1:9" x14ac:dyDescent="0.3">
      <c r="A103" s="47">
        <v>43733</v>
      </c>
      <c r="C103" s="44" t="s">
        <v>4350</v>
      </c>
      <c r="D103" s="28"/>
      <c r="E103" s="28">
        <v>4000</v>
      </c>
      <c r="F103" s="46">
        <f t="shared" si="1"/>
        <v>11978</v>
      </c>
      <c r="G103" s="391" t="s">
        <v>9568</v>
      </c>
      <c r="I103" s="2"/>
    </row>
    <row r="104" spans="1:9" x14ac:dyDescent="0.3">
      <c r="A104" s="47">
        <v>43738</v>
      </c>
      <c r="C104" s="44" t="s">
        <v>5420</v>
      </c>
      <c r="D104" s="28">
        <v>42000</v>
      </c>
      <c r="E104" s="28"/>
      <c r="F104" s="46">
        <f t="shared" si="1"/>
        <v>-30022</v>
      </c>
      <c r="G104" s="391" t="s">
        <v>9568</v>
      </c>
      <c r="I104" s="2"/>
    </row>
    <row r="105" spans="1:9" x14ac:dyDescent="0.3">
      <c r="A105" s="47">
        <v>43738</v>
      </c>
      <c r="C105" s="44" t="s">
        <v>5421</v>
      </c>
      <c r="D105" s="28">
        <v>115000</v>
      </c>
      <c r="E105" s="28"/>
      <c r="F105" s="46">
        <f t="shared" si="1"/>
        <v>-145022</v>
      </c>
      <c r="G105" s="391" t="s">
        <v>9568</v>
      </c>
      <c r="I105" s="2"/>
    </row>
    <row r="106" spans="1:9" x14ac:dyDescent="0.3">
      <c r="A106" s="47">
        <v>43738</v>
      </c>
      <c r="C106" s="44" t="s">
        <v>30</v>
      </c>
      <c r="D106" s="28">
        <v>10100</v>
      </c>
      <c r="E106" s="28"/>
      <c r="F106" s="46">
        <f t="shared" si="1"/>
        <v>-155122</v>
      </c>
      <c r="G106" s="391" t="s">
        <v>9568</v>
      </c>
      <c r="I106" s="2"/>
    </row>
    <row r="107" spans="1:9" x14ac:dyDescent="0.3">
      <c r="A107" s="47">
        <v>43738</v>
      </c>
      <c r="C107" s="44" t="s">
        <v>4490</v>
      </c>
      <c r="D107" s="28">
        <v>2000</v>
      </c>
      <c r="E107" s="28"/>
      <c r="F107" s="46">
        <f t="shared" si="1"/>
        <v>-157122</v>
      </c>
      <c r="G107" s="391" t="s">
        <v>9568</v>
      </c>
      <c r="I107" s="2"/>
    </row>
    <row r="108" spans="1:9" x14ac:dyDescent="0.3">
      <c r="A108" s="47">
        <v>43745</v>
      </c>
      <c r="C108" s="44" t="s">
        <v>5453</v>
      </c>
      <c r="D108" s="28">
        <v>5500</v>
      </c>
      <c r="E108" s="28"/>
      <c r="F108" s="46">
        <f t="shared" si="1"/>
        <v>-162622</v>
      </c>
      <c r="G108" s="391" t="s">
        <v>9568</v>
      </c>
      <c r="I108" s="2"/>
    </row>
    <row r="109" spans="1:9" x14ac:dyDescent="0.3">
      <c r="A109" s="47">
        <v>43745</v>
      </c>
      <c r="C109" s="44" t="s">
        <v>294</v>
      </c>
      <c r="D109" s="28"/>
      <c r="E109" s="28">
        <v>9000</v>
      </c>
      <c r="F109" s="46">
        <f t="shared" si="1"/>
        <v>-153622</v>
      </c>
      <c r="G109" s="391" t="s">
        <v>9568</v>
      </c>
      <c r="I109" s="2"/>
    </row>
    <row r="110" spans="1:9" x14ac:dyDescent="0.3">
      <c r="A110" s="47">
        <v>43745</v>
      </c>
      <c r="C110" s="44" t="s">
        <v>5113</v>
      </c>
      <c r="D110" s="28">
        <v>500</v>
      </c>
      <c r="E110" s="28"/>
      <c r="F110" s="46">
        <f t="shared" si="1"/>
        <v>-154122</v>
      </c>
      <c r="G110" s="391" t="s">
        <v>9568</v>
      </c>
      <c r="I110" s="2"/>
    </row>
    <row r="111" spans="1:9" x14ac:dyDescent="0.3">
      <c r="A111" s="47">
        <v>43745</v>
      </c>
      <c r="C111" s="44" t="s">
        <v>5114</v>
      </c>
      <c r="D111" s="28">
        <v>4000</v>
      </c>
      <c r="E111" s="28"/>
      <c r="F111" s="46">
        <f t="shared" si="1"/>
        <v>-158122</v>
      </c>
      <c r="G111" s="391" t="s">
        <v>9568</v>
      </c>
      <c r="I111" s="2"/>
    </row>
    <row r="112" spans="1:9" x14ac:dyDescent="0.3">
      <c r="A112" s="47">
        <v>43745</v>
      </c>
      <c r="C112" s="44" t="s">
        <v>5114</v>
      </c>
      <c r="D112" s="28">
        <v>12000</v>
      </c>
      <c r="E112" s="28"/>
      <c r="F112" s="46">
        <f t="shared" si="1"/>
        <v>-170122</v>
      </c>
      <c r="G112" s="391" t="s">
        <v>9568</v>
      </c>
      <c r="I112" s="2"/>
    </row>
    <row r="113" spans="1:9" x14ac:dyDescent="0.3">
      <c r="A113" s="47">
        <v>43745</v>
      </c>
      <c r="C113" s="44" t="s">
        <v>5458</v>
      </c>
      <c r="D113" s="28">
        <v>8144</v>
      </c>
      <c r="E113" s="28"/>
      <c r="F113" s="46">
        <f t="shared" si="1"/>
        <v>-178266</v>
      </c>
      <c r="G113" s="391" t="s">
        <v>9568</v>
      </c>
      <c r="I113" s="2"/>
    </row>
    <row r="114" spans="1:9" x14ac:dyDescent="0.3">
      <c r="A114" s="47">
        <v>43745</v>
      </c>
      <c r="C114" s="44" t="s">
        <v>5016</v>
      </c>
      <c r="D114" s="28">
        <v>6500</v>
      </c>
      <c r="E114" s="28"/>
      <c r="F114" s="46">
        <f t="shared" si="1"/>
        <v>-184766</v>
      </c>
      <c r="G114" s="391" t="s">
        <v>9568</v>
      </c>
      <c r="I114" s="2"/>
    </row>
    <row r="115" spans="1:9" x14ac:dyDescent="0.3">
      <c r="A115" s="47">
        <v>43748</v>
      </c>
      <c r="C115" s="44" t="s">
        <v>5016</v>
      </c>
      <c r="D115" s="28">
        <v>5000</v>
      </c>
      <c r="E115" s="28"/>
      <c r="F115" s="46">
        <f t="shared" si="1"/>
        <v>-189766</v>
      </c>
      <c r="G115" s="391" t="s">
        <v>9568</v>
      </c>
      <c r="I115" s="2"/>
    </row>
    <row r="116" spans="1:9" x14ac:dyDescent="0.3">
      <c r="A116" s="47">
        <v>43748</v>
      </c>
      <c r="C116" s="44" t="s">
        <v>2594</v>
      </c>
      <c r="D116" s="28">
        <v>10000</v>
      </c>
      <c r="E116" s="28"/>
      <c r="F116" s="46">
        <f t="shared" si="1"/>
        <v>-199766</v>
      </c>
      <c r="G116" s="391" t="s">
        <v>9568</v>
      </c>
      <c r="I116" s="2"/>
    </row>
    <row r="117" spans="1:9" x14ac:dyDescent="0.3">
      <c r="A117" s="47">
        <v>43749</v>
      </c>
      <c r="C117" s="44" t="s">
        <v>294</v>
      </c>
      <c r="D117" s="28"/>
      <c r="E117" s="28">
        <v>35000</v>
      </c>
      <c r="F117" s="46">
        <f t="shared" si="1"/>
        <v>-164766</v>
      </c>
      <c r="G117" s="391" t="s">
        <v>9568</v>
      </c>
      <c r="I117" s="2"/>
    </row>
    <row r="118" spans="1:9" x14ac:dyDescent="0.3">
      <c r="A118" s="47">
        <v>43749</v>
      </c>
      <c r="C118" s="44" t="s">
        <v>5472</v>
      </c>
      <c r="D118" s="28">
        <v>16000</v>
      </c>
      <c r="E118" s="28"/>
      <c r="F118" s="46">
        <f t="shared" si="1"/>
        <v>-180766</v>
      </c>
      <c r="G118" s="391" t="s">
        <v>9568</v>
      </c>
      <c r="I118" s="2"/>
    </row>
    <row r="119" spans="1:9" x14ac:dyDescent="0.3">
      <c r="A119" s="47">
        <v>43752</v>
      </c>
      <c r="C119" s="44" t="s">
        <v>294</v>
      </c>
      <c r="D119" s="28"/>
      <c r="E119" s="28">
        <v>100000</v>
      </c>
      <c r="F119" s="46">
        <f t="shared" si="1"/>
        <v>-80766</v>
      </c>
      <c r="G119" s="391" t="s">
        <v>9568</v>
      </c>
      <c r="I119" s="2"/>
    </row>
    <row r="120" spans="1:9" x14ac:dyDescent="0.3">
      <c r="A120" s="47">
        <v>43753</v>
      </c>
      <c r="C120" s="44" t="s">
        <v>4877</v>
      </c>
      <c r="D120" s="28">
        <v>3000</v>
      </c>
      <c r="E120" s="28"/>
      <c r="F120" s="46">
        <f t="shared" si="1"/>
        <v>-83766</v>
      </c>
      <c r="G120" s="391" t="s">
        <v>9568</v>
      </c>
      <c r="I120" s="2"/>
    </row>
    <row r="121" spans="1:9" x14ac:dyDescent="0.3">
      <c r="A121" s="47">
        <v>43756</v>
      </c>
      <c r="C121" s="44" t="s">
        <v>5487</v>
      </c>
      <c r="D121" s="28">
        <v>50000</v>
      </c>
      <c r="E121" s="28"/>
      <c r="F121" s="46">
        <f t="shared" si="1"/>
        <v>-133766</v>
      </c>
      <c r="G121" s="391" t="s">
        <v>9568</v>
      </c>
      <c r="I121" s="2"/>
    </row>
    <row r="122" spans="1:9" x14ac:dyDescent="0.3">
      <c r="A122" s="47">
        <v>43756</v>
      </c>
      <c r="C122" s="44" t="s">
        <v>5488</v>
      </c>
      <c r="D122" s="28">
        <v>1000</v>
      </c>
      <c r="E122" s="28"/>
      <c r="F122" s="46">
        <f t="shared" si="1"/>
        <v>-134766</v>
      </c>
      <c r="G122" s="391" t="s">
        <v>9568</v>
      </c>
      <c r="I122" s="2"/>
    </row>
    <row r="123" spans="1:9" x14ac:dyDescent="0.3">
      <c r="A123" s="47">
        <v>43760</v>
      </c>
      <c r="C123" s="44" t="s">
        <v>5507</v>
      </c>
      <c r="D123" s="28">
        <v>50000</v>
      </c>
      <c r="E123" s="28"/>
      <c r="F123" s="46">
        <f t="shared" si="1"/>
        <v>-184766</v>
      </c>
      <c r="G123" s="391" t="s">
        <v>9568</v>
      </c>
      <c r="I123" s="2"/>
    </row>
    <row r="124" spans="1:9" x14ac:dyDescent="0.3">
      <c r="A124" s="47">
        <v>43760</v>
      </c>
      <c r="C124" s="44" t="s">
        <v>5508</v>
      </c>
      <c r="D124" s="28"/>
      <c r="E124" s="28">
        <v>100000</v>
      </c>
      <c r="F124" s="46">
        <f t="shared" si="1"/>
        <v>-84766</v>
      </c>
      <c r="G124" s="391" t="s">
        <v>9568</v>
      </c>
      <c r="I124" s="2"/>
    </row>
    <row r="125" spans="1:9" x14ac:dyDescent="0.3">
      <c r="A125" s="47">
        <v>43761</v>
      </c>
      <c r="C125" s="44" t="s">
        <v>5510</v>
      </c>
      <c r="D125" s="28">
        <v>7000</v>
      </c>
      <c r="E125" s="28"/>
      <c r="F125" s="46">
        <f t="shared" si="1"/>
        <v>-91766</v>
      </c>
      <c r="G125" s="391" t="s">
        <v>9568</v>
      </c>
      <c r="I125" s="2"/>
    </row>
    <row r="126" spans="1:9" x14ac:dyDescent="0.3">
      <c r="A126" s="47">
        <v>43761</v>
      </c>
      <c r="C126" s="44" t="s">
        <v>4426</v>
      </c>
      <c r="D126" s="28">
        <v>2000</v>
      </c>
      <c r="E126" s="28"/>
      <c r="F126" s="46">
        <f t="shared" si="1"/>
        <v>-93766</v>
      </c>
      <c r="G126" s="391" t="s">
        <v>9568</v>
      </c>
      <c r="I126" s="2"/>
    </row>
    <row r="127" spans="1:9" x14ac:dyDescent="0.3">
      <c r="A127" s="47">
        <v>43761</v>
      </c>
      <c r="C127" s="44" t="s">
        <v>4756</v>
      </c>
      <c r="D127" s="28">
        <v>51080</v>
      </c>
      <c r="E127" s="28"/>
      <c r="F127" s="46">
        <f t="shared" si="1"/>
        <v>-144846</v>
      </c>
      <c r="G127" s="391" t="s">
        <v>9568</v>
      </c>
      <c r="I127" s="2"/>
    </row>
    <row r="128" spans="1:9" x14ac:dyDescent="0.3">
      <c r="A128" s="47">
        <v>43761</v>
      </c>
      <c r="C128" s="44" t="s">
        <v>294</v>
      </c>
      <c r="D128" s="28"/>
      <c r="E128" s="28">
        <v>64000</v>
      </c>
      <c r="F128" s="46">
        <f t="shared" si="1"/>
        <v>-80846</v>
      </c>
      <c r="G128" s="391" t="s">
        <v>9568</v>
      </c>
      <c r="I128" s="2"/>
    </row>
    <row r="129" spans="1:9" x14ac:dyDescent="0.3">
      <c r="A129" s="47">
        <v>43761</v>
      </c>
      <c r="C129" s="44" t="s">
        <v>4385</v>
      </c>
      <c r="D129" s="28">
        <v>2550</v>
      </c>
      <c r="E129" s="28"/>
      <c r="F129" s="46">
        <f t="shared" si="1"/>
        <v>-83396</v>
      </c>
      <c r="G129" s="391" t="s">
        <v>9568</v>
      </c>
      <c r="I129" s="2"/>
    </row>
    <row r="130" spans="1:9" x14ac:dyDescent="0.3">
      <c r="A130" s="47">
        <v>43761</v>
      </c>
      <c r="C130" s="44" t="s">
        <v>1530</v>
      </c>
      <c r="D130" s="28"/>
      <c r="E130" s="28">
        <v>15000</v>
      </c>
      <c r="F130" s="46">
        <f t="shared" si="1"/>
        <v>-68396</v>
      </c>
      <c r="G130" s="391" t="s">
        <v>9568</v>
      </c>
      <c r="I130" s="2"/>
    </row>
    <row r="131" spans="1:9" x14ac:dyDescent="0.3">
      <c r="A131" s="47">
        <v>43763</v>
      </c>
      <c r="C131" s="44" t="s">
        <v>5532</v>
      </c>
      <c r="D131" s="28"/>
      <c r="E131" s="28">
        <v>6850</v>
      </c>
      <c r="F131" s="46">
        <f t="shared" si="1"/>
        <v>-61546</v>
      </c>
      <c r="G131" s="391" t="s">
        <v>9568</v>
      </c>
      <c r="I131" s="2"/>
    </row>
    <row r="132" spans="1:9" x14ac:dyDescent="0.3">
      <c r="A132" s="47">
        <v>43763</v>
      </c>
      <c r="C132" s="44" t="s">
        <v>5555</v>
      </c>
      <c r="D132" s="28">
        <v>10000</v>
      </c>
      <c r="E132" s="28"/>
      <c r="F132" s="46">
        <f t="shared" ref="F132:F195" si="2">F131+E132-D132</f>
        <v>-71546</v>
      </c>
      <c r="G132" s="391" t="s">
        <v>9568</v>
      </c>
      <c r="I132" s="2"/>
    </row>
    <row r="133" spans="1:9" x14ac:dyDescent="0.3">
      <c r="A133" s="47">
        <v>43771</v>
      </c>
      <c r="C133" s="44" t="s">
        <v>294</v>
      </c>
      <c r="D133" s="28"/>
      <c r="E133" s="28">
        <v>40000</v>
      </c>
      <c r="F133" s="46">
        <f t="shared" si="2"/>
        <v>-31546</v>
      </c>
      <c r="G133" s="391" t="s">
        <v>9568</v>
      </c>
      <c r="I133" s="2"/>
    </row>
    <row r="134" spans="1:9" x14ac:dyDescent="0.3">
      <c r="A134" s="47">
        <v>43808</v>
      </c>
      <c r="C134" s="44" t="s">
        <v>5622</v>
      </c>
      <c r="D134" s="28">
        <v>2000</v>
      </c>
      <c r="E134" s="28"/>
      <c r="F134" s="46">
        <f t="shared" si="2"/>
        <v>-33546</v>
      </c>
      <c r="G134" s="391" t="s">
        <v>9568</v>
      </c>
      <c r="I134" s="2"/>
    </row>
    <row r="135" spans="1:9" x14ac:dyDescent="0.3">
      <c r="A135" s="47">
        <v>43808</v>
      </c>
      <c r="C135" s="44" t="s">
        <v>5623</v>
      </c>
      <c r="D135" s="28">
        <v>5000</v>
      </c>
      <c r="E135" s="28"/>
      <c r="F135" s="46">
        <f t="shared" si="2"/>
        <v>-38546</v>
      </c>
      <c r="G135" s="391" t="s">
        <v>9568</v>
      </c>
      <c r="I135" s="2"/>
    </row>
    <row r="136" spans="1:9" x14ac:dyDescent="0.3">
      <c r="A136" s="47">
        <v>43808</v>
      </c>
      <c r="C136" s="44" t="s">
        <v>4385</v>
      </c>
      <c r="D136" s="28">
        <v>27150</v>
      </c>
      <c r="E136" s="28"/>
      <c r="F136" s="46">
        <f t="shared" si="2"/>
        <v>-65696</v>
      </c>
      <c r="G136" s="391" t="s">
        <v>9568</v>
      </c>
      <c r="I136" s="2"/>
    </row>
    <row r="137" spans="1:9" x14ac:dyDescent="0.3">
      <c r="A137" s="47">
        <v>43808</v>
      </c>
      <c r="C137" s="44" t="s">
        <v>294</v>
      </c>
      <c r="D137" s="28"/>
      <c r="E137" s="28">
        <v>5000</v>
      </c>
      <c r="F137" s="46">
        <f t="shared" si="2"/>
        <v>-60696</v>
      </c>
      <c r="G137" s="391" t="s">
        <v>9568</v>
      </c>
      <c r="I137" s="2"/>
    </row>
    <row r="138" spans="1:9" x14ac:dyDescent="0.3">
      <c r="A138" s="47">
        <v>43810</v>
      </c>
      <c r="C138" s="44" t="s">
        <v>294</v>
      </c>
      <c r="D138" s="28"/>
      <c r="E138" s="28">
        <v>10000</v>
      </c>
      <c r="F138" s="46">
        <f t="shared" si="2"/>
        <v>-50696</v>
      </c>
      <c r="G138" s="391" t="s">
        <v>9568</v>
      </c>
      <c r="I138" s="2"/>
    </row>
    <row r="139" spans="1:9" x14ac:dyDescent="0.3">
      <c r="A139" s="47">
        <v>43810</v>
      </c>
      <c r="C139" s="44" t="s">
        <v>4310</v>
      </c>
      <c r="D139" s="28"/>
      <c r="E139" s="28">
        <v>20000</v>
      </c>
      <c r="F139" s="46">
        <f t="shared" si="2"/>
        <v>-30696</v>
      </c>
      <c r="G139" s="391" t="s">
        <v>9568</v>
      </c>
      <c r="I139" s="2"/>
    </row>
    <row r="140" spans="1:9" x14ac:dyDescent="0.3">
      <c r="A140" s="47">
        <v>43810</v>
      </c>
      <c r="C140" s="44" t="s">
        <v>4310</v>
      </c>
      <c r="D140" s="28"/>
      <c r="E140" s="28">
        <v>5000</v>
      </c>
      <c r="F140" s="46">
        <f t="shared" si="2"/>
        <v>-25696</v>
      </c>
      <c r="G140" s="391" t="s">
        <v>9568</v>
      </c>
      <c r="I140" s="2"/>
    </row>
    <row r="141" spans="1:9" x14ac:dyDescent="0.3">
      <c r="A141" s="47">
        <v>43810</v>
      </c>
      <c r="C141" s="44" t="s">
        <v>5659</v>
      </c>
      <c r="D141" s="28">
        <v>15000</v>
      </c>
      <c r="E141" s="28"/>
      <c r="F141" s="46">
        <f t="shared" si="2"/>
        <v>-40696</v>
      </c>
      <c r="G141" s="391" t="s">
        <v>9568</v>
      </c>
      <c r="I141" s="2"/>
    </row>
    <row r="142" spans="1:9" x14ac:dyDescent="0.3">
      <c r="A142" s="47">
        <v>43810</v>
      </c>
      <c r="C142" s="44" t="s">
        <v>3729</v>
      </c>
      <c r="D142" s="28"/>
      <c r="E142" s="28">
        <v>1000</v>
      </c>
      <c r="F142" s="46">
        <f t="shared" si="2"/>
        <v>-39696</v>
      </c>
      <c r="G142" s="391" t="s">
        <v>9568</v>
      </c>
      <c r="I142" s="2"/>
    </row>
    <row r="143" spans="1:9" x14ac:dyDescent="0.3">
      <c r="A143" s="47">
        <v>43810</v>
      </c>
      <c r="C143" s="44" t="s">
        <v>3729</v>
      </c>
      <c r="D143" s="28"/>
      <c r="E143" s="28">
        <v>55000</v>
      </c>
      <c r="F143" s="46">
        <f t="shared" si="2"/>
        <v>15304</v>
      </c>
      <c r="G143" s="391" t="s">
        <v>9568</v>
      </c>
      <c r="I143" s="2"/>
    </row>
    <row r="144" spans="1:9" x14ac:dyDescent="0.3">
      <c r="A144" s="47">
        <v>43810</v>
      </c>
      <c r="C144" s="44" t="s">
        <v>3729</v>
      </c>
      <c r="D144" s="28"/>
      <c r="E144" s="28">
        <v>30000</v>
      </c>
      <c r="F144" s="46">
        <f t="shared" si="2"/>
        <v>45304</v>
      </c>
      <c r="G144" s="391" t="s">
        <v>9568</v>
      </c>
      <c r="I144" s="2"/>
    </row>
    <row r="145" spans="1:9" x14ac:dyDescent="0.3">
      <c r="A145" s="47">
        <v>43831</v>
      </c>
      <c r="C145" s="44" t="s">
        <v>5699</v>
      </c>
      <c r="D145" s="28">
        <v>5000</v>
      </c>
      <c r="E145" s="28"/>
      <c r="F145" s="46">
        <f t="shared" si="2"/>
        <v>40304</v>
      </c>
      <c r="G145" s="391" t="s">
        <v>9568</v>
      </c>
      <c r="I145" s="2"/>
    </row>
    <row r="146" spans="1:9" x14ac:dyDescent="0.3">
      <c r="A146" s="47">
        <v>43831</v>
      </c>
      <c r="C146" s="44" t="s">
        <v>5700</v>
      </c>
      <c r="D146" s="28">
        <v>5000</v>
      </c>
      <c r="E146" s="28"/>
      <c r="F146" s="46">
        <f t="shared" si="2"/>
        <v>35304</v>
      </c>
      <c r="G146" s="391" t="s">
        <v>9568</v>
      </c>
      <c r="I146" s="2"/>
    </row>
    <row r="147" spans="1:9" x14ac:dyDescent="0.3">
      <c r="A147" s="47">
        <v>43831</v>
      </c>
      <c r="C147" s="44" t="s">
        <v>5701</v>
      </c>
      <c r="D147" s="28">
        <v>20000</v>
      </c>
      <c r="E147" s="28"/>
      <c r="F147" s="46">
        <f t="shared" si="2"/>
        <v>15304</v>
      </c>
      <c r="G147" s="391" t="s">
        <v>9568</v>
      </c>
      <c r="I147" s="2"/>
    </row>
    <row r="148" spans="1:9" x14ac:dyDescent="0.3">
      <c r="A148" s="47">
        <v>43831</v>
      </c>
      <c r="C148" s="44" t="s">
        <v>3920</v>
      </c>
      <c r="D148" s="28">
        <v>39790</v>
      </c>
      <c r="E148" s="28"/>
      <c r="F148" s="46">
        <f t="shared" si="2"/>
        <v>-24486</v>
      </c>
      <c r="G148" s="391" t="s">
        <v>9568</v>
      </c>
      <c r="I148" s="2"/>
    </row>
    <row r="149" spans="1:9" x14ac:dyDescent="0.3">
      <c r="A149" s="47">
        <v>43831</v>
      </c>
      <c r="C149" s="44" t="s">
        <v>640</v>
      </c>
      <c r="D149" s="28">
        <v>1000</v>
      </c>
      <c r="E149" s="28"/>
      <c r="F149" s="46">
        <f t="shared" si="2"/>
        <v>-25486</v>
      </c>
      <c r="G149" s="391" t="s">
        <v>9568</v>
      </c>
      <c r="I149" s="2"/>
    </row>
    <row r="150" spans="1:9" x14ac:dyDescent="0.3">
      <c r="A150" s="47">
        <v>43831</v>
      </c>
      <c r="C150" s="44" t="s">
        <v>8</v>
      </c>
      <c r="D150" s="28">
        <v>500</v>
      </c>
      <c r="E150" s="28"/>
      <c r="F150" s="46">
        <f t="shared" si="2"/>
        <v>-25986</v>
      </c>
      <c r="G150" s="391" t="s">
        <v>9568</v>
      </c>
      <c r="I150" s="2"/>
    </row>
    <row r="151" spans="1:9" x14ac:dyDescent="0.3">
      <c r="A151" s="47">
        <v>43844</v>
      </c>
      <c r="C151" s="44" t="s">
        <v>4884</v>
      </c>
      <c r="D151" s="28">
        <v>23500</v>
      </c>
      <c r="E151" s="28"/>
      <c r="F151" s="46">
        <f t="shared" si="2"/>
        <v>-49486</v>
      </c>
      <c r="G151" s="391" t="s">
        <v>9568</v>
      </c>
      <c r="I151" s="2"/>
    </row>
    <row r="152" spans="1:9" x14ac:dyDescent="0.3">
      <c r="A152" s="47">
        <v>43844</v>
      </c>
      <c r="C152" s="44" t="s">
        <v>4883</v>
      </c>
      <c r="D152" s="28">
        <v>5000</v>
      </c>
      <c r="E152" s="28"/>
      <c r="F152" s="46">
        <f t="shared" si="2"/>
        <v>-54486</v>
      </c>
      <c r="G152" s="391" t="s">
        <v>9568</v>
      </c>
      <c r="I152" s="2"/>
    </row>
    <row r="153" spans="1:9" x14ac:dyDescent="0.3">
      <c r="A153" s="47">
        <v>43844</v>
      </c>
      <c r="C153" s="44" t="s">
        <v>4363</v>
      </c>
      <c r="D153" s="28">
        <v>500</v>
      </c>
      <c r="E153" s="28"/>
      <c r="F153" s="46">
        <f t="shared" si="2"/>
        <v>-54986</v>
      </c>
      <c r="G153" s="391" t="s">
        <v>9568</v>
      </c>
      <c r="I153" s="2"/>
    </row>
    <row r="154" spans="1:9" x14ac:dyDescent="0.3">
      <c r="A154" s="47">
        <v>43844</v>
      </c>
      <c r="C154" s="44" t="s">
        <v>5036</v>
      </c>
      <c r="D154" s="28">
        <v>4000</v>
      </c>
      <c r="E154" s="28"/>
      <c r="F154" s="46">
        <f t="shared" si="2"/>
        <v>-58986</v>
      </c>
      <c r="G154" s="391" t="s">
        <v>9568</v>
      </c>
      <c r="I154" s="2"/>
    </row>
    <row r="155" spans="1:9" x14ac:dyDescent="0.3">
      <c r="A155" s="47">
        <v>43844</v>
      </c>
      <c r="C155" s="44" t="s">
        <v>5720</v>
      </c>
      <c r="D155" s="28">
        <v>8000</v>
      </c>
      <c r="E155" s="28"/>
      <c r="F155" s="46">
        <f t="shared" si="2"/>
        <v>-66986</v>
      </c>
      <c r="G155" s="391" t="s">
        <v>9568</v>
      </c>
      <c r="I155" s="2"/>
    </row>
    <row r="156" spans="1:9" x14ac:dyDescent="0.3">
      <c r="A156" s="47">
        <v>43844</v>
      </c>
      <c r="C156" s="44" t="s">
        <v>5721</v>
      </c>
      <c r="D156" s="28">
        <v>5000</v>
      </c>
      <c r="E156" s="28"/>
      <c r="F156" s="46">
        <f t="shared" si="2"/>
        <v>-71986</v>
      </c>
      <c r="G156" s="391" t="s">
        <v>9568</v>
      </c>
      <c r="I156" s="2"/>
    </row>
    <row r="157" spans="1:9" x14ac:dyDescent="0.3">
      <c r="A157" s="47">
        <v>43845</v>
      </c>
      <c r="C157" s="44" t="s">
        <v>294</v>
      </c>
      <c r="D157" s="28"/>
      <c r="E157" s="28">
        <v>5000</v>
      </c>
      <c r="F157" s="46">
        <f t="shared" si="2"/>
        <v>-66986</v>
      </c>
      <c r="G157" s="391" t="s">
        <v>9568</v>
      </c>
      <c r="I157" s="2"/>
    </row>
    <row r="158" spans="1:9" x14ac:dyDescent="0.3">
      <c r="A158" s="47">
        <v>43853</v>
      </c>
      <c r="C158" s="44" t="s">
        <v>4884</v>
      </c>
      <c r="D158" s="28">
        <v>2000</v>
      </c>
      <c r="E158" s="28"/>
      <c r="F158" s="46">
        <f t="shared" si="2"/>
        <v>-68986</v>
      </c>
      <c r="G158" s="391" t="s">
        <v>9568</v>
      </c>
      <c r="I158" s="2"/>
    </row>
    <row r="159" spans="1:9" x14ac:dyDescent="0.3">
      <c r="A159" s="47">
        <v>43853</v>
      </c>
      <c r="C159" s="44" t="s">
        <v>4883</v>
      </c>
      <c r="D159" s="28">
        <v>2000</v>
      </c>
      <c r="E159" s="28"/>
      <c r="F159" s="46">
        <f t="shared" si="2"/>
        <v>-70986</v>
      </c>
      <c r="G159" s="391" t="s">
        <v>9568</v>
      </c>
      <c r="I159" s="2"/>
    </row>
    <row r="160" spans="1:9" x14ac:dyDescent="0.3">
      <c r="A160" s="47">
        <v>43853</v>
      </c>
      <c r="C160" s="44" t="s">
        <v>5731</v>
      </c>
      <c r="D160" s="28"/>
      <c r="E160" s="28">
        <v>3281</v>
      </c>
      <c r="F160" s="46">
        <f t="shared" si="2"/>
        <v>-67705</v>
      </c>
      <c r="G160" s="391" t="s">
        <v>9568</v>
      </c>
      <c r="I160" s="2"/>
    </row>
    <row r="161" spans="1:9" x14ac:dyDescent="0.3">
      <c r="A161" s="47">
        <v>43857</v>
      </c>
      <c r="C161" s="44" t="s">
        <v>5740</v>
      </c>
      <c r="D161" s="28">
        <v>5000</v>
      </c>
      <c r="E161" s="28"/>
      <c r="F161" s="46">
        <f t="shared" si="2"/>
        <v>-72705</v>
      </c>
      <c r="G161" s="391" t="s">
        <v>9568</v>
      </c>
      <c r="I161" s="2"/>
    </row>
    <row r="162" spans="1:9" x14ac:dyDescent="0.3">
      <c r="A162" s="47">
        <v>43857</v>
      </c>
      <c r="C162" s="44" t="s">
        <v>294</v>
      </c>
      <c r="D162" s="28"/>
      <c r="E162" s="28">
        <v>6000</v>
      </c>
      <c r="F162" s="46">
        <f t="shared" si="2"/>
        <v>-66705</v>
      </c>
      <c r="G162" s="391" t="s">
        <v>9568</v>
      </c>
      <c r="I162" s="2"/>
    </row>
    <row r="163" spans="1:9" x14ac:dyDescent="0.3">
      <c r="A163" s="47">
        <v>43857</v>
      </c>
      <c r="C163" s="44" t="s">
        <v>5111</v>
      </c>
      <c r="D163" s="28">
        <v>8000</v>
      </c>
      <c r="E163" s="28"/>
      <c r="F163" s="46">
        <f t="shared" si="2"/>
        <v>-74705</v>
      </c>
      <c r="G163" s="391" t="s">
        <v>9568</v>
      </c>
      <c r="I163" s="2"/>
    </row>
    <row r="164" spans="1:9" x14ac:dyDescent="0.3">
      <c r="A164" s="47">
        <v>43861</v>
      </c>
      <c r="C164" s="44" t="s">
        <v>294</v>
      </c>
      <c r="D164" s="28"/>
      <c r="E164" s="28">
        <v>5000</v>
      </c>
      <c r="F164" s="46">
        <f t="shared" si="2"/>
        <v>-69705</v>
      </c>
      <c r="G164" s="391" t="s">
        <v>9568</v>
      </c>
      <c r="I164" s="2"/>
    </row>
    <row r="165" spans="1:9" x14ac:dyDescent="0.3">
      <c r="A165" s="47">
        <v>43862</v>
      </c>
      <c r="C165" s="44" t="s">
        <v>294</v>
      </c>
      <c r="D165" s="28"/>
      <c r="E165" s="28">
        <v>7000</v>
      </c>
      <c r="F165" s="46">
        <f t="shared" si="2"/>
        <v>-62705</v>
      </c>
      <c r="G165" s="391" t="s">
        <v>9568</v>
      </c>
      <c r="I165" s="2"/>
    </row>
    <row r="166" spans="1:9" x14ac:dyDescent="0.3">
      <c r="A166" s="47">
        <v>43865</v>
      </c>
      <c r="C166" s="44" t="s">
        <v>5775</v>
      </c>
      <c r="D166" s="28">
        <v>2000</v>
      </c>
      <c r="E166" s="28"/>
      <c r="F166" s="46">
        <f t="shared" si="2"/>
        <v>-64705</v>
      </c>
      <c r="G166" s="391" t="s">
        <v>9568</v>
      </c>
      <c r="I166" s="2"/>
    </row>
    <row r="167" spans="1:9" x14ac:dyDescent="0.3">
      <c r="A167" s="47">
        <v>43871</v>
      </c>
      <c r="C167" s="44" t="s">
        <v>294</v>
      </c>
      <c r="D167" s="28"/>
      <c r="E167" s="28">
        <v>300000</v>
      </c>
      <c r="F167" s="46">
        <f t="shared" si="2"/>
        <v>235295</v>
      </c>
      <c r="G167" s="391" t="s">
        <v>9568</v>
      </c>
      <c r="I167" s="2"/>
    </row>
    <row r="168" spans="1:9" x14ac:dyDescent="0.3">
      <c r="A168" s="47">
        <v>43871</v>
      </c>
      <c r="C168" s="44" t="s">
        <v>5796</v>
      </c>
      <c r="D168" s="28">
        <v>239565</v>
      </c>
      <c r="E168" s="28"/>
      <c r="F168" s="46">
        <f t="shared" si="2"/>
        <v>-4270</v>
      </c>
      <c r="G168" s="391" t="s">
        <v>9568</v>
      </c>
      <c r="I168" s="2"/>
    </row>
    <row r="169" spans="1:9" x14ac:dyDescent="0.3">
      <c r="A169" s="47">
        <v>43871</v>
      </c>
      <c r="C169" s="44" t="s">
        <v>5114</v>
      </c>
      <c r="D169" s="28">
        <v>2000</v>
      </c>
      <c r="E169" s="28"/>
      <c r="F169" s="46">
        <f t="shared" si="2"/>
        <v>-6270</v>
      </c>
      <c r="G169" s="391" t="s">
        <v>9568</v>
      </c>
      <c r="I169" s="2"/>
    </row>
    <row r="170" spans="1:9" x14ac:dyDescent="0.3">
      <c r="A170" s="47">
        <v>43871</v>
      </c>
      <c r="C170" s="44" t="s">
        <v>5114</v>
      </c>
      <c r="D170" s="28">
        <v>1000</v>
      </c>
      <c r="E170" s="28"/>
      <c r="F170" s="46">
        <f t="shared" si="2"/>
        <v>-7270</v>
      </c>
      <c r="G170" s="391" t="s">
        <v>9568</v>
      </c>
      <c r="I170" s="2"/>
    </row>
    <row r="171" spans="1:9" x14ac:dyDescent="0.3">
      <c r="A171" s="47">
        <v>43871</v>
      </c>
      <c r="C171" s="44" t="s">
        <v>5034</v>
      </c>
      <c r="D171" s="28">
        <v>2000</v>
      </c>
      <c r="E171" s="28"/>
      <c r="F171" s="46">
        <f t="shared" si="2"/>
        <v>-9270</v>
      </c>
      <c r="G171" s="391" t="s">
        <v>9568</v>
      </c>
      <c r="I171" s="2"/>
    </row>
    <row r="172" spans="1:9" x14ac:dyDescent="0.3">
      <c r="A172" s="47">
        <v>43871</v>
      </c>
      <c r="C172" s="44" t="s">
        <v>4426</v>
      </c>
      <c r="D172" s="28">
        <v>1000</v>
      </c>
      <c r="E172" s="28"/>
      <c r="F172" s="46">
        <f t="shared" si="2"/>
        <v>-10270</v>
      </c>
      <c r="G172" s="391" t="s">
        <v>9568</v>
      </c>
      <c r="I172" s="2"/>
    </row>
    <row r="173" spans="1:9" x14ac:dyDescent="0.3">
      <c r="A173" s="47">
        <v>43878</v>
      </c>
      <c r="C173" s="44" t="s">
        <v>3920</v>
      </c>
      <c r="D173" s="28">
        <v>5860</v>
      </c>
      <c r="E173" s="28"/>
      <c r="F173" s="46">
        <f t="shared" si="2"/>
        <v>-16130</v>
      </c>
      <c r="G173" s="391" t="s">
        <v>9568</v>
      </c>
      <c r="I173" s="2"/>
    </row>
    <row r="174" spans="1:9" x14ac:dyDescent="0.3">
      <c r="A174" s="47">
        <v>43879</v>
      </c>
      <c r="C174" s="44" t="s">
        <v>5829</v>
      </c>
      <c r="D174" s="28">
        <v>5000</v>
      </c>
      <c r="E174" s="28"/>
      <c r="F174" s="46">
        <f t="shared" si="2"/>
        <v>-21130</v>
      </c>
      <c r="G174" s="391" t="s">
        <v>9568</v>
      </c>
      <c r="I174" s="2"/>
    </row>
    <row r="175" spans="1:9" x14ac:dyDescent="0.3">
      <c r="A175" s="47">
        <v>43879</v>
      </c>
      <c r="C175" s="44" t="s">
        <v>5830</v>
      </c>
      <c r="D175" s="28">
        <v>1000</v>
      </c>
      <c r="E175" s="28"/>
      <c r="F175" s="46">
        <f t="shared" si="2"/>
        <v>-22130</v>
      </c>
      <c r="G175" s="391" t="s">
        <v>9568</v>
      </c>
      <c r="I175" s="2"/>
    </row>
    <row r="176" spans="1:9" x14ac:dyDescent="0.3">
      <c r="A176" s="47">
        <v>43879</v>
      </c>
      <c r="C176" s="44" t="s">
        <v>5831</v>
      </c>
      <c r="D176" s="28">
        <v>1000</v>
      </c>
      <c r="E176" s="28"/>
      <c r="F176" s="46">
        <f t="shared" si="2"/>
        <v>-23130</v>
      </c>
      <c r="G176" s="391" t="s">
        <v>9568</v>
      </c>
      <c r="I176" s="2"/>
    </row>
    <row r="177" spans="1:9" x14ac:dyDescent="0.3">
      <c r="A177" s="47">
        <v>43879</v>
      </c>
      <c r="C177" s="44" t="s">
        <v>5830</v>
      </c>
      <c r="D177" s="28">
        <v>1000</v>
      </c>
      <c r="E177" s="28"/>
      <c r="F177" s="46">
        <f t="shared" si="2"/>
        <v>-24130</v>
      </c>
      <c r="G177" s="391" t="s">
        <v>9568</v>
      </c>
      <c r="I177" s="2"/>
    </row>
    <row r="178" spans="1:9" x14ac:dyDescent="0.3">
      <c r="A178" s="47">
        <v>43879</v>
      </c>
      <c r="C178" s="44" t="s">
        <v>5830</v>
      </c>
      <c r="D178" s="28">
        <v>1000</v>
      </c>
      <c r="E178" s="28"/>
      <c r="F178" s="46">
        <f t="shared" si="2"/>
        <v>-25130</v>
      </c>
      <c r="G178" s="391" t="s">
        <v>9568</v>
      </c>
      <c r="I178" s="2"/>
    </row>
    <row r="179" spans="1:9" x14ac:dyDescent="0.3">
      <c r="A179" s="47">
        <v>43879</v>
      </c>
      <c r="C179" s="44" t="s">
        <v>5830</v>
      </c>
      <c r="D179" s="28">
        <v>1000</v>
      </c>
      <c r="E179" s="28"/>
      <c r="F179" s="46">
        <f t="shared" si="2"/>
        <v>-26130</v>
      </c>
      <c r="G179" s="391" t="s">
        <v>9568</v>
      </c>
      <c r="I179" s="2"/>
    </row>
    <row r="180" spans="1:9" x14ac:dyDescent="0.3">
      <c r="A180" s="47">
        <v>43885</v>
      </c>
      <c r="C180" s="44" t="s">
        <v>5856</v>
      </c>
      <c r="D180" s="28">
        <v>2000</v>
      </c>
      <c r="E180" s="28"/>
      <c r="F180" s="46">
        <f t="shared" si="2"/>
        <v>-28130</v>
      </c>
      <c r="G180" s="391" t="s">
        <v>9568</v>
      </c>
      <c r="I180" s="2"/>
    </row>
    <row r="181" spans="1:9" x14ac:dyDescent="0.3">
      <c r="A181" s="47">
        <v>43885</v>
      </c>
      <c r="C181" s="44" t="s">
        <v>3920</v>
      </c>
      <c r="D181" s="28">
        <v>31440</v>
      </c>
      <c r="E181" s="28"/>
      <c r="F181" s="46">
        <f t="shared" si="2"/>
        <v>-59570</v>
      </c>
      <c r="G181" s="391" t="s">
        <v>9568</v>
      </c>
      <c r="I181" s="2"/>
    </row>
    <row r="182" spans="1:9" x14ac:dyDescent="0.3">
      <c r="A182" s="47">
        <v>43887</v>
      </c>
      <c r="C182" s="44" t="s">
        <v>5869</v>
      </c>
      <c r="D182" s="28"/>
      <c r="E182" s="28">
        <v>20000</v>
      </c>
      <c r="F182" s="46">
        <f t="shared" si="2"/>
        <v>-39570</v>
      </c>
      <c r="G182" s="391" t="s">
        <v>9568</v>
      </c>
      <c r="I182" s="2"/>
    </row>
    <row r="183" spans="1:9" x14ac:dyDescent="0.3">
      <c r="A183" s="47">
        <v>43887</v>
      </c>
      <c r="C183" s="44" t="s">
        <v>5532</v>
      </c>
      <c r="D183" s="28"/>
      <c r="E183" s="28">
        <v>1630</v>
      </c>
      <c r="F183" s="46">
        <f t="shared" si="2"/>
        <v>-37940</v>
      </c>
      <c r="G183" s="391" t="s">
        <v>9568</v>
      </c>
      <c r="I183" s="2"/>
    </row>
    <row r="184" spans="1:9" x14ac:dyDescent="0.3">
      <c r="A184" s="47">
        <v>43888</v>
      </c>
      <c r="C184" s="44" t="s">
        <v>5872</v>
      </c>
      <c r="D184" s="28">
        <v>3000</v>
      </c>
      <c r="E184" s="28"/>
      <c r="F184" s="46">
        <f t="shared" si="2"/>
        <v>-40940</v>
      </c>
      <c r="G184" s="391" t="s">
        <v>9568</v>
      </c>
      <c r="I184" s="2"/>
    </row>
    <row r="185" spans="1:9" x14ac:dyDescent="0.3">
      <c r="A185" s="47">
        <v>43888</v>
      </c>
      <c r="C185" s="44" t="s">
        <v>4895</v>
      </c>
      <c r="D185" s="28">
        <v>3000</v>
      </c>
      <c r="E185" s="28"/>
      <c r="F185" s="46">
        <f t="shared" si="2"/>
        <v>-43940</v>
      </c>
      <c r="G185" s="391" t="s">
        <v>9568</v>
      </c>
      <c r="I185" s="2"/>
    </row>
    <row r="186" spans="1:9" x14ac:dyDescent="0.3">
      <c r="A186" s="47">
        <v>43888</v>
      </c>
      <c r="C186" s="44" t="s">
        <v>5873</v>
      </c>
      <c r="D186" s="28"/>
      <c r="E186" s="28">
        <v>50000</v>
      </c>
      <c r="F186" s="46">
        <f t="shared" si="2"/>
        <v>6060</v>
      </c>
      <c r="G186" s="391" t="s">
        <v>9568</v>
      </c>
      <c r="I186" s="2"/>
    </row>
    <row r="187" spans="1:9" x14ac:dyDescent="0.3">
      <c r="A187" s="47">
        <v>43888</v>
      </c>
      <c r="C187" s="44" t="s">
        <v>5880</v>
      </c>
      <c r="D187" s="28">
        <v>10000</v>
      </c>
      <c r="E187" s="28"/>
      <c r="F187" s="46">
        <f t="shared" si="2"/>
        <v>-3940</v>
      </c>
      <c r="G187" s="391" t="s">
        <v>9568</v>
      </c>
      <c r="I187" s="2"/>
    </row>
    <row r="188" spans="1:9" x14ac:dyDescent="0.3">
      <c r="A188" s="47">
        <v>43888</v>
      </c>
      <c r="C188" s="44" t="s">
        <v>5883</v>
      </c>
      <c r="D188" s="28">
        <v>40600</v>
      </c>
      <c r="E188" s="28"/>
      <c r="F188" s="46">
        <f t="shared" si="2"/>
        <v>-44540</v>
      </c>
      <c r="G188" s="391" t="s">
        <v>9568</v>
      </c>
      <c r="I188" s="2"/>
    </row>
    <row r="189" spans="1:9" x14ac:dyDescent="0.3">
      <c r="A189" s="47">
        <v>43893</v>
      </c>
      <c r="C189" s="44" t="s">
        <v>31</v>
      </c>
      <c r="D189" s="28"/>
      <c r="E189" s="28">
        <v>5000</v>
      </c>
      <c r="F189" s="46">
        <f t="shared" si="2"/>
        <v>-39540</v>
      </c>
      <c r="G189" s="391" t="s">
        <v>9568</v>
      </c>
      <c r="I189" s="2"/>
    </row>
    <row r="190" spans="1:9" x14ac:dyDescent="0.3">
      <c r="A190" s="47">
        <v>43896</v>
      </c>
      <c r="C190" s="44" t="s">
        <v>31</v>
      </c>
      <c r="D190" s="28"/>
      <c r="E190" s="28">
        <v>10000</v>
      </c>
      <c r="F190" s="46">
        <f t="shared" si="2"/>
        <v>-29540</v>
      </c>
      <c r="G190" s="391" t="s">
        <v>9568</v>
      </c>
      <c r="I190" s="2"/>
    </row>
    <row r="191" spans="1:9" x14ac:dyDescent="0.3">
      <c r="A191" s="47">
        <v>43896</v>
      </c>
      <c r="C191" s="44" t="s">
        <v>5948</v>
      </c>
      <c r="D191" s="28">
        <v>3000</v>
      </c>
      <c r="E191" s="28"/>
      <c r="F191" s="46">
        <f t="shared" si="2"/>
        <v>-32540</v>
      </c>
      <c r="G191" s="391" t="s">
        <v>9568</v>
      </c>
      <c r="I191" s="2"/>
    </row>
    <row r="192" spans="1:9" x14ac:dyDescent="0.3">
      <c r="A192" s="47">
        <v>43901</v>
      </c>
      <c r="C192" s="44" t="s">
        <v>5949</v>
      </c>
      <c r="D192" s="28">
        <v>2500</v>
      </c>
      <c r="E192" s="28"/>
      <c r="F192" s="46">
        <f t="shared" si="2"/>
        <v>-35040</v>
      </c>
      <c r="G192" s="391" t="s">
        <v>9568</v>
      </c>
      <c r="I192" s="2"/>
    </row>
    <row r="193" spans="1:9" x14ac:dyDescent="0.3">
      <c r="A193" s="47">
        <v>43901</v>
      </c>
      <c r="C193" s="44" t="s">
        <v>5951</v>
      </c>
      <c r="D193" s="28">
        <v>7500</v>
      </c>
      <c r="E193" s="28"/>
      <c r="F193" s="46">
        <f t="shared" si="2"/>
        <v>-42540</v>
      </c>
      <c r="G193" s="391" t="s">
        <v>9568</v>
      </c>
      <c r="I193" s="2"/>
    </row>
    <row r="194" spans="1:9" x14ac:dyDescent="0.3">
      <c r="A194" s="47">
        <v>43907</v>
      </c>
      <c r="C194" s="44" t="s">
        <v>294</v>
      </c>
      <c r="D194" s="28"/>
      <c r="E194" s="28">
        <v>50000</v>
      </c>
      <c r="F194" s="46">
        <f t="shared" si="2"/>
        <v>7460</v>
      </c>
      <c r="G194" s="391" t="s">
        <v>9568</v>
      </c>
      <c r="I194" s="2"/>
    </row>
    <row r="195" spans="1:9" x14ac:dyDescent="0.3">
      <c r="A195" s="47">
        <v>43907</v>
      </c>
      <c r="C195" s="44" t="s">
        <v>5971</v>
      </c>
      <c r="D195" s="28">
        <v>2000</v>
      </c>
      <c r="E195" s="28"/>
      <c r="F195" s="46">
        <f t="shared" si="2"/>
        <v>5460</v>
      </c>
      <c r="G195" s="391" t="s">
        <v>9568</v>
      </c>
      <c r="I195" s="2"/>
    </row>
    <row r="196" spans="1:9" x14ac:dyDescent="0.3">
      <c r="A196" s="47">
        <v>43907</v>
      </c>
      <c r="C196" s="44" t="s">
        <v>5034</v>
      </c>
      <c r="D196" s="28">
        <v>2000</v>
      </c>
      <c r="E196" s="28"/>
      <c r="F196" s="46">
        <f t="shared" ref="F196:F259" si="3">F195+E196-D196</f>
        <v>3460</v>
      </c>
      <c r="G196" s="391" t="s">
        <v>9568</v>
      </c>
      <c r="I196" s="2"/>
    </row>
    <row r="197" spans="1:9" x14ac:dyDescent="0.3">
      <c r="A197" s="47">
        <v>43907</v>
      </c>
      <c r="C197" s="44" t="s">
        <v>5972</v>
      </c>
      <c r="D197" s="28">
        <v>2000</v>
      </c>
      <c r="E197" s="28"/>
      <c r="F197" s="46">
        <f t="shared" si="3"/>
        <v>1460</v>
      </c>
      <c r="G197" s="391" t="s">
        <v>9568</v>
      </c>
      <c r="I197" s="2"/>
    </row>
    <row r="198" spans="1:9" x14ac:dyDescent="0.3">
      <c r="A198" s="47">
        <v>43907</v>
      </c>
      <c r="C198" s="44" t="s">
        <v>4446</v>
      </c>
      <c r="D198" s="28">
        <v>2000</v>
      </c>
      <c r="E198" s="28"/>
      <c r="F198" s="46">
        <f t="shared" si="3"/>
        <v>-540</v>
      </c>
      <c r="G198" s="391" t="s">
        <v>9568</v>
      </c>
      <c r="I198" s="2"/>
    </row>
    <row r="199" spans="1:9" x14ac:dyDescent="0.3">
      <c r="A199" s="47">
        <v>43907</v>
      </c>
      <c r="C199" s="44" t="s">
        <v>4426</v>
      </c>
      <c r="D199" s="28">
        <v>17000</v>
      </c>
      <c r="E199" s="28"/>
      <c r="F199" s="46">
        <f t="shared" si="3"/>
        <v>-17540</v>
      </c>
      <c r="G199" s="391" t="s">
        <v>9568</v>
      </c>
      <c r="I199" s="2"/>
    </row>
    <row r="200" spans="1:9" x14ac:dyDescent="0.3">
      <c r="A200" s="47">
        <v>43909</v>
      </c>
      <c r="C200" s="44" t="s">
        <v>31</v>
      </c>
      <c r="D200" s="28"/>
      <c r="E200" s="28">
        <v>10000</v>
      </c>
      <c r="F200" s="46">
        <f t="shared" si="3"/>
        <v>-7540</v>
      </c>
      <c r="G200" s="391" t="s">
        <v>9568</v>
      </c>
      <c r="I200" s="2"/>
    </row>
    <row r="201" spans="1:9" x14ac:dyDescent="0.3">
      <c r="A201" s="47">
        <v>43922</v>
      </c>
      <c r="C201" s="44" t="s">
        <v>5975</v>
      </c>
      <c r="D201" s="28">
        <v>15000</v>
      </c>
      <c r="E201" s="28"/>
      <c r="F201" s="46">
        <f t="shared" si="3"/>
        <v>-22540</v>
      </c>
      <c r="G201" s="391" t="s">
        <v>9568</v>
      </c>
      <c r="I201" s="2"/>
    </row>
    <row r="202" spans="1:9" x14ac:dyDescent="0.3">
      <c r="A202" s="47">
        <v>43927</v>
      </c>
      <c r="C202" s="44" t="s">
        <v>4310</v>
      </c>
      <c r="D202" s="28"/>
      <c r="E202" s="28">
        <v>20000</v>
      </c>
      <c r="F202" s="46">
        <f t="shared" si="3"/>
        <v>-2540</v>
      </c>
      <c r="G202" s="391" t="s">
        <v>9568</v>
      </c>
      <c r="I202" s="2"/>
    </row>
    <row r="203" spans="1:9" x14ac:dyDescent="0.3">
      <c r="A203" s="47">
        <v>43930</v>
      </c>
      <c r="C203" s="44" t="s">
        <v>6001</v>
      </c>
      <c r="D203" s="28">
        <v>8000</v>
      </c>
      <c r="E203" s="28"/>
      <c r="F203" s="46">
        <f t="shared" si="3"/>
        <v>-10540</v>
      </c>
      <c r="G203" s="391" t="s">
        <v>9568</v>
      </c>
      <c r="I203" s="2"/>
    </row>
    <row r="204" spans="1:9" x14ac:dyDescent="0.3">
      <c r="A204" s="47">
        <v>43932</v>
      </c>
      <c r="C204" s="44" t="s">
        <v>5975</v>
      </c>
      <c r="D204" s="28">
        <v>3000</v>
      </c>
      <c r="E204" s="28"/>
      <c r="F204" s="46">
        <f t="shared" si="3"/>
        <v>-13540</v>
      </c>
      <c r="G204" s="391" t="s">
        <v>9568</v>
      </c>
      <c r="I204" s="2"/>
    </row>
    <row r="205" spans="1:9" x14ac:dyDescent="0.3">
      <c r="A205" s="47">
        <v>43933</v>
      </c>
      <c r="C205" s="44" t="s">
        <v>5550</v>
      </c>
      <c r="D205" s="28">
        <v>1000</v>
      </c>
      <c r="E205" s="28"/>
      <c r="F205" s="46">
        <f t="shared" si="3"/>
        <v>-14540</v>
      </c>
      <c r="G205" s="391" t="s">
        <v>9568</v>
      </c>
      <c r="I205" s="2"/>
    </row>
    <row r="206" spans="1:9" x14ac:dyDescent="0.3">
      <c r="A206" s="47">
        <v>43933</v>
      </c>
      <c r="C206" s="44" t="s">
        <v>4490</v>
      </c>
      <c r="D206" s="28">
        <v>1000</v>
      </c>
      <c r="E206" s="28"/>
      <c r="F206" s="46">
        <f t="shared" si="3"/>
        <v>-15540</v>
      </c>
      <c r="G206" s="391" t="s">
        <v>9568</v>
      </c>
      <c r="I206" s="2"/>
    </row>
    <row r="207" spans="1:9" x14ac:dyDescent="0.3">
      <c r="A207" s="47">
        <v>43935</v>
      </c>
      <c r="C207" s="44" t="s">
        <v>4877</v>
      </c>
      <c r="D207" s="28">
        <v>1000</v>
      </c>
      <c r="E207" s="28"/>
      <c r="F207" s="46">
        <f t="shared" si="3"/>
        <v>-16540</v>
      </c>
      <c r="G207" s="391" t="s">
        <v>9568</v>
      </c>
      <c r="I207" s="2"/>
    </row>
    <row r="208" spans="1:9" x14ac:dyDescent="0.3">
      <c r="A208" s="47">
        <v>43935</v>
      </c>
      <c r="C208" s="44" t="s">
        <v>4877</v>
      </c>
      <c r="D208" s="28">
        <v>5000</v>
      </c>
      <c r="E208" s="28"/>
      <c r="F208" s="46">
        <f t="shared" si="3"/>
        <v>-21540</v>
      </c>
      <c r="G208" s="391" t="s">
        <v>9568</v>
      </c>
      <c r="I208" s="2"/>
    </row>
    <row r="209" spans="1:9" x14ac:dyDescent="0.3">
      <c r="A209" s="47">
        <v>43944</v>
      </c>
      <c r="C209" s="44" t="s">
        <v>294</v>
      </c>
      <c r="D209" s="28"/>
      <c r="E209" s="28">
        <v>5000</v>
      </c>
      <c r="F209" s="46">
        <f t="shared" si="3"/>
        <v>-16540</v>
      </c>
      <c r="G209" s="391" t="s">
        <v>9568</v>
      </c>
      <c r="I209" s="2"/>
    </row>
    <row r="210" spans="1:9" x14ac:dyDescent="0.3">
      <c r="A210" s="47">
        <v>43949</v>
      </c>
      <c r="C210" s="44" t="s">
        <v>5532</v>
      </c>
      <c r="D210" s="28"/>
      <c r="E210" s="28">
        <v>3549</v>
      </c>
      <c r="F210" s="46">
        <f t="shared" si="3"/>
        <v>-12991</v>
      </c>
      <c r="G210" s="391" t="s">
        <v>9568</v>
      </c>
      <c r="I210" s="2"/>
    </row>
    <row r="211" spans="1:9" x14ac:dyDescent="0.3">
      <c r="A211" s="47">
        <v>43949</v>
      </c>
      <c r="C211" s="44" t="s">
        <v>6014</v>
      </c>
      <c r="D211" s="28">
        <v>16580</v>
      </c>
      <c r="E211" s="28"/>
      <c r="F211" s="46">
        <f t="shared" si="3"/>
        <v>-29571</v>
      </c>
      <c r="G211" s="391" t="s">
        <v>9568</v>
      </c>
      <c r="I211" s="2"/>
    </row>
    <row r="212" spans="1:9" x14ac:dyDescent="0.3">
      <c r="A212" s="47">
        <v>43951</v>
      </c>
      <c r="C212" s="44" t="s">
        <v>6017</v>
      </c>
      <c r="D212" s="28">
        <v>5000</v>
      </c>
      <c r="E212" s="28"/>
      <c r="F212" s="46">
        <f t="shared" si="3"/>
        <v>-34571</v>
      </c>
      <c r="G212" s="391" t="s">
        <v>9568</v>
      </c>
      <c r="I212" s="2"/>
    </row>
    <row r="213" spans="1:9" x14ac:dyDescent="0.3">
      <c r="A213" s="47">
        <v>43951</v>
      </c>
      <c r="C213" s="44" t="s">
        <v>6018</v>
      </c>
      <c r="D213" s="28">
        <v>5000</v>
      </c>
      <c r="E213" s="28"/>
      <c r="F213" s="46">
        <f t="shared" si="3"/>
        <v>-39571</v>
      </c>
      <c r="G213" s="391" t="s">
        <v>9568</v>
      </c>
      <c r="I213" s="2"/>
    </row>
    <row r="214" spans="1:9" x14ac:dyDescent="0.3">
      <c r="A214" s="47">
        <v>43951</v>
      </c>
      <c r="C214" s="44" t="s">
        <v>6019</v>
      </c>
      <c r="D214" s="28">
        <v>2000</v>
      </c>
      <c r="E214" s="28"/>
      <c r="F214" s="46">
        <f t="shared" si="3"/>
        <v>-41571</v>
      </c>
      <c r="G214" s="391" t="s">
        <v>9568</v>
      </c>
      <c r="I214" s="2"/>
    </row>
    <row r="215" spans="1:9" x14ac:dyDescent="0.3">
      <c r="A215" s="47">
        <v>43951</v>
      </c>
      <c r="C215" s="44" t="s">
        <v>294</v>
      </c>
      <c r="D215" s="28"/>
      <c r="E215" s="28">
        <v>3500</v>
      </c>
      <c r="F215" s="46">
        <f t="shared" si="3"/>
        <v>-38071</v>
      </c>
      <c r="G215" s="391" t="s">
        <v>9568</v>
      </c>
      <c r="I215" s="2"/>
    </row>
    <row r="216" spans="1:9" x14ac:dyDescent="0.3">
      <c r="A216" s="47">
        <v>43965</v>
      </c>
      <c r="C216" s="44" t="s">
        <v>2960</v>
      </c>
      <c r="D216" s="28"/>
      <c r="E216" s="28">
        <v>200000</v>
      </c>
      <c r="F216" s="46">
        <f t="shared" si="3"/>
        <v>161929</v>
      </c>
      <c r="G216" s="391" t="s">
        <v>9568</v>
      </c>
      <c r="I216" s="2"/>
    </row>
    <row r="217" spans="1:9" x14ac:dyDescent="0.3">
      <c r="A217" s="47">
        <v>43965</v>
      </c>
      <c r="C217" s="44" t="s">
        <v>6056</v>
      </c>
      <c r="D217" s="28">
        <v>45000</v>
      </c>
      <c r="E217" s="28"/>
      <c r="F217" s="46">
        <f t="shared" si="3"/>
        <v>116929</v>
      </c>
      <c r="G217" s="391" t="s">
        <v>9568</v>
      </c>
      <c r="I217" s="2"/>
    </row>
    <row r="218" spans="1:9" x14ac:dyDescent="0.3">
      <c r="A218" s="47">
        <v>43965</v>
      </c>
      <c r="C218" s="44" t="s">
        <v>6066</v>
      </c>
      <c r="D218" s="28">
        <v>65480</v>
      </c>
      <c r="E218" s="28"/>
      <c r="F218" s="46">
        <f t="shared" si="3"/>
        <v>51449</v>
      </c>
      <c r="G218" s="391" t="s">
        <v>9568</v>
      </c>
      <c r="I218" s="2"/>
    </row>
    <row r="219" spans="1:9" x14ac:dyDescent="0.3">
      <c r="A219" s="47">
        <v>43971</v>
      </c>
      <c r="C219" s="44" t="s">
        <v>6070</v>
      </c>
      <c r="D219" s="28">
        <v>2000</v>
      </c>
      <c r="E219" s="28"/>
      <c r="F219" s="46">
        <f t="shared" si="3"/>
        <v>49449</v>
      </c>
      <c r="G219" s="391" t="s">
        <v>9568</v>
      </c>
      <c r="I219" s="2"/>
    </row>
    <row r="220" spans="1:9" x14ac:dyDescent="0.3">
      <c r="A220" s="47">
        <v>43971</v>
      </c>
      <c r="C220" s="44" t="s">
        <v>6071</v>
      </c>
      <c r="D220" s="28">
        <v>3000</v>
      </c>
      <c r="E220" s="28"/>
      <c r="F220" s="46">
        <f t="shared" si="3"/>
        <v>46449</v>
      </c>
      <c r="G220" s="391" t="s">
        <v>9568</v>
      </c>
      <c r="I220" s="2"/>
    </row>
    <row r="221" spans="1:9" x14ac:dyDescent="0.3">
      <c r="A221" s="47">
        <v>43971</v>
      </c>
      <c r="C221" s="44" t="s">
        <v>98</v>
      </c>
      <c r="D221" s="28">
        <v>8000</v>
      </c>
      <c r="E221" s="28"/>
      <c r="F221" s="46">
        <f t="shared" si="3"/>
        <v>38449</v>
      </c>
      <c r="G221" s="391" t="s">
        <v>9568</v>
      </c>
      <c r="I221" s="2"/>
    </row>
    <row r="222" spans="1:9" x14ac:dyDescent="0.3">
      <c r="A222" s="47">
        <v>43971</v>
      </c>
      <c r="C222" s="44" t="s">
        <v>6072</v>
      </c>
      <c r="D222" s="28">
        <v>3000</v>
      </c>
      <c r="E222" s="28"/>
      <c r="F222" s="46">
        <f t="shared" si="3"/>
        <v>35449</v>
      </c>
      <c r="G222" s="391" t="s">
        <v>9568</v>
      </c>
      <c r="I222" s="2"/>
    </row>
    <row r="223" spans="1:9" x14ac:dyDescent="0.3">
      <c r="A223" s="47">
        <v>43971</v>
      </c>
      <c r="C223" s="44" t="s">
        <v>6073</v>
      </c>
      <c r="D223" s="28">
        <v>22500</v>
      </c>
      <c r="E223" s="28"/>
      <c r="F223" s="46">
        <f t="shared" si="3"/>
        <v>12949</v>
      </c>
      <c r="G223" s="391" t="s">
        <v>9568</v>
      </c>
      <c r="I223" s="2"/>
    </row>
    <row r="224" spans="1:9" x14ac:dyDescent="0.3">
      <c r="A224" s="47">
        <v>43971</v>
      </c>
      <c r="C224" s="44" t="s">
        <v>6082</v>
      </c>
      <c r="D224" s="28"/>
      <c r="E224" s="28">
        <v>2500</v>
      </c>
      <c r="F224" s="46">
        <f t="shared" si="3"/>
        <v>15449</v>
      </c>
      <c r="G224" s="391" t="s">
        <v>9568</v>
      </c>
      <c r="I224" s="2"/>
    </row>
    <row r="225" spans="1:9" x14ac:dyDescent="0.3">
      <c r="A225" s="47">
        <v>43972</v>
      </c>
      <c r="C225" s="44" t="s">
        <v>4877</v>
      </c>
      <c r="D225" s="28">
        <v>50000</v>
      </c>
      <c r="E225" s="28"/>
      <c r="F225" s="46">
        <f t="shared" si="3"/>
        <v>-34551</v>
      </c>
      <c r="G225" s="391" t="s">
        <v>9568</v>
      </c>
      <c r="I225" s="2"/>
    </row>
    <row r="226" spans="1:9" x14ac:dyDescent="0.3">
      <c r="A226" s="47">
        <v>43972</v>
      </c>
      <c r="C226" s="44" t="s">
        <v>6104</v>
      </c>
      <c r="D226" s="28">
        <v>5000</v>
      </c>
      <c r="E226" s="28"/>
      <c r="F226" s="46">
        <f t="shared" si="3"/>
        <v>-39551</v>
      </c>
      <c r="G226" s="391" t="s">
        <v>9568</v>
      </c>
      <c r="I226" s="2"/>
    </row>
    <row r="227" spans="1:9" x14ac:dyDescent="0.3">
      <c r="A227" s="47">
        <v>43987</v>
      </c>
      <c r="C227" s="44" t="s">
        <v>6112</v>
      </c>
      <c r="D227" s="28"/>
      <c r="E227" s="28">
        <v>9426</v>
      </c>
      <c r="F227" s="46">
        <f t="shared" si="3"/>
        <v>-30125</v>
      </c>
      <c r="G227" s="391" t="s">
        <v>9568</v>
      </c>
      <c r="I227" s="2"/>
    </row>
    <row r="228" spans="1:9" x14ac:dyDescent="0.3">
      <c r="A228" s="47">
        <v>43987</v>
      </c>
      <c r="C228" s="44" t="s">
        <v>5856</v>
      </c>
      <c r="D228" s="28">
        <v>1000</v>
      </c>
      <c r="E228" s="28"/>
      <c r="F228" s="46">
        <f t="shared" si="3"/>
        <v>-31125</v>
      </c>
      <c r="G228" s="391" t="s">
        <v>9568</v>
      </c>
      <c r="I228" s="2"/>
    </row>
    <row r="229" spans="1:9" x14ac:dyDescent="0.3">
      <c r="A229" s="47">
        <v>43987</v>
      </c>
      <c r="C229" s="44" t="s">
        <v>6113</v>
      </c>
      <c r="D229" s="28">
        <v>1000</v>
      </c>
      <c r="E229" s="28"/>
      <c r="F229" s="46">
        <f t="shared" si="3"/>
        <v>-32125</v>
      </c>
      <c r="G229" s="391" t="s">
        <v>9568</v>
      </c>
      <c r="I229" s="2"/>
    </row>
    <row r="230" spans="1:9" x14ac:dyDescent="0.3">
      <c r="A230" s="47">
        <v>43987</v>
      </c>
      <c r="C230" s="44" t="s">
        <v>6114</v>
      </c>
      <c r="D230" s="28">
        <v>1000</v>
      </c>
      <c r="E230" s="28"/>
      <c r="F230" s="46">
        <f t="shared" si="3"/>
        <v>-33125</v>
      </c>
      <c r="G230" s="391" t="s">
        <v>9568</v>
      </c>
      <c r="I230" s="2"/>
    </row>
    <row r="231" spans="1:9" x14ac:dyDescent="0.3">
      <c r="A231" s="47">
        <v>43987</v>
      </c>
      <c r="C231" s="44" t="s">
        <v>6115</v>
      </c>
      <c r="D231" s="28"/>
      <c r="E231" s="28">
        <v>6500</v>
      </c>
      <c r="F231" s="46">
        <f t="shared" si="3"/>
        <v>-26625</v>
      </c>
      <c r="G231" s="391" t="s">
        <v>9568</v>
      </c>
      <c r="I231" s="2"/>
    </row>
    <row r="232" spans="1:9" x14ac:dyDescent="0.3">
      <c r="A232" s="47">
        <v>43988</v>
      </c>
      <c r="C232" s="44" t="s">
        <v>6120</v>
      </c>
      <c r="D232" s="28"/>
      <c r="E232" s="28">
        <v>20000</v>
      </c>
      <c r="F232" s="46">
        <f t="shared" si="3"/>
        <v>-6625</v>
      </c>
      <c r="G232" s="391" t="s">
        <v>9568</v>
      </c>
      <c r="I232" s="2"/>
    </row>
    <row r="233" spans="1:9" x14ac:dyDescent="0.3">
      <c r="A233" s="47">
        <v>43988</v>
      </c>
      <c r="C233" s="44" t="s">
        <v>6127</v>
      </c>
      <c r="D233" s="28"/>
      <c r="E233" s="28">
        <v>28255</v>
      </c>
      <c r="F233" s="46">
        <f t="shared" si="3"/>
        <v>21630</v>
      </c>
      <c r="G233" s="391" t="s">
        <v>9568</v>
      </c>
      <c r="I233" s="2"/>
    </row>
    <row r="234" spans="1:9" x14ac:dyDescent="0.3">
      <c r="A234" s="47">
        <v>43988</v>
      </c>
      <c r="C234" s="44" t="s">
        <v>6128</v>
      </c>
      <c r="D234" s="28"/>
      <c r="E234" s="28">
        <v>28255</v>
      </c>
      <c r="F234" s="46">
        <f t="shared" si="3"/>
        <v>49885</v>
      </c>
      <c r="G234" s="391" t="s">
        <v>9568</v>
      </c>
      <c r="I234" s="2"/>
    </row>
    <row r="235" spans="1:9" x14ac:dyDescent="0.3">
      <c r="A235" s="47">
        <v>43993</v>
      </c>
      <c r="C235" s="44" t="s">
        <v>6142</v>
      </c>
      <c r="D235" s="28">
        <v>5000</v>
      </c>
      <c r="E235" s="28"/>
      <c r="F235" s="46">
        <f t="shared" si="3"/>
        <v>44885</v>
      </c>
      <c r="G235" s="391" t="s">
        <v>9568</v>
      </c>
      <c r="I235" s="2"/>
    </row>
    <row r="236" spans="1:9" x14ac:dyDescent="0.3">
      <c r="A236" s="47">
        <v>43997</v>
      </c>
      <c r="C236" s="44" t="s">
        <v>294</v>
      </c>
      <c r="D236" s="28"/>
      <c r="E236" s="28">
        <v>125000</v>
      </c>
      <c r="F236" s="46">
        <f t="shared" si="3"/>
        <v>169885</v>
      </c>
      <c r="G236" s="391" t="s">
        <v>9568</v>
      </c>
      <c r="I236" s="2"/>
    </row>
    <row r="237" spans="1:9" x14ac:dyDescent="0.3">
      <c r="A237" s="47">
        <v>43997</v>
      </c>
      <c r="C237" s="44" t="s">
        <v>3920</v>
      </c>
      <c r="D237" s="28">
        <v>6000</v>
      </c>
      <c r="E237" s="28"/>
      <c r="F237" s="46">
        <f t="shared" si="3"/>
        <v>163885</v>
      </c>
      <c r="G237" s="391" t="s">
        <v>9568</v>
      </c>
      <c r="I237" s="2"/>
    </row>
    <row r="238" spans="1:9" x14ac:dyDescent="0.3">
      <c r="A238" s="47">
        <v>43997</v>
      </c>
      <c r="C238" s="44" t="s">
        <v>3920</v>
      </c>
      <c r="D238" s="28">
        <v>2000</v>
      </c>
      <c r="E238" s="28"/>
      <c r="F238" s="46">
        <f t="shared" si="3"/>
        <v>161885</v>
      </c>
      <c r="G238" s="391" t="s">
        <v>9568</v>
      </c>
      <c r="I238" s="2"/>
    </row>
    <row r="239" spans="1:9" x14ac:dyDescent="0.3">
      <c r="A239" s="47">
        <v>43997</v>
      </c>
      <c r="C239" s="44" t="s">
        <v>6182</v>
      </c>
      <c r="D239" s="28">
        <v>5000</v>
      </c>
      <c r="E239" s="28"/>
      <c r="F239" s="46">
        <f t="shared" si="3"/>
        <v>156885</v>
      </c>
      <c r="G239" s="391" t="s">
        <v>9568</v>
      </c>
      <c r="I239" s="2"/>
    </row>
    <row r="240" spans="1:9" x14ac:dyDescent="0.3">
      <c r="A240" s="47">
        <v>44001</v>
      </c>
      <c r="C240" s="44" t="s">
        <v>6184</v>
      </c>
      <c r="D240" s="28">
        <v>200000</v>
      </c>
      <c r="E240" s="28"/>
      <c r="F240" s="46">
        <f t="shared" si="3"/>
        <v>-43115</v>
      </c>
      <c r="G240" s="391" t="s">
        <v>9568</v>
      </c>
      <c r="I240" s="2"/>
    </row>
    <row r="241" spans="1:9" x14ac:dyDescent="0.3">
      <c r="A241" s="47">
        <v>44001</v>
      </c>
      <c r="C241" s="44" t="s">
        <v>6185</v>
      </c>
      <c r="D241" s="28">
        <v>10000</v>
      </c>
      <c r="E241" s="28"/>
      <c r="F241" s="46">
        <f t="shared" si="3"/>
        <v>-53115</v>
      </c>
      <c r="G241" s="391" t="s">
        <v>9568</v>
      </c>
      <c r="I241" s="2"/>
    </row>
    <row r="242" spans="1:9" x14ac:dyDescent="0.3">
      <c r="A242" s="47">
        <v>44001</v>
      </c>
      <c r="C242" s="44" t="s">
        <v>6189</v>
      </c>
      <c r="D242" s="28">
        <v>2000</v>
      </c>
      <c r="E242" s="28"/>
      <c r="F242" s="46">
        <f t="shared" si="3"/>
        <v>-55115</v>
      </c>
      <c r="G242" s="391" t="s">
        <v>9568</v>
      </c>
      <c r="I242" s="2"/>
    </row>
    <row r="243" spans="1:9" x14ac:dyDescent="0.3">
      <c r="A243" s="47">
        <v>44005</v>
      </c>
      <c r="C243" s="44" t="s">
        <v>4262</v>
      </c>
      <c r="D243" s="28">
        <v>5000</v>
      </c>
      <c r="E243" s="28"/>
      <c r="F243" s="46">
        <f t="shared" si="3"/>
        <v>-60115</v>
      </c>
      <c r="G243" s="391" t="s">
        <v>9568</v>
      </c>
      <c r="I243" s="2"/>
    </row>
    <row r="244" spans="1:9" x14ac:dyDescent="0.3">
      <c r="A244" s="47">
        <v>44005</v>
      </c>
      <c r="C244" s="44" t="s">
        <v>6192</v>
      </c>
      <c r="D244" s="28">
        <v>3000</v>
      </c>
      <c r="E244" s="28"/>
      <c r="F244" s="46">
        <f t="shared" si="3"/>
        <v>-63115</v>
      </c>
      <c r="G244" s="391" t="s">
        <v>9568</v>
      </c>
      <c r="I244" s="2"/>
    </row>
    <row r="245" spans="1:9" x14ac:dyDescent="0.3">
      <c r="A245" s="47">
        <v>44006</v>
      </c>
      <c r="C245" s="44" t="s">
        <v>4446</v>
      </c>
      <c r="D245" s="28">
        <v>8250</v>
      </c>
      <c r="E245" s="28"/>
      <c r="F245" s="46">
        <f t="shared" si="3"/>
        <v>-71365</v>
      </c>
      <c r="G245" s="391" t="s">
        <v>9568</v>
      </c>
      <c r="I245" s="2"/>
    </row>
    <row r="246" spans="1:9" x14ac:dyDescent="0.3">
      <c r="A246" s="47">
        <v>44006</v>
      </c>
      <c r="C246" s="44" t="s">
        <v>5532</v>
      </c>
      <c r="D246" s="28"/>
      <c r="E246" s="28">
        <v>15664</v>
      </c>
      <c r="F246" s="46">
        <f t="shared" si="3"/>
        <v>-55701</v>
      </c>
      <c r="G246" s="391" t="s">
        <v>9568</v>
      </c>
      <c r="I246" s="2"/>
    </row>
    <row r="247" spans="1:9" x14ac:dyDescent="0.3">
      <c r="A247" s="47">
        <v>44006</v>
      </c>
      <c r="C247" s="44" t="s">
        <v>294</v>
      </c>
      <c r="D247" s="28"/>
      <c r="E247" s="28">
        <v>35000</v>
      </c>
      <c r="F247" s="46">
        <f t="shared" si="3"/>
        <v>-20701</v>
      </c>
      <c r="G247" s="391" t="s">
        <v>9568</v>
      </c>
      <c r="I247" s="2"/>
    </row>
    <row r="248" spans="1:9" x14ac:dyDescent="0.3">
      <c r="A248" s="47">
        <v>44009</v>
      </c>
      <c r="C248" s="44" t="s">
        <v>6200</v>
      </c>
      <c r="D248" s="28">
        <v>12000</v>
      </c>
      <c r="E248" s="28"/>
      <c r="F248" s="46">
        <f t="shared" si="3"/>
        <v>-32701</v>
      </c>
      <c r="G248" s="391" t="s">
        <v>9568</v>
      </c>
      <c r="I248" s="2"/>
    </row>
    <row r="249" spans="1:9" x14ac:dyDescent="0.3">
      <c r="A249" s="47">
        <v>44009</v>
      </c>
      <c r="C249" s="44" t="s">
        <v>6201</v>
      </c>
      <c r="D249" s="28">
        <v>6300</v>
      </c>
      <c r="E249" s="28"/>
      <c r="F249" s="46">
        <f t="shared" si="3"/>
        <v>-39001</v>
      </c>
      <c r="G249" s="391" t="s">
        <v>9568</v>
      </c>
      <c r="I249" s="2"/>
    </row>
    <row r="250" spans="1:9" x14ac:dyDescent="0.3">
      <c r="A250" s="47">
        <v>44009</v>
      </c>
      <c r="C250" s="44" t="s">
        <v>6202</v>
      </c>
      <c r="D250" s="28">
        <v>11000</v>
      </c>
      <c r="E250" s="28"/>
      <c r="F250" s="46">
        <f t="shared" si="3"/>
        <v>-50001</v>
      </c>
      <c r="G250" s="391" t="s">
        <v>9568</v>
      </c>
      <c r="I250" s="2"/>
    </row>
    <row r="251" spans="1:9" x14ac:dyDescent="0.3">
      <c r="A251" s="47">
        <v>44009</v>
      </c>
      <c r="C251" s="44" t="s">
        <v>6202</v>
      </c>
      <c r="D251" s="28">
        <v>14000</v>
      </c>
      <c r="E251" s="28"/>
      <c r="F251" s="46">
        <f t="shared" si="3"/>
        <v>-64001</v>
      </c>
      <c r="G251" s="391" t="s">
        <v>9568</v>
      </c>
      <c r="I251" s="2"/>
    </row>
    <row r="252" spans="1:9" x14ac:dyDescent="0.3">
      <c r="A252" s="47">
        <v>44009</v>
      </c>
      <c r="C252" s="44" t="s">
        <v>6072</v>
      </c>
      <c r="D252" s="28">
        <v>3000</v>
      </c>
      <c r="E252" s="28"/>
      <c r="F252" s="46">
        <f t="shared" si="3"/>
        <v>-67001</v>
      </c>
      <c r="G252" s="391" t="s">
        <v>9568</v>
      </c>
      <c r="I252" s="2"/>
    </row>
    <row r="253" spans="1:9" x14ac:dyDescent="0.3">
      <c r="A253" s="47">
        <v>44009</v>
      </c>
      <c r="C253" s="44" t="s">
        <v>6206</v>
      </c>
      <c r="D253" s="28">
        <v>8000</v>
      </c>
      <c r="E253" s="28"/>
      <c r="F253" s="46">
        <f t="shared" si="3"/>
        <v>-75001</v>
      </c>
      <c r="G253" s="391" t="s">
        <v>9568</v>
      </c>
      <c r="I253" s="2"/>
    </row>
    <row r="254" spans="1:9" x14ac:dyDescent="0.3">
      <c r="A254" s="47">
        <v>44012</v>
      </c>
      <c r="C254" s="44" t="s">
        <v>6212</v>
      </c>
      <c r="D254" s="28">
        <v>3000</v>
      </c>
      <c r="E254" s="28"/>
      <c r="F254" s="46">
        <f t="shared" si="3"/>
        <v>-78001</v>
      </c>
      <c r="G254" s="391" t="s">
        <v>9568</v>
      </c>
      <c r="I254" s="2"/>
    </row>
    <row r="255" spans="1:9" x14ac:dyDescent="0.3">
      <c r="A255" s="47">
        <v>44012</v>
      </c>
      <c r="C255" s="44" t="s">
        <v>294</v>
      </c>
      <c r="D255" s="28"/>
      <c r="E255" s="28">
        <v>85000</v>
      </c>
      <c r="F255" s="46">
        <f t="shared" si="3"/>
        <v>6999</v>
      </c>
      <c r="G255" s="391" t="s">
        <v>9568</v>
      </c>
      <c r="I255" s="2"/>
    </row>
    <row r="256" spans="1:9" x14ac:dyDescent="0.3">
      <c r="A256" s="47">
        <v>44012</v>
      </c>
      <c r="C256" s="44" t="s">
        <v>438</v>
      </c>
      <c r="D256" s="28">
        <v>8200</v>
      </c>
      <c r="E256" s="28"/>
      <c r="F256" s="46">
        <f t="shared" si="3"/>
        <v>-1201</v>
      </c>
      <c r="G256" s="391" t="s">
        <v>9568</v>
      </c>
      <c r="I256" s="2"/>
    </row>
    <row r="257" spans="1:9" x14ac:dyDescent="0.3">
      <c r="A257" s="47">
        <v>44012</v>
      </c>
      <c r="C257" s="44" t="s">
        <v>6213</v>
      </c>
      <c r="D257" s="28">
        <v>3000</v>
      </c>
      <c r="E257" s="28"/>
      <c r="F257" s="46">
        <f t="shared" si="3"/>
        <v>-4201</v>
      </c>
      <c r="G257" s="391" t="s">
        <v>9568</v>
      </c>
      <c r="I257" s="2"/>
    </row>
    <row r="258" spans="1:9" x14ac:dyDescent="0.3">
      <c r="A258" s="47">
        <v>44012</v>
      </c>
      <c r="C258" s="44" t="s">
        <v>6214</v>
      </c>
      <c r="D258" s="28">
        <v>2000</v>
      </c>
      <c r="E258" s="28"/>
      <c r="F258" s="46">
        <f t="shared" si="3"/>
        <v>-6201</v>
      </c>
      <c r="G258" s="391" t="s">
        <v>9568</v>
      </c>
      <c r="I258" s="2"/>
    </row>
    <row r="259" spans="1:9" x14ac:dyDescent="0.3">
      <c r="A259" s="47">
        <v>44012</v>
      </c>
      <c r="C259" s="44" t="s">
        <v>6229</v>
      </c>
      <c r="D259" s="28">
        <v>2000</v>
      </c>
      <c r="E259" s="28"/>
      <c r="F259" s="46">
        <f t="shared" si="3"/>
        <v>-8201</v>
      </c>
      <c r="G259" s="391" t="s">
        <v>9568</v>
      </c>
      <c r="I259" s="2"/>
    </row>
    <row r="260" spans="1:9" x14ac:dyDescent="0.3">
      <c r="A260" s="47">
        <v>44018</v>
      </c>
      <c r="C260" s="44" t="s">
        <v>5089</v>
      </c>
      <c r="D260" s="28">
        <v>2000</v>
      </c>
      <c r="E260" s="28"/>
      <c r="F260" s="46">
        <f t="shared" ref="F260:F323" si="4">F259+E260-D260</f>
        <v>-10201</v>
      </c>
      <c r="G260" s="391" t="s">
        <v>9568</v>
      </c>
      <c r="I260" s="2"/>
    </row>
    <row r="261" spans="1:9" x14ac:dyDescent="0.3">
      <c r="A261" s="47">
        <v>44018</v>
      </c>
      <c r="C261" s="44" t="s">
        <v>4490</v>
      </c>
      <c r="D261" s="28">
        <v>1000</v>
      </c>
      <c r="E261" s="28"/>
      <c r="F261" s="46">
        <f t="shared" si="4"/>
        <v>-11201</v>
      </c>
      <c r="G261" s="391" t="s">
        <v>9568</v>
      </c>
      <c r="I261" s="2"/>
    </row>
    <row r="262" spans="1:9" x14ac:dyDescent="0.3">
      <c r="A262" s="47">
        <v>44018</v>
      </c>
      <c r="C262" s="44" t="s">
        <v>6230</v>
      </c>
      <c r="D262" s="28">
        <v>5000</v>
      </c>
      <c r="E262" s="28"/>
      <c r="F262" s="46">
        <f t="shared" si="4"/>
        <v>-16201</v>
      </c>
      <c r="G262" s="391" t="s">
        <v>9568</v>
      </c>
      <c r="I262" s="2"/>
    </row>
    <row r="263" spans="1:9" x14ac:dyDescent="0.3">
      <c r="A263" s="47">
        <v>44018</v>
      </c>
      <c r="C263" s="44" t="s">
        <v>4756</v>
      </c>
      <c r="D263" s="28">
        <v>1080</v>
      </c>
      <c r="E263" s="28"/>
      <c r="F263" s="46">
        <f t="shared" si="4"/>
        <v>-17281</v>
      </c>
      <c r="G263" s="391" t="s">
        <v>9568</v>
      </c>
      <c r="I263" s="2"/>
    </row>
    <row r="264" spans="1:9" x14ac:dyDescent="0.3">
      <c r="A264" s="47">
        <v>44018</v>
      </c>
      <c r="C264" s="44" t="s">
        <v>4446</v>
      </c>
      <c r="D264" s="28">
        <v>3000</v>
      </c>
      <c r="E264" s="28"/>
      <c r="F264" s="46">
        <f t="shared" si="4"/>
        <v>-20281</v>
      </c>
      <c r="G264" s="391" t="s">
        <v>9568</v>
      </c>
      <c r="I264" s="2"/>
    </row>
    <row r="265" spans="1:9" x14ac:dyDescent="0.3">
      <c r="A265" s="47">
        <v>44018</v>
      </c>
      <c r="C265" s="44" t="s">
        <v>294</v>
      </c>
      <c r="D265" s="28"/>
      <c r="E265" s="28">
        <v>80000</v>
      </c>
      <c r="F265" s="46">
        <f t="shared" si="4"/>
        <v>59719</v>
      </c>
      <c r="G265" s="391" t="s">
        <v>9568</v>
      </c>
      <c r="I265" s="2"/>
    </row>
    <row r="266" spans="1:9" x14ac:dyDescent="0.3">
      <c r="A266" s="47">
        <v>44018</v>
      </c>
      <c r="C266" s="44" t="s">
        <v>3920</v>
      </c>
      <c r="D266" s="28">
        <v>14290</v>
      </c>
      <c r="E266" s="28"/>
      <c r="F266" s="46">
        <f t="shared" si="4"/>
        <v>45429</v>
      </c>
      <c r="G266" s="391" t="s">
        <v>9568</v>
      </c>
      <c r="I266" s="2"/>
    </row>
    <row r="267" spans="1:9" x14ac:dyDescent="0.3">
      <c r="A267" s="47">
        <v>44018</v>
      </c>
      <c r="C267" s="44" t="s">
        <v>5089</v>
      </c>
      <c r="D267" s="28">
        <v>1000</v>
      </c>
      <c r="E267" s="28"/>
      <c r="F267" s="46">
        <f t="shared" si="4"/>
        <v>44429</v>
      </c>
      <c r="G267" s="391" t="s">
        <v>9568</v>
      </c>
      <c r="I267" s="2"/>
    </row>
    <row r="268" spans="1:9" x14ac:dyDescent="0.3">
      <c r="A268" s="47">
        <v>44018</v>
      </c>
      <c r="C268" s="44" t="s">
        <v>3026</v>
      </c>
      <c r="D268" s="28">
        <v>1000</v>
      </c>
      <c r="E268" s="28"/>
      <c r="F268" s="46">
        <f t="shared" si="4"/>
        <v>43429</v>
      </c>
      <c r="G268" s="391" t="s">
        <v>9568</v>
      </c>
      <c r="I268" s="2"/>
    </row>
    <row r="269" spans="1:9" x14ac:dyDescent="0.3">
      <c r="A269" s="47">
        <v>44018</v>
      </c>
      <c r="C269" s="44" t="s">
        <v>31</v>
      </c>
      <c r="D269" s="28"/>
      <c r="E269" s="28">
        <v>50000</v>
      </c>
      <c r="F269" s="46">
        <f t="shared" si="4"/>
        <v>93429</v>
      </c>
      <c r="G269" s="391" t="s">
        <v>9568</v>
      </c>
      <c r="I269" s="2"/>
    </row>
    <row r="270" spans="1:9" x14ac:dyDescent="0.3">
      <c r="A270" s="47">
        <v>44026</v>
      </c>
      <c r="C270" s="44" t="s">
        <v>5975</v>
      </c>
      <c r="D270" s="28">
        <v>15000</v>
      </c>
      <c r="E270" s="28"/>
      <c r="F270" s="46">
        <f t="shared" si="4"/>
        <v>78429</v>
      </c>
      <c r="G270" s="391" t="s">
        <v>9568</v>
      </c>
      <c r="I270" s="2"/>
    </row>
    <row r="271" spans="1:9" x14ac:dyDescent="0.3">
      <c r="A271" s="47">
        <v>44026</v>
      </c>
      <c r="C271" s="44" t="s">
        <v>6258</v>
      </c>
      <c r="D271" s="28">
        <v>4000</v>
      </c>
      <c r="E271" s="28"/>
      <c r="F271" s="46">
        <f t="shared" si="4"/>
        <v>74429</v>
      </c>
      <c r="G271" s="391" t="s">
        <v>9568</v>
      </c>
      <c r="I271" s="2"/>
    </row>
    <row r="272" spans="1:9" x14ac:dyDescent="0.3">
      <c r="A272" s="47">
        <v>44026</v>
      </c>
      <c r="C272" s="44" t="s">
        <v>6259</v>
      </c>
      <c r="D272" s="28">
        <v>6000</v>
      </c>
      <c r="E272" s="28"/>
      <c r="F272" s="46">
        <f t="shared" si="4"/>
        <v>68429</v>
      </c>
      <c r="G272" s="391" t="s">
        <v>9568</v>
      </c>
      <c r="I272" s="2"/>
    </row>
    <row r="273" spans="1:9" x14ac:dyDescent="0.3">
      <c r="A273" s="47">
        <v>44027</v>
      </c>
      <c r="C273" s="44" t="s">
        <v>5089</v>
      </c>
      <c r="D273" s="28">
        <v>10000</v>
      </c>
      <c r="E273" s="28"/>
      <c r="F273" s="46">
        <f t="shared" si="4"/>
        <v>58429</v>
      </c>
      <c r="G273" s="391" t="s">
        <v>9568</v>
      </c>
      <c r="I273" s="2"/>
    </row>
    <row r="274" spans="1:9" x14ac:dyDescent="0.3">
      <c r="A274" s="47">
        <v>44027</v>
      </c>
      <c r="C274" s="44" t="s">
        <v>6268</v>
      </c>
      <c r="D274" s="28">
        <v>2000</v>
      </c>
      <c r="E274" s="28"/>
      <c r="F274" s="46">
        <f t="shared" si="4"/>
        <v>56429</v>
      </c>
      <c r="G274" s="391" t="s">
        <v>9568</v>
      </c>
      <c r="I274" s="2"/>
    </row>
    <row r="275" spans="1:9" x14ac:dyDescent="0.3">
      <c r="A275" s="47">
        <v>44027</v>
      </c>
      <c r="C275" s="44" t="s">
        <v>6269</v>
      </c>
      <c r="D275" s="28">
        <v>10000</v>
      </c>
      <c r="E275" s="28"/>
      <c r="F275" s="46">
        <f t="shared" si="4"/>
        <v>46429</v>
      </c>
      <c r="G275" s="391" t="s">
        <v>9568</v>
      </c>
      <c r="I275" s="2"/>
    </row>
    <row r="276" spans="1:9" x14ac:dyDescent="0.3">
      <c r="A276" s="47">
        <v>44027</v>
      </c>
      <c r="C276" s="44" t="s">
        <v>6270</v>
      </c>
      <c r="D276" s="28">
        <v>43800</v>
      </c>
      <c r="E276" s="28"/>
      <c r="F276" s="46">
        <f t="shared" si="4"/>
        <v>2629</v>
      </c>
      <c r="G276" s="391" t="s">
        <v>9568</v>
      </c>
      <c r="I276" s="2"/>
    </row>
    <row r="277" spans="1:9" x14ac:dyDescent="0.3">
      <c r="A277" s="47">
        <v>44027</v>
      </c>
      <c r="C277" s="44" t="s">
        <v>5977</v>
      </c>
      <c r="D277" s="28">
        <v>4500</v>
      </c>
      <c r="E277" s="28"/>
      <c r="F277" s="46">
        <f t="shared" si="4"/>
        <v>-1871</v>
      </c>
      <c r="G277" s="391" t="s">
        <v>9568</v>
      </c>
      <c r="I277" s="2"/>
    </row>
    <row r="278" spans="1:9" x14ac:dyDescent="0.3">
      <c r="A278" s="47">
        <v>44032</v>
      </c>
      <c r="C278" s="44" t="s">
        <v>6281</v>
      </c>
      <c r="D278" s="28">
        <v>24600</v>
      </c>
      <c r="E278" s="28"/>
      <c r="F278" s="46">
        <f t="shared" si="4"/>
        <v>-26471</v>
      </c>
      <c r="G278" s="391" t="s">
        <v>9568</v>
      </c>
      <c r="I278" s="2"/>
    </row>
    <row r="279" spans="1:9" x14ac:dyDescent="0.3">
      <c r="A279" s="47">
        <v>44032</v>
      </c>
      <c r="C279" s="44" t="s">
        <v>6282</v>
      </c>
      <c r="D279" s="28">
        <v>3000</v>
      </c>
      <c r="E279" s="28"/>
      <c r="F279" s="46">
        <f t="shared" si="4"/>
        <v>-29471</v>
      </c>
      <c r="G279" s="391" t="s">
        <v>9568</v>
      </c>
      <c r="I279" s="2"/>
    </row>
    <row r="280" spans="1:9" x14ac:dyDescent="0.3">
      <c r="A280" s="47">
        <v>44033</v>
      </c>
      <c r="C280" s="44" t="s">
        <v>6014</v>
      </c>
      <c r="D280" s="28">
        <v>18972</v>
      </c>
      <c r="E280" s="28"/>
      <c r="F280" s="46">
        <f t="shared" si="4"/>
        <v>-48443</v>
      </c>
      <c r="G280" s="391" t="s">
        <v>9568</v>
      </c>
      <c r="I280" s="2"/>
    </row>
    <row r="281" spans="1:9" x14ac:dyDescent="0.3">
      <c r="A281" s="47">
        <v>44033</v>
      </c>
      <c r="C281" s="44" t="s">
        <v>6014</v>
      </c>
      <c r="D281" s="28">
        <v>21410</v>
      </c>
      <c r="E281" s="28"/>
      <c r="F281" s="46">
        <f t="shared" si="4"/>
        <v>-69853</v>
      </c>
      <c r="G281" s="391" t="s">
        <v>9568</v>
      </c>
      <c r="I281" s="2"/>
    </row>
    <row r="282" spans="1:9" x14ac:dyDescent="0.3">
      <c r="A282" s="47">
        <v>44033</v>
      </c>
      <c r="C282" s="44" t="s">
        <v>6285</v>
      </c>
      <c r="D282" s="28">
        <v>5000</v>
      </c>
      <c r="E282" s="28"/>
      <c r="F282" s="46">
        <f t="shared" si="4"/>
        <v>-74853</v>
      </c>
      <c r="G282" s="391" t="s">
        <v>9568</v>
      </c>
      <c r="I282" s="2"/>
    </row>
    <row r="283" spans="1:9" x14ac:dyDescent="0.3">
      <c r="A283" s="47">
        <v>44033</v>
      </c>
      <c r="C283" s="44" t="s">
        <v>6283</v>
      </c>
      <c r="D283" s="28">
        <v>5000</v>
      </c>
      <c r="E283" s="28"/>
      <c r="F283" s="46">
        <f t="shared" si="4"/>
        <v>-79853</v>
      </c>
      <c r="G283" s="391" t="s">
        <v>9568</v>
      </c>
      <c r="I283" s="2"/>
    </row>
    <row r="284" spans="1:9" x14ac:dyDescent="0.3">
      <c r="A284" s="47">
        <v>44033</v>
      </c>
      <c r="C284" s="44" t="s">
        <v>6284</v>
      </c>
      <c r="D284" s="28">
        <v>2000</v>
      </c>
      <c r="E284" s="28"/>
      <c r="F284" s="46">
        <f t="shared" si="4"/>
        <v>-81853</v>
      </c>
      <c r="G284" s="391" t="s">
        <v>9568</v>
      </c>
      <c r="I284" s="2"/>
    </row>
    <row r="285" spans="1:9" x14ac:dyDescent="0.3">
      <c r="A285" s="47">
        <v>44033</v>
      </c>
      <c r="C285" s="44" t="s">
        <v>294</v>
      </c>
      <c r="D285" s="28"/>
      <c r="E285" s="28">
        <v>15000</v>
      </c>
      <c r="F285" s="46">
        <f t="shared" si="4"/>
        <v>-66853</v>
      </c>
      <c r="G285" s="391" t="s">
        <v>9568</v>
      </c>
      <c r="I285" s="2"/>
    </row>
    <row r="286" spans="1:9" x14ac:dyDescent="0.3">
      <c r="A286" s="47">
        <v>44033</v>
      </c>
      <c r="C286" s="44" t="s">
        <v>6287</v>
      </c>
      <c r="D286" s="28">
        <v>8000</v>
      </c>
      <c r="E286" s="28"/>
      <c r="F286" s="46">
        <f t="shared" si="4"/>
        <v>-74853</v>
      </c>
      <c r="G286" s="391" t="s">
        <v>9568</v>
      </c>
      <c r="I286" s="2"/>
    </row>
    <row r="287" spans="1:9" x14ac:dyDescent="0.3">
      <c r="A287" s="47">
        <v>44033</v>
      </c>
      <c r="C287" s="44" t="s">
        <v>6014</v>
      </c>
      <c r="D287" s="28">
        <v>3715</v>
      </c>
      <c r="E287" s="28"/>
      <c r="F287" s="46">
        <f t="shared" si="4"/>
        <v>-78568</v>
      </c>
      <c r="G287" s="391" t="s">
        <v>9568</v>
      </c>
      <c r="I287" s="2"/>
    </row>
    <row r="288" spans="1:9" x14ac:dyDescent="0.3">
      <c r="A288" s="47">
        <v>44041</v>
      </c>
      <c r="C288" s="44" t="s">
        <v>4262</v>
      </c>
      <c r="D288" s="28">
        <v>10000</v>
      </c>
      <c r="E288" s="28"/>
      <c r="F288" s="46">
        <f t="shared" si="4"/>
        <v>-88568</v>
      </c>
      <c r="G288" s="391" t="s">
        <v>9568</v>
      </c>
      <c r="I288" s="2"/>
    </row>
    <row r="289" spans="1:9" x14ac:dyDescent="0.3">
      <c r="A289" s="47">
        <v>44042</v>
      </c>
      <c r="C289" s="44" t="s">
        <v>6323</v>
      </c>
      <c r="D289" s="28">
        <v>5000</v>
      </c>
      <c r="E289" s="28"/>
      <c r="F289" s="46">
        <f t="shared" si="4"/>
        <v>-93568</v>
      </c>
      <c r="G289" s="391" t="s">
        <v>9568</v>
      </c>
      <c r="I289" s="2"/>
    </row>
    <row r="290" spans="1:9" x14ac:dyDescent="0.3">
      <c r="A290" s="47">
        <v>44042</v>
      </c>
      <c r="C290" s="44" t="s">
        <v>294</v>
      </c>
      <c r="D290" s="28"/>
      <c r="E290" s="28">
        <v>20000</v>
      </c>
      <c r="F290" s="46">
        <f t="shared" si="4"/>
        <v>-73568</v>
      </c>
      <c r="G290" s="391" t="s">
        <v>9568</v>
      </c>
      <c r="I290" s="2"/>
    </row>
    <row r="291" spans="1:9" x14ac:dyDescent="0.3">
      <c r="A291" s="47">
        <v>44054</v>
      </c>
      <c r="C291" s="44" t="s">
        <v>294</v>
      </c>
      <c r="D291" s="28"/>
      <c r="E291" s="28">
        <v>70000</v>
      </c>
      <c r="F291" s="46">
        <f t="shared" si="4"/>
        <v>-3568</v>
      </c>
      <c r="G291" s="391" t="s">
        <v>9568</v>
      </c>
      <c r="I291" s="2"/>
    </row>
    <row r="292" spans="1:9" x14ac:dyDescent="0.3">
      <c r="A292" s="47">
        <v>44055</v>
      </c>
      <c r="C292" s="44" t="s">
        <v>294</v>
      </c>
      <c r="D292" s="28"/>
      <c r="E292" s="28">
        <v>50000</v>
      </c>
      <c r="F292" s="46">
        <f t="shared" si="4"/>
        <v>46432</v>
      </c>
      <c r="G292" s="391" t="s">
        <v>9568</v>
      </c>
      <c r="I292" s="2"/>
    </row>
    <row r="293" spans="1:9" x14ac:dyDescent="0.3">
      <c r="A293" s="47">
        <v>44055</v>
      </c>
      <c r="C293" s="44" t="s">
        <v>294</v>
      </c>
      <c r="D293" s="28"/>
      <c r="E293" s="28">
        <v>100000</v>
      </c>
      <c r="F293" s="46">
        <f t="shared" si="4"/>
        <v>146432</v>
      </c>
      <c r="G293" s="391" t="s">
        <v>9568</v>
      </c>
      <c r="I293" s="2"/>
    </row>
    <row r="294" spans="1:9" x14ac:dyDescent="0.3">
      <c r="A294" s="47">
        <v>44063</v>
      </c>
      <c r="C294" s="44" t="s">
        <v>4877</v>
      </c>
      <c r="D294" s="28">
        <v>3000</v>
      </c>
      <c r="E294" s="28"/>
      <c r="F294" s="46">
        <f t="shared" si="4"/>
        <v>143432</v>
      </c>
      <c r="G294" s="391" t="s">
        <v>9568</v>
      </c>
      <c r="I294" s="2"/>
    </row>
    <row r="295" spans="1:9" x14ac:dyDescent="0.3">
      <c r="A295" s="47">
        <v>44065</v>
      </c>
      <c r="C295" s="44" t="s">
        <v>294</v>
      </c>
      <c r="D295" s="28"/>
      <c r="E295" s="28">
        <v>10000</v>
      </c>
      <c r="F295" s="46">
        <f t="shared" si="4"/>
        <v>153432</v>
      </c>
      <c r="G295" s="391" t="s">
        <v>9568</v>
      </c>
      <c r="I295" s="2"/>
    </row>
    <row r="296" spans="1:9" x14ac:dyDescent="0.3">
      <c r="A296" s="47">
        <v>44076</v>
      </c>
      <c r="C296" s="44" t="s">
        <v>294</v>
      </c>
      <c r="D296" s="28"/>
      <c r="E296" s="28">
        <v>2000</v>
      </c>
      <c r="F296" s="46">
        <f t="shared" si="4"/>
        <v>155432</v>
      </c>
      <c r="G296" s="391" t="s">
        <v>9568</v>
      </c>
      <c r="I296" s="2"/>
    </row>
    <row r="297" spans="1:9" x14ac:dyDescent="0.3">
      <c r="A297" s="47">
        <v>44078</v>
      </c>
      <c r="C297" s="44" t="s">
        <v>6394</v>
      </c>
      <c r="D297" s="28">
        <v>1000</v>
      </c>
      <c r="E297" s="28"/>
      <c r="F297" s="46">
        <f t="shared" si="4"/>
        <v>154432</v>
      </c>
      <c r="G297" s="391" t="s">
        <v>9568</v>
      </c>
      <c r="I297" s="2"/>
    </row>
    <row r="298" spans="1:9" x14ac:dyDescent="0.3">
      <c r="A298" s="47">
        <v>44078</v>
      </c>
      <c r="C298" s="44" t="s">
        <v>6395</v>
      </c>
      <c r="D298" s="28">
        <v>3000</v>
      </c>
      <c r="E298" s="28"/>
      <c r="F298" s="46">
        <f t="shared" si="4"/>
        <v>151432</v>
      </c>
      <c r="G298" s="391" t="s">
        <v>9568</v>
      </c>
      <c r="I298" s="2"/>
    </row>
    <row r="299" spans="1:9" x14ac:dyDescent="0.3">
      <c r="A299" s="47">
        <v>44078</v>
      </c>
      <c r="C299" s="44" t="s">
        <v>6396</v>
      </c>
      <c r="D299" s="28">
        <v>1000</v>
      </c>
      <c r="E299" s="28"/>
      <c r="F299" s="46">
        <f t="shared" si="4"/>
        <v>150432</v>
      </c>
      <c r="G299" s="391" t="s">
        <v>9568</v>
      </c>
      <c r="I299" s="2"/>
    </row>
    <row r="300" spans="1:9" x14ac:dyDescent="0.3">
      <c r="A300" s="47">
        <v>44078</v>
      </c>
      <c r="C300" s="44" t="s">
        <v>6397</v>
      </c>
      <c r="D300" s="28">
        <v>5000</v>
      </c>
      <c r="E300" s="28"/>
      <c r="F300" s="46">
        <f t="shared" si="4"/>
        <v>145432</v>
      </c>
      <c r="G300" s="391" t="s">
        <v>9568</v>
      </c>
      <c r="I300" s="2"/>
    </row>
    <row r="301" spans="1:9" x14ac:dyDescent="0.3">
      <c r="A301" s="47">
        <v>44078</v>
      </c>
      <c r="C301" s="44" t="s">
        <v>6401</v>
      </c>
      <c r="D301" s="28">
        <v>1000</v>
      </c>
      <c r="E301" s="28"/>
      <c r="F301" s="46">
        <f t="shared" si="4"/>
        <v>144432</v>
      </c>
      <c r="G301" s="391" t="s">
        <v>9568</v>
      </c>
      <c r="I301" s="2"/>
    </row>
    <row r="302" spans="1:9" x14ac:dyDescent="0.3">
      <c r="A302" s="47">
        <v>44078</v>
      </c>
      <c r="C302" s="44" t="s">
        <v>6398</v>
      </c>
      <c r="D302" s="28">
        <v>4000</v>
      </c>
      <c r="E302" s="28"/>
      <c r="F302" s="46">
        <f t="shared" si="4"/>
        <v>140432</v>
      </c>
      <c r="G302" s="391" t="s">
        <v>9568</v>
      </c>
      <c r="I302" s="2"/>
    </row>
    <row r="303" spans="1:9" x14ac:dyDescent="0.3">
      <c r="A303" s="47">
        <v>44078</v>
      </c>
      <c r="C303" s="44" t="s">
        <v>6399</v>
      </c>
      <c r="D303" s="28">
        <v>1000</v>
      </c>
      <c r="E303" s="28"/>
      <c r="F303" s="46">
        <f t="shared" si="4"/>
        <v>139432</v>
      </c>
      <c r="G303" s="391" t="s">
        <v>9568</v>
      </c>
      <c r="I303" s="2"/>
    </row>
    <row r="304" spans="1:9" x14ac:dyDescent="0.3">
      <c r="A304" s="47">
        <v>44078</v>
      </c>
      <c r="C304" s="44" t="s">
        <v>6400</v>
      </c>
      <c r="D304" s="28">
        <v>1000</v>
      </c>
      <c r="E304" s="28"/>
      <c r="F304" s="46">
        <f t="shared" si="4"/>
        <v>138432</v>
      </c>
      <c r="G304" s="391" t="s">
        <v>9568</v>
      </c>
      <c r="I304" s="2"/>
    </row>
    <row r="305" spans="1:9" x14ac:dyDescent="0.3">
      <c r="A305" s="47">
        <v>44078</v>
      </c>
      <c r="C305" s="44" t="s">
        <v>6401</v>
      </c>
      <c r="D305" s="28">
        <v>3000</v>
      </c>
      <c r="E305" s="28"/>
      <c r="F305" s="46">
        <f t="shared" si="4"/>
        <v>135432</v>
      </c>
      <c r="G305" s="391" t="s">
        <v>9568</v>
      </c>
      <c r="I305" s="2"/>
    </row>
    <row r="306" spans="1:9" x14ac:dyDescent="0.3">
      <c r="A306" s="47">
        <v>44078</v>
      </c>
      <c r="C306" s="44" t="s">
        <v>6402</v>
      </c>
      <c r="D306" s="28">
        <v>4000</v>
      </c>
      <c r="E306" s="28"/>
      <c r="F306" s="46">
        <f t="shared" si="4"/>
        <v>131432</v>
      </c>
      <c r="G306" s="391" t="s">
        <v>9568</v>
      </c>
      <c r="I306" s="2"/>
    </row>
    <row r="307" spans="1:9" x14ac:dyDescent="0.3">
      <c r="A307" s="47">
        <v>44078</v>
      </c>
      <c r="C307" s="44" t="s">
        <v>6403</v>
      </c>
      <c r="D307" s="28">
        <v>1000</v>
      </c>
      <c r="E307" s="28"/>
      <c r="F307" s="46">
        <f t="shared" si="4"/>
        <v>130432</v>
      </c>
      <c r="G307" s="391" t="s">
        <v>9568</v>
      </c>
      <c r="I307" s="2"/>
    </row>
    <row r="308" spans="1:9" x14ac:dyDescent="0.3">
      <c r="A308" s="47">
        <v>44078</v>
      </c>
      <c r="C308" s="44" t="s">
        <v>6404</v>
      </c>
      <c r="D308" s="28">
        <v>1000</v>
      </c>
      <c r="E308" s="28"/>
      <c r="F308" s="46">
        <f t="shared" si="4"/>
        <v>129432</v>
      </c>
      <c r="G308" s="391" t="s">
        <v>9568</v>
      </c>
      <c r="I308" s="2"/>
    </row>
    <row r="309" spans="1:9" x14ac:dyDescent="0.3">
      <c r="A309" s="47">
        <v>44078</v>
      </c>
      <c r="C309" s="44" t="s">
        <v>6405</v>
      </c>
      <c r="D309" s="28">
        <v>24000</v>
      </c>
      <c r="E309" s="28"/>
      <c r="F309" s="46">
        <f t="shared" si="4"/>
        <v>105432</v>
      </c>
      <c r="G309" s="391" t="s">
        <v>9568</v>
      </c>
      <c r="I309" s="2"/>
    </row>
    <row r="310" spans="1:9" x14ac:dyDescent="0.3">
      <c r="A310" s="47">
        <v>44078</v>
      </c>
      <c r="C310" s="44" t="s">
        <v>6406</v>
      </c>
      <c r="D310" s="28">
        <v>3000</v>
      </c>
      <c r="E310" s="28"/>
      <c r="F310" s="46">
        <f t="shared" si="4"/>
        <v>102432</v>
      </c>
      <c r="G310" s="391" t="s">
        <v>9568</v>
      </c>
      <c r="I310" s="2"/>
    </row>
    <row r="311" spans="1:9" x14ac:dyDescent="0.3">
      <c r="A311" s="47">
        <v>44078</v>
      </c>
      <c r="C311" s="44" t="s">
        <v>6014</v>
      </c>
      <c r="D311" s="28">
        <v>78710</v>
      </c>
      <c r="E311" s="28"/>
      <c r="F311" s="46">
        <f t="shared" si="4"/>
        <v>23722</v>
      </c>
      <c r="G311" s="391" t="s">
        <v>9568</v>
      </c>
      <c r="I311" s="2"/>
    </row>
    <row r="312" spans="1:9" x14ac:dyDescent="0.3">
      <c r="A312" s="47">
        <v>44078</v>
      </c>
      <c r="C312" s="44" t="s">
        <v>4363</v>
      </c>
      <c r="D312" s="28">
        <v>17488</v>
      </c>
      <c r="E312" s="28"/>
      <c r="F312" s="46">
        <f t="shared" si="4"/>
        <v>6234</v>
      </c>
      <c r="G312" s="391" t="s">
        <v>9568</v>
      </c>
      <c r="I312" s="2"/>
    </row>
    <row r="313" spans="1:9" x14ac:dyDescent="0.3">
      <c r="A313" s="47">
        <v>44081</v>
      </c>
      <c r="C313" s="44" t="s">
        <v>6434</v>
      </c>
      <c r="D313" s="28">
        <v>20000</v>
      </c>
      <c r="E313" s="28"/>
      <c r="F313" s="46">
        <f t="shared" si="4"/>
        <v>-13766</v>
      </c>
      <c r="G313" s="391" t="s">
        <v>9568</v>
      </c>
      <c r="I313" s="2"/>
    </row>
    <row r="314" spans="1:9" x14ac:dyDescent="0.3">
      <c r="A314" s="47">
        <v>44084</v>
      </c>
      <c r="C314" s="44" t="s">
        <v>6432</v>
      </c>
      <c r="D314" s="28">
        <v>5000</v>
      </c>
      <c r="E314" s="28"/>
      <c r="F314" s="46">
        <f t="shared" si="4"/>
        <v>-18766</v>
      </c>
      <c r="G314" s="391" t="s">
        <v>9568</v>
      </c>
      <c r="I314" s="2"/>
    </row>
    <row r="315" spans="1:9" x14ac:dyDescent="0.3">
      <c r="A315" s="47">
        <v>44084</v>
      </c>
      <c r="C315" s="44" t="s">
        <v>6433</v>
      </c>
      <c r="D315" s="28">
        <v>2000</v>
      </c>
      <c r="E315" s="28"/>
      <c r="F315" s="46">
        <f t="shared" si="4"/>
        <v>-20766</v>
      </c>
      <c r="G315" s="391" t="s">
        <v>9568</v>
      </c>
      <c r="I315" s="2"/>
    </row>
    <row r="316" spans="1:9" x14ac:dyDescent="0.3">
      <c r="A316" s="47">
        <v>44088</v>
      </c>
      <c r="C316" s="44" t="s">
        <v>6443</v>
      </c>
      <c r="D316" s="28">
        <v>58000</v>
      </c>
      <c r="E316" s="28"/>
      <c r="F316" s="46">
        <f t="shared" si="4"/>
        <v>-78766</v>
      </c>
      <c r="G316" s="391" t="s">
        <v>9568</v>
      </c>
      <c r="I316" s="2"/>
    </row>
    <row r="317" spans="1:9" x14ac:dyDescent="0.3">
      <c r="A317" s="47">
        <v>44088</v>
      </c>
      <c r="C317" s="44" t="s">
        <v>294</v>
      </c>
      <c r="D317" s="28"/>
      <c r="E317" s="28">
        <v>25000</v>
      </c>
      <c r="F317" s="46">
        <f t="shared" si="4"/>
        <v>-53766</v>
      </c>
      <c r="G317" s="391" t="s">
        <v>9568</v>
      </c>
      <c r="I317" s="2"/>
    </row>
    <row r="318" spans="1:9" x14ac:dyDescent="0.3">
      <c r="A318" s="47">
        <v>44089</v>
      </c>
      <c r="C318" s="44" t="s">
        <v>294</v>
      </c>
      <c r="D318" s="28"/>
      <c r="E318" s="28">
        <v>30000</v>
      </c>
      <c r="F318" s="46">
        <f t="shared" si="4"/>
        <v>-23766</v>
      </c>
      <c r="G318" s="391" t="s">
        <v>9568</v>
      </c>
      <c r="I318" s="2"/>
    </row>
    <row r="319" spans="1:9" x14ac:dyDescent="0.3">
      <c r="A319" s="47">
        <v>44089</v>
      </c>
      <c r="C319" s="44" t="s">
        <v>6448</v>
      </c>
      <c r="D319" s="28">
        <v>24300</v>
      </c>
      <c r="E319" s="28"/>
      <c r="F319" s="46">
        <f t="shared" si="4"/>
        <v>-48066</v>
      </c>
      <c r="G319" s="391" t="s">
        <v>9568</v>
      </c>
      <c r="I319" s="2"/>
    </row>
    <row r="320" spans="1:9" x14ac:dyDescent="0.3">
      <c r="A320" s="47">
        <v>44089</v>
      </c>
      <c r="C320" s="44" t="s">
        <v>6323</v>
      </c>
      <c r="D320" s="28">
        <v>1500</v>
      </c>
      <c r="E320" s="28"/>
      <c r="F320" s="46">
        <f t="shared" si="4"/>
        <v>-49566</v>
      </c>
      <c r="G320" s="391" t="s">
        <v>9568</v>
      </c>
      <c r="I320" s="2"/>
    </row>
    <row r="321" spans="1:9" x14ac:dyDescent="0.3">
      <c r="A321" s="47">
        <v>44089</v>
      </c>
      <c r="C321" s="44" t="s">
        <v>6449</v>
      </c>
      <c r="D321" s="28">
        <v>15000</v>
      </c>
      <c r="E321" s="28"/>
      <c r="F321" s="46">
        <f t="shared" si="4"/>
        <v>-64566</v>
      </c>
      <c r="G321" s="391" t="s">
        <v>9568</v>
      </c>
      <c r="I321" s="2"/>
    </row>
    <row r="322" spans="1:9" x14ac:dyDescent="0.3">
      <c r="A322" s="47">
        <v>44092</v>
      </c>
      <c r="C322" s="44" t="s">
        <v>294</v>
      </c>
      <c r="D322" s="28"/>
      <c r="E322" s="28">
        <v>150000</v>
      </c>
      <c r="F322" s="46">
        <f t="shared" si="4"/>
        <v>85434</v>
      </c>
      <c r="G322" s="391" t="s">
        <v>9568</v>
      </c>
      <c r="I322" s="2"/>
    </row>
    <row r="323" spans="1:9" x14ac:dyDescent="0.3">
      <c r="A323" s="47">
        <v>44092</v>
      </c>
      <c r="C323" s="44" t="s">
        <v>4262</v>
      </c>
      <c r="D323" s="28">
        <v>2000</v>
      </c>
      <c r="E323" s="28"/>
      <c r="F323" s="46">
        <f t="shared" si="4"/>
        <v>83434</v>
      </c>
      <c r="G323" s="391" t="s">
        <v>9568</v>
      </c>
      <c r="I323" s="2"/>
    </row>
    <row r="324" spans="1:9" x14ac:dyDescent="0.3">
      <c r="A324" s="47">
        <v>44092</v>
      </c>
      <c r="C324" s="44" t="s">
        <v>6463</v>
      </c>
      <c r="D324" s="28">
        <v>4000</v>
      </c>
      <c r="E324" s="28"/>
      <c r="F324" s="46">
        <f t="shared" ref="F324:F387" si="5">F323+E324-D324</f>
        <v>79434</v>
      </c>
      <c r="G324" s="391" t="s">
        <v>9568</v>
      </c>
      <c r="I324" s="2"/>
    </row>
    <row r="325" spans="1:9" x14ac:dyDescent="0.3">
      <c r="A325" s="47">
        <v>44092</v>
      </c>
      <c r="C325" s="44" t="s">
        <v>6464</v>
      </c>
      <c r="D325" s="28">
        <v>30000</v>
      </c>
      <c r="E325" s="28"/>
      <c r="F325" s="46">
        <f t="shared" si="5"/>
        <v>49434</v>
      </c>
      <c r="G325" s="391" t="s">
        <v>9568</v>
      </c>
      <c r="I325" s="2"/>
    </row>
    <row r="326" spans="1:9" x14ac:dyDescent="0.3">
      <c r="A326" s="47">
        <v>44093</v>
      </c>
      <c r="C326" s="44" t="s">
        <v>294</v>
      </c>
      <c r="D326" s="28"/>
      <c r="E326" s="28">
        <v>50000</v>
      </c>
      <c r="F326" s="46">
        <f t="shared" si="5"/>
        <v>99434</v>
      </c>
      <c r="G326" s="391" t="s">
        <v>9568</v>
      </c>
      <c r="I326" s="2"/>
    </row>
    <row r="327" spans="1:9" x14ac:dyDescent="0.3">
      <c r="A327" s="47">
        <v>44093</v>
      </c>
      <c r="C327" s="44" t="s">
        <v>6466</v>
      </c>
      <c r="D327" s="28">
        <v>60000</v>
      </c>
      <c r="E327" s="28"/>
      <c r="F327" s="46">
        <f t="shared" si="5"/>
        <v>39434</v>
      </c>
      <c r="G327" s="391" t="s">
        <v>9568</v>
      </c>
      <c r="I327" s="2"/>
    </row>
    <row r="328" spans="1:9" x14ac:dyDescent="0.3">
      <c r="A328" s="47">
        <v>44093</v>
      </c>
      <c r="C328" s="44" t="s">
        <v>6467</v>
      </c>
      <c r="D328" s="28">
        <v>5000</v>
      </c>
      <c r="E328" s="28"/>
      <c r="F328" s="46">
        <f t="shared" si="5"/>
        <v>34434</v>
      </c>
      <c r="G328" s="391" t="s">
        <v>9568</v>
      </c>
      <c r="I328" s="2"/>
    </row>
    <row r="329" spans="1:9" x14ac:dyDescent="0.3">
      <c r="A329" s="47">
        <v>44093</v>
      </c>
      <c r="C329" s="44" t="s">
        <v>294</v>
      </c>
      <c r="D329" s="28"/>
      <c r="E329" s="28">
        <v>15000</v>
      </c>
      <c r="F329" s="46">
        <f t="shared" si="5"/>
        <v>49434</v>
      </c>
      <c r="G329" s="391" t="s">
        <v>9568</v>
      </c>
      <c r="I329" s="2"/>
    </row>
    <row r="330" spans="1:9" x14ac:dyDescent="0.3">
      <c r="A330" s="47">
        <v>44095</v>
      </c>
      <c r="C330" s="44" t="s">
        <v>294</v>
      </c>
      <c r="D330" s="28"/>
      <c r="E330" s="28">
        <v>5000</v>
      </c>
      <c r="F330" s="46">
        <f t="shared" si="5"/>
        <v>54434</v>
      </c>
      <c r="G330" s="391" t="s">
        <v>9568</v>
      </c>
      <c r="I330" s="2"/>
    </row>
    <row r="331" spans="1:9" x14ac:dyDescent="0.3">
      <c r="A331" s="47">
        <v>44096</v>
      </c>
      <c r="C331" s="44" t="s">
        <v>294</v>
      </c>
      <c r="D331" s="28"/>
      <c r="E331" s="28">
        <v>5000</v>
      </c>
      <c r="F331" s="46">
        <f t="shared" si="5"/>
        <v>59434</v>
      </c>
      <c r="G331" s="391" t="s">
        <v>9568</v>
      </c>
      <c r="I331" s="2"/>
    </row>
    <row r="332" spans="1:9" x14ac:dyDescent="0.3">
      <c r="A332" s="47">
        <v>44099</v>
      </c>
      <c r="C332" s="44" t="s">
        <v>6449</v>
      </c>
      <c r="D332" s="28">
        <v>2000</v>
      </c>
      <c r="E332" s="28"/>
      <c r="F332" s="46">
        <f t="shared" si="5"/>
        <v>57434</v>
      </c>
      <c r="G332" s="391" t="s">
        <v>9568</v>
      </c>
      <c r="I332" s="2"/>
    </row>
    <row r="333" spans="1:9" x14ac:dyDescent="0.3">
      <c r="A333" s="47">
        <v>44099</v>
      </c>
      <c r="C333" s="44" t="s">
        <v>6492</v>
      </c>
      <c r="D333" s="28">
        <v>3000</v>
      </c>
      <c r="E333" s="28"/>
      <c r="F333" s="46">
        <f t="shared" si="5"/>
        <v>54434</v>
      </c>
      <c r="G333" s="391" t="s">
        <v>9568</v>
      </c>
      <c r="I333" s="2"/>
    </row>
    <row r="334" spans="1:9" x14ac:dyDescent="0.3">
      <c r="A334" s="47">
        <v>44099</v>
      </c>
      <c r="C334" s="44" t="s">
        <v>5637</v>
      </c>
      <c r="D334" s="28"/>
      <c r="E334" s="28">
        <v>100000</v>
      </c>
      <c r="F334" s="46">
        <f t="shared" si="5"/>
        <v>154434</v>
      </c>
      <c r="G334" s="391" t="s">
        <v>9568</v>
      </c>
      <c r="I334" s="2"/>
    </row>
    <row r="335" spans="1:9" x14ac:dyDescent="0.3">
      <c r="A335" s="47">
        <v>44099</v>
      </c>
      <c r="C335" s="44" t="s">
        <v>6495</v>
      </c>
      <c r="D335" s="28"/>
      <c r="E335" s="28">
        <v>18660</v>
      </c>
      <c r="F335" s="46">
        <f t="shared" si="5"/>
        <v>173094</v>
      </c>
      <c r="G335" s="391" t="s">
        <v>9568</v>
      </c>
      <c r="I335" s="2"/>
    </row>
    <row r="336" spans="1:9" x14ac:dyDescent="0.3">
      <c r="A336" s="47">
        <v>44099</v>
      </c>
      <c r="C336" s="44" t="s">
        <v>438</v>
      </c>
      <c r="D336" s="28"/>
      <c r="E336" s="28">
        <v>25000</v>
      </c>
      <c r="F336" s="46">
        <f t="shared" si="5"/>
        <v>198094</v>
      </c>
      <c r="G336" s="391" t="s">
        <v>9568</v>
      </c>
      <c r="I336" s="2"/>
    </row>
    <row r="337" spans="1:9" x14ac:dyDescent="0.3">
      <c r="A337" s="47">
        <v>44102</v>
      </c>
      <c r="C337" s="44" t="s">
        <v>6508</v>
      </c>
      <c r="D337" s="28">
        <v>15000</v>
      </c>
      <c r="E337" s="28"/>
      <c r="F337" s="46">
        <f t="shared" si="5"/>
        <v>183094</v>
      </c>
      <c r="G337" s="391" t="s">
        <v>9568</v>
      </c>
      <c r="I337" s="2"/>
    </row>
    <row r="338" spans="1:9" x14ac:dyDescent="0.3">
      <c r="A338" s="47">
        <v>44105</v>
      </c>
      <c r="C338" s="44" t="s">
        <v>294</v>
      </c>
      <c r="D338" s="28"/>
      <c r="E338" s="28">
        <v>5000</v>
      </c>
      <c r="F338" s="46">
        <f t="shared" si="5"/>
        <v>188094</v>
      </c>
      <c r="G338" s="391" t="s">
        <v>9568</v>
      </c>
      <c r="I338" s="2"/>
    </row>
    <row r="339" spans="1:9" x14ac:dyDescent="0.3">
      <c r="A339" s="47">
        <v>44106</v>
      </c>
      <c r="C339" s="44" t="s">
        <v>4446</v>
      </c>
      <c r="D339" s="28">
        <v>13720</v>
      </c>
      <c r="E339" s="28"/>
      <c r="F339" s="46">
        <f t="shared" si="5"/>
        <v>174374</v>
      </c>
      <c r="G339" s="391" t="s">
        <v>9568</v>
      </c>
      <c r="I339" s="2"/>
    </row>
    <row r="340" spans="1:9" x14ac:dyDescent="0.3">
      <c r="A340" s="47">
        <v>44106</v>
      </c>
      <c r="C340" s="44" t="s">
        <v>4365</v>
      </c>
      <c r="D340" s="28">
        <v>2350</v>
      </c>
      <c r="E340" s="28"/>
      <c r="F340" s="46">
        <f t="shared" si="5"/>
        <v>172024</v>
      </c>
      <c r="G340" s="391" t="s">
        <v>9568</v>
      </c>
      <c r="I340" s="2"/>
    </row>
    <row r="341" spans="1:9" x14ac:dyDescent="0.3">
      <c r="A341" s="47">
        <v>44106</v>
      </c>
      <c r="C341" s="44" t="s">
        <v>4756</v>
      </c>
      <c r="D341" s="28">
        <v>3550</v>
      </c>
      <c r="E341" s="28"/>
      <c r="F341" s="46">
        <f t="shared" si="5"/>
        <v>168474</v>
      </c>
      <c r="G341" s="391" t="s">
        <v>9568</v>
      </c>
      <c r="I341" s="2"/>
    </row>
    <row r="342" spans="1:9" x14ac:dyDescent="0.3">
      <c r="A342" s="47">
        <v>44106</v>
      </c>
      <c r="C342" s="44" t="s">
        <v>294</v>
      </c>
      <c r="D342" s="28"/>
      <c r="E342" s="28">
        <v>50000</v>
      </c>
      <c r="F342" s="46">
        <f t="shared" si="5"/>
        <v>218474</v>
      </c>
      <c r="G342" s="391" t="s">
        <v>9568</v>
      </c>
      <c r="I342" s="2"/>
    </row>
    <row r="343" spans="1:9" x14ac:dyDescent="0.3">
      <c r="A343" s="47">
        <v>44107</v>
      </c>
      <c r="C343" s="44" t="s">
        <v>5089</v>
      </c>
      <c r="D343" s="28">
        <v>25000</v>
      </c>
      <c r="E343" s="28"/>
      <c r="F343" s="46">
        <f t="shared" si="5"/>
        <v>193474</v>
      </c>
      <c r="G343" s="391" t="s">
        <v>9568</v>
      </c>
      <c r="I343" s="2"/>
    </row>
    <row r="344" spans="1:9" x14ac:dyDescent="0.3">
      <c r="A344" s="47">
        <v>44109</v>
      </c>
      <c r="C344" s="44" t="s">
        <v>6530</v>
      </c>
      <c r="D344" s="28"/>
      <c r="E344" s="28">
        <v>23634</v>
      </c>
      <c r="F344" s="46">
        <f t="shared" si="5"/>
        <v>217108</v>
      </c>
      <c r="G344" s="391" t="s">
        <v>9568</v>
      </c>
      <c r="I344" s="2"/>
    </row>
    <row r="345" spans="1:9" x14ac:dyDescent="0.3">
      <c r="A345" s="47">
        <v>44110</v>
      </c>
      <c r="C345" s="44" t="s">
        <v>294</v>
      </c>
      <c r="D345" s="28"/>
      <c r="E345" s="28">
        <v>50000</v>
      </c>
      <c r="F345" s="46">
        <f t="shared" si="5"/>
        <v>267108</v>
      </c>
      <c r="G345" s="391" t="s">
        <v>9568</v>
      </c>
      <c r="I345" s="2"/>
    </row>
    <row r="346" spans="1:9" x14ac:dyDescent="0.3">
      <c r="A346" s="47">
        <v>44112</v>
      </c>
      <c r="C346" s="44" t="s">
        <v>6550</v>
      </c>
      <c r="D346" s="28">
        <v>50000</v>
      </c>
      <c r="E346" s="28"/>
      <c r="F346" s="46">
        <f t="shared" si="5"/>
        <v>217108</v>
      </c>
      <c r="G346" s="391" t="s">
        <v>9568</v>
      </c>
      <c r="I346" s="2"/>
    </row>
    <row r="347" spans="1:9" x14ac:dyDescent="0.3">
      <c r="A347" s="47">
        <v>44113</v>
      </c>
      <c r="C347" s="44" t="s">
        <v>6553</v>
      </c>
      <c r="D347" s="28">
        <v>1000</v>
      </c>
      <c r="E347" s="28"/>
      <c r="F347" s="46">
        <f t="shared" si="5"/>
        <v>216108</v>
      </c>
      <c r="G347" s="391" t="s">
        <v>9568</v>
      </c>
      <c r="I347" s="2"/>
    </row>
    <row r="348" spans="1:9" x14ac:dyDescent="0.3">
      <c r="A348" s="47">
        <v>44113</v>
      </c>
      <c r="C348" s="44" t="s">
        <v>6554</v>
      </c>
      <c r="D348" s="28"/>
      <c r="E348" s="28">
        <v>5000</v>
      </c>
      <c r="F348" s="46">
        <f t="shared" si="5"/>
        <v>221108</v>
      </c>
      <c r="G348" s="391" t="s">
        <v>9568</v>
      </c>
      <c r="I348" s="2"/>
    </row>
    <row r="349" spans="1:9" x14ac:dyDescent="0.3">
      <c r="A349" s="47">
        <v>44114</v>
      </c>
      <c r="C349" s="44" t="s">
        <v>294</v>
      </c>
      <c r="D349" s="28"/>
      <c r="E349" s="28">
        <v>15000</v>
      </c>
      <c r="F349" s="46">
        <f t="shared" si="5"/>
        <v>236108</v>
      </c>
      <c r="G349" s="391" t="s">
        <v>9568</v>
      </c>
      <c r="I349" s="2"/>
    </row>
    <row r="350" spans="1:9" x14ac:dyDescent="0.3">
      <c r="A350" s="47">
        <v>44116</v>
      </c>
      <c r="C350" s="44" t="s">
        <v>6574</v>
      </c>
      <c r="D350" s="28"/>
      <c r="E350" s="28">
        <v>16500</v>
      </c>
      <c r="F350" s="46">
        <f t="shared" si="5"/>
        <v>252608</v>
      </c>
      <c r="G350" s="391" t="s">
        <v>9568</v>
      </c>
      <c r="I350" s="2"/>
    </row>
    <row r="351" spans="1:9" x14ac:dyDescent="0.3">
      <c r="A351" s="47">
        <v>44116</v>
      </c>
      <c r="C351" s="44" t="s">
        <v>294</v>
      </c>
      <c r="D351" s="28"/>
      <c r="E351" s="28">
        <v>100000</v>
      </c>
      <c r="F351" s="46">
        <f t="shared" si="5"/>
        <v>352608</v>
      </c>
      <c r="G351" s="391" t="s">
        <v>9568</v>
      </c>
      <c r="I351" s="2"/>
    </row>
    <row r="352" spans="1:9" x14ac:dyDescent="0.3">
      <c r="A352" s="47">
        <v>44118</v>
      </c>
      <c r="C352" s="44" t="s">
        <v>4365</v>
      </c>
      <c r="D352" s="28">
        <v>2000</v>
      </c>
      <c r="E352" s="28"/>
      <c r="F352" s="46">
        <f t="shared" si="5"/>
        <v>350608</v>
      </c>
      <c r="G352" s="391" t="s">
        <v>9568</v>
      </c>
      <c r="I352" s="2"/>
    </row>
    <row r="353" spans="1:9" x14ac:dyDescent="0.3">
      <c r="A353" s="47">
        <v>44118</v>
      </c>
      <c r="C353" s="44" t="s">
        <v>4446</v>
      </c>
      <c r="D353" s="28">
        <v>8500</v>
      </c>
      <c r="E353" s="28"/>
      <c r="F353" s="46">
        <f t="shared" si="5"/>
        <v>342108</v>
      </c>
      <c r="G353" s="391" t="s">
        <v>9568</v>
      </c>
      <c r="I353" s="2"/>
    </row>
    <row r="354" spans="1:9" x14ac:dyDescent="0.3">
      <c r="A354" s="47">
        <v>44118</v>
      </c>
      <c r="C354" s="44" t="s">
        <v>5034</v>
      </c>
      <c r="D354" s="28">
        <v>1500</v>
      </c>
      <c r="E354" s="28"/>
      <c r="F354" s="46">
        <f t="shared" si="5"/>
        <v>340608</v>
      </c>
      <c r="G354" s="391" t="s">
        <v>9568</v>
      </c>
      <c r="I354" s="2"/>
    </row>
    <row r="355" spans="1:9" x14ac:dyDescent="0.3">
      <c r="A355" s="47">
        <v>44119</v>
      </c>
      <c r="C355" s="44" t="s">
        <v>6587</v>
      </c>
      <c r="D355" s="28">
        <v>1000</v>
      </c>
      <c r="E355" s="28"/>
      <c r="F355" s="46">
        <f t="shared" si="5"/>
        <v>339608</v>
      </c>
      <c r="G355" s="391" t="s">
        <v>9568</v>
      </c>
      <c r="I355" s="2"/>
    </row>
    <row r="356" spans="1:9" x14ac:dyDescent="0.3">
      <c r="A356" s="47">
        <v>44125</v>
      </c>
      <c r="C356" s="44" t="s">
        <v>6621</v>
      </c>
      <c r="D356" s="28"/>
      <c r="E356" s="28">
        <v>100000</v>
      </c>
      <c r="F356" s="46">
        <f t="shared" si="5"/>
        <v>439608</v>
      </c>
      <c r="G356" s="391" t="s">
        <v>9568</v>
      </c>
      <c r="I356" s="2"/>
    </row>
    <row r="357" spans="1:9" x14ac:dyDescent="0.3">
      <c r="A357" s="47">
        <v>44125</v>
      </c>
      <c r="C357" s="44" t="s">
        <v>6622</v>
      </c>
      <c r="D357" s="28">
        <v>10000</v>
      </c>
      <c r="E357" s="28"/>
      <c r="F357" s="46">
        <f t="shared" si="5"/>
        <v>429608</v>
      </c>
      <c r="G357" s="391" t="s">
        <v>9568</v>
      </c>
      <c r="I357" s="2"/>
    </row>
    <row r="358" spans="1:9" x14ac:dyDescent="0.3">
      <c r="A358" s="47">
        <v>44127</v>
      </c>
      <c r="C358" s="44" t="s">
        <v>6626</v>
      </c>
      <c r="D358" s="28">
        <v>1790</v>
      </c>
      <c r="E358" s="28"/>
      <c r="F358" s="46">
        <f t="shared" si="5"/>
        <v>427818</v>
      </c>
      <c r="G358" s="391" t="s">
        <v>9568</v>
      </c>
      <c r="I358" s="2"/>
    </row>
    <row r="359" spans="1:9" x14ac:dyDescent="0.3">
      <c r="A359" s="47">
        <v>44127</v>
      </c>
      <c r="C359" s="44" t="s">
        <v>6628</v>
      </c>
      <c r="D359" s="28"/>
      <c r="E359" s="28">
        <v>150000</v>
      </c>
      <c r="F359" s="46">
        <f t="shared" si="5"/>
        <v>577818</v>
      </c>
      <c r="G359" s="391" t="s">
        <v>9568</v>
      </c>
      <c r="I359" s="2"/>
    </row>
    <row r="360" spans="1:9" x14ac:dyDescent="0.3">
      <c r="A360" s="47">
        <v>44127</v>
      </c>
      <c r="C360" s="44" t="s">
        <v>4446</v>
      </c>
      <c r="D360" s="28">
        <v>37000</v>
      </c>
      <c r="E360" s="28"/>
      <c r="F360" s="46">
        <f t="shared" si="5"/>
        <v>540818</v>
      </c>
      <c r="G360" s="391" t="s">
        <v>9568</v>
      </c>
      <c r="I360" s="2"/>
    </row>
    <row r="361" spans="1:9" x14ac:dyDescent="0.3">
      <c r="A361" s="47">
        <v>44130</v>
      </c>
      <c r="C361" s="44" t="s">
        <v>6634</v>
      </c>
      <c r="D361" s="28"/>
      <c r="E361" s="28">
        <v>8371</v>
      </c>
      <c r="F361" s="46">
        <f t="shared" si="5"/>
        <v>549189</v>
      </c>
      <c r="G361" s="391" t="s">
        <v>9568</v>
      </c>
      <c r="I361" s="2"/>
    </row>
    <row r="362" spans="1:9" x14ac:dyDescent="0.3">
      <c r="A362" s="47">
        <v>44130</v>
      </c>
      <c r="C362" s="44" t="s">
        <v>6632</v>
      </c>
      <c r="D362" s="28"/>
      <c r="E362" s="28">
        <v>350000</v>
      </c>
      <c r="F362" s="46">
        <f t="shared" si="5"/>
        <v>899189</v>
      </c>
      <c r="G362" s="391" t="s">
        <v>9568</v>
      </c>
      <c r="I362" s="2"/>
    </row>
    <row r="363" spans="1:9" x14ac:dyDescent="0.3">
      <c r="A363" s="47">
        <v>44131</v>
      </c>
      <c r="C363" s="44" t="s">
        <v>5089</v>
      </c>
      <c r="D363" s="28">
        <v>80000</v>
      </c>
      <c r="E363" s="28"/>
      <c r="F363" s="46">
        <f t="shared" si="5"/>
        <v>819189</v>
      </c>
      <c r="G363" s="391" t="s">
        <v>9568</v>
      </c>
      <c r="I363" s="2"/>
    </row>
    <row r="364" spans="1:9" x14ac:dyDescent="0.3">
      <c r="A364" s="47">
        <v>44133</v>
      </c>
      <c r="C364" s="44" t="s">
        <v>6115</v>
      </c>
      <c r="D364" s="28"/>
      <c r="E364" s="28">
        <v>10000</v>
      </c>
      <c r="F364" s="46">
        <f t="shared" si="5"/>
        <v>829189</v>
      </c>
      <c r="G364" s="391" t="s">
        <v>9568</v>
      </c>
      <c r="I364" s="2"/>
    </row>
    <row r="365" spans="1:9" x14ac:dyDescent="0.3">
      <c r="A365" s="47">
        <v>44133</v>
      </c>
      <c r="C365" s="44" t="s">
        <v>6654</v>
      </c>
      <c r="D365" s="28">
        <v>15000</v>
      </c>
      <c r="E365" s="28"/>
      <c r="F365" s="46">
        <f t="shared" si="5"/>
        <v>814189</v>
      </c>
      <c r="G365" s="391" t="s">
        <v>9568</v>
      </c>
      <c r="I365" s="2"/>
    </row>
    <row r="366" spans="1:9" x14ac:dyDescent="0.3">
      <c r="A366" s="47">
        <v>44133</v>
      </c>
      <c r="C366" s="44" t="s">
        <v>4550</v>
      </c>
      <c r="D366" s="28">
        <v>30000</v>
      </c>
      <c r="E366" s="28"/>
      <c r="F366" s="46">
        <f t="shared" si="5"/>
        <v>784189</v>
      </c>
      <c r="G366" s="391" t="s">
        <v>9568</v>
      </c>
      <c r="I366" s="2"/>
    </row>
    <row r="367" spans="1:9" x14ac:dyDescent="0.3">
      <c r="A367" s="47">
        <v>44133</v>
      </c>
      <c r="C367" s="44" t="s">
        <v>4262</v>
      </c>
      <c r="D367" s="28">
        <v>40000</v>
      </c>
      <c r="E367" s="28"/>
      <c r="F367" s="46">
        <f t="shared" si="5"/>
        <v>744189</v>
      </c>
      <c r="G367" s="391" t="s">
        <v>9568</v>
      </c>
      <c r="I367" s="2"/>
    </row>
    <row r="368" spans="1:9" x14ac:dyDescent="0.3">
      <c r="A368" s="47">
        <v>44133</v>
      </c>
      <c r="C368" s="44" t="s">
        <v>6655</v>
      </c>
      <c r="D368" s="28">
        <v>5000</v>
      </c>
      <c r="E368" s="28"/>
      <c r="F368" s="46">
        <f t="shared" si="5"/>
        <v>739189</v>
      </c>
      <c r="G368" s="391" t="s">
        <v>9568</v>
      </c>
      <c r="I368" s="2"/>
    </row>
    <row r="369" spans="1:9" x14ac:dyDescent="0.3">
      <c r="A369" s="47">
        <v>44133</v>
      </c>
      <c r="C369" s="44" t="s">
        <v>6656</v>
      </c>
      <c r="D369" s="28">
        <v>197612</v>
      </c>
      <c r="E369" s="28"/>
      <c r="F369" s="46">
        <f t="shared" si="5"/>
        <v>541577</v>
      </c>
      <c r="G369" s="391" t="s">
        <v>9568</v>
      </c>
      <c r="I369" s="2"/>
    </row>
    <row r="370" spans="1:9" x14ac:dyDescent="0.3">
      <c r="A370" s="47">
        <v>44137</v>
      </c>
      <c r="C370" s="44" t="s">
        <v>294</v>
      </c>
      <c r="D370" s="28"/>
      <c r="E370" s="28">
        <v>5000</v>
      </c>
      <c r="F370" s="46">
        <f t="shared" si="5"/>
        <v>546577</v>
      </c>
      <c r="G370" s="391" t="s">
        <v>9568</v>
      </c>
      <c r="I370" s="2"/>
    </row>
    <row r="371" spans="1:9" x14ac:dyDescent="0.3">
      <c r="A371" s="47">
        <v>44139</v>
      </c>
      <c r="C371" s="44" t="s">
        <v>6112</v>
      </c>
      <c r="D371" s="28"/>
      <c r="E371" s="28">
        <v>9348</v>
      </c>
      <c r="F371" s="46">
        <f t="shared" si="5"/>
        <v>555925</v>
      </c>
      <c r="G371" s="391" t="s">
        <v>9568</v>
      </c>
      <c r="I371" s="2"/>
    </row>
    <row r="372" spans="1:9" x14ac:dyDescent="0.3">
      <c r="A372" s="47">
        <v>44140</v>
      </c>
      <c r="C372" s="44" t="s">
        <v>4364</v>
      </c>
      <c r="D372" s="28"/>
      <c r="E372" s="28">
        <v>15000</v>
      </c>
      <c r="F372" s="46">
        <f t="shared" si="5"/>
        <v>570925</v>
      </c>
      <c r="G372" s="391" t="s">
        <v>9568</v>
      </c>
      <c r="I372" s="2"/>
    </row>
    <row r="373" spans="1:9" x14ac:dyDescent="0.3">
      <c r="A373" s="47">
        <v>44141</v>
      </c>
      <c r="C373" s="44" t="s">
        <v>6670</v>
      </c>
      <c r="D373" s="28">
        <v>10000</v>
      </c>
      <c r="E373" s="28"/>
      <c r="F373" s="46">
        <f t="shared" si="5"/>
        <v>560925</v>
      </c>
      <c r="G373" s="391" t="s">
        <v>9568</v>
      </c>
      <c r="I373" s="2"/>
    </row>
    <row r="374" spans="1:9" x14ac:dyDescent="0.3">
      <c r="A374" s="47">
        <v>44152</v>
      </c>
      <c r="C374" s="44" t="s">
        <v>6681</v>
      </c>
      <c r="D374" s="28">
        <v>5000</v>
      </c>
      <c r="E374" s="28"/>
      <c r="F374" s="46">
        <f t="shared" si="5"/>
        <v>555925</v>
      </c>
      <c r="G374" s="391" t="s">
        <v>9568</v>
      </c>
      <c r="I374" s="2"/>
    </row>
    <row r="375" spans="1:9" x14ac:dyDescent="0.3">
      <c r="A375" s="47">
        <v>44152</v>
      </c>
      <c r="C375" s="44" t="s">
        <v>6681</v>
      </c>
      <c r="D375" s="28">
        <v>7000</v>
      </c>
      <c r="E375" s="28"/>
      <c r="F375" s="46">
        <f t="shared" si="5"/>
        <v>548925</v>
      </c>
      <c r="G375" s="391" t="s">
        <v>9568</v>
      </c>
      <c r="I375" s="2"/>
    </row>
    <row r="376" spans="1:9" x14ac:dyDescent="0.3">
      <c r="A376" s="47">
        <v>44152</v>
      </c>
      <c r="C376" s="44" t="s">
        <v>6682</v>
      </c>
      <c r="D376" s="28"/>
      <c r="E376" s="28">
        <v>100000</v>
      </c>
      <c r="F376" s="46">
        <f t="shared" si="5"/>
        <v>648925</v>
      </c>
      <c r="G376" s="391" t="s">
        <v>9568</v>
      </c>
      <c r="I376" s="2"/>
    </row>
    <row r="377" spans="1:9" x14ac:dyDescent="0.3">
      <c r="A377" s="47">
        <v>44152</v>
      </c>
      <c r="C377" s="44" t="s">
        <v>6689</v>
      </c>
      <c r="D377" s="28">
        <v>3000</v>
      </c>
      <c r="E377" s="28"/>
      <c r="F377" s="46">
        <f t="shared" si="5"/>
        <v>645925</v>
      </c>
      <c r="G377" s="391" t="s">
        <v>9568</v>
      </c>
      <c r="I377" s="2"/>
    </row>
    <row r="378" spans="1:9" x14ac:dyDescent="0.3">
      <c r="A378" s="47">
        <v>44153</v>
      </c>
      <c r="C378" s="44" t="s">
        <v>6690</v>
      </c>
      <c r="D378" s="28">
        <v>15000</v>
      </c>
      <c r="E378" s="28"/>
      <c r="F378" s="46">
        <f t="shared" si="5"/>
        <v>630925</v>
      </c>
      <c r="G378" s="391" t="s">
        <v>9568</v>
      </c>
      <c r="I378" s="2"/>
    </row>
    <row r="379" spans="1:9" x14ac:dyDescent="0.3">
      <c r="A379" s="47">
        <v>44153</v>
      </c>
      <c r="C379" s="44" t="s">
        <v>3910</v>
      </c>
      <c r="D379" s="28"/>
      <c r="E379" s="28">
        <v>15000</v>
      </c>
      <c r="F379" s="46">
        <f t="shared" si="5"/>
        <v>645925</v>
      </c>
      <c r="G379" s="391" t="s">
        <v>9568</v>
      </c>
      <c r="I379" s="2"/>
    </row>
    <row r="380" spans="1:9" x14ac:dyDescent="0.3">
      <c r="A380" s="47">
        <v>44153</v>
      </c>
      <c r="C380" s="44" t="s">
        <v>6700</v>
      </c>
      <c r="D380" s="28">
        <v>9815</v>
      </c>
      <c r="E380" s="28"/>
      <c r="F380" s="46">
        <f t="shared" si="5"/>
        <v>636110</v>
      </c>
      <c r="G380" s="391" t="s">
        <v>9568</v>
      </c>
      <c r="I380" s="2"/>
    </row>
    <row r="381" spans="1:9" x14ac:dyDescent="0.3">
      <c r="A381" s="47">
        <v>44154</v>
      </c>
      <c r="C381" s="44" t="s">
        <v>6699</v>
      </c>
      <c r="D381" s="28">
        <v>7000</v>
      </c>
      <c r="E381" s="28"/>
      <c r="F381" s="46">
        <f t="shared" si="5"/>
        <v>629110</v>
      </c>
      <c r="G381" s="391" t="s">
        <v>9568</v>
      </c>
      <c r="I381" s="2"/>
    </row>
    <row r="382" spans="1:9" x14ac:dyDescent="0.3">
      <c r="A382" s="47">
        <v>44159</v>
      </c>
      <c r="C382" s="44" t="s">
        <v>294</v>
      </c>
      <c r="D382" s="28"/>
      <c r="E382" s="28">
        <v>5000</v>
      </c>
      <c r="F382" s="46">
        <f t="shared" si="5"/>
        <v>634110</v>
      </c>
      <c r="G382" s="391" t="s">
        <v>9568</v>
      </c>
      <c r="I382" s="2"/>
    </row>
    <row r="383" spans="1:9" x14ac:dyDescent="0.3">
      <c r="A383" s="47">
        <v>44160</v>
      </c>
      <c r="C383" s="44" t="s">
        <v>6553</v>
      </c>
      <c r="D383" s="28">
        <v>5000</v>
      </c>
      <c r="E383" s="28"/>
      <c r="F383" s="46">
        <f t="shared" si="5"/>
        <v>629110</v>
      </c>
      <c r="G383" s="391" t="s">
        <v>9568</v>
      </c>
      <c r="I383" s="2"/>
    </row>
    <row r="384" spans="1:9" x14ac:dyDescent="0.3">
      <c r="A384" s="47">
        <v>44160</v>
      </c>
      <c r="C384" s="44" t="s">
        <v>6713</v>
      </c>
      <c r="D384" s="28">
        <v>5500</v>
      </c>
      <c r="E384" s="28"/>
      <c r="F384" s="46">
        <f t="shared" si="5"/>
        <v>623610</v>
      </c>
      <c r="G384" s="391" t="s">
        <v>9568</v>
      </c>
      <c r="I384" s="2"/>
    </row>
    <row r="385" spans="1:9" x14ac:dyDescent="0.3">
      <c r="A385" s="47">
        <v>44160</v>
      </c>
      <c r="C385" s="44" t="s">
        <v>6714</v>
      </c>
      <c r="D385" s="28">
        <v>15000</v>
      </c>
      <c r="E385" s="28"/>
      <c r="F385" s="46">
        <f t="shared" si="5"/>
        <v>608610</v>
      </c>
      <c r="G385" s="391" t="s">
        <v>9568</v>
      </c>
      <c r="I385" s="2"/>
    </row>
    <row r="386" spans="1:9" x14ac:dyDescent="0.3">
      <c r="A386" s="47">
        <v>44160</v>
      </c>
      <c r="C386" s="44" t="s">
        <v>6716</v>
      </c>
      <c r="D386" s="28"/>
      <c r="E386" s="28">
        <v>6491</v>
      </c>
      <c r="F386" s="46">
        <f t="shared" si="5"/>
        <v>615101</v>
      </c>
      <c r="G386" s="391" t="s">
        <v>9568</v>
      </c>
      <c r="I386" s="2"/>
    </row>
    <row r="387" spans="1:9" x14ac:dyDescent="0.3">
      <c r="A387" s="47">
        <v>44163</v>
      </c>
      <c r="C387" s="44" t="s">
        <v>6727</v>
      </c>
      <c r="D387" s="28"/>
      <c r="E387" s="28">
        <v>20000</v>
      </c>
      <c r="F387" s="46">
        <f t="shared" si="5"/>
        <v>635101</v>
      </c>
      <c r="G387" s="391" t="s">
        <v>9568</v>
      </c>
      <c r="I387" s="2"/>
    </row>
    <row r="388" spans="1:9" x14ac:dyDescent="0.3">
      <c r="A388" s="47">
        <v>44169</v>
      </c>
      <c r="C388" s="44" t="s">
        <v>6748</v>
      </c>
      <c r="D388" s="28">
        <v>5000</v>
      </c>
      <c r="E388" s="28"/>
      <c r="F388" s="46">
        <f t="shared" ref="F388:F451" si="6">F387+E388-D388</f>
        <v>630101</v>
      </c>
      <c r="G388" s="391" t="s">
        <v>9568</v>
      </c>
      <c r="I388" s="2"/>
    </row>
    <row r="389" spans="1:9" x14ac:dyDescent="0.3">
      <c r="A389" s="47">
        <v>44169</v>
      </c>
      <c r="C389" s="44" t="s">
        <v>6752</v>
      </c>
      <c r="D389" s="28">
        <v>5000</v>
      </c>
      <c r="E389" s="28"/>
      <c r="F389" s="46">
        <f t="shared" si="6"/>
        <v>625101</v>
      </c>
      <c r="G389" s="391" t="s">
        <v>9568</v>
      </c>
      <c r="I389" s="2"/>
    </row>
    <row r="390" spans="1:9" x14ac:dyDescent="0.3">
      <c r="A390" s="47">
        <v>44170</v>
      </c>
      <c r="C390" s="44" t="s">
        <v>6754</v>
      </c>
      <c r="D390" s="28">
        <v>1000</v>
      </c>
      <c r="E390" s="28"/>
      <c r="F390" s="46">
        <f t="shared" si="6"/>
        <v>624101</v>
      </c>
      <c r="G390" s="391" t="s">
        <v>9568</v>
      </c>
      <c r="I390" s="2"/>
    </row>
    <row r="391" spans="1:9" x14ac:dyDescent="0.3">
      <c r="A391" s="47">
        <v>44174</v>
      </c>
      <c r="C391" s="44" t="s">
        <v>6014</v>
      </c>
      <c r="D391" s="28">
        <v>13640</v>
      </c>
      <c r="E391" s="28"/>
      <c r="F391" s="46">
        <f t="shared" si="6"/>
        <v>610461</v>
      </c>
      <c r="G391" s="391" t="s">
        <v>9568</v>
      </c>
      <c r="I391" s="2"/>
    </row>
    <row r="392" spans="1:9" x14ac:dyDescent="0.3">
      <c r="A392" s="47">
        <v>44174</v>
      </c>
      <c r="C392" s="44" t="s">
        <v>4363</v>
      </c>
      <c r="D392" s="28">
        <v>2000</v>
      </c>
      <c r="E392" s="28"/>
      <c r="F392" s="46">
        <f t="shared" si="6"/>
        <v>608461</v>
      </c>
      <c r="G392" s="391" t="s">
        <v>9568</v>
      </c>
      <c r="I392" s="2"/>
    </row>
    <row r="393" spans="1:9" x14ac:dyDescent="0.3">
      <c r="A393" s="47">
        <v>44174</v>
      </c>
      <c r="C393" s="44" t="s">
        <v>4883</v>
      </c>
      <c r="D393" s="28">
        <v>3000</v>
      </c>
      <c r="E393" s="28"/>
      <c r="F393" s="46">
        <f t="shared" si="6"/>
        <v>605461</v>
      </c>
      <c r="G393" s="391" t="s">
        <v>9568</v>
      </c>
      <c r="I393" s="2"/>
    </row>
    <row r="394" spans="1:9" x14ac:dyDescent="0.3">
      <c r="A394" s="47">
        <v>44174</v>
      </c>
      <c r="C394" s="44" t="s">
        <v>5036</v>
      </c>
      <c r="D394" s="28">
        <v>2000</v>
      </c>
      <c r="E394" s="28"/>
      <c r="F394" s="46">
        <f t="shared" si="6"/>
        <v>603461</v>
      </c>
      <c r="G394" s="391" t="s">
        <v>9568</v>
      </c>
      <c r="I394" s="2"/>
    </row>
    <row r="395" spans="1:9" x14ac:dyDescent="0.3">
      <c r="A395" s="47">
        <v>44175</v>
      </c>
      <c r="C395" s="44" t="s">
        <v>294</v>
      </c>
      <c r="D395" s="28"/>
      <c r="E395" s="28">
        <v>3000</v>
      </c>
      <c r="F395" s="46">
        <f t="shared" si="6"/>
        <v>606461</v>
      </c>
      <c r="G395" s="391" t="s">
        <v>9568</v>
      </c>
      <c r="I395" s="2"/>
    </row>
    <row r="396" spans="1:9" x14ac:dyDescent="0.3">
      <c r="A396" s="47">
        <v>44177</v>
      </c>
      <c r="C396" s="44" t="s">
        <v>6777</v>
      </c>
      <c r="D396" s="28">
        <v>5000</v>
      </c>
      <c r="E396" s="28"/>
      <c r="F396" s="46">
        <f t="shared" si="6"/>
        <v>601461</v>
      </c>
      <c r="G396" s="391" t="s">
        <v>9568</v>
      </c>
      <c r="I396" s="2"/>
    </row>
    <row r="397" spans="1:9" x14ac:dyDescent="0.3">
      <c r="A397" s="47">
        <v>44180</v>
      </c>
      <c r="C397" s="44" t="s">
        <v>294</v>
      </c>
      <c r="D397" s="28"/>
      <c r="E397" s="28">
        <v>1000</v>
      </c>
      <c r="F397" s="46">
        <f t="shared" si="6"/>
        <v>602461</v>
      </c>
      <c r="G397" s="391" t="s">
        <v>9568</v>
      </c>
      <c r="I397" s="2"/>
    </row>
    <row r="398" spans="1:9" x14ac:dyDescent="0.3">
      <c r="A398" s="47">
        <v>44183</v>
      </c>
      <c r="C398" s="44" t="s">
        <v>294</v>
      </c>
      <c r="D398" s="28"/>
      <c r="E398" s="28">
        <v>1000</v>
      </c>
      <c r="F398" s="46">
        <f t="shared" si="6"/>
        <v>603461</v>
      </c>
      <c r="G398" s="391" t="s">
        <v>9568</v>
      </c>
      <c r="I398" s="2"/>
    </row>
    <row r="399" spans="1:9" x14ac:dyDescent="0.3">
      <c r="A399" s="47">
        <v>44183</v>
      </c>
      <c r="C399" s="44" t="s">
        <v>294</v>
      </c>
      <c r="D399" s="28"/>
      <c r="E399" s="28">
        <v>10000</v>
      </c>
      <c r="F399" s="46">
        <f t="shared" si="6"/>
        <v>613461</v>
      </c>
      <c r="G399" s="391" t="s">
        <v>9568</v>
      </c>
      <c r="I399" s="2"/>
    </row>
    <row r="400" spans="1:9" x14ac:dyDescent="0.3">
      <c r="A400" s="47">
        <v>44188</v>
      </c>
      <c r="C400" s="44" t="s">
        <v>6803</v>
      </c>
      <c r="D400" s="28"/>
      <c r="E400" s="28">
        <v>100000</v>
      </c>
      <c r="F400" s="46">
        <f t="shared" si="6"/>
        <v>713461</v>
      </c>
      <c r="G400" s="391" t="s">
        <v>9568</v>
      </c>
      <c r="I400" s="2"/>
    </row>
    <row r="401" spans="1:9" x14ac:dyDescent="0.3">
      <c r="A401" s="47">
        <v>44188</v>
      </c>
      <c r="C401" s="44" t="s">
        <v>294</v>
      </c>
      <c r="D401" s="28"/>
      <c r="E401" s="28">
        <v>1000</v>
      </c>
      <c r="F401" s="46">
        <f t="shared" si="6"/>
        <v>714461</v>
      </c>
      <c r="G401" s="391" t="s">
        <v>9568</v>
      </c>
      <c r="I401" s="2"/>
    </row>
    <row r="402" spans="1:9" x14ac:dyDescent="0.3">
      <c r="A402" s="47">
        <v>44189</v>
      </c>
      <c r="C402" s="44" t="s">
        <v>6809</v>
      </c>
      <c r="D402" s="28">
        <v>40000</v>
      </c>
      <c r="E402" s="28"/>
      <c r="F402" s="46">
        <f t="shared" si="6"/>
        <v>674461</v>
      </c>
      <c r="G402" s="391" t="s">
        <v>9568</v>
      </c>
      <c r="I402" s="2"/>
    </row>
    <row r="403" spans="1:9" x14ac:dyDescent="0.3">
      <c r="A403" s="47">
        <v>44191</v>
      </c>
      <c r="C403" s="44" t="s">
        <v>6820</v>
      </c>
      <c r="D403" s="28">
        <v>8000</v>
      </c>
      <c r="E403" s="28"/>
      <c r="F403" s="46">
        <f t="shared" si="6"/>
        <v>666461</v>
      </c>
      <c r="G403" s="391" t="s">
        <v>9568</v>
      </c>
      <c r="I403" s="2"/>
    </row>
    <row r="404" spans="1:9" x14ac:dyDescent="0.3">
      <c r="A404" s="47">
        <v>44191</v>
      </c>
      <c r="C404" s="44" t="s">
        <v>6807</v>
      </c>
      <c r="D404" s="28">
        <v>20000</v>
      </c>
      <c r="E404" s="28"/>
      <c r="F404" s="46">
        <f t="shared" si="6"/>
        <v>646461</v>
      </c>
      <c r="G404" s="391" t="s">
        <v>9568</v>
      </c>
      <c r="I404" s="2"/>
    </row>
    <row r="405" spans="1:9" x14ac:dyDescent="0.3">
      <c r="A405" s="47">
        <v>44193</v>
      </c>
      <c r="C405" s="44" t="s">
        <v>6810</v>
      </c>
      <c r="D405" s="28">
        <v>3000</v>
      </c>
      <c r="E405" s="28"/>
      <c r="F405" s="46">
        <f t="shared" si="6"/>
        <v>643461</v>
      </c>
      <c r="G405" s="391" t="s">
        <v>9568</v>
      </c>
      <c r="I405" s="2"/>
    </row>
    <row r="406" spans="1:9" x14ac:dyDescent="0.3">
      <c r="A406" s="47">
        <v>44193</v>
      </c>
      <c r="C406" s="44" t="s">
        <v>6716</v>
      </c>
      <c r="D406" s="28"/>
      <c r="E406" s="28">
        <v>1358</v>
      </c>
      <c r="F406" s="46">
        <f t="shared" si="6"/>
        <v>644819</v>
      </c>
      <c r="G406" s="391" t="s">
        <v>9568</v>
      </c>
      <c r="I406" s="2"/>
    </row>
    <row r="407" spans="1:9" x14ac:dyDescent="0.3">
      <c r="A407" s="47">
        <v>44194</v>
      </c>
      <c r="C407" s="44" t="s">
        <v>5089</v>
      </c>
      <c r="D407" s="28">
        <v>5000</v>
      </c>
      <c r="E407" s="28"/>
      <c r="F407" s="46">
        <f t="shared" si="6"/>
        <v>639819</v>
      </c>
      <c r="G407" s="391" t="s">
        <v>9568</v>
      </c>
      <c r="I407" s="2"/>
    </row>
    <row r="408" spans="1:9" x14ac:dyDescent="0.3">
      <c r="A408" s="47">
        <v>44194</v>
      </c>
      <c r="C408" s="44" t="s">
        <v>6806</v>
      </c>
      <c r="D408" s="28">
        <v>7000</v>
      </c>
      <c r="E408" s="28"/>
      <c r="F408" s="46">
        <f t="shared" si="6"/>
        <v>632819</v>
      </c>
      <c r="G408" s="391" t="s">
        <v>9568</v>
      </c>
      <c r="I408" s="2"/>
    </row>
    <row r="409" spans="1:9" x14ac:dyDescent="0.3">
      <c r="A409" s="47">
        <v>44200</v>
      </c>
      <c r="C409" s="44" t="s">
        <v>6826</v>
      </c>
      <c r="D409" s="28">
        <v>10000</v>
      </c>
      <c r="E409" s="28"/>
      <c r="F409" s="46">
        <f t="shared" si="6"/>
        <v>622819</v>
      </c>
      <c r="G409" s="391" t="s">
        <v>9568</v>
      </c>
      <c r="I409" s="2"/>
    </row>
    <row r="410" spans="1:9" x14ac:dyDescent="0.3">
      <c r="A410" s="47">
        <v>44200</v>
      </c>
      <c r="C410" s="44" t="s">
        <v>6827</v>
      </c>
      <c r="D410" s="28">
        <v>20000</v>
      </c>
      <c r="E410" s="28"/>
      <c r="F410" s="46">
        <f t="shared" si="6"/>
        <v>602819</v>
      </c>
      <c r="G410" s="391" t="s">
        <v>9568</v>
      </c>
      <c r="I410" s="2"/>
    </row>
    <row r="411" spans="1:9" x14ac:dyDescent="0.3">
      <c r="A411" s="47">
        <v>44201</v>
      </c>
      <c r="C411" s="44" t="s">
        <v>294</v>
      </c>
      <c r="D411" s="28"/>
      <c r="E411" s="28">
        <v>50000</v>
      </c>
      <c r="F411" s="46">
        <f t="shared" si="6"/>
        <v>652819</v>
      </c>
      <c r="G411" s="391" t="s">
        <v>9568</v>
      </c>
      <c r="I411" s="2"/>
    </row>
    <row r="412" spans="1:9" x14ac:dyDescent="0.3">
      <c r="A412" s="47">
        <v>44202</v>
      </c>
      <c r="C412" s="44" t="s">
        <v>294</v>
      </c>
      <c r="D412" s="28"/>
      <c r="E412" s="28">
        <v>50000</v>
      </c>
      <c r="F412" s="46">
        <f t="shared" si="6"/>
        <v>702819</v>
      </c>
      <c r="G412" s="391" t="s">
        <v>9568</v>
      </c>
      <c r="I412" s="2"/>
    </row>
    <row r="413" spans="1:9" x14ac:dyDescent="0.3">
      <c r="A413" s="47">
        <v>44202</v>
      </c>
      <c r="C413" s="44" t="s">
        <v>6806</v>
      </c>
      <c r="D413" s="28">
        <v>5000</v>
      </c>
      <c r="E413" s="28"/>
      <c r="F413" s="46">
        <f t="shared" si="6"/>
        <v>697819</v>
      </c>
      <c r="G413" s="391" t="s">
        <v>9568</v>
      </c>
      <c r="I413" s="2"/>
    </row>
    <row r="414" spans="1:9" x14ac:dyDescent="0.3">
      <c r="A414" s="47">
        <v>44204</v>
      </c>
      <c r="C414" s="44" t="s">
        <v>6847</v>
      </c>
      <c r="D414" s="28">
        <v>10000</v>
      </c>
      <c r="E414" s="28"/>
      <c r="F414" s="46">
        <f t="shared" si="6"/>
        <v>687819</v>
      </c>
      <c r="G414" s="391" t="s">
        <v>9568</v>
      </c>
      <c r="I414" s="2"/>
    </row>
    <row r="415" spans="1:9" x14ac:dyDescent="0.3">
      <c r="A415" s="47">
        <v>44204</v>
      </c>
      <c r="C415" s="44" t="s">
        <v>6848</v>
      </c>
      <c r="D415" s="28">
        <v>45000</v>
      </c>
      <c r="E415" s="28"/>
      <c r="F415" s="46">
        <f t="shared" si="6"/>
        <v>642819</v>
      </c>
      <c r="G415" s="391" t="s">
        <v>9568</v>
      </c>
      <c r="I415" s="2"/>
    </row>
    <row r="416" spans="1:9" x14ac:dyDescent="0.3">
      <c r="A416" s="47">
        <v>44204</v>
      </c>
      <c r="C416" s="44" t="s">
        <v>6849</v>
      </c>
      <c r="D416" s="28">
        <v>5000</v>
      </c>
      <c r="E416" s="28"/>
      <c r="F416" s="46">
        <f t="shared" si="6"/>
        <v>637819</v>
      </c>
      <c r="G416" s="391" t="s">
        <v>9568</v>
      </c>
      <c r="I416" s="2"/>
    </row>
    <row r="417" spans="1:9" x14ac:dyDescent="0.3">
      <c r="A417" s="47">
        <v>44205</v>
      </c>
      <c r="C417" s="44" t="s">
        <v>294</v>
      </c>
      <c r="D417" s="28"/>
      <c r="E417" s="28">
        <v>15000</v>
      </c>
      <c r="F417" s="46">
        <f t="shared" si="6"/>
        <v>652819</v>
      </c>
      <c r="G417" s="391" t="s">
        <v>9568</v>
      </c>
      <c r="I417" s="2"/>
    </row>
    <row r="418" spans="1:9" x14ac:dyDescent="0.3">
      <c r="A418" s="47">
        <v>44211</v>
      </c>
      <c r="C418" s="44" t="s">
        <v>294</v>
      </c>
      <c r="D418" s="28"/>
      <c r="E418" s="28">
        <v>50000</v>
      </c>
      <c r="F418" s="46">
        <f t="shared" si="6"/>
        <v>702819</v>
      </c>
      <c r="G418" s="391" t="s">
        <v>9568</v>
      </c>
      <c r="I418" s="2"/>
    </row>
    <row r="419" spans="1:9" x14ac:dyDescent="0.3">
      <c r="A419" s="47">
        <v>44211</v>
      </c>
      <c r="C419" s="44" t="s">
        <v>6873</v>
      </c>
      <c r="D419" s="28">
        <v>5000</v>
      </c>
      <c r="E419" s="28"/>
      <c r="F419" s="46">
        <f t="shared" si="6"/>
        <v>697819</v>
      </c>
      <c r="G419" s="391" t="s">
        <v>9568</v>
      </c>
      <c r="I419" s="2"/>
    </row>
    <row r="420" spans="1:9" x14ac:dyDescent="0.3">
      <c r="A420" s="47">
        <v>44212</v>
      </c>
      <c r="C420" s="44" t="s">
        <v>294</v>
      </c>
      <c r="D420" s="28"/>
      <c r="E420" s="28">
        <v>15000</v>
      </c>
      <c r="F420" s="46">
        <f t="shared" si="6"/>
        <v>712819</v>
      </c>
      <c r="G420" s="391" t="s">
        <v>9568</v>
      </c>
      <c r="I420" s="2"/>
    </row>
    <row r="421" spans="1:9" x14ac:dyDescent="0.3">
      <c r="A421" s="47">
        <v>44214</v>
      </c>
      <c r="C421" s="44" t="s">
        <v>6881</v>
      </c>
      <c r="D421" s="28">
        <v>13750</v>
      </c>
      <c r="E421" s="28"/>
      <c r="F421" s="46">
        <f t="shared" si="6"/>
        <v>699069</v>
      </c>
      <c r="G421" s="391" t="s">
        <v>9568</v>
      </c>
      <c r="I421" s="2"/>
    </row>
    <row r="422" spans="1:9" x14ac:dyDescent="0.3">
      <c r="A422" s="47">
        <v>44214</v>
      </c>
      <c r="C422" s="44" t="s">
        <v>4446</v>
      </c>
      <c r="D422" s="28">
        <v>8770</v>
      </c>
      <c r="E422" s="28"/>
      <c r="F422" s="46">
        <f t="shared" si="6"/>
        <v>690299</v>
      </c>
      <c r="G422" s="391" t="s">
        <v>9568</v>
      </c>
      <c r="I422" s="2"/>
    </row>
    <row r="423" spans="1:9" x14ac:dyDescent="0.3">
      <c r="A423" s="47">
        <v>44214</v>
      </c>
      <c r="C423" s="44" t="s">
        <v>5972</v>
      </c>
      <c r="D423" s="28">
        <v>2500</v>
      </c>
      <c r="E423" s="28"/>
      <c r="F423" s="46">
        <f t="shared" si="6"/>
        <v>687799</v>
      </c>
      <c r="G423" s="391" t="s">
        <v>9568</v>
      </c>
      <c r="I423" s="2"/>
    </row>
    <row r="424" spans="1:9" x14ac:dyDescent="0.3">
      <c r="A424" s="47">
        <v>44214</v>
      </c>
      <c r="C424" s="44" t="s">
        <v>4365</v>
      </c>
      <c r="D424" s="28">
        <v>13200</v>
      </c>
      <c r="E424" s="28"/>
      <c r="F424" s="46">
        <f t="shared" si="6"/>
        <v>674599</v>
      </c>
      <c r="G424" s="391" t="s">
        <v>9568</v>
      </c>
      <c r="I424" s="2"/>
    </row>
    <row r="425" spans="1:9" x14ac:dyDescent="0.3">
      <c r="A425" s="47">
        <v>44216</v>
      </c>
      <c r="C425" s="44" t="s">
        <v>6891</v>
      </c>
      <c r="D425" s="28">
        <v>1000</v>
      </c>
      <c r="E425" s="28"/>
      <c r="F425" s="46">
        <f t="shared" si="6"/>
        <v>673599</v>
      </c>
      <c r="G425" s="391" t="s">
        <v>9568</v>
      </c>
      <c r="I425" s="2"/>
    </row>
    <row r="426" spans="1:9" x14ac:dyDescent="0.3">
      <c r="A426" s="47">
        <v>44218</v>
      </c>
      <c r="C426" s="44" t="s">
        <v>77</v>
      </c>
      <c r="D426" s="28"/>
      <c r="E426" s="28">
        <v>20000</v>
      </c>
      <c r="F426" s="46">
        <f t="shared" si="6"/>
        <v>693599</v>
      </c>
      <c r="G426" s="391" t="s">
        <v>9568</v>
      </c>
      <c r="I426" s="2"/>
    </row>
    <row r="427" spans="1:9" x14ac:dyDescent="0.3">
      <c r="A427" s="47">
        <v>44219</v>
      </c>
      <c r="C427" s="44" t="s">
        <v>6922</v>
      </c>
      <c r="D427" s="28">
        <v>50000</v>
      </c>
      <c r="E427" s="28"/>
      <c r="F427" s="46">
        <f t="shared" si="6"/>
        <v>643599</v>
      </c>
      <c r="G427" s="391" t="s">
        <v>9568</v>
      </c>
      <c r="I427" s="2"/>
    </row>
    <row r="428" spans="1:9" x14ac:dyDescent="0.3">
      <c r="A428" s="47">
        <v>44219</v>
      </c>
      <c r="C428" s="44" t="s">
        <v>6898</v>
      </c>
      <c r="D428" s="28">
        <v>30000</v>
      </c>
      <c r="E428" s="28"/>
      <c r="F428" s="46">
        <f t="shared" si="6"/>
        <v>613599</v>
      </c>
      <c r="G428" s="391" t="s">
        <v>9568</v>
      </c>
      <c r="I428" s="2"/>
    </row>
    <row r="429" spans="1:9" x14ac:dyDescent="0.3">
      <c r="A429" s="47">
        <v>44219</v>
      </c>
      <c r="C429" s="44" t="s">
        <v>6899</v>
      </c>
      <c r="D429" s="28">
        <v>16900</v>
      </c>
      <c r="E429" s="28"/>
      <c r="F429" s="46">
        <f t="shared" si="6"/>
        <v>596699</v>
      </c>
      <c r="G429" s="391" t="s">
        <v>9568</v>
      </c>
      <c r="I429" s="2"/>
    </row>
    <row r="430" spans="1:9" x14ac:dyDescent="0.3">
      <c r="A430" s="47">
        <v>44235</v>
      </c>
      <c r="C430" s="44" t="s">
        <v>6937</v>
      </c>
      <c r="D430" s="28">
        <v>6000</v>
      </c>
      <c r="E430" s="28"/>
      <c r="F430" s="46">
        <f t="shared" si="6"/>
        <v>590699</v>
      </c>
      <c r="G430" s="391" t="s">
        <v>9568</v>
      </c>
      <c r="I430" s="2"/>
    </row>
    <row r="431" spans="1:9" x14ac:dyDescent="0.3">
      <c r="A431" s="47">
        <v>44236</v>
      </c>
      <c r="C431" s="44" t="s">
        <v>294</v>
      </c>
      <c r="D431" s="28">
        <v>25000</v>
      </c>
      <c r="E431" s="28"/>
      <c r="F431" s="46">
        <f t="shared" si="6"/>
        <v>565699</v>
      </c>
      <c r="G431" s="391" t="s">
        <v>9568</v>
      </c>
      <c r="I431" s="2"/>
    </row>
    <row r="432" spans="1:9" x14ac:dyDescent="0.3">
      <c r="A432" s="47">
        <v>44237</v>
      </c>
      <c r="C432" s="44" t="s">
        <v>6953</v>
      </c>
      <c r="D432" s="28">
        <v>50000</v>
      </c>
      <c r="E432" s="28"/>
      <c r="F432" s="46">
        <f t="shared" si="6"/>
        <v>515699</v>
      </c>
      <c r="G432" s="391" t="s">
        <v>9568</v>
      </c>
      <c r="I432" s="2"/>
    </row>
    <row r="433" spans="1:9" x14ac:dyDescent="0.3">
      <c r="A433" s="47">
        <v>44237</v>
      </c>
      <c r="C433" s="44" t="s">
        <v>6954</v>
      </c>
      <c r="D433" s="28">
        <v>5000</v>
      </c>
      <c r="E433" s="28"/>
      <c r="F433" s="46">
        <f t="shared" si="6"/>
        <v>510699</v>
      </c>
      <c r="G433" s="391" t="s">
        <v>9568</v>
      </c>
      <c r="I433" s="2"/>
    </row>
    <row r="434" spans="1:9" x14ac:dyDescent="0.3">
      <c r="A434" s="47">
        <v>44239</v>
      </c>
      <c r="C434" s="44" t="s">
        <v>6956</v>
      </c>
      <c r="D434" s="28">
        <v>30000</v>
      </c>
      <c r="E434" s="28"/>
      <c r="F434" s="46">
        <f t="shared" si="6"/>
        <v>480699</v>
      </c>
      <c r="G434" s="391" t="s">
        <v>9568</v>
      </c>
      <c r="I434" s="2"/>
    </row>
    <row r="435" spans="1:9" x14ac:dyDescent="0.3">
      <c r="A435" s="47">
        <v>44239</v>
      </c>
      <c r="C435" s="44" t="s">
        <v>294</v>
      </c>
      <c r="D435" s="28"/>
      <c r="E435" s="28">
        <v>20000</v>
      </c>
      <c r="F435" s="46">
        <f t="shared" si="6"/>
        <v>500699</v>
      </c>
      <c r="G435" s="391" t="s">
        <v>9568</v>
      </c>
      <c r="I435" s="2"/>
    </row>
    <row r="436" spans="1:9" x14ac:dyDescent="0.3">
      <c r="A436" s="47">
        <v>44240</v>
      </c>
      <c r="C436" s="44" t="s">
        <v>294</v>
      </c>
      <c r="D436" s="28"/>
      <c r="E436" s="28">
        <v>15000</v>
      </c>
      <c r="F436" s="46">
        <f t="shared" si="6"/>
        <v>515699</v>
      </c>
      <c r="G436" s="391" t="s">
        <v>9568</v>
      </c>
      <c r="I436" s="2"/>
    </row>
    <row r="437" spans="1:9" x14ac:dyDescent="0.3">
      <c r="A437" s="47">
        <v>44242</v>
      </c>
      <c r="C437" s="44" t="s">
        <v>4363</v>
      </c>
      <c r="D437" s="28">
        <v>10710</v>
      </c>
      <c r="E437" s="28"/>
      <c r="F437" s="46">
        <f t="shared" si="6"/>
        <v>504989</v>
      </c>
      <c r="G437" s="391" t="s">
        <v>9568</v>
      </c>
      <c r="I437" s="2"/>
    </row>
    <row r="438" spans="1:9" x14ac:dyDescent="0.3">
      <c r="A438" s="47">
        <v>44242</v>
      </c>
      <c r="C438" s="44" t="s">
        <v>4883</v>
      </c>
      <c r="D438" s="28">
        <v>2537</v>
      </c>
      <c r="E438" s="28"/>
      <c r="F438" s="46">
        <f t="shared" si="6"/>
        <v>502452</v>
      </c>
      <c r="G438" s="391" t="s">
        <v>9568</v>
      </c>
      <c r="I438" s="2"/>
    </row>
    <row r="439" spans="1:9" x14ac:dyDescent="0.3">
      <c r="A439" s="47">
        <v>44242</v>
      </c>
      <c r="C439" s="44" t="s">
        <v>6964</v>
      </c>
      <c r="D439" s="28">
        <v>12500</v>
      </c>
      <c r="E439" s="28"/>
      <c r="F439" s="46">
        <f t="shared" si="6"/>
        <v>489952</v>
      </c>
      <c r="G439" s="391" t="s">
        <v>9568</v>
      </c>
      <c r="I439" s="2"/>
    </row>
    <row r="440" spans="1:9" x14ac:dyDescent="0.3">
      <c r="A440" s="47">
        <v>44242</v>
      </c>
      <c r="C440" s="44" t="s">
        <v>6014</v>
      </c>
      <c r="D440" s="28">
        <v>16510</v>
      </c>
      <c r="E440" s="28"/>
      <c r="F440" s="46">
        <f t="shared" si="6"/>
        <v>473442</v>
      </c>
      <c r="G440" s="391" t="s">
        <v>9568</v>
      </c>
      <c r="I440" s="2"/>
    </row>
    <row r="441" spans="1:9" x14ac:dyDescent="0.3">
      <c r="A441" s="47">
        <v>44243</v>
      </c>
      <c r="C441" s="44" t="s">
        <v>294</v>
      </c>
      <c r="D441" s="28"/>
      <c r="E441" s="28">
        <v>10000</v>
      </c>
      <c r="F441" s="46">
        <f t="shared" si="6"/>
        <v>483442</v>
      </c>
      <c r="G441" s="391" t="s">
        <v>9568</v>
      </c>
      <c r="I441" s="2"/>
    </row>
    <row r="442" spans="1:9" x14ac:dyDescent="0.3">
      <c r="A442" s="47">
        <v>44245</v>
      </c>
      <c r="C442" s="44" t="s">
        <v>7015</v>
      </c>
      <c r="D442" s="28">
        <v>5000</v>
      </c>
      <c r="E442" s="28"/>
      <c r="F442" s="46">
        <f t="shared" si="6"/>
        <v>478442</v>
      </c>
      <c r="G442" s="391" t="s">
        <v>9568</v>
      </c>
      <c r="I442" s="2"/>
    </row>
    <row r="443" spans="1:9" x14ac:dyDescent="0.3">
      <c r="A443" s="47">
        <v>44246</v>
      </c>
      <c r="C443" s="44" t="s">
        <v>7016</v>
      </c>
      <c r="D443" s="28">
        <v>3100</v>
      </c>
      <c r="E443" s="28"/>
      <c r="F443" s="46">
        <f t="shared" si="6"/>
        <v>475342</v>
      </c>
      <c r="G443" s="391" t="s">
        <v>9568</v>
      </c>
      <c r="I443" s="2"/>
    </row>
    <row r="444" spans="1:9" x14ac:dyDescent="0.3">
      <c r="A444" s="47">
        <v>44247</v>
      </c>
      <c r="C444" s="44" t="s">
        <v>5525</v>
      </c>
      <c r="D444" s="28">
        <v>10000</v>
      </c>
      <c r="E444" s="28"/>
      <c r="F444" s="46">
        <f t="shared" si="6"/>
        <v>465342</v>
      </c>
      <c r="G444" s="391" t="s">
        <v>9568</v>
      </c>
      <c r="I444" s="2"/>
    </row>
    <row r="445" spans="1:9" x14ac:dyDescent="0.3">
      <c r="A445" s="47">
        <v>44247</v>
      </c>
      <c r="C445" s="44" t="s">
        <v>7019</v>
      </c>
      <c r="D445" s="28">
        <v>5000</v>
      </c>
      <c r="E445" s="28"/>
      <c r="F445" s="46">
        <f t="shared" si="6"/>
        <v>460342</v>
      </c>
      <c r="G445" s="391" t="s">
        <v>9568</v>
      </c>
      <c r="I445" s="2"/>
    </row>
    <row r="446" spans="1:9" x14ac:dyDescent="0.3">
      <c r="A446" s="47">
        <v>44247</v>
      </c>
      <c r="C446" s="44" t="s">
        <v>7020</v>
      </c>
      <c r="D446" s="28">
        <v>2000</v>
      </c>
      <c r="E446" s="28"/>
      <c r="F446" s="46">
        <f t="shared" si="6"/>
        <v>458342</v>
      </c>
      <c r="G446" s="391" t="s">
        <v>9568</v>
      </c>
      <c r="I446" s="2"/>
    </row>
    <row r="447" spans="1:9" x14ac:dyDescent="0.3">
      <c r="A447" s="47">
        <v>44247</v>
      </c>
      <c r="C447" s="44" t="s">
        <v>7035</v>
      </c>
      <c r="D447" s="28">
        <v>1000</v>
      </c>
      <c r="E447" s="28"/>
      <c r="F447" s="46">
        <f t="shared" si="6"/>
        <v>457342</v>
      </c>
      <c r="G447" s="391" t="s">
        <v>9568</v>
      </c>
      <c r="I447" s="2"/>
    </row>
    <row r="448" spans="1:9" x14ac:dyDescent="0.3">
      <c r="A448" s="47">
        <v>44256</v>
      </c>
      <c r="C448" s="44" t="s">
        <v>7045</v>
      </c>
      <c r="D448" s="28">
        <v>50000</v>
      </c>
      <c r="E448" s="28"/>
      <c r="F448" s="46">
        <f t="shared" si="6"/>
        <v>407342</v>
      </c>
      <c r="G448" s="391" t="s">
        <v>9568</v>
      </c>
      <c r="I448" s="2"/>
    </row>
    <row r="449" spans="1:9" x14ac:dyDescent="0.3">
      <c r="A449" s="47">
        <v>44256</v>
      </c>
      <c r="C449" s="44" t="s">
        <v>7056</v>
      </c>
      <c r="D449" s="28">
        <v>500</v>
      </c>
      <c r="E449" s="28"/>
      <c r="F449" s="46">
        <f t="shared" si="6"/>
        <v>406842</v>
      </c>
      <c r="G449" s="391" t="s">
        <v>9568</v>
      </c>
      <c r="I449" s="2"/>
    </row>
    <row r="450" spans="1:9" x14ac:dyDescent="0.3">
      <c r="A450" s="47">
        <v>44256</v>
      </c>
      <c r="C450" s="44" t="s">
        <v>7057</v>
      </c>
      <c r="D450" s="28">
        <v>50000</v>
      </c>
      <c r="E450" s="28"/>
      <c r="F450" s="46">
        <f t="shared" si="6"/>
        <v>356842</v>
      </c>
      <c r="G450" s="391" t="s">
        <v>9568</v>
      </c>
      <c r="I450" s="2"/>
    </row>
    <row r="451" spans="1:9" x14ac:dyDescent="0.3">
      <c r="A451" s="47">
        <v>44256</v>
      </c>
      <c r="C451" s="44" t="s">
        <v>7058</v>
      </c>
      <c r="D451" s="28">
        <v>5000</v>
      </c>
      <c r="E451" s="28"/>
      <c r="F451" s="46">
        <f t="shared" si="6"/>
        <v>351842</v>
      </c>
      <c r="G451" s="391" t="s">
        <v>9568</v>
      </c>
      <c r="I451" s="2"/>
    </row>
    <row r="452" spans="1:9" x14ac:dyDescent="0.3">
      <c r="A452" s="47">
        <v>44256</v>
      </c>
      <c r="C452" s="44" t="s">
        <v>7061</v>
      </c>
      <c r="D452" s="28">
        <v>15000</v>
      </c>
      <c r="E452" s="28"/>
      <c r="F452" s="46">
        <f t="shared" ref="F452:F515" si="7">F451+E452-D452</f>
        <v>336842</v>
      </c>
      <c r="G452" s="391" t="s">
        <v>9568</v>
      </c>
      <c r="I452" s="2"/>
    </row>
    <row r="453" spans="1:9" x14ac:dyDescent="0.3">
      <c r="A453" s="47">
        <v>44256</v>
      </c>
      <c r="C453" s="44" t="s">
        <v>7062</v>
      </c>
      <c r="D453" s="28"/>
      <c r="E453" s="28">
        <v>1693</v>
      </c>
      <c r="F453" s="46">
        <f t="shared" si="7"/>
        <v>338535</v>
      </c>
      <c r="G453" s="391" t="s">
        <v>9568</v>
      </c>
      <c r="I453" s="2"/>
    </row>
    <row r="454" spans="1:9" x14ac:dyDescent="0.3">
      <c r="A454" s="51">
        <v>44257</v>
      </c>
      <c r="C454" s="5" t="s">
        <v>7070</v>
      </c>
      <c r="D454" s="43">
        <v>5000</v>
      </c>
      <c r="E454" s="43"/>
      <c r="F454" s="46">
        <f t="shared" si="7"/>
        <v>333535</v>
      </c>
      <c r="G454" s="391" t="s">
        <v>9568</v>
      </c>
      <c r="I454" s="2"/>
    </row>
    <row r="455" spans="1:9" x14ac:dyDescent="0.3">
      <c r="A455" s="51">
        <v>44257</v>
      </c>
      <c r="C455" s="5" t="s">
        <v>7071</v>
      </c>
      <c r="D455" s="43">
        <v>5000</v>
      </c>
      <c r="E455" s="43"/>
      <c r="F455" s="46">
        <f t="shared" si="7"/>
        <v>328535</v>
      </c>
      <c r="G455" s="391" t="s">
        <v>9568</v>
      </c>
      <c r="I455" s="2"/>
    </row>
    <row r="456" spans="1:9" x14ac:dyDescent="0.3">
      <c r="A456" s="51">
        <v>44257</v>
      </c>
      <c r="C456" s="5" t="s">
        <v>7056</v>
      </c>
      <c r="D456" s="43">
        <v>2000</v>
      </c>
      <c r="E456" s="43"/>
      <c r="F456" s="46">
        <f t="shared" si="7"/>
        <v>326535</v>
      </c>
      <c r="G456" s="391" t="s">
        <v>9568</v>
      </c>
      <c r="I456" s="2"/>
    </row>
    <row r="457" spans="1:9" x14ac:dyDescent="0.3">
      <c r="A457" s="51">
        <v>44257</v>
      </c>
      <c r="C457" s="5" t="s">
        <v>5089</v>
      </c>
      <c r="D457" s="43">
        <v>5000</v>
      </c>
      <c r="E457" s="43"/>
      <c r="F457" s="46">
        <f t="shared" si="7"/>
        <v>321535</v>
      </c>
      <c r="G457" s="391" t="s">
        <v>9568</v>
      </c>
      <c r="I457" s="2"/>
    </row>
    <row r="458" spans="1:9" x14ac:dyDescent="0.3">
      <c r="A458" s="51">
        <v>44258</v>
      </c>
      <c r="C458" s="5" t="s">
        <v>7079</v>
      </c>
      <c r="D458" s="43">
        <v>3000</v>
      </c>
      <c r="E458" s="43"/>
      <c r="F458" s="46">
        <f t="shared" si="7"/>
        <v>318535</v>
      </c>
      <c r="G458" s="391" t="s">
        <v>9568</v>
      </c>
      <c r="I458" s="2"/>
    </row>
    <row r="459" spans="1:9" x14ac:dyDescent="0.3">
      <c r="A459" s="51">
        <v>44258</v>
      </c>
      <c r="C459" s="5" t="s">
        <v>7080</v>
      </c>
      <c r="D459" s="43">
        <v>15000</v>
      </c>
      <c r="E459" s="43"/>
      <c r="F459" s="46">
        <f t="shared" si="7"/>
        <v>303535</v>
      </c>
      <c r="G459" s="391" t="s">
        <v>9568</v>
      </c>
      <c r="I459" s="2"/>
    </row>
    <row r="460" spans="1:9" x14ac:dyDescent="0.3">
      <c r="A460" s="51">
        <v>44258</v>
      </c>
      <c r="C460" s="5" t="s">
        <v>7081</v>
      </c>
      <c r="D460" s="43">
        <v>20000</v>
      </c>
      <c r="E460" s="43"/>
      <c r="F460" s="46">
        <f t="shared" si="7"/>
        <v>283535</v>
      </c>
      <c r="G460" s="391" t="s">
        <v>9568</v>
      </c>
      <c r="I460" s="2"/>
    </row>
    <row r="461" spans="1:9" x14ac:dyDescent="0.3">
      <c r="A461" s="51">
        <v>44258</v>
      </c>
      <c r="C461" s="5" t="s">
        <v>6115</v>
      </c>
      <c r="D461" s="43"/>
      <c r="E461" s="43">
        <v>50000</v>
      </c>
      <c r="F461" s="46">
        <f t="shared" si="7"/>
        <v>333535</v>
      </c>
      <c r="G461" s="391" t="s">
        <v>9568</v>
      </c>
      <c r="I461" s="2"/>
    </row>
    <row r="462" spans="1:9" x14ac:dyDescent="0.3">
      <c r="A462" s="51">
        <v>44258</v>
      </c>
      <c r="C462" s="5" t="s">
        <v>6115</v>
      </c>
      <c r="D462" s="43"/>
      <c r="E462" s="43">
        <v>20000</v>
      </c>
      <c r="F462" s="46">
        <f t="shared" si="7"/>
        <v>353535</v>
      </c>
      <c r="G462" s="391" t="s">
        <v>9568</v>
      </c>
      <c r="I462" s="2"/>
    </row>
    <row r="463" spans="1:9" x14ac:dyDescent="0.3">
      <c r="A463" s="51">
        <v>44259</v>
      </c>
      <c r="C463" s="5" t="s">
        <v>6912</v>
      </c>
      <c r="D463" s="43">
        <v>3400</v>
      </c>
      <c r="E463" s="43"/>
      <c r="F463" s="46">
        <f t="shared" si="7"/>
        <v>350135</v>
      </c>
      <c r="G463" s="391" t="s">
        <v>9568</v>
      </c>
      <c r="I463" s="2"/>
    </row>
    <row r="464" spans="1:9" x14ac:dyDescent="0.3">
      <c r="A464" s="51">
        <v>44259</v>
      </c>
      <c r="C464" s="5" t="s">
        <v>7098</v>
      </c>
      <c r="D464" s="43">
        <v>20700</v>
      </c>
      <c r="E464" s="43"/>
      <c r="F464" s="46">
        <f t="shared" si="7"/>
        <v>329435</v>
      </c>
      <c r="G464" s="391" t="s">
        <v>9568</v>
      </c>
      <c r="I464" s="2"/>
    </row>
    <row r="465" spans="1:9" x14ac:dyDescent="0.3">
      <c r="A465" s="51">
        <v>44259</v>
      </c>
      <c r="C465" s="5" t="s">
        <v>4756</v>
      </c>
      <c r="D465" s="43">
        <v>132870</v>
      </c>
      <c r="E465" s="43"/>
      <c r="F465" s="46">
        <f t="shared" si="7"/>
        <v>196565</v>
      </c>
      <c r="G465" s="391" t="s">
        <v>9568</v>
      </c>
      <c r="I465" s="2"/>
    </row>
    <row r="466" spans="1:9" x14ac:dyDescent="0.3">
      <c r="A466" s="51">
        <v>44259</v>
      </c>
      <c r="C466" s="5" t="s">
        <v>4446</v>
      </c>
      <c r="D466" s="43">
        <v>1000</v>
      </c>
      <c r="E466" s="43"/>
      <c r="F466" s="46">
        <f t="shared" si="7"/>
        <v>195565</v>
      </c>
      <c r="G466" s="391" t="s">
        <v>9568</v>
      </c>
      <c r="I466" s="2"/>
    </row>
    <row r="467" spans="1:9" x14ac:dyDescent="0.3">
      <c r="A467" s="51">
        <v>44259</v>
      </c>
      <c r="C467" s="5" t="s">
        <v>294</v>
      </c>
      <c r="D467" s="43"/>
      <c r="E467" s="43">
        <v>100000</v>
      </c>
      <c r="F467" s="46">
        <f t="shared" si="7"/>
        <v>295565</v>
      </c>
      <c r="G467" s="391" t="s">
        <v>9568</v>
      </c>
      <c r="I467" s="2"/>
    </row>
    <row r="468" spans="1:9" x14ac:dyDescent="0.3">
      <c r="A468" s="51">
        <v>44259</v>
      </c>
      <c r="C468" s="5" t="s">
        <v>7146</v>
      </c>
      <c r="D468" s="43"/>
      <c r="E468" s="43">
        <v>20000</v>
      </c>
      <c r="F468" s="46">
        <f t="shared" si="7"/>
        <v>315565</v>
      </c>
      <c r="G468" s="391" t="s">
        <v>9568</v>
      </c>
      <c r="I468" s="2"/>
    </row>
    <row r="469" spans="1:9" x14ac:dyDescent="0.3">
      <c r="A469" s="51">
        <v>44260</v>
      </c>
      <c r="C469" s="5" t="s">
        <v>7101</v>
      </c>
      <c r="D469" s="43">
        <v>6000</v>
      </c>
      <c r="E469" s="43"/>
      <c r="F469" s="46">
        <f t="shared" si="7"/>
        <v>309565</v>
      </c>
      <c r="G469" s="391" t="s">
        <v>9568</v>
      </c>
      <c r="I469" s="2"/>
    </row>
    <row r="470" spans="1:9" x14ac:dyDescent="0.3">
      <c r="A470" s="51">
        <v>44261</v>
      </c>
      <c r="C470" s="5" t="s">
        <v>7113</v>
      </c>
      <c r="D470" s="43">
        <v>3000</v>
      </c>
      <c r="E470" s="43"/>
      <c r="F470" s="46">
        <f t="shared" si="7"/>
        <v>306565</v>
      </c>
      <c r="G470" s="391" t="s">
        <v>9568</v>
      </c>
      <c r="I470" s="2"/>
    </row>
    <row r="471" spans="1:9" x14ac:dyDescent="0.3">
      <c r="A471" s="51">
        <v>44261</v>
      </c>
      <c r="C471" s="5" t="s">
        <v>7114</v>
      </c>
      <c r="D471" s="43"/>
      <c r="E471" s="43">
        <v>15000</v>
      </c>
      <c r="F471" s="46">
        <f t="shared" si="7"/>
        <v>321565</v>
      </c>
      <c r="G471" s="391" t="s">
        <v>9568</v>
      </c>
      <c r="I471" s="2"/>
    </row>
    <row r="472" spans="1:9" x14ac:dyDescent="0.3">
      <c r="A472" s="51">
        <v>44263</v>
      </c>
      <c r="C472" s="5" t="s">
        <v>5525</v>
      </c>
      <c r="D472" s="43">
        <v>15000</v>
      </c>
      <c r="E472" s="43"/>
      <c r="F472" s="46">
        <f t="shared" si="7"/>
        <v>306565</v>
      </c>
      <c r="G472" s="391" t="s">
        <v>9568</v>
      </c>
      <c r="I472" s="2"/>
    </row>
    <row r="473" spans="1:9" x14ac:dyDescent="0.3">
      <c r="A473" s="51">
        <v>44263</v>
      </c>
      <c r="C473" s="5" t="s">
        <v>5525</v>
      </c>
      <c r="D473" s="43">
        <v>7000</v>
      </c>
      <c r="E473" s="43"/>
      <c r="F473" s="46">
        <f t="shared" si="7"/>
        <v>299565</v>
      </c>
      <c r="G473" s="391" t="s">
        <v>9568</v>
      </c>
      <c r="I473" s="2"/>
    </row>
    <row r="474" spans="1:9" x14ac:dyDescent="0.3">
      <c r="A474" s="51">
        <v>44263</v>
      </c>
      <c r="C474" s="5" t="s">
        <v>7118</v>
      </c>
      <c r="D474" s="43">
        <v>5000</v>
      </c>
      <c r="E474" s="43"/>
      <c r="F474" s="46">
        <f t="shared" si="7"/>
        <v>294565</v>
      </c>
      <c r="G474" s="391" t="s">
        <v>9568</v>
      </c>
      <c r="I474" s="2"/>
    </row>
    <row r="475" spans="1:9" x14ac:dyDescent="0.3">
      <c r="A475" s="51">
        <v>44263</v>
      </c>
      <c r="C475" s="5" t="s">
        <v>294</v>
      </c>
      <c r="D475" s="43"/>
      <c r="E475" s="43">
        <v>45000</v>
      </c>
      <c r="F475" s="46">
        <f t="shared" si="7"/>
        <v>339565</v>
      </c>
      <c r="G475" s="391" t="s">
        <v>9568</v>
      </c>
      <c r="I475" s="2"/>
    </row>
    <row r="476" spans="1:9" x14ac:dyDescent="0.3">
      <c r="A476" s="51">
        <v>44263</v>
      </c>
      <c r="C476" s="5" t="s">
        <v>4490</v>
      </c>
      <c r="D476" s="43">
        <v>35000</v>
      </c>
      <c r="E476" s="43"/>
      <c r="F476" s="46">
        <f t="shared" si="7"/>
        <v>304565</v>
      </c>
      <c r="G476" s="391" t="s">
        <v>9568</v>
      </c>
      <c r="I476" s="2"/>
    </row>
    <row r="477" spans="1:9" x14ac:dyDescent="0.3">
      <c r="A477" s="51">
        <v>44263</v>
      </c>
      <c r="C477" s="5" t="s">
        <v>4490</v>
      </c>
      <c r="D477" s="43">
        <v>10000</v>
      </c>
      <c r="E477" s="43"/>
      <c r="F477" s="46">
        <f t="shared" si="7"/>
        <v>294565</v>
      </c>
      <c r="G477" s="391" t="s">
        <v>9568</v>
      </c>
      <c r="I477" s="2"/>
    </row>
    <row r="478" spans="1:9" x14ac:dyDescent="0.3">
      <c r="A478" s="51">
        <v>44265</v>
      </c>
      <c r="C478" s="5" t="s">
        <v>294</v>
      </c>
      <c r="D478" s="43"/>
      <c r="E478" s="43">
        <v>100000</v>
      </c>
      <c r="F478" s="46">
        <f t="shared" si="7"/>
        <v>394565</v>
      </c>
      <c r="G478" s="391" t="s">
        <v>9568</v>
      </c>
      <c r="I478" s="2"/>
    </row>
    <row r="479" spans="1:9" x14ac:dyDescent="0.3">
      <c r="A479" s="51">
        <v>44265</v>
      </c>
      <c r="C479" s="5" t="s">
        <v>7148</v>
      </c>
      <c r="D479" s="43">
        <v>25000</v>
      </c>
      <c r="E479" s="43"/>
      <c r="F479" s="46">
        <f t="shared" si="7"/>
        <v>369565</v>
      </c>
      <c r="G479" s="391" t="s">
        <v>9568</v>
      </c>
      <c r="I479" s="2"/>
    </row>
    <row r="480" spans="1:9" x14ac:dyDescent="0.3">
      <c r="A480" s="51">
        <v>44265</v>
      </c>
      <c r="C480" s="5" t="s">
        <v>7149</v>
      </c>
      <c r="D480" s="43">
        <v>3000</v>
      </c>
      <c r="E480" s="43"/>
      <c r="F480" s="46">
        <f t="shared" si="7"/>
        <v>366565</v>
      </c>
      <c r="G480" s="391" t="s">
        <v>9568</v>
      </c>
      <c r="I480" s="2"/>
    </row>
    <row r="481" spans="1:9" x14ac:dyDescent="0.3">
      <c r="A481" s="51">
        <v>44265</v>
      </c>
      <c r="C481" s="5" t="s">
        <v>7151</v>
      </c>
      <c r="D481" s="43">
        <v>10000</v>
      </c>
      <c r="E481" s="43"/>
      <c r="F481" s="46">
        <f t="shared" si="7"/>
        <v>356565</v>
      </c>
      <c r="G481" s="391" t="s">
        <v>9568</v>
      </c>
      <c r="I481" s="2"/>
    </row>
    <row r="482" spans="1:9" x14ac:dyDescent="0.3">
      <c r="A482" s="51">
        <v>44265</v>
      </c>
      <c r="C482" s="5" t="s">
        <v>7150</v>
      </c>
      <c r="D482" s="43">
        <v>68800</v>
      </c>
      <c r="E482" s="43"/>
      <c r="F482" s="46">
        <f t="shared" si="7"/>
        <v>287765</v>
      </c>
      <c r="G482" s="391" t="s">
        <v>9568</v>
      </c>
      <c r="I482" s="2"/>
    </row>
    <row r="483" spans="1:9" x14ac:dyDescent="0.3">
      <c r="A483" s="51">
        <v>44267</v>
      </c>
      <c r="C483" s="5" t="s">
        <v>7056</v>
      </c>
      <c r="D483" s="43">
        <v>6000</v>
      </c>
      <c r="E483" s="43"/>
      <c r="F483" s="46">
        <f t="shared" si="7"/>
        <v>281765</v>
      </c>
      <c r="G483" s="391" t="s">
        <v>9568</v>
      </c>
      <c r="I483" s="2"/>
    </row>
    <row r="484" spans="1:9" x14ac:dyDescent="0.3">
      <c r="A484" s="51">
        <v>44270</v>
      </c>
      <c r="C484" s="5" t="s">
        <v>7180</v>
      </c>
      <c r="D484" s="43">
        <v>25000</v>
      </c>
      <c r="E484" s="43"/>
      <c r="F484" s="46">
        <f t="shared" si="7"/>
        <v>256765</v>
      </c>
      <c r="G484" s="391" t="s">
        <v>9568</v>
      </c>
      <c r="I484" s="2"/>
    </row>
    <row r="485" spans="1:9" x14ac:dyDescent="0.3">
      <c r="A485" s="51">
        <v>44273</v>
      </c>
      <c r="C485" s="5" t="s">
        <v>7213</v>
      </c>
      <c r="D485" s="43">
        <v>2000</v>
      </c>
      <c r="E485" s="43"/>
      <c r="F485" s="46">
        <f t="shared" si="7"/>
        <v>254765</v>
      </c>
      <c r="G485" s="391" t="s">
        <v>9568</v>
      </c>
      <c r="I485" s="2"/>
    </row>
    <row r="486" spans="1:9" x14ac:dyDescent="0.3">
      <c r="A486" s="51">
        <v>44273</v>
      </c>
      <c r="C486" s="5" t="s">
        <v>1189</v>
      </c>
      <c r="D486" s="43">
        <v>1500</v>
      </c>
      <c r="E486" s="43"/>
      <c r="F486" s="46">
        <f t="shared" si="7"/>
        <v>253265</v>
      </c>
      <c r="G486" s="391" t="s">
        <v>9568</v>
      </c>
      <c r="I486" s="2"/>
    </row>
    <row r="487" spans="1:9" x14ac:dyDescent="0.3">
      <c r="A487" s="51">
        <v>44274</v>
      </c>
      <c r="C487" s="5" t="s">
        <v>7212</v>
      </c>
      <c r="D487" s="43">
        <v>10200</v>
      </c>
      <c r="E487" s="43"/>
      <c r="F487" s="46">
        <f t="shared" si="7"/>
        <v>243065</v>
      </c>
      <c r="G487" s="391" t="s">
        <v>9568</v>
      </c>
      <c r="I487" s="2"/>
    </row>
    <row r="488" spans="1:9" x14ac:dyDescent="0.3">
      <c r="A488" s="51">
        <v>44274</v>
      </c>
      <c r="C488" s="5" t="s">
        <v>294</v>
      </c>
      <c r="D488" s="43"/>
      <c r="E488" s="43">
        <v>10000</v>
      </c>
      <c r="F488" s="46">
        <f t="shared" si="7"/>
        <v>253065</v>
      </c>
      <c r="G488" s="391" t="s">
        <v>9568</v>
      </c>
      <c r="I488" s="2"/>
    </row>
    <row r="489" spans="1:9" x14ac:dyDescent="0.3">
      <c r="A489" s="51">
        <v>44274</v>
      </c>
      <c r="C489" s="5" t="s">
        <v>7215</v>
      </c>
      <c r="D489" s="43">
        <v>1000</v>
      </c>
      <c r="E489" s="43"/>
      <c r="F489" s="46">
        <f t="shared" si="7"/>
        <v>252065</v>
      </c>
      <c r="G489" s="391" t="s">
        <v>9568</v>
      </c>
      <c r="I489" s="2"/>
    </row>
    <row r="490" spans="1:9" x14ac:dyDescent="0.3">
      <c r="A490" s="51">
        <v>44274</v>
      </c>
      <c r="C490" s="5" t="s">
        <v>294</v>
      </c>
      <c r="D490" s="43"/>
      <c r="E490" s="43">
        <v>25000</v>
      </c>
      <c r="F490" s="46">
        <f t="shared" si="7"/>
        <v>277065</v>
      </c>
      <c r="G490" s="391" t="s">
        <v>9568</v>
      </c>
      <c r="I490" s="2"/>
    </row>
    <row r="491" spans="1:9" x14ac:dyDescent="0.3">
      <c r="A491" s="51">
        <v>44281</v>
      </c>
      <c r="C491" s="5" t="s">
        <v>294</v>
      </c>
      <c r="D491" s="43"/>
      <c r="E491" s="43">
        <v>1500</v>
      </c>
      <c r="F491" s="46">
        <f t="shared" si="7"/>
        <v>278565</v>
      </c>
      <c r="G491" s="391" t="s">
        <v>9568</v>
      </c>
      <c r="I491" s="2"/>
    </row>
    <row r="492" spans="1:9" x14ac:dyDescent="0.3">
      <c r="A492" s="51">
        <v>44281</v>
      </c>
      <c r="C492" s="5" t="s">
        <v>4490</v>
      </c>
      <c r="D492" s="43">
        <v>1000</v>
      </c>
      <c r="E492" s="43"/>
      <c r="F492" s="46">
        <f t="shared" si="7"/>
        <v>277565</v>
      </c>
      <c r="G492" s="391" t="s">
        <v>9568</v>
      </c>
      <c r="I492" s="2"/>
    </row>
    <row r="493" spans="1:9" x14ac:dyDescent="0.3">
      <c r="A493" s="51">
        <v>44284</v>
      </c>
      <c r="C493" s="5" t="s">
        <v>294</v>
      </c>
      <c r="D493" s="43"/>
      <c r="E493" s="43">
        <v>15000</v>
      </c>
      <c r="F493" s="46">
        <f t="shared" si="7"/>
        <v>292565</v>
      </c>
      <c r="G493" s="391" t="s">
        <v>9568</v>
      </c>
      <c r="I493" s="2"/>
    </row>
    <row r="494" spans="1:9" x14ac:dyDescent="0.3">
      <c r="A494" s="51">
        <v>44285</v>
      </c>
      <c r="C494" s="5" t="s">
        <v>7257</v>
      </c>
      <c r="D494" s="43">
        <v>1000</v>
      </c>
      <c r="E494" s="43"/>
      <c r="F494" s="46">
        <f t="shared" si="7"/>
        <v>291565</v>
      </c>
      <c r="G494" s="391" t="s">
        <v>9568</v>
      </c>
      <c r="I494" s="2"/>
    </row>
    <row r="495" spans="1:9" x14ac:dyDescent="0.3">
      <c r="A495" s="51">
        <v>44285</v>
      </c>
      <c r="C495" s="5" t="s">
        <v>7258</v>
      </c>
      <c r="D495" s="43">
        <v>7000</v>
      </c>
      <c r="E495" s="43"/>
      <c r="F495" s="46">
        <f t="shared" si="7"/>
        <v>284565</v>
      </c>
      <c r="G495" s="391" t="s">
        <v>9568</v>
      </c>
      <c r="I495" s="2"/>
    </row>
    <row r="496" spans="1:9" x14ac:dyDescent="0.3">
      <c r="A496" s="51">
        <v>44286</v>
      </c>
      <c r="C496" s="5" t="s">
        <v>294</v>
      </c>
      <c r="D496" s="43"/>
      <c r="E496" s="43">
        <v>5000</v>
      </c>
      <c r="F496" s="46">
        <f t="shared" si="7"/>
        <v>289565</v>
      </c>
      <c r="G496" s="391" t="s">
        <v>9568</v>
      </c>
      <c r="I496" s="2"/>
    </row>
    <row r="497" spans="1:9" x14ac:dyDescent="0.3">
      <c r="A497" s="51">
        <v>44288</v>
      </c>
      <c r="C497" s="5" t="s">
        <v>7212</v>
      </c>
      <c r="D497" s="43">
        <v>44030</v>
      </c>
      <c r="E497" s="43"/>
      <c r="F497" s="46">
        <f t="shared" si="7"/>
        <v>245535</v>
      </c>
      <c r="G497" s="391" t="s">
        <v>9568</v>
      </c>
      <c r="I497" s="2"/>
    </row>
    <row r="498" spans="1:9" x14ac:dyDescent="0.3">
      <c r="A498" s="51">
        <v>44292</v>
      </c>
      <c r="C498" s="5" t="s">
        <v>7291</v>
      </c>
      <c r="D498" s="43"/>
      <c r="E498" s="43">
        <v>20000</v>
      </c>
      <c r="F498" s="46">
        <f t="shared" si="7"/>
        <v>265535</v>
      </c>
      <c r="G498" s="391" t="s">
        <v>9568</v>
      </c>
      <c r="I498" s="2"/>
    </row>
    <row r="499" spans="1:9" x14ac:dyDescent="0.3">
      <c r="A499" s="51">
        <v>44293</v>
      </c>
      <c r="C499" s="5" t="s">
        <v>294</v>
      </c>
      <c r="D499" s="43"/>
      <c r="E499" s="43">
        <v>15000</v>
      </c>
      <c r="F499" s="46">
        <f t="shared" si="7"/>
        <v>280535</v>
      </c>
      <c r="G499" s="391" t="s">
        <v>9568</v>
      </c>
      <c r="I499" s="2"/>
    </row>
    <row r="500" spans="1:9" x14ac:dyDescent="0.3">
      <c r="A500" s="51">
        <v>44294</v>
      </c>
      <c r="C500" s="5" t="s">
        <v>7298</v>
      </c>
      <c r="D500" s="43">
        <v>50000</v>
      </c>
      <c r="E500" s="43"/>
      <c r="F500" s="46">
        <f t="shared" si="7"/>
        <v>230535</v>
      </c>
      <c r="G500" s="391" t="s">
        <v>9568</v>
      </c>
      <c r="I500" s="2"/>
    </row>
    <row r="501" spans="1:9" x14ac:dyDescent="0.3">
      <c r="A501" s="51">
        <v>44294</v>
      </c>
      <c r="C501" s="5" t="s">
        <v>7299</v>
      </c>
      <c r="D501" s="43">
        <v>5000</v>
      </c>
      <c r="E501" s="43"/>
      <c r="F501" s="46">
        <f t="shared" si="7"/>
        <v>225535</v>
      </c>
      <c r="G501" s="391" t="s">
        <v>9568</v>
      </c>
      <c r="I501" s="2"/>
    </row>
    <row r="502" spans="1:9" x14ac:dyDescent="0.3">
      <c r="A502" s="51">
        <v>44294</v>
      </c>
      <c r="C502" s="5" t="s">
        <v>4941</v>
      </c>
      <c r="D502" s="43">
        <v>1000</v>
      </c>
      <c r="E502" s="43"/>
      <c r="F502" s="46">
        <f t="shared" si="7"/>
        <v>224535</v>
      </c>
      <c r="G502" s="391" t="s">
        <v>9568</v>
      </c>
      <c r="I502" s="2"/>
    </row>
    <row r="503" spans="1:9" x14ac:dyDescent="0.3">
      <c r="A503" s="51">
        <v>44294</v>
      </c>
      <c r="C503" s="5" t="s">
        <v>6881</v>
      </c>
      <c r="D503" s="43">
        <v>7650</v>
      </c>
      <c r="E503" s="43"/>
      <c r="F503" s="46">
        <f t="shared" si="7"/>
        <v>216885</v>
      </c>
      <c r="G503" s="391" t="s">
        <v>9568</v>
      </c>
      <c r="I503" s="2"/>
    </row>
    <row r="504" spans="1:9" x14ac:dyDescent="0.3">
      <c r="A504" s="51">
        <v>44294</v>
      </c>
      <c r="C504" s="5" t="s">
        <v>4756</v>
      </c>
      <c r="D504" s="43">
        <v>3000</v>
      </c>
      <c r="E504" s="43"/>
      <c r="F504" s="46">
        <f t="shared" si="7"/>
        <v>213885</v>
      </c>
      <c r="G504" s="391" t="s">
        <v>9568</v>
      </c>
      <c r="I504" s="2"/>
    </row>
    <row r="505" spans="1:9" x14ac:dyDescent="0.3">
      <c r="A505" s="51">
        <v>44299</v>
      </c>
      <c r="C505" s="5" t="s">
        <v>294</v>
      </c>
      <c r="D505" s="43"/>
      <c r="E505" s="43">
        <v>15000</v>
      </c>
      <c r="F505" s="46">
        <f t="shared" si="7"/>
        <v>228885</v>
      </c>
      <c r="G505" s="391" t="s">
        <v>9568</v>
      </c>
      <c r="I505" s="2"/>
    </row>
    <row r="506" spans="1:9" x14ac:dyDescent="0.3">
      <c r="A506" s="51">
        <v>44301</v>
      </c>
      <c r="C506" s="5" t="s">
        <v>7342</v>
      </c>
      <c r="D506" s="43">
        <v>4000</v>
      </c>
      <c r="E506" s="43"/>
      <c r="F506" s="46">
        <f t="shared" si="7"/>
        <v>224885</v>
      </c>
      <c r="G506" s="391" t="s">
        <v>9568</v>
      </c>
      <c r="I506" s="2"/>
    </row>
    <row r="507" spans="1:9" x14ac:dyDescent="0.3">
      <c r="A507" s="51">
        <v>44314</v>
      </c>
      <c r="C507" s="5" t="s">
        <v>7056</v>
      </c>
      <c r="D507" s="43">
        <v>1000</v>
      </c>
      <c r="E507" s="43"/>
      <c r="F507" s="46">
        <f t="shared" si="7"/>
        <v>223885</v>
      </c>
      <c r="G507" s="391" t="s">
        <v>9568</v>
      </c>
      <c r="I507" s="2"/>
    </row>
    <row r="508" spans="1:9" x14ac:dyDescent="0.3">
      <c r="A508" s="51">
        <v>44319</v>
      </c>
      <c r="C508" s="5" t="s">
        <v>7386</v>
      </c>
      <c r="D508" s="43"/>
      <c r="E508" s="43">
        <v>6503</v>
      </c>
      <c r="F508" s="46">
        <f t="shared" si="7"/>
        <v>230388</v>
      </c>
      <c r="G508" s="391" t="s">
        <v>9568</v>
      </c>
      <c r="I508" s="2"/>
    </row>
    <row r="509" spans="1:9" x14ac:dyDescent="0.3">
      <c r="A509" s="51">
        <v>44322</v>
      </c>
      <c r="C509" s="5" t="s">
        <v>7409</v>
      </c>
      <c r="D509" s="43">
        <v>5000</v>
      </c>
      <c r="E509" s="43"/>
      <c r="F509" s="46">
        <f t="shared" si="7"/>
        <v>225388</v>
      </c>
      <c r="G509" s="391" t="s">
        <v>9568</v>
      </c>
      <c r="I509" s="2"/>
    </row>
    <row r="510" spans="1:9" x14ac:dyDescent="0.3">
      <c r="A510" s="51">
        <v>44323</v>
      </c>
      <c r="C510" s="5" t="s">
        <v>7423</v>
      </c>
      <c r="D510" s="43">
        <v>3000</v>
      </c>
      <c r="E510" s="43"/>
      <c r="F510" s="46">
        <f t="shared" si="7"/>
        <v>222388</v>
      </c>
      <c r="G510" s="391" t="s">
        <v>9568</v>
      </c>
      <c r="I510" s="2"/>
    </row>
    <row r="511" spans="1:9" x14ac:dyDescent="0.3">
      <c r="A511" s="51">
        <v>44323</v>
      </c>
      <c r="C511" s="5" t="s">
        <v>7424</v>
      </c>
      <c r="D511" s="43">
        <v>4200</v>
      </c>
      <c r="E511" s="43"/>
      <c r="F511" s="46">
        <f t="shared" si="7"/>
        <v>218188</v>
      </c>
      <c r="G511" s="391" t="s">
        <v>9568</v>
      </c>
      <c r="I511" s="2"/>
    </row>
    <row r="512" spans="1:9" x14ac:dyDescent="0.3">
      <c r="A512" s="51">
        <v>44323</v>
      </c>
      <c r="C512" s="5" t="s">
        <v>5034</v>
      </c>
      <c r="D512" s="43">
        <v>2000</v>
      </c>
      <c r="E512" s="43"/>
      <c r="F512" s="46">
        <f t="shared" si="7"/>
        <v>216188</v>
      </c>
      <c r="G512" s="391" t="s">
        <v>9568</v>
      </c>
      <c r="I512" s="2"/>
    </row>
    <row r="513" spans="1:9" x14ac:dyDescent="0.3">
      <c r="A513" s="51">
        <v>44323</v>
      </c>
      <c r="C513" s="5" t="s">
        <v>7425</v>
      </c>
      <c r="D513" s="43">
        <v>50000</v>
      </c>
      <c r="E513" s="43"/>
      <c r="F513" s="46">
        <f t="shared" si="7"/>
        <v>166188</v>
      </c>
      <c r="G513" s="391" t="s">
        <v>9568</v>
      </c>
      <c r="I513" s="2"/>
    </row>
    <row r="514" spans="1:9" x14ac:dyDescent="0.3">
      <c r="A514" s="51">
        <v>44323</v>
      </c>
      <c r="C514" s="5" t="s">
        <v>7426</v>
      </c>
      <c r="D514" s="43">
        <v>5000</v>
      </c>
      <c r="E514" s="43"/>
      <c r="F514" s="46">
        <f t="shared" si="7"/>
        <v>161188</v>
      </c>
      <c r="G514" s="391" t="s">
        <v>9568</v>
      </c>
      <c r="I514" s="2"/>
    </row>
    <row r="515" spans="1:9" x14ac:dyDescent="0.3">
      <c r="A515" s="51">
        <v>44323</v>
      </c>
      <c r="C515" s="5" t="s">
        <v>294</v>
      </c>
      <c r="D515" s="43"/>
      <c r="E515" s="43">
        <v>10000</v>
      </c>
      <c r="F515" s="46">
        <f t="shared" si="7"/>
        <v>171188</v>
      </c>
      <c r="G515" s="391" t="s">
        <v>9568</v>
      </c>
      <c r="I515" s="2"/>
    </row>
    <row r="516" spans="1:9" x14ac:dyDescent="0.3">
      <c r="A516" s="51">
        <v>44324</v>
      </c>
      <c r="C516" s="5" t="s">
        <v>7432</v>
      </c>
      <c r="D516" s="43"/>
      <c r="E516" s="43">
        <v>15000</v>
      </c>
      <c r="F516" s="46">
        <f t="shared" ref="F516:F579" si="8">F515+E516-D516</f>
        <v>186188</v>
      </c>
      <c r="G516" s="391" t="s">
        <v>9568</v>
      </c>
      <c r="I516" s="2"/>
    </row>
    <row r="517" spans="1:9" x14ac:dyDescent="0.3">
      <c r="A517" s="51">
        <v>44333</v>
      </c>
      <c r="C517" s="5" t="s">
        <v>294</v>
      </c>
      <c r="D517" s="43"/>
      <c r="E517" s="43">
        <v>20000</v>
      </c>
      <c r="F517" s="46">
        <f t="shared" si="8"/>
        <v>206188</v>
      </c>
      <c r="G517" s="391" t="s">
        <v>9568</v>
      </c>
      <c r="I517" s="2"/>
    </row>
    <row r="518" spans="1:9" x14ac:dyDescent="0.3">
      <c r="A518" s="51">
        <v>44336</v>
      </c>
      <c r="C518" s="5" t="s">
        <v>7459</v>
      </c>
      <c r="D518" s="43">
        <v>15000</v>
      </c>
      <c r="E518" s="43"/>
      <c r="F518" s="46">
        <f t="shared" si="8"/>
        <v>191188</v>
      </c>
      <c r="G518" s="391" t="s">
        <v>9568</v>
      </c>
      <c r="I518" s="2"/>
    </row>
    <row r="519" spans="1:9" x14ac:dyDescent="0.3">
      <c r="A519" s="51">
        <v>44341</v>
      </c>
      <c r="C519" s="5" t="s">
        <v>294</v>
      </c>
      <c r="D519" s="43"/>
      <c r="E519" s="43">
        <v>5000</v>
      </c>
      <c r="F519" s="46">
        <f t="shared" si="8"/>
        <v>196188</v>
      </c>
      <c r="G519" s="391" t="s">
        <v>9568</v>
      </c>
      <c r="I519" s="2"/>
    </row>
    <row r="520" spans="1:9" x14ac:dyDescent="0.3">
      <c r="A520" s="51">
        <v>44343</v>
      </c>
      <c r="C520" s="5" t="s">
        <v>294</v>
      </c>
      <c r="D520" s="43"/>
      <c r="E520" s="43">
        <v>5000</v>
      </c>
      <c r="F520" s="46">
        <f t="shared" si="8"/>
        <v>201188</v>
      </c>
      <c r="G520" s="391" t="s">
        <v>9568</v>
      </c>
      <c r="I520" s="2"/>
    </row>
    <row r="521" spans="1:9" x14ac:dyDescent="0.3">
      <c r="A521" s="51">
        <v>44347</v>
      </c>
      <c r="C521" s="5" t="s">
        <v>7509</v>
      </c>
      <c r="D521" s="43"/>
      <c r="E521" s="43">
        <v>32235</v>
      </c>
      <c r="F521" s="46">
        <f t="shared" si="8"/>
        <v>233423</v>
      </c>
      <c r="G521" s="391" t="s">
        <v>9568</v>
      </c>
      <c r="I521" s="2"/>
    </row>
    <row r="522" spans="1:9" x14ac:dyDescent="0.3">
      <c r="A522" s="51">
        <v>44349</v>
      </c>
      <c r="C522" s="5" t="s">
        <v>7512</v>
      </c>
      <c r="D522" s="43">
        <v>50000</v>
      </c>
      <c r="E522" s="43"/>
      <c r="F522" s="46">
        <f t="shared" si="8"/>
        <v>183423</v>
      </c>
      <c r="G522" s="391" t="s">
        <v>9568</v>
      </c>
      <c r="I522" s="2"/>
    </row>
    <row r="523" spans="1:9" x14ac:dyDescent="0.3">
      <c r="A523" s="51">
        <v>44349</v>
      </c>
      <c r="C523" s="5" t="s">
        <v>7513</v>
      </c>
      <c r="D523" s="43">
        <v>5000</v>
      </c>
      <c r="E523" s="43"/>
      <c r="F523" s="46">
        <f t="shared" si="8"/>
        <v>178423</v>
      </c>
      <c r="G523" s="391" t="s">
        <v>9568</v>
      </c>
      <c r="I523" s="2"/>
    </row>
    <row r="524" spans="1:9" x14ac:dyDescent="0.3">
      <c r="A524" s="51">
        <v>44350</v>
      </c>
      <c r="C524" s="5" t="s">
        <v>7518</v>
      </c>
      <c r="D524" s="43"/>
      <c r="E524" s="43">
        <v>20000</v>
      </c>
      <c r="F524" s="46">
        <f t="shared" si="8"/>
        <v>198423</v>
      </c>
      <c r="G524" s="391" t="s">
        <v>9568</v>
      </c>
      <c r="I524" s="2"/>
    </row>
    <row r="525" spans="1:9" x14ac:dyDescent="0.3">
      <c r="A525" s="51">
        <v>44356</v>
      </c>
      <c r="C525" s="5" t="s">
        <v>7553</v>
      </c>
      <c r="D525" s="43">
        <v>2000</v>
      </c>
      <c r="E525" s="43"/>
      <c r="F525" s="46">
        <f t="shared" si="8"/>
        <v>196423</v>
      </c>
      <c r="G525" s="391" t="s">
        <v>9568</v>
      </c>
      <c r="I525" s="2"/>
    </row>
    <row r="526" spans="1:9" x14ac:dyDescent="0.3">
      <c r="A526" s="51">
        <v>44361</v>
      </c>
      <c r="C526" s="5" t="s">
        <v>7556</v>
      </c>
      <c r="D526" s="43"/>
      <c r="E526" s="43">
        <v>50000</v>
      </c>
      <c r="F526" s="46">
        <f t="shared" si="8"/>
        <v>246423</v>
      </c>
      <c r="G526" s="391" t="s">
        <v>9568</v>
      </c>
      <c r="I526" s="2"/>
    </row>
    <row r="527" spans="1:9" x14ac:dyDescent="0.3">
      <c r="A527" s="51">
        <v>44362</v>
      </c>
      <c r="C527" s="5" t="s">
        <v>4877</v>
      </c>
      <c r="D527" s="43">
        <v>10000</v>
      </c>
      <c r="E527" s="43"/>
      <c r="F527" s="46">
        <f t="shared" si="8"/>
        <v>236423</v>
      </c>
      <c r="G527" s="391" t="s">
        <v>9568</v>
      </c>
      <c r="I527" s="2"/>
    </row>
    <row r="528" spans="1:9" x14ac:dyDescent="0.3">
      <c r="A528" s="51">
        <v>44366</v>
      </c>
      <c r="C528" s="5" t="s">
        <v>4364</v>
      </c>
      <c r="D528" s="43"/>
      <c r="E528" s="43">
        <v>5000</v>
      </c>
      <c r="F528" s="46">
        <f t="shared" si="8"/>
        <v>241423</v>
      </c>
      <c r="G528" s="391" t="s">
        <v>9568</v>
      </c>
      <c r="I528" s="2"/>
    </row>
    <row r="529" spans="1:9" x14ac:dyDescent="0.3">
      <c r="A529" s="51">
        <v>44372</v>
      </c>
      <c r="C529" s="5" t="s">
        <v>294</v>
      </c>
      <c r="D529" s="43"/>
      <c r="E529" s="43">
        <v>5000</v>
      </c>
      <c r="F529" s="46">
        <f t="shared" si="8"/>
        <v>246423</v>
      </c>
      <c r="G529" s="391" t="s">
        <v>9568</v>
      </c>
      <c r="I529" s="2"/>
    </row>
    <row r="530" spans="1:9" x14ac:dyDescent="0.3">
      <c r="A530" s="51">
        <v>44379</v>
      </c>
      <c r="C530" s="5" t="s">
        <v>7146</v>
      </c>
      <c r="D530" s="43"/>
      <c r="E530" s="43">
        <v>20000</v>
      </c>
      <c r="F530" s="46">
        <f t="shared" si="8"/>
        <v>266423</v>
      </c>
      <c r="G530" s="391" t="s">
        <v>9568</v>
      </c>
      <c r="I530" s="2"/>
    </row>
    <row r="531" spans="1:9" x14ac:dyDescent="0.3">
      <c r="A531" s="51">
        <v>44380</v>
      </c>
      <c r="C531" s="5" t="s">
        <v>294</v>
      </c>
      <c r="D531" s="43"/>
      <c r="E531" s="43">
        <v>5000</v>
      </c>
      <c r="F531" s="46">
        <f t="shared" si="8"/>
        <v>271423</v>
      </c>
      <c r="G531" s="391" t="s">
        <v>9568</v>
      </c>
      <c r="I531" s="2"/>
    </row>
    <row r="532" spans="1:9" x14ac:dyDescent="0.3">
      <c r="A532" s="51">
        <v>44381</v>
      </c>
      <c r="C532" s="5" t="s">
        <v>6681</v>
      </c>
      <c r="D532" s="43">
        <v>5000</v>
      </c>
      <c r="E532" s="43"/>
      <c r="F532" s="46">
        <f t="shared" si="8"/>
        <v>266423</v>
      </c>
      <c r="G532" s="391" t="s">
        <v>9568</v>
      </c>
      <c r="I532" s="2"/>
    </row>
    <row r="533" spans="1:9" x14ac:dyDescent="0.3">
      <c r="A533" s="51">
        <v>44382</v>
      </c>
      <c r="C533" s="5" t="s">
        <v>7695</v>
      </c>
      <c r="D533" s="43">
        <v>50000</v>
      </c>
      <c r="E533" s="43"/>
      <c r="F533" s="46">
        <f t="shared" si="8"/>
        <v>216423</v>
      </c>
      <c r="G533" s="391" t="s">
        <v>9568</v>
      </c>
      <c r="I533" s="2"/>
    </row>
    <row r="534" spans="1:9" x14ac:dyDescent="0.3">
      <c r="A534" s="51">
        <v>44382</v>
      </c>
      <c r="C534" s="5" t="s">
        <v>7696</v>
      </c>
      <c r="D534" s="43">
        <v>5000</v>
      </c>
      <c r="E534" s="43"/>
      <c r="F534" s="46">
        <f t="shared" si="8"/>
        <v>211423</v>
      </c>
      <c r="G534" s="391" t="s">
        <v>9568</v>
      </c>
      <c r="I534" s="2"/>
    </row>
    <row r="535" spans="1:9" x14ac:dyDescent="0.3">
      <c r="A535" s="51">
        <v>44382</v>
      </c>
      <c r="C535" s="5" t="s">
        <v>7697</v>
      </c>
      <c r="D535" s="43"/>
      <c r="E535" s="43">
        <v>16341</v>
      </c>
      <c r="F535" s="46">
        <f t="shared" si="8"/>
        <v>227764</v>
      </c>
      <c r="G535" s="391" t="s">
        <v>9568</v>
      </c>
      <c r="I535" s="2"/>
    </row>
    <row r="536" spans="1:9" x14ac:dyDescent="0.3">
      <c r="A536" s="51">
        <v>44382</v>
      </c>
      <c r="C536" s="5" t="s">
        <v>7701</v>
      </c>
      <c r="D536" s="43"/>
      <c r="E536" s="43">
        <v>25000</v>
      </c>
      <c r="F536" s="46">
        <f t="shared" si="8"/>
        <v>252764</v>
      </c>
      <c r="G536" s="391" t="s">
        <v>9568</v>
      </c>
      <c r="I536" s="2"/>
    </row>
    <row r="537" spans="1:9" x14ac:dyDescent="0.3">
      <c r="A537" s="51">
        <v>44383</v>
      </c>
      <c r="C537" s="5" t="s">
        <v>4490</v>
      </c>
      <c r="D537" s="62">
        <v>5000</v>
      </c>
      <c r="E537" s="43"/>
      <c r="F537" s="46">
        <f t="shared" si="8"/>
        <v>247764</v>
      </c>
      <c r="G537" s="391" t="s">
        <v>9568</v>
      </c>
      <c r="I537" s="2"/>
    </row>
    <row r="538" spans="1:9" x14ac:dyDescent="0.3">
      <c r="A538" s="51">
        <v>44383</v>
      </c>
      <c r="C538" s="5" t="s">
        <v>294</v>
      </c>
      <c r="D538" s="43"/>
      <c r="E538" s="43">
        <v>10000</v>
      </c>
      <c r="F538" s="46">
        <f t="shared" si="8"/>
        <v>257764</v>
      </c>
      <c r="G538" s="391" t="s">
        <v>9568</v>
      </c>
      <c r="I538" s="2"/>
    </row>
    <row r="539" spans="1:9" x14ac:dyDescent="0.3">
      <c r="A539" s="51">
        <v>44385</v>
      </c>
      <c r="C539" s="5" t="s">
        <v>7722</v>
      </c>
      <c r="D539" s="43">
        <v>2000</v>
      </c>
      <c r="E539" s="43"/>
      <c r="F539" s="46">
        <f t="shared" si="8"/>
        <v>255764</v>
      </c>
      <c r="G539" s="391" t="s">
        <v>9568</v>
      </c>
      <c r="I539" s="2"/>
    </row>
    <row r="540" spans="1:9" x14ac:dyDescent="0.3">
      <c r="A540" s="51">
        <v>44385</v>
      </c>
      <c r="C540" s="5" t="s">
        <v>7723</v>
      </c>
      <c r="D540" s="62">
        <v>4000</v>
      </c>
      <c r="E540" s="43"/>
      <c r="F540" s="46">
        <f t="shared" si="8"/>
        <v>251764</v>
      </c>
      <c r="G540" s="391" t="s">
        <v>9568</v>
      </c>
      <c r="I540" s="2"/>
    </row>
    <row r="541" spans="1:9" x14ac:dyDescent="0.3">
      <c r="A541" s="51">
        <v>44386</v>
      </c>
      <c r="C541" s="5" t="s">
        <v>294</v>
      </c>
      <c r="D541" s="43"/>
      <c r="E541" s="43">
        <v>5000</v>
      </c>
      <c r="F541" s="46">
        <f t="shared" si="8"/>
        <v>256764</v>
      </c>
      <c r="G541" s="391" t="s">
        <v>9568</v>
      </c>
      <c r="I541" s="2"/>
    </row>
    <row r="542" spans="1:9" x14ac:dyDescent="0.3">
      <c r="A542" s="47">
        <v>44387</v>
      </c>
      <c r="C542" s="44" t="s">
        <v>7768</v>
      </c>
      <c r="D542" s="28"/>
      <c r="E542" s="28">
        <v>80000</v>
      </c>
      <c r="F542" s="46">
        <f t="shared" si="8"/>
        <v>336764</v>
      </c>
      <c r="G542" s="391" t="s">
        <v>9568</v>
      </c>
      <c r="I542" s="2"/>
    </row>
    <row r="543" spans="1:9" x14ac:dyDescent="0.3">
      <c r="A543" s="51">
        <v>44390</v>
      </c>
      <c r="C543" s="5" t="s">
        <v>294</v>
      </c>
      <c r="D543" s="43"/>
      <c r="E543" s="43">
        <v>5000</v>
      </c>
      <c r="F543" s="46">
        <f t="shared" si="8"/>
        <v>341764</v>
      </c>
      <c r="G543" s="391" t="s">
        <v>9568</v>
      </c>
      <c r="I543" s="2"/>
    </row>
    <row r="544" spans="1:9" x14ac:dyDescent="0.3">
      <c r="A544" s="51">
        <v>44390</v>
      </c>
      <c r="C544" s="5" t="s">
        <v>7735</v>
      </c>
      <c r="D544" s="43">
        <v>2000</v>
      </c>
      <c r="E544" s="43"/>
      <c r="F544" s="46">
        <f t="shared" si="8"/>
        <v>339764</v>
      </c>
      <c r="G544" s="391" t="s">
        <v>9568</v>
      </c>
      <c r="I544" s="2"/>
    </row>
    <row r="545" spans="1:9" x14ac:dyDescent="0.3">
      <c r="A545" s="51">
        <v>44391</v>
      </c>
      <c r="C545" s="5" t="s">
        <v>6681</v>
      </c>
      <c r="D545" s="43">
        <v>2000</v>
      </c>
      <c r="E545" s="43"/>
      <c r="F545" s="46">
        <f t="shared" si="8"/>
        <v>337764</v>
      </c>
      <c r="G545" s="391" t="s">
        <v>9568</v>
      </c>
      <c r="I545" s="2"/>
    </row>
    <row r="546" spans="1:9" x14ac:dyDescent="0.3">
      <c r="A546" s="51">
        <v>44392</v>
      </c>
      <c r="C546" s="5" t="s">
        <v>294</v>
      </c>
      <c r="D546" s="43"/>
      <c r="E546" s="43">
        <v>25000</v>
      </c>
      <c r="F546" s="46">
        <f t="shared" si="8"/>
        <v>362764</v>
      </c>
      <c r="G546" s="391" t="s">
        <v>9568</v>
      </c>
      <c r="I546" s="2"/>
    </row>
    <row r="547" spans="1:9" x14ac:dyDescent="0.3">
      <c r="A547" s="54">
        <v>44393</v>
      </c>
      <c r="C547" s="5" t="s">
        <v>7765</v>
      </c>
      <c r="D547" s="43">
        <v>5000</v>
      </c>
      <c r="E547" s="43"/>
      <c r="F547" s="46">
        <f t="shared" si="8"/>
        <v>357764</v>
      </c>
      <c r="G547" s="391" t="s">
        <v>9568</v>
      </c>
      <c r="I547" s="2"/>
    </row>
    <row r="548" spans="1:9" x14ac:dyDescent="0.3">
      <c r="A548" s="54">
        <v>44394</v>
      </c>
      <c r="C548" s="5" t="s">
        <v>7784</v>
      </c>
      <c r="D548" s="62">
        <v>10000</v>
      </c>
      <c r="E548" s="43"/>
      <c r="F548" s="46">
        <f t="shared" si="8"/>
        <v>347764</v>
      </c>
      <c r="G548" s="391" t="s">
        <v>9568</v>
      </c>
      <c r="I548" s="2"/>
    </row>
    <row r="549" spans="1:9" x14ac:dyDescent="0.3">
      <c r="A549" s="54">
        <v>44401</v>
      </c>
      <c r="C549" s="5" t="s">
        <v>294</v>
      </c>
      <c r="D549" s="43"/>
      <c r="E549" s="43">
        <v>100000</v>
      </c>
      <c r="F549" s="46">
        <f t="shared" si="8"/>
        <v>447764</v>
      </c>
      <c r="G549" s="391" t="s">
        <v>9568</v>
      </c>
      <c r="I549" s="2"/>
    </row>
    <row r="550" spans="1:9" x14ac:dyDescent="0.3">
      <c r="A550" s="54">
        <v>44401</v>
      </c>
      <c r="C550" s="5" t="s">
        <v>4446</v>
      </c>
      <c r="D550" s="43">
        <v>3860</v>
      </c>
      <c r="E550" s="43"/>
      <c r="F550" s="46">
        <f t="shared" si="8"/>
        <v>443904</v>
      </c>
      <c r="G550" s="391" t="s">
        <v>9568</v>
      </c>
      <c r="I550" s="2"/>
    </row>
    <row r="551" spans="1:9" x14ac:dyDescent="0.3">
      <c r="A551" s="54">
        <v>44401</v>
      </c>
      <c r="C551" s="5" t="s">
        <v>7424</v>
      </c>
      <c r="D551" s="43">
        <v>5000</v>
      </c>
      <c r="E551" s="43"/>
      <c r="F551" s="46">
        <f t="shared" si="8"/>
        <v>438904</v>
      </c>
      <c r="G551" s="391" t="s">
        <v>9568</v>
      </c>
      <c r="I551" s="2"/>
    </row>
    <row r="552" spans="1:9" x14ac:dyDescent="0.3">
      <c r="A552" s="54">
        <v>44401</v>
      </c>
      <c r="C552" s="5" t="s">
        <v>7807</v>
      </c>
      <c r="D552" s="43">
        <v>5500</v>
      </c>
      <c r="E552" s="43"/>
      <c r="F552" s="46">
        <f t="shared" si="8"/>
        <v>433404</v>
      </c>
      <c r="G552" s="391" t="s">
        <v>9568</v>
      </c>
      <c r="I552" s="2"/>
    </row>
    <row r="553" spans="1:9" x14ac:dyDescent="0.3">
      <c r="A553" s="54">
        <v>44401</v>
      </c>
      <c r="C553" s="5" t="s">
        <v>7808</v>
      </c>
      <c r="D553" s="43">
        <v>9250</v>
      </c>
      <c r="E553" s="43"/>
      <c r="F553" s="46">
        <f t="shared" si="8"/>
        <v>424154</v>
      </c>
      <c r="G553" s="391" t="s">
        <v>9568</v>
      </c>
      <c r="I553" s="2"/>
    </row>
    <row r="554" spans="1:9" x14ac:dyDescent="0.3">
      <c r="A554" s="54">
        <v>44401</v>
      </c>
      <c r="C554" s="5" t="s">
        <v>5034</v>
      </c>
      <c r="D554" s="43">
        <v>5130</v>
      </c>
      <c r="E554" s="43"/>
      <c r="F554" s="46">
        <f t="shared" si="8"/>
        <v>419024</v>
      </c>
      <c r="G554" s="391" t="s">
        <v>9568</v>
      </c>
      <c r="I554" s="2"/>
    </row>
    <row r="555" spans="1:9" x14ac:dyDescent="0.3">
      <c r="A555" s="54">
        <v>44403</v>
      </c>
      <c r="C555" s="5" t="s">
        <v>7810</v>
      </c>
      <c r="D555" s="43">
        <v>50000</v>
      </c>
      <c r="E555" s="43"/>
      <c r="F555" s="46">
        <f t="shared" si="8"/>
        <v>369024</v>
      </c>
      <c r="G555" s="391" t="s">
        <v>9568</v>
      </c>
      <c r="I555" s="2"/>
    </row>
    <row r="556" spans="1:9" x14ac:dyDescent="0.3">
      <c r="A556" s="54">
        <v>44403</v>
      </c>
      <c r="C556" s="5" t="s">
        <v>6634</v>
      </c>
      <c r="D556" s="43"/>
      <c r="E556" s="43">
        <v>31354</v>
      </c>
      <c r="F556" s="46">
        <f t="shared" si="8"/>
        <v>400378</v>
      </c>
      <c r="G556" s="391" t="s">
        <v>9568</v>
      </c>
      <c r="I556" s="2"/>
    </row>
    <row r="557" spans="1:9" x14ac:dyDescent="0.3">
      <c r="A557" s="54">
        <v>44406</v>
      </c>
      <c r="C557" s="5" t="s">
        <v>7842</v>
      </c>
      <c r="D557" s="43">
        <v>5000</v>
      </c>
      <c r="E557" s="43"/>
      <c r="F557" s="46">
        <f t="shared" si="8"/>
        <v>395378</v>
      </c>
      <c r="G557" s="391" t="s">
        <v>9568</v>
      </c>
      <c r="I557" s="2"/>
    </row>
    <row r="558" spans="1:9" x14ac:dyDescent="0.3">
      <c r="A558" s="54">
        <v>44406</v>
      </c>
      <c r="C558" s="5" t="s">
        <v>4490</v>
      </c>
      <c r="D558" s="43">
        <v>10000</v>
      </c>
      <c r="E558" s="43"/>
      <c r="F558" s="46">
        <f t="shared" si="8"/>
        <v>385378</v>
      </c>
      <c r="G558" s="391" t="s">
        <v>9568</v>
      </c>
      <c r="I558" s="2"/>
    </row>
    <row r="559" spans="1:9" x14ac:dyDescent="0.3">
      <c r="A559" s="54">
        <v>44406</v>
      </c>
      <c r="C559" s="5" t="s">
        <v>7843</v>
      </c>
      <c r="D559" s="43">
        <v>500</v>
      </c>
      <c r="E559" s="43"/>
      <c r="F559" s="46">
        <f t="shared" si="8"/>
        <v>384878</v>
      </c>
      <c r="G559" s="391" t="s">
        <v>9568</v>
      </c>
      <c r="I559" s="2"/>
    </row>
    <row r="560" spans="1:9" x14ac:dyDescent="0.3">
      <c r="A560" s="54">
        <v>44406</v>
      </c>
      <c r="C560" s="5" t="s">
        <v>2128</v>
      </c>
      <c r="D560" s="43">
        <v>1500</v>
      </c>
      <c r="E560" s="43"/>
      <c r="F560" s="46">
        <f t="shared" si="8"/>
        <v>383378</v>
      </c>
      <c r="G560" s="391" t="s">
        <v>9568</v>
      </c>
      <c r="I560" s="2"/>
    </row>
    <row r="561" spans="1:9" x14ac:dyDescent="0.3">
      <c r="A561" s="54">
        <v>44406</v>
      </c>
      <c r="C561" s="5" t="s">
        <v>6681</v>
      </c>
      <c r="D561" s="43">
        <v>3000</v>
      </c>
      <c r="E561" s="43"/>
      <c r="F561" s="46">
        <f t="shared" si="8"/>
        <v>380378</v>
      </c>
      <c r="G561" s="391" t="s">
        <v>9568</v>
      </c>
      <c r="I561" s="2"/>
    </row>
    <row r="562" spans="1:9" ht="37.5" x14ac:dyDescent="0.3">
      <c r="A562" s="54">
        <v>44410</v>
      </c>
      <c r="C562" s="92" t="s">
        <v>7854</v>
      </c>
      <c r="D562" s="43"/>
      <c r="E562" s="43">
        <v>13969</v>
      </c>
      <c r="F562" s="46">
        <f t="shared" si="8"/>
        <v>394347</v>
      </c>
      <c r="G562" s="391" t="s">
        <v>9568</v>
      </c>
      <c r="I562" s="2"/>
    </row>
    <row r="563" spans="1:9" x14ac:dyDescent="0.3">
      <c r="A563" s="54">
        <v>44411</v>
      </c>
      <c r="C563" s="5" t="s">
        <v>294</v>
      </c>
      <c r="D563" s="43"/>
      <c r="E563" s="43">
        <v>5000</v>
      </c>
      <c r="F563" s="46">
        <f t="shared" si="8"/>
        <v>399347</v>
      </c>
      <c r="G563" s="391" t="s">
        <v>9568</v>
      </c>
      <c r="I563" s="2"/>
    </row>
    <row r="564" spans="1:9" x14ac:dyDescent="0.3">
      <c r="A564" s="54">
        <v>44411</v>
      </c>
      <c r="C564" s="5" t="s">
        <v>7860</v>
      </c>
      <c r="D564" s="43"/>
      <c r="E564" s="43">
        <v>20000</v>
      </c>
      <c r="F564" s="46">
        <f t="shared" si="8"/>
        <v>419347</v>
      </c>
      <c r="G564" s="391" t="s">
        <v>9568</v>
      </c>
      <c r="I564" s="2"/>
    </row>
    <row r="565" spans="1:9" x14ac:dyDescent="0.3">
      <c r="A565" s="54">
        <v>44414</v>
      </c>
      <c r="C565" s="5" t="s">
        <v>294</v>
      </c>
      <c r="D565" s="43"/>
      <c r="E565" s="43">
        <v>3000</v>
      </c>
      <c r="F565" s="46">
        <f t="shared" si="8"/>
        <v>422347</v>
      </c>
      <c r="G565" s="391" t="s">
        <v>9568</v>
      </c>
      <c r="I565" s="2"/>
    </row>
    <row r="566" spans="1:9" x14ac:dyDescent="0.3">
      <c r="A566" s="54">
        <v>44415</v>
      </c>
      <c r="C566" s="5" t="s">
        <v>7879</v>
      </c>
      <c r="D566" s="43">
        <v>50000</v>
      </c>
      <c r="E566" s="43"/>
      <c r="F566" s="46">
        <f t="shared" si="8"/>
        <v>372347</v>
      </c>
      <c r="G566" s="391" t="s">
        <v>9568</v>
      </c>
      <c r="I566" s="2"/>
    </row>
    <row r="567" spans="1:9" x14ac:dyDescent="0.3">
      <c r="A567" s="54">
        <v>44415</v>
      </c>
      <c r="C567" s="5" t="s">
        <v>7880</v>
      </c>
      <c r="D567" s="43">
        <v>5000</v>
      </c>
      <c r="E567" s="43"/>
      <c r="F567" s="46">
        <f t="shared" si="8"/>
        <v>367347</v>
      </c>
      <c r="G567" s="391" t="s">
        <v>9568</v>
      </c>
      <c r="I567" s="2"/>
    </row>
    <row r="568" spans="1:9" x14ac:dyDescent="0.3">
      <c r="A568" s="54">
        <v>44418</v>
      </c>
      <c r="C568" s="5" t="s">
        <v>294</v>
      </c>
      <c r="D568" s="43"/>
      <c r="E568" s="43">
        <v>20000</v>
      </c>
      <c r="F568" s="46">
        <f t="shared" si="8"/>
        <v>387347</v>
      </c>
      <c r="G568" s="391" t="s">
        <v>9568</v>
      </c>
      <c r="I568" s="2"/>
    </row>
    <row r="569" spans="1:9" x14ac:dyDescent="0.3">
      <c r="A569" s="54">
        <v>44419</v>
      </c>
      <c r="C569" s="5" t="s">
        <v>294</v>
      </c>
      <c r="D569" s="43"/>
      <c r="E569" s="43">
        <v>20000</v>
      </c>
      <c r="F569" s="46">
        <f t="shared" si="8"/>
        <v>407347</v>
      </c>
      <c r="G569" s="391" t="s">
        <v>9568</v>
      </c>
      <c r="I569" s="2"/>
    </row>
    <row r="570" spans="1:9" x14ac:dyDescent="0.3">
      <c r="A570" s="54">
        <v>44420</v>
      </c>
      <c r="C570" s="5" t="s">
        <v>4756</v>
      </c>
      <c r="D570" s="43">
        <v>1450</v>
      </c>
      <c r="E570" s="43"/>
      <c r="F570" s="46">
        <f t="shared" si="8"/>
        <v>405897</v>
      </c>
      <c r="G570" s="391" t="s">
        <v>9568</v>
      </c>
      <c r="I570" s="2"/>
    </row>
    <row r="571" spans="1:9" x14ac:dyDescent="0.3">
      <c r="A571" s="54">
        <v>44420</v>
      </c>
      <c r="C571" s="5" t="s">
        <v>7908</v>
      </c>
      <c r="D571" s="43">
        <v>42800</v>
      </c>
      <c r="E571" s="43"/>
      <c r="F571" s="46">
        <f t="shared" si="8"/>
        <v>363097</v>
      </c>
      <c r="G571" s="391" t="s">
        <v>9568</v>
      </c>
      <c r="I571" s="2"/>
    </row>
    <row r="572" spans="1:9" x14ac:dyDescent="0.3">
      <c r="A572" s="54">
        <v>44420</v>
      </c>
      <c r="C572" s="5" t="s">
        <v>7807</v>
      </c>
      <c r="D572" s="43">
        <v>5350</v>
      </c>
      <c r="E572" s="43"/>
      <c r="F572" s="46">
        <f t="shared" si="8"/>
        <v>357747</v>
      </c>
      <c r="G572" s="391" t="s">
        <v>9568</v>
      </c>
      <c r="I572" s="2"/>
    </row>
    <row r="573" spans="1:9" x14ac:dyDescent="0.3">
      <c r="A573" s="54">
        <v>44420</v>
      </c>
      <c r="C573" s="5" t="s">
        <v>4446</v>
      </c>
      <c r="D573" s="43">
        <v>2000</v>
      </c>
      <c r="E573" s="43"/>
      <c r="F573" s="46">
        <f t="shared" si="8"/>
        <v>355747</v>
      </c>
      <c r="G573" s="391" t="s">
        <v>9568</v>
      </c>
      <c r="I573" s="2"/>
    </row>
    <row r="574" spans="1:9" x14ac:dyDescent="0.3">
      <c r="A574" s="54">
        <v>44425</v>
      </c>
      <c r="C574" s="5" t="s">
        <v>294</v>
      </c>
      <c r="D574" s="43"/>
      <c r="E574" s="43">
        <v>15000</v>
      </c>
      <c r="F574" s="46">
        <f t="shared" si="8"/>
        <v>370747</v>
      </c>
      <c r="G574" s="391" t="s">
        <v>9568</v>
      </c>
      <c r="I574" s="2"/>
    </row>
    <row r="575" spans="1:9" x14ac:dyDescent="0.3">
      <c r="A575" s="54">
        <v>44425</v>
      </c>
      <c r="C575" s="5" t="s">
        <v>7920</v>
      </c>
      <c r="D575" s="43"/>
      <c r="E575" s="43">
        <v>150000</v>
      </c>
      <c r="F575" s="46">
        <f t="shared" si="8"/>
        <v>520747</v>
      </c>
      <c r="G575" s="391" t="s">
        <v>9568</v>
      </c>
      <c r="I575" s="2"/>
    </row>
    <row r="576" spans="1:9" x14ac:dyDescent="0.3">
      <c r="A576" s="54">
        <v>44425</v>
      </c>
      <c r="C576" s="5" t="s">
        <v>4490</v>
      </c>
      <c r="D576" s="43">
        <v>5000</v>
      </c>
      <c r="E576" s="43"/>
      <c r="F576" s="46">
        <f t="shared" si="8"/>
        <v>515747</v>
      </c>
      <c r="G576" s="391" t="s">
        <v>9568</v>
      </c>
      <c r="I576" s="2"/>
    </row>
    <row r="577" spans="1:9" x14ac:dyDescent="0.3">
      <c r="A577" s="54">
        <v>44425</v>
      </c>
      <c r="C577" s="5" t="s">
        <v>4490</v>
      </c>
      <c r="D577" s="43">
        <v>3000</v>
      </c>
      <c r="E577" s="43"/>
      <c r="F577" s="46">
        <f t="shared" si="8"/>
        <v>512747</v>
      </c>
      <c r="G577" s="391" t="s">
        <v>9568</v>
      </c>
      <c r="I577" s="2"/>
    </row>
    <row r="578" spans="1:9" x14ac:dyDescent="0.3">
      <c r="A578" s="54">
        <v>44425</v>
      </c>
      <c r="C578" s="5" t="s">
        <v>4490</v>
      </c>
      <c r="D578" s="43">
        <v>5000</v>
      </c>
      <c r="E578" s="43"/>
      <c r="F578" s="46">
        <f t="shared" si="8"/>
        <v>507747</v>
      </c>
      <c r="G578" s="391" t="s">
        <v>9568</v>
      </c>
      <c r="I578" s="2"/>
    </row>
    <row r="579" spans="1:9" x14ac:dyDescent="0.3">
      <c r="A579" s="54">
        <v>44431</v>
      </c>
      <c r="C579" s="5" t="s">
        <v>6716</v>
      </c>
      <c r="D579" s="43"/>
      <c r="E579" s="43">
        <v>9407</v>
      </c>
      <c r="F579" s="46">
        <f t="shared" si="8"/>
        <v>517154</v>
      </c>
      <c r="G579" s="391" t="s">
        <v>9568</v>
      </c>
      <c r="I579" s="2"/>
    </row>
    <row r="580" spans="1:9" ht="37.5" x14ac:dyDescent="0.3">
      <c r="A580" s="54">
        <v>44431</v>
      </c>
      <c r="C580" s="92" t="s">
        <v>7932</v>
      </c>
      <c r="D580" s="43"/>
      <c r="E580" s="43">
        <v>100000</v>
      </c>
      <c r="F580" s="46">
        <f t="shared" ref="F580:F643" si="9">F579+E580-D580</f>
        <v>617154</v>
      </c>
      <c r="G580" s="391" t="s">
        <v>9568</v>
      </c>
      <c r="I580" s="2"/>
    </row>
    <row r="581" spans="1:9" x14ac:dyDescent="0.3">
      <c r="A581" s="54">
        <v>44436</v>
      </c>
      <c r="C581" s="5" t="s">
        <v>294</v>
      </c>
      <c r="D581" s="43"/>
      <c r="E581" s="43">
        <v>10000</v>
      </c>
      <c r="F581" s="46">
        <f t="shared" si="9"/>
        <v>627154</v>
      </c>
      <c r="G581" s="391" t="s">
        <v>9568</v>
      </c>
      <c r="I581" s="2"/>
    </row>
    <row r="582" spans="1:9" x14ac:dyDescent="0.3">
      <c r="A582" s="54">
        <v>44444</v>
      </c>
      <c r="C582" s="5" t="s">
        <v>5425</v>
      </c>
      <c r="D582" s="43"/>
      <c r="E582" s="43">
        <v>10162</v>
      </c>
      <c r="F582" s="46">
        <f t="shared" si="9"/>
        <v>637316</v>
      </c>
      <c r="G582" s="391" t="s">
        <v>9568</v>
      </c>
      <c r="I582" s="2"/>
    </row>
    <row r="583" spans="1:9" x14ac:dyDescent="0.3">
      <c r="A583" s="54">
        <v>44444</v>
      </c>
      <c r="C583" s="5" t="s">
        <v>7952</v>
      </c>
      <c r="D583" s="43"/>
      <c r="E583" s="43">
        <v>5000</v>
      </c>
      <c r="F583" s="46">
        <f t="shared" si="9"/>
        <v>642316</v>
      </c>
      <c r="G583" s="391" t="s">
        <v>9568</v>
      </c>
      <c r="I583" s="2"/>
    </row>
    <row r="584" spans="1:9" x14ac:dyDescent="0.3">
      <c r="A584" s="54">
        <v>44455</v>
      </c>
      <c r="C584" s="5" t="s">
        <v>294</v>
      </c>
      <c r="D584" s="43"/>
      <c r="E584" s="43">
        <v>10000</v>
      </c>
      <c r="F584" s="46">
        <f t="shared" si="9"/>
        <v>652316</v>
      </c>
      <c r="G584" s="391" t="s">
        <v>9568</v>
      </c>
      <c r="I584" s="2"/>
    </row>
    <row r="585" spans="1:9" x14ac:dyDescent="0.3">
      <c r="A585" s="54">
        <v>44455</v>
      </c>
      <c r="C585" s="5" t="s">
        <v>4490</v>
      </c>
      <c r="D585" s="43">
        <v>20500</v>
      </c>
      <c r="E585" s="43"/>
      <c r="F585" s="46">
        <f t="shared" si="9"/>
        <v>631816</v>
      </c>
      <c r="G585" s="391" t="s">
        <v>9568</v>
      </c>
      <c r="I585" s="2"/>
    </row>
    <row r="586" spans="1:9" x14ac:dyDescent="0.3">
      <c r="A586" s="54">
        <v>44455</v>
      </c>
      <c r="C586" s="5" t="s">
        <v>7973</v>
      </c>
      <c r="D586" s="43">
        <v>5000</v>
      </c>
      <c r="E586" s="43"/>
      <c r="F586" s="46">
        <f t="shared" si="9"/>
        <v>626816</v>
      </c>
      <c r="G586" s="391" t="s">
        <v>9568</v>
      </c>
      <c r="I586" s="2"/>
    </row>
    <row r="587" spans="1:9" x14ac:dyDescent="0.3">
      <c r="A587" s="54">
        <v>44455</v>
      </c>
      <c r="C587" s="5" t="s">
        <v>7974</v>
      </c>
      <c r="D587" s="43">
        <v>50000</v>
      </c>
      <c r="E587" s="43"/>
      <c r="F587" s="46">
        <f t="shared" si="9"/>
        <v>576816</v>
      </c>
      <c r="G587" s="391" t="s">
        <v>9568</v>
      </c>
      <c r="I587" s="2"/>
    </row>
    <row r="588" spans="1:9" x14ac:dyDescent="0.3">
      <c r="A588" s="54">
        <v>44455</v>
      </c>
      <c r="C588" s="5" t="s">
        <v>7975</v>
      </c>
      <c r="D588" s="43">
        <v>5000</v>
      </c>
      <c r="E588" s="43"/>
      <c r="F588" s="46">
        <f t="shared" si="9"/>
        <v>571816</v>
      </c>
      <c r="G588" s="391" t="s">
        <v>9568</v>
      </c>
      <c r="I588" s="2"/>
    </row>
    <row r="589" spans="1:9" x14ac:dyDescent="0.3">
      <c r="A589" s="54">
        <v>44455</v>
      </c>
      <c r="C589" s="5" t="s">
        <v>7976</v>
      </c>
      <c r="D589" s="43">
        <v>20000</v>
      </c>
      <c r="E589" s="43"/>
      <c r="F589" s="46">
        <f t="shared" si="9"/>
        <v>551816</v>
      </c>
      <c r="G589" s="391" t="s">
        <v>9568</v>
      </c>
      <c r="I589" s="2"/>
    </row>
    <row r="590" spans="1:9" x14ac:dyDescent="0.3">
      <c r="A590" s="54">
        <v>44455</v>
      </c>
      <c r="C590" s="5" t="s">
        <v>4756</v>
      </c>
      <c r="D590" s="43">
        <v>8500</v>
      </c>
      <c r="E590" s="43"/>
      <c r="F590" s="46">
        <f t="shared" si="9"/>
        <v>543316</v>
      </c>
      <c r="G590" s="391" t="s">
        <v>9568</v>
      </c>
      <c r="I590" s="2"/>
    </row>
    <row r="591" spans="1:9" x14ac:dyDescent="0.3">
      <c r="A591" s="54">
        <v>44455</v>
      </c>
      <c r="C591" s="5" t="s">
        <v>5034</v>
      </c>
      <c r="D591" s="43">
        <v>5600</v>
      </c>
      <c r="E591" s="43"/>
      <c r="F591" s="46">
        <f t="shared" si="9"/>
        <v>537716</v>
      </c>
      <c r="G591" s="391" t="s">
        <v>9568</v>
      </c>
      <c r="I591" s="2"/>
    </row>
    <row r="592" spans="1:9" x14ac:dyDescent="0.3">
      <c r="A592" s="54">
        <v>44455</v>
      </c>
      <c r="C592" s="5" t="s">
        <v>4446</v>
      </c>
      <c r="D592" s="43">
        <v>9680</v>
      </c>
      <c r="E592" s="43"/>
      <c r="F592" s="46">
        <f t="shared" si="9"/>
        <v>528036</v>
      </c>
      <c r="G592" s="391" t="s">
        <v>9568</v>
      </c>
      <c r="I592" s="2"/>
    </row>
    <row r="593" spans="1:9" x14ac:dyDescent="0.3">
      <c r="A593" s="54">
        <v>44455</v>
      </c>
      <c r="C593" s="5" t="s">
        <v>7908</v>
      </c>
      <c r="D593" s="43">
        <v>21700</v>
      </c>
      <c r="E593" s="43"/>
      <c r="F593" s="46">
        <f t="shared" si="9"/>
        <v>506336</v>
      </c>
      <c r="G593" s="391" t="s">
        <v>9568</v>
      </c>
      <c r="I593" s="2"/>
    </row>
    <row r="594" spans="1:9" x14ac:dyDescent="0.3">
      <c r="A594" s="54">
        <v>44455</v>
      </c>
      <c r="C594" s="5" t="s">
        <v>8006</v>
      </c>
      <c r="D594" s="43"/>
      <c r="E594" s="43">
        <v>40000</v>
      </c>
      <c r="F594" s="46">
        <f t="shared" si="9"/>
        <v>546336</v>
      </c>
      <c r="G594" s="391" t="s">
        <v>9568</v>
      </c>
      <c r="I594" s="2"/>
    </row>
    <row r="595" spans="1:9" x14ac:dyDescent="0.3">
      <c r="A595" s="54">
        <v>44459</v>
      </c>
      <c r="C595" s="5" t="s">
        <v>8007</v>
      </c>
      <c r="D595" s="43">
        <v>15000</v>
      </c>
      <c r="E595" s="43"/>
      <c r="F595" s="46">
        <f t="shared" si="9"/>
        <v>531336</v>
      </c>
      <c r="G595" s="391" t="s">
        <v>9568</v>
      </c>
      <c r="I595" s="2"/>
    </row>
    <row r="596" spans="1:9" x14ac:dyDescent="0.3">
      <c r="A596" s="54">
        <v>44460</v>
      </c>
      <c r="C596" s="5" t="s">
        <v>294</v>
      </c>
      <c r="D596" s="43"/>
      <c r="E596" s="43">
        <v>2000</v>
      </c>
      <c r="F596" s="46">
        <f t="shared" si="9"/>
        <v>533336</v>
      </c>
      <c r="G596" s="391" t="s">
        <v>9568</v>
      </c>
      <c r="I596" s="2"/>
    </row>
    <row r="597" spans="1:9" x14ac:dyDescent="0.3">
      <c r="A597" s="54">
        <v>44461</v>
      </c>
      <c r="C597" s="5" t="s">
        <v>8020</v>
      </c>
      <c r="D597" s="43"/>
      <c r="E597" s="43">
        <v>15000</v>
      </c>
      <c r="F597" s="46">
        <f t="shared" si="9"/>
        <v>548336</v>
      </c>
      <c r="G597" s="391" t="s">
        <v>9568</v>
      </c>
      <c r="I597" s="2"/>
    </row>
    <row r="598" spans="1:9" x14ac:dyDescent="0.3">
      <c r="A598" s="54">
        <v>44462</v>
      </c>
      <c r="C598" s="5" t="s">
        <v>5525</v>
      </c>
      <c r="D598" s="43">
        <v>5000</v>
      </c>
      <c r="E598" s="43"/>
      <c r="F598" s="46">
        <f t="shared" si="9"/>
        <v>543336</v>
      </c>
      <c r="G598" s="391" t="s">
        <v>9568</v>
      </c>
      <c r="I598" s="2"/>
    </row>
    <row r="599" spans="1:9" x14ac:dyDescent="0.3">
      <c r="A599" s="54">
        <v>44462</v>
      </c>
      <c r="C599" s="5" t="s">
        <v>8028</v>
      </c>
      <c r="D599" s="43">
        <v>2500</v>
      </c>
      <c r="E599" s="43"/>
      <c r="F599" s="46">
        <f t="shared" si="9"/>
        <v>540836</v>
      </c>
      <c r="G599" s="391" t="s">
        <v>9568</v>
      </c>
      <c r="I599" s="2"/>
    </row>
    <row r="600" spans="1:9" x14ac:dyDescent="0.3">
      <c r="A600" s="54">
        <v>44462</v>
      </c>
      <c r="C600" s="5" t="s">
        <v>4756</v>
      </c>
      <c r="D600" s="43">
        <v>6500</v>
      </c>
      <c r="E600" s="43"/>
      <c r="F600" s="46">
        <f t="shared" si="9"/>
        <v>534336</v>
      </c>
      <c r="G600" s="391" t="s">
        <v>9568</v>
      </c>
      <c r="I600" s="2"/>
    </row>
    <row r="601" spans="1:9" x14ac:dyDescent="0.3">
      <c r="A601" s="54">
        <v>44463</v>
      </c>
      <c r="C601" s="5" t="s">
        <v>8020</v>
      </c>
      <c r="D601" s="43"/>
      <c r="E601" s="43">
        <v>10000</v>
      </c>
      <c r="F601" s="46">
        <f t="shared" si="9"/>
        <v>544336</v>
      </c>
      <c r="G601" s="391" t="s">
        <v>9568</v>
      </c>
      <c r="I601" s="2"/>
    </row>
    <row r="602" spans="1:9" x14ac:dyDescent="0.3">
      <c r="A602" s="54">
        <v>44463</v>
      </c>
      <c r="C602" s="5" t="s">
        <v>7453</v>
      </c>
      <c r="D602" s="43">
        <v>3000</v>
      </c>
      <c r="E602" s="43"/>
      <c r="F602" s="46">
        <f t="shared" si="9"/>
        <v>541336</v>
      </c>
      <c r="G602" s="391" t="s">
        <v>9568</v>
      </c>
      <c r="I602" s="2"/>
    </row>
    <row r="603" spans="1:9" x14ac:dyDescent="0.3">
      <c r="A603" s="54">
        <v>44463</v>
      </c>
      <c r="C603" s="5" t="s">
        <v>4490</v>
      </c>
      <c r="D603" s="43">
        <v>1000</v>
      </c>
      <c r="E603" s="43"/>
      <c r="F603" s="46">
        <f t="shared" si="9"/>
        <v>540336</v>
      </c>
      <c r="G603" s="391" t="s">
        <v>9568</v>
      </c>
      <c r="I603" s="2"/>
    </row>
    <row r="604" spans="1:9" x14ac:dyDescent="0.3">
      <c r="A604" s="54">
        <v>44468</v>
      </c>
      <c r="C604" s="5" t="s">
        <v>294</v>
      </c>
      <c r="D604" s="43"/>
      <c r="E604" s="43">
        <v>9000</v>
      </c>
      <c r="F604" s="46">
        <f t="shared" si="9"/>
        <v>549336</v>
      </c>
      <c r="G604" s="391" t="s">
        <v>9568</v>
      </c>
      <c r="I604" s="2"/>
    </row>
    <row r="605" spans="1:9" x14ac:dyDescent="0.3">
      <c r="A605" s="54">
        <v>44468</v>
      </c>
      <c r="C605" s="5" t="s">
        <v>6323</v>
      </c>
      <c r="D605" s="43">
        <v>1000</v>
      </c>
      <c r="E605" s="43"/>
      <c r="F605" s="46">
        <f t="shared" si="9"/>
        <v>548336</v>
      </c>
      <c r="G605" s="391" t="s">
        <v>9568</v>
      </c>
      <c r="I605" s="2"/>
    </row>
    <row r="606" spans="1:9" x14ac:dyDescent="0.3">
      <c r="A606" s="54">
        <v>44468</v>
      </c>
      <c r="C606" s="5" t="s">
        <v>8052</v>
      </c>
      <c r="D606" s="43">
        <v>1500</v>
      </c>
      <c r="E606" s="43"/>
      <c r="F606" s="46">
        <f t="shared" si="9"/>
        <v>546836</v>
      </c>
      <c r="G606" s="391" t="s">
        <v>9568</v>
      </c>
      <c r="I606" s="2"/>
    </row>
    <row r="607" spans="1:9" x14ac:dyDescent="0.3">
      <c r="A607" s="54">
        <v>44473</v>
      </c>
      <c r="C607" s="5" t="s">
        <v>294</v>
      </c>
      <c r="D607" s="43"/>
      <c r="E607" s="43">
        <v>5000</v>
      </c>
      <c r="F607" s="46">
        <f t="shared" si="9"/>
        <v>551836</v>
      </c>
      <c r="G607" s="391" t="s">
        <v>9568</v>
      </c>
      <c r="I607" s="2"/>
    </row>
    <row r="608" spans="1:9" x14ac:dyDescent="0.3">
      <c r="A608" s="54">
        <v>44473</v>
      </c>
      <c r="C608" s="5" t="s">
        <v>8071</v>
      </c>
      <c r="D608" s="43"/>
      <c r="E608" s="43"/>
      <c r="F608" s="46">
        <f t="shared" si="9"/>
        <v>551836</v>
      </c>
      <c r="G608" s="391" t="s">
        <v>9568</v>
      </c>
      <c r="H608" s="277"/>
      <c r="I608" s="2"/>
    </row>
    <row r="609" spans="1:9" x14ac:dyDescent="0.3">
      <c r="A609" s="54">
        <v>44473</v>
      </c>
      <c r="C609" s="5" t="s">
        <v>7860</v>
      </c>
      <c r="D609" s="43"/>
      <c r="E609" s="43">
        <v>20000</v>
      </c>
      <c r="F609" s="46">
        <f t="shared" si="9"/>
        <v>571836</v>
      </c>
      <c r="G609" s="391" t="s">
        <v>9568</v>
      </c>
      <c r="I609" s="2"/>
    </row>
    <row r="610" spans="1:9" x14ac:dyDescent="0.3">
      <c r="A610" s="54">
        <v>44473</v>
      </c>
      <c r="C610" s="5" t="s">
        <v>8083</v>
      </c>
      <c r="D610" s="43">
        <v>50000</v>
      </c>
      <c r="E610" s="43"/>
      <c r="F610" s="46">
        <f t="shared" si="9"/>
        <v>521836</v>
      </c>
      <c r="G610" s="391" t="s">
        <v>9568</v>
      </c>
      <c r="I610" s="2"/>
    </row>
    <row r="611" spans="1:9" x14ac:dyDescent="0.3">
      <c r="A611" s="54">
        <v>44473</v>
      </c>
      <c r="C611" s="5" t="s">
        <v>8084</v>
      </c>
      <c r="D611" s="43">
        <v>5000</v>
      </c>
      <c r="E611" s="43"/>
      <c r="F611" s="46">
        <f t="shared" si="9"/>
        <v>516836</v>
      </c>
      <c r="G611" s="391" t="s">
        <v>9568</v>
      </c>
      <c r="I611" s="2"/>
    </row>
    <row r="612" spans="1:9" x14ac:dyDescent="0.3">
      <c r="A612" s="54">
        <v>44474</v>
      </c>
      <c r="C612" s="5" t="s">
        <v>5508</v>
      </c>
      <c r="D612" s="43"/>
      <c r="E612" s="43">
        <v>10000</v>
      </c>
      <c r="F612" s="46">
        <f t="shared" si="9"/>
        <v>526836</v>
      </c>
      <c r="G612" s="391" t="s">
        <v>9568</v>
      </c>
      <c r="I612" s="2"/>
    </row>
    <row r="613" spans="1:9" x14ac:dyDescent="0.3">
      <c r="A613" s="54">
        <v>44474</v>
      </c>
      <c r="C613" s="5" t="s">
        <v>5508</v>
      </c>
      <c r="D613" s="43"/>
      <c r="E613" s="43">
        <v>5000</v>
      </c>
      <c r="F613" s="46">
        <f t="shared" si="9"/>
        <v>531836</v>
      </c>
      <c r="G613" s="391" t="s">
        <v>9568</v>
      </c>
      <c r="I613" s="2"/>
    </row>
    <row r="614" spans="1:9" x14ac:dyDescent="0.3">
      <c r="A614" s="54">
        <v>44480</v>
      </c>
      <c r="C614" s="5" t="s">
        <v>294</v>
      </c>
      <c r="D614" s="43"/>
      <c r="E614" s="43">
        <v>2000</v>
      </c>
      <c r="F614" s="46">
        <f t="shared" si="9"/>
        <v>533836</v>
      </c>
      <c r="G614" s="391" t="s">
        <v>9568</v>
      </c>
      <c r="I614" s="2"/>
    </row>
    <row r="615" spans="1:9" x14ac:dyDescent="0.3">
      <c r="A615" s="54">
        <v>44482</v>
      </c>
      <c r="C615" s="5" t="s">
        <v>6014</v>
      </c>
      <c r="D615" s="43">
        <v>3350</v>
      </c>
      <c r="E615" s="43"/>
      <c r="F615" s="46">
        <f t="shared" si="9"/>
        <v>530486</v>
      </c>
      <c r="G615" s="391" t="s">
        <v>9568</v>
      </c>
      <c r="I615" s="2"/>
    </row>
    <row r="616" spans="1:9" x14ac:dyDescent="0.3">
      <c r="A616" s="54">
        <v>44482</v>
      </c>
      <c r="C616" s="5" t="s">
        <v>8125</v>
      </c>
      <c r="D616" s="43">
        <v>4350</v>
      </c>
      <c r="E616" s="43"/>
      <c r="F616" s="46">
        <f t="shared" si="9"/>
        <v>526136</v>
      </c>
      <c r="G616" s="391" t="s">
        <v>9568</v>
      </c>
      <c r="I616" s="2"/>
    </row>
    <row r="617" spans="1:9" x14ac:dyDescent="0.3">
      <c r="A617" s="54">
        <v>44482</v>
      </c>
      <c r="C617" s="5" t="s">
        <v>8028</v>
      </c>
      <c r="D617" s="43">
        <v>34900</v>
      </c>
      <c r="E617" s="43"/>
      <c r="F617" s="46">
        <f t="shared" si="9"/>
        <v>491236</v>
      </c>
      <c r="G617" s="391" t="s">
        <v>9568</v>
      </c>
      <c r="I617" s="2"/>
    </row>
    <row r="618" spans="1:9" x14ac:dyDescent="0.3">
      <c r="A618" s="54">
        <v>44482</v>
      </c>
      <c r="C618" s="5" t="s">
        <v>294</v>
      </c>
      <c r="D618" s="43"/>
      <c r="E618" s="43">
        <v>2000</v>
      </c>
      <c r="F618" s="46">
        <f t="shared" si="9"/>
        <v>493236</v>
      </c>
      <c r="G618" s="391" t="s">
        <v>9568</v>
      </c>
      <c r="I618" s="2"/>
    </row>
    <row r="619" spans="1:9" x14ac:dyDescent="0.3">
      <c r="A619" s="54">
        <v>44489</v>
      </c>
      <c r="C619" s="5" t="s">
        <v>294</v>
      </c>
      <c r="D619" s="43"/>
      <c r="E619" s="43">
        <v>35000</v>
      </c>
      <c r="F619" s="46">
        <f t="shared" si="9"/>
        <v>528236</v>
      </c>
      <c r="G619" s="391" t="s">
        <v>9568</v>
      </c>
      <c r="I619" s="2"/>
    </row>
    <row r="620" spans="1:9" x14ac:dyDescent="0.3">
      <c r="A620" s="54">
        <v>44490</v>
      </c>
      <c r="C620" s="5" t="s">
        <v>4756</v>
      </c>
      <c r="D620" s="43">
        <v>1000</v>
      </c>
      <c r="E620" s="43"/>
      <c r="F620" s="46">
        <f t="shared" si="9"/>
        <v>527236</v>
      </c>
      <c r="G620" s="391" t="s">
        <v>9568</v>
      </c>
      <c r="I620" s="2"/>
    </row>
    <row r="621" spans="1:9" x14ac:dyDescent="0.3">
      <c r="A621" s="54">
        <v>44490</v>
      </c>
      <c r="C621" s="5" t="s">
        <v>8153</v>
      </c>
      <c r="D621" s="43">
        <v>3500</v>
      </c>
      <c r="E621" s="43"/>
      <c r="F621" s="46">
        <f t="shared" si="9"/>
        <v>523736</v>
      </c>
      <c r="G621" s="391" t="s">
        <v>9568</v>
      </c>
      <c r="I621" s="2"/>
    </row>
    <row r="622" spans="1:9" x14ac:dyDescent="0.3">
      <c r="A622" s="54">
        <v>44494</v>
      </c>
      <c r="C622" s="5" t="s">
        <v>8181</v>
      </c>
      <c r="D622" s="43"/>
      <c r="E622" s="43">
        <v>10744</v>
      </c>
      <c r="F622" s="46">
        <f t="shared" si="9"/>
        <v>534480</v>
      </c>
      <c r="G622" s="391" t="s">
        <v>9568</v>
      </c>
      <c r="I622" s="2"/>
    </row>
    <row r="623" spans="1:9" x14ac:dyDescent="0.3">
      <c r="A623" s="54">
        <v>44492</v>
      </c>
      <c r="C623" s="5" t="s">
        <v>8183</v>
      </c>
      <c r="D623" s="43">
        <v>15000</v>
      </c>
      <c r="E623" s="43"/>
      <c r="F623" s="46">
        <f t="shared" si="9"/>
        <v>519480</v>
      </c>
      <c r="G623" s="391" t="s">
        <v>9568</v>
      </c>
      <c r="I623" s="2"/>
    </row>
    <row r="624" spans="1:9" x14ac:dyDescent="0.3">
      <c r="A624" s="54">
        <v>44497</v>
      </c>
      <c r="C624" s="5" t="s">
        <v>294</v>
      </c>
      <c r="D624" s="43"/>
      <c r="E624" s="43">
        <v>15000</v>
      </c>
      <c r="F624" s="46">
        <f t="shared" si="9"/>
        <v>534480</v>
      </c>
      <c r="G624" s="391" t="s">
        <v>9568</v>
      </c>
      <c r="I624" s="2"/>
    </row>
    <row r="625" spans="1:9" x14ac:dyDescent="0.3">
      <c r="A625" s="54">
        <v>44498</v>
      </c>
      <c r="C625" s="5" t="s">
        <v>294</v>
      </c>
      <c r="D625" s="43"/>
      <c r="E625" s="43">
        <v>1000</v>
      </c>
      <c r="F625" s="46">
        <f t="shared" si="9"/>
        <v>535480</v>
      </c>
      <c r="G625" s="391" t="s">
        <v>9568</v>
      </c>
      <c r="I625" s="2"/>
    </row>
    <row r="626" spans="1:9" x14ac:dyDescent="0.3">
      <c r="A626" s="54">
        <v>44498</v>
      </c>
      <c r="C626" s="5" t="s">
        <v>294</v>
      </c>
      <c r="D626" s="43"/>
      <c r="E626" s="43">
        <v>50000</v>
      </c>
      <c r="F626" s="46">
        <f t="shared" si="9"/>
        <v>585480</v>
      </c>
      <c r="G626" s="391" t="s">
        <v>9568</v>
      </c>
      <c r="I626" s="2"/>
    </row>
    <row r="627" spans="1:9" x14ac:dyDescent="0.3">
      <c r="A627" s="54">
        <v>44499</v>
      </c>
      <c r="C627" s="5" t="s">
        <v>8209</v>
      </c>
      <c r="D627" s="43">
        <v>13000</v>
      </c>
      <c r="E627" s="43"/>
      <c r="F627" s="46">
        <f t="shared" si="9"/>
        <v>572480</v>
      </c>
      <c r="G627" s="391" t="s">
        <v>9568</v>
      </c>
      <c r="I627" s="2"/>
    </row>
    <row r="628" spans="1:9" x14ac:dyDescent="0.3">
      <c r="A628" s="54">
        <v>44501</v>
      </c>
      <c r="C628" s="5" t="s">
        <v>8213</v>
      </c>
      <c r="D628" s="43"/>
      <c r="E628" s="43">
        <v>11290</v>
      </c>
      <c r="F628" s="46">
        <f t="shared" si="9"/>
        <v>583770</v>
      </c>
      <c r="G628" s="391" t="s">
        <v>9568</v>
      </c>
      <c r="I628" s="2"/>
    </row>
    <row r="629" spans="1:9" x14ac:dyDescent="0.3">
      <c r="A629" s="54">
        <v>44502</v>
      </c>
      <c r="C629" s="5" t="s">
        <v>8217</v>
      </c>
      <c r="D629" s="43">
        <v>44000</v>
      </c>
      <c r="E629" s="43"/>
      <c r="F629" s="46">
        <f t="shared" si="9"/>
        <v>539770</v>
      </c>
      <c r="G629" s="391" t="s">
        <v>9568</v>
      </c>
      <c r="I629" s="2"/>
    </row>
    <row r="630" spans="1:9" x14ac:dyDescent="0.3">
      <c r="A630" s="54">
        <v>44503</v>
      </c>
      <c r="C630" s="5" t="s">
        <v>7860</v>
      </c>
      <c r="D630" s="43"/>
      <c r="E630" s="43">
        <v>20000</v>
      </c>
      <c r="F630" s="46">
        <f t="shared" si="9"/>
        <v>559770</v>
      </c>
      <c r="G630" s="391" t="s">
        <v>9568</v>
      </c>
      <c r="I630" s="2"/>
    </row>
    <row r="631" spans="1:9" x14ac:dyDescent="0.3">
      <c r="A631" s="54">
        <v>44503</v>
      </c>
      <c r="C631" s="5" t="s">
        <v>8220</v>
      </c>
      <c r="D631" s="43">
        <v>3000</v>
      </c>
      <c r="E631" s="43"/>
      <c r="F631" s="46">
        <f t="shared" si="9"/>
        <v>556770</v>
      </c>
      <c r="G631" s="391" t="s">
        <v>9568</v>
      </c>
      <c r="I631" s="2"/>
    </row>
    <row r="632" spans="1:9" x14ac:dyDescent="0.3">
      <c r="A632" s="54">
        <v>44503</v>
      </c>
      <c r="C632" s="5" t="s">
        <v>294</v>
      </c>
      <c r="D632" s="43"/>
      <c r="E632" s="43">
        <v>5000</v>
      </c>
      <c r="F632" s="46">
        <f t="shared" si="9"/>
        <v>561770</v>
      </c>
      <c r="G632" s="391" t="s">
        <v>9568</v>
      </c>
      <c r="I632" s="2"/>
    </row>
    <row r="633" spans="1:9" x14ac:dyDescent="0.3">
      <c r="A633" s="54">
        <v>44505</v>
      </c>
      <c r="C633" s="5" t="s">
        <v>8222</v>
      </c>
      <c r="D633" s="43">
        <v>3000</v>
      </c>
      <c r="E633" s="43"/>
      <c r="F633" s="46">
        <f t="shared" si="9"/>
        <v>558770</v>
      </c>
      <c r="G633" s="391" t="s">
        <v>9568</v>
      </c>
      <c r="I633" s="2"/>
    </row>
    <row r="634" spans="1:9" x14ac:dyDescent="0.3">
      <c r="A634" s="54">
        <v>44508</v>
      </c>
      <c r="C634" s="5" t="s">
        <v>8243</v>
      </c>
      <c r="D634" s="43">
        <v>50000</v>
      </c>
      <c r="E634" s="43"/>
      <c r="F634" s="46">
        <f t="shared" si="9"/>
        <v>508770</v>
      </c>
      <c r="G634" s="391" t="s">
        <v>9568</v>
      </c>
      <c r="I634" s="2"/>
    </row>
    <row r="635" spans="1:9" x14ac:dyDescent="0.3">
      <c r="A635" s="54">
        <v>44508</v>
      </c>
      <c r="C635" s="5" t="s">
        <v>8244</v>
      </c>
      <c r="D635" s="43">
        <v>5000</v>
      </c>
      <c r="E635" s="43"/>
      <c r="F635" s="46">
        <f t="shared" si="9"/>
        <v>503770</v>
      </c>
      <c r="G635" s="391" t="s">
        <v>9568</v>
      </c>
      <c r="I635" s="2"/>
    </row>
    <row r="636" spans="1:9" x14ac:dyDescent="0.3">
      <c r="A636" s="54">
        <v>44509</v>
      </c>
      <c r="C636" s="5" t="s">
        <v>7786</v>
      </c>
      <c r="D636" s="43">
        <v>3660</v>
      </c>
      <c r="E636" s="43"/>
      <c r="F636" s="46">
        <f t="shared" si="9"/>
        <v>500110</v>
      </c>
      <c r="G636" s="391" t="s">
        <v>9568</v>
      </c>
      <c r="I636" s="2"/>
    </row>
    <row r="637" spans="1:9" x14ac:dyDescent="0.3">
      <c r="A637" s="54">
        <v>44509</v>
      </c>
      <c r="C637" s="5" t="s">
        <v>294</v>
      </c>
      <c r="D637" s="43"/>
      <c r="E637" s="43">
        <v>15000</v>
      </c>
      <c r="F637" s="46">
        <f t="shared" si="9"/>
        <v>515110</v>
      </c>
      <c r="G637" s="391" t="s">
        <v>9568</v>
      </c>
      <c r="I637" s="2"/>
    </row>
    <row r="638" spans="1:9" x14ac:dyDescent="0.3">
      <c r="A638" s="54">
        <v>44511</v>
      </c>
      <c r="C638" s="5" t="s">
        <v>8247</v>
      </c>
      <c r="D638" s="43">
        <v>10000</v>
      </c>
      <c r="E638" s="43"/>
      <c r="F638" s="46">
        <f t="shared" si="9"/>
        <v>505110</v>
      </c>
      <c r="G638" s="391" t="s">
        <v>9568</v>
      </c>
      <c r="I638" s="2"/>
    </row>
    <row r="639" spans="1:9" x14ac:dyDescent="0.3">
      <c r="A639" s="54">
        <v>44511</v>
      </c>
      <c r="C639" s="5" t="s">
        <v>8248</v>
      </c>
      <c r="D639" s="43">
        <v>3200</v>
      </c>
      <c r="E639" s="43"/>
      <c r="F639" s="46">
        <f t="shared" si="9"/>
        <v>501910</v>
      </c>
      <c r="G639" s="391" t="s">
        <v>9568</v>
      </c>
      <c r="I639" s="2"/>
    </row>
    <row r="640" spans="1:9" x14ac:dyDescent="0.3">
      <c r="A640" s="54">
        <v>44511</v>
      </c>
      <c r="C640" s="5" t="s">
        <v>294</v>
      </c>
      <c r="D640" s="43"/>
      <c r="E640" s="43">
        <v>7000</v>
      </c>
      <c r="F640" s="46">
        <f t="shared" si="9"/>
        <v>508910</v>
      </c>
      <c r="G640" s="391" t="s">
        <v>9568</v>
      </c>
      <c r="I640" s="2"/>
    </row>
    <row r="641" spans="1:9" x14ac:dyDescent="0.3">
      <c r="A641" s="54">
        <v>44511</v>
      </c>
      <c r="C641" s="5" t="s">
        <v>8251</v>
      </c>
      <c r="D641" s="43">
        <v>13000</v>
      </c>
      <c r="E641" s="43"/>
      <c r="F641" s="46">
        <f t="shared" si="9"/>
        <v>495910</v>
      </c>
      <c r="G641" s="391" t="s">
        <v>9568</v>
      </c>
      <c r="I641" s="2"/>
    </row>
    <row r="642" spans="1:9" x14ac:dyDescent="0.3">
      <c r="A642" s="54">
        <v>44511</v>
      </c>
      <c r="C642" s="5" t="s">
        <v>294</v>
      </c>
      <c r="D642" s="43"/>
      <c r="E642" s="43">
        <v>1000</v>
      </c>
      <c r="F642" s="46">
        <f t="shared" si="9"/>
        <v>496910</v>
      </c>
      <c r="G642" s="391" t="s">
        <v>9568</v>
      </c>
      <c r="I642" s="2"/>
    </row>
    <row r="643" spans="1:9" x14ac:dyDescent="0.3">
      <c r="A643" s="54">
        <v>44512</v>
      </c>
      <c r="C643" s="5" t="s">
        <v>8254</v>
      </c>
      <c r="D643" s="43"/>
      <c r="E643" s="43">
        <v>65000</v>
      </c>
      <c r="F643" s="46">
        <f t="shared" si="9"/>
        <v>561910</v>
      </c>
      <c r="G643" s="391" t="s">
        <v>9568</v>
      </c>
      <c r="I643" s="2"/>
    </row>
    <row r="644" spans="1:9" x14ac:dyDescent="0.3">
      <c r="A644" s="54">
        <v>44512</v>
      </c>
      <c r="C644" s="5" t="s">
        <v>8258</v>
      </c>
      <c r="D644" s="43">
        <v>46200</v>
      </c>
      <c r="E644" s="43"/>
      <c r="F644" s="46">
        <f t="shared" ref="F644:F652" si="10">F643+E644-D644</f>
        <v>515710</v>
      </c>
      <c r="G644" s="391" t="s">
        <v>9568</v>
      </c>
      <c r="I644" s="2"/>
    </row>
    <row r="645" spans="1:9" x14ac:dyDescent="0.3">
      <c r="A645" s="54">
        <v>44512</v>
      </c>
      <c r="C645" s="5" t="s">
        <v>294</v>
      </c>
      <c r="D645" s="43"/>
      <c r="E645" s="43">
        <v>25000</v>
      </c>
      <c r="F645" s="46">
        <f t="shared" si="10"/>
        <v>540710</v>
      </c>
      <c r="G645" s="391" t="s">
        <v>9568</v>
      </c>
      <c r="I645" s="2"/>
    </row>
    <row r="646" spans="1:9" ht="18.75" x14ac:dyDescent="0.3">
      <c r="A646" s="54">
        <v>44514</v>
      </c>
      <c r="B646" s="322"/>
      <c r="C646" s="5" t="s">
        <v>8275</v>
      </c>
      <c r="D646" s="43">
        <v>18000</v>
      </c>
      <c r="E646" s="43"/>
      <c r="F646" s="46">
        <f t="shared" si="10"/>
        <v>522710</v>
      </c>
      <c r="G646" s="391" t="s">
        <v>9568</v>
      </c>
      <c r="I646" s="2"/>
    </row>
    <row r="647" spans="1:9" ht="18.75" x14ac:dyDescent="0.3">
      <c r="A647" s="54">
        <v>44519</v>
      </c>
      <c r="B647" s="322"/>
      <c r="C647" s="5" t="s">
        <v>294</v>
      </c>
      <c r="D647" s="43"/>
      <c r="E647" s="43">
        <v>25000</v>
      </c>
      <c r="F647" s="46">
        <f t="shared" si="10"/>
        <v>547710</v>
      </c>
      <c r="G647" s="391" t="s">
        <v>9568</v>
      </c>
    </row>
    <row r="648" spans="1:9" ht="18.75" x14ac:dyDescent="0.3">
      <c r="A648" s="54">
        <v>44519</v>
      </c>
      <c r="B648" s="322"/>
      <c r="C648" s="5" t="s">
        <v>8554</v>
      </c>
      <c r="D648" s="43">
        <v>5000</v>
      </c>
      <c r="E648" s="43"/>
      <c r="F648" s="46">
        <f t="shared" si="10"/>
        <v>542710</v>
      </c>
      <c r="G648" s="391" t="s">
        <v>9568</v>
      </c>
    </row>
    <row r="649" spans="1:9" ht="18.75" x14ac:dyDescent="0.3">
      <c r="A649" s="54">
        <v>44519</v>
      </c>
      <c r="B649" s="322"/>
      <c r="C649" s="5" t="s">
        <v>7786</v>
      </c>
      <c r="D649" s="43">
        <v>3000</v>
      </c>
      <c r="E649" s="43"/>
      <c r="F649" s="46">
        <f t="shared" si="10"/>
        <v>539710</v>
      </c>
      <c r="G649" s="391" t="s">
        <v>9568</v>
      </c>
    </row>
    <row r="650" spans="1:9" ht="18.75" x14ac:dyDescent="0.3">
      <c r="A650" s="54">
        <v>44519</v>
      </c>
      <c r="B650" s="322"/>
      <c r="C650" s="5" t="s">
        <v>8555</v>
      </c>
      <c r="D650" s="43">
        <v>15500</v>
      </c>
      <c r="E650" s="43"/>
      <c r="F650" s="46">
        <f t="shared" si="10"/>
        <v>524210</v>
      </c>
      <c r="G650" s="391" t="s">
        <v>9568</v>
      </c>
    </row>
    <row r="651" spans="1:9" ht="18.75" x14ac:dyDescent="0.3">
      <c r="A651" s="54">
        <v>44520</v>
      </c>
      <c r="B651" s="322"/>
      <c r="C651" s="5" t="s">
        <v>8556</v>
      </c>
      <c r="D651" s="43">
        <v>6000</v>
      </c>
      <c r="E651" s="43"/>
      <c r="F651" s="46">
        <f t="shared" si="10"/>
        <v>518210</v>
      </c>
      <c r="G651" s="391" t="s">
        <v>9568</v>
      </c>
    </row>
    <row r="652" spans="1:9" ht="18.75" x14ac:dyDescent="0.3">
      <c r="A652" s="54">
        <v>44520</v>
      </c>
      <c r="B652" s="322"/>
      <c r="C652" s="5" t="s">
        <v>8557</v>
      </c>
      <c r="D652" s="43">
        <v>16000</v>
      </c>
      <c r="E652" s="43"/>
      <c r="F652" s="46">
        <f t="shared" si="10"/>
        <v>502210</v>
      </c>
      <c r="G652" s="391" t="s">
        <v>9568</v>
      </c>
    </row>
    <row r="653" spans="1:9" ht="18.75" x14ac:dyDescent="0.3">
      <c r="A653" s="54">
        <v>44520</v>
      </c>
      <c r="B653" s="322"/>
      <c r="C653" s="5" t="s">
        <v>294</v>
      </c>
      <c r="D653" s="43"/>
      <c r="E653" s="43">
        <v>20000</v>
      </c>
      <c r="F653" s="46">
        <f t="shared" ref="F653" si="11">F652+E653-D653</f>
        <v>522210</v>
      </c>
      <c r="G653" s="391" t="s">
        <v>9568</v>
      </c>
    </row>
    <row r="654" spans="1:9" ht="18.75" x14ac:dyDescent="0.3">
      <c r="A654" s="54">
        <v>44520</v>
      </c>
      <c r="B654" s="322"/>
      <c r="C654" s="5" t="s">
        <v>8558</v>
      </c>
      <c r="D654" s="43">
        <v>8000</v>
      </c>
      <c r="E654" s="43"/>
      <c r="F654" s="46">
        <f t="shared" ref="F654:F707" si="12">F653+E654-D654</f>
        <v>514210</v>
      </c>
      <c r="G654" s="391" t="s">
        <v>9568</v>
      </c>
    </row>
    <row r="655" spans="1:9" ht="18.75" x14ac:dyDescent="0.3">
      <c r="A655" s="54">
        <v>44520</v>
      </c>
      <c r="B655" s="322" t="s">
        <v>445</v>
      </c>
      <c r="C655" s="5" t="s">
        <v>294</v>
      </c>
      <c r="D655" s="43">
        <v>2000</v>
      </c>
      <c r="E655" s="43"/>
      <c r="F655" s="46">
        <f t="shared" si="12"/>
        <v>512210</v>
      </c>
      <c r="G655" s="391" t="s">
        <v>9568</v>
      </c>
    </row>
    <row r="656" spans="1:9" ht="18.75" x14ac:dyDescent="0.3">
      <c r="A656" s="54">
        <v>44522</v>
      </c>
      <c r="B656" s="322"/>
      <c r="C656" s="5" t="s">
        <v>294</v>
      </c>
      <c r="D656" s="43"/>
      <c r="E656" s="43">
        <v>5000</v>
      </c>
      <c r="F656" s="46">
        <f t="shared" si="12"/>
        <v>517210</v>
      </c>
      <c r="G656" s="391" t="s">
        <v>9568</v>
      </c>
    </row>
    <row r="657" spans="1:9" ht="18.75" x14ac:dyDescent="0.3">
      <c r="A657" s="54">
        <v>44530</v>
      </c>
      <c r="B657" s="322"/>
      <c r="C657" s="5" t="s">
        <v>294</v>
      </c>
      <c r="D657" s="43"/>
      <c r="E657" s="43">
        <v>500</v>
      </c>
      <c r="F657" s="46">
        <f t="shared" si="12"/>
        <v>517710</v>
      </c>
      <c r="G657" s="391" t="s">
        <v>9568</v>
      </c>
    </row>
    <row r="658" spans="1:9" ht="18.75" x14ac:dyDescent="0.3">
      <c r="A658" s="54">
        <v>44530</v>
      </c>
      <c r="B658" s="322"/>
      <c r="C658" s="5" t="s">
        <v>8588</v>
      </c>
      <c r="D658" s="43"/>
      <c r="E658" s="43">
        <v>7198</v>
      </c>
      <c r="F658" s="46">
        <f t="shared" si="12"/>
        <v>524908</v>
      </c>
      <c r="G658" s="391" t="s">
        <v>9568</v>
      </c>
    </row>
    <row r="659" spans="1:9" ht="18.75" x14ac:dyDescent="0.3">
      <c r="A659" s="54">
        <v>44530</v>
      </c>
      <c r="B659" s="322"/>
      <c r="C659" s="5" t="s">
        <v>8592</v>
      </c>
      <c r="D659" s="43"/>
      <c r="E659" s="43">
        <v>4000</v>
      </c>
      <c r="F659" s="46">
        <f t="shared" si="12"/>
        <v>528908</v>
      </c>
      <c r="G659" s="391" t="s">
        <v>9568</v>
      </c>
    </row>
    <row r="660" spans="1:9" ht="18.75" x14ac:dyDescent="0.3">
      <c r="A660" s="54">
        <v>44531</v>
      </c>
      <c r="B660" s="322"/>
      <c r="C660" s="5" t="s">
        <v>294</v>
      </c>
      <c r="D660" s="43"/>
      <c r="E660" s="43">
        <v>50000</v>
      </c>
      <c r="F660" s="46">
        <f t="shared" si="12"/>
        <v>578908</v>
      </c>
      <c r="G660" s="391" t="s">
        <v>9568</v>
      </c>
    </row>
    <row r="661" spans="1:9" x14ac:dyDescent="0.3">
      <c r="A661" s="54">
        <v>44531</v>
      </c>
      <c r="C661" s="5" t="s">
        <v>8600</v>
      </c>
      <c r="D661" s="43">
        <v>50000</v>
      </c>
      <c r="E661" s="43"/>
      <c r="F661" s="46">
        <f t="shared" si="12"/>
        <v>528908</v>
      </c>
      <c r="G661" s="391" t="s">
        <v>9568</v>
      </c>
      <c r="I661" s="2"/>
    </row>
    <row r="662" spans="1:9" x14ac:dyDescent="0.3">
      <c r="A662" s="54">
        <v>44531</v>
      </c>
      <c r="C662" s="5" t="s">
        <v>8601</v>
      </c>
      <c r="D662" s="43">
        <v>5000</v>
      </c>
      <c r="E662" s="43"/>
      <c r="F662" s="46">
        <f t="shared" si="12"/>
        <v>523908</v>
      </c>
      <c r="G662" s="391" t="s">
        <v>9568</v>
      </c>
      <c r="I662" s="2"/>
    </row>
    <row r="663" spans="1:9" ht="18.75" x14ac:dyDescent="0.3">
      <c r="A663" s="54">
        <v>44531</v>
      </c>
      <c r="B663" s="322"/>
      <c r="C663" s="5" t="s">
        <v>7807</v>
      </c>
      <c r="D663" s="43"/>
      <c r="E663" s="43">
        <v>6750</v>
      </c>
      <c r="F663" s="46">
        <f t="shared" si="12"/>
        <v>530658</v>
      </c>
      <c r="G663" s="391" t="s">
        <v>9568</v>
      </c>
    </row>
    <row r="664" spans="1:9" ht="18.75" x14ac:dyDescent="0.3">
      <c r="A664" s="54">
        <v>44531</v>
      </c>
      <c r="B664" s="322"/>
      <c r="C664" s="5" t="s">
        <v>7908</v>
      </c>
      <c r="D664" s="43"/>
      <c r="E664" s="43">
        <v>3500</v>
      </c>
      <c r="F664" s="46">
        <f t="shared" si="12"/>
        <v>534158</v>
      </c>
      <c r="G664" s="391" t="s">
        <v>9568</v>
      </c>
    </row>
    <row r="665" spans="1:9" ht="18.75" x14ac:dyDescent="0.3">
      <c r="A665" s="54">
        <v>44532</v>
      </c>
      <c r="B665" s="322"/>
      <c r="C665" s="5" t="s">
        <v>8028</v>
      </c>
      <c r="D665" s="43">
        <v>5000</v>
      </c>
      <c r="E665" s="43"/>
      <c r="F665" s="46">
        <f t="shared" si="12"/>
        <v>529158</v>
      </c>
      <c r="G665" s="391" t="s">
        <v>9568</v>
      </c>
    </row>
    <row r="666" spans="1:9" ht="18.75" x14ac:dyDescent="0.3">
      <c r="A666" s="54">
        <v>44532</v>
      </c>
      <c r="B666" s="322"/>
      <c r="C666" s="5" t="s">
        <v>4446</v>
      </c>
      <c r="D666" s="43">
        <v>3000</v>
      </c>
      <c r="E666" s="43"/>
      <c r="F666" s="46">
        <f t="shared" si="12"/>
        <v>526158</v>
      </c>
      <c r="G666" s="391" t="s">
        <v>9568</v>
      </c>
    </row>
    <row r="667" spans="1:9" ht="18.75" x14ac:dyDescent="0.3">
      <c r="A667" s="54">
        <v>44532</v>
      </c>
      <c r="B667" s="322"/>
      <c r="C667" s="5" t="s">
        <v>8605</v>
      </c>
      <c r="D667" s="43">
        <v>19450</v>
      </c>
      <c r="E667" s="43"/>
      <c r="F667" s="46">
        <f t="shared" si="12"/>
        <v>506708</v>
      </c>
      <c r="G667" s="391" t="s">
        <v>9568</v>
      </c>
    </row>
    <row r="668" spans="1:9" ht="18.75" x14ac:dyDescent="0.3">
      <c r="A668" s="54">
        <v>44533</v>
      </c>
      <c r="B668" s="322"/>
      <c r="C668" s="5" t="s">
        <v>8617</v>
      </c>
      <c r="D668" s="43">
        <v>20000</v>
      </c>
      <c r="E668" s="43"/>
      <c r="F668" s="46">
        <f t="shared" si="12"/>
        <v>486708</v>
      </c>
      <c r="G668" s="391" t="s">
        <v>9568</v>
      </c>
    </row>
    <row r="669" spans="1:9" ht="18.75" x14ac:dyDescent="0.3">
      <c r="A669" s="54">
        <v>44533</v>
      </c>
      <c r="B669" s="322" t="s">
        <v>445</v>
      </c>
      <c r="C669" s="5" t="s">
        <v>8618</v>
      </c>
      <c r="D669" s="43">
        <v>6000</v>
      </c>
      <c r="E669" s="43"/>
      <c r="F669" s="46">
        <f t="shared" si="12"/>
        <v>480708</v>
      </c>
      <c r="G669" s="391" t="s">
        <v>9568</v>
      </c>
    </row>
    <row r="670" spans="1:9" ht="18.75" x14ac:dyDescent="0.3">
      <c r="A670" s="54">
        <v>44537</v>
      </c>
      <c r="B670" s="322"/>
      <c r="C670" s="5" t="s">
        <v>8633</v>
      </c>
      <c r="D670" s="43"/>
      <c r="E670" s="43">
        <v>10000</v>
      </c>
      <c r="F670" s="46">
        <f t="shared" si="12"/>
        <v>490708</v>
      </c>
      <c r="G670" s="391" t="s">
        <v>9568</v>
      </c>
    </row>
    <row r="671" spans="1:9" ht="18.75" x14ac:dyDescent="0.3">
      <c r="A671" s="54">
        <v>44546</v>
      </c>
      <c r="B671" s="322"/>
      <c r="C671" s="5" t="s">
        <v>8275</v>
      </c>
      <c r="D671" s="43">
        <v>5200</v>
      </c>
      <c r="E671" s="43"/>
      <c r="F671" s="46">
        <f t="shared" si="12"/>
        <v>485508</v>
      </c>
      <c r="G671" s="391" t="s">
        <v>9568</v>
      </c>
    </row>
    <row r="672" spans="1:9" ht="18.75" x14ac:dyDescent="0.3">
      <c r="A672" s="54">
        <v>44547</v>
      </c>
      <c r="B672" s="322"/>
      <c r="C672" s="5" t="s">
        <v>294</v>
      </c>
      <c r="D672" s="43"/>
      <c r="E672" s="43">
        <v>3000</v>
      </c>
      <c r="F672" s="46">
        <f t="shared" si="12"/>
        <v>488508</v>
      </c>
      <c r="G672" s="391" t="s">
        <v>9568</v>
      </c>
    </row>
    <row r="673" spans="1:9" ht="18.75" x14ac:dyDescent="0.3">
      <c r="A673" s="54">
        <v>44550</v>
      </c>
      <c r="B673" s="322"/>
      <c r="C673" s="5" t="s">
        <v>294</v>
      </c>
      <c r="D673" s="43"/>
      <c r="E673" s="43">
        <v>20000</v>
      </c>
      <c r="F673" s="46">
        <f t="shared" si="12"/>
        <v>508508</v>
      </c>
      <c r="G673" s="391" t="s">
        <v>9568</v>
      </c>
    </row>
    <row r="674" spans="1:9" ht="18.75" x14ac:dyDescent="0.3">
      <c r="A674" s="54">
        <v>44557</v>
      </c>
      <c r="B674" s="322"/>
      <c r="C674" s="5" t="s">
        <v>8704</v>
      </c>
      <c r="D674" s="43"/>
      <c r="E674" s="43">
        <v>4765</v>
      </c>
      <c r="F674" s="46">
        <f t="shared" si="12"/>
        <v>513273</v>
      </c>
      <c r="G674" s="391" t="s">
        <v>9568</v>
      </c>
    </row>
    <row r="675" spans="1:9" ht="18.75" x14ac:dyDescent="0.3">
      <c r="A675" s="54">
        <v>44560</v>
      </c>
      <c r="B675" s="322" t="s">
        <v>445</v>
      </c>
      <c r="C675" s="5" t="s">
        <v>294</v>
      </c>
      <c r="D675" s="43">
        <v>5000</v>
      </c>
      <c r="E675" s="43"/>
      <c r="F675" s="46">
        <f t="shared" si="12"/>
        <v>508273</v>
      </c>
      <c r="G675" s="391" t="s">
        <v>9568</v>
      </c>
    </row>
    <row r="676" spans="1:9" ht="18.75" x14ac:dyDescent="0.3">
      <c r="A676" s="54">
        <v>44561</v>
      </c>
      <c r="B676" s="322"/>
      <c r="C676" s="5" t="s">
        <v>8704</v>
      </c>
      <c r="D676" s="43"/>
      <c r="E676" s="43">
        <v>12842</v>
      </c>
      <c r="F676" s="46">
        <f t="shared" si="12"/>
        <v>521115</v>
      </c>
      <c r="G676" s="391" t="s">
        <v>9568</v>
      </c>
    </row>
    <row r="677" spans="1:9" ht="18.75" x14ac:dyDescent="0.3">
      <c r="A677" s="54">
        <v>44564</v>
      </c>
      <c r="B677" s="322"/>
      <c r="C677" s="5" t="s">
        <v>8723</v>
      </c>
      <c r="D677" s="43"/>
      <c r="E677" s="43">
        <v>20000</v>
      </c>
      <c r="F677" s="46">
        <f t="shared" si="12"/>
        <v>541115</v>
      </c>
      <c r="G677" s="391" t="s">
        <v>9568</v>
      </c>
    </row>
    <row r="678" spans="1:9" x14ac:dyDescent="0.3">
      <c r="A678" s="54">
        <v>44564</v>
      </c>
      <c r="C678" s="5" t="s">
        <v>8726</v>
      </c>
      <c r="D678" s="43">
        <v>50000</v>
      </c>
      <c r="E678" s="43"/>
      <c r="F678" s="46">
        <f t="shared" ref="F678:F679" si="13">F677+E678-D678</f>
        <v>491115</v>
      </c>
      <c r="G678" s="391" t="s">
        <v>9568</v>
      </c>
      <c r="I678" s="2"/>
    </row>
    <row r="679" spans="1:9" x14ac:dyDescent="0.3">
      <c r="A679" s="54">
        <v>44564</v>
      </c>
      <c r="C679" s="5" t="s">
        <v>8727</v>
      </c>
      <c r="D679" s="43">
        <v>5000</v>
      </c>
      <c r="E679" s="43"/>
      <c r="F679" s="46">
        <f t="shared" si="13"/>
        <v>486115</v>
      </c>
      <c r="G679" s="391" t="s">
        <v>9568</v>
      </c>
      <c r="I679" s="2"/>
    </row>
    <row r="680" spans="1:9" ht="18.75" x14ac:dyDescent="0.3">
      <c r="A680" s="54">
        <v>44567</v>
      </c>
      <c r="B680" s="322"/>
      <c r="C680" s="5" t="s">
        <v>294</v>
      </c>
      <c r="D680" s="43"/>
      <c r="E680" s="43">
        <v>5000</v>
      </c>
      <c r="F680" s="46">
        <f t="shared" si="12"/>
        <v>491115</v>
      </c>
      <c r="G680" s="391" t="s">
        <v>9568</v>
      </c>
    </row>
    <row r="681" spans="1:9" ht="18.75" x14ac:dyDescent="0.3">
      <c r="A681" s="54">
        <v>44569</v>
      </c>
      <c r="B681" s="322"/>
      <c r="C681" s="5" t="s">
        <v>294</v>
      </c>
      <c r="D681" s="43"/>
      <c r="E681" s="43">
        <v>15000</v>
      </c>
      <c r="F681" s="46">
        <f t="shared" si="12"/>
        <v>506115</v>
      </c>
      <c r="G681" s="391" t="s">
        <v>9568</v>
      </c>
    </row>
    <row r="682" spans="1:9" ht="18.75" x14ac:dyDescent="0.3">
      <c r="A682" s="54">
        <v>44571</v>
      </c>
      <c r="B682" s="322"/>
      <c r="C682" s="5" t="s">
        <v>294</v>
      </c>
      <c r="D682" s="43"/>
      <c r="E682" s="43">
        <v>5000</v>
      </c>
      <c r="F682" s="46">
        <f t="shared" si="12"/>
        <v>511115</v>
      </c>
      <c r="G682" s="391" t="s">
        <v>9568</v>
      </c>
    </row>
    <row r="683" spans="1:9" ht="18.75" x14ac:dyDescent="0.3">
      <c r="A683" s="54">
        <v>44571</v>
      </c>
      <c r="B683" s="322" t="s">
        <v>445</v>
      </c>
      <c r="C683" s="5" t="s">
        <v>5740</v>
      </c>
      <c r="D683" s="43">
        <v>11000</v>
      </c>
      <c r="E683" s="43"/>
      <c r="F683" s="46">
        <f t="shared" si="12"/>
        <v>500115</v>
      </c>
      <c r="G683" s="391" t="s">
        <v>9568</v>
      </c>
    </row>
    <row r="684" spans="1:9" ht="18.75" x14ac:dyDescent="0.3">
      <c r="A684" s="54">
        <v>44575</v>
      </c>
      <c r="B684" s="322"/>
      <c r="C684" s="5" t="s">
        <v>8771</v>
      </c>
      <c r="D684" s="43"/>
      <c r="E684" s="43">
        <v>20000</v>
      </c>
      <c r="F684" s="46">
        <f t="shared" si="12"/>
        <v>520115</v>
      </c>
      <c r="G684" s="391" t="s">
        <v>9568</v>
      </c>
    </row>
    <row r="685" spans="1:9" ht="18.75" x14ac:dyDescent="0.3">
      <c r="A685" s="54">
        <v>44578</v>
      </c>
      <c r="B685" s="322"/>
      <c r="C685" s="5" t="s">
        <v>4446</v>
      </c>
      <c r="D685" s="43">
        <v>7050</v>
      </c>
      <c r="E685" s="43"/>
      <c r="F685" s="46">
        <f t="shared" si="12"/>
        <v>513065</v>
      </c>
      <c r="G685" s="391" t="s">
        <v>9568</v>
      </c>
    </row>
    <row r="686" spans="1:9" ht="18.75" x14ac:dyDescent="0.3">
      <c r="A686" s="54">
        <v>44578</v>
      </c>
      <c r="B686" s="322"/>
      <c r="C686" s="5" t="s">
        <v>7908</v>
      </c>
      <c r="D686" s="43">
        <v>4200</v>
      </c>
      <c r="E686" s="43"/>
      <c r="F686" s="46">
        <f t="shared" si="12"/>
        <v>508865</v>
      </c>
      <c r="G686" s="391" t="s">
        <v>9568</v>
      </c>
    </row>
    <row r="687" spans="1:9" ht="18.75" x14ac:dyDescent="0.3">
      <c r="A687" s="54">
        <v>44578</v>
      </c>
      <c r="B687" s="322"/>
      <c r="C687" s="5" t="s">
        <v>5034</v>
      </c>
      <c r="D687" s="43">
        <v>6000</v>
      </c>
      <c r="E687" s="43"/>
      <c r="F687" s="46">
        <f t="shared" si="12"/>
        <v>502865</v>
      </c>
      <c r="G687" s="391" t="s">
        <v>9568</v>
      </c>
    </row>
    <row r="688" spans="1:9" ht="18.75" x14ac:dyDescent="0.3">
      <c r="A688" s="54">
        <v>44579</v>
      </c>
      <c r="B688" s="322" t="s">
        <v>445</v>
      </c>
      <c r="C688" s="5" t="s">
        <v>5740</v>
      </c>
      <c r="D688" s="43">
        <v>2000</v>
      </c>
      <c r="E688" s="43"/>
      <c r="F688" s="46">
        <f t="shared" si="12"/>
        <v>500865</v>
      </c>
      <c r="G688" s="391" t="s">
        <v>9568</v>
      </c>
    </row>
    <row r="689" spans="1:9" ht="18.75" x14ac:dyDescent="0.3">
      <c r="A689" s="54">
        <v>44585</v>
      </c>
      <c r="B689" s="322"/>
      <c r="C689" s="5" t="s">
        <v>294</v>
      </c>
      <c r="D689" s="43"/>
      <c r="E689" s="43">
        <v>500</v>
      </c>
      <c r="F689" s="46">
        <f t="shared" si="12"/>
        <v>501365</v>
      </c>
      <c r="G689" s="391" t="s">
        <v>9568</v>
      </c>
    </row>
    <row r="690" spans="1:9" ht="18.75" x14ac:dyDescent="0.3">
      <c r="A690" s="54">
        <v>44586</v>
      </c>
      <c r="B690" s="322"/>
      <c r="C690" s="5" t="s">
        <v>8704</v>
      </c>
      <c r="D690" s="43"/>
      <c r="E690" s="43">
        <v>2649</v>
      </c>
      <c r="F690" s="46">
        <f t="shared" si="12"/>
        <v>504014</v>
      </c>
      <c r="G690" s="391" t="s">
        <v>9568</v>
      </c>
    </row>
    <row r="691" spans="1:9" ht="18.75" x14ac:dyDescent="0.3">
      <c r="A691" s="54">
        <v>44586</v>
      </c>
      <c r="B691" s="322"/>
      <c r="C691" s="5" t="s">
        <v>294</v>
      </c>
      <c r="D691" s="43"/>
      <c r="E691" s="43">
        <v>12000</v>
      </c>
      <c r="F691" s="46">
        <f t="shared" si="12"/>
        <v>516014</v>
      </c>
      <c r="G691" s="391" t="s">
        <v>9568</v>
      </c>
    </row>
    <row r="692" spans="1:9" ht="18.75" x14ac:dyDescent="0.3">
      <c r="A692" s="54">
        <v>44587</v>
      </c>
      <c r="B692" s="322"/>
      <c r="C692" s="5" t="s">
        <v>294</v>
      </c>
      <c r="D692" s="43"/>
      <c r="E692" s="43">
        <v>20000</v>
      </c>
      <c r="F692" s="46">
        <f t="shared" si="12"/>
        <v>536014</v>
      </c>
      <c r="G692" s="391" t="s">
        <v>9568</v>
      </c>
    </row>
    <row r="693" spans="1:9" ht="18.75" x14ac:dyDescent="0.3">
      <c r="A693" s="54">
        <v>44587</v>
      </c>
      <c r="B693" s="322"/>
      <c r="C693" s="5" t="s">
        <v>8794</v>
      </c>
      <c r="D693" s="43">
        <v>6000</v>
      </c>
      <c r="E693" s="43"/>
      <c r="F693" s="46">
        <f t="shared" si="12"/>
        <v>530014</v>
      </c>
      <c r="G693" s="391" t="s">
        <v>9568</v>
      </c>
    </row>
    <row r="694" spans="1:9" ht="18.75" x14ac:dyDescent="0.3">
      <c r="A694" s="54">
        <v>44587</v>
      </c>
      <c r="B694" s="322"/>
      <c r="C694" s="5" t="s">
        <v>8805</v>
      </c>
      <c r="D694" s="43">
        <v>8000</v>
      </c>
      <c r="E694" s="43"/>
      <c r="F694" s="46">
        <f t="shared" si="12"/>
        <v>522014</v>
      </c>
      <c r="G694" s="391" t="s">
        <v>9568</v>
      </c>
    </row>
    <row r="695" spans="1:9" x14ac:dyDescent="0.3">
      <c r="A695" s="54">
        <v>44594</v>
      </c>
      <c r="C695" s="5" t="s">
        <v>8810</v>
      </c>
      <c r="D695" s="43">
        <v>50000</v>
      </c>
      <c r="E695" s="43"/>
      <c r="F695" s="46">
        <f t="shared" si="12"/>
        <v>472014</v>
      </c>
      <c r="G695" s="391" t="s">
        <v>9568</v>
      </c>
      <c r="I695" s="2"/>
    </row>
    <row r="696" spans="1:9" x14ac:dyDescent="0.3">
      <c r="A696" s="54">
        <v>44594</v>
      </c>
      <c r="C696" s="5" t="s">
        <v>8811</v>
      </c>
      <c r="D696" s="43">
        <v>5000</v>
      </c>
      <c r="E696" s="43"/>
      <c r="F696" s="46">
        <f t="shared" si="12"/>
        <v>467014</v>
      </c>
      <c r="G696" s="391" t="s">
        <v>9568</v>
      </c>
      <c r="I696" s="2"/>
    </row>
    <row r="697" spans="1:9" ht="18.75" x14ac:dyDescent="0.3">
      <c r="A697" s="54">
        <v>44594</v>
      </c>
      <c r="B697" s="322" t="s">
        <v>445</v>
      </c>
      <c r="C697" s="5" t="s">
        <v>4490</v>
      </c>
      <c r="D697" s="43">
        <v>5000</v>
      </c>
      <c r="E697" s="43"/>
      <c r="F697" s="46">
        <f t="shared" si="12"/>
        <v>462014</v>
      </c>
      <c r="G697" s="391" t="s">
        <v>9568</v>
      </c>
    </row>
    <row r="698" spans="1:9" ht="18.75" x14ac:dyDescent="0.3">
      <c r="A698" s="54">
        <v>44600</v>
      </c>
      <c r="B698" s="322"/>
      <c r="C698" s="5" t="s">
        <v>8834</v>
      </c>
      <c r="D698" s="43"/>
      <c r="E698" s="43">
        <v>20000</v>
      </c>
      <c r="F698" s="46">
        <f t="shared" si="12"/>
        <v>482014</v>
      </c>
      <c r="G698" s="391" t="s">
        <v>9568</v>
      </c>
    </row>
    <row r="699" spans="1:9" ht="18.75" x14ac:dyDescent="0.3">
      <c r="A699" s="54">
        <v>44602</v>
      </c>
      <c r="B699" s="322" t="s">
        <v>156</v>
      </c>
      <c r="C699" s="5" t="s">
        <v>7019</v>
      </c>
      <c r="D699" s="43">
        <v>15000</v>
      </c>
      <c r="E699" s="43"/>
      <c r="F699" s="46">
        <f t="shared" si="12"/>
        <v>467014</v>
      </c>
      <c r="G699" s="391" t="s">
        <v>9568</v>
      </c>
    </row>
    <row r="700" spans="1:9" ht="18.75" x14ac:dyDescent="0.3">
      <c r="A700" s="54">
        <v>44602</v>
      </c>
      <c r="B700" s="322" t="s">
        <v>445</v>
      </c>
      <c r="C700" s="5" t="s">
        <v>294</v>
      </c>
      <c r="D700" s="43">
        <v>1000</v>
      </c>
      <c r="E700" s="43"/>
      <c r="F700" s="46">
        <f t="shared" si="12"/>
        <v>466014</v>
      </c>
      <c r="G700" s="391" t="s">
        <v>9568</v>
      </c>
    </row>
    <row r="701" spans="1:9" ht="18.75" x14ac:dyDescent="0.3">
      <c r="A701" s="54">
        <v>44602</v>
      </c>
      <c r="B701" s="322"/>
      <c r="C701" s="5" t="s">
        <v>5034</v>
      </c>
      <c r="D701" s="43">
        <v>3000</v>
      </c>
      <c r="E701" s="43"/>
      <c r="F701" s="46">
        <f t="shared" si="12"/>
        <v>463014</v>
      </c>
      <c r="G701" s="391" t="s">
        <v>9568</v>
      </c>
    </row>
    <row r="702" spans="1:9" ht="18.75" x14ac:dyDescent="0.3">
      <c r="A702" s="54">
        <v>44602</v>
      </c>
      <c r="B702" s="322"/>
      <c r="C702" s="5" t="s">
        <v>4446</v>
      </c>
      <c r="D702" s="43">
        <v>4000</v>
      </c>
      <c r="E702" s="43"/>
      <c r="F702" s="46">
        <f t="shared" si="12"/>
        <v>459014</v>
      </c>
      <c r="G702" s="391" t="s">
        <v>9568</v>
      </c>
    </row>
    <row r="703" spans="1:9" ht="18.75" x14ac:dyDescent="0.3">
      <c r="A703" s="54">
        <v>44602</v>
      </c>
      <c r="B703" s="322"/>
      <c r="C703" s="5" t="s">
        <v>7424</v>
      </c>
      <c r="D703" s="43">
        <v>3000</v>
      </c>
      <c r="E703" s="43"/>
      <c r="F703" s="46">
        <f t="shared" si="12"/>
        <v>456014</v>
      </c>
      <c r="G703" s="391" t="s">
        <v>9568</v>
      </c>
    </row>
    <row r="704" spans="1:9" ht="18.75" x14ac:dyDescent="0.3">
      <c r="A704" s="54">
        <v>44606</v>
      </c>
      <c r="B704" s="322"/>
      <c r="C704" s="5" t="s">
        <v>294</v>
      </c>
      <c r="D704" s="43">
        <v>5000</v>
      </c>
      <c r="E704" s="43"/>
      <c r="F704" s="46">
        <f t="shared" si="12"/>
        <v>451014</v>
      </c>
      <c r="G704" s="391" t="s">
        <v>9568</v>
      </c>
    </row>
    <row r="705" spans="1:7" ht="18.75" x14ac:dyDescent="0.3">
      <c r="A705" s="54">
        <v>44608</v>
      </c>
      <c r="B705" s="322"/>
      <c r="C705" s="5" t="s">
        <v>8857</v>
      </c>
      <c r="D705" s="43"/>
      <c r="E705" s="43">
        <v>30000</v>
      </c>
      <c r="F705" s="46">
        <f t="shared" si="12"/>
        <v>481014</v>
      </c>
      <c r="G705" s="391" t="s">
        <v>9568</v>
      </c>
    </row>
    <row r="706" spans="1:7" ht="18.75" x14ac:dyDescent="0.3">
      <c r="A706" s="54">
        <v>44610</v>
      </c>
      <c r="B706" s="322" t="s">
        <v>445</v>
      </c>
      <c r="C706" s="5" t="s">
        <v>294</v>
      </c>
      <c r="D706" s="43">
        <v>3000</v>
      </c>
      <c r="E706" s="43"/>
      <c r="F706" s="46">
        <f t="shared" si="12"/>
        <v>478014</v>
      </c>
      <c r="G706" s="391" t="s">
        <v>9568</v>
      </c>
    </row>
    <row r="707" spans="1:7" ht="18.75" x14ac:dyDescent="0.3">
      <c r="A707" s="54">
        <v>44613</v>
      </c>
      <c r="B707" s="322" t="s">
        <v>156</v>
      </c>
      <c r="C707" s="5" t="s">
        <v>294</v>
      </c>
      <c r="D707" s="43">
        <v>1000</v>
      </c>
      <c r="E707" s="43"/>
      <c r="F707" s="46">
        <f t="shared" si="12"/>
        <v>477014</v>
      </c>
      <c r="G707" s="391" t="s">
        <v>9568</v>
      </c>
    </row>
    <row r="708" spans="1:7" ht="18.75" x14ac:dyDescent="0.3">
      <c r="A708" s="54">
        <v>44613</v>
      </c>
      <c r="B708" s="322" t="s">
        <v>8863</v>
      </c>
      <c r="C708" s="5" t="s">
        <v>294</v>
      </c>
      <c r="D708" s="43">
        <v>3000</v>
      </c>
      <c r="E708" s="43"/>
      <c r="F708" s="46">
        <f t="shared" ref="F708:F775" si="14">F707+E708-D708</f>
        <v>474014</v>
      </c>
      <c r="G708" s="391" t="s">
        <v>9568</v>
      </c>
    </row>
    <row r="709" spans="1:7" ht="18.75" x14ac:dyDescent="0.3">
      <c r="A709" s="54">
        <v>44613</v>
      </c>
      <c r="B709" s="322" t="s">
        <v>8864</v>
      </c>
      <c r="C709" s="61" t="s">
        <v>8867</v>
      </c>
      <c r="D709" s="62">
        <v>1000</v>
      </c>
      <c r="E709" s="43"/>
      <c r="F709" s="46">
        <f t="shared" si="14"/>
        <v>473014</v>
      </c>
      <c r="G709" s="391" t="s">
        <v>9568</v>
      </c>
    </row>
    <row r="710" spans="1:7" ht="18.75" x14ac:dyDescent="0.3">
      <c r="A710" s="54">
        <v>44613</v>
      </c>
      <c r="B710" s="322" t="s">
        <v>8865</v>
      </c>
      <c r="C710" s="61" t="s">
        <v>8867</v>
      </c>
      <c r="D710" s="62">
        <v>1000</v>
      </c>
      <c r="E710" s="43"/>
      <c r="F710" s="46">
        <f t="shared" si="14"/>
        <v>472014</v>
      </c>
      <c r="G710" s="391" t="s">
        <v>9568</v>
      </c>
    </row>
    <row r="711" spans="1:7" ht="18.75" x14ac:dyDescent="0.3">
      <c r="A711" s="54">
        <v>44614</v>
      </c>
      <c r="B711" s="322"/>
      <c r="C711" s="5" t="s">
        <v>8887</v>
      </c>
      <c r="D711" s="43">
        <v>5000</v>
      </c>
      <c r="E711" s="43"/>
      <c r="F711" s="46">
        <f t="shared" si="14"/>
        <v>467014</v>
      </c>
      <c r="G711" s="391" t="s">
        <v>9568</v>
      </c>
    </row>
    <row r="712" spans="1:7" ht="18.75" x14ac:dyDescent="0.3">
      <c r="A712" s="54">
        <v>44614</v>
      </c>
      <c r="B712" s="322"/>
      <c r="C712" s="5" t="s">
        <v>294</v>
      </c>
      <c r="D712" s="43"/>
      <c r="E712" s="43">
        <v>50000</v>
      </c>
      <c r="F712" s="46">
        <f t="shared" si="14"/>
        <v>517014</v>
      </c>
      <c r="G712" s="391" t="s">
        <v>9568</v>
      </c>
    </row>
    <row r="713" spans="1:7" ht="18.75" x14ac:dyDescent="0.3">
      <c r="A713" s="54">
        <v>44615</v>
      </c>
      <c r="B713" s="322"/>
      <c r="C713" s="5" t="s">
        <v>8875</v>
      </c>
      <c r="D713" s="43"/>
      <c r="E713" s="43">
        <v>2720</v>
      </c>
      <c r="F713" s="46">
        <f t="shared" si="14"/>
        <v>519734</v>
      </c>
      <c r="G713" s="391" t="s">
        <v>9568</v>
      </c>
    </row>
    <row r="714" spans="1:7" ht="18.75" x14ac:dyDescent="0.3">
      <c r="A714" s="54">
        <v>44615</v>
      </c>
      <c r="B714" s="322" t="s">
        <v>156</v>
      </c>
      <c r="C714" s="5" t="s">
        <v>294</v>
      </c>
      <c r="D714" s="43">
        <v>5000</v>
      </c>
      <c r="E714" s="43"/>
      <c r="F714" s="46">
        <f t="shared" si="14"/>
        <v>514734</v>
      </c>
      <c r="G714" s="391" t="s">
        <v>9568</v>
      </c>
    </row>
    <row r="715" spans="1:7" ht="18.75" x14ac:dyDescent="0.3">
      <c r="A715" s="54">
        <v>44616</v>
      </c>
      <c r="B715" s="322"/>
      <c r="C715" s="5" t="s">
        <v>8888</v>
      </c>
      <c r="D715" s="43">
        <v>2000</v>
      </c>
      <c r="E715" s="43"/>
      <c r="F715" s="46">
        <f t="shared" si="14"/>
        <v>512734</v>
      </c>
      <c r="G715" s="391" t="s">
        <v>9568</v>
      </c>
    </row>
    <row r="716" spans="1:7" ht="18.75" x14ac:dyDescent="0.3">
      <c r="A716" s="54">
        <v>44616</v>
      </c>
      <c r="B716" s="322"/>
      <c r="C716" s="5" t="s">
        <v>5034</v>
      </c>
      <c r="D716" s="43">
        <v>46680</v>
      </c>
      <c r="E716" s="43"/>
      <c r="F716" s="46">
        <f t="shared" si="14"/>
        <v>466054</v>
      </c>
      <c r="G716" s="391" t="s">
        <v>9568</v>
      </c>
    </row>
    <row r="717" spans="1:7" ht="18.75" x14ac:dyDescent="0.3">
      <c r="A717" s="54">
        <v>44616</v>
      </c>
      <c r="B717" s="322"/>
      <c r="C717" s="5" t="s">
        <v>7908</v>
      </c>
      <c r="D717" s="43">
        <v>49780</v>
      </c>
      <c r="E717" s="43"/>
      <c r="F717" s="46">
        <f t="shared" si="14"/>
        <v>416274</v>
      </c>
      <c r="G717" s="391" t="s">
        <v>9568</v>
      </c>
    </row>
    <row r="718" spans="1:7" ht="18.75" x14ac:dyDescent="0.3">
      <c r="A718" s="54">
        <v>44616</v>
      </c>
      <c r="B718" s="322"/>
      <c r="C718" s="5" t="s">
        <v>294</v>
      </c>
      <c r="D718" s="43"/>
      <c r="E718" s="43">
        <v>25000</v>
      </c>
      <c r="F718" s="46">
        <f t="shared" si="14"/>
        <v>441274</v>
      </c>
      <c r="G718" s="391" t="s">
        <v>9568</v>
      </c>
    </row>
    <row r="719" spans="1:7" ht="18.75" x14ac:dyDescent="0.3">
      <c r="A719" s="54">
        <v>44617</v>
      </c>
      <c r="B719" s="322" t="s">
        <v>629</v>
      </c>
      <c r="C719" s="5" t="s">
        <v>294</v>
      </c>
      <c r="D719" s="43">
        <v>5000</v>
      </c>
      <c r="E719" s="43"/>
      <c r="F719" s="46">
        <f t="shared" si="14"/>
        <v>436274</v>
      </c>
      <c r="G719" s="391" t="s">
        <v>9568</v>
      </c>
    </row>
    <row r="720" spans="1:7" ht="18.75" x14ac:dyDescent="0.3">
      <c r="A720" s="54">
        <v>44617</v>
      </c>
      <c r="B720" s="322" t="s">
        <v>445</v>
      </c>
      <c r="C720" s="5" t="s">
        <v>294</v>
      </c>
      <c r="D720" s="43">
        <v>5000</v>
      </c>
      <c r="E720" s="43"/>
      <c r="F720" s="46">
        <f t="shared" si="14"/>
        <v>431274</v>
      </c>
      <c r="G720" s="391" t="s">
        <v>9568</v>
      </c>
    </row>
    <row r="721" spans="1:9" ht="18.75" x14ac:dyDescent="0.3">
      <c r="A721" s="54">
        <v>44618</v>
      </c>
      <c r="B721" s="322"/>
      <c r="C721" s="5" t="s">
        <v>294</v>
      </c>
      <c r="D721" s="43"/>
      <c r="E721" s="43">
        <v>28800</v>
      </c>
      <c r="F721" s="46">
        <f t="shared" si="14"/>
        <v>460074</v>
      </c>
      <c r="G721" s="391" t="s">
        <v>9568</v>
      </c>
    </row>
    <row r="722" spans="1:9" ht="18.75" x14ac:dyDescent="0.3">
      <c r="A722" s="54">
        <v>44618</v>
      </c>
      <c r="B722" s="322"/>
      <c r="C722" s="5" t="s">
        <v>3920</v>
      </c>
      <c r="D722" s="43">
        <v>14750</v>
      </c>
      <c r="E722" s="43"/>
      <c r="F722" s="46">
        <f t="shared" si="14"/>
        <v>445324</v>
      </c>
      <c r="G722" s="391" t="s">
        <v>9568</v>
      </c>
    </row>
    <row r="723" spans="1:9" ht="18.75" x14ac:dyDescent="0.3">
      <c r="A723" s="54">
        <v>44618</v>
      </c>
      <c r="B723" s="322" t="s">
        <v>156</v>
      </c>
      <c r="C723" s="5" t="s">
        <v>294</v>
      </c>
      <c r="D723" s="43">
        <v>1000</v>
      </c>
      <c r="E723" s="43"/>
      <c r="F723" s="46">
        <f t="shared" si="14"/>
        <v>444324</v>
      </c>
      <c r="G723" s="391" t="s">
        <v>9568</v>
      </c>
    </row>
    <row r="724" spans="1:9" ht="18.75" x14ac:dyDescent="0.3">
      <c r="A724" s="54">
        <v>44618</v>
      </c>
      <c r="B724" s="322" t="s">
        <v>520</v>
      </c>
      <c r="C724" s="5" t="s">
        <v>294</v>
      </c>
      <c r="D724" s="43">
        <v>5000</v>
      </c>
      <c r="E724" s="43"/>
      <c r="F724" s="46">
        <f t="shared" si="14"/>
        <v>439324</v>
      </c>
      <c r="G724" s="391" t="s">
        <v>9568</v>
      </c>
    </row>
    <row r="725" spans="1:9" ht="18.75" x14ac:dyDescent="0.3">
      <c r="A725" s="54">
        <v>44618</v>
      </c>
      <c r="B725" s="322" t="s">
        <v>107</v>
      </c>
      <c r="C725" s="5" t="s">
        <v>294</v>
      </c>
      <c r="D725" s="43">
        <v>5000</v>
      </c>
      <c r="E725" s="43"/>
      <c r="F725" s="46">
        <f t="shared" si="14"/>
        <v>434324</v>
      </c>
      <c r="G725" s="391" t="s">
        <v>9568</v>
      </c>
    </row>
    <row r="726" spans="1:9" ht="18.75" x14ac:dyDescent="0.3">
      <c r="A726" s="54">
        <v>44620</v>
      </c>
      <c r="B726" s="322"/>
      <c r="C726" s="5" t="s">
        <v>294</v>
      </c>
      <c r="D726" s="43"/>
      <c r="E726" s="43">
        <v>100000</v>
      </c>
      <c r="F726" s="46">
        <f t="shared" si="14"/>
        <v>534324</v>
      </c>
      <c r="G726" s="391" t="s">
        <v>9568</v>
      </c>
    </row>
    <row r="727" spans="1:9" ht="18.75" x14ac:dyDescent="0.3">
      <c r="A727" s="54">
        <v>44621</v>
      </c>
      <c r="B727" s="322"/>
      <c r="C727" s="5" t="s">
        <v>294</v>
      </c>
      <c r="D727" s="43"/>
      <c r="E727" s="43">
        <v>50000</v>
      </c>
      <c r="F727" s="46">
        <f t="shared" si="14"/>
        <v>584324</v>
      </c>
      <c r="G727" s="391" t="s">
        <v>9568</v>
      </c>
    </row>
    <row r="728" spans="1:9" ht="18.75" x14ac:dyDescent="0.3">
      <c r="A728" s="54">
        <v>44621</v>
      </c>
      <c r="B728" s="322"/>
      <c r="C728" s="5" t="s">
        <v>8912</v>
      </c>
      <c r="D728" s="43"/>
      <c r="E728" s="43">
        <v>20000</v>
      </c>
      <c r="F728" s="46">
        <f t="shared" si="14"/>
        <v>604324</v>
      </c>
      <c r="G728" s="391" t="s">
        <v>9568</v>
      </c>
    </row>
    <row r="729" spans="1:9" ht="18.75" x14ac:dyDescent="0.3">
      <c r="A729" s="54">
        <v>44621</v>
      </c>
      <c r="B729" s="322" t="s">
        <v>3554</v>
      </c>
      <c r="C729" s="5" t="s">
        <v>8911</v>
      </c>
      <c r="D729" s="43">
        <v>5000</v>
      </c>
      <c r="E729" s="43"/>
      <c r="F729" s="46">
        <f t="shared" si="14"/>
        <v>599324</v>
      </c>
      <c r="G729" s="391" t="s">
        <v>9568</v>
      </c>
    </row>
    <row r="730" spans="1:9" ht="18.75" x14ac:dyDescent="0.3">
      <c r="A730" s="54">
        <v>44622</v>
      </c>
      <c r="B730" s="322"/>
      <c r="C730" s="5" t="s">
        <v>8918</v>
      </c>
      <c r="D730" s="43"/>
      <c r="E730" s="43">
        <v>3476</v>
      </c>
      <c r="F730" s="46">
        <f t="shared" si="14"/>
        <v>602800</v>
      </c>
      <c r="G730" s="391" t="s">
        <v>9568</v>
      </c>
    </row>
    <row r="731" spans="1:9" x14ac:dyDescent="0.3">
      <c r="A731" s="54">
        <v>44622</v>
      </c>
      <c r="C731" s="5" t="s">
        <v>9035</v>
      </c>
      <c r="D731" s="43">
        <v>50000</v>
      </c>
      <c r="E731" s="43"/>
      <c r="F731" s="46">
        <f t="shared" si="14"/>
        <v>552800</v>
      </c>
      <c r="G731" s="391" t="s">
        <v>9568</v>
      </c>
      <c r="I731" s="2"/>
    </row>
    <row r="732" spans="1:9" x14ac:dyDescent="0.3">
      <c r="A732" s="54">
        <v>44622</v>
      </c>
      <c r="C732" s="5" t="s">
        <v>9036</v>
      </c>
      <c r="D732" s="43">
        <v>5000</v>
      </c>
      <c r="E732" s="43"/>
      <c r="F732" s="46">
        <f t="shared" si="14"/>
        <v>547800</v>
      </c>
      <c r="G732" s="391" t="s">
        <v>9568</v>
      </c>
      <c r="I732" s="2"/>
    </row>
    <row r="733" spans="1:9" ht="18.75" x14ac:dyDescent="0.3">
      <c r="A733" s="54">
        <v>44622</v>
      </c>
      <c r="B733" s="322" t="s">
        <v>3554</v>
      </c>
      <c r="C733" s="5" t="s">
        <v>294</v>
      </c>
      <c r="D733" s="43">
        <v>7000</v>
      </c>
      <c r="E733" s="43"/>
      <c r="F733" s="46">
        <f t="shared" si="14"/>
        <v>540800</v>
      </c>
      <c r="G733" s="391" t="s">
        <v>9568</v>
      </c>
    </row>
    <row r="734" spans="1:9" ht="18.75" x14ac:dyDescent="0.3">
      <c r="A734" s="54">
        <v>44627</v>
      </c>
      <c r="B734" s="322"/>
      <c r="C734" s="5" t="s">
        <v>294</v>
      </c>
      <c r="D734" s="43"/>
      <c r="E734" s="43">
        <v>5000</v>
      </c>
      <c r="F734" s="46">
        <f t="shared" si="14"/>
        <v>545800</v>
      </c>
      <c r="G734" s="391" t="s">
        <v>9568</v>
      </c>
    </row>
    <row r="735" spans="1:9" ht="18.75" x14ac:dyDescent="0.3">
      <c r="A735" s="54">
        <v>44627</v>
      </c>
      <c r="B735" s="322"/>
      <c r="C735" s="5" t="s">
        <v>294</v>
      </c>
      <c r="D735" s="43"/>
      <c r="E735" s="43">
        <v>7000</v>
      </c>
      <c r="F735" s="46">
        <f t="shared" si="14"/>
        <v>552800</v>
      </c>
      <c r="G735" s="391" t="s">
        <v>9568</v>
      </c>
    </row>
    <row r="736" spans="1:9" ht="18.75" x14ac:dyDescent="0.3">
      <c r="A736" s="54">
        <v>44627</v>
      </c>
      <c r="B736" s="322" t="s">
        <v>8865</v>
      </c>
      <c r="C736" s="5" t="s">
        <v>294</v>
      </c>
      <c r="D736" s="43">
        <v>3000</v>
      </c>
      <c r="E736" s="43"/>
      <c r="F736" s="46">
        <f t="shared" si="14"/>
        <v>549800</v>
      </c>
      <c r="G736" s="391" t="s">
        <v>9568</v>
      </c>
    </row>
    <row r="737" spans="1:9" ht="18.75" x14ac:dyDescent="0.3">
      <c r="A737" s="54">
        <v>44627</v>
      </c>
      <c r="B737" s="322" t="s">
        <v>8928</v>
      </c>
      <c r="C737" s="5" t="s">
        <v>294</v>
      </c>
      <c r="D737" s="62">
        <v>4000</v>
      </c>
      <c r="E737" s="43"/>
      <c r="F737" s="46">
        <f t="shared" si="14"/>
        <v>545800</v>
      </c>
      <c r="G737" s="391" t="s">
        <v>9568</v>
      </c>
    </row>
    <row r="738" spans="1:9" ht="18.75" x14ac:dyDescent="0.3">
      <c r="A738" s="54">
        <v>44628</v>
      </c>
      <c r="B738" s="322"/>
      <c r="C738" s="5" t="s">
        <v>8930</v>
      </c>
      <c r="D738" s="43"/>
      <c r="E738" s="43">
        <v>100000</v>
      </c>
      <c r="F738" s="46">
        <f t="shared" si="14"/>
        <v>645800</v>
      </c>
      <c r="G738" s="391" t="s">
        <v>9568</v>
      </c>
    </row>
    <row r="739" spans="1:9" ht="18.75" x14ac:dyDescent="0.3">
      <c r="A739" s="54">
        <v>44628</v>
      </c>
      <c r="B739" s="322" t="s">
        <v>156</v>
      </c>
      <c r="C739" s="5" t="s">
        <v>294</v>
      </c>
      <c r="D739" s="43">
        <v>2000</v>
      </c>
      <c r="E739" s="43"/>
      <c r="F739" s="46">
        <f t="shared" si="14"/>
        <v>643800</v>
      </c>
      <c r="G739" s="391" t="s">
        <v>9568</v>
      </c>
    </row>
    <row r="740" spans="1:9" ht="18.75" x14ac:dyDescent="0.3">
      <c r="A740" s="54">
        <v>44628</v>
      </c>
      <c r="B740" s="322"/>
      <c r="C740" s="5" t="s">
        <v>8936</v>
      </c>
      <c r="D740" s="43">
        <v>14500</v>
      </c>
      <c r="E740" s="43"/>
      <c r="F740" s="46">
        <f t="shared" si="14"/>
        <v>629300</v>
      </c>
      <c r="G740" s="391" t="s">
        <v>9568</v>
      </c>
    </row>
    <row r="741" spans="1:9" ht="18.75" x14ac:dyDescent="0.3">
      <c r="A741" s="54">
        <v>44628</v>
      </c>
      <c r="B741" s="322"/>
      <c r="C741" s="5" t="s">
        <v>8937</v>
      </c>
      <c r="D741" s="43">
        <v>13600</v>
      </c>
      <c r="E741" s="43"/>
      <c r="F741" s="46">
        <f t="shared" si="14"/>
        <v>615700</v>
      </c>
      <c r="G741" s="391" t="s">
        <v>9568</v>
      </c>
    </row>
    <row r="742" spans="1:9" ht="18.75" x14ac:dyDescent="0.3">
      <c r="A742" s="54">
        <v>44630</v>
      </c>
      <c r="B742" s="322"/>
      <c r="C742" s="5" t="s">
        <v>8944</v>
      </c>
      <c r="D742" s="43">
        <v>55000</v>
      </c>
      <c r="E742" s="43"/>
      <c r="F742" s="46">
        <f t="shared" si="14"/>
        <v>560700</v>
      </c>
      <c r="G742" s="391" t="s">
        <v>9568</v>
      </c>
    </row>
    <row r="743" spans="1:9" ht="18.75" x14ac:dyDescent="0.3">
      <c r="A743" s="54">
        <v>44630</v>
      </c>
      <c r="B743" s="322"/>
      <c r="C743" s="5" t="s">
        <v>8516</v>
      </c>
      <c r="D743" s="43">
        <v>500</v>
      </c>
      <c r="E743" s="43"/>
      <c r="F743" s="46">
        <f t="shared" si="14"/>
        <v>560200</v>
      </c>
      <c r="G743" s="391" t="s">
        <v>9568</v>
      </c>
      <c r="I743" s="340"/>
    </row>
    <row r="744" spans="1:9" ht="18.75" x14ac:dyDescent="0.3">
      <c r="A744" s="54">
        <v>44632</v>
      </c>
      <c r="B744" s="322"/>
      <c r="C744" s="5" t="s">
        <v>294</v>
      </c>
      <c r="D744" s="43"/>
      <c r="E744" s="43">
        <v>25000</v>
      </c>
      <c r="F744" s="46">
        <f t="shared" si="14"/>
        <v>585200</v>
      </c>
      <c r="G744" s="391" t="s">
        <v>9568</v>
      </c>
    </row>
    <row r="745" spans="1:9" ht="18.75" x14ac:dyDescent="0.3">
      <c r="A745" s="54">
        <v>44635</v>
      </c>
      <c r="B745" s="322"/>
      <c r="C745" s="5" t="s">
        <v>8962</v>
      </c>
      <c r="D745" s="43">
        <v>11300</v>
      </c>
      <c r="E745" s="43"/>
      <c r="F745" s="46">
        <f t="shared" si="14"/>
        <v>573900</v>
      </c>
      <c r="G745" s="391" t="s">
        <v>9568</v>
      </c>
    </row>
    <row r="746" spans="1:9" ht="18.75" x14ac:dyDescent="0.3">
      <c r="A746" s="54">
        <v>44635</v>
      </c>
      <c r="B746" s="322"/>
      <c r="C746" s="5" t="s">
        <v>8964</v>
      </c>
      <c r="D746" s="43"/>
      <c r="E746" s="43">
        <v>100000</v>
      </c>
      <c r="F746" s="46">
        <f t="shared" si="14"/>
        <v>673900</v>
      </c>
      <c r="G746" s="391" t="s">
        <v>9568</v>
      </c>
    </row>
    <row r="747" spans="1:9" ht="18.75" x14ac:dyDescent="0.3">
      <c r="A747" s="54">
        <v>44636</v>
      </c>
      <c r="B747" s="322"/>
      <c r="C747" s="5" t="s">
        <v>8965</v>
      </c>
      <c r="D747" s="43"/>
      <c r="E747" s="43">
        <v>100000</v>
      </c>
      <c r="F747" s="46">
        <f t="shared" si="14"/>
        <v>773900</v>
      </c>
      <c r="G747" s="391" t="s">
        <v>9568</v>
      </c>
    </row>
    <row r="748" spans="1:9" ht="18.75" x14ac:dyDescent="0.3">
      <c r="A748" s="54">
        <v>44637</v>
      </c>
      <c r="B748" s="322" t="s">
        <v>8966</v>
      </c>
      <c r="C748" s="5" t="s">
        <v>3557</v>
      </c>
      <c r="D748" s="43">
        <v>5000</v>
      </c>
      <c r="E748" s="43"/>
      <c r="F748" s="46">
        <f t="shared" si="14"/>
        <v>768900</v>
      </c>
      <c r="G748" s="391" t="s">
        <v>9568</v>
      </c>
      <c r="H748" s="343"/>
    </row>
    <row r="749" spans="1:9" ht="18.75" x14ac:dyDescent="0.3">
      <c r="A749" s="54">
        <v>44637</v>
      </c>
      <c r="B749" s="322"/>
      <c r="C749" s="5" t="s">
        <v>8967</v>
      </c>
      <c r="D749" s="43">
        <v>1500</v>
      </c>
      <c r="E749" s="43"/>
      <c r="F749" s="46">
        <f t="shared" si="14"/>
        <v>767400</v>
      </c>
      <c r="G749" s="391" t="s">
        <v>9568</v>
      </c>
      <c r="H749" s="343"/>
    </row>
    <row r="750" spans="1:9" ht="18.75" x14ac:dyDescent="0.3">
      <c r="A750" s="54">
        <v>44641</v>
      </c>
      <c r="B750" s="322" t="s">
        <v>8928</v>
      </c>
      <c r="C750" s="5" t="s">
        <v>294</v>
      </c>
      <c r="D750" s="62">
        <v>3000</v>
      </c>
      <c r="E750" s="43"/>
      <c r="F750" s="46">
        <f t="shared" si="14"/>
        <v>764400</v>
      </c>
      <c r="G750" s="391" t="s">
        <v>9568</v>
      </c>
      <c r="H750" s="343"/>
    </row>
    <row r="751" spans="1:9" ht="18.75" x14ac:dyDescent="0.3">
      <c r="A751" s="54">
        <v>44642</v>
      </c>
      <c r="B751" s="322"/>
      <c r="C751" s="5" t="s">
        <v>294</v>
      </c>
      <c r="D751" s="43"/>
      <c r="E751" s="43">
        <v>5000</v>
      </c>
      <c r="F751" s="46">
        <f t="shared" si="14"/>
        <v>769400</v>
      </c>
      <c r="G751" s="391" t="s">
        <v>9568</v>
      </c>
    </row>
    <row r="752" spans="1:9" ht="18.75" x14ac:dyDescent="0.3">
      <c r="A752" s="54">
        <v>44642</v>
      </c>
      <c r="B752" s="322"/>
      <c r="C752" s="5" t="s">
        <v>8988</v>
      </c>
      <c r="D752" s="43"/>
      <c r="E752" s="43">
        <v>4120</v>
      </c>
      <c r="F752" s="46">
        <f t="shared" si="14"/>
        <v>773520</v>
      </c>
      <c r="G752" s="391" t="s">
        <v>9568</v>
      </c>
    </row>
    <row r="753" spans="1:7" ht="18.75" x14ac:dyDescent="0.3">
      <c r="A753" s="54">
        <v>44642</v>
      </c>
      <c r="B753" s="322"/>
      <c r="C753" s="5" t="s">
        <v>4364</v>
      </c>
      <c r="D753" s="43"/>
      <c r="E753" s="43">
        <v>30000</v>
      </c>
      <c r="F753" s="46">
        <f t="shared" si="14"/>
        <v>803520</v>
      </c>
      <c r="G753" s="391" t="s">
        <v>9568</v>
      </c>
    </row>
    <row r="754" spans="1:7" ht="18.75" x14ac:dyDescent="0.3">
      <c r="A754" s="54">
        <v>44645</v>
      </c>
      <c r="B754" s="322" t="s">
        <v>8928</v>
      </c>
      <c r="C754" s="5" t="s">
        <v>9009</v>
      </c>
      <c r="D754" s="62">
        <v>5000</v>
      </c>
      <c r="E754" s="43"/>
      <c r="F754" s="46">
        <f t="shared" si="14"/>
        <v>798520</v>
      </c>
      <c r="G754" s="391" t="s">
        <v>9568</v>
      </c>
    </row>
    <row r="755" spans="1:7" ht="18.75" x14ac:dyDescent="0.3">
      <c r="A755" s="54">
        <v>44645</v>
      </c>
      <c r="B755" s="322" t="s">
        <v>9008</v>
      </c>
      <c r="C755" s="5" t="s">
        <v>9009</v>
      </c>
      <c r="D755" s="43">
        <v>25000</v>
      </c>
      <c r="E755" s="43"/>
      <c r="F755" s="46">
        <f t="shared" si="14"/>
        <v>773520</v>
      </c>
      <c r="G755" s="391" t="s">
        <v>9568</v>
      </c>
    </row>
    <row r="756" spans="1:7" ht="18.75" x14ac:dyDescent="0.3">
      <c r="A756" s="54">
        <v>44648</v>
      </c>
      <c r="B756" s="322"/>
      <c r="C756" s="5" t="s">
        <v>8875</v>
      </c>
      <c r="D756" s="43"/>
      <c r="E756" s="43">
        <v>1796</v>
      </c>
      <c r="F756" s="46">
        <f t="shared" si="14"/>
        <v>775316</v>
      </c>
      <c r="G756" s="391" t="s">
        <v>9568</v>
      </c>
    </row>
    <row r="757" spans="1:7" ht="18.75" x14ac:dyDescent="0.3">
      <c r="A757" s="54">
        <v>44648</v>
      </c>
      <c r="B757" s="322"/>
      <c r="C757" s="5" t="s">
        <v>9023</v>
      </c>
      <c r="D757" s="43"/>
      <c r="E757" s="43">
        <v>7000</v>
      </c>
      <c r="F757" s="46">
        <f t="shared" si="14"/>
        <v>782316</v>
      </c>
      <c r="G757" s="391" t="s">
        <v>9568</v>
      </c>
    </row>
    <row r="758" spans="1:7" ht="18.75" x14ac:dyDescent="0.3">
      <c r="A758" s="54">
        <v>44650</v>
      </c>
      <c r="B758" s="322"/>
      <c r="C758" s="5" t="s">
        <v>294</v>
      </c>
      <c r="D758" s="43"/>
      <c r="E758" s="43">
        <v>5000</v>
      </c>
      <c r="F758" s="46">
        <f t="shared" si="14"/>
        <v>787316</v>
      </c>
      <c r="G758" s="391" t="s">
        <v>9568</v>
      </c>
    </row>
    <row r="759" spans="1:7" x14ac:dyDescent="0.3">
      <c r="A759" s="54">
        <v>44652</v>
      </c>
      <c r="C759" s="5" t="s">
        <v>9034</v>
      </c>
      <c r="D759" s="43">
        <v>50000</v>
      </c>
      <c r="E759" s="43"/>
      <c r="F759" s="46">
        <f t="shared" si="14"/>
        <v>737316</v>
      </c>
      <c r="G759" s="391" t="s">
        <v>9568</v>
      </c>
    </row>
    <row r="760" spans="1:7" x14ac:dyDescent="0.3">
      <c r="A760" s="54">
        <v>44652</v>
      </c>
      <c r="C760" s="5" t="s">
        <v>9033</v>
      </c>
      <c r="D760" s="43">
        <v>5000</v>
      </c>
      <c r="E760" s="43"/>
      <c r="F760" s="46">
        <f t="shared" si="14"/>
        <v>732316</v>
      </c>
      <c r="G760" s="391" t="s">
        <v>9568</v>
      </c>
    </row>
    <row r="761" spans="1:7" ht="18.75" x14ac:dyDescent="0.3">
      <c r="A761" s="54">
        <v>44658</v>
      </c>
      <c r="B761" s="322"/>
      <c r="C761" s="5" t="s">
        <v>9068</v>
      </c>
      <c r="D761" s="62">
        <v>15200</v>
      </c>
      <c r="E761" s="43"/>
      <c r="F761" s="46">
        <f t="shared" si="14"/>
        <v>717116</v>
      </c>
      <c r="G761" s="391" t="s">
        <v>9568</v>
      </c>
    </row>
    <row r="762" spans="1:7" ht="18.75" x14ac:dyDescent="0.3">
      <c r="A762" s="54">
        <v>44660</v>
      </c>
      <c r="B762" s="322"/>
      <c r="C762" s="5" t="s">
        <v>294</v>
      </c>
      <c r="D762" s="43"/>
      <c r="E762" s="43">
        <v>50000</v>
      </c>
      <c r="F762" s="46">
        <f t="shared" si="14"/>
        <v>767116</v>
      </c>
      <c r="G762" s="391" t="s">
        <v>9568</v>
      </c>
    </row>
    <row r="763" spans="1:7" ht="18.75" x14ac:dyDescent="0.3">
      <c r="A763" s="54">
        <v>44662</v>
      </c>
      <c r="B763" s="322"/>
      <c r="C763" s="5" t="s">
        <v>4756</v>
      </c>
      <c r="D763" s="43">
        <v>2500</v>
      </c>
      <c r="E763" s="43"/>
      <c r="F763" s="46">
        <f t="shared" si="14"/>
        <v>764616</v>
      </c>
      <c r="G763" s="391" t="s">
        <v>9568</v>
      </c>
    </row>
    <row r="764" spans="1:7" ht="18.75" x14ac:dyDescent="0.3">
      <c r="A764" s="54">
        <v>44662</v>
      </c>
      <c r="B764" s="322"/>
      <c r="C764" s="5" t="s">
        <v>4446</v>
      </c>
      <c r="D764" s="43">
        <v>5000</v>
      </c>
      <c r="E764" s="43"/>
      <c r="F764" s="46">
        <f t="shared" si="14"/>
        <v>759616</v>
      </c>
      <c r="G764" s="391" t="s">
        <v>9568</v>
      </c>
    </row>
    <row r="765" spans="1:7" ht="18.75" x14ac:dyDescent="0.3">
      <c r="A765" s="54">
        <v>44662</v>
      </c>
      <c r="B765" s="322"/>
      <c r="C765" s="5" t="s">
        <v>4365</v>
      </c>
      <c r="D765" s="43">
        <v>10420</v>
      </c>
      <c r="E765" s="43"/>
      <c r="F765" s="46">
        <f t="shared" si="14"/>
        <v>749196</v>
      </c>
      <c r="G765" s="391" t="s">
        <v>9568</v>
      </c>
    </row>
    <row r="766" spans="1:7" ht="18.75" x14ac:dyDescent="0.3">
      <c r="A766" s="54">
        <v>44662</v>
      </c>
      <c r="B766" s="322"/>
      <c r="C766" s="5" t="s">
        <v>9071</v>
      </c>
      <c r="D766" s="43">
        <v>124500</v>
      </c>
      <c r="E766" s="43"/>
      <c r="F766" s="46">
        <f t="shared" si="14"/>
        <v>624696</v>
      </c>
      <c r="G766" s="391" t="s">
        <v>9568</v>
      </c>
    </row>
    <row r="767" spans="1:7" ht="18.75" x14ac:dyDescent="0.3">
      <c r="A767" s="54">
        <v>44662</v>
      </c>
      <c r="B767" s="322"/>
      <c r="C767" s="5" t="s">
        <v>9072</v>
      </c>
      <c r="D767" s="43">
        <v>6500</v>
      </c>
      <c r="E767" s="43"/>
      <c r="F767" s="46">
        <f t="shared" si="14"/>
        <v>618196</v>
      </c>
      <c r="G767" s="391" t="s">
        <v>9568</v>
      </c>
    </row>
    <row r="768" spans="1:7" ht="18.75" x14ac:dyDescent="0.3">
      <c r="A768" s="54">
        <v>44662</v>
      </c>
      <c r="B768" s="322"/>
      <c r="C768" s="5" t="s">
        <v>9073</v>
      </c>
      <c r="D768" s="43">
        <v>19400</v>
      </c>
      <c r="E768" s="43"/>
      <c r="F768" s="46">
        <f t="shared" si="14"/>
        <v>598796</v>
      </c>
      <c r="G768" s="391" t="s">
        <v>9568</v>
      </c>
    </row>
    <row r="769" spans="1:7" ht="18.75" x14ac:dyDescent="0.3">
      <c r="A769" s="54">
        <v>44663</v>
      </c>
      <c r="B769" s="322"/>
      <c r="C769" s="5" t="s">
        <v>9081</v>
      </c>
      <c r="D769" s="43"/>
      <c r="E769" s="43">
        <v>2000</v>
      </c>
      <c r="F769" s="46">
        <f t="shared" si="14"/>
        <v>600796</v>
      </c>
      <c r="G769" s="391" t="s">
        <v>9568</v>
      </c>
    </row>
    <row r="770" spans="1:7" ht="18.75" x14ac:dyDescent="0.3">
      <c r="A770" s="54">
        <v>44665</v>
      </c>
      <c r="B770" s="322"/>
      <c r="C770" s="5" t="s">
        <v>294</v>
      </c>
      <c r="D770" s="43"/>
      <c r="E770" s="43">
        <v>5000</v>
      </c>
      <c r="F770" s="46">
        <f>F768+E770-D770</f>
        <v>603796</v>
      </c>
      <c r="G770" s="391" t="s">
        <v>9568</v>
      </c>
    </row>
    <row r="771" spans="1:7" ht="18.75" x14ac:dyDescent="0.3">
      <c r="A771" s="54">
        <v>44665</v>
      </c>
      <c r="B771" s="322"/>
      <c r="C771" s="5" t="s">
        <v>294</v>
      </c>
      <c r="D771" s="43"/>
      <c r="E771" s="43">
        <v>9000</v>
      </c>
      <c r="F771" s="46">
        <f>F769+E771-D771</f>
        <v>609796</v>
      </c>
      <c r="G771" s="391" t="s">
        <v>9568</v>
      </c>
    </row>
    <row r="772" spans="1:7" ht="18.75" x14ac:dyDescent="0.3">
      <c r="A772" s="54">
        <v>44665</v>
      </c>
      <c r="B772" s="322"/>
      <c r="C772" s="5" t="s">
        <v>9108</v>
      </c>
      <c r="D772" s="43">
        <v>9000</v>
      </c>
      <c r="E772" s="43"/>
      <c r="F772" s="46">
        <f t="shared" si="14"/>
        <v>600796</v>
      </c>
      <c r="G772" s="391" t="s">
        <v>9568</v>
      </c>
    </row>
    <row r="773" spans="1:7" ht="18.75" x14ac:dyDescent="0.3">
      <c r="A773" s="54">
        <v>44666</v>
      </c>
      <c r="B773" s="322"/>
      <c r="C773" s="5" t="s">
        <v>294</v>
      </c>
      <c r="D773" s="43"/>
      <c r="E773" s="43">
        <v>50000</v>
      </c>
      <c r="F773" s="46">
        <f t="shared" si="14"/>
        <v>650796</v>
      </c>
      <c r="G773" s="391" t="s">
        <v>9568</v>
      </c>
    </row>
    <row r="774" spans="1:7" ht="18.75" x14ac:dyDescent="0.3">
      <c r="A774" s="54">
        <v>44669</v>
      </c>
      <c r="B774" s="322"/>
      <c r="C774" s="5" t="s">
        <v>294</v>
      </c>
      <c r="D774" s="43"/>
      <c r="E774" s="43">
        <v>50000</v>
      </c>
      <c r="F774" s="46">
        <f t="shared" si="14"/>
        <v>700796</v>
      </c>
      <c r="G774" s="391" t="s">
        <v>9568</v>
      </c>
    </row>
    <row r="775" spans="1:7" ht="18.75" x14ac:dyDescent="0.3">
      <c r="A775" s="54">
        <v>44669</v>
      </c>
      <c r="B775" s="322" t="s">
        <v>8928</v>
      </c>
      <c r="C775" s="5" t="s">
        <v>294</v>
      </c>
      <c r="D775" s="43">
        <v>2000</v>
      </c>
      <c r="E775" s="43"/>
      <c r="F775" s="46">
        <f t="shared" si="14"/>
        <v>698796</v>
      </c>
      <c r="G775" s="391" t="s">
        <v>9568</v>
      </c>
    </row>
    <row r="776" spans="1:7" ht="18.75" x14ac:dyDescent="0.3">
      <c r="A776" s="54">
        <v>44669</v>
      </c>
      <c r="B776" s="322" t="s">
        <v>445</v>
      </c>
      <c r="C776" s="5" t="s">
        <v>294</v>
      </c>
      <c r="D776" s="43">
        <v>5000</v>
      </c>
      <c r="E776" s="43"/>
      <c r="F776" s="46">
        <f t="shared" ref="F776:F842" si="15">F775+E776-D776</f>
        <v>693796</v>
      </c>
      <c r="G776" s="391" t="s">
        <v>9568</v>
      </c>
    </row>
    <row r="777" spans="1:7" ht="18.75" x14ac:dyDescent="0.3">
      <c r="A777" s="54">
        <v>44669</v>
      </c>
      <c r="B777" s="322" t="s">
        <v>26</v>
      </c>
      <c r="C777" s="5" t="s">
        <v>9107</v>
      </c>
      <c r="D777" s="43">
        <v>2000</v>
      </c>
      <c r="E777" s="43"/>
      <c r="F777" s="46">
        <f t="shared" si="15"/>
        <v>691796</v>
      </c>
      <c r="G777" s="391" t="s">
        <v>9568</v>
      </c>
    </row>
    <row r="778" spans="1:7" ht="18.75" x14ac:dyDescent="0.3">
      <c r="A778" s="54">
        <v>44669</v>
      </c>
      <c r="B778" s="322" t="s">
        <v>445</v>
      </c>
      <c r="C778" s="139" t="s">
        <v>9109</v>
      </c>
      <c r="D778" s="43">
        <v>20000</v>
      </c>
      <c r="E778" s="43"/>
      <c r="F778" s="46">
        <f t="shared" si="15"/>
        <v>671796</v>
      </c>
      <c r="G778" s="391" t="s">
        <v>9568</v>
      </c>
    </row>
    <row r="779" spans="1:7" ht="18.75" x14ac:dyDescent="0.3">
      <c r="A779" s="54">
        <v>44669</v>
      </c>
      <c r="B779" s="322"/>
      <c r="C779" s="5" t="s">
        <v>9110</v>
      </c>
      <c r="D779" s="43">
        <v>58750</v>
      </c>
      <c r="E779" s="43"/>
      <c r="F779" s="46">
        <f t="shared" si="15"/>
        <v>613046</v>
      </c>
      <c r="G779" s="391" t="s">
        <v>9568</v>
      </c>
    </row>
    <row r="780" spans="1:7" ht="18.75" x14ac:dyDescent="0.3">
      <c r="A780" s="54">
        <v>44669</v>
      </c>
      <c r="B780" s="322"/>
      <c r="C780" s="5" t="s">
        <v>4446</v>
      </c>
      <c r="D780" s="43">
        <v>2000</v>
      </c>
      <c r="E780" s="43"/>
      <c r="F780" s="46">
        <f t="shared" si="15"/>
        <v>611046</v>
      </c>
      <c r="G780" s="391" t="s">
        <v>9568</v>
      </c>
    </row>
    <row r="781" spans="1:7" ht="18.75" x14ac:dyDescent="0.3">
      <c r="A781" s="54">
        <v>44673</v>
      </c>
      <c r="B781" s="5"/>
      <c r="C781" s="5" t="s">
        <v>8875</v>
      </c>
      <c r="D781" s="43"/>
      <c r="E781" s="43">
        <v>4850</v>
      </c>
      <c r="F781" s="46">
        <f t="shared" si="15"/>
        <v>615896</v>
      </c>
      <c r="G781" s="391" t="s">
        <v>9568</v>
      </c>
    </row>
    <row r="782" spans="1:7" ht="18.75" x14ac:dyDescent="0.3">
      <c r="A782" s="54">
        <v>44673</v>
      </c>
      <c r="B782" s="322"/>
      <c r="C782" s="5" t="s">
        <v>294</v>
      </c>
      <c r="D782" s="43"/>
      <c r="E782" s="43">
        <v>10000</v>
      </c>
      <c r="F782" s="46">
        <f t="shared" si="15"/>
        <v>625896</v>
      </c>
      <c r="G782" s="391" t="s">
        <v>9568</v>
      </c>
    </row>
    <row r="783" spans="1:7" ht="18.75" x14ac:dyDescent="0.3">
      <c r="A783" s="54">
        <v>44678</v>
      </c>
      <c r="B783" s="322"/>
      <c r="C783" s="5" t="s">
        <v>294</v>
      </c>
      <c r="D783" s="43"/>
      <c r="E783" s="43">
        <v>5000</v>
      </c>
      <c r="F783" s="46">
        <f t="shared" si="15"/>
        <v>630896</v>
      </c>
      <c r="G783" s="391" t="s">
        <v>9568</v>
      </c>
    </row>
    <row r="784" spans="1:7" x14ac:dyDescent="0.3">
      <c r="A784" s="54">
        <v>44682</v>
      </c>
      <c r="C784" s="5" t="s">
        <v>9156</v>
      </c>
      <c r="D784" s="43">
        <v>50000</v>
      </c>
      <c r="E784" s="43"/>
      <c r="F784" s="46">
        <f t="shared" si="15"/>
        <v>580896</v>
      </c>
      <c r="G784" s="391" t="s">
        <v>9568</v>
      </c>
    </row>
    <row r="785" spans="1:7" x14ac:dyDescent="0.3">
      <c r="A785" s="54">
        <v>44682</v>
      </c>
      <c r="C785" s="5" t="s">
        <v>9157</v>
      </c>
      <c r="D785" s="43">
        <v>5000</v>
      </c>
      <c r="E785" s="43"/>
      <c r="F785" s="46">
        <f t="shared" si="15"/>
        <v>575896</v>
      </c>
      <c r="G785" s="391" t="s">
        <v>9568</v>
      </c>
    </row>
    <row r="786" spans="1:7" ht="18.75" x14ac:dyDescent="0.3">
      <c r="A786" s="54">
        <v>44690</v>
      </c>
      <c r="B786" s="322"/>
      <c r="C786" s="5" t="s">
        <v>294</v>
      </c>
      <c r="D786" s="43"/>
      <c r="E786" s="43">
        <v>5000</v>
      </c>
      <c r="F786" s="46">
        <f t="shared" si="15"/>
        <v>580896</v>
      </c>
      <c r="G786" s="391" t="s">
        <v>9568</v>
      </c>
    </row>
    <row r="787" spans="1:7" ht="18.75" x14ac:dyDescent="0.3">
      <c r="A787" s="54">
        <v>44692</v>
      </c>
      <c r="B787" s="322"/>
      <c r="C787" s="5" t="s">
        <v>294</v>
      </c>
      <c r="D787" s="43"/>
      <c r="E787" s="43">
        <v>2500</v>
      </c>
      <c r="F787" s="46">
        <f t="shared" si="15"/>
        <v>583396</v>
      </c>
      <c r="G787" s="391" t="s">
        <v>9568</v>
      </c>
    </row>
    <row r="788" spans="1:7" ht="18.75" x14ac:dyDescent="0.3">
      <c r="A788" s="54">
        <v>44697</v>
      </c>
      <c r="B788" s="322"/>
      <c r="C788" s="5" t="s">
        <v>294</v>
      </c>
      <c r="D788" s="43"/>
      <c r="E788" s="43">
        <v>5000</v>
      </c>
      <c r="F788" s="46">
        <f t="shared" si="15"/>
        <v>588396</v>
      </c>
      <c r="G788" s="391" t="s">
        <v>9568</v>
      </c>
    </row>
    <row r="789" spans="1:7" ht="18.75" x14ac:dyDescent="0.3">
      <c r="A789" s="54">
        <v>44698</v>
      </c>
      <c r="B789" s="322"/>
      <c r="C789" s="5" t="s">
        <v>5034</v>
      </c>
      <c r="D789" s="43">
        <v>4000</v>
      </c>
      <c r="E789" s="43"/>
      <c r="F789" s="46">
        <f t="shared" si="15"/>
        <v>584396</v>
      </c>
      <c r="G789" s="391" t="s">
        <v>9568</v>
      </c>
    </row>
    <row r="790" spans="1:7" ht="18.75" x14ac:dyDescent="0.3">
      <c r="A790" s="54">
        <v>44698</v>
      </c>
      <c r="B790" s="322"/>
      <c r="C790" s="5" t="s">
        <v>4446</v>
      </c>
      <c r="D790" s="43">
        <v>2000</v>
      </c>
      <c r="E790" s="43"/>
      <c r="F790" s="46">
        <f t="shared" si="15"/>
        <v>582396</v>
      </c>
      <c r="G790" s="391" t="s">
        <v>9568</v>
      </c>
    </row>
    <row r="791" spans="1:7" ht="18.75" x14ac:dyDescent="0.3">
      <c r="A791" s="54">
        <v>44698</v>
      </c>
      <c r="B791" s="322"/>
      <c r="C791" s="5" t="s">
        <v>9073</v>
      </c>
      <c r="D791" s="43">
        <v>7000</v>
      </c>
      <c r="E791" s="43"/>
      <c r="F791" s="46">
        <f t="shared" si="15"/>
        <v>575396</v>
      </c>
      <c r="G791" s="391" t="s">
        <v>9568</v>
      </c>
    </row>
    <row r="792" spans="1:7" ht="18.75" x14ac:dyDescent="0.3">
      <c r="A792" s="54">
        <v>44699</v>
      </c>
      <c r="B792" s="322"/>
      <c r="C792" s="5" t="s">
        <v>294</v>
      </c>
      <c r="D792" s="43"/>
      <c r="E792" s="43">
        <v>7000</v>
      </c>
      <c r="F792" s="46">
        <f t="shared" si="15"/>
        <v>582396</v>
      </c>
      <c r="G792" s="391" t="s">
        <v>9568</v>
      </c>
    </row>
    <row r="793" spans="1:7" ht="18.75" x14ac:dyDescent="0.3">
      <c r="A793" s="54">
        <v>44700</v>
      </c>
      <c r="B793" s="322"/>
      <c r="C793" s="5" t="s">
        <v>9201</v>
      </c>
      <c r="D793" s="43"/>
      <c r="E793" s="43">
        <v>16563</v>
      </c>
      <c r="F793" s="46">
        <f t="shared" si="15"/>
        <v>598959</v>
      </c>
      <c r="G793" s="391" t="s">
        <v>9568</v>
      </c>
    </row>
    <row r="794" spans="1:7" ht="18.75" x14ac:dyDescent="0.3">
      <c r="A794" s="54">
        <v>44706</v>
      </c>
      <c r="B794" s="322"/>
      <c r="C794" s="5" t="s">
        <v>8516</v>
      </c>
      <c r="D794" s="43">
        <v>17000</v>
      </c>
      <c r="E794" s="43"/>
      <c r="F794" s="46">
        <f t="shared" si="15"/>
        <v>581959</v>
      </c>
      <c r="G794" s="391" t="s">
        <v>9568</v>
      </c>
    </row>
    <row r="795" spans="1:7" ht="18.75" x14ac:dyDescent="0.3">
      <c r="A795" s="54">
        <v>44706</v>
      </c>
      <c r="B795" s="322"/>
      <c r="C795" s="5" t="s">
        <v>9230</v>
      </c>
      <c r="D795" s="43"/>
      <c r="E795" s="43">
        <v>9815</v>
      </c>
      <c r="F795" s="46">
        <f t="shared" si="15"/>
        <v>591774</v>
      </c>
      <c r="G795" s="391" t="s">
        <v>9568</v>
      </c>
    </row>
    <row r="796" spans="1:7" ht="18.75" x14ac:dyDescent="0.3">
      <c r="A796" s="54">
        <v>44707</v>
      </c>
      <c r="B796" s="322"/>
      <c r="C796" s="5" t="s">
        <v>9239</v>
      </c>
      <c r="D796" s="43"/>
      <c r="E796" s="43">
        <v>25000</v>
      </c>
      <c r="F796" s="46">
        <f t="shared" si="15"/>
        <v>616774</v>
      </c>
      <c r="G796" s="391" t="s">
        <v>9568</v>
      </c>
    </row>
    <row r="797" spans="1:7" x14ac:dyDescent="0.3">
      <c r="A797" s="54">
        <v>44713</v>
      </c>
      <c r="C797" s="5" t="s">
        <v>9295</v>
      </c>
      <c r="D797" s="43">
        <v>50000</v>
      </c>
      <c r="E797" s="43"/>
      <c r="F797" s="46">
        <f t="shared" ref="F797:F799" si="16">F796+E797-D797</f>
        <v>566774</v>
      </c>
      <c r="G797" s="391" t="s">
        <v>9568</v>
      </c>
    </row>
    <row r="798" spans="1:7" x14ac:dyDescent="0.3">
      <c r="A798" s="54">
        <v>44713</v>
      </c>
      <c r="C798" s="5" t="s">
        <v>9296</v>
      </c>
      <c r="D798" s="43">
        <v>5000</v>
      </c>
      <c r="E798" s="43"/>
      <c r="F798" s="46">
        <f t="shared" si="16"/>
        <v>561774</v>
      </c>
      <c r="G798" s="391" t="s">
        <v>9568</v>
      </c>
    </row>
    <row r="799" spans="1:7" ht="18.75" x14ac:dyDescent="0.3">
      <c r="A799" s="54">
        <v>44713</v>
      </c>
      <c r="B799" s="322"/>
      <c r="C799" s="5" t="s">
        <v>438</v>
      </c>
      <c r="D799" s="43"/>
      <c r="E799" s="43">
        <v>25000</v>
      </c>
      <c r="F799" s="46">
        <f t="shared" si="16"/>
        <v>586774</v>
      </c>
      <c r="G799" s="391" t="s">
        <v>9568</v>
      </c>
    </row>
    <row r="800" spans="1:7" ht="18.75" x14ac:dyDescent="0.3">
      <c r="A800" s="54">
        <v>44716</v>
      </c>
      <c r="B800" s="322"/>
      <c r="C800" s="5" t="s">
        <v>438</v>
      </c>
      <c r="D800" s="43"/>
      <c r="E800" s="43">
        <v>5000</v>
      </c>
      <c r="F800" s="46">
        <f t="shared" si="15"/>
        <v>591774</v>
      </c>
      <c r="G800" s="391" t="s">
        <v>9568</v>
      </c>
    </row>
    <row r="801" spans="1:7" ht="18.75" x14ac:dyDescent="0.3">
      <c r="A801" s="54">
        <v>44716</v>
      </c>
      <c r="B801" s="322"/>
      <c r="C801" s="5" t="s">
        <v>8723</v>
      </c>
      <c r="D801" s="43"/>
      <c r="E801" s="43">
        <v>20000</v>
      </c>
      <c r="F801" s="46">
        <f t="shared" si="15"/>
        <v>611774</v>
      </c>
      <c r="G801" s="391" t="s">
        <v>9568</v>
      </c>
    </row>
    <row r="802" spans="1:7" ht="18.75" x14ac:dyDescent="0.3">
      <c r="A802" s="54">
        <v>44719</v>
      </c>
      <c r="B802" s="322"/>
      <c r="C802" s="5" t="s">
        <v>294</v>
      </c>
      <c r="D802" s="43"/>
      <c r="E802" s="43">
        <v>10000</v>
      </c>
      <c r="F802" s="46">
        <f t="shared" si="15"/>
        <v>621774</v>
      </c>
      <c r="G802" s="391" t="s">
        <v>9568</v>
      </c>
    </row>
    <row r="803" spans="1:7" ht="18.75" x14ac:dyDescent="0.3">
      <c r="A803" s="54">
        <v>44721</v>
      </c>
      <c r="B803" s="322"/>
      <c r="C803" s="5" t="s">
        <v>294</v>
      </c>
      <c r="D803" s="43"/>
      <c r="E803" s="43">
        <v>10000</v>
      </c>
      <c r="F803" s="46">
        <f t="shared" si="15"/>
        <v>631774</v>
      </c>
      <c r="G803" s="391" t="s">
        <v>9568</v>
      </c>
    </row>
    <row r="804" spans="1:7" ht="18.75" x14ac:dyDescent="0.3">
      <c r="A804" s="54">
        <v>44721</v>
      </c>
      <c r="B804" s="322"/>
      <c r="C804" s="5" t="s">
        <v>9290</v>
      </c>
      <c r="D804" s="43">
        <v>3500</v>
      </c>
      <c r="E804" s="43"/>
      <c r="F804" s="46">
        <f t="shared" si="15"/>
        <v>628274</v>
      </c>
      <c r="G804" s="391" t="s">
        <v>9568</v>
      </c>
    </row>
    <row r="805" spans="1:7" ht="18.75" x14ac:dyDescent="0.3">
      <c r="A805" s="54">
        <v>44727</v>
      </c>
      <c r="B805" s="322"/>
      <c r="C805" s="5" t="s">
        <v>8153</v>
      </c>
      <c r="D805" s="43">
        <v>8235</v>
      </c>
      <c r="E805" s="43"/>
      <c r="F805" s="46">
        <f t="shared" si="15"/>
        <v>620039</v>
      </c>
      <c r="G805" s="391" t="s">
        <v>9568</v>
      </c>
    </row>
    <row r="806" spans="1:7" ht="18.75" x14ac:dyDescent="0.3">
      <c r="A806" s="54">
        <v>44727</v>
      </c>
      <c r="B806" s="322"/>
      <c r="C806" s="5" t="s">
        <v>4446</v>
      </c>
      <c r="D806" s="43">
        <v>2535</v>
      </c>
      <c r="E806" s="43"/>
      <c r="F806" s="46">
        <f t="shared" si="15"/>
        <v>617504</v>
      </c>
      <c r="G806" s="391" t="s">
        <v>9568</v>
      </c>
    </row>
    <row r="807" spans="1:7" ht="18.75" x14ac:dyDescent="0.3">
      <c r="A807" s="54">
        <v>44727</v>
      </c>
      <c r="B807" s="322"/>
      <c r="C807" s="5" t="s">
        <v>4365</v>
      </c>
      <c r="D807" s="43">
        <v>1500</v>
      </c>
      <c r="E807" s="43"/>
      <c r="F807" s="46">
        <f t="shared" si="15"/>
        <v>616004</v>
      </c>
      <c r="G807" s="391" t="s">
        <v>9568</v>
      </c>
    </row>
    <row r="808" spans="1:7" ht="18.75" x14ac:dyDescent="0.3">
      <c r="A808" s="54">
        <v>44727</v>
      </c>
      <c r="B808" s="322"/>
      <c r="C808" s="5" t="s">
        <v>5034</v>
      </c>
      <c r="D808" s="43">
        <v>2000</v>
      </c>
      <c r="E808" s="43"/>
      <c r="F808" s="46">
        <f t="shared" si="15"/>
        <v>614004</v>
      </c>
      <c r="G808" s="391" t="s">
        <v>9568</v>
      </c>
    </row>
    <row r="809" spans="1:7" ht="18.75" x14ac:dyDescent="0.3">
      <c r="A809" s="54">
        <v>44727</v>
      </c>
      <c r="B809" s="322"/>
      <c r="C809" s="5" t="s">
        <v>9312</v>
      </c>
      <c r="D809" s="43">
        <v>1000</v>
      </c>
      <c r="E809" s="43"/>
      <c r="F809" s="46">
        <f t="shared" si="15"/>
        <v>613004</v>
      </c>
      <c r="G809" s="391" t="s">
        <v>9568</v>
      </c>
    </row>
    <row r="810" spans="1:7" ht="18.75" x14ac:dyDescent="0.3">
      <c r="A810" s="54">
        <v>44727</v>
      </c>
      <c r="B810" s="322"/>
      <c r="C810" s="5" t="s">
        <v>9312</v>
      </c>
      <c r="D810" s="43">
        <v>1000</v>
      </c>
      <c r="E810" s="43"/>
      <c r="F810" s="46">
        <f t="shared" si="15"/>
        <v>612004</v>
      </c>
      <c r="G810" s="391" t="s">
        <v>9568</v>
      </c>
    </row>
    <row r="811" spans="1:7" ht="18.75" x14ac:dyDescent="0.3">
      <c r="A811" s="54">
        <v>44727</v>
      </c>
      <c r="B811" s="322"/>
      <c r="C811" s="5" t="s">
        <v>294</v>
      </c>
      <c r="D811" s="43"/>
      <c r="E811" s="43">
        <v>10000</v>
      </c>
      <c r="F811" s="46">
        <f t="shared" si="15"/>
        <v>622004</v>
      </c>
      <c r="G811" s="391" t="s">
        <v>9568</v>
      </c>
    </row>
    <row r="812" spans="1:7" ht="18.75" x14ac:dyDescent="0.3">
      <c r="A812" s="54">
        <v>44732</v>
      </c>
      <c r="B812" s="322"/>
      <c r="C812" s="5" t="s">
        <v>6430</v>
      </c>
      <c r="D812" s="43">
        <v>1000</v>
      </c>
      <c r="E812" s="43"/>
      <c r="F812" s="46">
        <f t="shared" si="15"/>
        <v>621004</v>
      </c>
      <c r="G812" s="391" t="s">
        <v>9568</v>
      </c>
    </row>
    <row r="813" spans="1:7" ht="18.75" x14ac:dyDescent="0.3">
      <c r="A813" s="54">
        <v>44732</v>
      </c>
      <c r="B813" s="322"/>
      <c r="C813" s="5" t="s">
        <v>9341</v>
      </c>
      <c r="D813" s="43">
        <v>5000</v>
      </c>
      <c r="E813" s="43"/>
      <c r="F813" s="46">
        <f t="shared" si="15"/>
        <v>616004</v>
      </c>
      <c r="G813" s="391" t="s">
        <v>9568</v>
      </c>
    </row>
    <row r="814" spans="1:7" ht="18.75" x14ac:dyDescent="0.3">
      <c r="A814" s="54">
        <v>44732</v>
      </c>
      <c r="B814" s="322"/>
      <c r="C814" s="5" t="s">
        <v>9342</v>
      </c>
      <c r="D814" s="43">
        <v>3000</v>
      </c>
      <c r="E814" s="43"/>
      <c r="F814" s="46">
        <f t="shared" si="15"/>
        <v>613004</v>
      </c>
      <c r="G814" s="391" t="s">
        <v>9568</v>
      </c>
    </row>
    <row r="815" spans="1:7" ht="18.75" x14ac:dyDescent="0.3">
      <c r="A815" s="54">
        <v>44732</v>
      </c>
      <c r="B815" s="322"/>
      <c r="C815" s="5" t="s">
        <v>9343</v>
      </c>
      <c r="D815" s="43">
        <v>2000</v>
      </c>
      <c r="E815" s="43"/>
      <c r="F815" s="46">
        <f t="shared" si="15"/>
        <v>611004</v>
      </c>
      <c r="G815" s="391" t="s">
        <v>9568</v>
      </c>
    </row>
    <row r="816" spans="1:7" ht="18.75" x14ac:dyDescent="0.3">
      <c r="A816" s="54">
        <v>44732</v>
      </c>
      <c r="B816" s="322"/>
      <c r="C816" s="5" t="s">
        <v>294</v>
      </c>
      <c r="D816" s="43"/>
      <c r="E816" s="43">
        <v>5000</v>
      </c>
      <c r="F816" s="46">
        <f t="shared" si="15"/>
        <v>616004</v>
      </c>
      <c r="G816" s="391" t="s">
        <v>9568</v>
      </c>
    </row>
    <row r="817" spans="1:7" ht="18.75" x14ac:dyDescent="0.3">
      <c r="A817" s="54">
        <v>44736</v>
      </c>
      <c r="B817" s="322"/>
      <c r="C817" s="5" t="s">
        <v>294</v>
      </c>
      <c r="D817" s="43"/>
      <c r="E817" s="43">
        <v>50000</v>
      </c>
      <c r="F817" s="46">
        <f t="shared" si="15"/>
        <v>666004</v>
      </c>
      <c r="G817" s="391" t="s">
        <v>9568</v>
      </c>
    </row>
    <row r="818" spans="1:7" ht="18.75" x14ac:dyDescent="0.3">
      <c r="A818" s="54">
        <v>44737</v>
      </c>
      <c r="B818" s="322"/>
      <c r="C818" s="5" t="s">
        <v>9368</v>
      </c>
      <c r="D818" s="43">
        <v>10000</v>
      </c>
      <c r="E818" s="43"/>
      <c r="F818" s="46">
        <f t="shared" si="15"/>
        <v>656004</v>
      </c>
      <c r="G818" s="391" t="s">
        <v>9568</v>
      </c>
    </row>
    <row r="819" spans="1:7" ht="18.75" x14ac:dyDescent="0.3">
      <c r="A819" s="54">
        <v>44737</v>
      </c>
      <c r="B819" s="322"/>
      <c r="C819" s="5" t="s">
        <v>9369</v>
      </c>
      <c r="D819" s="43">
        <v>15000</v>
      </c>
      <c r="E819" s="43"/>
      <c r="F819" s="46">
        <f t="shared" si="15"/>
        <v>641004</v>
      </c>
      <c r="G819" s="391" t="s">
        <v>9568</v>
      </c>
    </row>
    <row r="820" spans="1:7" ht="18.75" x14ac:dyDescent="0.3">
      <c r="A820" s="54">
        <v>44739</v>
      </c>
      <c r="B820" s="322"/>
      <c r="C820" s="5" t="s">
        <v>294</v>
      </c>
      <c r="D820" s="43"/>
      <c r="E820" s="43">
        <v>25000</v>
      </c>
      <c r="F820" s="46">
        <f t="shared" si="15"/>
        <v>666004</v>
      </c>
      <c r="G820" s="391" t="s">
        <v>9568</v>
      </c>
    </row>
    <row r="821" spans="1:7" x14ac:dyDescent="0.3">
      <c r="A821" s="54">
        <v>44743</v>
      </c>
      <c r="C821" s="5" t="s">
        <v>9387</v>
      </c>
      <c r="D821" s="43">
        <v>50000</v>
      </c>
      <c r="E821" s="65"/>
      <c r="F821" s="46">
        <f t="shared" si="15"/>
        <v>616004</v>
      </c>
      <c r="G821" s="391" t="s">
        <v>9568</v>
      </c>
    </row>
    <row r="822" spans="1:7" x14ac:dyDescent="0.3">
      <c r="A822" s="54">
        <v>44743</v>
      </c>
      <c r="C822" s="5" t="s">
        <v>9388</v>
      </c>
      <c r="D822" s="43">
        <v>5000</v>
      </c>
      <c r="E822" s="65"/>
      <c r="F822" s="46">
        <f t="shared" si="15"/>
        <v>611004</v>
      </c>
      <c r="G822" s="391" t="s">
        <v>9568</v>
      </c>
    </row>
    <row r="823" spans="1:7" ht="18.75" x14ac:dyDescent="0.3">
      <c r="A823" s="54">
        <v>44743</v>
      </c>
      <c r="B823" s="322"/>
      <c r="C823" s="5" t="s">
        <v>294</v>
      </c>
      <c r="D823" s="43"/>
      <c r="E823" s="43">
        <v>1000</v>
      </c>
      <c r="F823" s="46">
        <f t="shared" si="15"/>
        <v>612004</v>
      </c>
      <c r="G823" s="391" t="s">
        <v>9568</v>
      </c>
    </row>
    <row r="824" spans="1:7" ht="18.75" x14ac:dyDescent="0.3">
      <c r="A824" s="54">
        <v>44744</v>
      </c>
      <c r="B824" s="322"/>
      <c r="C824" s="5" t="s">
        <v>438</v>
      </c>
      <c r="D824" s="43"/>
      <c r="E824" s="43">
        <v>30000</v>
      </c>
      <c r="F824" s="46">
        <f t="shared" si="15"/>
        <v>642004</v>
      </c>
      <c r="G824" s="391" t="s">
        <v>9568</v>
      </c>
    </row>
    <row r="825" spans="1:7" ht="18.75" x14ac:dyDescent="0.3">
      <c r="A825" s="54">
        <v>44744</v>
      </c>
      <c r="B825" s="322"/>
      <c r="C825" s="5" t="s">
        <v>9400</v>
      </c>
      <c r="D825" s="43">
        <v>20000</v>
      </c>
      <c r="E825" s="43"/>
      <c r="F825" s="46">
        <f t="shared" si="15"/>
        <v>622004</v>
      </c>
      <c r="G825" s="391" t="s">
        <v>9568</v>
      </c>
    </row>
    <row r="826" spans="1:7" ht="18.75" x14ac:dyDescent="0.3">
      <c r="A826" s="54">
        <v>44746</v>
      </c>
      <c r="B826" s="322"/>
      <c r="C826" s="5" t="s">
        <v>9408</v>
      </c>
      <c r="D826" s="43">
        <v>1500</v>
      </c>
      <c r="E826" s="43"/>
      <c r="F826" s="46">
        <f t="shared" si="15"/>
        <v>620504</v>
      </c>
      <c r="G826" s="391" t="s">
        <v>9568</v>
      </c>
    </row>
    <row r="827" spans="1:7" ht="18.75" x14ac:dyDescent="0.3">
      <c r="A827" s="54">
        <v>44746</v>
      </c>
      <c r="B827" s="322"/>
      <c r="C827" s="5" t="s">
        <v>438</v>
      </c>
      <c r="D827" s="43"/>
      <c r="E827" s="43">
        <v>15000</v>
      </c>
      <c r="F827" s="46">
        <f t="shared" si="15"/>
        <v>635504</v>
      </c>
      <c r="G827" s="391" t="s">
        <v>9568</v>
      </c>
    </row>
    <row r="828" spans="1:7" ht="18.75" x14ac:dyDescent="0.3">
      <c r="A828" s="54">
        <v>44747</v>
      </c>
      <c r="B828" s="322"/>
      <c r="C828" s="5" t="s">
        <v>9073</v>
      </c>
      <c r="D828" s="43">
        <v>11000</v>
      </c>
      <c r="E828" s="43"/>
      <c r="F828" s="46">
        <f t="shared" si="15"/>
        <v>624504</v>
      </c>
      <c r="G828" s="391" t="s">
        <v>9568</v>
      </c>
    </row>
    <row r="829" spans="1:7" ht="18.75" x14ac:dyDescent="0.3">
      <c r="A829" s="54">
        <v>44747</v>
      </c>
      <c r="B829" s="322"/>
      <c r="C829" s="5" t="s">
        <v>4446</v>
      </c>
      <c r="D829" s="43">
        <v>11670</v>
      </c>
      <c r="E829" s="43"/>
      <c r="F829" s="46">
        <f t="shared" si="15"/>
        <v>612834</v>
      </c>
      <c r="G829" s="391" t="s">
        <v>9568</v>
      </c>
    </row>
    <row r="830" spans="1:7" ht="18.75" x14ac:dyDescent="0.3">
      <c r="A830" s="54">
        <v>44747</v>
      </c>
      <c r="B830" s="322"/>
      <c r="C830" s="5" t="s">
        <v>7908</v>
      </c>
      <c r="D830" s="43">
        <v>3000</v>
      </c>
      <c r="E830" s="43"/>
      <c r="F830" s="46">
        <f t="shared" si="15"/>
        <v>609834</v>
      </c>
      <c r="G830" s="391" t="s">
        <v>9568</v>
      </c>
    </row>
    <row r="831" spans="1:7" ht="18.75" x14ac:dyDescent="0.3">
      <c r="A831" s="54">
        <v>44747</v>
      </c>
      <c r="B831" s="322"/>
      <c r="C831" s="5" t="s">
        <v>4365</v>
      </c>
      <c r="D831" s="43">
        <v>3000</v>
      </c>
      <c r="E831" s="43"/>
      <c r="F831" s="46">
        <f t="shared" si="15"/>
        <v>606834</v>
      </c>
      <c r="G831" s="391" t="s">
        <v>9568</v>
      </c>
    </row>
    <row r="832" spans="1:7" ht="18.75" x14ac:dyDescent="0.3">
      <c r="A832" s="54">
        <v>44747</v>
      </c>
      <c r="B832" s="322"/>
      <c r="C832" s="5" t="s">
        <v>9417</v>
      </c>
      <c r="D832" s="43">
        <v>3000</v>
      </c>
      <c r="E832" s="43"/>
      <c r="F832" s="46">
        <f t="shared" si="15"/>
        <v>603834</v>
      </c>
      <c r="G832" s="391" t="s">
        <v>9568</v>
      </c>
    </row>
    <row r="833" spans="1:7" ht="18.75" x14ac:dyDescent="0.3">
      <c r="A833" s="54">
        <v>44762</v>
      </c>
      <c r="B833" s="322"/>
      <c r="C833" s="5" t="s">
        <v>9434</v>
      </c>
      <c r="D833" s="43">
        <v>8000</v>
      </c>
      <c r="E833" s="43"/>
      <c r="F833" s="46">
        <f t="shared" si="15"/>
        <v>595834</v>
      </c>
      <c r="G833" s="391" t="s">
        <v>9568</v>
      </c>
    </row>
    <row r="834" spans="1:7" ht="18.75" x14ac:dyDescent="0.3">
      <c r="A834" s="54">
        <v>44762</v>
      </c>
      <c r="B834" s="322"/>
      <c r="C834" s="5" t="s">
        <v>8125</v>
      </c>
      <c r="D834" s="43">
        <v>2308</v>
      </c>
      <c r="E834" s="43"/>
      <c r="F834" s="46">
        <f t="shared" si="15"/>
        <v>593526</v>
      </c>
      <c r="G834" s="391" t="s">
        <v>9568</v>
      </c>
    </row>
    <row r="835" spans="1:7" ht="18.75" x14ac:dyDescent="0.3">
      <c r="A835" s="54">
        <v>44762</v>
      </c>
      <c r="B835" s="322"/>
      <c r="C835" s="5" t="s">
        <v>4883</v>
      </c>
      <c r="D835" s="43">
        <v>2000</v>
      </c>
      <c r="E835" s="43"/>
      <c r="F835" s="46">
        <f t="shared" si="15"/>
        <v>591526</v>
      </c>
      <c r="G835" s="391" t="s">
        <v>9568</v>
      </c>
    </row>
    <row r="836" spans="1:7" ht="18.75" x14ac:dyDescent="0.3">
      <c r="A836" s="54">
        <v>44762</v>
      </c>
      <c r="B836" s="322"/>
      <c r="C836" s="5" t="s">
        <v>4363</v>
      </c>
      <c r="D836" s="43">
        <v>3000</v>
      </c>
      <c r="E836" s="43"/>
      <c r="F836" s="46">
        <f t="shared" si="15"/>
        <v>588526</v>
      </c>
      <c r="G836" s="391" t="s">
        <v>9568</v>
      </c>
    </row>
    <row r="837" spans="1:7" ht="18.75" x14ac:dyDescent="0.3">
      <c r="A837" s="54">
        <v>44762</v>
      </c>
      <c r="B837" s="322"/>
      <c r="C837" s="5" t="s">
        <v>6014</v>
      </c>
      <c r="D837" s="43">
        <v>7820</v>
      </c>
      <c r="E837" s="43"/>
      <c r="F837" s="46">
        <f t="shared" si="15"/>
        <v>580706</v>
      </c>
      <c r="G837" s="391" t="s">
        <v>9568</v>
      </c>
    </row>
    <row r="838" spans="1:7" ht="18.75" x14ac:dyDescent="0.3">
      <c r="A838" s="54">
        <v>44762</v>
      </c>
      <c r="B838" s="322"/>
      <c r="C838" s="5" t="s">
        <v>438</v>
      </c>
      <c r="D838" s="43"/>
      <c r="E838" s="43">
        <v>5000</v>
      </c>
      <c r="F838" s="46">
        <f t="shared" si="15"/>
        <v>585706</v>
      </c>
      <c r="G838" s="391" t="s">
        <v>9568</v>
      </c>
    </row>
    <row r="839" spans="1:7" ht="18.75" x14ac:dyDescent="0.3">
      <c r="A839" s="54">
        <v>44762</v>
      </c>
      <c r="B839" s="322"/>
      <c r="C839" s="5" t="s">
        <v>9441</v>
      </c>
      <c r="D839" s="43">
        <v>14000</v>
      </c>
      <c r="E839" s="43"/>
      <c r="F839" s="46">
        <f t="shared" si="15"/>
        <v>571706</v>
      </c>
      <c r="G839" s="391" t="s">
        <v>9568</v>
      </c>
    </row>
    <row r="840" spans="1:7" ht="18.75" x14ac:dyDescent="0.3">
      <c r="A840" s="54">
        <v>44762</v>
      </c>
      <c r="B840" s="322"/>
      <c r="C840" s="41" t="s">
        <v>9442</v>
      </c>
      <c r="D840" s="42">
        <v>8000</v>
      </c>
      <c r="E840" s="43"/>
      <c r="F840" s="46">
        <f t="shared" si="15"/>
        <v>563706</v>
      </c>
      <c r="G840" s="391" t="s">
        <v>9568</v>
      </c>
    </row>
    <row r="841" spans="1:7" ht="18.75" x14ac:dyDescent="0.3">
      <c r="A841" s="54">
        <v>44762</v>
      </c>
      <c r="B841" s="322"/>
      <c r="C841" s="5" t="s">
        <v>9443</v>
      </c>
      <c r="D841" s="43">
        <v>2000</v>
      </c>
      <c r="E841" s="43"/>
      <c r="F841" s="46">
        <f t="shared" si="15"/>
        <v>561706</v>
      </c>
      <c r="G841" s="391" t="s">
        <v>9568</v>
      </c>
    </row>
    <row r="842" spans="1:7" ht="18.75" x14ac:dyDescent="0.3">
      <c r="A842" s="54">
        <v>44762</v>
      </c>
      <c r="B842" s="322"/>
      <c r="C842" s="5" t="s">
        <v>9444</v>
      </c>
      <c r="D842" s="43">
        <v>3000</v>
      </c>
      <c r="E842" s="43"/>
      <c r="F842" s="46">
        <f t="shared" si="15"/>
        <v>558706</v>
      </c>
      <c r="G842" s="391" t="s">
        <v>9568</v>
      </c>
    </row>
    <row r="843" spans="1:7" ht="18.75" x14ac:dyDescent="0.3">
      <c r="A843" s="54">
        <v>44762</v>
      </c>
      <c r="B843" s="322"/>
      <c r="C843" s="5" t="s">
        <v>5377</v>
      </c>
      <c r="D843" s="43">
        <v>1500</v>
      </c>
      <c r="E843" s="43"/>
      <c r="F843" s="46">
        <f t="shared" ref="F843:F908" si="17">F842+E843-D843</f>
        <v>557206</v>
      </c>
      <c r="G843" s="391" t="s">
        <v>9568</v>
      </c>
    </row>
    <row r="844" spans="1:7" x14ac:dyDescent="0.3">
      <c r="A844" s="54">
        <v>44762</v>
      </c>
      <c r="C844" s="5" t="s">
        <v>9445</v>
      </c>
      <c r="D844" s="43">
        <v>10000</v>
      </c>
      <c r="F844" s="46">
        <f t="shared" si="17"/>
        <v>547206</v>
      </c>
      <c r="G844" s="391" t="s">
        <v>9568</v>
      </c>
    </row>
    <row r="845" spans="1:7" x14ac:dyDescent="0.3">
      <c r="A845" s="54">
        <v>44765</v>
      </c>
      <c r="C845" s="5" t="s">
        <v>9454</v>
      </c>
      <c r="D845" s="43">
        <v>5000</v>
      </c>
      <c r="F845" s="46">
        <f t="shared" si="17"/>
        <v>542206</v>
      </c>
      <c r="G845" s="391" t="s">
        <v>9568</v>
      </c>
    </row>
    <row r="846" spans="1:7" ht="18.75" x14ac:dyDescent="0.3">
      <c r="A846" s="54">
        <v>44771</v>
      </c>
      <c r="B846" s="322"/>
      <c r="C846" s="5" t="s">
        <v>438</v>
      </c>
      <c r="D846" s="43"/>
      <c r="E846" s="43">
        <v>3000</v>
      </c>
      <c r="F846" s="46">
        <f t="shared" si="17"/>
        <v>545206</v>
      </c>
      <c r="G846" s="391" t="s">
        <v>9568</v>
      </c>
    </row>
    <row r="847" spans="1:7" ht="18.75" x14ac:dyDescent="0.3">
      <c r="A847" s="54">
        <v>44772</v>
      </c>
      <c r="B847" s="322"/>
      <c r="C847" s="5" t="s">
        <v>438</v>
      </c>
      <c r="D847" s="43"/>
      <c r="E847" s="43">
        <v>3000</v>
      </c>
      <c r="F847" s="46">
        <f t="shared" ref="F847" si="18">F846+E847-D847</f>
        <v>548206</v>
      </c>
      <c r="G847" s="391" t="s">
        <v>9568</v>
      </c>
    </row>
    <row r="848" spans="1:7" x14ac:dyDescent="0.3">
      <c r="A848" s="54">
        <v>44772</v>
      </c>
      <c r="C848" s="5" t="s">
        <v>9473</v>
      </c>
      <c r="D848" s="43">
        <v>3200</v>
      </c>
      <c r="F848" s="46">
        <f t="shared" si="17"/>
        <v>545006</v>
      </c>
      <c r="G848" s="391" t="s">
        <v>9568</v>
      </c>
    </row>
    <row r="849" spans="1:7" x14ac:dyDescent="0.3">
      <c r="A849" s="54">
        <v>44774</v>
      </c>
      <c r="C849" s="5" t="s">
        <v>438</v>
      </c>
      <c r="D849" s="43"/>
      <c r="E849" s="43">
        <v>25000</v>
      </c>
      <c r="F849" s="46">
        <f t="shared" si="17"/>
        <v>570006</v>
      </c>
      <c r="G849" s="391" t="s">
        <v>9568</v>
      </c>
    </row>
    <row r="850" spans="1:7" x14ac:dyDescent="0.3">
      <c r="A850" s="54">
        <v>44778</v>
      </c>
      <c r="C850" s="5" t="s">
        <v>4883</v>
      </c>
      <c r="D850" s="304">
        <v>4100</v>
      </c>
      <c r="F850" s="46">
        <f t="shared" si="17"/>
        <v>565906</v>
      </c>
      <c r="G850" s="391" t="s">
        <v>9568</v>
      </c>
    </row>
    <row r="851" spans="1:7" x14ac:dyDescent="0.3">
      <c r="A851" s="54">
        <v>44778</v>
      </c>
      <c r="C851" s="5" t="s">
        <v>4363</v>
      </c>
      <c r="D851" s="304">
        <v>3000</v>
      </c>
      <c r="F851" s="46">
        <f t="shared" si="17"/>
        <v>562906</v>
      </c>
      <c r="G851" s="391" t="s">
        <v>9568</v>
      </c>
    </row>
    <row r="852" spans="1:7" x14ac:dyDescent="0.3">
      <c r="A852" s="54">
        <v>44778</v>
      </c>
      <c r="C852" s="5" t="s">
        <v>6014</v>
      </c>
      <c r="D852" s="304">
        <v>2990</v>
      </c>
      <c r="F852" s="46">
        <f t="shared" si="17"/>
        <v>559916</v>
      </c>
      <c r="G852" s="391" t="s">
        <v>9568</v>
      </c>
    </row>
    <row r="853" spans="1:7" x14ac:dyDescent="0.3">
      <c r="A853" s="54">
        <v>44778</v>
      </c>
      <c r="C853" s="294" t="s">
        <v>9508</v>
      </c>
      <c r="D853" s="304">
        <v>1000</v>
      </c>
      <c r="F853" s="46">
        <f t="shared" si="17"/>
        <v>558916</v>
      </c>
      <c r="G853" s="391" t="s">
        <v>9568</v>
      </c>
    </row>
    <row r="854" spans="1:7" x14ac:dyDescent="0.3">
      <c r="A854" s="54">
        <v>44778</v>
      </c>
      <c r="C854" s="5" t="s">
        <v>9510</v>
      </c>
      <c r="D854" s="43">
        <v>50000</v>
      </c>
      <c r="E854" s="65"/>
      <c r="F854" s="46">
        <f t="shared" si="17"/>
        <v>508916</v>
      </c>
      <c r="G854" s="391" t="s">
        <v>9568</v>
      </c>
    </row>
    <row r="855" spans="1:7" x14ac:dyDescent="0.3">
      <c r="A855" s="54">
        <v>44778</v>
      </c>
      <c r="C855" s="5" t="s">
        <v>9511</v>
      </c>
      <c r="D855" s="43">
        <v>5000</v>
      </c>
      <c r="E855" s="65"/>
      <c r="F855" s="46">
        <f t="shared" si="17"/>
        <v>503916</v>
      </c>
      <c r="G855" s="391" t="s">
        <v>9568</v>
      </c>
    </row>
    <row r="856" spans="1:7" x14ac:dyDescent="0.3">
      <c r="A856" s="54">
        <v>44785</v>
      </c>
      <c r="C856" s="5" t="s">
        <v>9532</v>
      </c>
      <c r="E856" s="304">
        <v>5000</v>
      </c>
      <c r="F856" s="46">
        <f t="shared" si="17"/>
        <v>508916</v>
      </c>
      <c r="G856" s="391" t="s">
        <v>9568</v>
      </c>
    </row>
    <row r="857" spans="1:7" x14ac:dyDescent="0.3">
      <c r="A857" s="54">
        <v>44785</v>
      </c>
      <c r="C857" s="5" t="s">
        <v>9533</v>
      </c>
      <c r="E857" s="304">
        <v>20362</v>
      </c>
      <c r="F857" s="46">
        <f t="shared" si="17"/>
        <v>529278</v>
      </c>
      <c r="G857" s="391" t="s">
        <v>9568</v>
      </c>
    </row>
    <row r="858" spans="1:7" x14ac:dyDescent="0.3">
      <c r="A858" s="54">
        <v>44788</v>
      </c>
      <c r="C858" s="4" t="s">
        <v>6565</v>
      </c>
      <c r="D858" s="52"/>
      <c r="E858" s="304">
        <v>40000</v>
      </c>
      <c r="F858" s="46">
        <f t="shared" si="17"/>
        <v>569278</v>
      </c>
      <c r="G858" s="391" t="s">
        <v>9568</v>
      </c>
    </row>
    <row r="859" spans="1:7" x14ac:dyDescent="0.3">
      <c r="A859" s="54">
        <v>44788</v>
      </c>
      <c r="C859" s="294" t="s">
        <v>9554</v>
      </c>
      <c r="D859" s="304">
        <v>10000</v>
      </c>
      <c r="F859" s="46">
        <f t="shared" si="17"/>
        <v>559278</v>
      </c>
      <c r="G859" s="391" t="s">
        <v>9568</v>
      </c>
    </row>
    <row r="860" spans="1:7" x14ac:dyDescent="0.3">
      <c r="A860" s="54">
        <v>44788</v>
      </c>
      <c r="C860" s="294" t="s">
        <v>9565</v>
      </c>
      <c r="D860" s="304">
        <v>2000</v>
      </c>
      <c r="F860" s="46">
        <f t="shared" si="17"/>
        <v>557278</v>
      </c>
      <c r="G860" s="391" t="s">
        <v>9568</v>
      </c>
    </row>
    <row r="861" spans="1:7" x14ac:dyDescent="0.3">
      <c r="A861" s="54">
        <v>44789</v>
      </c>
      <c r="C861" s="294" t="s">
        <v>5793</v>
      </c>
      <c r="D861" s="304">
        <v>2500</v>
      </c>
      <c r="F861" s="46">
        <f t="shared" si="17"/>
        <v>554778</v>
      </c>
      <c r="G861" s="391" t="s">
        <v>9568</v>
      </c>
    </row>
    <row r="862" spans="1:7" x14ac:dyDescent="0.3">
      <c r="A862" s="54">
        <v>44789</v>
      </c>
      <c r="C862" s="294" t="s">
        <v>8516</v>
      </c>
      <c r="D862" s="304">
        <v>5000</v>
      </c>
      <c r="F862" s="46">
        <f t="shared" si="17"/>
        <v>549778</v>
      </c>
      <c r="G862" s="391" t="s">
        <v>9568</v>
      </c>
    </row>
    <row r="863" spans="1:7" x14ac:dyDescent="0.3">
      <c r="A863" s="54">
        <v>44793</v>
      </c>
      <c r="C863" s="294" t="s">
        <v>294</v>
      </c>
      <c r="E863" s="304">
        <v>10000</v>
      </c>
      <c r="F863" s="46">
        <f t="shared" si="17"/>
        <v>559778</v>
      </c>
      <c r="G863" s="391" t="s">
        <v>9568</v>
      </c>
    </row>
    <row r="864" spans="1:7" x14ac:dyDescent="0.3">
      <c r="A864" s="54">
        <v>44793</v>
      </c>
      <c r="C864" s="294" t="s">
        <v>9580</v>
      </c>
      <c r="D864" s="304">
        <v>3000</v>
      </c>
      <c r="F864" s="46">
        <f t="shared" si="17"/>
        <v>556778</v>
      </c>
      <c r="G864" s="391" t="s">
        <v>9568</v>
      </c>
    </row>
    <row r="865" spans="1:7" x14ac:dyDescent="0.3">
      <c r="A865" s="54">
        <v>44793</v>
      </c>
      <c r="C865" s="294" t="s">
        <v>9581</v>
      </c>
      <c r="D865" s="304">
        <v>1000</v>
      </c>
      <c r="F865" s="46">
        <f t="shared" si="17"/>
        <v>555778</v>
      </c>
      <c r="G865" s="391" t="s">
        <v>9568</v>
      </c>
    </row>
    <row r="866" spans="1:7" x14ac:dyDescent="0.3">
      <c r="A866" s="54">
        <v>44797</v>
      </c>
      <c r="C866" s="294" t="s">
        <v>294</v>
      </c>
      <c r="E866" s="304">
        <v>10000</v>
      </c>
      <c r="F866" s="46">
        <f t="shared" si="17"/>
        <v>565778</v>
      </c>
      <c r="G866" s="391" t="s">
        <v>9568</v>
      </c>
    </row>
    <row r="867" spans="1:7" x14ac:dyDescent="0.3">
      <c r="A867" s="54">
        <v>44800</v>
      </c>
      <c r="C867" s="294" t="s">
        <v>9606</v>
      </c>
      <c r="D867" s="304">
        <v>1000</v>
      </c>
      <c r="F867" s="46">
        <f t="shared" si="17"/>
        <v>564778</v>
      </c>
      <c r="G867" s="391" t="s">
        <v>9568</v>
      </c>
    </row>
    <row r="868" spans="1:7" x14ac:dyDescent="0.3">
      <c r="A868" s="54">
        <v>44800</v>
      </c>
      <c r="C868" s="294" t="s">
        <v>9607</v>
      </c>
      <c r="D868" s="304">
        <v>1000</v>
      </c>
      <c r="F868" s="46">
        <f t="shared" si="17"/>
        <v>563778</v>
      </c>
      <c r="G868" s="391" t="s">
        <v>9568</v>
      </c>
    </row>
    <row r="869" spans="1:7" x14ac:dyDescent="0.3">
      <c r="A869" s="54">
        <v>44800</v>
      </c>
      <c r="C869" s="294" t="s">
        <v>294</v>
      </c>
      <c r="E869" s="304">
        <v>15000</v>
      </c>
      <c r="F869" s="46">
        <f t="shared" si="17"/>
        <v>578778</v>
      </c>
      <c r="G869" s="391" t="s">
        <v>9568</v>
      </c>
    </row>
    <row r="870" spans="1:7" x14ac:dyDescent="0.3">
      <c r="A870" s="54">
        <v>44802</v>
      </c>
      <c r="C870" s="294" t="s">
        <v>9624</v>
      </c>
      <c r="D870" s="304">
        <v>2000</v>
      </c>
      <c r="F870" s="46">
        <f t="shared" si="17"/>
        <v>576778</v>
      </c>
      <c r="G870" s="391" t="s">
        <v>9568</v>
      </c>
    </row>
    <row r="871" spans="1:7" x14ac:dyDescent="0.3">
      <c r="A871" s="54">
        <v>44803</v>
      </c>
      <c r="C871" s="294" t="s">
        <v>294</v>
      </c>
      <c r="E871" s="304">
        <v>10000</v>
      </c>
      <c r="F871" s="46">
        <f t="shared" si="17"/>
        <v>586778</v>
      </c>
      <c r="G871" s="391" t="s">
        <v>9568</v>
      </c>
    </row>
    <row r="872" spans="1:7" x14ac:dyDescent="0.3">
      <c r="A872" s="54">
        <v>44804</v>
      </c>
      <c r="C872" s="294" t="s">
        <v>294</v>
      </c>
      <c r="E872" s="304">
        <v>15000</v>
      </c>
      <c r="F872" s="46">
        <f t="shared" si="17"/>
        <v>601778</v>
      </c>
      <c r="G872" s="391" t="s">
        <v>9568</v>
      </c>
    </row>
    <row r="873" spans="1:7" x14ac:dyDescent="0.3">
      <c r="A873" s="54">
        <v>44809</v>
      </c>
      <c r="C873" s="5" t="s">
        <v>9658</v>
      </c>
      <c r="D873" s="43">
        <v>50000</v>
      </c>
      <c r="E873" s="65"/>
      <c r="F873" s="46">
        <f t="shared" ref="F873:F874" si="19">F872+E873-D873</f>
        <v>551778</v>
      </c>
      <c r="G873" s="391" t="s">
        <v>9568</v>
      </c>
    </row>
    <row r="874" spans="1:7" x14ac:dyDescent="0.3">
      <c r="A874" s="54">
        <v>44809</v>
      </c>
      <c r="C874" s="5" t="s">
        <v>9659</v>
      </c>
      <c r="D874" s="43">
        <v>5000</v>
      </c>
      <c r="E874" s="65"/>
      <c r="F874" s="46">
        <f t="shared" si="19"/>
        <v>546778</v>
      </c>
      <c r="G874" s="391" t="s">
        <v>9568</v>
      </c>
    </row>
    <row r="875" spans="1:7" x14ac:dyDescent="0.3">
      <c r="A875" s="54">
        <v>44810</v>
      </c>
      <c r="C875" s="5" t="s">
        <v>9697</v>
      </c>
      <c r="D875" s="43"/>
      <c r="E875" s="304">
        <v>8000</v>
      </c>
      <c r="F875" s="46">
        <f t="shared" si="17"/>
        <v>554778</v>
      </c>
      <c r="G875" s="391" t="s">
        <v>9568</v>
      </c>
    </row>
    <row r="876" spans="1:7" x14ac:dyDescent="0.3">
      <c r="A876" s="54">
        <v>44810</v>
      </c>
      <c r="C876" s="5" t="s">
        <v>6268</v>
      </c>
      <c r="D876" s="43">
        <v>4050</v>
      </c>
      <c r="F876" s="46">
        <f t="shared" si="17"/>
        <v>550728</v>
      </c>
      <c r="G876" s="391" t="s">
        <v>9568</v>
      </c>
    </row>
    <row r="877" spans="1:7" x14ac:dyDescent="0.3">
      <c r="A877" s="54">
        <v>44810</v>
      </c>
      <c r="C877" s="5" t="s">
        <v>4363</v>
      </c>
      <c r="D877" s="43">
        <v>465</v>
      </c>
      <c r="F877" s="46">
        <f t="shared" si="17"/>
        <v>550263</v>
      </c>
      <c r="G877" s="391" t="s">
        <v>9568</v>
      </c>
    </row>
    <row r="878" spans="1:7" x14ac:dyDescent="0.3">
      <c r="A878" s="54">
        <v>44810</v>
      </c>
      <c r="C878" s="5" t="s">
        <v>9664</v>
      </c>
      <c r="D878" s="43">
        <v>3000</v>
      </c>
      <c r="F878" s="46">
        <f t="shared" si="17"/>
        <v>547263</v>
      </c>
      <c r="G878" s="391" t="s">
        <v>9568</v>
      </c>
    </row>
    <row r="879" spans="1:7" x14ac:dyDescent="0.3">
      <c r="A879" s="54">
        <v>44810</v>
      </c>
      <c r="C879" s="5" t="s">
        <v>9665</v>
      </c>
      <c r="D879" s="43">
        <v>21734</v>
      </c>
      <c r="F879" s="46">
        <f t="shared" si="17"/>
        <v>525529</v>
      </c>
      <c r="G879" s="391" t="s">
        <v>9568</v>
      </c>
    </row>
    <row r="880" spans="1:7" x14ac:dyDescent="0.3">
      <c r="A880" s="54">
        <v>44816</v>
      </c>
      <c r="C880" s="5" t="s">
        <v>9708</v>
      </c>
      <c r="D880" s="43"/>
      <c r="E880" s="304">
        <v>23531</v>
      </c>
      <c r="F880" s="46">
        <f t="shared" si="17"/>
        <v>549060</v>
      </c>
      <c r="G880" s="391" t="s">
        <v>9568</v>
      </c>
    </row>
    <row r="881" spans="1:8" x14ac:dyDescent="0.3">
      <c r="A881" s="54">
        <v>44816</v>
      </c>
      <c r="C881" s="5" t="s">
        <v>8583</v>
      </c>
      <c r="D881" s="43">
        <v>10000</v>
      </c>
      <c r="F881" s="46">
        <f t="shared" si="17"/>
        <v>539060</v>
      </c>
      <c r="G881" s="391" t="s">
        <v>9568</v>
      </c>
      <c r="H881">
        <v>10000</v>
      </c>
    </row>
    <row r="882" spans="1:8" x14ac:dyDescent="0.3">
      <c r="A882" s="54">
        <v>44818</v>
      </c>
      <c r="C882" s="5" t="s">
        <v>9726</v>
      </c>
      <c r="D882" s="43"/>
      <c r="E882" s="28">
        <v>100000</v>
      </c>
      <c r="F882" s="46">
        <f t="shared" si="17"/>
        <v>639060</v>
      </c>
      <c r="G882" s="391" t="s">
        <v>9568</v>
      </c>
    </row>
    <row r="883" spans="1:8" x14ac:dyDescent="0.3">
      <c r="A883" s="54">
        <v>44818</v>
      </c>
      <c r="C883" s="5" t="s">
        <v>294</v>
      </c>
      <c r="D883" s="43"/>
      <c r="E883" s="28">
        <v>2000</v>
      </c>
      <c r="F883" s="46">
        <f t="shared" si="17"/>
        <v>641060</v>
      </c>
      <c r="G883" s="391" t="s">
        <v>9568</v>
      </c>
    </row>
    <row r="884" spans="1:8" x14ac:dyDescent="0.3">
      <c r="A884" s="54">
        <v>44818</v>
      </c>
      <c r="C884" s="5" t="s">
        <v>294</v>
      </c>
      <c r="D884" s="43"/>
      <c r="E884" s="28">
        <v>15000</v>
      </c>
      <c r="F884" s="46">
        <f t="shared" si="17"/>
        <v>656060</v>
      </c>
      <c r="G884" s="391" t="s">
        <v>9568</v>
      </c>
    </row>
    <row r="885" spans="1:8" x14ac:dyDescent="0.3">
      <c r="A885" s="54">
        <v>44823</v>
      </c>
      <c r="C885" s="5" t="s">
        <v>9656</v>
      </c>
      <c r="D885" s="43"/>
      <c r="E885" s="28">
        <v>50000</v>
      </c>
      <c r="F885" s="46">
        <f t="shared" si="17"/>
        <v>706060</v>
      </c>
      <c r="G885" s="391" t="s">
        <v>9568</v>
      </c>
    </row>
    <row r="886" spans="1:8" x14ac:dyDescent="0.3">
      <c r="A886" s="54">
        <v>44825</v>
      </c>
      <c r="C886" s="5" t="s">
        <v>9769</v>
      </c>
      <c r="D886" s="43">
        <v>2000</v>
      </c>
      <c r="E886" s="28"/>
      <c r="F886" s="46">
        <f t="shared" si="17"/>
        <v>704060</v>
      </c>
      <c r="G886" s="391" t="s">
        <v>9568</v>
      </c>
    </row>
    <row r="887" spans="1:8" x14ac:dyDescent="0.3">
      <c r="A887" s="54">
        <v>44825</v>
      </c>
      <c r="C887" s="5" t="s">
        <v>9772</v>
      </c>
      <c r="D887" s="43">
        <v>3000</v>
      </c>
      <c r="E887" s="28"/>
      <c r="F887" s="46">
        <f t="shared" si="17"/>
        <v>701060</v>
      </c>
      <c r="G887" s="391" t="s">
        <v>9568</v>
      </c>
    </row>
    <row r="888" spans="1:8" x14ac:dyDescent="0.3">
      <c r="A888" s="54">
        <v>44825</v>
      </c>
      <c r="C888" s="5" t="s">
        <v>9788</v>
      </c>
      <c r="D888" s="43">
        <v>3000</v>
      </c>
      <c r="E888" s="28"/>
      <c r="F888" s="46">
        <f t="shared" si="17"/>
        <v>698060</v>
      </c>
      <c r="G888" s="391" t="s">
        <v>9568</v>
      </c>
    </row>
    <row r="889" spans="1:8" x14ac:dyDescent="0.3">
      <c r="A889" s="54">
        <v>44826</v>
      </c>
      <c r="C889" s="5" t="s">
        <v>9789</v>
      </c>
      <c r="D889" s="43">
        <v>10000</v>
      </c>
      <c r="E889" s="28"/>
      <c r="F889" s="46">
        <f t="shared" si="17"/>
        <v>688060</v>
      </c>
      <c r="G889" s="391" t="s">
        <v>9568</v>
      </c>
    </row>
    <row r="890" spans="1:8" x14ac:dyDescent="0.3">
      <c r="A890" s="54">
        <v>44827</v>
      </c>
      <c r="C890" s="5" t="s">
        <v>9795</v>
      </c>
      <c r="D890" s="43">
        <v>1000</v>
      </c>
      <c r="E890" s="28"/>
      <c r="F890" s="46">
        <f t="shared" si="17"/>
        <v>687060</v>
      </c>
      <c r="G890" s="391" t="s">
        <v>9568</v>
      </c>
    </row>
    <row r="891" spans="1:8" x14ac:dyDescent="0.3">
      <c r="A891" s="54">
        <v>44828</v>
      </c>
      <c r="C891" s="5" t="s">
        <v>294</v>
      </c>
      <c r="D891" s="43"/>
      <c r="E891" s="28">
        <v>5000</v>
      </c>
      <c r="F891" s="46">
        <f t="shared" si="17"/>
        <v>692060</v>
      </c>
      <c r="G891" s="391" t="s">
        <v>9568</v>
      </c>
    </row>
    <row r="892" spans="1:8" x14ac:dyDescent="0.3">
      <c r="A892" s="54">
        <v>44833</v>
      </c>
      <c r="C892" s="5" t="s">
        <v>294</v>
      </c>
      <c r="D892" s="43"/>
      <c r="E892" s="28">
        <v>5000</v>
      </c>
      <c r="F892" s="46">
        <f t="shared" si="17"/>
        <v>697060</v>
      </c>
      <c r="G892" s="391" t="s">
        <v>9568</v>
      </c>
    </row>
    <row r="893" spans="1:8" x14ac:dyDescent="0.3">
      <c r="A893" s="54">
        <v>44833</v>
      </c>
      <c r="C893" s="5" t="s">
        <v>294</v>
      </c>
      <c r="D893" s="43"/>
      <c r="E893" s="28">
        <v>18000</v>
      </c>
      <c r="F893" s="46">
        <f t="shared" si="17"/>
        <v>715060</v>
      </c>
      <c r="G893" s="391" t="s">
        <v>9568</v>
      </c>
    </row>
    <row r="894" spans="1:8" ht="75" x14ac:dyDescent="0.3">
      <c r="A894" s="54">
        <v>44837</v>
      </c>
      <c r="C894" s="92" t="s">
        <v>9833</v>
      </c>
      <c r="D894" s="43"/>
      <c r="E894" s="28">
        <v>160091</v>
      </c>
      <c r="F894" s="46">
        <f t="shared" si="17"/>
        <v>875151</v>
      </c>
      <c r="G894" s="391" t="s">
        <v>9568</v>
      </c>
    </row>
    <row r="895" spans="1:8" x14ac:dyDescent="0.3">
      <c r="A895" s="54">
        <v>44839</v>
      </c>
      <c r="C895" s="5" t="s">
        <v>294</v>
      </c>
      <c r="D895" s="43"/>
      <c r="E895" s="28">
        <v>5000</v>
      </c>
      <c r="F895" s="46">
        <f t="shared" si="17"/>
        <v>880151</v>
      </c>
      <c r="G895" s="391" t="s">
        <v>9568</v>
      </c>
    </row>
    <row r="896" spans="1:8" x14ac:dyDescent="0.3">
      <c r="A896" s="54">
        <v>44839</v>
      </c>
      <c r="C896" s="5" t="s">
        <v>9891</v>
      </c>
      <c r="D896" s="43">
        <v>50000</v>
      </c>
      <c r="E896" s="65"/>
      <c r="F896" s="46">
        <f t="shared" si="17"/>
        <v>830151</v>
      </c>
      <c r="G896" s="391" t="s">
        <v>9568</v>
      </c>
    </row>
    <row r="897" spans="1:7" x14ac:dyDescent="0.3">
      <c r="A897" s="54">
        <v>44839</v>
      </c>
      <c r="C897" s="5" t="s">
        <v>9892</v>
      </c>
      <c r="D897" s="43">
        <v>5000</v>
      </c>
      <c r="E897" s="65"/>
      <c r="F897" s="46">
        <f t="shared" si="17"/>
        <v>825151</v>
      </c>
      <c r="G897" s="391" t="s">
        <v>9568</v>
      </c>
    </row>
    <row r="898" spans="1:7" x14ac:dyDescent="0.3">
      <c r="A898" s="54">
        <v>44846</v>
      </c>
      <c r="C898" s="5" t="s">
        <v>4446</v>
      </c>
      <c r="D898" s="43">
        <v>5000</v>
      </c>
      <c r="E898" s="28"/>
      <c r="F898" s="46">
        <f t="shared" si="17"/>
        <v>820151</v>
      </c>
      <c r="G898" s="391" t="s">
        <v>9568</v>
      </c>
    </row>
    <row r="899" spans="1:7" x14ac:dyDescent="0.3">
      <c r="A899" s="54">
        <v>44846</v>
      </c>
      <c r="C899" s="5" t="s">
        <v>5034</v>
      </c>
      <c r="D899" s="43">
        <v>4000</v>
      </c>
      <c r="E899" s="28"/>
      <c r="F899" s="46">
        <f t="shared" si="17"/>
        <v>816151</v>
      </c>
      <c r="G899" s="391" t="s">
        <v>9568</v>
      </c>
    </row>
    <row r="900" spans="1:7" x14ac:dyDescent="0.3">
      <c r="A900" s="54">
        <v>44846</v>
      </c>
      <c r="C900" s="5" t="s">
        <v>4365</v>
      </c>
      <c r="D900" s="43">
        <v>5000</v>
      </c>
      <c r="E900" s="28"/>
      <c r="F900" s="46">
        <f t="shared" si="17"/>
        <v>811151</v>
      </c>
      <c r="G900" s="391" t="s">
        <v>9568</v>
      </c>
    </row>
    <row r="901" spans="1:7" x14ac:dyDescent="0.3">
      <c r="A901" s="54">
        <v>44846</v>
      </c>
      <c r="C901" s="5" t="s">
        <v>7908</v>
      </c>
      <c r="D901" s="43">
        <v>5000</v>
      </c>
      <c r="E901" s="28"/>
      <c r="F901" s="46">
        <f t="shared" si="17"/>
        <v>806151</v>
      </c>
      <c r="G901" s="391" t="s">
        <v>9568</v>
      </c>
    </row>
    <row r="902" spans="1:7" x14ac:dyDescent="0.3">
      <c r="A902" s="54">
        <v>44846</v>
      </c>
      <c r="C902" s="5" t="s">
        <v>9073</v>
      </c>
      <c r="D902" s="43">
        <v>20000</v>
      </c>
      <c r="E902" s="28"/>
      <c r="F902" s="46">
        <f t="shared" si="17"/>
        <v>786151</v>
      </c>
      <c r="G902" s="391" t="s">
        <v>9568</v>
      </c>
    </row>
    <row r="903" spans="1:7" x14ac:dyDescent="0.3">
      <c r="A903" s="54">
        <v>44846</v>
      </c>
      <c r="C903" s="5" t="s">
        <v>4756</v>
      </c>
      <c r="D903" s="43">
        <v>2000</v>
      </c>
      <c r="E903" s="28"/>
      <c r="F903" s="46">
        <f t="shared" si="17"/>
        <v>784151</v>
      </c>
      <c r="G903" s="391" t="s">
        <v>9568</v>
      </c>
    </row>
    <row r="904" spans="1:7" x14ac:dyDescent="0.3">
      <c r="A904" s="54">
        <v>44846</v>
      </c>
      <c r="C904" s="5" t="s">
        <v>8153</v>
      </c>
      <c r="D904" s="43">
        <v>3000</v>
      </c>
      <c r="E904" s="28"/>
      <c r="F904" s="46">
        <f t="shared" si="17"/>
        <v>781151</v>
      </c>
      <c r="G904" s="391" t="s">
        <v>9568</v>
      </c>
    </row>
    <row r="905" spans="1:7" x14ac:dyDescent="0.3">
      <c r="A905" s="54">
        <v>44847</v>
      </c>
      <c r="C905" s="5" t="s">
        <v>9708</v>
      </c>
      <c r="D905" s="43"/>
      <c r="E905" s="28">
        <v>17105</v>
      </c>
      <c r="F905" s="46">
        <f t="shared" si="17"/>
        <v>798256</v>
      </c>
      <c r="G905" s="391" t="s">
        <v>9568</v>
      </c>
    </row>
    <row r="906" spans="1:7" x14ac:dyDescent="0.3">
      <c r="A906" s="54">
        <v>44847</v>
      </c>
      <c r="C906" s="5" t="s">
        <v>294</v>
      </c>
      <c r="D906" s="43"/>
      <c r="E906" s="28">
        <v>50000</v>
      </c>
      <c r="F906" s="46">
        <f t="shared" si="17"/>
        <v>848256</v>
      </c>
      <c r="G906" s="391" t="s">
        <v>9568</v>
      </c>
    </row>
    <row r="907" spans="1:7" x14ac:dyDescent="0.3">
      <c r="A907" s="54">
        <v>44847</v>
      </c>
      <c r="C907" s="5" t="s">
        <v>9938</v>
      </c>
      <c r="D907" s="43">
        <v>6500</v>
      </c>
      <c r="E907" s="28"/>
      <c r="F907" s="46">
        <f t="shared" si="17"/>
        <v>841756</v>
      </c>
      <c r="G907" s="391" t="s">
        <v>9568</v>
      </c>
    </row>
    <row r="908" spans="1:7" ht="75" x14ac:dyDescent="0.3">
      <c r="A908" s="54">
        <v>44849</v>
      </c>
      <c r="C908" s="92" t="s">
        <v>9833</v>
      </c>
      <c r="D908" s="43"/>
      <c r="E908" s="28">
        <v>200000</v>
      </c>
      <c r="F908" s="46">
        <f t="shared" si="17"/>
        <v>1041756</v>
      </c>
      <c r="G908" s="391" t="s">
        <v>9568</v>
      </c>
    </row>
    <row r="909" spans="1:7" x14ac:dyDescent="0.3">
      <c r="A909" s="54">
        <v>44849</v>
      </c>
      <c r="C909" s="5" t="s">
        <v>9554</v>
      </c>
      <c r="D909" s="65">
        <v>5000</v>
      </c>
      <c r="E909" s="28"/>
      <c r="F909" s="46">
        <f t="shared" ref="F909:F972" si="20">F908+E909-D909</f>
        <v>1036756</v>
      </c>
      <c r="G909" s="391" t="s">
        <v>9568</v>
      </c>
    </row>
    <row r="910" spans="1:7" x14ac:dyDescent="0.3">
      <c r="A910" s="54">
        <v>44849</v>
      </c>
      <c r="C910" s="5" t="s">
        <v>9789</v>
      </c>
      <c r="D910" s="43">
        <v>10000</v>
      </c>
      <c r="E910" s="28"/>
      <c r="F910" s="46">
        <f t="shared" si="20"/>
        <v>1026756</v>
      </c>
      <c r="G910" s="391" t="s">
        <v>9568</v>
      </c>
    </row>
    <row r="911" spans="1:7" x14ac:dyDescent="0.3">
      <c r="A911" s="54">
        <v>44849</v>
      </c>
      <c r="C911" s="5" t="s">
        <v>9665</v>
      </c>
      <c r="D911" s="43">
        <v>2000</v>
      </c>
      <c r="E911" s="28"/>
      <c r="F911" s="46">
        <f t="shared" si="20"/>
        <v>1024756</v>
      </c>
      <c r="G911" s="391" t="s">
        <v>9568</v>
      </c>
    </row>
    <row r="912" spans="1:7" x14ac:dyDescent="0.3">
      <c r="A912" s="54">
        <v>44853</v>
      </c>
      <c r="C912" s="5" t="s">
        <v>9941</v>
      </c>
      <c r="D912" s="65">
        <v>5000</v>
      </c>
      <c r="E912" s="28"/>
      <c r="F912" s="46">
        <f t="shared" si="20"/>
        <v>1019756</v>
      </c>
      <c r="G912" s="391" t="s">
        <v>9568</v>
      </c>
    </row>
    <row r="913" spans="1:7" x14ac:dyDescent="0.3">
      <c r="A913" s="54">
        <v>44853</v>
      </c>
      <c r="C913" s="5" t="s">
        <v>8583</v>
      </c>
      <c r="D913" s="65">
        <v>3000</v>
      </c>
      <c r="E913" s="28"/>
      <c r="F913" s="46">
        <f t="shared" si="20"/>
        <v>1016756</v>
      </c>
      <c r="G913" s="391" t="s">
        <v>9568</v>
      </c>
    </row>
    <row r="914" spans="1:7" x14ac:dyDescent="0.3">
      <c r="A914" s="54">
        <v>44853</v>
      </c>
      <c r="C914" s="5" t="s">
        <v>9942</v>
      </c>
      <c r="D914" s="43">
        <v>109000</v>
      </c>
      <c r="E914" s="28"/>
      <c r="F914" s="46">
        <f t="shared" si="20"/>
        <v>907756</v>
      </c>
      <c r="G914" s="391" t="s">
        <v>9568</v>
      </c>
    </row>
    <row r="915" spans="1:7" x14ac:dyDescent="0.3">
      <c r="A915" s="54">
        <v>44853</v>
      </c>
      <c r="C915" s="5" t="s">
        <v>9943</v>
      </c>
      <c r="D915" s="43">
        <v>2000</v>
      </c>
      <c r="E915" s="28"/>
      <c r="F915" s="46">
        <f t="shared" si="20"/>
        <v>905756</v>
      </c>
      <c r="G915" s="391" t="s">
        <v>9568</v>
      </c>
    </row>
    <row r="916" spans="1:7" x14ac:dyDescent="0.3">
      <c r="A916" s="54">
        <v>44853</v>
      </c>
      <c r="C916" s="5" t="s">
        <v>9944</v>
      </c>
      <c r="D916" s="43">
        <v>2000</v>
      </c>
      <c r="E916" s="28"/>
      <c r="F916" s="46">
        <f t="shared" si="20"/>
        <v>903756</v>
      </c>
      <c r="G916" s="391" t="s">
        <v>9568</v>
      </c>
    </row>
    <row r="917" spans="1:7" x14ac:dyDescent="0.3">
      <c r="A917" s="54">
        <v>44853</v>
      </c>
      <c r="C917" s="5" t="s">
        <v>9945</v>
      </c>
      <c r="D917" s="43">
        <v>3000</v>
      </c>
      <c r="E917" s="28"/>
      <c r="F917" s="46">
        <f t="shared" si="20"/>
        <v>900756</v>
      </c>
      <c r="G917" s="391" t="s">
        <v>9568</v>
      </c>
    </row>
    <row r="918" spans="1:7" x14ac:dyDescent="0.3">
      <c r="A918" s="54">
        <v>44853</v>
      </c>
      <c r="C918" s="61" t="s">
        <v>9949</v>
      </c>
      <c r="D918" s="62">
        <v>5000</v>
      </c>
      <c r="E918" s="28"/>
      <c r="F918" s="46">
        <f t="shared" si="20"/>
        <v>895756</v>
      </c>
      <c r="G918" s="391" t="s">
        <v>9568</v>
      </c>
    </row>
    <row r="919" spans="1:7" x14ac:dyDescent="0.3">
      <c r="A919" s="54">
        <v>44853</v>
      </c>
      <c r="C919" s="371" t="s">
        <v>9950</v>
      </c>
      <c r="D919" s="372">
        <v>16000</v>
      </c>
      <c r="E919" s="28"/>
      <c r="F919" s="46">
        <f t="shared" si="20"/>
        <v>879756</v>
      </c>
      <c r="G919" s="391" t="s">
        <v>9568</v>
      </c>
    </row>
    <row r="920" spans="1:7" x14ac:dyDescent="0.3">
      <c r="A920" s="54">
        <v>44856</v>
      </c>
      <c r="C920" s="61" t="s">
        <v>8583</v>
      </c>
      <c r="D920" s="62">
        <v>10000</v>
      </c>
      <c r="E920" s="28"/>
      <c r="F920" s="46">
        <f t="shared" si="20"/>
        <v>869756</v>
      </c>
      <c r="G920" s="391" t="s">
        <v>9568</v>
      </c>
    </row>
    <row r="921" spans="1:7" x14ac:dyDescent="0.3">
      <c r="A921" s="54">
        <v>44860</v>
      </c>
      <c r="C921" s="5" t="s">
        <v>9989</v>
      </c>
      <c r="D921" s="43"/>
      <c r="E921" s="28">
        <v>180000</v>
      </c>
      <c r="F921" s="46">
        <f t="shared" si="20"/>
        <v>1049756</v>
      </c>
      <c r="G921" s="391" t="s">
        <v>9568</v>
      </c>
    </row>
    <row r="922" spans="1:7" x14ac:dyDescent="0.3">
      <c r="A922" s="54">
        <v>44860</v>
      </c>
      <c r="C922" s="5" t="s">
        <v>9989</v>
      </c>
      <c r="D922" s="43"/>
      <c r="E922" s="28">
        <v>500000</v>
      </c>
      <c r="F922" s="46">
        <f t="shared" si="20"/>
        <v>1549756</v>
      </c>
      <c r="G922" s="391" t="s">
        <v>9568</v>
      </c>
    </row>
    <row r="923" spans="1:7" x14ac:dyDescent="0.3">
      <c r="A923" s="54">
        <v>44860</v>
      </c>
      <c r="C923" s="61" t="s">
        <v>8583</v>
      </c>
      <c r="D923" s="62">
        <v>10000</v>
      </c>
      <c r="E923" s="28"/>
      <c r="F923" s="46">
        <f t="shared" si="20"/>
        <v>1539756</v>
      </c>
      <c r="G923" s="391" t="s">
        <v>9568</v>
      </c>
    </row>
    <row r="924" spans="1:7" x14ac:dyDescent="0.3">
      <c r="A924" s="54">
        <v>44865</v>
      </c>
      <c r="C924" s="61" t="s">
        <v>10027</v>
      </c>
      <c r="D924" s="62">
        <v>5000</v>
      </c>
      <c r="E924" s="28"/>
      <c r="F924" s="46">
        <f t="shared" si="20"/>
        <v>1534756</v>
      </c>
      <c r="G924" s="391" t="s">
        <v>9568</v>
      </c>
    </row>
    <row r="925" spans="1:7" x14ac:dyDescent="0.3">
      <c r="A925" s="54">
        <v>44866</v>
      </c>
      <c r="C925" s="5" t="s">
        <v>10032</v>
      </c>
      <c r="D925" s="43">
        <v>200000</v>
      </c>
      <c r="E925" s="28"/>
      <c r="F925" s="46">
        <f t="shared" si="20"/>
        <v>1334756</v>
      </c>
      <c r="G925" s="391" t="s">
        <v>9568</v>
      </c>
    </row>
    <row r="926" spans="1:7" x14ac:dyDescent="0.3">
      <c r="A926" s="54">
        <v>44867</v>
      </c>
      <c r="C926" s="5" t="s">
        <v>10044</v>
      </c>
      <c r="D926" s="43">
        <v>50000</v>
      </c>
      <c r="E926" s="28"/>
      <c r="F926" s="46">
        <f t="shared" si="20"/>
        <v>1284756</v>
      </c>
      <c r="G926" s="391" t="s">
        <v>9568</v>
      </c>
    </row>
    <row r="927" spans="1:7" x14ac:dyDescent="0.3">
      <c r="A927" s="54">
        <v>44867</v>
      </c>
      <c r="C927" s="5" t="s">
        <v>10045</v>
      </c>
      <c r="D927" s="43">
        <v>5000</v>
      </c>
      <c r="E927" s="28"/>
      <c r="F927" s="46">
        <f t="shared" si="20"/>
        <v>1279756</v>
      </c>
      <c r="G927" s="391" t="s">
        <v>9568</v>
      </c>
    </row>
    <row r="928" spans="1:7" x14ac:dyDescent="0.3">
      <c r="A928" s="54">
        <v>44869</v>
      </c>
      <c r="C928" s="5" t="s">
        <v>294</v>
      </c>
      <c r="D928" s="43"/>
      <c r="E928" s="28">
        <v>10000</v>
      </c>
      <c r="F928" s="46">
        <f t="shared" si="20"/>
        <v>1289756</v>
      </c>
      <c r="G928" s="391" t="s">
        <v>9568</v>
      </c>
    </row>
    <row r="929" spans="1:7" x14ac:dyDescent="0.3">
      <c r="A929" s="54">
        <v>44870</v>
      </c>
      <c r="C929" s="5" t="s">
        <v>4446</v>
      </c>
      <c r="D929" s="43">
        <v>4000</v>
      </c>
      <c r="E929" s="28"/>
      <c r="F929" s="46">
        <f t="shared" si="20"/>
        <v>1285756</v>
      </c>
      <c r="G929" s="391" t="s">
        <v>9568</v>
      </c>
    </row>
    <row r="930" spans="1:7" x14ac:dyDescent="0.3">
      <c r="A930" s="54">
        <v>44870</v>
      </c>
      <c r="C930" s="5" t="s">
        <v>10066</v>
      </c>
      <c r="D930" s="43">
        <v>5000</v>
      </c>
      <c r="E930" s="28"/>
      <c r="F930" s="46">
        <f t="shared" si="20"/>
        <v>1280756</v>
      </c>
      <c r="G930" s="391" t="s">
        <v>9568</v>
      </c>
    </row>
    <row r="931" spans="1:7" x14ac:dyDescent="0.3">
      <c r="A931" s="54">
        <v>44870</v>
      </c>
      <c r="C931" s="5" t="s">
        <v>4365</v>
      </c>
      <c r="D931" s="43">
        <v>2000</v>
      </c>
      <c r="E931" s="28"/>
      <c r="F931" s="46">
        <f t="shared" si="20"/>
        <v>1278756</v>
      </c>
      <c r="G931" s="391" t="s">
        <v>9568</v>
      </c>
    </row>
    <row r="932" spans="1:7" x14ac:dyDescent="0.3">
      <c r="A932" s="54">
        <v>44870</v>
      </c>
      <c r="C932" s="5" t="s">
        <v>5034</v>
      </c>
      <c r="D932" s="43">
        <v>2000</v>
      </c>
      <c r="E932" s="28"/>
      <c r="F932" s="46">
        <f t="shared" si="20"/>
        <v>1276756</v>
      </c>
      <c r="G932" s="391" t="s">
        <v>9568</v>
      </c>
    </row>
    <row r="933" spans="1:7" x14ac:dyDescent="0.3">
      <c r="A933" s="54">
        <v>44870</v>
      </c>
      <c r="C933" s="5" t="s">
        <v>10078</v>
      </c>
      <c r="D933" s="43">
        <v>1000</v>
      </c>
      <c r="E933" s="28"/>
      <c r="F933" s="46">
        <f t="shared" si="20"/>
        <v>1275756</v>
      </c>
      <c r="G933" s="391" t="s">
        <v>9568</v>
      </c>
    </row>
    <row r="934" spans="1:7" x14ac:dyDescent="0.3">
      <c r="A934" s="54">
        <v>44872</v>
      </c>
      <c r="C934" s="5" t="s">
        <v>294</v>
      </c>
      <c r="D934" s="43"/>
      <c r="E934" s="28">
        <v>3000</v>
      </c>
      <c r="F934" s="46">
        <f t="shared" si="20"/>
        <v>1278756</v>
      </c>
      <c r="G934" s="391" t="s">
        <v>9568</v>
      </c>
    </row>
    <row r="935" spans="1:7" x14ac:dyDescent="0.3">
      <c r="A935" s="54">
        <v>44875</v>
      </c>
      <c r="C935" s="5" t="s">
        <v>9708</v>
      </c>
      <c r="D935" s="43"/>
      <c r="E935" s="28">
        <v>10087</v>
      </c>
      <c r="F935" s="46">
        <f t="shared" si="20"/>
        <v>1288843</v>
      </c>
      <c r="G935" s="391" t="s">
        <v>9568</v>
      </c>
    </row>
    <row r="936" spans="1:7" x14ac:dyDescent="0.3">
      <c r="A936" s="54">
        <v>44875</v>
      </c>
      <c r="C936" s="5" t="s">
        <v>294</v>
      </c>
      <c r="D936" s="43"/>
      <c r="E936" s="28">
        <v>15000</v>
      </c>
      <c r="F936" s="46">
        <f t="shared" si="20"/>
        <v>1303843</v>
      </c>
      <c r="G936" s="391" t="s">
        <v>9568</v>
      </c>
    </row>
    <row r="937" spans="1:7" x14ac:dyDescent="0.3">
      <c r="A937" s="54">
        <v>44879</v>
      </c>
      <c r="C937" s="5" t="s">
        <v>8583</v>
      </c>
      <c r="D937" s="43">
        <v>1000</v>
      </c>
      <c r="E937" s="28"/>
      <c r="F937" s="46">
        <f t="shared" si="20"/>
        <v>1302843</v>
      </c>
      <c r="G937" s="391" t="s">
        <v>9568</v>
      </c>
    </row>
    <row r="938" spans="1:7" x14ac:dyDescent="0.3">
      <c r="A938" s="54">
        <v>44879</v>
      </c>
      <c r="C938" s="5" t="s">
        <v>294</v>
      </c>
      <c r="D938" s="43"/>
      <c r="E938" s="28">
        <v>20000</v>
      </c>
      <c r="F938" s="46">
        <f t="shared" si="20"/>
        <v>1322843</v>
      </c>
      <c r="G938" s="391" t="s">
        <v>9568</v>
      </c>
    </row>
    <row r="939" spans="1:7" x14ac:dyDescent="0.3">
      <c r="A939" s="54">
        <v>44879</v>
      </c>
      <c r="C939" s="5" t="s">
        <v>10129</v>
      </c>
      <c r="D939" s="43">
        <v>1500</v>
      </c>
      <c r="E939" s="28"/>
      <c r="F939" s="46">
        <f t="shared" si="20"/>
        <v>1321343</v>
      </c>
      <c r="G939" s="391" t="s">
        <v>9568</v>
      </c>
    </row>
    <row r="940" spans="1:7" x14ac:dyDescent="0.3">
      <c r="A940" s="54">
        <v>44880</v>
      </c>
      <c r="C940" s="61" t="s">
        <v>10132</v>
      </c>
      <c r="D940" s="62">
        <v>5000</v>
      </c>
      <c r="E940" s="28"/>
      <c r="F940" s="46">
        <f t="shared" si="20"/>
        <v>1316343</v>
      </c>
      <c r="G940" s="391" t="s">
        <v>9568</v>
      </c>
    </row>
    <row r="941" spans="1:7" x14ac:dyDescent="0.3">
      <c r="A941" s="54">
        <v>44880</v>
      </c>
      <c r="C941" s="61" t="s">
        <v>10133</v>
      </c>
      <c r="D941" s="62">
        <v>5000</v>
      </c>
      <c r="E941" s="28"/>
      <c r="F941" s="46">
        <f t="shared" si="20"/>
        <v>1311343</v>
      </c>
      <c r="G941" s="391" t="s">
        <v>9568</v>
      </c>
    </row>
    <row r="942" spans="1:7" x14ac:dyDescent="0.3">
      <c r="A942" s="54">
        <v>44883</v>
      </c>
      <c r="C942" s="5" t="s">
        <v>294</v>
      </c>
      <c r="D942" s="43"/>
      <c r="E942" s="28">
        <v>50000</v>
      </c>
      <c r="F942" s="46">
        <f t="shared" si="20"/>
        <v>1361343</v>
      </c>
      <c r="G942" s="391" t="s">
        <v>9568</v>
      </c>
    </row>
    <row r="943" spans="1:7" x14ac:dyDescent="0.3">
      <c r="A943" s="54">
        <v>44884</v>
      </c>
      <c r="C943" s="61" t="s">
        <v>10141</v>
      </c>
      <c r="D943" s="62">
        <v>25000</v>
      </c>
      <c r="E943" s="28"/>
      <c r="F943" s="46">
        <f t="shared" si="20"/>
        <v>1336343</v>
      </c>
      <c r="G943" s="391" t="s">
        <v>9568</v>
      </c>
    </row>
    <row r="944" spans="1:7" x14ac:dyDescent="0.3">
      <c r="A944" s="54">
        <v>44884</v>
      </c>
      <c r="C944" s="61" t="s">
        <v>10142</v>
      </c>
      <c r="D944" s="62">
        <v>1000</v>
      </c>
      <c r="E944" s="28"/>
      <c r="F944" s="46">
        <f t="shared" si="20"/>
        <v>1335343</v>
      </c>
      <c r="G944" s="391" t="s">
        <v>9568</v>
      </c>
    </row>
    <row r="945" spans="1:10" x14ac:dyDescent="0.3">
      <c r="A945" s="54">
        <v>44884</v>
      </c>
      <c r="C945" s="5" t="s">
        <v>10154</v>
      </c>
      <c r="D945" s="43"/>
      <c r="E945" s="28">
        <v>20000</v>
      </c>
      <c r="F945" s="46">
        <f t="shared" si="20"/>
        <v>1355343</v>
      </c>
      <c r="G945" s="391" t="s">
        <v>9568</v>
      </c>
    </row>
    <row r="946" spans="1:10" x14ac:dyDescent="0.3">
      <c r="A946" s="54">
        <v>44886</v>
      </c>
      <c r="C946" s="5" t="s">
        <v>9468</v>
      </c>
      <c r="D946" s="43">
        <v>6000</v>
      </c>
      <c r="E946" s="28"/>
      <c r="F946" s="46">
        <f t="shared" si="20"/>
        <v>1349343</v>
      </c>
      <c r="G946" s="391" t="s">
        <v>9568</v>
      </c>
      <c r="H946" s="277"/>
      <c r="I946" s="277"/>
      <c r="J946" s="277"/>
    </row>
    <row r="947" spans="1:10" x14ac:dyDescent="0.3">
      <c r="A947" s="54">
        <v>44888</v>
      </c>
      <c r="C947" s="5" t="s">
        <v>10172</v>
      </c>
      <c r="D947" s="43">
        <v>14100</v>
      </c>
      <c r="E947" s="28"/>
      <c r="F947" s="46">
        <f t="shared" si="20"/>
        <v>1335243</v>
      </c>
      <c r="G947" s="391" t="s">
        <v>9568</v>
      </c>
    </row>
    <row r="948" spans="1:10" x14ac:dyDescent="0.3">
      <c r="A948" s="54">
        <v>44888</v>
      </c>
      <c r="C948" s="5" t="s">
        <v>10173</v>
      </c>
      <c r="D948" s="43">
        <v>1000</v>
      </c>
      <c r="E948" s="28"/>
      <c r="F948" s="46">
        <f t="shared" si="20"/>
        <v>1334243</v>
      </c>
      <c r="G948" s="391" t="s">
        <v>9568</v>
      </c>
    </row>
    <row r="949" spans="1:10" x14ac:dyDescent="0.3">
      <c r="A949" s="54">
        <v>44888</v>
      </c>
      <c r="C949" s="5" t="s">
        <v>10174</v>
      </c>
      <c r="D949" s="43">
        <v>2000</v>
      </c>
      <c r="E949" s="28"/>
      <c r="F949" s="46">
        <f t="shared" si="20"/>
        <v>1332243</v>
      </c>
      <c r="G949" s="391" t="s">
        <v>9568</v>
      </c>
    </row>
    <row r="950" spans="1:10" x14ac:dyDescent="0.3">
      <c r="A950" s="54">
        <v>44888</v>
      </c>
      <c r="C950" s="5" t="s">
        <v>9073</v>
      </c>
      <c r="D950" s="43">
        <v>2000</v>
      </c>
      <c r="E950" s="28"/>
      <c r="F950" s="46">
        <f t="shared" si="20"/>
        <v>1330243</v>
      </c>
      <c r="G950" s="391" t="s">
        <v>9568</v>
      </c>
    </row>
    <row r="951" spans="1:10" x14ac:dyDescent="0.3">
      <c r="A951" s="54">
        <v>44888</v>
      </c>
      <c r="C951" s="5" t="s">
        <v>4365</v>
      </c>
      <c r="D951" s="43">
        <v>8710</v>
      </c>
      <c r="E951" s="28"/>
      <c r="F951" s="46">
        <f t="shared" si="20"/>
        <v>1321533</v>
      </c>
      <c r="G951" s="391" t="s">
        <v>9568</v>
      </c>
    </row>
    <row r="952" spans="1:10" x14ac:dyDescent="0.3">
      <c r="A952" s="54">
        <v>44888</v>
      </c>
      <c r="C952" s="61" t="s">
        <v>10132</v>
      </c>
      <c r="D952" s="62">
        <v>5000</v>
      </c>
      <c r="E952" s="28"/>
      <c r="F952" s="46">
        <f t="shared" si="20"/>
        <v>1316533</v>
      </c>
      <c r="G952" s="391" t="s">
        <v>9568</v>
      </c>
    </row>
    <row r="953" spans="1:10" x14ac:dyDescent="0.3">
      <c r="A953" s="54">
        <v>44888</v>
      </c>
      <c r="B953" s="321" t="s">
        <v>10182</v>
      </c>
      <c r="C953" s="5" t="s">
        <v>10148</v>
      </c>
      <c r="D953" s="43">
        <v>10000</v>
      </c>
      <c r="E953" s="28"/>
      <c r="F953" s="46">
        <f t="shared" si="20"/>
        <v>1306533</v>
      </c>
      <c r="G953" s="391" t="s">
        <v>9568</v>
      </c>
    </row>
    <row r="954" spans="1:10" x14ac:dyDescent="0.3">
      <c r="A954" s="54">
        <v>44889</v>
      </c>
      <c r="C954" s="5" t="s">
        <v>9769</v>
      </c>
      <c r="D954" s="43">
        <v>5000</v>
      </c>
      <c r="E954" s="28"/>
      <c r="F954" s="46">
        <f t="shared" si="20"/>
        <v>1301533</v>
      </c>
      <c r="G954" s="391" t="s">
        <v>9568</v>
      </c>
    </row>
    <row r="955" spans="1:10" x14ac:dyDescent="0.3">
      <c r="A955" s="54">
        <v>44890</v>
      </c>
      <c r="C955" s="5" t="s">
        <v>294</v>
      </c>
      <c r="D955" s="43"/>
      <c r="E955" s="28">
        <v>50000</v>
      </c>
      <c r="F955" s="46">
        <f t="shared" si="20"/>
        <v>1351533</v>
      </c>
      <c r="G955" s="391" t="s">
        <v>9568</v>
      </c>
    </row>
    <row r="956" spans="1:10" x14ac:dyDescent="0.3">
      <c r="A956" s="54">
        <v>44900</v>
      </c>
      <c r="C956" s="5" t="s">
        <v>294</v>
      </c>
      <c r="D956" s="43"/>
      <c r="E956" s="28">
        <v>2000</v>
      </c>
      <c r="F956" s="46">
        <f t="shared" si="20"/>
        <v>1353533</v>
      </c>
      <c r="G956" s="391" t="s">
        <v>9568</v>
      </c>
    </row>
    <row r="957" spans="1:10" x14ac:dyDescent="0.3">
      <c r="A957" s="54">
        <v>44902</v>
      </c>
      <c r="C957" s="5" t="s">
        <v>294</v>
      </c>
      <c r="D957" s="43"/>
      <c r="E957" s="28">
        <v>20000</v>
      </c>
      <c r="F957" s="46">
        <f t="shared" si="20"/>
        <v>1373533</v>
      </c>
      <c r="G957" s="391" t="s">
        <v>9568</v>
      </c>
    </row>
    <row r="958" spans="1:10" x14ac:dyDescent="0.3">
      <c r="A958" s="54">
        <v>44902</v>
      </c>
      <c r="C958" s="5" t="s">
        <v>8153</v>
      </c>
      <c r="D958" s="43">
        <f>11850+5400</f>
        <v>17250</v>
      </c>
      <c r="E958" s="28"/>
      <c r="F958" s="46">
        <f t="shared" si="20"/>
        <v>1356283</v>
      </c>
      <c r="G958" s="391" t="s">
        <v>9568</v>
      </c>
    </row>
    <row r="959" spans="1:10" x14ac:dyDescent="0.3">
      <c r="A959" s="54">
        <v>44902</v>
      </c>
      <c r="C959" s="5" t="s">
        <v>10261</v>
      </c>
      <c r="D959" s="43">
        <v>1670</v>
      </c>
      <c r="E959" s="28"/>
      <c r="F959" s="46">
        <f t="shared" si="20"/>
        <v>1354613</v>
      </c>
      <c r="G959" s="391" t="s">
        <v>9568</v>
      </c>
    </row>
    <row r="960" spans="1:10" x14ac:dyDescent="0.3">
      <c r="A960" s="54">
        <v>44902</v>
      </c>
      <c r="C960" s="5" t="s">
        <v>10262</v>
      </c>
      <c r="D960" s="43">
        <v>2000</v>
      </c>
      <c r="E960" s="28"/>
      <c r="F960" s="46">
        <f t="shared" si="20"/>
        <v>1352613</v>
      </c>
      <c r="G960" s="391" t="s">
        <v>9568</v>
      </c>
    </row>
    <row r="961" spans="1:7" x14ac:dyDescent="0.3">
      <c r="A961" s="54">
        <v>44902</v>
      </c>
      <c r="C961" s="5" t="s">
        <v>10263</v>
      </c>
      <c r="D961" s="43">
        <v>4000</v>
      </c>
      <c r="E961" s="28"/>
      <c r="F961" s="46">
        <f t="shared" si="20"/>
        <v>1348613</v>
      </c>
      <c r="G961" s="391" t="s">
        <v>9568</v>
      </c>
    </row>
    <row r="962" spans="1:7" x14ac:dyDescent="0.3">
      <c r="A962" s="54">
        <v>44902</v>
      </c>
      <c r="C962" s="5" t="s">
        <v>10264</v>
      </c>
      <c r="D962" s="43">
        <v>6000</v>
      </c>
      <c r="E962" s="28"/>
      <c r="F962" s="46">
        <f t="shared" si="20"/>
        <v>1342613</v>
      </c>
      <c r="G962" s="391" t="s">
        <v>9568</v>
      </c>
    </row>
    <row r="963" spans="1:7" x14ac:dyDescent="0.3">
      <c r="A963" s="54">
        <v>44902</v>
      </c>
      <c r="C963" s="5" t="s">
        <v>10265</v>
      </c>
      <c r="D963" s="43">
        <v>5500</v>
      </c>
      <c r="E963" s="28"/>
      <c r="F963" s="46">
        <f t="shared" si="20"/>
        <v>1337113</v>
      </c>
      <c r="G963" s="391" t="s">
        <v>9568</v>
      </c>
    </row>
    <row r="964" spans="1:7" x14ac:dyDescent="0.3">
      <c r="A964" s="54">
        <v>44902</v>
      </c>
      <c r="C964" s="5" t="s">
        <v>10266</v>
      </c>
      <c r="D964" s="43">
        <v>1000</v>
      </c>
      <c r="E964" s="28"/>
      <c r="F964" s="46">
        <f t="shared" si="20"/>
        <v>1336113</v>
      </c>
      <c r="G964" s="391" t="s">
        <v>9568</v>
      </c>
    </row>
    <row r="965" spans="1:7" x14ac:dyDescent="0.3">
      <c r="A965" s="54">
        <v>44902</v>
      </c>
      <c r="C965" s="5" t="s">
        <v>294</v>
      </c>
      <c r="D965" s="43"/>
      <c r="E965" s="28">
        <v>15000</v>
      </c>
      <c r="F965" s="46">
        <f t="shared" si="20"/>
        <v>1351113</v>
      </c>
      <c r="G965" s="391" t="s">
        <v>9568</v>
      </c>
    </row>
    <row r="966" spans="1:7" x14ac:dyDescent="0.3">
      <c r="A966" s="54">
        <v>44903</v>
      </c>
      <c r="C966" s="5" t="s">
        <v>294</v>
      </c>
      <c r="D966" s="43"/>
      <c r="E966" s="28">
        <v>25000</v>
      </c>
      <c r="F966" s="46">
        <f t="shared" si="20"/>
        <v>1376113</v>
      </c>
      <c r="G966" s="391" t="s">
        <v>9568</v>
      </c>
    </row>
    <row r="967" spans="1:7" x14ac:dyDescent="0.3">
      <c r="A967" s="54">
        <v>44903</v>
      </c>
      <c r="C967" s="5" t="s">
        <v>9708</v>
      </c>
      <c r="D967" s="43"/>
      <c r="E967" s="28">
        <v>8237</v>
      </c>
      <c r="F967" s="46">
        <f t="shared" si="20"/>
        <v>1384350</v>
      </c>
      <c r="G967" s="391" t="s">
        <v>9568</v>
      </c>
    </row>
    <row r="968" spans="1:7" x14ac:dyDescent="0.3">
      <c r="A968" s="54">
        <v>44903</v>
      </c>
      <c r="C968" s="5" t="s">
        <v>10288</v>
      </c>
      <c r="D968" s="62">
        <v>50000</v>
      </c>
      <c r="E968" s="28"/>
      <c r="F968" s="46">
        <f t="shared" ref="F968:F969" si="21">F967+E968-D968</f>
        <v>1334350</v>
      </c>
      <c r="G968" s="391" t="s">
        <v>9568</v>
      </c>
    </row>
    <row r="969" spans="1:7" x14ac:dyDescent="0.3">
      <c r="A969" s="54">
        <v>44903</v>
      </c>
      <c r="C969" s="5" t="s">
        <v>10289</v>
      </c>
      <c r="D969" s="62">
        <v>5000</v>
      </c>
      <c r="E969" s="28"/>
      <c r="F969" s="46">
        <f t="shared" si="21"/>
        <v>1329350</v>
      </c>
      <c r="G969" s="391" t="s">
        <v>9568</v>
      </c>
    </row>
    <row r="970" spans="1:7" x14ac:dyDescent="0.3">
      <c r="A970" s="54">
        <v>44907</v>
      </c>
      <c r="C970" s="5" t="s">
        <v>8583</v>
      </c>
      <c r="D970" s="43">
        <v>20000</v>
      </c>
      <c r="E970" s="28"/>
      <c r="F970" s="46">
        <f t="shared" si="20"/>
        <v>1309350</v>
      </c>
      <c r="G970" s="391" t="s">
        <v>9568</v>
      </c>
    </row>
    <row r="971" spans="1:7" x14ac:dyDescent="0.3">
      <c r="A971" s="54">
        <v>44909</v>
      </c>
      <c r="C971" s="5" t="s">
        <v>294</v>
      </c>
      <c r="D971" s="43"/>
      <c r="E971" s="174">
        <v>48205</v>
      </c>
      <c r="F971" s="46">
        <f t="shared" si="20"/>
        <v>1357555</v>
      </c>
      <c r="G971" s="391" t="s">
        <v>9568</v>
      </c>
    </row>
    <row r="972" spans="1:7" x14ac:dyDescent="0.3">
      <c r="A972" s="54">
        <v>44909</v>
      </c>
      <c r="C972" s="5" t="s">
        <v>294</v>
      </c>
      <c r="D972" s="43"/>
      <c r="E972" s="174">
        <v>58000</v>
      </c>
      <c r="F972" s="46">
        <f t="shared" si="20"/>
        <v>1415555</v>
      </c>
      <c r="G972" s="391" t="s">
        <v>9568</v>
      </c>
    </row>
    <row r="973" spans="1:7" x14ac:dyDescent="0.3">
      <c r="A973" s="54">
        <v>44909</v>
      </c>
      <c r="B973" s="321" t="s">
        <v>7882</v>
      </c>
      <c r="C973" s="5" t="s">
        <v>10306</v>
      </c>
      <c r="D973" s="65">
        <v>1000</v>
      </c>
      <c r="E973" s="28"/>
      <c r="F973" s="46">
        <f t="shared" ref="F973:F1033" si="22">F972+E973-D973</f>
        <v>1414555</v>
      </c>
      <c r="G973" s="391" t="s">
        <v>9568</v>
      </c>
    </row>
    <row r="974" spans="1:7" x14ac:dyDescent="0.3">
      <c r="A974" s="54">
        <v>44909</v>
      </c>
      <c r="B974" s="321" t="s">
        <v>9879</v>
      </c>
      <c r="C974" s="5" t="s">
        <v>10307</v>
      </c>
      <c r="D974" s="62">
        <v>10000</v>
      </c>
      <c r="E974" s="28"/>
      <c r="F974" s="46">
        <f t="shared" si="22"/>
        <v>1404555</v>
      </c>
      <c r="G974" s="391" t="s">
        <v>9568</v>
      </c>
    </row>
    <row r="975" spans="1:7" x14ac:dyDescent="0.3">
      <c r="A975" s="54">
        <v>44909</v>
      </c>
      <c r="C975" s="5" t="s">
        <v>294</v>
      </c>
      <c r="D975" s="43"/>
      <c r="E975" s="28">
        <v>1000</v>
      </c>
      <c r="F975" s="46">
        <f t="shared" si="22"/>
        <v>1405555</v>
      </c>
      <c r="G975" s="391" t="s">
        <v>9568</v>
      </c>
    </row>
    <row r="976" spans="1:7" x14ac:dyDescent="0.3">
      <c r="A976" s="54">
        <v>44911</v>
      </c>
      <c r="C976" s="5" t="s">
        <v>10321</v>
      </c>
      <c r="D976" s="65">
        <v>7000</v>
      </c>
      <c r="E976" s="28"/>
      <c r="F976" s="46">
        <f t="shared" si="22"/>
        <v>1398555</v>
      </c>
      <c r="G976" s="391" t="s">
        <v>9568</v>
      </c>
    </row>
    <row r="977" spans="1:7" x14ac:dyDescent="0.3">
      <c r="A977" s="54">
        <v>44911</v>
      </c>
      <c r="C977" s="5" t="s">
        <v>10148</v>
      </c>
      <c r="D977" s="65">
        <v>10000</v>
      </c>
      <c r="E977" s="28"/>
      <c r="F977" s="46">
        <f t="shared" si="22"/>
        <v>1388555</v>
      </c>
      <c r="G977" s="391" t="s">
        <v>9568</v>
      </c>
    </row>
    <row r="978" spans="1:7" x14ac:dyDescent="0.3">
      <c r="A978" s="54">
        <v>44911</v>
      </c>
      <c r="C978" s="5" t="s">
        <v>10322</v>
      </c>
      <c r="D978" s="65">
        <v>15000</v>
      </c>
      <c r="E978" s="28"/>
      <c r="F978" s="46">
        <f t="shared" si="22"/>
        <v>1373555</v>
      </c>
      <c r="G978" s="391" t="s">
        <v>9568</v>
      </c>
    </row>
    <row r="979" spans="1:7" x14ac:dyDescent="0.3">
      <c r="A979" s="54">
        <v>44915</v>
      </c>
      <c r="B979" s="321" t="s">
        <v>9879</v>
      </c>
      <c r="C979" s="5" t="s">
        <v>10332</v>
      </c>
      <c r="D979" s="43">
        <v>10000</v>
      </c>
      <c r="E979" s="28"/>
      <c r="F979" s="46">
        <f t="shared" si="22"/>
        <v>1363555</v>
      </c>
      <c r="G979" s="391" t="s">
        <v>9568</v>
      </c>
    </row>
    <row r="980" spans="1:7" x14ac:dyDescent="0.3">
      <c r="A980" s="54">
        <v>44915</v>
      </c>
      <c r="C980" s="5" t="s">
        <v>10337</v>
      </c>
      <c r="D980" s="43"/>
      <c r="E980" s="28">
        <v>30000</v>
      </c>
      <c r="F980" s="46">
        <f t="shared" si="22"/>
        <v>1393555</v>
      </c>
      <c r="G980" s="391" t="s">
        <v>9568</v>
      </c>
    </row>
    <row r="981" spans="1:7" x14ac:dyDescent="0.3">
      <c r="A981" s="54">
        <v>44918</v>
      </c>
      <c r="C981" s="5" t="s">
        <v>294</v>
      </c>
      <c r="D981" s="43"/>
      <c r="E981" s="28">
        <v>88000</v>
      </c>
      <c r="F981" s="46">
        <f t="shared" si="22"/>
        <v>1481555</v>
      </c>
      <c r="G981" s="391" t="s">
        <v>9568</v>
      </c>
    </row>
    <row r="982" spans="1:7" x14ac:dyDescent="0.3">
      <c r="A982" s="54">
        <v>44919</v>
      </c>
      <c r="C982" s="61" t="s">
        <v>5016</v>
      </c>
      <c r="D982" s="62">
        <v>3000</v>
      </c>
      <c r="E982" s="28"/>
      <c r="F982" s="46">
        <f t="shared" si="22"/>
        <v>1478555</v>
      </c>
      <c r="G982" s="391" t="s">
        <v>9568</v>
      </c>
    </row>
    <row r="983" spans="1:7" x14ac:dyDescent="0.3">
      <c r="A983" s="54">
        <v>44919</v>
      </c>
      <c r="C983" s="5" t="s">
        <v>10369</v>
      </c>
      <c r="D983" s="43">
        <v>10000</v>
      </c>
      <c r="E983" s="28"/>
      <c r="F983" s="46">
        <f t="shared" si="22"/>
        <v>1468555</v>
      </c>
      <c r="G983" s="391" t="s">
        <v>9568</v>
      </c>
    </row>
    <row r="984" spans="1:7" x14ac:dyDescent="0.3">
      <c r="A984" s="54">
        <v>44919</v>
      </c>
      <c r="C984" s="5" t="s">
        <v>4365</v>
      </c>
      <c r="D984" s="43">
        <v>6400</v>
      </c>
      <c r="E984" s="28"/>
      <c r="F984" s="46">
        <f t="shared" si="22"/>
        <v>1462155</v>
      </c>
      <c r="G984" s="391" t="s">
        <v>9568</v>
      </c>
    </row>
    <row r="985" spans="1:7" x14ac:dyDescent="0.3">
      <c r="A985" s="54">
        <v>44919</v>
      </c>
      <c r="C985" s="5" t="s">
        <v>7908</v>
      </c>
      <c r="D985" s="43">
        <v>10500</v>
      </c>
      <c r="E985" s="28"/>
      <c r="F985" s="46">
        <f t="shared" si="22"/>
        <v>1451655</v>
      </c>
      <c r="G985" s="391" t="s">
        <v>9568</v>
      </c>
    </row>
    <row r="986" spans="1:7" x14ac:dyDescent="0.3">
      <c r="A986" s="54">
        <v>44919</v>
      </c>
      <c r="C986" s="5" t="s">
        <v>4446</v>
      </c>
      <c r="D986" s="43">
        <v>3150</v>
      </c>
      <c r="E986" s="28"/>
      <c r="F986" s="46">
        <f t="shared" si="22"/>
        <v>1448505</v>
      </c>
      <c r="G986" s="391" t="s">
        <v>9568</v>
      </c>
    </row>
    <row r="987" spans="1:7" x14ac:dyDescent="0.3">
      <c r="A987" s="54">
        <v>44919</v>
      </c>
      <c r="C987" s="5" t="s">
        <v>5034</v>
      </c>
      <c r="D987" s="43">
        <v>2000</v>
      </c>
      <c r="E987" s="28"/>
      <c r="F987" s="46">
        <f t="shared" si="22"/>
        <v>1446505</v>
      </c>
      <c r="G987" s="391" t="s">
        <v>9568</v>
      </c>
    </row>
    <row r="988" spans="1:7" x14ac:dyDescent="0.3">
      <c r="A988" s="54">
        <v>44919</v>
      </c>
      <c r="C988" s="5" t="s">
        <v>10173</v>
      </c>
      <c r="D988" s="43">
        <v>2000</v>
      </c>
      <c r="E988" s="28"/>
      <c r="F988" s="46">
        <f t="shared" si="22"/>
        <v>1444505</v>
      </c>
      <c r="G988" s="391" t="s">
        <v>9568</v>
      </c>
    </row>
    <row r="989" spans="1:7" x14ac:dyDescent="0.3">
      <c r="A989" s="54">
        <v>44919</v>
      </c>
      <c r="C989" s="5" t="s">
        <v>9108</v>
      </c>
      <c r="D989" s="43">
        <v>3000</v>
      </c>
      <c r="E989" s="28"/>
      <c r="F989" s="46">
        <f t="shared" si="22"/>
        <v>1441505</v>
      </c>
      <c r="G989" s="391" t="s">
        <v>9568</v>
      </c>
    </row>
    <row r="990" spans="1:7" x14ac:dyDescent="0.3">
      <c r="A990" s="54">
        <v>44933</v>
      </c>
      <c r="C990" s="61" t="s">
        <v>5016</v>
      </c>
      <c r="D990" s="62">
        <v>7000</v>
      </c>
      <c r="E990" s="28"/>
      <c r="F990" s="46">
        <f t="shared" si="22"/>
        <v>1434505</v>
      </c>
      <c r="G990" s="391" t="s">
        <v>9568</v>
      </c>
    </row>
    <row r="991" spans="1:7" x14ac:dyDescent="0.3">
      <c r="A991" s="54">
        <v>44935</v>
      </c>
      <c r="C991" s="5" t="s">
        <v>10437</v>
      </c>
      <c r="D991" s="43"/>
      <c r="E991" s="28">
        <v>5332</v>
      </c>
      <c r="F991" s="46">
        <f t="shared" si="22"/>
        <v>1439837</v>
      </c>
      <c r="G991" s="391" t="s">
        <v>9568</v>
      </c>
    </row>
    <row r="992" spans="1:7" x14ac:dyDescent="0.3">
      <c r="A992" s="54">
        <v>44935</v>
      </c>
      <c r="C992" s="5" t="s">
        <v>294</v>
      </c>
      <c r="D992" s="43"/>
      <c r="E992" s="28">
        <v>7000</v>
      </c>
      <c r="F992" s="46">
        <f t="shared" si="22"/>
        <v>1446837</v>
      </c>
      <c r="G992" s="391" t="s">
        <v>9568</v>
      </c>
    </row>
    <row r="993" spans="1:7" x14ac:dyDescent="0.3">
      <c r="A993" s="54">
        <v>44935</v>
      </c>
      <c r="C993" s="5" t="s">
        <v>10307</v>
      </c>
      <c r="D993" s="62">
        <v>10000</v>
      </c>
      <c r="E993" s="28"/>
      <c r="F993" s="46">
        <f t="shared" si="22"/>
        <v>1436837</v>
      </c>
      <c r="G993" s="391" t="s">
        <v>9568</v>
      </c>
    </row>
    <row r="994" spans="1:7" x14ac:dyDescent="0.3">
      <c r="A994" s="54">
        <v>44937</v>
      </c>
      <c r="C994" s="5" t="s">
        <v>4446</v>
      </c>
      <c r="D994" s="43">
        <v>2000</v>
      </c>
      <c r="E994" s="28"/>
      <c r="F994" s="46">
        <f t="shared" si="22"/>
        <v>1434837</v>
      </c>
      <c r="G994" s="391" t="s">
        <v>9568</v>
      </c>
    </row>
    <row r="995" spans="1:7" x14ac:dyDescent="0.3">
      <c r="A995" s="54">
        <v>44937</v>
      </c>
      <c r="C995" s="5" t="s">
        <v>5034</v>
      </c>
      <c r="D995" s="43">
        <v>1000</v>
      </c>
      <c r="E995" s="28"/>
      <c r="F995" s="46">
        <f t="shared" si="22"/>
        <v>1433837</v>
      </c>
      <c r="G995" s="391" t="s">
        <v>9568</v>
      </c>
    </row>
    <row r="996" spans="1:7" x14ac:dyDescent="0.3">
      <c r="A996" s="54">
        <v>44937</v>
      </c>
      <c r="C996" s="5" t="s">
        <v>294</v>
      </c>
      <c r="D996" s="43"/>
      <c r="E996" s="28">
        <v>6000</v>
      </c>
      <c r="F996" s="46">
        <f t="shared" si="22"/>
        <v>1439837</v>
      </c>
      <c r="G996" s="391" t="s">
        <v>9568</v>
      </c>
    </row>
    <row r="997" spans="1:7" x14ac:dyDescent="0.3">
      <c r="A997" s="54">
        <v>44937</v>
      </c>
      <c r="C997" s="5" t="s">
        <v>10447</v>
      </c>
      <c r="D997" s="62">
        <v>50000</v>
      </c>
      <c r="E997" s="28"/>
      <c r="F997" s="46">
        <f t="shared" si="22"/>
        <v>1389837</v>
      </c>
      <c r="G997" s="391" t="s">
        <v>9568</v>
      </c>
    </row>
    <row r="998" spans="1:7" x14ac:dyDescent="0.3">
      <c r="A998" s="54">
        <v>44937</v>
      </c>
      <c r="C998" s="5" t="s">
        <v>10448</v>
      </c>
      <c r="D998" s="62">
        <v>5000</v>
      </c>
      <c r="E998" s="28"/>
      <c r="F998" s="46">
        <f t="shared" si="22"/>
        <v>1384837</v>
      </c>
      <c r="G998" s="391" t="s">
        <v>9568</v>
      </c>
    </row>
    <row r="999" spans="1:7" x14ac:dyDescent="0.3">
      <c r="A999" s="54">
        <v>44942</v>
      </c>
      <c r="C999" s="5" t="s">
        <v>10322</v>
      </c>
      <c r="D999" s="65">
        <v>15000</v>
      </c>
      <c r="E999" s="28"/>
      <c r="F999" s="46">
        <f t="shared" si="22"/>
        <v>1369837</v>
      </c>
      <c r="G999" s="391" t="s">
        <v>9568</v>
      </c>
    </row>
    <row r="1000" spans="1:7" x14ac:dyDescent="0.3">
      <c r="A1000" s="54">
        <v>44942</v>
      </c>
      <c r="C1000" s="5" t="s">
        <v>10485</v>
      </c>
      <c r="D1000" s="43">
        <v>4000</v>
      </c>
      <c r="E1000" s="28"/>
      <c r="F1000" s="46">
        <f t="shared" si="22"/>
        <v>1365837</v>
      </c>
      <c r="G1000" s="391" t="s">
        <v>9568</v>
      </c>
    </row>
    <row r="1001" spans="1:7" x14ac:dyDescent="0.3">
      <c r="A1001" s="54">
        <v>44944</v>
      </c>
      <c r="C1001" s="5" t="s">
        <v>294</v>
      </c>
      <c r="D1001" s="43"/>
      <c r="E1001" s="28">
        <v>1000</v>
      </c>
      <c r="F1001" s="46">
        <f t="shared" si="22"/>
        <v>1366837</v>
      </c>
      <c r="G1001" s="391" t="s">
        <v>9568</v>
      </c>
    </row>
    <row r="1002" spans="1:7" x14ac:dyDescent="0.3">
      <c r="A1002" s="54">
        <v>44949</v>
      </c>
      <c r="C1002" s="5" t="s">
        <v>5016</v>
      </c>
      <c r="D1002" s="65">
        <v>4000</v>
      </c>
      <c r="E1002" s="28"/>
      <c r="F1002" s="46">
        <f t="shared" si="22"/>
        <v>1362837</v>
      </c>
      <c r="G1002" s="391" t="s">
        <v>9568</v>
      </c>
    </row>
    <row r="1003" spans="1:7" x14ac:dyDescent="0.3">
      <c r="A1003" s="54">
        <v>44949</v>
      </c>
      <c r="C1003" s="5" t="s">
        <v>5034</v>
      </c>
      <c r="D1003" s="43">
        <v>2000</v>
      </c>
      <c r="E1003" s="28"/>
      <c r="F1003" s="46">
        <f t="shared" si="22"/>
        <v>1360837</v>
      </c>
      <c r="G1003" s="391" t="s">
        <v>9568</v>
      </c>
    </row>
    <row r="1004" spans="1:7" x14ac:dyDescent="0.3">
      <c r="A1004" s="54">
        <v>44949</v>
      </c>
      <c r="C1004" s="5" t="s">
        <v>10504</v>
      </c>
      <c r="D1004" s="43">
        <v>8750</v>
      </c>
      <c r="E1004" s="28"/>
      <c r="F1004" s="46">
        <f t="shared" si="22"/>
        <v>1352087</v>
      </c>
      <c r="G1004" s="391" t="s">
        <v>9568</v>
      </c>
    </row>
    <row r="1005" spans="1:7" x14ac:dyDescent="0.3">
      <c r="A1005" s="54">
        <v>44949</v>
      </c>
      <c r="C1005" s="5" t="s">
        <v>4365</v>
      </c>
      <c r="D1005" s="43">
        <v>5000</v>
      </c>
      <c r="E1005" s="28"/>
      <c r="F1005" s="46">
        <f t="shared" si="22"/>
        <v>1347087</v>
      </c>
      <c r="G1005" s="391" t="s">
        <v>9568</v>
      </c>
    </row>
    <row r="1006" spans="1:7" x14ac:dyDescent="0.3">
      <c r="A1006" s="54">
        <v>44949</v>
      </c>
      <c r="C1006" s="5" t="s">
        <v>10513</v>
      </c>
      <c r="D1006" s="43"/>
      <c r="E1006" s="28">
        <v>300000</v>
      </c>
      <c r="F1006" s="46">
        <f t="shared" si="22"/>
        <v>1647087</v>
      </c>
      <c r="G1006" s="391" t="s">
        <v>9568</v>
      </c>
    </row>
    <row r="1007" spans="1:7" x14ac:dyDescent="0.3">
      <c r="A1007" s="54">
        <v>44949</v>
      </c>
      <c r="C1007" s="484" t="s">
        <v>10514</v>
      </c>
      <c r="D1007" s="334">
        <v>173000</v>
      </c>
      <c r="E1007" s="28"/>
      <c r="F1007" s="46">
        <f t="shared" si="22"/>
        <v>1474087</v>
      </c>
      <c r="G1007" s="391" t="s">
        <v>9568</v>
      </c>
    </row>
    <row r="1008" spans="1:7" x14ac:dyDescent="0.3">
      <c r="A1008" s="54">
        <v>44949</v>
      </c>
      <c r="C1008" s="5" t="s">
        <v>10515</v>
      </c>
      <c r="D1008" s="65">
        <v>100000</v>
      </c>
      <c r="E1008" s="28"/>
      <c r="F1008" s="46">
        <f t="shared" si="22"/>
        <v>1374087</v>
      </c>
      <c r="G1008" s="391" t="s">
        <v>9568</v>
      </c>
    </row>
    <row r="1009" spans="1:7" x14ac:dyDescent="0.3">
      <c r="A1009" s="54">
        <v>44949</v>
      </c>
      <c r="B1009" s="321" t="s">
        <v>106</v>
      </c>
      <c r="C1009" s="5" t="s">
        <v>10516</v>
      </c>
      <c r="D1009" s="65">
        <v>70646</v>
      </c>
      <c r="E1009" s="28"/>
      <c r="F1009" s="46">
        <f t="shared" si="22"/>
        <v>1303441</v>
      </c>
      <c r="G1009" s="391" t="s">
        <v>9568</v>
      </c>
    </row>
    <row r="1010" spans="1:7" x14ac:dyDescent="0.3">
      <c r="A1010" s="54">
        <v>44951</v>
      </c>
      <c r="B1010" s="321" t="s">
        <v>445</v>
      </c>
      <c r="C1010" s="5" t="s">
        <v>10520</v>
      </c>
      <c r="D1010" s="65">
        <v>12000</v>
      </c>
      <c r="E1010" s="28"/>
      <c r="F1010" s="46">
        <f t="shared" ref="F1010" si="23">F1009+E1010-D1010</f>
        <v>1291441</v>
      </c>
      <c r="G1010" s="391" t="s">
        <v>9568</v>
      </c>
    </row>
    <row r="1011" spans="1:7" x14ac:dyDescent="0.3">
      <c r="A1011" s="54">
        <v>44951</v>
      </c>
      <c r="B1011" s="321" t="s">
        <v>445</v>
      </c>
      <c r="C1011" s="5" t="s">
        <v>10519</v>
      </c>
      <c r="D1011" s="65">
        <v>5000</v>
      </c>
      <c r="E1011" s="28"/>
      <c r="F1011" s="46">
        <f t="shared" si="22"/>
        <v>1286441</v>
      </c>
      <c r="G1011" s="391" t="s">
        <v>9568</v>
      </c>
    </row>
    <row r="1012" spans="1:7" x14ac:dyDescent="0.3">
      <c r="A1012" s="54">
        <v>44951</v>
      </c>
      <c r="B1012" s="321" t="s">
        <v>445</v>
      </c>
      <c r="C1012" s="5" t="s">
        <v>10521</v>
      </c>
      <c r="D1012" s="65">
        <v>5000</v>
      </c>
      <c r="E1012" s="28"/>
      <c r="F1012" s="46">
        <f t="shared" si="22"/>
        <v>1281441</v>
      </c>
      <c r="G1012" s="391" t="s">
        <v>9568</v>
      </c>
    </row>
    <row r="1013" spans="1:7" x14ac:dyDescent="0.3">
      <c r="A1013" s="54">
        <v>44951</v>
      </c>
      <c r="B1013" s="321" t="s">
        <v>3595</v>
      </c>
      <c r="C1013" s="5" t="s">
        <v>10522</v>
      </c>
      <c r="D1013" s="65">
        <v>3000</v>
      </c>
      <c r="E1013" s="28"/>
      <c r="F1013" s="46">
        <f t="shared" si="22"/>
        <v>1278441</v>
      </c>
      <c r="G1013" s="391" t="s">
        <v>9568</v>
      </c>
    </row>
    <row r="1014" spans="1:7" x14ac:dyDescent="0.3">
      <c r="A1014" s="54">
        <v>44956</v>
      </c>
      <c r="B1014" s="321" t="s">
        <v>445</v>
      </c>
      <c r="C1014" s="5" t="s">
        <v>10519</v>
      </c>
      <c r="D1014" s="65">
        <v>10000</v>
      </c>
      <c r="E1014" s="28"/>
      <c r="F1014" s="46">
        <f t="shared" si="22"/>
        <v>1268441</v>
      </c>
      <c r="G1014" s="391" t="s">
        <v>9568</v>
      </c>
    </row>
    <row r="1015" spans="1:7" x14ac:dyDescent="0.3">
      <c r="A1015" s="54">
        <v>44956</v>
      </c>
      <c r="C1015" s="5" t="s">
        <v>294</v>
      </c>
      <c r="D1015" s="65"/>
      <c r="E1015" s="28">
        <v>5000</v>
      </c>
      <c r="F1015" s="46">
        <f t="shared" si="22"/>
        <v>1273441</v>
      </c>
      <c r="G1015" s="391" t="s">
        <v>9568</v>
      </c>
    </row>
    <row r="1016" spans="1:7" x14ac:dyDescent="0.3">
      <c r="A1016" s="54">
        <v>44960</v>
      </c>
      <c r="C1016" s="5" t="s">
        <v>10569</v>
      </c>
      <c r="D1016" s="65"/>
      <c r="E1016" s="28">
        <v>2723</v>
      </c>
      <c r="F1016" s="46">
        <f t="shared" si="22"/>
        <v>1276164</v>
      </c>
      <c r="G1016" s="391" t="s">
        <v>9568</v>
      </c>
    </row>
    <row r="1017" spans="1:7" x14ac:dyDescent="0.3">
      <c r="A1017" s="54">
        <v>44960</v>
      </c>
      <c r="C1017" s="5" t="s">
        <v>294</v>
      </c>
      <c r="D1017" s="65"/>
      <c r="E1017" s="28">
        <v>10000</v>
      </c>
      <c r="F1017" s="46">
        <f t="shared" si="22"/>
        <v>1286164</v>
      </c>
      <c r="G1017" s="391" t="s">
        <v>9568</v>
      </c>
    </row>
    <row r="1018" spans="1:7" x14ac:dyDescent="0.3">
      <c r="A1018" s="54">
        <v>44960</v>
      </c>
      <c r="C1018" s="5" t="s">
        <v>10574</v>
      </c>
      <c r="D1018" s="65">
        <f>2000+3930+1000+2000+1000</f>
        <v>9930</v>
      </c>
      <c r="E1018" s="28"/>
      <c r="F1018" s="46">
        <f t="shared" si="22"/>
        <v>1276234</v>
      </c>
      <c r="G1018" s="391" t="s">
        <v>9568</v>
      </c>
    </row>
    <row r="1019" spans="1:7" x14ac:dyDescent="0.3">
      <c r="A1019" s="54">
        <v>44960</v>
      </c>
      <c r="B1019" s="321" t="s">
        <v>445</v>
      </c>
      <c r="C1019" s="5" t="s">
        <v>10578</v>
      </c>
      <c r="D1019" s="65">
        <v>7000</v>
      </c>
      <c r="E1019" s="28"/>
      <c r="F1019" s="46">
        <f t="shared" si="22"/>
        <v>1269234</v>
      </c>
      <c r="G1019" s="391" t="s">
        <v>9568</v>
      </c>
    </row>
    <row r="1020" spans="1:7" x14ac:dyDescent="0.3">
      <c r="A1020" s="54">
        <v>44961</v>
      </c>
      <c r="C1020" s="5" t="s">
        <v>294</v>
      </c>
      <c r="D1020" s="65"/>
      <c r="E1020" s="28">
        <v>10000</v>
      </c>
      <c r="F1020" s="46">
        <f t="shared" si="22"/>
        <v>1279234</v>
      </c>
      <c r="G1020" s="391" t="s">
        <v>9568</v>
      </c>
    </row>
    <row r="1021" spans="1:7" x14ac:dyDescent="0.3">
      <c r="A1021" s="54">
        <v>44961</v>
      </c>
      <c r="C1021" s="5" t="s">
        <v>10582</v>
      </c>
      <c r="D1021" s="65">
        <v>50000</v>
      </c>
      <c r="E1021" s="28"/>
      <c r="F1021" s="46">
        <f t="shared" si="22"/>
        <v>1229234</v>
      </c>
      <c r="G1021" s="391" t="s">
        <v>9568</v>
      </c>
    </row>
    <row r="1022" spans="1:7" x14ac:dyDescent="0.3">
      <c r="A1022" s="54">
        <v>44961</v>
      </c>
      <c r="C1022" s="5" t="s">
        <v>10583</v>
      </c>
      <c r="D1022" s="65">
        <v>5000</v>
      </c>
      <c r="E1022" s="28"/>
      <c r="F1022" s="46">
        <f t="shared" si="22"/>
        <v>1224234</v>
      </c>
      <c r="G1022" s="391" t="s">
        <v>9568</v>
      </c>
    </row>
    <row r="1023" spans="1:7" x14ac:dyDescent="0.3">
      <c r="A1023" s="54">
        <v>44964</v>
      </c>
      <c r="B1023" s="321" t="s">
        <v>7882</v>
      </c>
      <c r="C1023" s="5" t="s">
        <v>10594</v>
      </c>
      <c r="D1023" s="62">
        <v>1000</v>
      </c>
      <c r="E1023" s="28"/>
      <c r="F1023" s="46">
        <f t="shared" si="22"/>
        <v>1223234</v>
      </c>
      <c r="G1023" s="391" t="s">
        <v>9568</v>
      </c>
    </row>
    <row r="1024" spans="1:7" x14ac:dyDescent="0.3">
      <c r="A1024" s="54">
        <v>44966</v>
      </c>
      <c r="B1024" s="321" t="s">
        <v>445</v>
      </c>
      <c r="C1024" s="5" t="s">
        <v>10519</v>
      </c>
      <c r="D1024" s="65">
        <v>30000</v>
      </c>
      <c r="E1024" s="28"/>
      <c r="F1024" s="46">
        <f t="shared" si="22"/>
        <v>1193234</v>
      </c>
      <c r="G1024" s="391" t="s">
        <v>9568</v>
      </c>
    </row>
    <row r="1025" spans="1:7" x14ac:dyDescent="0.3">
      <c r="A1025" s="54">
        <v>44966</v>
      </c>
      <c r="C1025" s="5" t="s">
        <v>10598</v>
      </c>
      <c r="D1025" s="65"/>
      <c r="E1025" s="28">
        <v>15000</v>
      </c>
      <c r="F1025" s="46">
        <f t="shared" si="22"/>
        <v>1208234</v>
      </c>
      <c r="G1025" s="391" t="s">
        <v>9568</v>
      </c>
    </row>
    <row r="1026" spans="1:7" s="357" customFormat="1" ht="37.5" x14ac:dyDescent="0.3">
      <c r="A1026" s="54">
        <v>44966</v>
      </c>
      <c r="B1026" s="321" t="s">
        <v>10597</v>
      </c>
      <c r="C1026" s="124" t="s">
        <v>10599</v>
      </c>
      <c r="D1026" s="28">
        <v>30000</v>
      </c>
      <c r="E1026" s="28"/>
      <c r="F1026" s="46">
        <f t="shared" si="22"/>
        <v>1178234</v>
      </c>
      <c r="G1026" s="391" t="s">
        <v>9568</v>
      </c>
    </row>
    <row r="1027" spans="1:7" x14ac:dyDescent="0.3">
      <c r="A1027" s="54">
        <v>44970</v>
      </c>
      <c r="C1027" s="5" t="s">
        <v>10574</v>
      </c>
      <c r="D1027" s="65">
        <f>4000+3000+2000</f>
        <v>9000</v>
      </c>
      <c r="E1027" s="28"/>
      <c r="F1027" s="46">
        <f t="shared" si="22"/>
        <v>1169234</v>
      </c>
      <c r="G1027" s="391" t="s">
        <v>9568</v>
      </c>
    </row>
    <row r="1028" spans="1:7" x14ac:dyDescent="0.3">
      <c r="A1028" s="54">
        <v>44973</v>
      </c>
      <c r="C1028" s="5" t="s">
        <v>10638</v>
      </c>
      <c r="D1028" s="43"/>
      <c r="E1028" s="28">
        <v>63200</v>
      </c>
      <c r="F1028" s="46">
        <f t="shared" si="22"/>
        <v>1232434</v>
      </c>
      <c r="G1028" s="391" t="s">
        <v>9568</v>
      </c>
    </row>
    <row r="1029" spans="1:7" x14ac:dyDescent="0.3">
      <c r="A1029" s="54">
        <v>44975</v>
      </c>
      <c r="C1029" s="5" t="s">
        <v>294</v>
      </c>
      <c r="D1029" s="65"/>
      <c r="E1029" s="28">
        <v>5000</v>
      </c>
      <c r="F1029" s="46">
        <f t="shared" si="22"/>
        <v>1237434</v>
      </c>
      <c r="G1029" s="391" t="s">
        <v>9568</v>
      </c>
    </row>
    <row r="1030" spans="1:7" x14ac:dyDescent="0.3">
      <c r="A1030" s="54">
        <v>44978</v>
      </c>
      <c r="C1030" s="5" t="s">
        <v>294</v>
      </c>
      <c r="D1030" s="65"/>
      <c r="E1030" s="28">
        <v>12000</v>
      </c>
      <c r="F1030" s="46">
        <f t="shared" si="22"/>
        <v>1249434</v>
      </c>
      <c r="G1030" s="391" t="s">
        <v>9568</v>
      </c>
    </row>
    <row r="1031" spans="1:7" x14ac:dyDescent="0.3">
      <c r="A1031" s="54">
        <v>44979</v>
      </c>
      <c r="C1031" s="5" t="s">
        <v>294</v>
      </c>
      <c r="D1031" s="43"/>
      <c r="E1031" s="28">
        <v>10000</v>
      </c>
      <c r="F1031" s="46">
        <f t="shared" si="22"/>
        <v>1259434</v>
      </c>
      <c r="G1031" s="391" t="s">
        <v>9568</v>
      </c>
    </row>
    <row r="1032" spans="1:7" x14ac:dyDescent="0.3">
      <c r="A1032" s="54">
        <v>44988</v>
      </c>
      <c r="C1032" s="5" t="s">
        <v>10701</v>
      </c>
      <c r="D1032" s="65"/>
      <c r="E1032" s="28">
        <v>3874</v>
      </c>
      <c r="F1032" s="46">
        <f t="shared" si="22"/>
        <v>1263308</v>
      </c>
      <c r="G1032" s="391" t="s">
        <v>9568</v>
      </c>
    </row>
    <row r="1033" spans="1:7" x14ac:dyDescent="0.3">
      <c r="A1033" s="54">
        <v>44992</v>
      </c>
      <c r="B1033" s="321" t="s">
        <v>9904</v>
      </c>
      <c r="C1033" s="5" t="s">
        <v>10717</v>
      </c>
      <c r="D1033" s="43">
        <v>28000</v>
      </c>
      <c r="E1033" s="28"/>
      <c r="F1033" s="46">
        <f t="shared" si="22"/>
        <v>1235308</v>
      </c>
      <c r="G1033" s="391" t="s">
        <v>9568</v>
      </c>
    </row>
    <row r="1034" spans="1:7" x14ac:dyDescent="0.3">
      <c r="A1034" s="54">
        <v>44992</v>
      </c>
      <c r="C1034" s="5" t="s">
        <v>294</v>
      </c>
      <c r="D1034" s="43"/>
      <c r="E1034" s="28">
        <v>35000</v>
      </c>
      <c r="F1034" s="46">
        <f t="shared" ref="F1034:F1097" si="24">F1033+E1034-D1034</f>
        <v>1270308</v>
      </c>
      <c r="G1034" s="391" t="s">
        <v>9568</v>
      </c>
    </row>
    <row r="1035" spans="1:7" x14ac:dyDescent="0.3">
      <c r="A1035" s="54">
        <v>44992</v>
      </c>
      <c r="C1035" s="5" t="s">
        <v>10743</v>
      </c>
      <c r="D1035" s="65">
        <v>50000</v>
      </c>
      <c r="E1035" s="28"/>
      <c r="F1035" s="46">
        <f t="shared" si="24"/>
        <v>1220308</v>
      </c>
      <c r="G1035" s="391" t="s">
        <v>9568</v>
      </c>
    </row>
    <row r="1036" spans="1:7" x14ac:dyDescent="0.3">
      <c r="A1036" s="54">
        <v>44992</v>
      </c>
      <c r="C1036" s="5" t="s">
        <v>10744</v>
      </c>
      <c r="D1036" s="65">
        <v>5000</v>
      </c>
      <c r="E1036" s="28"/>
      <c r="F1036" s="46">
        <f t="shared" si="24"/>
        <v>1215308</v>
      </c>
      <c r="G1036" s="391" t="s">
        <v>9568</v>
      </c>
    </row>
    <row r="1037" spans="1:7" x14ac:dyDescent="0.3">
      <c r="A1037" s="54">
        <v>44998</v>
      </c>
      <c r="C1037" s="5" t="s">
        <v>10755</v>
      </c>
      <c r="D1037" s="65">
        <f>7000+6100+3050+4000+5000</f>
        <v>25150</v>
      </c>
      <c r="E1037" s="28"/>
      <c r="F1037" s="46">
        <f t="shared" si="24"/>
        <v>1190158</v>
      </c>
      <c r="G1037" s="391" t="s">
        <v>9568</v>
      </c>
    </row>
    <row r="1038" spans="1:7" x14ac:dyDescent="0.3">
      <c r="A1038" s="54">
        <v>45000</v>
      </c>
      <c r="B1038" s="321" t="s">
        <v>9904</v>
      </c>
      <c r="C1038" s="5" t="s">
        <v>3910</v>
      </c>
      <c r="D1038" s="43">
        <v>20000</v>
      </c>
      <c r="E1038" s="28"/>
      <c r="F1038" s="46">
        <f t="shared" si="24"/>
        <v>1170158</v>
      </c>
      <c r="G1038" s="391" t="s">
        <v>9568</v>
      </c>
    </row>
    <row r="1039" spans="1:7" x14ac:dyDescent="0.3">
      <c r="A1039" s="54">
        <v>45001</v>
      </c>
      <c r="B1039" s="321" t="s">
        <v>5958</v>
      </c>
      <c r="C1039" s="5" t="s">
        <v>10765</v>
      </c>
      <c r="D1039" s="43">
        <v>5000</v>
      </c>
      <c r="E1039" s="28"/>
      <c r="F1039" s="46">
        <f t="shared" si="24"/>
        <v>1165158</v>
      </c>
      <c r="G1039" s="391" t="s">
        <v>9568</v>
      </c>
    </row>
    <row r="1040" spans="1:7" x14ac:dyDescent="0.3">
      <c r="A1040" s="54">
        <v>45001</v>
      </c>
      <c r="B1040" s="321" t="s">
        <v>10770</v>
      </c>
      <c r="C1040" s="5" t="s">
        <v>10771</v>
      </c>
      <c r="D1040" s="43"/>
      <c r="E1040" s="28">
        <v>5000</v>
      </c>
      <c r="F1040" s="46">
        <f t="shared" si="24"/>
        <v>1170158</v>
      </c>
      <c r="G1040" s="391" t="s">
        <v>9568</v>
      </c>
    </row>
    <row r="1041" spans="1:7" x14ac:dyDescent="0.3">
      <c r="A1041" s="54">
        <v>45002</v>
      </c>
      <c r="B1041" s="321" t="s">
        <v>10770</v>
      </c>
      <c r="C1041" s="5" t="s">
        <v>10771</v>
      </c>
      <c r="D1041" s="43"/>
      <c r="E1041" s="28">
        <v>50000</v>
      </c>
      <c r="F1041" s="46">
        <f t="shared" si="24"/>
        <v>1220158</v>
      </c>
      <c r="G1041" s="391" t="s">
        <v>9568</v>
      </c>
    </row>
    <row r="1042" spans="1:7" x14ac:dyDescent="0.3">
      <c r="A1042" s="54">
        <v>45003</v>
      </c>
      <c r="C1042" s="5" t="s">
        <v>10771</v>
      </c>
      <c r="D1042" s="43"/>
      <c r="E1042" s="28">
        <v>500</v>
      </c>
      <c r="F1042" s="46">
        <f t="shared" si="24"/>
        <v>1220658</v>
      </c>
      <c r="G1042" s="391" t="s">
        <v>9568</v>
      </c>
    </row>
    <row r="1043" spans="1:7" x14ac:dyDescent="0.3">
      <c r="A1043" s="54">
        <v>45003</v>
      </c>
      <c r="B1043" s="321" t="s">
        <v>10770</v>
      </c>
      <c r="C1043" s="5" t="s">
        <v>10802</v>
      </c>
      <c r="D1043" s="43">
        <v>50000</v>
      </c>
      <c r="E1043" s="28"/>
      <c r="F1043" s="46">
        <f t="shared" si="24"/>
        <v>1170658</v>
      </c>
      <c r="G1043" s="391" t="s">
        <v>9568</v>
      </c>
    </row>
    <row r="1044" spans="1:7" x14ac:dyDescent="0.3">
      <c r="A1044" s="54">
        <v>45007</v>
      </c>
      <c r="B1044" s="321" t="s">
        <v>9904</v>
      </c>
      <c r="C1044" s="5" t="s">
        <v>294</v>
      </c>
      <c r="D1044" s="43">
        <v>35000</v>
      </c>
      <c r="E1044" s="28"/>
      <c r="F1044" s="46">
        <f t="shared" si="24"/>
        <v>1135658</v>
      </c>
      <c r="G1044" s="391" t="s">
        <v>9568</v>
      </c>
    </row>
    <row r="1045" spans="1:7" x14ac:dyDescent="0.3">
      <c r="A1045" s="54">
        <v>45019</v>
      </c>
      <c r="C1045" s="5" t="s">
        <v>10904</v>
      </c>
      <c r="D1045" s="65">
        <v>50000</v>
      </c>
      <c r="E1045" s="28"/>
      <c r="F1045" s="46">
        <f t="shared" si="24"/>
        <v>1085658</v>
      </c>
      <c r="G1045" s="391" t="s">
        <v>9568</v>
      </c>
    </row>
    <row r="1046" spans="1:7" x14ac:dyDescent="0.3">
      <c r="A1046" s="54">
        <v>45019</v>
      </c>
      <c r="C1046" s="5" t="s">
        <v>10905</v>
      </c>
      <c r="D1046" s="65">
        <v>5000</v>
      </c>
      <c r="E1046" s="28"/>
      <c r="F1046" s="46">
        <f t="shared" si="24"/>
        <v>1080658</v>
      </c>
      <c r="G1046" s="391" t="s">
        <v>9568</v>
      </c>
    </row>
    <row r="1047" spans="1:7" x14ac:dyDescent="0.3">
      <c r="A1047" s="54">
        <v>45026</v>
      </c>
      <c r="C1047" s="5" t="s">
        <v>294</v>
      </c>
      <c r="D1047" s="43"/>
      <c r="E1047" s="28">
        <v>10000</v>
      </c>
      <c r="F1047" s="46">
        <f t="shared" si="24"/>
        <v>1090658</v>
      </c>
      <c r="G1047" s="391" t="s">
        <v>9568</v>
      </c>
    </row>
    <row r="1048" spans="1:7" x14ac:dyDescent="0.3">
      <c r="A1048" s="54">
        <v>45027</v>
      </c>
      <c r="C1048" s="5" t="s">
        <v>10293</v>
      </c>
      <c r="D1048" s="43"/>
      <c r="E1048" s="28">
        <v>13389</v>
      </c>
      <c r="F1048" s="46">
        <f t="shared" si="24"/>
        <v>1104047</v>
      </c>
      <c r="G1048" s="391" t="s">
        <v>9568</v>
      </c>
    </row>
    <row r="1049" spans="1:7" x14ac:dyDescent="0.3">
      <c r="A1049" s="54">
        <v>45035</v>
      </c>
      <c r="B1049" s="321" t="s">
        <v>10770</v>
      </c>
      <c r="C1049" s="5" t="s">
        <v>11020</v>
      </c>
      <c r="D1049" s="43">
        <v>15000</v>
      </c>
      <c r="E1049" s="28"/>
      <c r="F1049" s="46">
        <f t="shared" si="24"/>
        <v>1089047</v>
      </c>
      <c r="G1049" s="391" t="s">
        <v>9568</v>
      </c>
    </row>
    <row r="1050" spans="1:7" x14ac:dyDescent="0.3">
      <c r="A1050" s="54">
        <v>45035</v>
      </c>
      <c r="C1050" s="5" t="s">
        <v>11021</v>
      </c>
      <c r="D1050" s="43"/>
      <c r="E1050" s="28">
        <v>1000</v>
      </c>
      <c r="F1050" s="46">
        <f t="shared" si="24"/>
        <v>1090047</v>
      </c>
      <c r="G1050" s="391" t="s">
        <v>9568</v>
      </c>
    </row>
    <row r="1051" spans="1:7" x14ac:dyDescent="0.3">
      <c r="A1051" s="54">
        <v>45036</v>
      </c>
      <c r="C1051" s="5" t="s">
        <v>8516</v>
      </c>
      <c r="D1051" s="43">
        <v>50000</v>
      </c>
      <c r="E1051" s="28"/>
      <c r="F1051" s="46">
        <f t="shared" si="24"/>
        <v>1040047</v>
      </c>
      <c r="G1051" s="391" t="s">
        <v>9568</v>
      </c>
    </row>
    <row r="1052" spans="1:7" x14ac:dyDescent="0.3">
      <c r="A1052" s="54">
        <v>45036</v>
      </c>
      <c r="C1052" s="5" t="s">
        <v>11053</v>
      </c>
      <c r="D1052" s="43">
        <v>100000</v>
      </c>
      <c r="E1052" s="28"/>
      <c r="F1052" s="46">
        <f t="shared" si="24"/>
        <v>940047</v>
      </c>
      <c r="G1052" s="391" t="s">
        <v>9568</v>
      </c>
    </row>
    <row r="1053" spans="1:7" x14ac:dyDescent="0.3">
      <c r="A1053" s="54">
        <v>45044</v>
      </c>
      <c r="B1053" s="321" t="s">
        <v>11063</v>
      </c>
      <c r="C1053" s="5" t="s">
        <v>3920</v>
      </c>
      <c r="D1053" s="43">
        <v>5000</v>
      </c>
      <c r="E1053" s="28"/>
      <c r="F1053" s="46">
        <f t="shared" si="24"/>
        <v>935047</v>
      </c>
      <c r="G1053" s="391" t="s">
        <v>9568</v>
      </c>
    </row>
    <row r="1054" spans="1:7" x14ac:dyDescent="0.3">
      <c r="A1054" s="54">
        <v>45044</v>
      </c>
      <c r="B1054" s="321" t="s">
        <v>693</v>
      </c>
      <c r="C1054" s="5" t="s">
        <v>3920</v>
      </c>
      <c r="D1054" s="43">
        <v>5000</v>
      </c>
      <c r="E1054" s="28"/>
      <c r="F1054" s="46">
        <f t="shared" si="24"/>
        <v>930047</v>
      </c>
      <c r="G1054" s="391" t="s">
        <v>9568</v>
      </c>
    </row>
    <row r="1055" spans="1:7" x14ac:dyDescent="0.3">
      <c r="A1055" s="54">
        <v>45044</v>
      </c>
      <c r="B1055" s="321" t="s">
        <v>5933</v>
      </c>
      <c r="C1055" s="5" t="s">
        <v>3920</v>
      </c>
      <c r="D1055" s="43">
        <v>5500</v>
      </c>
      <c r="E1055" s="28"/>
      <c r="F1055" s="46">
        <f t="shared" si="24"/>
        <v>924547</v>
      </c>
      <c r="G1055" s="391" t="s">
        <v>9568</v>
      </c>
    </row>
    <row r="1056" spans="1:7" x14ac:dyDescent="0.3">
      <c r="A1056" s="54">
        <v>45044</v>
      </c>
      <c r="B1056" s="321" t="s">
        <v>7882</v>
      </c>
      <c r="C1056" s="5" t="s">
        <v>3920</v>
      </c>
      <c r="D1056" s="43">
        <v>13600</v>
      </c>
      <c r="E1056" s="28"/>
      <c r="F1056" s="46">
        <f t="shared" si="24"/>
        <v>910947</v>
      </c>
      <c r="G1056" s="391" t="s">
        <v>9568</v>
      </c>
    </row>
    <row r="1057" spans="1:7" x14ac:dyDescent="0.3">
      <c r="A1057" s="54">
        <v>45044</v>
      </c>
      <c r="B1057" s="321" t="s">
        <v>10770</v>
      </c>
      <c r="C1057" s="5" t="s">
        <v>3920</v>
      </c>
      <c r="D1057" s="43">
        <v>31000</v>
      </c>
      <c r="E1057" s="28"/>
      <c r="F1057" s="46">
        <f t="shared" si="24"/>
        <v>879947</v>
      </c>
      <c r="G1057" s="391" t="s">
        <v>9568</v>
      </c>
    </row>
    <row r="1058" spans="1:7" x14ac:dyDescent="0.3">
      <c r="A1058" s="54">
        <v>45074</v>
      </c>
      <c r="C1058" s="5" t="s">
        <v>4601</v>
      </c>
      <c r="D1058" s="43"/>
      <c r="E1058" s="28">
        <v>190</v>
      </c>
      <c r="F1058" s="46">
        <f t="shared" si="24"/>
        <v>880137</v>
      </c>
      <c r="G1058" s="391" t="s">
        <v>9568</v>
      </c>
    </row>
    <row r="1059" spans="1:7" x14ac:dyDescent="0.3">
      <c r="A1059" s="54">
        <v>45049</v>
      </c>
      <c r="C1059" s="5" t="s">
        <v>294</v>
      </c>
      <c r="D1059" s="43"/>
      <c r="E1059" s="28">
        <v>150000</v>
      </c>
      <c r="F1059" s="46">
        <f t="shared" si="24"/>
        <v>1030137</v>
      </c>
      <c r="G1059" s="391" t="s">
        <v>9568</v>
      </c>
    </row>
    <row r="1060" spans="1:7" x14ac:dyDescent="0.3">
      <c r="A1060" s="54">
        <v>45051</v>
      </c>
      <c r="C1060" s="5" t="s">
        <v>11096</v>
      </c>
      <c r="D1060" s="65">
        <v>50000</v>
      </c>
      <c r="E1060" s="28"/>
      <c r="F1060" s="46">
        <f t="shared" si="24"/>
        <v>980137</v>
      </c>
      <c r="G1060" s="391" t="s">
        <v>9568</v>
      </c>
    </row>
    <row r="1061" spans="1:7" x14ac:dyDescent="0.3">
      <c r="A1061" s="54">
        <v>45051</v>
      </c>
      <c r="C1061" s="5" t="s">
        <v>11097</v>
      </c>
      <c r="D1061" s="65">
        <v>5000</v>
      </c>
      <c r="E1061" s="28"/>
      <c r="F1061" s="46">
        <f t="shared" si="24"/>
        <v>975137</v>
      </c>
      <c r="G1061" s="391" t="s">
        <v>9568</v>
      </c>
    </row>
    <row r="1062" spans="1:7" x14ac:dyDescent="0.3">
      <c r="A1062" s="54">
        <v>45054</v>
      </c>
      <c r="C1062" s="5" t="s">
        <v>8516</v>
      </c>
      <c r="D1062" s="43">
        <v>1000</v>
      </c>
      <c r="E1062" s="28"/>
      <c r="F1062" s="46">
        <f t="shared" si="24"/>
        <v>974137</v>
      </c>
      <c r="G1062" s="391" t="s">
        <v>9568</v>
      </c>
    </row>
    <row r="1063" spans="1:7" x14ac:dyDescent="0.3">
      <c r="A1063" s="54">
        <v>45057</v>
      </c>
      <c r="C1063" s="5" t="s">
        <v>10293</v>
      </c>
      <c r="D1063" s="43"/>
      <c r="E1063" s="43">
        <v>15687</v>
      </c>
      <c r="F1063" s="46">
        <f t="shared" si="24"/>
        <v>989824</v>
      </c>
      <c r="G1063" s="391" t="s">
        <v>9568</v>
      </c>
    </row>
    <row r="1064" spans="1:7" x14ac:dyDescent="0.3">
      <c r="A1064" s="54">
        <v>45057</v>
      </c>
      <c r="B1064" s="321" t="s">
        <v>25</v>
      </c>
      <c r="C1064" s="5" t="s">
        <v>11154</v>
      </c>
      <c r="D1064" s="43">
        <v>10000</v>
      </c>
      <c r="E1064" s="28"/>
      <c r="F1064" s="46">
        <f t="shared" si="24"/>
        <v>979824</v>
      </c>
      <c r="G1064" s="391" t="s">
        <v>9568</v>
      </c>
    </row>
    <row r="1065" spans="1:7" x14ac:dyDescent="0.3">
      <c r="A1065" s="54">
        <v>45063</v>
      </c>
      <c r="C1065" s="5" t="s">
        <v>294</v>
      </c>
      <c r="D1065" s="43"/>
      <c r="E1065" s="28">
        <v>30000</v>
      </c>
      <c r="F1065" s="46">
        <f t="shared" si="24"/>
        <v>1009824</v>
      </c>
      <c r="G1065" s="391" t="s">
        <v>9568</v>
      </c>
    </row>
    <row r="1066" spans="1:7" x14ac:dyDescent="0.3">
      <c r="A1066" s="54">
        <v>45064</v>
      </c>
      <c r="C1066" s="5" t="s">
        <v>6681</v>
      </c>
      <c r="D1066" s="43">
        <v>9000</v>
      </c>
      <c r="E1066" s="28"/>
      <c r="F1066" s="46">
        <f t="shared" si="24"/>
        <v>1000824</v>
      </c>
      <c r="G1066" s="391" t="s">
        <v>9568</v>
      </c>
    </row>
    <row r="1067" spans="1:7" x14ac:dyDescent="0.3">
      <c r="A1067" s="54">
        <v>45064</v>
      </c>
      <c r="C1067" s="5" t="s">
        <v>9554</v>
      </c>
      <c r="D1067" s="43">
        <v>15000</v>
      </c>
      <c r="E1067" s="28"/>
      <c r="F1067" s="46">
        <f t="shared" si="24"/>
        <v>985824</v>
      </c>
      <c r="G1067" s="391" t="s">
        <v>9568</v>
      </c>
    </row>
    <row r="1068" spans="1:7" x14ac:dyDescent="0.3">
      <c r="A1068" s="54">
        <v>45064</v>
      </c>
      <c r="C1068" s="5" t="s">
        <v>4883</v>
      </c>
      <c r="D1068" s="43">
        <v>4100</v>
      </c>
      <c r="E1068" s="28"/>
      <c r="F1068" s="46">
        <f t="shared" si="24"/>
        <v>981724</v>
      </c>
      <c r="G1068" s="391" t="s">
        <v>9568</v>
      </c>
    </row>
    <row r="1069" spans="1:7" x14ac:dyDescent="0.3">
      <c r="A1069" s="54">
        <v>45064</v>
      </c>
      <c r="C1069" s="5" t="s">
        <v>11212</v>
      </c>
      <c r="D1069" s="43">
        <v>4100</v>
      </c>
      <c r="E1069" s="28"/>
      <c r="F1069" s="46">
        <f t="shared" si="24"/>
        <v>977624</v>
      </c>
      <c r="G1069" s="391" t="s">
        <v>9568</v>
      </c>
    </row>
    <row r="1070" spans="1:7" x14ac:dyDescent="0.3">
      <c r="A1070" s="54">
        <v>45064</v>
      </c>
      <c r="C1070" s="5" t="s">
        <v>4363</v>
      </c>
      <c r="D1070" s="43">
        <v>63100</v>
      </c>
      <c r="E1070" s="28"/>
      <c r="F1070" s="46">
        <f t="shared" si="24"/>
        <v>914524</v>
      </c>
      <c r="G1070" s="391" t="s">
        <v>9568</v>
      </c>
    </row>
    <row r="1071" spans="1:7" x14ac:dyDescent="0.3">
      <c r="A1071" s="54">
        <v>45064</v>
      </c>
      <c r="C1071" s="5" t="s">
        <v>11213</v>
      </c>
      <c r="D1071" s="43">
        <v>2000</v>
      </c>
      <c r="E1071" s="28"/>
      <c r="F1071" s="46">
        <f t="shared" si="24"/>
        <v>912524</v>
      </c>
      <c r="G1071" s="391" t="s">
        <v>9568</v>
      </c>
    </row>
    <row r="1072" spans="1:7" x14ac:dyDescent="0.3">
      <c r="A1072" s="54">
        <v>45064</v>
      </c>
      <c r="C1072" s="5" t="s">
        <v>4363</v>
      </c>
      <c r="D1072" s="43">
        <v>2000</v>
      </c>
      <c r="E1072" s="28"/>
      <c r="F1072" s="46">
        <f t="shared" si="24"/>
        <v>910524</v>
      </c>
      <c r="G1072" s="391" t="s">
        <v>9568</v>
      </c>
    </row>
    <row r="1073" spans="1:7" x14ac:dyDescent="0.3">
      <c r="A1073" s="54">
        <v>45064</v>
      </c>
      <c r="C1073" s="5" t="s">
        <v>4364</v>
      </c>
      <c r="D1073" s="43"/>
      <c r="E1073" s="28">
        <v>50000</v>
      </c>
      <c r="F1073" s="46">
        <f t="shared" si="24"/>
        <v>960524</v>
      </c>
      <c r="G1073" s="391" t="s">
        <v>9568</v>
      </c>
    </row>
    <row r="1074" spans="1:7" x14ac:dyDescent="0.3">
      <c r="A1074" s="54">
        <v>45068</v>
      </c>
      <c r="C1074" s="5" t="s">
        <v>6681</v>
      </c>
      <c r="D1074" s="43">
        <v>5000</v>
      </c>
      <c r="E1074" s="28"/>
      <c r="F1074" s="46">
        <f t="shared" si="24"/>
        <v>955524</v>
      </c>
      <c r="G1074" s="391" t="s">
        <v>9568</v>
      </c>
    </row>
    <row r="1075" spans="1:7" x14ac:dyDescent="0.3">
      <c r="A1075" s="54">
        <v>45069</v>
      </c>
      <c r="C1075" s="5" t="s">
        <v>6681</v>
      </c>
      <c r="D1075" s="43">
        <v>10000</v>
      </c>
      <c r="E1075" s="28"/>
      <c r="F1075" s="46">
        <f t="shared" si="24"/>
        <v>945524</v>
      </c>
      <c r="G1075" s="391" t="s">
        <v>9568</v>
      </c>
    </row>
    <row r="1076" spans="1:7" x14ac:dyDescent="0.3">
      <c r="A1076" s="54">
        <v>45070</v>
      </c>
      <c r="C1076" s="5" t="s">
        <v>294</v>
      </c>
      <c r="D1076" s="43"/>
      <c r="E1076" s="28">
        <v>5000</v>
      </c>
      <c r="F1076" s="46">
        <f t="shared" si="24"/>
        <v>950524</v>
      </c>
      <c r="G1076" s="391" t="s">
        <v>9568</v>
      </c>
    </row>
    <row r="1077" spans="1:7" x14ac:dyDescent="0.3">
      <c r="A1077" s="54">
        <v>45073</v>
      </c>
      <c r="C1077" s="5" t="s">
        <v>4364</v>
      </c>
      <c r="D1077" s="43"/>
      <c r="E1077" s="28">
        <v>20000</v>
      </c>
      <c r="F1077" s="46">
        <f t="shared" si="24"/>
        <v>970524</v>
      </c>
      <c r="G1077" s="391" t="s">
        <v>9568</v>
      </c>
    </row>
    <row r="1078" spans="1:7" x14ac:dyDescent="0.3">
      <c r="A1078" s="54">
        <v>45073</v>
      </c>
      <c r="C1078" s="5" t="s">
        <v>11287</v>
      </c>
      <c r="D1078" s="43">
        <v>10000</v>
      </c>
      <c r="E1078" s="28"/>
      <c r="F1078" s="46">
        <f t="shared" si="24"/>
        <v>960524</v>
      </c>
      <c r="G1078" s="391" t="s">
        <v>9568</v>
      </c>
    </row>
    <row r="1079" spans="1:7" x14ac:dyDescent="0.3">
      <c r="A1079" s="54">
        <v>45073</v>
      </c>
      <c r="C1079" s="5" t="s">
        <v>11289</v>
      </c>
      <c r="D1079" s="43"/>
      <c r="E1079" s="28">
        <v>2000</v>
      </c>
      <c r="F1079" s="46">
        <f t="shared" si="24"/>
        <v>962524</v>
      </c>
      <c r="G1079" s="391" t="s">
        <v>9568</v>
      </c>
    </row>
    <row r="1080" spans="1:7" x14ac:dyDescent="0.3">
      <c r="A1080" s="54">
        <v>45075</v>
      </c>
      <c r="C1080" s="5" t="s">
        <v>294</v>
      </c>
      <c r="D1080" s="43"/>
      <c r="E1080" s="28">
        <v>100000</v>
      </c>
      <c r="F1080" s="46">
        <f t="shared" si="24"/>
        <v>1062524</v>
      </c>
      <c r="G1080" s="391" t="s">
        <v>9568</v>
      </c>
    </row>
    <row r="1081" spans="1:7" x14ac:dyDescent="0.3">
      <c r="A1081" s="54">
        <v>45075</v>
      </c>
      <c r="C1081" s="5" t="s">
        <v>11301</v>
      </c>
      <c r="D1081" s="43">
        <v>6000</v>
      </c>
      <c r="E1081" s="28"/>
      <c r="F1081" s="46">
        <f t="shared" si="24"/>
        <v>1056524</v>
      </c>
      <c r="G1081" s="391" t="s">
        <v>9568</v>
      </c>
    </row>
    <row r="1082" spans="1:7" x14ac:dyDescent="0.3">
      <c r="A1082" s="54">
        <v>45075</v>
      </c>
      <c r="C1082" s="5" t="s">
        <v>4365</v>
      </c>
      <c r="D1082" s="43">
        <v>2000</v>
      </c>
      <c r="E1082" s="28"/>
      <c r="F1082" s="46">
        <f t="shared" si="24"/>
        <v>1054524</v>
      </c>
      <c r="G1082" s="391" t="s">
        <v>9568</v>
      </c>
    </row>
    <row r="1083" spans="1:7" x14ac:dyDescent="0.3">
      <c r="A1083" s="54">
        <v>45075</v>
      </c>
      <c r="C1083" s="5" t="s">
        <v>11299</v>
      </c>
      <c r="D1083" s="43">
        <v>2050</v>
      </c>
      <c r="E1083" s="28"/>
      <c r="F1083" s="46">
        <f t="shared" si="24"/>
        <v>1052474</v>
      </c>
      <c r="G1083" s="391" t="s">
        <v>9568</v>
      </c>
    </row>
    <row r="1084" spans="1:7" x14ac:dyDescent="0.3">
      <c r="A1084" s="54">
        <v>45075</v>
      </c>
      <c r="C1084" s="5" t="s">
        <v>11300</v>
      </c>
      <c r="D1084" s="43">
        <v>55000</v>
      </c>
      <c r="E1084" s="28"/>
      <c r="F1084" s="46">
        <f t="shared" si="24"/>
        <v>997474</v>
      </c>
      <c r="G1084" s="391" t="s">
        <v>9568</v>
      </c>
    </row>
    <row r="1085" spans="1:7" x14ac:dyDescent="0.3">
      <c r="A1085" s="54">
        <v>45075</v>
      </c>
      <c r="C1085" s="5" t="s">
        <v>4446</v>
      </c>
      <c r="D1085" s="43">
        <v>2000</v>
      </c>
      <c r="E1085" s="28"/>
      <c r="F1085" s="46">
        <f t="shared" si="24"/>
        <v>995474</v>
      </c>
      <c r="G1085" s="391" t="s">
        <v>9568</v>
      </c>
    </row>
    <row r="1086" spans="1:7" x14ac:dyDescent="0.3">
      <c r="A1086" s="54">
        <v>45075</v>
      </c>
      <c r="C1086" s="5" t="s">
        <v>11302</v>
      </c>
      <c r="D1086" s="43">
        <v>5000</v>
      </c>
      <c r="E1086" s="28"/>
      <c r="F1086" s="46">
        <f t="shared" si="24"/>
        <v>990474</v>
      </c>
      <c r="G1086" s="391" t="s">
        <v>9568</v>
      </c>
    </row>
    <row r="1087" spans="1:7" x14ac:dyDescent="0.3">
      <c r="A1087" s="54">
        <v>45075</v>
      </c>
      <c r="C1087" s="5" t="s">
        <v>4601</v>
      </c>
      <c r="D1087" s="43"/>
      <c r="E1087" s="28">
        <v>190</v>
      </c>
      <c r="F1087" s="46">
        <f t="shared" si="24"/>
        <v>990664</v>
      </c>
      <c r="G1087" s="391" t="s">
        <v>9568</v>
      </c>
    </row>
    <row r="1088" spans="1:7" x14ac:dyDescent="0.3">
      <c r="A1088" s="54">
        <v>45077</v>
      </c>
      <c r="C1088" s="5" t="s">
        <v>6681</v>
      </c>
      <c r="D1088" s="43">
        <v>5000</v>
      </c>
      <c r="E1088" s="28"/>
      <c r="F1088" s="46">
        <f t="shared" si="24"/>
        <v>985664</v>
      </c>
      <c r="G1088" s="391" t="s">
        <v>9568</v>
      </c>
    </row>
    <row r="1089" spans="1:7" x14ac:dyDescent="0.3">
      <c r="A1089" s="54">
        <v>45077</v>
      </c>
      <c r="C1089" s="5" t="s">
        <v>11336</v>
      </c>
      <c r="D1089" s="43">
        <v>20000</v>
      </c>
      <c r="F1089" s="46">
        <f t="shared" si="24"/>
        <v>965664</v>
      </c>
      <c r="G1089" s="391" t="s">
        <v>9568</v>
      </c>
    </row>
    <row r="1090" spans="1:7" x14ac:dyDescent="0.3">
      <c r="A1090" s="54">
        <v>45082</v>
      </c>
      <c r="C1090" s="5" t="s">
        <v>294</v>
      </c>
      <c r="D1090" s="43"/>
      <c r="E1090" s="28">
        <v>5000</v>
      </c>
      <c r="F1090" s="46">
        <f t="shared" si="24"/>
        <v>970664</v>
      </c>
      <c r="G1090" s="391" t="s">
        <v>9568</v>
      </c>
    </row>
    <row r="1091" spans="1:7" x14ac:dyDescent="0.3">
      <c r="A1091" s="54">
        <v>45082</v>
      </c>
      <c r="C1091" s="5" t="s">
        <v>294</v>
      </c>
      <c r="D1091" s="43"/>
      <c r="E1091" s="28">
        <v>2000</v>
      </c>
      <c r="F1091" s="46">
        <f t="shared" si="24"/>
        <v>972664</v>
      </c>
      <c r="G1091" s="391" t="s">
        <v>9568</v>
      </c>
    </row>
    <row r="1092" spans="1:7" x14ac:dyDescent="0.3">
      <c r="A1092" s="54">
        <v>45090</v>
      </c>
      <c r="C1092" s="5" t="s">
        <v>10293</v>
      </c>
      <c r="D1092" s="43"/>
      <c r="E1092" s="28">
        <v>26007</v>
      </c>
      <c r="F1092" s="46">
        <f t="shared" si="24"/>
        <v>998671</v>
      </c>
      <c r="G1092" s="391" t="s">
        <v>9568</v>
      </c>
    </row>
    <row r="1093" spans="1:7" x14ac:dyDescent="0.3">
      <c r="A1093" s="54">
        <v>45090</v>
      </c>
      <c r="C1093" s="5" t="s">
        <v>10306</v>
      </c>
      <c r="D1093" s="43">
        <v>5000</v>
      </c>
      <c r="F1093" s="46">
        <f t="shared" si="24"/>
        <v>993671</v>
      </c>
      <c r="G1093" s="391" t="s">
        <v>9568</v>
      </c>
    </row>
    <row r="1094" spans="1:7" x14ac:dyDescent="0.3">
      <c r="A1094" s="54">
        <v>45091</v>
      </c>
      <c r="C1094" s="5" t="s">
        <v>4363</v>
      </c>
      <c r="D1094" s="43">
        <v>6500</v>
      </c>
      <c r="F1094" s="46">
        <f t="shared" si="24"/>
        <v>987171</v>
      </c>
      <c r="G1094" s="391" t="s">
        <v>9568</v>
      </c>
    </row>
    <row r="1095" spans="1:7" x14ac:dyDescent="0.3">
      <c r="A1095" s="54">
        <v>45091</v>
      </c>
      <c r="C1095" s="5" t="s">
        <v>11430</v>
      </c>
      <c r="D1095" s="43">
        <v>6100</v>
      </c>
      <c r="F1095" s="46">
        <f t="shared" si="24"/>
        <v>981071</v>
      </c>
      <c r="G1095" s="391" t="s">
        <v>9568</v>
      </c>
    </row>
    <row r="1096" spans="1:7" x14ac:dyDescent="0.3">
      <c r="A1096" s="54">
        <v>45091</v>
      </c>
      <c r="C1096" s="5" t="s">
        <v>11431</v>
      </c>
      <c r="D1096" s="65">
        <v>50000</v>
      </c>
      <c r="F1096" s="46">
        <f t="shared" si="24"/>
        <v>931071</v>
      </c>
      <c r="G1096" s="391" t="s">
        <v>9568</v>
      </c>
    </row>
    <row r="1097" spans="1:7" x14ac:dyDescent="0.3">
      <c r="A1097" s="54">
        <v>45091</v>
      </c>
      <c r="C1097" s="5" t="s">
        <v>11432</v>
      </c>
      <c r="D1097" s="65">
        <v>5000</v>
      </c>
      <c r="F1097" s="46">
        <f t="shared" si="24"/>
        <v>926071</v>
      </c>
      <c r="G1097" s="391" t="s">
        <v>9568</v>
      </c>
    </row>
    <row r="1098" spans="1:7" x14ac:dyDescent="0.3">
      <c r="A1098" s="54">
        <v>45093</v>
      </c>
      <c r="C1098" s="5" t="s">
        <v>294</v>
      </c>
      <c r="D1098" s="43"/>
      <c r="E1098" s="28">
        <v>5000</v>
      </c>
      <c r="F1098" s="46">
        <f t="shared" ref="F1098:F1112" si="25">F1097+E1098-D1098</f>
        <v>931071</v>
      </c>
      <c r="G1098" s="391" t="s">
        <v>9568</v>
      </c>
    </row>
    <row r="1099" spans="1:7" x14ac:dyDescent="0.3">
      <c r="A1099" s="54">
        <v>45100</v>
      </c>
      <c r="C1099" s="5" t="s">
        <v>11504</v>
      </c>
      <c r="D1099" s="43">
        <v>1000</v>
      </c>
      <c r="F1099" s="46">
        <f t="shared" si="25"/>
        <v>930071</v>
      </c>
      <c r="G1099" s="391" t="s">
        <v>9568</v>
      </c>
    </row>
    <row r="1100" spans="1:7" x14ac:dyDescent="0.3">
      <c r="A1100" s="54">
        <v>45101</v>
      </c>
      <c r="C1100" s="5" t="s">
        <v>294</v>
      </c>
      <c r="D1100" s="43"/>
      <c r="E1100" s="28">
        <v>50000</v>
      </c>
      <c r="F1100" s="46">
        <f t="shared" si="25"/>
        <v>980071</v>
      </c>
      <c r="G1100" s="391" t="s">
        <v>9568</v>
      </c>
    </row>
    <row r="1101" spans="1:7" x14ac:dyDescent="0.3">
      <c r="A1101" s="54">
        <v>45104</v>
      </c>
      <c r="C1101" s="5" t="s">
        <v>11572</v>
      </c>
      <c r="D1101" s="43"/>
      <c r="E1101" s="28">
        <v>10000</v>
      </c>
      <c r="F1101" s="46">
        <f t="shared" si="25"/>
        <v>990071</v>
      </c>
      <c r="G1101" s="391" t="s">
        <v>9568</v>
      </c>
    </row>
    <row r="1102" spans="1:7" x14ac:dyDescent="0.3">
      <c r="A1102" s="54">
        <v>45104</v>
      </c>
      <c r="C1102" s="5" t="s">
        <v>294</v>
      </c>
      <c r="D1102" s="43"/>
      <c r="E1102" s="28">
        <v>100000</v>
      </c>
      <c r="F1102" s="46">
        <f t="shared" si="25"/>
        <v>1090071</v>
      </c>
      <c r="G1102" s="391" t="s">
        <v>9568</v>
      </c>
    </row>
    <row r="1103" spans="1:7" x14ac:dyDescent="0.3">
      <c r="A1103" s="54">
        <v>45111</v>
      </c>
      <c r="C1103" s="533" t="s">
        <v>11586</v>
      </c>
      <c r="D1103" s="43"/>
      <c r="E1103" s="28">
        <v>110000</v>
      </c>
      <c r="F1103" s="46">
        <f t="shared" si="25"/>
        <v>1200071</v>
      </c>
      <c r="G1103" s="391" t="s">
        <v>9568</v>
      </c>
    </row>
    <row r="1104" spans="1:7" x14ac:dyDescent="0.3">
      <c r="A1104" s="54">
        <v>45115</v>
      </c>
      <c r="C1104" s="5" t="s">
        <v>294</v>
      </c>
      <c r="D1104" s="43"/>
      <c r="E1104" s="28">
        <v>15000</v>
      </c>
      <c r="F1104" s="46">
        <f t="shared" si="25"/>
        <v>1215071</v>
      </c>
      <c r="G1104" s="391" t="s">
        <v>9568</v>
      </c>
    </row>
    <row r="1105" spans="1:7" x14ac:dyDescent="0.3">
      <c r="A1105" s="54">
        <v>45111</v>
      </c>
      <c r="C1105" s="5" t="s">
        <v>11597</v>
      </c>
      <c r="D1105" s="65">
        <v>50000</v>
      </c>
      <c r="F1105" s="46">
        <f t="shared" si="25"/>
        <v>1165071</v>
      </c>
      <c r="G1105" s="391" t="s">
        <v>9568</v>
      </c>
    </row>
    <row r="1106" spans="1:7" x14ac:dyDescent="0.3">
      <c r="A1106" s="54">
        <v>45111</v>
      </c>
      <c r="C1106" s="5" t="s">
        <v>11598</v>
      </c>
      <c r="D1106" s="65">
        <v>5000</v>
      </c>
      <c r="F1106" s="46">
        <f t="shared" si="25"/>
        <v>1160071</v>
      </c>
      <c r="G1106" s="391" t="s">
        <v>9568</v>
      </c>
    </row>
    <row r="1107" spans="1:7" x14ac:dyDescent="0.3">
      <c r="A1107" s="54">
        <v>45114</v>
      </c>
      <c r="C1107" s="5" t="s">
        <v>11628</v>
      </c>
      <c r="D1107" s="43">
        <v>500</v>
      </c>
      <c r="F1107" s="46">
        <f t="shared" si="25"/>
        <v>1159571</v>
      </c>
      <c r="G1107" s="391" t="s">
        <v>9568</v>
      </c>
    </row>
    <row r="1108" spans="1:7" x14ac:dyDescent="0.3">
      <c r="A1108" s="54">
        <v>45117</v>
      </c>
      <c r="C1108" s="5" t="s">
        <v>11639</v>
      </c>
      <c r="D1108" s="43">
        <v>10000</v>
      </c>
      <c r="F1108" s="46">
        <f t="shared" si="25"/>
        <v>1149571</v>
      </c>
      <c r="G1108" s="391" t="s">
        <v>9568</v>
      </c>
    </row>
    <row r="1109" spans="1:7" x14ac:dyDescent="0.3">
      <c r="A1109" s="54">
        <v>45118</v>
      </c>
      <c r="C1109" s="5" t="s">
        <v>10293</v>
      </c>
      <c r="D1109" s="43"/>
      <c r="E1109" s="28">
        <v>32185</v>
      </c>
      <c r="F1109" s="46">
        <f t="shared" si="25"/>
        <v>1181756</v>
      </c>
      <c r="G1109" s="391" t="s">
        <v>9568</v>
      </c>
    </row>
    <row r="1110" spans="1:7" x14ac:dyDescent="0.3">
      <c r="A1110" s="54">
        <v>45118</v>
      </c>
      <c r="C1110" s="5" t="s">
        <v>294</v>
      </c>
      <c r="D1110" s="43"/>
      <c r="E1110" s="28">
        <v>50000</v>
      </c>
      <c r="F1110" s="46">
        <f t="shared" si="25"/>
        <v>1231756</v>
      </c>
      <c r="G1110" s="391" t="s">
        <v>9568</v>
      </c>
    </row>
    <row r="1111" spans="1:7" x14ac:dyDescent="0.3">
      <c r="A1111" s="54">
        <v>45119</v>
      </c>
      <c r="C1111" s="5" t="s">
        <v>294</v>
      </c>
      <c r="D1111" s="43"/>
      <c r="E1111" s="28">
        <v>2500</v>
      </c>
      <c r="F1111" s="46">
        <f t="shared" si="25"/>
        <v>1234256</v>
      </c>
      <c r="G1111" s="391" t="s">
        <v>9568</v>
      </c>
    </row>
    <row r="1112" spans="1:7" x14ac:dyDescent="0.3">
      <c r="A1112" s="54">
        <v>45121</v>
      </c>
      <c r="B1112" s="321" t="s">
        <v>10770</v>
      </c>
      <c r="C1112" s="5" t="s">
        <v>11692</v>
      </c>
      <c r="D1112" s="43">
        <v>20000</v>
      </c>
      <c r="F1112" s="46">
        <f t="shared" si="25"/>
        <v>1214256</v>
      </c>
      <c r="G1112" s="391" t="s">
        <v>9568</v>
      </c>
    </row>
    <row r="1113" spans="1:7" x14ac:dyDescent="0.3">
      <c r="A1113" s="54">
        <v>45121</v>
      </c>
      <c r="B1113" s="321" t="s">
        <v>10867</v>
      </c>
      <c r="C1113" s="5" t="s">
        <v>10307</v>
      </c>
      <c r="D1113" s="43">
        <v>5000</v>
      </c>
      <c r="F1113" s="46">
        <f t="shared" ref="F1113:F1160" si="26">F1112+E1113-D1113</f>
        <v>1209256</v>
      </c>
      <c r="G1113" s="391" t="s">
        <v>9568</v>
      </c>
    </row>
    <row r="1114" spans="1:7" x14ac:dyDescent="0.3">
      <c r="A1114" s="54">
        <v>45121</v>
      </c>
      <c r="B1114" s="321" t="s">
        <v>5933</v>
      </c>
      <c r="C1114" s="5" t="s">
        <v>11699</v>
      </c>
      <c r="D1114" s="43">
        <v>2000</v>
      </c>
      <c r="F1114" s="46">
        <f t="shared" si="26"/>
        <v>1207256</v>
      </c>
      <c r="G1114" s="391" t="s">
        <v>9568</v>
      </c>
    </row>
    <row r="1115" spans="1:7" x14ac:dyDescent="0.3">
      <c r="A1115" s="54">
        <v>45121</v>
      </c>
      <c r="B1115" s="321" t="s">
        <v>11700</v>
      </c>
      <c r="C1115" s="5" t="s">
        <v>11701</v>
      </c>
      <c r="D1115" s="43">
        <v>4000</v>
      </c>
      <c r="F1115" s="46">
        <f t="shared" si="26"/>
        <v>1203256</v>
      </c>
      <c r="G1115" s="391" t="s">
        <v>9568</v>
      </c>
    </row>
    <row r="1116" spans="1:7" x14ac:dyDescent="0.3">
      <c r="A1116" s="54">
        <v>45121</v>
      </c>
      <c r="B1116" s="321" t="s">
        <v>10770</v>
      </c>
      <c r="C1116" s="5" t="s">
        <v>30</v>
      </c>
      <c r="D1116" s="43">
        <v>6000</v>
      </c>
      <c r="F1116" s="46">
        <f t="shared" si="26"/>
        <v>1197256</v>
      </c>
      <c r="G1116" s="391" t="s">
        <v>9568</v>
      </c>
    </row>
    <row r="1117" spans="1:7" x14ac:dyDescent="0.3">
      <c r="A1117" s="54">
        <v>45121</v>
      </c>
      <c r="B1117" s="321" t="s">
        <v>11702</v>
      </c>
      <c r="C1117" s="5" t="s">
        <v>30</v>
      </c>
      <c r="D1117" s="43">
        <v>3500</v>
      </c>
      <c r="F1117" s="46">
        <f t="shared" si="26"/>
        <v>1193756</v>
      </c>
      <c r="G1117" s="391" t="s">
        <v>9568</v>
      </c>
    </row>
    <row r="1118" spans="1:7" x14ac:dyDescent="0.3">
      <c r="A1118" s="54">
        <v>45121</v>
      </c>
      <c r="C1118" s="5" t="s">
        <v>294</v>
      </c>
      <c r="D1118" s="43"/>
      <c r="E1118" s="28">
        <v>2000</v>
      </c>
      <c r="F1118" s="46">
        <f t="shared" si="26"/>
        <v>1195756</v>
      </c>
      <c r="G1118" s="391" t="s">
        <v>9568</v>
      </c>
    </row>
    <row r="1119" spans="1:7" x14ac:dyDescent="0.3">
      <c r="A1119" s="54">
        <v>45124</v>
      </c>
      <c r="C1119" s="5" t="s">
        <v>11744</v>
      </c>
      <c r="D1119" s="43">
        <v>1000</v>
      </c>
      <c r="F1119" s="46">
        <f t="shared" si="26"/>
        <v>1194756</v>
      </c>
      <c r="G1119" s="391" t="s">
        <v>9568</v>
      </c>
    </row>
    <row r="1120" spans="1:7" x14ac:dyDescent="0.3">
      <c r="A1120" s="54">
        <v>45126</v>
      </c>
      <c r="C1120" s="5" t="s">
        <v>294</v>
      </c>
      <c r="D1120" s="43"/>
      <c r="E1120" s="28">
        <v>10000</v>
      </c>
      <c r="F1120" s="46">
        <f t="shared" si="26"/>
        <v>1204756</v>
      </c>
      <c r="G1120" s="391" t="s">
        <v>9568</v>
      </c>
    </row>
    <row r="1121" spans="1:7" x14ac:dyDescent="0.3">
      <c r="A1121" s="54">
        <v>45127</v>
      </c>
      <c r="B1121" s="321" t="s">
        <v>10867</v>
      </c>
      <c r="C1121" s="5" t="s">
        <v>3920</v>
      </c>
      <c r="D1121" s="43">
        <v>4840</v>
      </c>
      <c r="F1121" s="46">
        <f t="shared" si="26"/>
        <v>1199916</v>
      </c>
      <c r="G1121" s="391" t="s">
        <v>9568</v>
      </c>
    </row>
    <row r="1122" spans="1:7" x14ac:dyDescent="0.3">
      <c r="A1122" s="54">
        <v>45128</v>
      </c>
      <c r="C1122" s="5" t="s">
        <v>294</v>
      </c>
      <c r="D1122" s="43"/>
      <c r="E1122" s="28">
        <v>10000</v>
      </c>
      <c r="F1122" s="46">
        <f t="shared" si="26"/>
        <v>1209916</v>
      </c>
      <c r="G1122" s="391" t="s">
        <v>9568</v>
      </c>
    </row>
    <row r="1123" spans="1:7" x14ac:dyDescent="0.3">
      <c r="A1123" s="54">
        <v>45139</v>
      </c>
      <c r="C1123" s="5" t="s">
        <v>294</v>
      </c>
      <c r="D1123" s="43"/>
      <c r="E1123" s="28">
        <v>5000</v>
      </c>
      <c r="F1123" s="46">
        <f t="shared" si="26"/>
        <v>1214916</v>
      </c>
      <c r="G1123" s="391" t="s">
        <v>9568</v>
      </c>
    </row>
    <row r="1124" spans="1:7" x14ac:dyDescent="0.3">
      <c r="A1124" s="54">
        <v>45142</v>
      </c>
      <c r="C1124" s="5" t="s">
        <v>294</v>
      </c>
      <c r="D1124" s="43"/>
      <c r="E1124" s="28">
        <v>10000</v>
      </c>
      <c r="F1124" s="46">
        <f t="shared" si="26"/>
        <v>1224916</v>
      </c>
      <c r="G1124" s="391" t="s">
        <v>9568</v>
      </c>
    </row>
    <row r="1125" spans="1:7" x14ac:dyDescent="0.3">
      <c r="A1125" s="54">
        <v>45142</v>
      </c>
      <c r="C1125" s="5" t="s">
        <v>11870</v>
      </c>
      <c r="D1125" s="43">
        <v>2000</v>
      </c>
      <c r="F1125" s="46">
        <f t="shared" si="26"/>
        <v>1222916</v>
      </c>
      <c r="G1125" s="391" t="s">
        <v>9568</v>
      </c>
    </row>
    <row r="1126" spans="1:7" x14ac:dyDescent="0.3">
      <c r="A1126" s="54">
        <v>45145</v>
      </c>
      <c r="C1126" s="5" t="s">
        <v>11878</v>
      </c>
      <c r="D1126" s="43"/>
      <c r="E1126" s="28">
        <v>6000</v>
      </c>
      <c r="F1126" s="46">
        <f t="shared" si="26"/>
        <v>1228916</v>
      </c>
      <c r="G1126" s="391" t="s">
        <v>9568</v>
      </c>
    </row>
    <row r="1127" spans="1:7" x14ac:dyDescent="0.3">
      <c r="A1127" s="54">
        <v>45145</v>
      </c>
      <c r="C1127" s="5" t="s">
        <v>294</v>
      </c>
      <c r="D1127" s="43"/>
      <c r="E1127" s="28">
        <v>1000</v>
      </c>
      <c r="F1127" s="46">
        <f t="shared" si="26"/>
        <v>1229916</v>
      </c>
      <c r="G1127" s="391" t="s">
        <v>9568</v>
      </c>
    </row>
    <row r="1128" spans="1:7" x14ac:dyDescent="0.3">
      <c r="A1128" s="54">
        <v>45148</v>
      </c>
      <c r="C1128" s="5" t="s">
        <v>294</v>
      </c>
      <c r="D1128" s="43"/>
      <c r="E1128" s="28">
        <v>2000</v>
      </c>
      <c r="F1128" s="46">
        <f t="shared" si="26"/>
        <v>1231916</v>
      </c>
      <c r="G1128" s="391" t="s">
        <v>9568</v>
      </c>
    </row>
    <row r="1129" spans="1:7" x14ac:dyDescent="0.3">
      <c r="A1129" s="54">
        <v>45149</v>
      </c>
      <c r="C1129" s="5" t="s">
        <v>294</v>
      </c>
      <c r="D1129" s="43"/>
      <c r="E1129" s="28">
        <v>5000</v>
      </c>
      <c r="F1129" s="46">
        <f t="shared" si="26"/>
        <v>1236916</v>
      </c>
      <c r="G1129" s="391" t="s">
        <v>9568</v>
      </c>
    </row>
    <row r="1130" spans="1:7" x14ac:dyDescent="0.3">
      <c r="A1130" s="54">
        <v>45149</v>
      </c>
      <c r="C1130" s="5" t="s">
        <v>11953</v>
      </c>
      <c r="D1130" s="65">
        <v>50000</v>
      </c>
      <c r="F1130" s="46">
        <f t="shared" si="26"/>
        <v>1186916</v>
      </c>
      <c r="G1130" s="391" t="s">
        <v>9568</v>
      </c>
    </row>
    <row r="1131" spans="1:7" x14ac:dyDescent="0.3">
      <c r="A1131" s="54">
        <v>45149</v>
      </c>
      <c r="C1131" s="5" t="s">
        <v>11954</v>
      </c>
      <c r="D1131" s="65">
        <v>5000</v>
      </c>
      <c r="F1131" s="46">
        <f t="shared" si="26"/>
        <v>1181916</v>
      </c>
      <c r="G1131" s="391" t="s">
        <v>9568</v>
      </c>
    </row>
    <row r="1132" spans="1:7" x14ac:dyDescent="0.3">
      <c r="A1132" s="54">
        <v>45155</v>
      </c>
      <c r="C1132" s="5" t="s">
        <v>11977</v>
      </c>
      <c r="D1132" s="43"/>
      <c r="E1132" s="28">
        <v>102300</v>
      </c>
      <c r="F1132" s="46">
        <f t="shared" si="26"/>
        <v>1284216</v>
      </c>
      <c r="G1132" s="391" t="s">
        <v>9568</v>
      </c>
    </row>
    <row r="1133" spans="1:7" x14ac:dyDescent="0.3">
      <c r="A1133" s="54">
        <v>45155</v>
      </c>
      <c r="C1133" s="5" t="s">
        <v>11978</v>
      </c>
      <c r="D1133" s="65">
        <v>45050</v>
      </c>
      <c r="F1133" s="46">
        <f t="shared" si="26"/>
        <v>1239166</v>
      </c>
      <c r="G1133" s="391" t="s">
        <v>9568</v>
      </c>
    </row>
    <row r="1134" spans="1:7" x14ac:dyDescent="0.3">
      <c r="A1134" s="54">
        <v>45155</v>
      </c>
      <c r="C1134" s="5" t="s">
        <v>11984</v>
      </c>
      <c r="E1134" s="28">
        <v>20000</v>
      </c>
      <c r="F1134" s="46">
        <f t="shared" si="26"/>
        <v>1259166</v>
      </c>
      <c r="G1134" s="391" t="s">
        <v>9568</v>
      </c>
    </row>
    <row r="1135" spans="1:7" x14ac:dyDescent="0.3">
      <c r="A1135" s="54">
        <v>45155</v>
      </c>
      <c r="C1135" s="5" t="s">
        <v>12000</v>
      </c>
      <c r="D1135" s="65">
        <v>32000</v>
      </c>
      <c r="E1135" s="28"/>
      <c r="F1135" s="46">
        <f t="shared" si="26"/>
        <v>1227166</v>
      </c>
      <c r="G1135" s="391" t="s">
        <v>9568</v>
      </c>
    </row>
    <row r="1136" spans="1:7" x14ac:dyDescent="0.3">
      <c r="A1136" s="54">
        <v>45159</v>
      </c>
      <c r="C1136" s="5" t="s">
        <v>12012</v>
      </c>
      <c r="D1136" s="43">
        <v>50000</v>
      </c>
      <c r="E1136" s="65"/>
      <c r="F1136" s="46">
        <f t="shared" si="26"/>
        <v>1177166</v>
      </c>
      <c r="G1136" s="391" t="s">
        <v>9568</v>
      </c>
    </row>
    <row r="1137" spans="1:7" x14ac:dyDescent="0.3">
      <c r="A1137" s="54">
        <v>45164</v>
      </c>
      <c r="C1137" s="5" t="s">
        <v>12044</v>
      </c>
      <c r="D1137" s="65">
        <v>5000</v>
      </c>
      <c r="E1137" s="65"/>
      <c r="F1137" s="46">
        <f t="shared" si="26"/>
        <v>1172166</v>
      </c>
      <c r="G1137" s="391" t="s">
        <v>9568</v>
      </c>
    </row>
    <row r="1138" spans="1:7" x14ac:dyDescent="0.3">
      <c r="A1138" s="54">
        <v>45164</v>
      </c>
      <c r="C1138" s="5" t="s">
        <v>8143</v>
      </c>
      <c r="D1138" s="65">
        <v>10000</v>
      </c>
      <c r="E1138" s="65"/>
      <c r="F1138" s="46">
        <f t="shared" si="26"/>
        <v>1162166</v>
      </c>
      <c r="G1138" s="391" t="s">
        <v>9568</v>
      </c>
    </row>
    <row r="1139" spans="1:7" x14ac:dyDescent="0.3">
      <c r="A1139" s="54">
        <v>45167</v>
      </c>
      <c r="C1139" s="5" t="s">
        <v>294</v>
      </c>
      <c r="D1139" s="43"/>
      <c r="E1139" s="28">
        <v>10000</v>
      </c>
      <c r="F1139" s="46">
        <f t="shared" si="26"/>
        <v>1172166</v>
      </c>
      <c r="G1139" s="391" t="s">
        <v>9568</v>
      </c>
    </row>
    <row r="1140" spans="1:7" x14ac:dyDescent="0.3">
      <c r="A1140" s="54">
        <v>45173</v>
      </c>
      <c r="C1140" s="5" t="s">
        <v>4601</v>
      </c>
      <c r="D1140" s="65"/>
      <c r="E1140" s="65">
        <v>190</v>
      </c>
      <c r="F1140" s="46">
        <f t="shared" si="26"/>
        <v>1172356</v>
      </c>
      <c r="G1140" s="391" t="s">
        <v>9568</v>
      </c>
    </row>
    <row r="1141" spans="1:7" s="357" customFormat="1" x14ac:dyDescent="0.25">
      <c r="A1141" s="54">
        <v>45175</v>
      </c>
      <c r="B1141" s="321"/>
      <c r="C1141" s="44" t="s">
        <v>12125</v>
      </c>
      <c r="D1141" s="48">
        <v>50000</v>
      </c>
      <c r="E1141" s="48"/>
      <c r="F1141" s="46">
        <f t="shared" si="26"/>
        <v>1122356</v>
      </c>
      <c r="G1141" s="400" t="s">
        <v>9568</v>
      </c>
    </row>
    <row r="1142" spans="1:7" s="357" customFormat="1" x14ac:dyDescent="0.25">
      <c r="A1142" s="54">
        <v>45175</v>
      </c>
      <c r="B1142" s="321"/>
      <c r="C1142" s="44" t="s">
        <v>12126</v>
      </c>
      <c r="D1142" s="48">
        <v>5000</v>
      </c>
      <c r="E1142" s="48"/>
      <c r="F1142" s="46">
        <f t="shared" si="26"/>
        <v>1117356</v>
      </c>
      <c r="G1142" s="400" t="s">
        <v>9568</v>
      </c>
    </row>
    <row r="1143" spans="1:7" s="357" customFormat="1" x14ac:dyDescent="0.25">
      <c r="A1143" s="54">
        <v>45175</v>
      </c>
      <c r="B1143" s="321"/>
      <c r="C1143" s="44" t="s">
        <v>294</v>
      </c>
      <c r="D1143" s="28"/>
      <c r="E1143" s="28">
        <v>5000</v>
      </c>
      <c r="F1143" s="46">
        <f t="shared" si="26"/>
        <v>1122356</v>
      </c>
      <c r="G1143" s="400" t="s">
        <v>9568</v>
      </c>
    </row>
    <row r="1144" spans="1:7" s="357" customFormat="1" x14ac:dyDescent="0.25">
      <c r="A1144" s="54">
        <v>45175</v>
      </c>
      <c r="B1144" s="321"/>
      <c r="C1144" s="44" t="s">
        <v>5425</v>
      </c>
      <c r="D1144" s="48"/>
      <c r="E1144" s="48">
        <v>58129</v>
      </c>
      <c r="F1144" s="46">
        <f>F1143+E1144-D1144</f>
        <v>1180485</v>
      </c>
      <c r="G1144" s="400" t="s">
        <v>9568</v>
      </c>
    </row>
    <row r="1145" spans="1:7" s="357" customFormat="1" x14ac:dyDescent="0.25">
      <c r="A1145" s="54">
        <v>45178</v>
      </c>
      <c r="B1145" s="321"/>
      <c r="C1145" s="44" t="s">
        <v>294</v>
      </c>
      <c r="D1145" s="28"/>
      <c r="E1145" s="28">
        <v>2000</v>
      </c>
      <c r="F1145" s="46">
        <f t="shared" si="26"/>
        <v>1182485</v>
      </c>
      <c r="G1145" s="400" t="s">
        <v>9568</v>
      </c>
    </row>
    <row r="1146" spans="1:7" s="357" customFormat="1" x14ac:dyDescent="0.25">
      <c r="A1146" s="54">
        <v>45182</v>
      </c>
      <c r="B1146" s="321"/>
      <c r="C1146" s="44" t="s">
        <v>294</v>
      </c>
      <c r="D1146" s="28"/>
      <c r="E1146" s="28">
        <v>3000</v>
      </c>
      <c r="F1146" s="46">
        <f t="shared" si="26"/>
        <v>1185485</v>
      </c>
      <c r="G1146" s="400" t="s">
        <v>9568</v>
      </c>
    </row>
    <row r="1147" spans="1:7" s="357" customFormat="1" x14ac:dyDescent="0.25">
      <c r="A1147" s="54">
        <v>45184</v>
      </c>
      <c r="B1147" s="321"/>
      <c r="C1147" s="44" t="s">
        <v>294</v>
      </c>
      <c r="D1147" s="48"/>
      <c r="E1147" s="48">
        <v>5000</v>
      </c>
      <c r="F1147" s="46">
        <f t="shared" si="26"/>
        <v>1190485</v>
      </c>
      <c r="G1147" s="400" t="s">
        <v>9568</v>
      </c>
    </row>
    <row r="1148" spans="1:7" s="357" customFormat="1" x14ac:dyDescent="0.25">
      <c r="A1148" s="54">
        <v>45187</v>
      </c>
      <c r="B1148" s="321"/>
      <c r="C1148" s="44" t="s">
        <v>7784</v>
      </c>
      <c r="D1148" s="48"/>
      <c r="E1148" s="48">
        <v>5000</v>
      </c>
      <c r="F1148" s="46">
        <f t="shared" si="26"/>
        <v>1195485</v>
      </c>
      <c r="G1148" s="400" t="s">
        <v>9568</v>
      </c>
    </row>
    <row r="1149" spans="1:7" s="357" customFormat="1" ht="37.5" x14ac:dyDescent="0.25">
      <c r="A1149" s="54">
        <v>45187</v>
      </c>
      <c r="B1149" s="321"/>
      <c r="C1149" s="124" t="s">
        <v>12252</v>
      </c>
      <c r="D1149" s="48"/>
      <c r="E1149" s="48">
        <v>55000</v>
      </c>
      <c r="F1149" s="46">
        <f t="shared" si="26"/>
        <v>1250485</v>
      </c>
      <c r="G1149" s="400" t="s">
        <v>9568</v>
      </c>
    </row>
    <row r="1150" spans="1:7" x14ac:dyDescent="0.3">
      <c r="A1150" s="54">
        <v>45194</v>
      </c>
      <c r="C1150" s="5" t="s">
        <v>12265</v>
      </c>
      <c r="D1150" s="65">
        <v>25000</v>
      </c>
      <c r="E1150" s="65"/>
      <c r="F1150" s="46">
        <f t="shared" si="26"/>
        <v>1225485</v>
      </c>
      <c r="G1150" s="400" t="s">
        <v>9568</v>
      </c>
    </row>
    <row r="1151" spans="1:7" x14ac:dyDescent="0.3">
      <c r="A1151" s="54">
        <v>45194</v>
      </c>
      <c r="C1151" s="5" t="s">
        <v>12266</v>
      </c>
      <c r="D1151" s="65">
        <v>5000</v>
      </c>
      <c r="E1151" s="65"/>
      <c r="F1151" s="46">
        <f t="shared" si="26"/>
        <v>1220485</v>
      </c>
      <c r="G1151" s="400" t="s">
        <v>9568</v>
      </c>
    </row>
    <row r="1152" spans="1:7" x14ac:dyDescent="0.3">
      <c r="A1152" s="54">
        <v>45197</v>
      </c>
      <c r="C1152" s="5" t="s">
        <v>12299</v>
      </c>
      <c r="D1152" s="65">
        <v>20000</v>
      </c>
      <c r="E1152" s="65"/>
      <c r="F1152" s="46">
        <f t="shared" si="26"/>
        <v>1200485</v>
      </c>
      <c r="G1152" s="400" t="s">
        <v>9568</v>
      </c>
    </row>
    <row r="1153" spans="1:7" x14ac:dyDescent="0.3">
      <c r="A1153" s="54">
        <v>45197</v>
      </c>
      <c r="C1153" s="5" t="s">
        <v>12266</v>
      </c>
      <c r="D1153" s="65">
        <v>5000</v>
      </c>
      <c r="E1153" s="65"/>
      <c r="F1153" s="46">
        <f t="shared" si="26"/>
        <v>1195485</v>
      </c>
      <c r="G1153" s="400" t="s">
        <v>9568</v>
      </c>
    </row>
    <row r="1154" spans="1:7" x14ac:dyDescent="0.3">
      <c r="A1154" s="54">
        <v>45197</v>
      </c>
      <c r="C1154" s="5" t="s">
        <v>12300</v>
      </c>
      <c r="D1154" s="65">
        <v>5000</v>
      </c>
      <c r="E1154" s="65"/>
      <c r="F1154" s="46">
        <f t="shared" si="26"/>
        <v>1190485</v>
      </c>
      <c r="G1154" s="400" t="s">
        <v>9568</v>
      </c>
    </row>
    <row r="1155" spans="1:7" x14ac:dyDescent="0.3">
      <c r="A1155" s="54">
        <v>45201</v>
      </c>
      <c r="C1155" s="5" t="s">
        <v>12323</v>
      </c>
      <c r="D1155" s="65"/>
      <c r="E1155" s="65">
        <v>15658</v>
      </c>
      <c r="F1155" s="46">
        <f t="shared" si="26"/>
        <v>1206143</v>
      </c>
      <c r="G1155" s="400" t="s">
        <v>9568</v>
      </c>
    </row>
    <row r="1156" spans="1:7" x14ac:dyDescent="0.3">
      <c r="A1156" s="54">
        <v>45203</v>
      </c>
      <c r="C1156" s="44" t="s">
        <v>294</v>
      </c>
      <c r="D1156" s="48"/>
      <c r="E1156" s="65">
        <v>79200</v>
      </c>
      <c r="F1156" s="46">
        <f t="shared" si="26"/>
        <v>1285343</v>
      </c>
      <c r="G1156" s="400" t="s">
        <v>9568</v>
      </c>
    </row>
    <row r="1157" spans="1:7" x14ac:dyDescent="0.3">
      <c r="A1157" s="54">
        <v>45203</v>
      </c>
      <c r="C1157" s="5" t="s">
        <v>12351</v>
      </c>
      <c r="D1157" s="65">
        <v>60000</v>
      </c>
      <c r="E1157" s="65"/>
      <c r="F1157" s="46">
        <f t="shared" si="26"/>
        <v>1225343</v>
      </c>
      <c r="G1157" s="400" t="s">
        <v>9568</v>
      </c>
    </row>
    <row r="1158" spans="1:7" x14ac:dyDescent="0.3">
      <c r="A1158" s="54">
        <v>45208</v>
      </c>
      <c r="C1158" s="44" t="s">
        <v>12381</v>
      </c>
      <c r="D1158" s="48">
        <v>50000</v>
      </c>
      <c r="E1158" s="65"/>
      <c r="F1158" s="46">
        <f t="shared" si="26"/>
        <v>1175343</v>
      </c>
      <c r="G1158" s="400" t="s">
        <v>9568</v>
      </c>
    </row>
    <row r="1159" spans="1:7" x14ac:dyDescent="0.3">
      <c r="A1159" s="54">
        <v>45208</v>
      </c>
      <c r="C1159" s="44" t="s">
        <v>12382</v>
      </c>
      <c r="D1159" s="48">
        <v>5000</v>
      </c>
      <c r="E1159" s="65"/>
      <c r="F1159" s="46">
        <f t="shared" si="26"/>
        <v>1170343</v>
      </c>
      <c r="G1159" s="400" t="s">
        <v>9568</v>
      </c>
    </row>
    <row r="1160" spans="1:7" x14ac:dyDescent="0.3">
      <c r="A1160" s="54">
        <v>45209</v>
      </c>
      <c r="C1160" s="44" t="s">
        <v>8143</v>
      </c>
      <c r="D1160" s="65">
        <v>2000</v>
      </c>
      <c r="E1160" s="65"/>
      <c r="F1160" s="46">
        <f t="shared" si="26"/>
        <v>1168343</v>
      </c>
      <c r="G1160" s="400" t="s">
        <v>9568</v>
      </c>
    </row>
    <row r="1161" spans="1:7" s="357" customFormat="1" ht="37.5" x14ac:dyDescent="0.25">
      <c r="A1161" s="54">
        <v>45210</v>
      </c>
      <c r="B1161" s="321"/>
      <c r="C1161" s="124" t="s">
        <v>12398</v>
      </c>
      <c r="D1161" s="48">
        <f>5000+7000+7000+7000+7000+16000+5000</f>
        <v>54000</v>
      </c>
      <c r="E1161" s="48"/>
      <c r="F1161" s="46">
        <f t="shared" ref="F1161:F1223" si="27">F1160+E1161-D1161</f>
        <v>1114343</v>
      </c>
      <c r="G1161" s="400" t="s">
        <v>9568</v>
      </c>
    </row>
    <row r="1162" spans="1:7" x14ac:dyDescent="0.3">
      <c r="A1162" s="54">
        <v>45213</v>
      </c>
      <c r="C1162" s="5" t="s">
        <v>12419</v>
      </c>
      <c r="D1162" s="65">
        <v>50000</v>
      </c>
      <c r="E1162" s="65"/>
      <c r="F1162" s="46">
        <f t="shared" si="27"/>
        <v>1064343</v>
      </c>
      <c r="G1162" s="391" t="s">
        <v>9568</v>
      </c>
    </row>
    <row r="1163" spans="1:7" x14ac:dyDescent="0.3">
      <c r="A1163" s="54">
        <v>45222</v>
      </c>
      <c r="C1163" s="5" t="s">
        <v>9108</v>
      </c>
      <c r="D1163" s="65">
        <v>1000</v>
      </c>
      <c r="E1163" s="65"/>
      <c r="F1163" s="46">
        <f t="shared" si="27"/>
        <v>1063343</v>
      </c>
      <c r="G1163" s="391" t="s">
        <v>9568</v>
      </c>
    </row>
    <row r="1164" spans="1:7" x14ac:dyDescent="0.3">
      <c r="A1164" s="54">
        <v>45223</v>
      </c>
      <c r="C1164" s="5" t="s">
        <v>12489</v>
      </c>
      <c r="D1164" s="65">
        <v>1000</v>
      </c>
      <c r="E1164" s="65"/>
      <c r="F1164" s="46">
        <f t="shared" si="27"/>
        <v>1062343</v>
      </c>
      <c r="G1164" s="391" t="s">
        <v>9568</v>
      </c>
    </row>
    <row r="1165" spans="1:7" x14ac:dyDescent="0.3">
      <c r="A1165" s="54">
        <v>45223</v>
      </c>
      <c r="C1165" s="5" t="s">
        <v>12490</v>
      </c>
      <c r="D1165" s="65">
        <v>1000</v>
      </c>
      <c r="E1165" s="65"/>
      <c r="F1165" s="46">
        <f t="shared" si="27"/>
        <v>1061343</v>
      </c>
      <c r="G1165" s="391" t="s">
        <v>9568</v>
      </c>
    </row>
    <row r="1166" spans="1:7" x14ac:dyDescent="0.3">
      <c r="A1166" s="54">
        <v>45223</v>
      </c>
      <c r="C1166" s="5" t="s">
        <v>12491</v>
      </c>
      <c r="D1166" s="65">
        <v>8300</v>
      </c>
      <c r="E1166" s="65"/>
      <c r="F1166" s="46">
        <f t="shared" si="27"/>
        <v>1053043</v>
      </c>
      <c r="G1166" s="391" t="s">
        <v>9568</v>
      </c>
    </row>
    <row r="1167" spans="1:7" x14ac:dyDescent="0.3">
      <c r="A1167" s="54">
        <v>45225</v>
      </c>
      <c r="C1167" s="5" t="s">
        <v>12512</v>
      </c>
      <c r="D1167" s="65"/>
      <c r="E1167" s="65">
        <v>12200</v>
      </c>
      <c r="F1167" s="46">
        <f t="shared" si="27"/>
        <v>1065243</v>
      </c>
      <c r="G1167" s="391" t="s">
        <v>9568</v>
      </c>
    </row>
    <row r="1168" spans="1:7" x14ac:dyDescent="0.3">
      <c r="A1168" s="54">
        <v>45225</v>
      </c>
      <c r="C1168" s="5" t="s">
        <v>12513</v>
      </c>
      <c r="D1168" s="65"/>
      <c r="E1168" s="65">
        <v>11150</v>
      </c>
      <c r="F1168" s="46">
        <f t="shared" si="27"/>
        <v>1076393</v>
      </c>
      <c r="G1168" s="391" t="s">
        <v>9568</v>
      </c>
    </row>
    <row r="1169" spans="1:7" x14ac:dyDescent="0.3">
      <c r="A1169" s="54">
        <v>45229</v>
      </c>
      <c r="C1169" s="5" t="s">
        <v>12539</v>
      </c>
      <c r="D1169" s="65">
        <v>3000</v>
      </c>
      <c r="E1169" s="65"/>
      <c r="F1169" s="46">
        <f t="shared" si="27"/>
        <v>1073393</v>
      </c>
      <c r="G1169" s="391" t="s">
        <v>9568</v>
      </c>
    </row>
    <row r="1170" spans="1:7" s="357" customFormat="1" x14ac:dyDescent="0.25">
      <c r="A1170" s="54">
        <v>45230</v>
      </c>
      <c r="B1170" s="321"/>
      <c r="C1170" s="44" t="s">
        <v>4601</v>
      </c>
      <c r="D1170" s="48"/>
      <c r="E1170" s="48">
        <v>190</v>
      </c>
      <c r="F1170" s="46">
        <f t="shared" si="27"/>
        <v>1073583</v>
      </c>
      <c r="G1170" s="400" t="s">
        <v>9568</v>
      </c>
    </row>
    <row r="1171" spans="1:7" x14ac:dyDescent="0.3">
      <c r="A1171" s="54">
        <v>45231</v>
      </c>
      <c r="C1171" s="44" t="s">
        <v>294</v>
      </c>
      <c r="D1171" s="48"/>
      <c r="E1171" s="65">
        <v>10000</v>
      </c>
      <c r="F1171" s="46">
        <f t="shared" si="27"/>
        <v>1083583</v>
      </c>
      <c r="G1171" s="400" t="s">
        <v>9568</v>
      </c>
    </row>
    <row r="1172" spans="1:7" x14ac:dyDescent="0.3">
      <c r="A1172" s="54">
        <v>45233</v>
      </c>
      <c r="C1172" s="5" t="s">
        <v>12579</v>
      </c>
      <c r="D1172" s="65">
        <v>5000</v>
      </c>
      <c r="E1172" s="65"/>
      <c r="F1172" s="46">
        <f t="shared" si="27"/>
        <v>1078583</v>
      </c>
      <c r="G1172" s="400" t="s">
        <v>9568</v>
      </c>
    </row>
    <row r="1173" spans="1:7" x14ac:dyDescent="0.3">
      <c r="A1173" s="54">
        <v>45236</v>
      </c>
      <c r="C1173" s="44" t="s">
        <v>12606</v>
      </c>
      <c r="D1173" s="48">
        <v>50000</v>
      </c>
      <c r="E1173" s="65"/>
      <c r="F1173" s="46">
        <f t="shared" si="27"/>
        <v>1028583</v>
      </c>
      <c r="G1173" s="400" t="s">
        <v>9568</v>
      </c>
    </row>
    <row r="1174" spans="1:7" x14ac:dyDescent="0.3">
      <c r="A1174" s="54">
        <v>45236</v>
      </c>
      <c r="C1174" s="44" t="s">
        <v>12607</v>
      </c>
      <c r="D1174" s="48">
        <v>5000</v>
      </c>
      <c r="E1174" s="65"/>
      <c r="F1174" s="46">
        <f t="shared" si="27"/>
        <v>1023583</v>
      </c>
      <c r="G1174" s="400" t="s">
        <v>9568</v>
      </c>
    </row>
    <row r="1175" spans="1:7" x14ac:dyDescent="0.3">
      <c r="A1175" s="54">
        <v>45241</v>
      </c>
      <c r="C1175" s="5" t="s">
        <v>12644</v>
      </c>
      <c r="D1175" s="48">
        <v>5000</v>
      </c>
      <c r="E1175" s="65"/>
      <c r="F1175" s="46">
        <f t="shared" si="27"/>
        <v>1018583</v>
      </c>
      <c r="G1175" s="400" t="s">
        <v>9568</v>
      </c>
    </row>
    <row r="1176" spans="1:7" x14ac:dyDescent="0.3">
      <c r="A1176" s="54">
        <v>45241</v>
      </c>
      <c r="C1176" s="5" t="s">
        <v>12645</v>
      </c>
      <c r="D1176" s="65">
        <v>10000</v>
      </c>
      <c r="E1176" s="65"/>
      <c r="F1176" s="46">
        <f t="shared" si="27"/>
        <v>1008583</v>
      </c>
      <c r="G1176" s="400" t="s">
        <v>9568</v>
      </c>
    </row>
    <row r="1177" spans="1:7" x14ac:dyDescent="0.3">
      <c r="A1177" s="54">
        <v>45241</v>
      </c>
      <c r="C1177" s="5" t="s">
        <v>12646</v>
      </c>
      <c r="D1177" s="65">
        <v>3500</v>
      </c>
      <c r="E1177" s="65"/>
      <c r="F1177" s="46">
        <f t="shared" si="27"/>
        <v>1005083</v>
      </c>
      <c r="G1177" s="400" t="s">
        <v>9568</v>
      </c>
    </row>
    <row r="1178" spans="1:7" x14ac:dyDescent="0.3">
      <c r="A1178" s="54">
        <v>45241</v>
      </c>
      <c r="C1178" s="5" t="s">
        <v>12647</v>
      </c>
      <c r="D1178" s="65">
        <v>4500</v>
      </c>
      <c r="E1178" s="65"/>
      <c r="F1178" s="46">
        <f t="shared" si="27"/>
        <v>1000583</v>
      </c>
      <c r="G1178" s="400" t="s">
        <v>9568</v>
      </c>
    </row>
    <row r="1179" spans="1:7" x14ac:dyDescent="0.3">
      <c r="A1179" s="54">
        <v>45241</v>
      </c>
      <c r="C1179" s="5" t="s">
        <v>12648</v>
      </c>
      <c r="D1179" s="65">
        <v>5440</v>
      </c>
      <c r="E1179" s="65"/>
      <c r="F1179" s="46">
        <f t="shared" si="27"/>
        <v>995143</v>
      </c>
      <c r="G1179" s="400" t="s">
        <v>9568</v>
      </c>
    </row>
    <row r="1180" spans="1:7" x14ac:dyDescent="0.3">
      <c r="A1180" s="54">
        <v>45244</v>
      </c>
      <c r="C1180" s="5" t="s">
        <v>12272</v>
      </c>
      <c r="D1180" s="65"/>
      <c r="E1180" s="65">
        <v>19000</v>
      </c>
      <c r="F1180" s="46">
        <f t="shared" si="27"/>
        <v>1014143</v>
      </c>
      <c r="G1180" s="400" t="s">
        <v>9568</v>
      </c>
    </row>
    <row r="1181" spans="1:7" x14ac:dyDescent="0.3">
      <c r="A1181" s="54">
        <v>45245</v>
      </c>
      <c r="C1181" s="5" t="s">
        <v>294</v>
      </c>
      <c r="D1181" s="65"/>
      <c r="E1181" s="65">
        <v>1000</v>
      </c>
      <c r="F1181" s="46">
        <f t="shared" si="27"/>
        <v>1015143</v>
      </c>
      <c r="G1181" s="400" t="s">
        <v>9568</v>
      </c>
    </row>
    <row r="1182" spans="1:7" x14ac:dyDescent="0.3">
      <c r="A1182" s="54">
        <v>45252</v>
      </c>
      <c r="C1182" s="5" t="s">
        <v>294</v>
      </c>
      <c r="D1182" s="65"/>
      <c r="E1182" s="65">
        <v>10000</v>
      </c>
      <c r="F1182" s="46">
        <f t="shared" si="27"/>
        <v>1025143</v>
      </c>
      <c r="G1182" s="400" t="s">
        <v>9568</v>
      </c>
    </row>
    <row r="1183" spans="1:7" x14ac:dyDescent="0.3">
      <c r="A1183" s="54">
        <v>45258</v>
      </c>
      <c r="C1183" s="5" t="s">
        <v>12789</v>
      </c>
      <c r="D1183" s="65">
        <v>59683</v>
      </c>
      <c r="E1183" s="65"/>
      <c r="F1183" s="46">
        <f t="shared" si="27"/>
        <v>965460</v>
      </c>
      <c r="G1183" s="400" t="s">
        <v>9568</v>
      </c>
    </row>
    <row r="1184" spans="1:7" x14ac:dyDescent="0.3">
      <c r="A1184" s="54">
        <v>45260</v>
      </c>
      <c r="C1184" s="5" t="s">
        <v>12798</v>
      </c>
      <c r="D1184" s="65">
        <v>17000</v>
      </c>
      <c r="E1184" s="65"/>
      <c r="F1184" s="46">
        <f t="shared" si="27"/>
        <v>948460</v>
      </c>
      <c r="G1184" s="400" t="s">
        <v>9568</v>
      </c>
    </row>
    <row r="1185" spans="1:7" x14ac:dyDescent="0.3">
      <c r="A1185" s="54">
        <v>45260</v>
      </c>
      <c r="C1185" s="5" t="s">
        <v>12797</v>
      </c>
      <c r="D1185" s="65">
        <v>5000</v>
      </c>
      <c r="E1185" s="65"/>
      <c r="F1185" s="46">
        <f t="shared" si="27"/>
        <v>943460</v>
      </c>
      <c r="G1185" s="400" t="s">
        <v>9568</v>
      </c>
    </row>
    <row r="1186" spans="1:7" x14ac:dyDescent="0.3">
      <c r="A1186" s="54">
        <v>45260</v>
      </c>
      <c r="C1186" s="5" t="s">
        <v>12800</v>
      </c>
      <c r="D1186" s="65">
        <v>4000</v>
      </c>
      <c r="E1186" s="65"/>
      <c r="F1186" s="46">
        <f t="shared" si="27"/>
        <v>939460</v>
      </c>
      <c r="G1186" s="400" t="s">
        <v>9568</v>
      </c>
    </row>
    <row r="1187" spans="1:7" x14ac:dyDescent="0.3">
      <c r="A1187" s="54">
        <v>45260</v>
      </c>
      <c r="C1187" s="5" t="s">
        <v>9108</v>
      </c>
      <c r="D1187" s="65">
        <v>2500</v>
      </c>
      <c r="E1187" s="65"/>
      <c r="F1187" s="46">
        <f t="shared" si="27"/>
        <v>936960</v>
      </c>
      <c r="G1187" s="391" t="s">
        <v>9568</v>
      </c>
    </row>
    <row r="1188" spans="1:7" x14ac:dyDescent="0.3">
      <c r="A1188" s="54">
        <v>45266</v>
      </c>
      <c r="C1188" s="5" t="s">
        <v>12272</v>
      </c>
      <c r="D1188" s="65"/>
      <c r="E1188" s="65">
        <v>22038</v>
      </c>
      <c r="F1188" s="46">
        <f t="shared" si="27"/>
        <v>958998</v>
      </c>
      <c r="G1188" s="391" t="s">
        <v>9568</v>
      </c>
    </row>
    <row r="1189" spans="1:7" x14ac:dyDescent="0.3">
      <c r="A1189" s="54">
        <v>45266</v>
      </c>
      <c r="C1189" s="44" t="s">
        <v>12817</v>
      </c>
      <c r="D1189" s="48">
        <v>50000</v>
      </c>
      <c r="E1189" s="65"/>
      <c r="F1189" s="46">
        <f t="shared" si="27"/>
        <v>908998</v>
      </c>
      <c r="G1189" s="391" t="s">
        <v>9568</v>
      </c>
    </row>
    <row r="1190" spans="1:7" x14ac:dyDescent="0.3">
      <c r="A1190" s="54">
        <v>45266</v>
      </c>
      <c r="C1190" s="44" t="s">
        <v>12818</v>
      </c>
      <c r="D1190" s="48">
        <v>5000</v>
      </c>
      <c r="E1190" s="65"/>
      <c r="F1190" s="46">
        <f t="shared" si="27"/>
        <v>903998</v>
      </c>
      <c r="G1190" s="391" t="s">
        <v>9568</v>
      </c>
    </row>
    <row r="1191" spans="1:7" s="357" customFormat="1" x14ac:dyDescent="0.3">
      <c r="A1191" s="54">
        <v>45266</v>
      </c>
      <c r="B1191" s="321"/>
      <c r="C1191" s="124" t="s">
        <v>12832</v>
      </c>
      <c r="D1191" s="48">
        <v>8000</v>
      </c>
      <c r="E1191" s="48"/>
      <c r="F1191" s="46">
        <f t="shared" si="27"/>
        <v>895998</v>
      </c>
      <c r="G1191" s="391" t="s">
        <v>9568</v>
      </c>
    </row>
    <row r="1192" spans="1:7" x14ac:dyDescent="0.3">
      <c r="A1192" s="54">
        <v>45275</v>
      </c>
      <c r="C1192" s="5" t="s">
        <v>294</v>
      </c>
      <c r="D1192" s="65"/>
      <c r="E1192" s="65">
        <v>20000</v>
      </c>
      <c r="F1192" s="46">
        <f t="shared" si="27"/>
        <v>915998</v>
      </c>
      <c r="G1192" s="391" t="s">
        <v>9568</v>
      </c>
    </row>
    <row r="1193" spans="1:7" x14ac:dyDescent="0.3">
      <c r="A1193" s="54">
        <v>45275</v>
      </c>
      <c r="C1193" s="5" t="s">
        <v>12644</v>
      </c>
      <c r="D1193" s="65">
        <v>10600</v>
      </c>
      <c r="E1193" s="65"/>
      <c r="F1193" s="46">
        <f t="shared" si="27"/>
        <v>905398</v>
      </c>
      <c r="G1193" s="391" t="s">
        <v>9568</v>
      </c>
    </row>
    <row r="1194" spans="1:7" x14ac:dyDescent="0.3">
      <c r="A1194" s="54">
        <v>45275</v>
      </c>
      <c r="C1194" s="5" t="s">
        <v>12881</v>
      </c>
      <c r="D1194" s="65">
        <v>12000</v>
      </c>
      <c r="E1194" s="65"/>
      <c r="F1194" s="46">
        <f t="shared" si="27"/>
        <v>893398</v>
      </c>
      <c r="G1194" s="391" t="s">
        <v>9568</v>
      </c>
    </row>
    <row r="1195" spans="1:7" x14ac:dyDescent="0.3">
      <c r="A1195" s="54">
        <v>45281</v>
      </c>
      <c r="C1195" s="5" t="s">
        <v>12926</v>
      </c>
      <c r="D1195" s="65"/>
      <c r="E1195" s="65">
        <v>12000</v>
      </c>
      <c r="F1195" s="46">
        <f t="shared" si="27"/>
        <v>905398</v>
      </c>
      <c r="G1195" s="391" t="s">
        <v>9568</v>
      </c>
    </row>
    <row r="1196" spans="1:7" x14ac:dyDescent="0.3">
      <c r="A1196" s="54">
        <v>45286</v>
      </c>
      <c r="C1196" s="5" t="s">
        <v>12946</v>
      </c>
      <c r="D1196" s="65">
        <v>30410</v>
      </c>
      <c r="E1196" s="65"/>
      <c r="F1196" s="46">
        <f t="shared" si="27"/>
        <v>874988</v>
      </c>
      <c r="G1196" s="391" t="s">
        <v>9568</v>
      </c>
    </row>
    <row r="1197" spans="1:7" x14ac:dyDescent="0.3">
      <c r="A1197" s="54">
        <v>45287</v>
      </c>
      <c r="C1197" s="5" t="s">
        <v>6234</v>
      </c>
      <c r="D1197" s="65"/>
      <c r="E1197" s="65">
        <v>780</v>
      </c>
      <c r="F1197" s="46">
        <f t="shared" si="27"/>
        <v>875768</v>
      </c>
      <c r="G1197" s="391" t="s">
        <v>9568</v>
      </c>
    </row>
    <row r="1198" spans="1:7" x14ac:dyDescent="0.3">
      <c r="A1198" s="54">
        <v>45288</v>
      </c>
      <c r="C1198" s="5" t="s">
        <v>294</v>
      </c>
      <c r="D1198" s="65"/>
      <c r="E1198" s="65">
        <v>5000</v>
      </c>
      <c r="F1198" s="46">
        <f t="shared" si="27"/>
        <v>880768</v>
      </c>
      <c r="G1198" s="391" t="s">
        <v>9568</v>
      </c>
    </row>
    <row r="1199" spans="1:7" x14ac:dyDescent="0.3">
      <c r="A1199" s="54">
        <v>45293</v>
      </c>
      <c r="C1199" s="5" t="s">
        <v>294</v>
      </c>
      <c r="D1199" s="65"/>
      <c r="E1199" s="65">
        <v>5000</v>
      </c>
      <c r="F1199" s="46">
        <f t="shared" si="27"/>
        <v>885768</v>
      </c>
      <c r="G1199" s="391" t="s">
        <v>9568</v>
      </c>
    </row>
    <row r="1200" spans="1:7" x14ac:dyDescent="0.3">
      <c r="A1200" s="54">
        <v>45296</v>
      </c>
      <c r="C1200" s="5" t="s">
        <v>12926</v>
      </c>
      <c r="D1200" s="65"/>
      <c r="E1200" s="65">
        <v>18000</v>
      </c>
      <c r="F1200" s="46">
        <f t="shared" si="27"/>
        <v>903768</v>
      </c>
      <c r="G1200" s="391" t="s">
        <v>9568</v>
      </c>
    </row>
    <row r="1201" spans="1:7" x14ac:dyDescent="0.3">
      <c r="A1201" s="54">
        <v>45297</v>
      </c>
      <c r="C1201" s="5" t="s">
        <v>294</v>
      </c>
      <c r="D1201" s="65"/>
      <c r="E1201" s="65">
        <v>10000</v>
      </c>
      <c r="F1201" s="46">
        <f t="shared" si="27"/>
        <v>913768</v>
      </c>
      <c r="G1201" s="391" t="s">
        <v>9568</v>
      </c>
    </row>
    <row r="1202" spans="1:7" x14ac:dyDescent="0.3">
      <c r="A1202" s="54">
        <v>45299</v>
      </c>
      <c r="C1202" s="5" t="s">
        <v>12272</v>
      </c>
      <c r="D1202" s="65"/>
      <c r="E1202" s="65">
        <v>9913</v>
      </c>
      <c r="F1202" s="46">
        <f t="shared" si="27"/>
        <v>923681</v>
      </c>
      <c r="G1202" s="391" t="s">
        <v>9568</v>
      </c>
    </row>
    <row r="1203" spans="1:7" x14ac:dyDescent="0.3">
      <c r="A1203" s="54">
        <v>45299</v>
      </c>
      <c r="C1203" s="44" t="s">
        <v>13076</v>
      </c>
      <c r="D1203" s="48">
        <v>50000</v>
      </c>
      <c r="E1203" s="65"/>
      <c r="F1203" s="46">
        <f t="shared" si="27"/>
        <v>873681</v>
      </c>
      <c r="G1203" s="391" t="s">
        <v>9568</v>
      </c>
    </row>
    <row r="1204" spans="1:7" x14ac:dyDescent="0.3">
      <c r="A1204" s="54">
        <v>45299</v>
      </c>
      <c r="C1204" s="44" t="s">
        <v>13077</v>
      </c>
      <c r="D1204" s="48">
        <v>5000</v>
      </c>
      <c r="E1204" s="65"/>
      <c r="F1204" s="46">
        <f t="shared" si="27"/>
        <v>868681</v>
      </c>
      <c r="G1204" s="391" t="s">
        <v>9568</v>
      </c>
    </row>
    <row r="1205" spans="1:7" x14ac:dyDescent="0.3">
      <c r="A1205" s="54">
        <v>45299</v>
      </c>
      <c r="C1205" s="5" t="s">
        <v>13099</v>
      </c>
      <c r="D1205" s="65">
        <v>10000</v>
      </c>
      <c r="E1205" s="65"/>
      <c r="F1205" s="46">
        <f t="shared" si="27"/>
        <v>858681</v>
      </c>
      <c r="G1205" s="391" t="s">
        <v>9568</v>
      </c>
    </row>
    <row r="1206" spans="1:7" x14ac:dyDescent="0.3">
      <c r="A1206" s="54">
        <v>45299</v>
      </c>
      <c r="C1206" s="5" t="s">
        <v>13138</v>
      </c>
      <c r="D1206" s="65">
        <v>20000</v>
      </c>
      <c r="E1206" s="65"/>
      <c r="F1206" s="46">
        <f t="shared" si="27"/>
        <v>838681</v>
      </c>
      <c r="G1206" s="391" t="s">
        <v>9568</v>
      </c>
    </row>
    <row r="1207" spans="1:7" x14ac:dyDescent="0.3">
      <c r="A1207" s="54">
        <v>45299</v>
      </c>
      <c r="C1207" s="5" t="s">
        <v>13138</v>
      </c>
      <c r="D1207" s="65">
        <v>15000</v>
      </c>
      <c r="E1207" s="65"/>
      <c r="F1207" s="46">
        <f t="shared" si="27"/>
        <v>823681</v>
      </c>
      <c r="G1207" s="391" t="s">
        <v>9568</v>
      </c>
    </row>
    <row r="1208" spans="1:7" x14ac:dyDescent="0.3">
      <c r="A1208" s="54">
        <v>45299</v>
      </c>
      <c r="C1208" s="5" t="s">
        <v>13139</v>
      </c>
      <c r="D1208" s="65">
        <v>5000</v>
      </c>
      <c r="E1208" s="65"/>
      <c r="F1208" s="46">
        <f t="shared" si="27"/>
        <v>818681</v>
      </c>
      <c r="G1208" s="391" t="s">
        <v>9568</v>
      </c>
    </row>
    <row r="1209" spans="1:7" x14ac:dyDescent="0.3">
      <c r="A1209" s="54">
        <v>45299</v>
      </c>
      <c r="C1209" s="5" t="s">
        <v>13159</v>
      </c>
      <c r="D1209" s="65"/>
      <c r="E1209" s="65">
        <v>10000</v>
      </c>
      <c r="F1209" s="46">
        <f t="shared" si="27"/>
        <v>828681</v>
      </c>
      <c r="G1209" s="391" t="s">
        <v>9568</v>
      </c>
    </row>
    <row r="1210" spans="1:7" x14ac:dyDescent="0.3">
      <c r="A1210" s="54">
        <v>45299</v>
      </c>
      <c r="C1210" s="5" t="s">
        <v>11032</v>
      </c>
      <c r="D1210" s="65"/>
      <c r="E1210" s="65">
        <v>10000</v>
      </c>
      <c r="F1210" s="46">
        <f t="shared" si="27"/>
        <v>838681</v>
      </c>
      <c r="G1210" s="391" t="s">
        <v>9568</v>
      </c>
    </row>
    <row r="1211" spans="1:7" x14ac:dyDescent="0.3">
      <c r="A1211" s="54">
        <v>45310</v>
      </c>
      <c r="C1211" s="5" t="s">
        <v>12487</v>
      </c>
      <c r="D1211" s="65">
        <v>5000</v>
      </c>
      <c r="E1211" s="65"/>
      <c r="F1211" s="46">
        <f t="shared" si="27"/>
        <v>833681</v>
      </c>
      <c r="G1211" s="391" t="s">
        <v>9568</v>
      </c>
    </row>
    <row r="1212" spans="1:7" x14ac:dyDescent="0.3">
      <c r="A1212" s="54">
        <v>45313</v>
      </c>
      <c r="C1212" s="5" t="s">
        <v>13185</v>
      </c>
      <c r="D1212" s="65"/>
      <c r="E1212" s="65">
        <v>13990</v>
      </c>
      <c r="F1212" s="46">
        <f t="shared" si="27"/>
        <v>847671</v>
      </c>
      <c r="G1212" s="391" t="s">
        <v>9568</v>
      </c>
    </row>
    <row r="1213" spans="1:7" x14ac:dyDescent="0.3">
      <c r="A1213" s="54">
        <v>45314</v>
      </c>
      <c r="C1213" s="5" t="s">
        <v>294</v>
      </c>
      <c r="D1213" s="65"/>
      <c r="E1213" s="65">
        <v>100000</v>
      </c>
      <c r="F1213" s="46">
        <f t="shared" si="27"/>
        <v>947671</v>
      </c>
      <c r="G1213" s="391" t="s">
        <v>9568</v>
      </c>
    </row>
    <row r="1214" spans="1:7" x14ac:dyDescent="0.3">
      <c r="A1214" s="54">
        <v>45314</v>
      </c>
      <c r="C1214" s="5" t="s">
        <v>12487</v>
      </c>
      <c r="D1214" s="65">
        <v>15000</v>
      </c>
      <c r="E1214" s="65"/>
      <c r="F1214" s="46">
        <f t="shared" si="27"/>
        <v>932671</v>
      </c>
      <c r="G1214" s="391" t="s">
        <v>9568</v>
      </c>
    </row>
    <row r="1215" spans="1:7" x14ac:dyDescent="0.3">
      <c r="A1215" s="54">
        <v>45316</v>
      </c>
      <c r="C1215" s="5" t="s">
        <v>13243</v>
      </c>
      <c r="D1215" s="65">
        <v>35000</v>
      </c>
      <c r="E1215" s="65"/>
      <c r="F1215" s="46">
        <f t="shared" si="27"/>
        <v>897671</v>
      </c>
      <c r="G1215" s="391" t="s">
        <v>9568</v>
      </c>
    </row>
    <row r="1216" spans="1:7" x14ac:dyDescent="0.3">
      <c r="A1216" s="54">
        <v>45316</v>
      </c>
      <c r="C1216" s="5" t="s">
        <v>13244</v>
      </c>
      <c r="D1216" s="65">
        <v>10000</v>
      </c>
      <c r="E1216" s="65"/>
      <c r="F1216" s="46">
        <f t="shared" si="27"/>
        <v>887671</v>
      </c>
      <c r="G1216" s="391" t="s">
        <v>9568</v>
      </c>
    </row>
    <row r="1217" spans="1:7" x14ac:dyDescent="0.3">
      <c r="A1217" s="54">
        <v>45316</v>
      </c>
      <c r="C1217" s="591" t="s">
        <v>13277</v>
      </c>
      <c r="D1217" s="593">
        <v>3000</v>
      </c>
      <c r="E1217" s="65"/>
      <c r="F1217" s="46">
        <f t="shared" si="27"/>
        <v>884671</v>
      </c>
      <c r="G1217" s="391" t="s">
        <v>9567</v>
      </c>
    </row>
    <row r="1218" spans="1:7" s="357" customFormat="1" x14ac:dyDescent="0.25">
      <c r="A1218" s="54">
        <v>45316</v>
      </c>
      <c r="B1218" s="321"/>
      <c r="C1218" s="44" t="s">
        <v>13253</v>
      </c>
      <c r="D1218" s="48">
        <v>11800</v>
      </c>
      <c r="E1218" s="48"/>
      <c r="F1218" s="46">
        <f t="shared" si="27"/>
        <v>872871</v>
      </c>
      <c r="G1218" s="400" t="s">
        <v>9568</v>
      </c>
    </row>
    <row r="1219" spans="1:7" s="357" customFormat="1" x14ac:dyDescent="0.25">
      <c r="A1219" s="54">
        <v>45320</v>
      </c>
      <c r="B1219" s="321"/>
      <c r="C1219" s="44" t="s">
        <v>13274</v>
      </c>
      <c r="D1219" s="48">
        <v>55600</v>
      </c>
      <c r="E1219" s="48"/>
      <c r="F1219" s="46">
        <f t="shared" si="27"/>
        <v>817271</v>
      </c>
      <c r="G1219" s="400" t="s">
        <v>9568</v>
      </c>
    </row>
    <row r="1220" spans="1:7" x14ac:dyDescent="0.35">
      <c r="A1220" s="648">
        <v>45320</v>
      </c>
      <c r="B1220" s="649"/>
      <c r="C1220" s="5" t="s">
        <v>294</v>
      </c>
      <c r="D1220" s="650"/>
      <c r="E1220" s="650">
        <v>100000</v>
      </c>
      <c r="F1220" s="651">
        <f t="shared" si="27"/>
        <v>917271</v>
      </c>
      <c r="G1220" s="391" t="s">
        <v>9568</v>
      </c>
    </row>
    <row r="1221" spans="1:7" x14ac:dyDescent="0.35">
      <c r="A1221" s="648">
        <v>45319</v>
      </c>
      <c r="B1221" s="649" t="s">
        <v>11595</v>
      </c>
      <c r="C1221" s="5" t="s">
        <v>12487</v>
      </c>
      <c r="D1221" s="650">
        <v>5000</v>
      </c>
      <c r="E1221" s="650"/>
      <c r="F1221" s="651">
        <f t="shared" si="27"/>
        <v>912271</v>
      </c>
      <c r="G1221" s="391" t="s">
        <v>9568</v>
      </c>
    </row>
    <row r="1222" spans="1:7" x14ac:dyDescent="0.35">
      <c r="A1222" s="648">
        <v>45320</v>
      </c>
      <c r="B1222" s="649" t="s">
        <v>11595</v>
      </c>
      <c r="C1222" s="5" t="s">
        <v>13281</v>
      </c>
      <c r="D1222" s="650">
        <v>5000</v>
      </c>
      <c r="E1222" s="650"/>
      <c r="F1222" s="651">
        <f t="shared" si="27"/>
        <v>907271</v>
      </c>
      <c r="G1222" s="391" t="s">
        <v>9568</v>
      </c>
    </row>
    <row r="1223" spans="1:7" x14ac:dyDescent="0.35">
      <c r="A1223" s="648">
        <v>45320</v>
      </c>
      <c r="B1223" s="649" t="s">
        <v>9904</v>
      </c>
      <c r="C1223" s="5" t="s">
        <v>13300</v>
      </c>
      <c r="D1223" s="650">
        <v>25000</v>
      </c>
      <c r="E1223" s="650"/>
      <c r="F1223" s="651">
        <f t="shared" si="27"/>
        <v>882271</v>
      </c>
      <c r="G1223" s="391" t="s">
        <v>9568</v>
      </c>
    </row>
    <row r="1224" spans="1:7" x14ac:dyDescent="0.35">
      <c r="A1224" s="648">
        <v>45320</v>
      </c>
      <c r="B1224" s="649" t="s">
        <v>13282</v>
      </c>
      <c r="C1224" s="5" t="s">
        <v>13301</v>
      </c>
      <c r="D1224" s="650">
        <v>10000</v>
      </c>
      <c r="E1224" s="650"/>
      <c r="F1224" s="651">
        <f t="shared" ref="F1224:F1287" si="28">F1223+E1224-D1224</f>
        <v>872271</v>
      </c>
      <c r="G1224" s="391" t="s">
        <v>9568</v>
      </c>
    </row>
    <row r="1225" spans="1:7" x14ac:dyDescent="0.35">
      <c r="A1225" s="648">
        <v>45320</v>
      </c>
      <c r="B1225" s="649" t="s">
        <v>13283</v>
      </c>
      <c r="C1225" s="5" t="s">
        <v>13284</v>
      </c>
      <c r="D1225" s="650">
        <v>62400</v>
      </c>
      <c r="E1225" s="650"/>
      <c r="F1225" s="651">
        <f t="shared" si="28"/>
        <v>809871</v>
      </c>
      <c r="G1225" s="391" t="s">
        <v>9568</v>
      </c>
    </row>
    <row r="1226" spans="1:7" x14ac:dyDescent="0.35">
      <c r="A1226" s="648">
        <v>45321</v>
      </c>
      <c r="B1226" s="649"/>
      <c r="C1226" s="5" t="s">
        <v>294</v>
      </c>
      <c r="D1226" s="650"/>
      <c r="E1226" s="650">
        <v>100000</v>
      </c>
      <c r="F1226" s="651">
        <f t="shared" si="28"/>
        <v>909871</v>
      </c>
      <c r="G1226" s="391" t="s">
        <v>9568</v>
      </c>
    </row>
    <row r="1227" spans="1:7" x14ac:dyDescent="0.35">
      <c r="A1227" s="648">
        <v>45321</v>
      </c>
      <c r="B1227" s="649" t="s">
        <v>13290</v>
      </c>
      <c r="C1227" s="5" t="s">
        <v>13289</v>
      </c>
      <c r="D1227" s="650">
        <v>27400</v>
      </c>
      <c r="E1227" s="650"/>
      <c r="F1227" s="651">
        <f t="shared" si="28"/>
        <v>882471</v>
      </c>
      <c r="G1227" s="391" t="s">
        <v>9568</v>
      </c>
    </row>
    <row r="1228" spans="1:7" x14ac:dyDescent="0.35">
      <c r="A1228" s="648">
        <v>45322</v>
      </c>
      <c r="B1228" s="649" t="s">
        <v>13294</v>
      </c>
      <c r="C1228" s="5" t="s">
        <v>4601</v>
      </c>
      <c r="D1228" s="650"/>
      <c r="E1228" s="650">
        <v>610</v>
      </c>
      <c r="F1228" s="651">
        <f t="shared" si="28"/>
        <v>883081</v>
      </c>
      <c r="G1228" s="391" t="s">
        <v>9568</v>
      </c>
    </row>
    <row r="1229" spans="1:7" x14ac:dyDescent="0.35">
      <c r="A1229" s="648">
        <v>45322</v>
      </c>
      <c r="B1229" s="649" t="s">
        <v>445</v>
      </c>
      <c r="C1229" s="591" t="s">
        <v>13298</v>
      </c>
      <c r="D1229" s="652">
        <v>5000</v>
      </c>
      <c r="E1229" s="650"/>
      <c r="F1229" s="651">
        <f t="shared" si="28"/>
        <v>878081</v>
      </c>
      <c r="G1229" s="391" t="s">
        <v>9568</v>
      </c>
    </row>
    <row r="1230" spans="1:7" x14ac:dyDescent="0.35">
      <c r="A1230" s="648">
        <v>45322</v>
      </c>
      <c r="B1230" s="649" t="s">
        <v>402</v>
      </c>
      <c r="C1230" s="591" t="s">
        <v>13297</v>
      </c>
      <c r="D1230" s="652">
        <v>5000</v>
      </c>
      <c r="E1230" s="650"/>
      <c r="F1230" s="651">
        <f t="shared" si="28"/>
        <v>873081</v>
      </c>
      <c r="G1230" s="391" t="s">
        <v>9568</v>
      </c>
    </row>
    <row r="1231" spans="1:7" x14ac:dyDescent="0.35">
      <c r="A1231" s="648">
        <v>45322</v>
      </c>
      <c r="B1231" s="649" t="s">
        <v>13295</v>
      </c>
      <c r="C1231" s="591" t="s">
        <v>13296</v>
      </c>
      <c r="D1231" s="652">
        <v>5000</v>
      </c>
      <c r="E1231" s="650"/>
      <c r="F1231" s="651">
        <f t="shared" si="28"/>
        <v>868081</v>
      </c>
      <c r="G1231" s="391" t="s">
        <v>9568</v>
      </c>
    </row>
    <row r="1232" spans="1:7" s="357" customFormat="1" x14ac:dyDescent="0.3">
      <c r="A1232" s="648">
        <v>45328</v>
      </c>
      <c r="B1232" s="321"/>
      <c r="C1232" s="44" t="s">
        <v>294</v>
      </c>
      <c r="D1232" s="48"/>
      <c r="E1232" s="48">
        <v>10000</v>
      </c>
      <c r="F1232" s="651">
        <f t="shared" si="28"/>
        <v>878081</v>
      </c>
      <c r="G1232" s="391" t="s">
        <v>9568</v>
      </c>
    </row>
    <row r="1233" spans="1:7" s="357" customFormat="1" x14ac:dyDescent="0.3">
      <c r="A1233" s="648">
        <v>45328</v>
      </c>
      <c r="B1233" s="321" t="s">
        <v>9904</v>
      </c>
      <c r="C1233" s="5" t="s">
        <v>13327</v>
      </c>
      <c r="D1233" s="48">
        <v>30000</v>
      </c>
      <c r="E1233" s="48"/>
      <c r="F1233" s="651">
        <f t="shared" si="28"/>
        <v>848081</v>
      </c>
      <c r="G1233" s="391" t="s">
        <v>9568</v>
      </c>
    </row>
    <row r="1234" spans="1:7" s="357" customFormat="1" x14ac:dyDescent="0.3">
      <c r="A1234" s="648">
        <v>45328</v>
      </c>
      <c r="B1234" s="321" t="s">
        <v>13329</v>
      </c>
      <c r="C1234" s="591" t="s">
        <v>13328</v>
      </c>
      <c r="D1234" s="48">
        <v>5000</v>
      </c>
      <c r="E1234" s="48"/>
      <c r="F1234" s="651">
        <f t="shared" si="28"/>
        <v>843081</v>
      </c>
      <c r="G1234" s="400" t="s">
        <v>9568</v>
      </c>
    </row>
    <row r="1235" spans="1:7" s="357" customFormat="1" x14ac:dyDescent="0.3">
      <c r="A1235" s="54">
        <v>45329</v>
      </c>
      <c r="B1235" s="321"/>
      <c r="C1235" s="44" t="s">
        <v>13338</v>
      </c>
      <c r="D1235" s="48">
        <v>50000</v>
      </c>
      <c r="E1235" s="48"/>
      <c r="F1235" s="651">
        <f t="shared" si="28"/>
        <v>793081</v>
      </c>
      <c r="G1235" s="400" t="s">
        <v>9568</v>
      </c>
    </row>
    <row r="1236" spans="1:7" s="357" customFormat="1" x14ac:dyDescent="0.3">
      <c r="A1236" s="54">
        <v>45329</v>
      </c>
      <c r="B1236" s="321"/>
      <c r="C1236" s="44" t="s">
        <v>13339</v>
      </c>
      <c r="D1236" s="48">
        <v>5000</v>
      </c>
      <c r="E1236" s="48"/>
      <c r="F1236" s="651">
        <f t="shared" si="28"/>
        <v>788081</v>
      </c>
      <c r="G1236" s="400" t="s">
        <v>9568</v>
      </c>
    </row>
    <row r="1237" spans="1:7" s="357" customFormat="1" x14ac:dyDescent="0.3">
      <c r="A1237" s="54">
        <v>45331</v>
      </c>
      <c r="B1237" s="321"/>
      <c r="C1237" s="44" t="s">
        <v>294</v>
      </c>
      <c r="D1237" s="48"/>
      <c r="E1237" s="48">
        <v>102000</v>
      </c>
      <c r="F1237" s="651">
        <f t="shared" si="28"/>
        <v>890081</v>
      </c>
      <c r="G1237" s="400" t="s">
        <v>9568</v>
      </c>
    </row>
    <row r="1238" spans="1:7" s="357" customFormat="1" x14ac:dyDescent="0.3">
      <c r="A1238" s="54">
        <v>45331</v>
      </c>
      <c r="B1238" s="321"/>
      <c r="C1238" s="44" t="s">
        <v>6235</v>
      </c>
      <c r="D1238" s="48"/>
      <c r="E1238" s="48">
        <v>9031</v>
      </c>
      <c r="F1238" s="651">
        <f t="shared" si="28"/>
        <v>899112</v>
      </c>
      <c r="G1238" s="400" t="s">
        <v>9568</v>
      </c>
    </row>
    <row r="1239" spans="1:7" s="357" customFormat="1" x14ac:dyDescent="0.3">
      <c r="A1239" s="54">
        <v>45331</v>
      </c>
      <c r="B1239" s="321"/>
      <c r="C1239" s="44" t="s">
        <v>13348</v>
      </c>
      <c r="D1239" s="48">
        <v>70000</v>
      </c>
      <c r="E1239" s="48"/>
      <c r="F1239" s="651">
        <f t="shared" si="28"/>
        <v>829112</v>
      </c>
      <c r="G1239" s="400" t="s">
        <v>9568</v>
      </c>
    </row>
    <row r="1240" spans="1:7" s="357" customFormat="1" x14ac:dyDescent="0.3">
      <c r="A1240" s="54">
        <v>45332</v>
      </c>
      <c r="B1240" s="321" t="s">
        <v>13377</v>
      </c>
      <c r="C1240" s="44" t="s">
        <v>13376</v>
      </c>
      <c r="D1240" s="48">
        <v>2000</v>
      </c>
      <c r="E1240" s="48"/>
      <c r="F1240" s="651">
        <f t="shared" si="28"/>
        <v>827112</v>
      </c>
      <c r="G1240" s="400" t="s">
        <v>9568</v>
      </c>
    </row>
    <row r="1241" spans="1:7" s="357" customFormat="1" x14ac:dyDescent="0.3">
      <c r="A1241" s="54">
        <v>45339</v>
      </c>
      <c r="B1241" s="321"/>
      <c r="C1241" s="44" t="s">
        <v>10513</v>
      </c>
      <c r="D1241" s="48"/>
      <c r="E1241" s="48">
        <v>100000</v>
      </c>
      <c r="F1241" s="651">
        <f t="shared" si="28"/>
        <v>927112</v>
      </c>
      <c r="G1241" s="400" t="s">
        <v>9568</v>
      </c>
    </row>
    <row r="1242" spans="1:7" s="357" customFormat="1" x14ac:dyDescent="0.3">
      <c r="A1242" s="54">
        <v>45339</v>
      </c>
      <c r="B1242" s="321" t="s">
        <v>9904</v>
      </c>
      <c r="C1242" s="5" t="s">
        <v>13327</v>
      </c>
      <c r="D1242" s="48">
        <v>40000</v>
      </c>
      <c r="E1242" s="48"/>
      <c r="F1242" s="651">
        <f t="shared" si="28"/>
        <v>887112</v>
      </c>
      <c r="G1242" s="400" t="s">
        <v>9568</v>
      </c>
    </row>
    <row r="1243" spans="1:7" s="357" customFormat="1" x14ac:dyDescent="0.3">
      <c r="A1243" s="54">
        <v>45342</v>
      </c>
      <c r="B1243" s="321" t="s">
        <v>13435</v>
      </c>
      <c r="C1243" s="591" t="s">
        <v>13434</v>
      </c>
      <c r="D1243" s="48">
        <v>5000</v>
      </c>
      <c r="E1243" s="48"/>
      <c r="F1243" s="651">
        <f t="shared" si="28"/>
        <v>882112</v>
      </c>
      <c r="G1243" s="400" t="s">
        <v>9568</v>
      </c>
    </row>
    <row r="1244" spans="1:7" s="357" customFormat="1" x14ac:dyDescent="0.3">
      <c r="A1244" s="54">
        <v>45342</v>
      </c>
      <c r="B1244" s="321" t="s">
        <v>11595</v>
      </c>
      <c r="C1244" s="44" t="s">
        <v>3910</v>
      </c>
      <c r="D1244" s="48">
        <v>1000</v>
      </c>
      <c r="E1244" s="48"/>
      <c r="F1244" s="651">
        <f t="shared" si="28"/>
        <v>881112</v>
      </c>
      <c r="G1244" s="400" t="s">
        <v>9568</v>
      </c>
    </row>
    <row r="1245" spans="1:7" x14ac:dyDescent="0.3">
      <c r="A1245" s="54">
        <v>45344</v>
      </c>
      <c r="B1245" s="321" t="s">
        <v>445</v>
      </c>
      <c r="C1245" s="44" t="s">
        <v>13440</v>
      </c>
      <c r="D1245" s="48">
        <v>40000</v>
      </c>
      <c r="E1245" s="48"/>
      <c r="F1245" s="651">
        <f t="shared" si="28"/>
        <v>841112</v>
      </c>
      <c r="G1245" s="400" t="s">
        <v>9568</v>
      </c>
    </row>
    <row r="1246" spans="1:7" x14ac:dyDescent="0.3">
      <c r="A1246" s="54">
        <v>45348</v>
      </c>
      <c r="C1246" s="44" t="s">
        <v>294</v>
      </c>
      <c r="D1246" s="48"/>
      <c r="E1246" s="48">
        <v>5000</v>
      </c>
      <c r="F1246" s="651">
        <f t="shared" si="28"/>
        <v>846112</v>
      </c>
      <c r="G1246" s="400" t="s">
        <v>9568</v>
      </c>
    </row>
    <row r="1247" spans="1:7" x14ac:dyDescent="0.3">
      <c r="A1247" s="54">
        <v>45350</v>
      </c>
      <c r="C1247" s="5" t="s">
        <v>12646</v>
      </c>
      <c r="D1247" s="65">
        <v>6000</v>
      </c>
      <c r="E1247" s="65"/>
      <c r="F1247" s="651">
        <f t="shared" si="28"/>
        <v>840112</v>
      </c>
      <c r="G1247" s="400" t="s">
        <v>9568</v>
      </c>
    </row>
    <row r="1248" spans="1:7" x14ac:dyDescent="0.3">
      <c r="A1248" s="54">
        <v>45350</v>
      </c>
      <c r="C1248" s="5" t="s">
        <v>5034</v>
      </c>
      <c r="D1248" s="65">
        <v>5000</v>
      </c>
      <c r="E1248" s="65"/>
      <c r="F1248" s="651">
        <f t="shared" si="28"/>
        <v>835112</v>
      </c>
      <c r="G1248" s="400" t="s">
        <v>9568</v>
      </c>
    </row>
    <row r="1249" spans="1:7" x14ac:dyDescent="0.3">
      <c r="A1249" s="54">
        <v>45350</v>
      </c>
      <c r="C1249" s="5" t="s">
        <v>13465</v>
      </c>
      <c r="D1249" s="65">
        <v>5000</v>
      </c>
      <c r="E1249" s="65"/>
      <c r="F1249" s="651">
        <f t="shared" si="28"/>
        <v>830112</v>
      </c>
      <c r="G1249" s="400" t="s">
        <v>9568</v>
      </c>
    </row>
    <row r="1250" spans="1:7" x14ac:dyDescent="0.3">
      <c r="A1250" s="54">
        <v>45350</v>
      </c>
      <c r="C1250" s="5" t="s">
        <v>4446</v>
      </c>
      <c r="D1250" s="65">
        <v>5500</v>
      </c>
      <c r="E1250" s="65"/>
      <c r="F1250" s="46">
        <f t="shared" si="28"/>
        <v>824612</v>
      </c>
      <c r="G1250" s="400" t="s">
        <v>9568</v>
      </c>
    </row>
    <row r="1251" spans="1:7" x14ac:dyDescent="0.3">
      <c r="A1251" s="54">
        <v>45350</v>
      </c>
      <c r="C1251" s="5" t="s">
        <v>12644</v>
      </c>
      <c r="D1251" s="65">
        <v>12000</v>
      </c>
      <c r="E1251" s="65"/>
      <c r="F1251" s="46">
        <f t="shared" si="28"/>
        <v>812612</v>
      </c>
      <c r="G1251" s="400" t="s">
        <v>9568</v>
      </c>
    </row>
    <row r="1252" spans="1:7" x14ac:dyDescent="0.3">
      <c r="A1252" s="54">
        <v>45350</v>
      </c>
      <c r="C1252" s="5" t="s">
        <v>8153</v>
      </c>
      <c r="D1252" s="65">
        <v>3150</v>
      </c>
      <c r="E1252" s="65"/>
      <c r="F1252" s="46">
        <f t="shared" si="28"/>
        <v>809462</v>
      </c>
      <c r="G1252" s="400" t="s">
        <v>9568</v>
      </c>
    </row>
    <row r="1253" spans="1:7" x14ac:dyDescent="0.3">
      <c r="A1253" s="54">
        <v>45350</v>
      </c>
      <c r="C1253" s="5" t="s">
        <v>13466</v>
      </c>
      <c r="D1253" s="65">
        <v>13000</v>
      </c>
      <c r="E1253" s="65"/>
      <c r="F1253" s="46">
        <f t="shared" si="28"/>
        <v>796462</v>
      </c>
      <c r="G1253" s="400" t="s">
        <v>9568</v>
      </c>
    </row>
    <row r="1254" spans="1:7" x14ac:dyDescent="0.25">
      <c r="A1254" s="54">
        <v>45353</v>
      </c>
      <c r="C1254" s="44" t="s">
        <v>294</v>
      </c>
      <c r="D1254" s="48"/>
      <c r="E1254" s="48">
        <v>10000</v>
      </c>
      <c r="F1254" s="46">
        <f t="shared" si="28"/>
        <v>806462</v>
      </c>
      <c r="G1254" s="400" t="s">
        <v>9568</v>
      </c>
    </row>
    <row r="1255" spans="1:7" x14ac:dyDescent="0.3">
      <c r="A1255" s="54">
        <v>45353</v>
      </c>
      <c r="C1255" s="5" t="s">
        <v>13485</v>
      </c>
      <c r="D1255" s="65">
        <v>5000</v>
      </c>
      <c r="E1255" s="65"/>
      <c r="F1255" s="46">
        <f t="shared" si="28"/>
        <v>801462</v>
      </c>
      <c r="G1255" s="400" t="s">
        <v>9568</v>
      </c>
    </row>
    <row r="1256" spans="1:7" x14ac:dyDescent="0.3">
      <c r="A1256" s="54">
        <v>45355</v>
      </c>
      <c r="C1256" s="5" t="s">
        <v>4601</v>
      </c>
      <c r="D1256" s="65"/>
      <c r="E1256" s="65">
        <v>675</v>
      </c>
      <c r="F1256" s="46">
        <f t="shared" si="28"/>
        <v>802137</v>
      </c>
      <c r="G1256" s="400" t="s">
        <v>9568</v>
      </c>
    </row>
    <row r="1257" spans="1:7" x14ac:dyDescent="0.25">
      <c r="A1257" s="54">
        <v>45355</v>
      </c>
      <c r="C1257" s="44" t="s">
        <v>294</v>
      </c>
      <c r="D1257" s="48"/>
      <c r="E1257" s="48">
        <v>5000</v>
      </c>
      <c r="F1257" s="46">
        <f t="shared" si="28"/>
        <v>807137</v>
      </c>
      <c r="G1257" s="400" t="s">
        <v>9568</v>
      </c>
    </row>
    <row r="1258" spans="1:7" x14ac:dyDescent="0.3">
      <c r="A1258" s="54">
        <v>45358</v>
      </c>
      <c r="C1258" s="5" t="s">
        <v>6235</v>
      </c>
      <c r="D1258" s="65"/>
      <c r="E1258" s="65">
        <v>675</v>
      </c>
      <c r="F1258" s="46">
        <f t="shared" si="28"/>
        <v>807812</v>
      </c>
      <c r="G1258" s="400" t="s">
        <v>9568</v>
      </c>
    </row>
    <row r="1259" spans="1:7" x14ac:dyDescent="0.3">
      <c r="A1259" s="54">
        <v>45360</v>
      </c>
      <c r="B1259" s="321" t="s">
        <v>402</v>
      </c>
      <c r="C1259" s="5" t="s">
        <v>13522</v>
      </c>
      <c r="D1259" s="65">
        <v>1500</v>
      </c>
      <c r="E1259" s="65"/>
      <c r="F1259" s="46">
        <f t="shared" si="28"/>
        <v>806312</v>
      </c>
      <c r="G1259" s="400" t="s">
        <v>9568</v>
      </c>
    </row>
    <row r="1260" spans="1:7" x14ac:dyDescent="0.3">
      <c r="A1260" s="54">
        <v>45361</v>
      </c>
      <c r="B1260" s="321" t="s">
        <v>13282</v>
      </c>
      <c r="C1260" s="5" t="s">
        <v>13301</v>
      </c>
      <c r="D1260" s="65">
        <v>10000</v>
      </c>
      <c r="E1260" s="65"/>
      <c r="F1260" s="46">
        <f t="shared" si="28"/>
        <v>796312</v>
      </c>
      <c r="G1260" s="400" t="s">
        <v>9568</v>
      </c>
    </row>
    <row r="1261" spans="1:7" x14ac:dyDescent="0.3">
      <c r="A1261" s="54">
        <v>45361</v>
      </c>
      <c r="C1261" s="44" t="s">
        <v>12961</v>
      </c>
      <c r="D1261" s="48"/>
      <c r="E1261" s="48">
        <v>200000</v>
      </c>
      <c r="F1261" s="46">
        <f t="shared" si="28"/>
        <v>996312</v>
      </c>
      <c r="G1261" s="391" t="s">
        <v>9568</v>
      </c>
    </row>
    <row r="1262" spans="1:7" x14ac:dyDescent="0.3">
      <c r="A1262" s="54">
        <v>45361</v>
      </c>
      <c r="C1262" s="44" t="s">
        <v>13538</v>
      </c>
      <c r="D1262" s="48">
        <v>50000</v>
      </c>
      <c r="E1262" s="65"/>
      <c r="F1262" s="46">
        <f t="shared" si="28"/>
        <v>946312</v>
      </c>
      <c r="G1262" s="391" t="s">
        <v>9568</v>
      </c>
    </row>
    <row r="1263" spans="1:7" x14ac:dyDescent="0.3">
      <c r="A1263" s="54">
        <v>45361</v>
      </c>
      <c r="C1263" s="44" t="s">
        <v>13539</v>
      </c>
      <c r="D1263" s="48">
        <v>5000</v>
      </c>
      <c r="E1263" s="65"/>
      <c r="F1263" s="46">
        <f t="shared" si="28"/>
        <v>941312</v>
      </c>
      <c r="G1263" s="391" t="s">
        <v>9568</v>
      </c>
    </row>
    <row r="1264" spans="1:7" x14ac:dyDescent="0.3">
      <c r="A1264" s="54">
        <v>45361</v>
      </c>
      <c r="C1264" s="5" t="s">
        <v>13540</v>
      </c>
      <c r="D1264" s="65">
        <v>76200</v>
      </c>
      <c r="E1264" s="65"/>
      <c r="F1264" s="46">
        <f t="shared" si="28"/>
        <v>865112</v>
      </c>
      <c r="G1264" s="391" t="s">
        <v>9568</v>
      </c>
    </row>
    <row r="1265" spans="1:7" x14ac:dyDescent="0.3">
      <c r="A1265" s="54">
        <v>45361</v>
      </c>
      <c r="B1265" s="321" t="s">
        <v>445</v>
      </c>
      <c r="C1265" s="5" t="s">
        <v>7784</v>
      </c>
      <c r="D1265" s="65">
        <v>113800</v>
      </c>
      <c r="E1265" s="65"/>
      <c r="F1265" s="46">
        <f t="shared" si="28"/>
        <v>751312</v>
      </c>
      <c r="G1265" s="391" t="s">
        <v>9568</v>
      </c>
    </row>
    <row r="1266" spans="1:7" x14ac:dyDescent="0.3">
      <c r="A1266" s="54">
        <v>45369</v>
      </c>
      <c r="C1266" s="5" t="s">
        <v>13572</v>
      </c>
      <c r="D1266" s="65">
        <v>5000</v>
      </c>
      <c r="E1266" s="65"/>
      <c r="F1266" s="46">
        <f t="shared" si="28"/>
        <v>746312</v>
      </c>
      <c r="G1266" s="391" t="s">
        <v>9568</v>
      </c>
    </row>
    <row r="1267" spans="1:7" x14ac:dyDescent="0.3">
      <c r="A1267" s="54">
        <v>45369</v>
      </c>
      <c r="C1267" s="5" t="s">
        <v>13466</v>
      </c>
      <c r="D1267" s="65">
        <v>6340</v>
      </c>
      <c r="E1267" s="65"/>
      <c r="F1267" s="46">
        <f t="shared" si="28"/>
        <v>739972</v>
      </c>
      <c r="G1267" s="391" t="s">
        <v>9568</v>
      </c>
    </row>
    <row r="1268" spans="1:7" x14ac:dyDescent="0.3">
      <c r="A1268" s="54">
        <v>45369</v>
      </c>
      <c r="C1268" s="5" t="s">
        <v>4446</v>
      </c>
      <c r="D1268" s="65">
        <v>2100</v>
      </c>
      <c r="E1268" s="65"/>
      <c r="F1268" s="46">
        <f t="shared" si="28"/>
        <v>737872</v>
      </c>
      <c r="G1268" s="391" t="s">
        <v>9568</v>
      </c>
    </row>
    <row r="1269" spans="1:7" x14ac:dyDescent="0.3">
      <c r="A1269" s="54">
        <v>45369</v>
      </c>
      <c r="C1269" s="5" t="s">
        <v>13573</v>
      </c>
      <c r="D1269" s="65">
        <v>3000</v>
      </c>
      <c r="E1269" s="65"/>
      <c r="F1269" s="46">
        <f t="shared" si="28"/>
        <v>734872</v>
      </c>
      <c r="G1269" s="391" t="s">
        <v>9568</v>
      </c>
    </row>
    <row r="1270" spans="1:7" x14ac:dyDescent="0.3">
      <c r="A1270" s="54">
        <v>45370</v>
      </c>
      <c r="C1270" s="5" t="s">
        <v>582</v>
      </c>
      <c r="D1270" s="65"/>
      <c r="E1270" s="65">
        <v>10000</v>
      </c>
      <c r="F1270" s="46">
        <f t="shared" si="28"/>
        <v>744872</v>
      </c>
      <c r="G1270" s="391" t="s">
        <v>9568</v>
      </c>
    </row>
    <row r="1271" spans="1:7" x14ac:dyDescent="0.3">
      <c r="A1271" s="54">
        <v>45377</v>
      </c>
      <c r="C1271" s="5" t="s">
        <v>13596</v>
      </c>
      <c r="D1271" s="65"/>
      <c r="E1271" s="65">
        <v>500000</v>
      </c>
      <c r="F1271" s="46">
        <f t="shared" si="28"/>
        <v>1244872</v>
      </c>
      <c r="G1271" s="391" t="s">
        <v>9568</v>
      </c>
    </row>
    <row r="1272" spans="1:7" x14ac:dyDescent="0.3">
      <c r="A1272" s="54">
        <v>45377</v>
      </c>
      <c r="B1272" s="321" t="s">
        <v>8899</v>
      </c>
      <c r="C1272" s="5" t="s">
        <v>13598</v>
      </c>
      <c r="D1272" s="65">
        <v>5000</v>
      </c>
      <c r="E1272" s="65"/>
      <c r="F1272" s="46">
        <f t="shared" si="28"/>
        <v>1239872</v>
      </c>
      <c r="G1272" s="391" t="s">
        <v>9567</v>
      </c>
    </row>
    <row r="1273" spans="1:7" x14ac:dyDescent="0.3">
      <c r="A1273" s="54">
        <v>45377</v>
      </c>
      <c r="B1273" s="321" t="s">
        <v>9904</v>
      </c>
      <c r="C1273" s="5" t="s">
        <v>13599</v>
      </c>
      <c r="D1273" s="65">
        <v>2000</v>
      </c>
      <c r="E1273" s="65"/>
      <c r="F1273" s="46">
        <f t="shared" si="28"/>
        <v>1237872</v>
      </c>
      <c r="G1273" s="391" t="s">
        <v>9567</v>
      </c>
    </row>
    <row r="1274" spans="1:7" x14ac:dyDescent="0.3">
      <c r="A1274" s="54">
        <v>45377</v>
      </c>
      <c r="C1274" s="5" t="s">
        <v>11053</v>
      </c>
      <c r="D1274" s="65">
        <v>200000</v>
      </c>
      <c r="E1274" s="65"/>
      <c r="F1274" s="46">
        <f t="shared" si="28"/>
        <v>1037872</v>
      </c>
      <c r="G1274" s="391" t="s">
        <v>9568</v>
      </c>
    </row>
    <row r="1275" spans="1:7" x14ac:dyDescent="0.3">
      <c r="A1275" s="54">
        <v>45377</v>
      </c>
      <c r="C1275" s="5" t="s">
        <v>13614</v>
      </c>
      <c r="D1275" s="65">
        <v>110000</v>
      </c>
      <c r="E1275" s="65"/>
      <c r="F1275" s="46">
        <f t="shared" si="28"/>
        <v>927872</v>
      </c>
      <c r="G1275" s="391" t="s">
        <v>9568</v>
      </c>
    </row>
    <row r="1276" spans="1:7" x14ac:dyDescent="0.3">
      <c r="A1276" s="54">
        <v>45377</v>
      </c>
      <c r="B1276" s="321" t="s">
        <v>11595</v>
      </c>
      <c r="C1276" s="5" t="s">
        <v>13600</v>
      </c>
      <c r="D1276" s="65">
        <v>2000</v>
      </c>
      <c r="E1276" s="65"/>
      <c r="F1276" s="46">
        <f t="shared" si="28"/>
        <v>925872</v>
      </c>
      <c r="G1276" s="391" t="s">
        <v>9568</v>
      </c>
    </row>
    <row r="1277" spans="1:7" x14ac:dyDescent="0.3">
      <c r="A1277" s="54">
        <v>45377</v>
      </c>
      <c r="B1277" s="321" t="s">
        <v>567</v>
      </c>
      <c r="C1277" s="5" t="s">
        <v>13601</v>
      </c>
      <c r="D1277" s="65">
        <v>2000</v>
      </c>
      <c r="E1277" s="65"/>
      <c r="F1277" s="46">
        <f t="shared" si="28"/>
        <v>923872</v>
      </c>
      <c r="G1277" s="391" t="s">
        <v>9568</v>
      </c>
    </row>
    <row r="1278" spans="1:7" x14ac:dyDescent="0.3">
      <c r="A1278" s="54">
        <v>45377</v>
      </c>
      <c r="B1278" s="321" t="s">
        <v>9904</v>
      </c>
      <c r="C1278" s="5" t="s">
        <v>13609</v>
      </c>
      <c r="D1278" s="65">
        <v>10000</v>
      </c>
      <c r="E1278" s="65"/>
      <c r="F1278" s="46">
        <f t="shared" si="28"/>
        <v>913872</v>
      </c>
      <c r="G1278" s="391" t="s">
        <v>9568</v>
      </c>
    </row>
    <row r="1279" spans="1:7" x14ac:dyDescent="0.3">
      <c r="A1279" s="54">
        <v>45377</v>
      </c>
      <c r="B1279" s="321" t="s">
        <v>13602</v>
      </c>
      <c r="C1279" s="5" t="s">
        <v>6</v>
      </c>
      <c r="D1279" s="65">
        <v>15000</v>
      </c>
      <c r="E1279" s="65"/>
      <c r="F1279" s="46">
        <f t="shared" si="28"/>
        <v>898872</v>
      </c>
      <c r="G1279" s="391" t="s">
        <v>9568</v>
      </c>
    </row>
    <row r="1280" spans="1:7" x14ac:dyDescent="0.3">
      <c r="A1280" s="54">
        <v>45377</v>
      </c>
      <c r="B1280" s="321" t="s">
        <v>25</v>
      </c>
      <c r="C1280" s="5" t="s">
        <v>13603</v>
      </c>
      <c r="D1280" s="65">
        <v>5000</v>
      </c>
      <c r="E1280" s="65"/>
      <c r="F1280" s="46">
        <f t="shared" si="28"/>
        <v>893872</v>
      </c>
      <c r="G1280" s="391" t="s">
        <v>9568</v>
      </c>
    </row>
    <row r="1281" spans="1:9" x14ac:dyDescent="0.3">
      <c r="A1281" s="54">
        <v>45377</v>
      </c>
      <c r="B1281" s="321" t="s">
        <v>1086</v>
      </c>
      <c r="C1281" s="5" t="s">
        <v>13615</v>
      </c>
      <c r="D1281" s="65">
        <v>100000</v>
      </c>
      <c r="E1281" s="65"/>
      <c r="F1281" s="46">
        <f t="shared" si="28"/>
        <v>793872</v>
      </c>
      <c r="G1281" s="391" t="s">
        <v>9568</v>
      </c>
    </row>
    <row r="1282" spans="1:9" x14ac:dyDescent="0.3">
      <c r="A1282" s="54">
        <v>45377</v>
      </c>
      <c r="B1282" s="321" t="s">
        <v>445</v>
      </c>
      <c r="C1282" s="5" t="s">
        <v>11972</v>
      </c>
      <c r="D1282" s="65">
        <v>25000</v>
      </c>
      <c r="E1282" s="65"/>
      <c r="F1282" s="46">
        <f t="shared" si="28"/>
        <v>768872</v>
      </c>
      <c r="G1282" s="391" t="s">
        <v>9568</v>
      </c>
    </row>
    <row r="1283" spans="1:9" x14ac:dyDescent="0.3">
      <c r="A1283" s="54">
        <v>45381</v>
      </c>
      <c r="C1283" s="5" t="s">
        <v>13604</v>
      </c>
      <c r="D1283" s="65">
        <v>25000</v>
      </c>
      <c r="E1283" s="65"/>
      <c r="F1283" s="46">
        <f t="shared" si="28"/>
        <v>743872</v>
      </c>
      <c r="G1283" s="391" t="s">
        <v>9568</v>
      </c>
      <c r="I1283" s="277" t="e">
        <f>D1281+D1280+#REF!+D1278+D1276+#REF!+D1273+D1272</f>
        <v>#REF!</v>
      </c>
    </row>
    <row r="1284" spans="1:9" x14ac:dyDescent="0.3">
      <c r="A1284" s="54">
        <v>45384</v>
      </c>
      <c r="C1284" s="5" t="s">
        <v>9903</v>
      </c>
      <c r="D1284" s="65">
        <v>13250</v>
      </c>
      <c r="E1284" s="65"/>
      <c r="F1284" s="46">
        <f t="shared" si="28"/>
        <v>730622</v>
      </c>
      <c r="G1284" s="391" t="s">
        <v>9568</v>
      </c>
    </row>
    <row r="1285" spans="1:9" x14ac:dyDescent="0.3">
      <c r="A1285" s="54">
        <v>45384</v>
      </c>
      <c r="C1285" s="5" t="s">
        <v>294</v>
      </c>
      <c r="D1285" s="65"/>
      <c r="E1285" s="65">
        <v>25000</v>
      </c>
      <c r="F1285" s="46">
        <f t="shared" si="28"/>
        <v>755622</v>
      </c>
      <c r="G1285" s="391" t="s">
        <v>9568</v>
      </c>
    </row>
    <row r="1286" spans="1:9" x14ac:dyDescent="0.3">
      <c r="A1286" s="54">
        <v>45384</v>
      </c>
      <c r="C1286" s="5" t="s">
        <v>4601</v>
      </c>
      <c r="D1286" s="65"/>
      <c r="E1286" s="65">
        <v>900</v>
      </c>
      <c r="F1286" s="46">
        <f t="shared" si="28"/>
        <v>756522</v>
      </c>
      <c r="G1286" s="391" t="s">
        <v>9568</v>
      </c>
    </row>
    <row r="1287" spans="1:9" x14ac:dyDescent="0.3">
      <c r="A1287" s="54">
        <v>45384</v>
      </c>
      <c r="C1287" s="44" t="s">
        <v>13628</v>
      </c>
      <c r="D1287" s="48">
        <v>50000</v>
      </c>
      <c r="E1287" s="65"/>
      <c r="F1287" s="46">
        <f t="shared" si="28"/>
        <v>706522</v>
      </c>
      <c r="G1287" s="391" t="s">
        <v>9568</v>
      </c>
    </row>
    <row r="1288" spans="1:9" x14ac:dyDescent="0.3">
      <c r="A1288" s="54">
        <v>45384</v>
      </c>
      <c r="C1288" s="44" t="s">
        <v>13627</v>
      </c>
      <c r="D1288" s="48">
        <v>5000</v>
      </c>
      <c r="E1288" s="65"/>
      <c r="F1288" s="46">
        <f t="shared" ref="F1288:F1352" si="29">F1287+E1288-D1288</f>
        <v>701522</v>
      </c>
      <c r="G1288" s="391" t="s">
        <v>9568</v>
      </c>
    </row>
    <row r="1289" spans="1:9" x14ac:dyDescent="0.3">
      <c r="A1289" s="54">
        <v>45387</v>
      </c>
      <c r="C1289" s="5" t="s">
        <v>6235</v>
      </c>
      <c r="D1289" s="65"/>
      <c r="E1289" s="43">
        <v>16900</v>
      </c>
      <c r="F1289" s="46">
        <f t="shared" si="29"/>
        <v>718422</v>
      </c>
      <c r="G1289" s="391" t="s">
        <v>9568</v>
      </c>
    </row>
    <row r="1290" spans="1:9" x14ac:dyDescent="0.3">
      <c r="A1290" s="54">
        <v>45387</v>
      </c>
      <c r="C1290" s="5" t="s">
        <v>13662</v>
      </c>
      <c r="D1290" s="65"/>
      <c r="E1290" s="65">
        <v>10000</v>
      </c>
      <c r="F1290" s="46">
        <f t="shared" si="29"/>
        <v>728422</v>
      </c>
      <c r="G1290" s="391" t="s">
        <v>9568</v>
      </c>
    </row>
    <row r="1291" spans="1:9" x14ac:dyDescent="0.3">
      <c r="A1291" s="54">
        <v>45387</v>
      </c>
      <c r="C1291" s="5" t="s">
        <v>13663</v>
      </c>
      <c r="D1291" s="65"/>
      <c r="E1291" s="65">
        <v>50000</v>
      </c>
      <c r="F1291" s="46">
        <f t="shared" si="29"/>
        <v>778422</v>
      </c>
      <c r="G1291" s="391" t="s">
        <v>9568</v>
      </c>
    </row>
    <row r="1292" spans="1:9" x14ac:dyDescent="0.3">
      <c r="A1292" s="54">
        <v>45387</v>
      </c>
      <c r="C1292" s="5" t="s">
        <v>13687</v>
      </c>
      <c r="D1292" s="65"/>
      <c r="E1292" s="65">
        <v>253000</v>
      </c>
      <c r="F1292" s="46">
        <f t="shared" si="29"/>
        <v>1031422</v>
      </c>
      <c r="G1292" s="391" t="s">
        <v>9568</v>
      </c>
    </row>
    <row r="1293" spans="1:9" x14ac:dyDescent="0.3">
      <c r="A1293" s="54">
        <v>45400</v>
      </c>
      <c r="C1293" s="5" t="s">
        <v>9454</v>
      </c>
      <c r="D1293" s="65">
        <v>1000</v>
      </c>
      <c r="E1293" s="65"/>
      <c r="F1293" s="46">
        <f t="shared" si="29"/>
        <v>1030422</v>
      </c>
      <c r="G1293" s="391" t="s">
        <v>9568</v>
      </c>
    </row>
    <row r="1294" spans="1:9" x14ac:dyDescent="0.3">
      <c r="A1294" s="54">
        <v>45400</v>
      </c>
      <c r="C1294" s="5" t="s">
        <v>13680</v>
      </c>
      <c r="D1294" s="65">
        <v>1000</v>
      </c>
      <c r="E1294" s="65"/>
      <c r="F1294" s="46">
        <f t="shared" si="29"/>
        <v>1029422</v>
      </c>
      <c r="G1294" s="391" t="s">
        <v>9568</v>
      </c>
    </row>
    <row r="1295" spans="1:9" x14ac:dyDescent="0.3">
      <c r="A1295" s="54">
        <v>45400</v>
      </c>
      <c r="C1295" s="5" t="s">
        <v>13680</v>
      </c>
      <c r="D1295" s="65">
        <v>30000</v>
      </c>
      <c r="E1295" s="65"/>
      <c r="F1295" s="46">
        <f t="shared" si="29"/>
        <v>999422</v>
      </c>
      <c r="G1295" s="391" t="s">
        <v>9568</v>
      </c>
    </row>
    <row r="1296" spans="1:9" x14ac:dyDescent="0.3">
      <c r="A1296" s="54">
        <v>45391</v>
      </c>
      <c r="C1296" s="5" t="s">
        <v>13688</v>
      </c>
      <c r="D1296" s="65">
        <v>25000</v>
      </c>
      <c r="E1296" s="65"/>
      <c r="F1296" s="46">
        <f t="shared" si="29"/>
        <v>974422</v>
      </c>
      <c r="G1296" s="391" t="s">
        <v>9568</v>
      </c>
    </row>
    <row r="1297" spans="1:7" x14ac:dyDescent="0.3">
      <c r="A1297" s="54">
        <v>45391</v>
      </c>
      <c r="C1297" s="5" t="s">
        <v>10307</v>
      </c>
      <c r="D1297" s="65">
        <v>15000</v>
      </c>
      <c r="E1297" s="65"/>
      <c r="F1297" s="46">
        <f t="shared" si="29"/>
        <v>959422</v>
      </c>
      <c r="G1297" s="391" t="s">
        <v>9568</v>
      </c>
    </row>
    <row r="1298" spans="1:7" x14ac:dyDescent="0.3">
      <c r="A1298" s="54">
        <v>45391</v>
      </c>
      <c r="C1298" s="5" t="s">
        <v>13689</v>
      </c>
      <c r="D1298" s="65">
        <v>25000</v>
      </c>
      <c r="E1298" s="65"/>
      <c r="F1298" s="46">
        <f t="shared" si="29"/>
        <v>934422</v>
      </c>
      <c r="G1298" s="391" t="s">
        <v>9568</v>
      </c>
    </row>
    <row r="1299" spans="1:7" x14ac:dyDescent="0.3">
      <c r="A1299" s="54">
        <v>45391</v>
      </c>
      <c r="C1299" s="5" t="s">
        <v>13274</v>
      </c>
      <c r="D1299" s="65">
        <v>22000</v>
      </c>
      <c r="E1299" s="65"/>
      <c r="F1299" s="46">
        <f t="shared" si="29"/>
        <v>912422</v>
      </c>
      <c r="G1299" s="391" t="s">
        <v>9568</v>
      </c>
    </row>
    <row r="1300" spans="1:7" x14ac:dyDescent="0.3">
      <c r="A1300" s="54">
        <v>45402</v>
      </c>
      <c r="C1300" s="5" t="s">
        <v>13697</v>
      </c>
      <c r="D1300" s="65"/>
      <c r="E1300" s="65">
        <v>5000</v>
      </c>
      <c r="F1300" s="46">
        <f t="shared" si="29"/>
        <v>917422</v>
      </c>
      <c r="G1300" s="391" t="s">
        <v>9568</v>
      </c>
    </row>
    <row r="1301" spans="1:7" x14ac:dyDescent="0.3">
      <c r="A1301" s="54"/>
      <c r="C1301" s="5"/>
      <c r="D1301" s="65"/>
      <c r="E1301" s="65"/>
      <c r="F1301" s="46">
        <f t="shared" si="29"/>
        <v>917422</v>
      </c>
      <c r="G1301" s="391" t="s">
        <v>9567</v>
      </c>
    </row>
    <row r="1302" spans="1:7" x14ac:dyDescent="0.3">
      <c r="A1302" s="54"/>
      <c r="C1302" s="5"/>
      <c r="D1302" s="65"/>
      <c r="E1302" s="65"/>
      <c r="F1302" s="46">
        <f t="shared" si="29"/>
        <v>917422</v>
      </c>
      <c r="G1302" s="391" t="s">
        <v>9567</v>
      </c>
    </row>
    <row r="1303" spans="1:7" x14ac:dyDescent="0.3">
      <c r="A1303" s="54"/>
      <c r="C1303" s="5"/>
      <c r="D1303" s="65"/>
      <c r="E1303" s="65"/>
      <c r="F1303" s="46">
        <f t="shared" si="29"/>
        <v>917422</v>
      </c>
      <c r="G1303" s="391" t="s">
        <v>9567</v>
      </c>
    </row>
    <row r="1304" spans="1:7" x14ac:dyDescent="0.3">
      <c r="A1304" s="54"/>
      <c r="C1304" s="5"/>
      <c r="D1304" s="65"/>
      <c r="E1304" s="65"/>
      <c r="F1304" s="46">
        <f t="shared" si="29"/>
        <v>917422</v>
      </c>
      <c r="G1304" s="391" t="s">
        <v>9567</v>
      </c>
    </row>
    <row r="1305" spans="1:7" x14ac:dyDescent="0.3">
      <c r="A1305" s="54"/>
      <c r="C1305" s="5"/>
      <c r="D1305" s="65"/>
      <c r="E1305" s="65"/>
      <c r="F1305" s="46">
        <f t="shared" si="29"/>
        <v>917422</v>
      </c>
      <c r="G1305" s="391" t="s">
        <v>9567</v>
      </c>
    </row>
    <row r="1306" spans="1:7" x14ac:dyDescent="0.3">
      <c r="A1306" s="54"/>
      <c r="C1306" s="5"/>
      <c r="D1306" s="65"/>
      <c r="E1306" s="65"/>
      <c r="F1306" s="46">
        <f t="shared" si="29"/>
        <v>917422</v>
      </c>
      <c r="G1306" s="391" t="s">
        <v>9567</v>
      </c>
    </row>
    <row r="1307" spans="1:7" x14ac:dyDescent="0.3">
      <c r="A1307" s="54"/>
      <c r="C1307" s="5"/>
      <c r="D1307" s="65"/>
      <c r="E1307" s="65"/>
      <c r="F1307" s="46">
        <f t="shared" si="29"/>
        <v>917422</v>
      </c>
      <c r="G1307" s="391" t="s">
        <v>9567</v>
      </c>
    </row>
    <row r="1308" spans="1:7" x14ac:dyDescent="0.3">
      <c r="A1308" s="54"/>
      <c r="C1308" s="5"/>
      <c r="D1308" s="65"/>
      <c r="E1308" s="65"/>
      <c r="F1308" s="46">
        <f t="shared" si="29"/>
        <v>917422</v>
      </c>
      <c r="G1308" s="391" t="s">
        <v>9567</v>
      </c>
    </row>
    <row r="1309" spans="1:7" x14ac:dyDescent="0.3">
      <c r="A1309" s="54"/>
      <c r="C1309" s="5"/>
      <c r="D1309" s="65"/>
      <c r="E1309" s="65"/>
      <c r="F1309" s="46">
        <f t="shared" si="29"/>
        <v>917422</v>
      </c>
      <c r="G1309" s="391" t="s">
        <v>9567</v>
      </c>
    </row>
    <row r="1310" spans="1:7" x14ac:dyDescent="0.3">
      <c r="A1310" s="54"/>
      <c r="C1310" s="5"/>
      <c r="D1310" s="65"/>
      <c r="E1310" s="65"/>
      <c r="F1310" s="46">
        <f t="shared" si="29"/>
        <v>917422</v>
      </c>
      <c r="G1310" s="391" t="s">
        <v>9567</v>
      </c>
    </row>
    <row r="1311" spans="1:7" x14ac:dyDescent="0.3">
      <c r="A1311" s="54"/>
      <c r="C1311" s="5"/>
      <c r="D1311" s="65"/>
      <c r="E1311" s="65"/>
      <c r="F1311" s="46">
        <f t="shared" si="29"/>
        <v>917422</v>
      </c>
      <c r="G1311" s="391" t="s">
        <v>9567</v>
      </c>
    </row>
    <row r="1312" spans="1:7" x14ac:dyDescent="0.3">
      <c r="A1312" s="54"/>
      <c r="C1312" s="5"/>
      <c r="D1312" s="65"/>
      <c r="E1312" s="65"/>
      <c r="F1312" s="46">
        <f t="shared" si="29"/>
        <v>917422</v>
      </c>
      <c r="G1312" s="391" t="s">
        <v>9567</v>
      </c>
    </row>
    <row r="1313" spans="1:7" x14ac:dyDescent="0.3">
      <c r="A1313" s="54"/>
      <c r="C1313" s="5"/>
      <c r="D1313" s="65"/>
      <c r="E1313" s="65"/>
      <c r="F1313" s="46">
        <f t="shared" si="29"/>
        <v>917422</v>
      </c>
      <c r="G1313" s="391" t="s">
        <v>9567</v>
      </c>
    </row>
    <row r="1314" spans="1:7" x14ac:dyDescent="0.3">
      <c r="A1314" s="54"/>
      <c r="C1314" s="5"/>
      <c r="D1314" s="65"/>
      <c r="E1314" s="65"/>
      <c r="F1314" s="46">
        <f t="shared" si="29"/>
        <v>917422</v>
      </c>
      <c r="G1314" s="391" t="s">
        <v>9567</v>
      </c>
    </row>
    <row r="1315" spans="1:7" x14ac:dyDescent="0.3">
      <c r="A1315" s="54"/>
      <c r="C1315" s="5"/>
      <c r="D1315" s="65"/>
      <c r="E1315" s="65"/>
      <c r="F1315" s="46">
        <f t="shared" si="29"/>
        <v>917422</v>
      </c>
      <c r="G1315" s="391" t="s">
        <v>9567</v>
      </c>
    </row>
    <row r="1316" spans="1:7" x14ac:dyDescent="0.3">
      <c r="A1316" s="54"/>
      <c r="C1316" s="5"/>
      <c r="D1316" s="65"/>
      <c r="E1316" s="65"/>
      <c r="F1316" s="46">
        <f t="shared" si="29"/>
        <v>917422</v>
      </c>
      <c r="G1316" s="391" t="s">
        <v>9567</v>
      </c>
    </row>
    <row r="1317" spans="1:7" x14ac:dyDescent="0.3">
      <c r="A1317" s="54"/>
      <c r="C1317" s="5"/>
      <c r="D1317" s="65"/>
      <c r="E1317" s="65"/>
      <c r="F1317" s="46">
        <f t="shared" si="29"/>
        <v>917422</v>
      </c>
      <c r="G1317" s="391" t="s">
        <v>9567</v>
      </c>
    </row>
    <row r="1318" spans="1:7" x14ac:dyDescent="0.3">
      <c r="A1318" s="54"/>
      <c r="C1318" s="5"/>
      <c r="D1318" s="65"/>
      <c r="E1318" s="65"/>
      <c r="F1318" s="46">
        <f t="shared" si="29"/>
        <v>917422</v>
      </c>
      <c r="G1318" s="391" t="s">
        <v>9567</v>
      </c>
    </row>
    <row r="1319" spans="1:7" x14ac:dyDescent="0.3">
      <c r="A1319" s="54"/>
      <c r="C1319" s="5"/>
      <c r="D1319" s="65"/>
      <c r="E1319" s="65"/>
      <c r="F1319" s="46">
        <f t="shared" si="29"/>
        <v>917422</v>
      </c>
      <c r="G1319" s="391" t="s">
        <v>9567</v>
      </c>
    </row>
    <row r="1320" spans="1:7" x14ac:dyDescent="0.3">
      <c r="A1320" s="54"/>
      <c r="C1320" s="5"/>
      <c r="D1320" s="65"/>
      <c r="E1320" s="65"/>
      <c r="F1320" s="46">
        <f t="shared" si="29"/>
        <v>917422</v>
      </c>
      <c r="G1320" s="391" t="s">
        <v>9567</v>
      </c>
    </row>
    <row r="1321" spans="1:7" x14ac:dyDescent="0.3">
      <c r="A1321" s="54"/>
      <c r="C1321" s="5"/>
      <c r="D1321" s="65"/>
      <c r="E1321" s="65"/>
      <c r="F1321" s="46">
        <f t="shared" si="29"/>
        <v>917422</v>
      </c>
      <c r="G1321" s="391" t="s">
        <v>9567</v>
      </c>
    </row>
    <row r="1322" spans="1:7" x14ac:dyDescent="0.3">
      <c r="A1322" s="54"/>
      <c r="C1322" s="5"/>
      <c r="D1322" s="65"/>
      <c r="E1322" s="65"/>
      <c r="F1322" s="46">
        <f t="shared" si="29"/>
        <v>917422</v>
      </c>
      <c r="G1322" s="391" t="s">
        <v>9567</v>
      </c>
    </row>
    <row r="1323" spans="1:7" x14ac:dyDescent="0.3">
      <c r="A1323" s="54"/>
      <c r="C1323" s="5"/>
      <c r="D1323" s="65"/>
      <c r="E1323" s="65"/>
      <c r="F1323" s="46">
        <f t="shared" si="29"/>
        <v>917422</v>
      </c>
      <c r="G1323" s="391" t="s">
        <v>9567</v>
      </c>
    </row>
    <row r="1324" spans="1:7" x14ac:dyDescent="0.3">
      <c r="A1324" s="54"/>
      <c r="C1324" s="5"/>
      <c r="D1324" s="65"/>
      <c r="E1324" s="65"/>
      <c r="F1324" s="46">
        <f t="shared" si="29"/>
        <v>917422</v>
      </c>
      <c r="G1324" s="391" t="s">
        <v>9567</v>
      </c>
    </row>
    <row r="1325" spans="1:7" x14ac:dyDescent="0.3">
      <c r="A1325" s="54"/>
      <c r="C1325" s="5"/>
      <c r="D1325" s="65"/>
      <c r="E1325" s="65"/>
      <c r="F1325" s="46">
        <f t="shared" si="29"/>
        <v>917422</v>
      </c>
      <c r="G1325" s="391" t="s">
        <v>9567</v>
      </c>
    </row>
    <row r="1326" spans="1:7" x14ac:dyDescent="0.3">
      <c r="A1326" s="54"/>
      <c r="C1326" s="5"/>
      <c r="D1326" s="65"/>
      <c r="E1326" s="65"/>
      <c r="F1326" s="46">
        <f t="shared" si="29"/>
        <v>917422</v>
      </c>
      <c r="G1326" s="391" t="s">
        <v>9567</v>
      </c>
    </row>
    <row r="1327" spans="1:7" x14ac:dyDescent="0.3">
      <c r="A1327" s="54"/>
      <c r="C1327" s="5"/>
      <c r="D1327" s="65"/>
      <c r="E1327" s="65"/>
      <c r="F1327" s="46">
        <f t="shared" si="29"/>
        <v>917422</v>
      </c>
      <c r="G1327" s="391" t="s">
        <v>9567</v>
      </c>
    </row>
    <row r="1328" spans="1:7" x14ac:dyDescent="0.3">
      <c r="A1328" s="54"/>
      <c r="C1328" s="5"/>
      <c r="D1328" s="65"/>
      <c r="E1328" s="65"/>
      <c r="F1328" s="46">
        <f t="shared" si="29"/>
        <v>917422</v>
      </c>
      <c r="G1328" s="391" t="s">
        <v>9567</v>
      </c>
    </row>
    <row r="1329" spans="1:7" x14ac:dyDescent="0.3">
      <c r="A1329" s="54"/>
      <c r="C1329" s="5"/>
      <c r="D1329" s="65"/>
      <c r="E1329" s="65"/>
      <c r="F1329" s="46">
        <f t="shared" si="29"/>
        <v>917422</v>
      </c>
      <c r="G1329" s="391" t="s">
        <v>9567</v>
      </c>
    </row>
    <row r="1330" spans="1:7" x14ac:dyDescent="0.3">
      <c r="A1330" s="54"/>
      <c r="C1330" s="5"/>
      <c r="D1330" s="65"/>
      <c r="E1330" s="65"/>
      <c r="F1330" s="46">
        <f t="shared" si="29"/>
        <v>917422</v>
      </c>
      <c r="G1330" s="391" t="s">
        <v>9567</v>
      </c>
    </row>
    <row r="1331" spans="1:7" x14ac:dyDescent="0.3">
      <c r="A1331" s="54"/>
      <c r="C1331" s="5"/>
      <c r="D1331" s="65"/>
      <c r="E1331" s="65"/>
      <c r="F1331" s="46">
        <f t="shared" si="29"/>
        <v>917422</v>
      </c>
      <c r="G1331" s="391" t="s">
        <v>9567</v>
      </c>
    </row>
    <row r="1332" spans="1:7" x14ac:dyDescent="0.3">
      <c r="A1332" s="54"/>
      <c r="C1332" s="5"/>
      <c r="D1332" s="65"/>
      <c r="E1332" s="65"/>
      <c r="F1332" s="46">
        <f t="shared" si="29"/>
        <v>917422</v>
      </c>
      <c r="G1332" s="391" t="s">
        <v>9567</v>
      </c>
    </row>
    <row r="1333" spans="1:7" x14ac:dyDescent="0.3">
      <c r="A1333" s="54"/>
      <c r="C1333" s="5"/>
      <c r="D1333" s="65"/>
      <c r="E1333" s="65"/>
      <c r="F1333" s="46">
        <f t="shared" si="29"/>
        <v>917422</v>
      </c>
      <c r="G1333" s="391" t="s">
        <v>9567</v>
      </c>
    </row>
    <row r="1334" spans="1:7" x14ac:dyDescent="0.3">
      <c r="A1334" s="54"/>
      <c r="C1334" s="5"/>
      <c r="D1334" s="65"/>
      <c r="E1334" s="65"/>
      <c r="F1334" s="46">
        <f t="shared" si="29"/>
        <v>917422</v>
      </c>
      <c r="G1334" s="391" t="s">
        <v>9567</v>
      </c>
    </row>
    <row r="1335" spans="1:7" x14ac:dyDescent="0.3">
      <c r="A1335" s="54"/>
      <c r="C1335" s="5"/>
      <c r="D1335" s="65"/>
      <c r="E1335" s="65"/>
      <c r="F1335" s="46">
        <f t="shared" si="29"/>
        <v>917422</v>
      </c>
      <c r="G1335" s="391" t="s">
        <v>9567</v>
      </c>
    </row>
    <row r="1336" spans="1:7" x14ac:dyDescent="0.3">
      <c r="A1336" s="54"/>
      <c r="C1336" s="5"/>
      <c r="D1336" s="65"/>
      <c r="E1336" s="65"/>
      <c r="F1336" s="46">
        <f t="shared" si="29"/>
        <v>917422</v>
      </c>
      <c r="G1336" s="391" t="s">
        <v>9567</v>
      </c>
    </row>
    <row r="1337" spans="1:7" x14ac:dyDescent="0.3">
      <c r="A1337" s="54"/>
      <c r="C1337" s="5"/>
      <c r="D1337" s="65"/>
      <c r="E1337" s="65"/>
      <c r="F1337" s="46">
        <f t="shared" si="29"/>
        <v>917422</v>
      </c>
      <c r="G1337" s="391" t="s">
        <v>9567</v>
      </c>
    </row>
    <row r="1338" spans="1:7" x14ac:dyDescent="0.3">
      <c r="A1338" s="54"/>
      <c r="C1338" s="5"/>
      <c r="D1338" s="65"/>
      <c r="E1338" s="65"/>
      <c r="F1338" s="46">
        <f t="shared" si="29"/>
        <v>917422</v>
      </c>
      <c r="G1338" s="391" t="s">
        <v>9567</v>
      </c>
    </row>
    <row r="1339" spans="1:7" x14ac:dyDescent="0.3">
      <c r="A1339" s="54"/>
      <c r="C1339" s="5"/>
      <c r="D1339" s="65"/>
      <c r="E1339" s="65"/>
      <c r="F1339" s="46">
        <f t="shared" si="29"/>
        <v>917422</v>
      </c>
      <c r="G1339" s="391" t="s">
        <v>9567</v>
      </c>
    </row>
    <row r="1340" spans="1:7" x14ac:dyDescent="0.3">
      <c r="A1340" s="54"/>
      <c r="C1340" s="5"/>
      <c r="D1340" s="65"/>
      <c r="E1340" s="65"/>
      <c r="F1340" s="46">
        <f t="shared" si="29"/>
        <v>917422</v>
      </c>
      <c r="G1340" s="391" t="s">
        <v>9567</v>
      </c>
    </row>
    <row r="1341" spans="1:7" x14ac:dyDescent="0.3">
      <c r="A1341" s="54"/>
      <c r="C1341" s="5"/>
      <c r="D1341" s="65"/>
      <c r="E1341" s="65"/>
      <c r="F1341" s="46">
        <f t="shared" si="29"/>
        <v>917422</v>
      </c>
      <c r="G1341" s="391" t="s">
        <v>9567</v>
      </c>
    </row>
    <row r="1342" spans="1:7" x14ac:dyDescent="0.3">
      <c r="A1342" s="54"/>
      <c r="C1342" s="5"/>
      <c r="D1342" s="65"/>
      <c r="E1342" s="65"/>
      <c r="F1342" s="46">
        <f t="shared" si="29"/>
        <v>917422</v>
      </c>
      <c r="G1342" s="391" t="s">
        <v>9567</v>
      </c>
    </row>
    <row r="1343" spans="1:7" x14ac:dyDescent="0.3">
      <c r="A1343" s="54"/>
      <c r="C1343" s="5"/>
      <c r="D1343" s="65"/>
      <c r="E1343" s="65"/>
      <c r="F1343" s="46">
        <f t="shared" si="29"/>
        <v>917422</v>
      </c>
      <c r="G1343" s="391" t="s">
        <v>9567</v>
      </c>
    </row>
    <row r="1344" spans="1:7" x14ac:dyDescent="0.3">
      <c r="A1344" s="54"/>
      <c r="C1344" s="5"/>
      <c r="D1344" s="65"/>
      <c r="E1344" s="65"/>
      <c r="F1344" s="46">
        <f t="shared" si="29"/>
        <v>917422</v>
      </c>
      <c r="G1344" s="391" t="s">
        <v>9567</v>
      </c>
    </row>
    <row r="1345" spans="1:7" x14ac:dyDescent="0.3">
      <c r="A1345" s="54"/>
      <c r="C1345" s="5"/>
      <c r="D1345" s="65"/>
      <c r="E1345" s="65"/>
      <c r="F1345" s="46">
        <f t="shared" si="29"/>
        <v>917422</v>
      </c>
      <c r="G1345" s="391" t="s">
        <v>9567</v>
      </c>
    </row>
    <row r="1346" spans="1:7" x14ac:dyDescent="0.3">
      <c r="A1346" s="54"/>
      <c r="C1346" s="5"/>
      <c r="D1346" s="65"/>
      <c r="E1346" s="65"/>
      <c r="F1346" s="46">
        <f t="shared" si="29"/>
        <v>917422</v>
      </c>
      <c r="G1346" s="391" t="s">
        <v>9567</v>
      </c>
    </row>
    <row r="1347" spans="1:7" x14ac:dyDescent="0.3">
      <c r="A1347" s="54"/>
      <c r="C1347" s="5"/>
      <c r="D1347" s="65"/>
      <c r="E1347" s="65"/>
      <c r="F1347" s="46">
        <f t="shared" si="29"/>
        <v>917422</v>
      </c>
      <c r="G1347" s="391" t="s">
        <v>9567</v>
      </c>
    </row>
    <row r="1348" spans="1:7" x14ac:dyDescent="0.3">
      <c r="A1348" s="54"/>
      <c r="C1348" s="5"/>
      <c r="D1348" s="65"/>
      <c r="E1348" s="65"/>
      <c r="F1348" s="46">
        <f t="shared" si="29"/>
        <v>917422</v>
      </c>
      <c r="G1348" s="391" t="s">
        <v>9567</v>
      </c>
    </row>
    <row r="1349" spans="1:7" x14ac:dyDescent="0.3">
      <c r="A1349" s="54"/>
      <c r="C1349" s="5"/>
      <c r="D1349" s="65"/>
      <c r="E1349" s="65"/>
      <c r="F1349" s="46">
        <f t="shared" si="29"/>
        <v>917422</v>
      </c>
      <c r="G1349" s="391" t="s">
        <v>9567</v>
      </c>
    </row>
    <row r="1350" spans="1:7" x14ac:dyDescent="0.3">
      <c r="A1350" s="54"/>
      <c r="C1350" s="5"/>
      <c r="D1350" s="65"/>
      <c r="E1350" s="65"/>
      <c r="F1350" s="46">
        <f t="shared" si="29"/>
        <v>917422</v>
      </c>
      <c r="G1350" s="391" t="s">
        <v>9567</v>
      </c>
    </row>
    <row r="1351" spans="1:7" x14ac:dyDescent="0.3">
      <c r="A1351" s="54"/>
      <c r="C1351" s="5"/>
      <c r="D1351" s="65"/>
      <c r="E1351" s="65"/>
      <c r="F1351" s="46">
        <f t="shared" si="29"/>
        <v>917422</v>
      </c>
      <c r="G1351" s="391" t="s">
        <v>9567</v>
      </c>
    </row>
    <row r="1352" spans="1:7" x14ac:dyDescent="0.3">
      <c r="A1352" s="54"/>
      <c r="C1352" s="5"/>
      <c r="D1352" s="65"/>
      <c r="E1352" s="65"/>
      <c r="F1352" s="46">
        <f t="shared" si="29"/>
        <v>917422</v>
      </c>
      <c r="G1352" s="391" t="s">
        <v>9567</v>
      </c>
    </row>
    <row r="1353" spans="1:7" x14ac:dyDescent="0.3">
      <c r="A1353" s="54"/>
      <c r="C1353" s="5"/>
      <c r="D1353" s="65"/>
      <c r="E1353" s="65"/>
      <c r="F1353" s="46">
        <f t="shared" ref="F1353:F1416" si="30">F1352+E1353-D1353</f>
        <v>917422</v>
      </c>
      <c r="G1353" s="391" t="s">
        <v>9567</v>
      </c>
    </row>
    <row r="1354" spans="1:7" x14ac:dyDescent="0.3">
      <c r="A1354" s="54"/>
      <c r="C1354" s="5"/>
      <c r="D1354" s="65"/>
      <c r="E1354" s="65"/>
      <c r="F1354" s="46">
        <f t="shared" si="30"/>
        <v>917422</v>
      </c>
      <c r="G1354" s="391" t="s">
        <v>9567</v>
      </c>
    </row>
    <row r="1355" spans="1:7" x14ac:dyDescent="0.3">
      <c r="A1355" s="54"/>
      <c r="C1355" s="5"/>
      <c r="D1355" s="65"/>
      <c r="E1355" s="65"/>
      <c r="F1355" s="46">
        <f t="shared" si="30"/>
        <v>917422</v>
      </c>
      <c r="G1355" s="391" t="s">
        <v>9567</v>
      </c>
    </row>
    <row r="1356" spans="1:7" x14ac:dyDescent="0.3">
      <c r="A1356" s="54"/>
      <c r="C1356" s="5"/>
      <c r="D1356" s="65"/>
      <c r="E1356" s="65"/>
      <c r="F1356" s="46">
        <f t="shared" si="30"/>
        <v>917422</v>
      </c>
      <c r="G1356" s="391" t="s">
        <v>9567</v>
      </c>
    </row>
    <row r="1357" spans="1:7" x14ac:dyDescent="0.3">
      <c r="A1357" s="54"/>
      <c r="C1357" s="5"/>
      <c r="D1357" s="65"/>
      <c r="E1357" s="65"/>
      <c r="F1357" s="46">
        <f t="shared" si="30"/>
        <v>917422</v>
      </c>
      <c r="G1357" s="391" t="s">
        <v>9567</v>
      </c>
    </row>
    <row r="1358" spans="1:7" x14ac:dyDescent="0.3">
      <c r="A1358" s="54"/>
      <c r="C1358" s="5"/>
      <c r="D1358" s="65"/>
      <c r="E1358" s="65"/>
      <c r="F1358" s="46">
        <f t="shared" si="30"/>
        <v>917422</v>
      </c>
      <c r="G1358" s="391" t="s">
        <v>9567</v>
      </c>
    </row>
    <row r="1359" spans="1:7" x14ac:dyDescent="0.3">
      <c r="A1359" s="54"/>
      <c r="C1359" s="5"/>
      <c r="D1359" s="65"/>
      <c r="E1359" s="65"/>
      <c r="F1359" s="46">
        <f t="shared" si="30"/>
        <v>917422</v>
      </c>
      <c r="G1359" s="391" t="s">
        <v>9567</v>
      </c>
    </row>
    <row r="1360" spans="1:7" x14ac:dyDescent="0.3">
      <c r="A1360" s="54"/>
      <c r="C1360" s="5"/>
      <c r="D1360" s="65"/>
      <c r="E1360" s="65"/>
      <c r="F1360" s="46">
        <f t="shared" si="30"/>
        <v>917422</v>
      </c>
      <c r="G1360" s="391" t="s">
        <v>9567</v>
      </c>
    </row>
    <row r="1361" spans="1:7" x14ac:dyDescent="0.3">
      <c r="A1361" s="54"/>
      <c r="C1361" s="5"/>
      <c r="D1361" s="65"/>
      <c r="E1361" s="65"/>
      <c r="F1361" s="46">
        <f t="shared" si="30"/>
        <v>917422</v>
      </c>
      <c r="G1361" s="391" t="s">
        <v>9567</v>
      </c>
    </row>
    <row r="1362" spans="1:7" x14ac:dyDescent="0.3">
      <c r="A1362" s="54"/>
      <c r="C1362" s="5"/>
      <c r="D1362" s="65"/>
      <c r="E1362" s="65"/>
      <c r="F1362" s="46">
        <f t="shared" si="30"/>
        <v>917422</v>
      </c>
      <c r="G1362" s="391" t="s">
        <v>9567</v>
      </c>
    </row>
    <row r="1363" spans="1:7" x14ac:dyDescent="0.3">
      <c r="A1363" s="54"/>
      <c r="C1363" s="5"/>
      <c r="D1363" s="65"/>
      <c r="E1363" s="65"/>
      <c r="F1363" s="46">
        <f t="shared" si="30"/>
        <v>917422</v>
      </c>
      <c r="G1363" s="391" t="s">
        <v>9567</v>
      </c>
    </row>
    <row r="1364" spans="1:7" x14ac:dyDescent="0.3">
      <c r="A1364" s="54"/>
      <c r="C1364" s="5"/>
      <c r="D1364" s="65"/>
      <c r="E1364" s="65"/>
      <c r="F1364" s="46">
        <f t="shared" si="30"/>
        <v>917422</v>
      </c>
      <c r="G1364" s="391" t="s">
        <v>9567</v>
      </c>
    </row>
    <row r="1365" spans="1:7" x14ac:dyDescent="0.3">
      <c r="A1365" s="54"/>
      <c r="C1365" s="5"/>
      <c r="D1365" s="65"/>
      <c r="E1365" s="65"/>
      <c r="F1365" s="46">
        <f t="shared" si="30"/>
        <v>917422</v>
      </c>
      <c r="G1365" s="391" t="s">
        <v>9567</v>
      </c>
    </row>
    <row r="1366" spans="1:7" x14ac:dyDescent="0.3">
      <c r="A1366" s="54"/>
      <c r="C1366" s="5"/>
      <c r="D1366" s="65"/>
      <c r="E1366" s="65"/>
      <c r="F1366" s="46">
        <f t="shared" si="30"/>
        <v>917422</v>
      </c>
      <c r="G1366" s="391" t="s">
        <v>9567</v>
      </c>
    </row>
    <row r="1367" spans="1:7" x14ac:dyDescent="0.3">
      <c r="A1367" s="54"/>
      <c r="C1367" s="5"/>
      <c r="D1367" s="65"/>
      <c r="E1367" s="65"/>
      <c r="F1367" s="46">
        <f t="shared" si="30"/>
        <v>917422</v>
      </c>
      <c r="G1367" s="391" t="s">
        <v>9567</v>
      </c>
    </row>
    <row r="1368" spans="1:7" x14ac:dyDescent="0.3">
      <c r="A1368" s="54"/>
      <c r="C1368" s="5"/>
      <c r="D1368" s="65"/>
      <c r="E1368" s="65"/>
      <c r="F1368" s="46">
        <f t="shared" si="30"/>
        <v>917422</v>
      </c>
      <c r="G1368" s="391" t="s">
        <v>9567</v>
      </c>
    </row>
    <row r="1369" spans="1:7" x14ac:dyDescent="0.3">
      <c r="A1369" s="54"/>
      <c r="C1369" s="5"/>
      <c r="D1369" s="65"/>
      <c r="E1369" s="65"/>
      <c r="F1369" s="46">
        <f t="shared" si="30"/>
        <v>917422</v>
      </c>
      <c r="G1369" s="391" t="s">
        <v>9567</v>
      </c>
    </row>
    <row r="1370" spans="1:7" x14ac:dyDescent="0.3">
      <c r="A1370" s="54"/>
      <c r="C1370" s="5"/>
      <c r="D1370" s="65"/>
      <c r="E1370" s="65"/>
      <c r="F1370" s="46">
        <f t="shared" si="30"/>
        <v>917422</v>
      </c>
      <c r="G1370" s="391" t="s">
        <v>9567</v>
      </c>
    </row>
    <row r="1371" spans="1:7" x14ac:dyDescent="0.3">
      <c r="A1371" s="54"/>
      <c r="C1371" s="5"/>
      <c r="D1371" s="65"/>
      <c r="E1371" s="65"/>
      <c r="F1371" s="46">
        <f t="shared" si="30"/>
        <v>917422</v>
      </c>
      <c r="G1371" s="391" t="s">
        <v>9567</v>
      </c>
    </row>
    <row r="1372" spans="1:7" x14ac:dyDescent="0.3">
      <c r="A1372" s="54"/>
      <c r="C1372" s="5"/>
      <c r="D1372" s="65"/>
      <c r="E1372" s="65"/>
      <c r="F1372" s="46">
        <f t="shared" si="30"/>
        <v>917422</v>
      </c>
      <c r="G1372" s="391" t="s">
        <v>9567</v>
      </c>
    </row>
    <row r="1373" spans="1:7" x14ac:dyDescent="0.3">
      <c r="A1373" s="54"/>
      <c r="C1373" s="5"/>
      <c r="D1373" s="65"/>
      <c r="E1373" s="65"/>
      <c r="F1373" s="46">
        <f t="shared" si="30"/>
        <v>917422</v>
      </c>
      <c r="G1373" s="391" t="s">
        <v>9567</v>
      </c>
    </row>
    <row r="1374" spans="1:7" x14ac:dyDescent="0.3">
      <c r="A1374" s="54"/>
      <c r="C1374" s="5"/>
      <c r="D1374" s="65"/>
      <c r="E1374" s="65"/>
      <c r="F1374" s="46">
        <f t="shared" si="30"/>
        <v>917422</v>
      </c>
      <c r="G1374" s="391" t="s">
        <v>9567</v>
      </c>
    </row>
    <row r="1375" spans="1:7" x14ac:dyDescent="0.3">
      <c r="A1375" s="54"/>
      <c r="C1375" s="5"/>
      <c r="D1375" s="65"/>
      <c r="E1375" s="65"/>
      <c r="F1375" s="46">
        <f t="shared" si="30"/>
        <v>917422</v>
      </c>
      <c r="G1375" s="391" t="s">
        <v>9567</v>
      </c>
    </row>
    <row r="1376" spans="1:7" x14ac:dyDescent="0.3">
      <c r="A1376" s="54"/>
      <c r="C1376" s="5"/>
      <c r="D1376" s="65"/>
      <c r="E1376" s="65"/>
      <c r="F1376" s="46">
        <f t="shared" si="30"/>
        <v>917422</v>
      </c>
      <c r="G1376" s="391" t="s">
        <v>9567</v>
      </c>
    </row>
    <row r="1377" spans="1:7" x14ac:dyDescent="0.3">
      <c r="A1377" s="54"/>
      <c r="C1377" s="5"/>
      <c r="D1377" s="65"/>
      <c r="E1377" s="65"/>
      <c r="F1377" s="46">
        <f t="shared" si="30"/>
        <v>917422</v>
      </c>
      <c r="G1377" s="391" t="s">
        <v>9567</v>
      </c>
    </row>
    <row r="1378" spans="1:7" x14ac:dyDescent="0.3">
      <c r="A1378" s="54"/>
      <c r="C1378" s="5"/>
      <c r="D1378" s="65"/>
      <c r="E1378" s="65"/>
      <c r="F1378" s="46">
        <f t="shared" si="30"/>
        <v>917422</v>
      </c>
      <c r="G1378" s="391" t="s">
        <v>9567</v>
      </c>
    </row>
    <row r="1379" spans="1:7" x14ac:dyDescent="0.3">
      <c r="A1379" s="54"/>
      <c r="C1379" s="5"/>
      <c r="D1379" s="65"/>
      <c r="E1379" s="65"/>
      <c r="F1379" s="46">
        <f t="shared" si="30"/>
        <v>917422</v>
      </c>
      <c r="G1379" s="391" t="s">
        <v>9567</v>
      </c>
    </row>
    <row r="1380" spans="1:7" x14ac:dyDescent="0.3">
      <c r="A1380" s="54"/>
      <c r="C1380" s="5"/>
      <c r="D1380" s="65"/>
      <c r="E1380" s="65"/>
      <c r="F1380" s="46">
        <f t="shared" si="30"/>
        <v>917422</v>
      </c>
      <c r="G1380" s="391" t="s">
        <v>9567</v>
      </c>
    </row>
    <row r="1381" spans="1:7" x14ac:dyDescent="0.3">
      <c r="A1381" s="54"/>
      <c r="C1381" s="5"/>
      <c r="D1381" s="65"/>
      <c r="E1381" s="65"/>
      <c r="F1381" s="46">
        <f t="shared" si="30"/>
        <v>917422</v>
      </c>
      <c r="G1381" s="391" t="s">
        <v>9567</v>
      </c>
    </row>
    <row r="1382" spans="1:7" x14ac:dyDescent="0.3">
      <c r="A1382" s="54"/>
      <c r="C1382" s="5"/>
      <c r="D1382" s="65"/>
      <c r="E1382" s="65"/>
      <c r="F1382" s="46">
        <f t="shared" si="30"/>
        <v>917422</v>
      </c>
      <c r="G1382" s="391" t="s">
        <v>9567</v>
      </c>
    </row>
    <row r="1383" spans="1:7" x14ac:dyDescent="0.3">
      <c r="A1383" s="54"/>
      <c r="C1383" s="5"/>
      <c r="D1383" s="65"/>
      <c r="E1383" s="65"/>
      <c r="F1383" s="46">
        <f t="shared" si="30"/>
        <v>917422</v>
      </c>
      <c r="G1383" s="391" t="s">
        <v>9567</v>
      </c>
    </row>
    <row r="1384" spans="1:7" x14ac:dyDescent="0.3">
      <c r="A1384" s="54"/>
      <c r="C1384" s="5"/>
      <c r="D1384" s="65"/>
      <c r="E1384" s="65"/>
      <c r="F1384" s="46">
        <f t="shared" si="30"/>
        <v>917422</v>
      </c>
      <c r="G1384" s="391" t="s">
        <v>9567</v>
      </c>
    </row>
    <row r="1385" spans="1:7" x14ac:dyDescent="0.3">
      <c r="A1385" s="54"/>
      <c r="C1385" s="5"/>
      <c r="D1385" s="65"/>
      <c r="E1385" s="65"/>
      <c r="F1385" s="46">
        <f t="shared" si="30"/>
        <v>917422</v>
      </c>
      <c r="G1385" s="391" t="s">
        <v>9567</v>
      </c>
    </row>
    <row r="1386" spans="1:7" x14ac:dyDescent="0.3">
      <c r="A1386" s="54"/>
      <c r="C1386" s="5"/>
      <c r="D1386" s="65"/>
      <c r="E1386" s="65"/>
      <c r="F1386" s="46">
        <f t="shared" si="30"/>
        <v>917422</v>
      </c>
      <c r="G1386" s="391" t="s">
        <v>9567</v>
      </c>
    </row>
    <row r="1387" spans="1:7" x14ac:dyDescent="0.3">
      <c r="A1387" s="54"/>
      <c r="C1387" s="5"/>
      <c r="D1387" s="65"/>
      <c r="E1387" s="65"/>
      <c r="F1387" s="46">
        <f t="shared" si="30"/>
        <v>917422</v>
      </c>
      <c r="G1387" s="391" t="s">
        <v>9567</v>
      </c>
    </row>
    <row r="1388" spans="1:7" x14ac:dyDescent="0.3">
      <c r="A1388" s="54"/>
      <c r="C1388" s="5"/>
      <c r="D1388" s="65"/>
      <c r="E1388" s="65"/>
      <c r="F1388" s="46">
        <f t="shared" si="30"/>
        <v>917422</v>
      </c>
      <c r="G1388" s="391" t="s">
        <v>9567</v>
      </c>
    </row>
    <row r="1389" spans="1:7" x14ac:dyDescent="0.3">
      <c r="A1389" s="54"/>
      <c r="C1389" s="5"/>
      <c r="D1389" s="65"/>
      <c r="E1389" s="65"/>
      <c r="F1389" s="46">
        <f t="shared" si="30"/>
        <v>917422</v>
      </c>
      <c r="G1389" s="391" t="s">
        <v>9567</v>
      </c>
    </row>
    <row r="1390" spans="1:7" x14ac:dyDescent="0.3">
      <c r="A1390" s="54"/>
      <c r="C1390" s="5"/>
      <c r="D1390" s="65"/>
      <c r="E1390" s="65"/>
      <c r="F1390" s="46">
        <f t="shared" si="30"/>
        <v>917422</v>
      </c>
      <c r="G1390" s="391" t="s">
        <v>9567</v>
      </c>
    </row>
    <row r="1391" spans="1:7" x14ac:dyDescent="0.3">
      <c r="A1391" s="54"/>
      <c r="C1391" s="5"/>
      <c r="D1391" s="65"/>
      <c r="E1391" s="65"/>
      <c r="F1391" s="46">
        <f t="shared" si="30"/>
        <v>917422</v>
      </c>
      <c r="G1391" s="391" t="s">
        <v>9567</v>
      </c>
    </row>
    <row r="1392" spans="1:7" x14ac:dyDescent="0.3">
      <c r="A1392" s="54"/>
      <c r="C1392" s="5"/>
      <c r="D1392" s="65"/>
      <c r="E1392" s="65"/>
      <c r="F1392" s="46">
        <f t="shared" si="30"/>
        <v>917422</v>
      </c>
      <c r="G1392" s="391" t="s">
        <v>9567</v>
      </c>
    </row>
    <row r="1393" spans="1:7" x14ac:dyDescent="0.3">
      <c r="A1393" s="54"/>
      <c r="C1393" s="5"/>
      <c r="D1393" s="65"/>
      <c r="E1393" s="65"/>
      <c r="F1393" s="46">
        <f t="shared" si="30"/>
        <v>917422</v>
      </c>
      <c r="G1393" s="391" t="s">
        <v>9567</v>
      </c>
    </row>
    <row r="1394" spans="1:7" x14ac:dyDescent="0.3">
      <c r="A1394" s="54"/>
      <c r="C1394" s="5"/>
      <c r="D1394" s="65"/>
      <c r="E1394" s="65"/>
      <c r="F1394" s="46">
        <f t="shared" si="30"/>
        <v>917422</v>
      </c>
      <c r="G1394" s="391" t="s">
        <v>9567</v>
      </c>
    </row>
    <row r="1395" spans="1:7" x14ac:dyDescent="0.3">
      <c r="A1395" s="54"/>
      <c r="C1395" s="5"/>
      <c r="D1395" s="65"/>
      <c r="E1395" s="65"/>
      <c r="F1395" s="46">
        <f t="shared" si="30"/>
        <v>917422</v>
      </c>
      <c r="G1395" s="391" t="s">
        <v>9567</v>
      </c>
    </row>
    <row r="1396" spans="1:7" x14ac:dyDescent="0.3">
      <c r="A1396" s="54"/>
      <c r="C1396" s="5"/>
      <c r="D1396" s="65"/>
      <c r="E1396" s="65"/>
      <c r="F1396" s="46">
        <f t="shared" si="30"/>
        <v>917422</v>
      </c>
      <c r="G1396" s="391" t="s">
        <v>9567</v>
      </c>
    </row>
    <row r="1397" spans="1:7" x14ac:dyDescent="0.3">
      <c r="A1397" s="54"/>
      <c r="C1397" s="5"/>
      <c r="D1397" s="65"/>
      <c r="E1397" s="65"/>
      <c r="F1397" s="46">
        <f t="shared" si="30"/>
        <v>917422</v>
      </c>
      <c r="G1397" s="391" t="s">
        <v>9567</v>
      </c>
    </row>
    <row r="1398" spans="1:7" x14ac:dyDescent="0.3">
      <c r="A1398" s="54"/>
      <c r="C1398" s="5"/>
      <c r="D1398" s="65"/>
      <c r="E1398" s="65"/>
      <c r="F1398" s="46">
        <f t="shared" si="30"/>
        <v>917422</v>
      </c>
      <c r="G1398" s="391" t="s">
        <v>9567</v>
      </c>
    </row>
    <row r="1399" spans="1:7" x14ac:dyDescent="0.3">
      <c r="A1399" s="54"/>
      <c r="C1399" s="5"/>
      <c r="D1399" s="65"/>
      <c r="E1399" s="65"/>
      <c r="F1399" s="46">
        <f t="shared" si="30"/>
        <v>917422</v>
      </c>
      <c r="G1399" s="391" t="s">
        <v>9567</v>
      </c>
    </row>
    <row r="1400" spans="1:7" x14ac:dyDescent="0.3">
      <c r="A1400" s="54"/>
      <c r="C1400" s="5"/>
      <c r="D1400" s="65"/>
      <c r="E1400" s="65"/>
      <c r="F1400" s="46">
        <f t="shared" si="30"/>
        <v>917422</v>
      </c>
      <c r="G1400" s="391" t="s">
        <v>9567</v>
      </c>
    </row>
    <row r="1401" spans="1:7" x14ac:dyDescent="0.3">
      <c r="A1401" s="54"/>
      <c r="C1401" s="5"/>
      <c r="D1401" s="65"/>
      <c r="E1401" s="65"/>
      <c r="F1401" s="46">
        <f t="shared" si="30"/>
        <v>917422</v>
      </c>
      <c r="G1401" s="391" t="s">
        <v>9567</v>
      </c>
    </row>
    <row r="1402" spans="1:7" x14ac:dyDescent="0.3">
      <c r="A1402" s="54"/>
      <c r="C1402" s="5"/>
      <c r="D1402" s="65"/>
      <c r="E1402" s="65"/>
      <c r="F1402" s="46">
        <f t="shared" si="30"/>
        <v>917422</v>
      </c>
      <c r="G1402" s="391" t="s">
        <v>9567</v>
      </c>
    </row>
    <row r="1403" spans="1:7" x14ac:dyDescent="0.3">
      <c r="A1403" s="54"/>
      <c r="C1403" s="5"/>
      <c r="D1403" s="65"/>
      <c r="E1403" s="65"/>
      <c r="F1403" s="46">
        <f t="shared" si="30"/>
        <v>917422</v>
      </c>
      <c r="G1403" s="391" t="s">
        <v>9567</v>
      </c>
    </row>
    <row r="1404" spans="1:7" x14ac:dyDescent="0.3">
      <c r="A1404" s="54"/>
      <c r="C1404" s="5"/>
      <c r="D1404" s="65"/>
      <c r="E1404" s="65"/>
      <c r="F1404" s="46">
        <f t="shared" si="30"/>
        <v>917422</v>
      </c>
      <c r="G1404" s="391" t="s">
        <v>9567</v>
      </c>
    </row>
    <row r="1405" spans="1:7" x14ac:dyDescent="0.3">
      <c r="A1405" s="54"/>
      <c r="C1405" s="5"/>
      <c r="D1405" s="65"/>
      <c r="E1405" s="65"/>
      <c r="F1405" s="46">
        <f t="shared" si="30"/>
        <v>917422</v>
      </c>
      <c r="G1405" s="391" t="s">
        <v>9567</v>
      </c>
    </row>
    <row r="1406" spans="1:7" x14ac:dyDescent="0.3">
      <c r="A1406" s="54"/>
      <c r="C1406" s="5"/>
      <c r="D1406" s="65"/>
      <c r="E1406" s="65"/>
      <c r="F1406" s="46">
        <f t="shared" si="30"/>
        <v>917422</v>
      </c>
      <c r="G1406" s="391" t="s">
        <v>9567</v>
      </c>
    </row>
    <row r="1407" spans="1:7" x14ac:dyDescent="0.3">
      <c r="A1407" s="54"/>
      <c r="C1407" s="5"/>
      <c r="D1407" s="65"/>
      <c r="E1407" s="65"/>
      <c r="F1407" s="46">
        <f t="shared" si="30"/>
        <v>917422</v>
      </c>
      <c r="G1407" s="391" t="s">
        <v>9567</v>
      </c>
    </row>
    <row r="1408" spans="1:7" x14ac:dyDescent="0.3">
      <c r="A1408" s="54"/>
      <c r="C1408" s="5"/>
      <c r="D1408" s="65"/>
      <c r="E1408" s="65"/>
      <c r="F1408" s="46">
        <f t="shared" si="30"/>
        <v>917422</v>
      </c>
      <c r="G1408" s="391" t="s">
        <v>9567</v>
      </c>
    </row>
    <row r="1409" spans="1:7" x14ac:dyDescent="0.3">
      <c r="A1409" s="54"/>
      <c r="C1409" s="5"/>
      <c r="D1409" s="65"/>
      <c r="E1409" s="65"/>
      <c r="F1409" s="46">
        <f t="shared" si="30"/>
        <v>917422</v>
      </c>
      <c r="G1409" s="391" t="s">
        <v>9567</v>
      </c>
    </row>
    <row r="1410" spans="1:7" x14ac:dyDescent="0.3">
      <c r="A1410" s="54"/>
      <c r="C1410" s="5"/>
      <c r="D1410" s="65"/>
      <c r="E1410" s="65"/>
      <c r="F1410" s="46">
        <f t="shared" si="30"/>
        <v>917422</v>
      </c>
      <c r="G1410" s="391" t="s">
        <v>9567</v>
      </c>
    </row>
    <row r="1411" spans="1:7" x14ac:dyDescent="0.3">
      <c r="A1411" s="54"/>
      <c r="C1411" s="5"/>
      <c r="D1411" s="65"/>
      <c r="E1411" s="65"/>
      <c r="F1411" s="46">
        <f t="shared" si="30"/>
        <v>917422</v>
      </c>
      <c r="G1411" s="391" t="s">
        <v>9567</v>
      </c>
    </row>
    <row r="1412" spans="1:7" x14ac:dyDescent="0.3">
      <c r="A1412" s="54"/>
      <c r="C1412" s="5"/>
      <c r="D1412" s="65"/>
      <c r="E1412" s="65"/>
      <c r="F1412" s="46">
        <f t="shared" si="30"/>
        <v>917422</v>
      </c>
      <c r="G1412" s="391" t="s">
        <v>9567</v>
      </c>
    </row>
    <row r="1413" spans="1:7" x14ac:dyDescent="0.3">
      <c r="A1413" s="54"/>
      <c r="C1413" s="5"/>
      <c r="D1413" s="65"/>
      <c r="E1413" s="65"/>
      <c r="F1413" s="46">
        <f t="shared" si="30"/>
        <v>917422</v>
      </c>
      <c r="G1413" s="391" t="s">
        <v>9567</v>
      </c>
    </row>
    <row r="1414" spans="1:7" x14ac:dyDescent="0.3">
      <c r="A1414" s="54"/>
      <c r="C1414" s="5"/>
      <c r="D1414" s="65"/>
      <c r="E1414" s="65"/>
      <c r="F1414" s="46">
        <f t="shared" si="30"/>
        <v>917422</v>
      </c>
      <c r="G1414" s="391" t="s">
        <v>9567</v>
      </c>
    </row>
    <row r="1415" spans="1:7" x14ac:dyDescent="0.3">
      <c r="A1415" s="54"/>
      <c r="C1415" s="5"/>
      <c r="D1415" s="65"/>
      <c r="E1415" s="65"/>
      <c r="F1415" s="46">
        <f t="shared" si="30"/>
        <v>917422</v>
      </c>
      <c r="G1415" s="391" t="s">
        <v>9567</v>
      </c>
    </row>
    <row r="1416" spans="1:7" x14ac:dyDescent="0.3">
      <c r="A1416" s="54"/>
      <c r="C1416" s="5"/>
      <c r="D1416" s="65"/>
      <c r="E1416" s="65"/>
      <c r="F1416" s="46">
        <f t="shared" si="30"/>
        <v>917422</v>
      </c>
      <c r="G1416" s="391" t="s">
        <v>9567</v>
      </c>
    </row>
    <row r="1417" spans="1:7" x14ac:dyDescent="0.3">
      <c r="A1417" s="54"/>
      <c r="C1417" s="5"/>
      <c r="D1417" s="65"/>
      <c r="E1417" s="65"/>
      <c r="F1417" s="46">
        <f t="shared" ref="F1417:F1480" si="31">F1416+E1417-D1417</f>
        <v>917422</v>
      </c>
      <c r="G1417" s="391" t="s">
        <v>9567</v>
      </c>
    </row>
    <row r="1418" spans="1:7" x14ac:dyDescent="0.3">
      <c r="A1418" s="54"/>
      <c r="C1418" s="5"/>
      <c r="D1418" s="65"/>
      <c r="E1418" s="65"/>
      <c r="F1418" s="46">
        <f t="shared" si="31"/>
        <v>917422</v>
      </c>
      <c r="G1418" s="391" t="s">
        <v>9567</v>
      </c>
    </row>
    <row r="1419" spans="1:7" x14ac:dyDescent="0.3">
      <c r="A1419" s="54"/>
      <c r="C1419" s="5"/>
      <c r="D1419" s="65"/>
      <c r="E1419" s="65"/>
      <c r="F1419" s="46">
        <f t="shared" si="31"/>
        <v>917422</v>
      </c>
      <c r="G1419" s="391" t="s">
        <v>9567</v>
      </c>
    </row>
    <row r="1420" spans="1:7" x14ac:dyDescent="0.3">
      <c r="A1420" s="54"/>
      <c r="C1420" s="5"/>
      <c r="D1420" s="65"/>
      <c r="E1420" s="65"/>
      <c r="F1420" s="46">
        <f t="shared" si="31"/>
        <v>917422</v>
      </c>
      <c r="G1420" s="391" t="s">
        <v>9567</v>
      </c>
    </row>
    <row r="1421" spans="1:7" x14ac:dyDescent="0.3">
      <c r="A1421" s="54"/>
      <c r="C1421" s="5"/>
      <c r="D1421" s="65"/>
      <c r="E1421" s="65"/>
      <c r="F1421" s="46">
        <f t="shared" si="31"/>
        <v>917422</v>
      </c>
      <c r="G1421" s="391" t="s">
        <v>9567</v>
      </c>
    </row>
    <row r="1422" spans="1:7" x14ac:dyDescent="0.3">
      <c r="A1422" s="54"/>
      <c r="C1422" s="5"/>
      <c r="D1422" s="65"/>
      <c r="E1422" s="65"/>
      <c r="F1422" s="46">
        <f t="shared" si="31"/>
        <v>917422</v>
      </c>
      <c r="G1422" s="391" t="s">
        <v>9567</v>
      </c>
    </row>
    <row r="1423" spans="1:7" x14ac:dyDescent="0.3">
      <c r="A1423" s="54"/>
      <c r="C1423" s="5"/>
      <c r="D1423" s="65"/>
      <c r="E1423" s="65"/>
      <c r="F1423" s="46">
        <f t="shared" si="31"/>
        <v>917422</v>
      </c>
      <c r="G1423" s="391" t="s">
        <v>9567</v>
      </c>
    </row>
    <row r="1424" spans="1:7" x14ac:dyDescent="0.3">
      <c r="A1424" s="54"/>
      <c r="C1424" s="5"/>
      <c r="D1424" s="65"/>
      <c r="E1424" s="65"/>
      <c r="F1424" s="46">
        <f t="shared" si="31"/>
        <v>917422</v>
      </c>
      <c r="G1424" s="391" t="s">
        <v>9567</v>
      </c>
    </row>
    <row r="1425" spans="1:7" x14ac:dyDescent="0.3">
      <c r="A1425" s="54"/>
      <c r="C1425" s="5"/>
      <c r="D1425" s="65"/>
      <c r="E1425" s="65"/>
      <c r="F1425" s="46">
        <f t="shared" si="31"/>
        <v>917422</v>
      </c>
      <c r="G1425" s="391" t="s">
        <v>9567</v>
      </c>
    </row>
    <row r="1426" spans="1:7" x14ac:dyDescent="0.3">
      <c r="A1426" s="54"/>
      <c r="C1426" s="5"/>
      <c r="D1426" s="65"/>
      <c r="E1426" s="65"/>
      <c r="F1426" s="46">
        <f t="shared" si="31"/>
        <v>917422</v>
      </c>
      <c r="G1426" s="391" t="s">
        <v>9567</v>
      </c>
    </row>
    <row r="1427" spans="1:7" x14ac:dyDescent="0.3">
      <c r="A1427" s="54"/>
      <c r="C1427" s="5"/>
      <c r="D1427" s="65"/>
      <c r="E1427" s="65"/>
      <c r="F1427" s="46">
        <f t="shared" si="31"/>
        <v>917422</v>
      </c>
      <c r="G1427" s="391" t="s">
        <v>9567</v>
      </c>
    </row>
    <row r="1428" spans="1:7" x14ac:dyDescent="0.3">
      <c r="A1428" s="54"/>
      <c r="C1428" s="5"/>
      <c r="D1428" s="65"/>
      <c r="E1428" s="65"/>
      <c r="F1428" s="46">
        <f t="shared" si="31"/>
        <v>917422</v>
      </c>
      <c r="G1428" s="391" t="s">
        <v>9567</v>
      </c>
    </row>
    <row r="1429" spans="1:7" x14ac:dyDescent="0.3">
      <c r="A1429" s="54"/>
      <c r="C1429" s="5"/>
      <c r="D1429" s="65"/>
      <c r="E1429" s="65"/>
      <c r="F1429" s="46">
        <f t="shared" si="31"/>
        <v>917422</v>
      </c>
      <c r="G1429" s="391" t="s">
        <v>9567</v>
      </c>
    </row>
    <row r="1430" spans="1:7" x14ac:dyDescent="0.3">
      <c r="A1430" s="54"/>
      <c r="C1430" s="5"/>
      <c r="D1430" s="65"/>
      <c r="E1430" s="65"/>
      <c r="F1430" s="46">
        <f t="shared" si="31"/>
        <v>917422</v>
      </c>
      <c r="G1430" s="391" t="s">
        <v>9567</v>
      </c>
    </row>
    <row r="1431" spans="1:7" x14ac:dyDescent="0.3">
      <c r="A1431" s="54"/>
      <c r="C1431" s="5"/>
      <c r="D1431" s="65"/>
      <c r="E1431" s="65"/>
      <c r="F1431" s="46">
        <f t="shared" si="31"/>
        <v>917422</v>
      </c>
      <c r="G1431" s="391" t="s">
        <v>9567</v>
      </c>
    </row>
    <row r="1432" spans="1:7" x14ac:dyDescent="0.3">
      <c r="A1432" s="54"/>
      <c r="C1432" s="5"/>
      <c r="D1432" s="65"/>
      <c r="E1432" s="65"/>
      <c r="F1432" s="46">
        <f t="shared" si="31"/>
        <v>917422</v>
      </c>
      <c r="G1432" s="391" t="s">
        <v>9567</v>
      </c>
    </row>
    <row r="1433" spans="1:7" x14ac:dyDescent="0.3">
      <c r="A1433" s="54"/>
      <c r="C1433" s="5"/>
      <c r="D1433" s="65"/>
      <c r="E1433" s="65"/>
      <c r="F1433" s="46">
        <f t="shared" si="31"/>
        <v>917422</v>
      </c>
      <c r="G1433" s="391" t="s">
        <v>9567</v>
      </c>
    </row>
    <row r="1434" spans="1:7" x14ac:dyDescent="0.3">
      <c r="A1434" s="54"/>
      <c r="C1434" s="5"/>
      <c r="D1434" s="65"/>
      <c r="E1434" s="65"/>
      <c r="F1434" s="46">
        <f t="shared" si="31"/>
        <v>917422</v>
      </c>
      <c r="G1434" s="391" t="s">
        <v>9567</v>
      </c>
    </row>
    <row r="1435" spans="1:7" x14ac:dyDescent="0.3">
      <c r="A1435" s="54"/>
      <c r="C1435" s="5"/>
      <c r="D1435" s="65"/>
      <c r="E1435" s="65"/>
      <c r="F1435" s="46">
        <f t="shared" si="31"/>
        <v>917422</v>
      </c>
      <c r="G1435" s="391" t="s">
        <v>9567</v>
      </c>
    </row>
    <row r="1436" spans="1:7" x14ac:dyDescent="0.3">
      <c r="A1436" s="54"/>
      <c r="C1436" s="5"/>
      <c r="D1436" s="65"/>
      <c r="E1436" s="65"/>
      <c r="F1436" s="46">
        <f t="shared" si="31"/>
        <v>917422</v>
      </c>
      <c r="G1436" s="391" t="s">
        <v>9567</v>
      </c>
    </row>
    <row r="1437" spans="1:7" x14ac:dyDescent="0.3">
      <c r="A1437" s="54"/>
      <c r="C1437" s="5"/>
      <c r="D1437" s="65"/>
      <c r="E1437" s="65"/>
      <c r="F1437" s="46">
        <f t="shared" si="31"/>
        <v>917422</v>
      </c>
      <c r="G1437" s="391" t="s">
        <v>9567</v>
      </c>
    </row>
    <row r="1438" spans="1:7" x14ac:dyDescent="0.3">
      <c r="A1438" s="54"/>
      <c r="C1438" s="5"/>
      <c r="D1438" s="65"/>
      <c r="E1438" s="65"/>
      <c r="F1438" s="46">
        <f t="shared" si="31"/>
        <v>917422</v>
      </c>
      <c r="G1438" s="391" t="s">
        <v>9567</v>
      </c>
    </row>
    <row r="1439" spans="1:7" x14ac:dyDescent="0.3">
      <c r="A1439" s="54"/>
      <c r="C1439" s="5"/>
      <c r="D1439" s="65"/>
      <c r="E1439" s="65"/>
      <c r="F1439" s="46">
        <f t="shared" si="31"/>
        <v>917422</v>
      </c>
      <c r="G1439" s="391" t="s">
        <v>9567</v>
      </c>
    </row>
    <row r="1440" spans="1:7" x14ac:dyDescent="0.3">
      <c r="A1440" s="54"/>
      <c r="C1440" s="5"/>
      <c r="D1440" s="65"/>
      <c r="E1440" s="65"/>
      <c r="F1440" s="46">
        <f t="shared" si="31"/>
        <v>917422</v>
      </c>
      <c r="G1440" s="391" t="s">
        <v>9567</v>
      </c>
    </row>
    <row r="1441" spans="1:7" x14ac:dyDescent="0.3">
      <c r="A1441" s="54"/>
      <c r="C1441" s="5"/>
      <c r="D1441" s="65"/>
      <c r="E1441" s="65"/>
      <c r="F1441" s="46">
        <f t="shared" si="31"/>
        <v>917422</v>
      </c>
      <c r="G1441" s="391" t="s">
        <v>9567</v>
      </c>
    </row>
    <row r="1442" spans="1:7" x14ac:dyDescent="0.3">
      <c r="A1442" s="54"/>
      <c r="C1442" s="5"/>
      <c r="D1442" s="65"/>
      <c r="E1442" s="65"/>
      <c r="F1442" s="46">
        <f t="shared" si="31"/>
        <v>917422</v>
      </c>
      <c r="G1442" s="391" t="s">
        <v>9567</v>
      </c>
    </row>
    <row r="1443" spans="1:7" x14ac:dyDescent="0.3">
      <c r="A1443" s="54"/>
      <c r="C1443" s="5"/>
      <c r="D1443" s="65"/>
      <c r="E1443" s="65"/>
      <c r="F1443" s="46">
        <f t="shared" si="31"/>
        <v>917422</v>
      </c>
      <c r="G1443" s="391" t="s">
        <v>9567</v>
      </c>
    </row>
    <row r="1444" spans="1:7" x14ac:dyDescent="0.3">
      <c r="A1444" s="54"/>
      <c r="C1444" s="5"/>
      <c r="D1444" s="65"/>
      <c r="E1444" s="65"/>
      <c r="F1444" s="46">
        <f t="shared" si="31"/>
        <v>917422</v>
      </c>
      <c r="G1444" s="391" t="s">
        <v>9567</v>
      </c>
    </row>
    <row r="1445" spans="1:7" x14ac:dyDescent="0.3">
      <c r="A1445" s="54"/>
      <c r="C1445" s="5"/>
      <c r="D1445" s="65"/>
      <c r="E1445" s="65"/>
      <c r="F1445" s="46">
        <f t="shared" si="31"/>
        <v>917422</v>
      </c>
      <c r="G1445" s="391" t="s">
        <v>9567</v>
      </c>
    </row>
    <row r="1446" spans="1:7" x14ac:dyDescent="0.3">
      <c r="A1446" s="54"/>
      <c r="C1446" s="5"/>
      <c r="D1446" s="65"/>
      <c r="E1446" s="65"/>
      <c r="F1446" s="46">
        <f t="shared" si="31"/>
        <v>917422</v>
      </c>
      <c r="G1446" s="391" t="s">
        <v>9567</v>
      </c>
    </row>
    <row r="1447" spans="1:7" x14ac:dyDescent="0.3">
      <c r="A1447" s="54"/>
      <c r="C1447" s="5"/>
      <c r="D1447" s="65"/>
      <c r="E1447" s="65"/>
      <c r="F1447" s="46">
        <f t="shared" si="31"/>
        <v>917422</v>
      </c>
      <c r="G1447" s="391" t="s">
        <v>9567</v>
      </c>
    </row>
    <row r="1448" spans="1:7" x14ac:dyDescent="0.3">
      <c r="A1448" s="54"/>
      <c r="C1448" s="5"/>
      <c r="D1448" s="65"/>
      <c r="E1448" s="65"/>
      <c r="F1448" s="46">
        <f t="shared" si="31"/>
        <v>917422</v>
      </c>
      <c r="G1448" s="391" t="s">
        <v>9567</v>
      </c>
    </row>
    <row r="1449" spans="1:7" x14ac:dyDescent="0.3">
      <c r="A1449" s="54"/>
      <c r="C1449" s="5"/>
      <c r="D1449" s="65"/>
      <c r="E1449" s="65"/>
      <c r="F1449" s="46">
        <f t="shared" si="31"/>
        <v>917422</v>
      </c>
      <c r="G1449" s="391" t="s">
        <v>9567</v>
      </c>
    </row>
    <row r="1450" spans="1:7" x14ac:dyDescent="0.3">
      <c r="A1450" s="54"/>
      <c r="C1450" s="5"/>
      <c r="D1450" s="65"/>
      <c r="E1450" s="65"/>
      <c r="F1450" s="46">
        <f t="shared" si="31"/>
        <v>917422</v>
      </c>
      <c r="G1450" s="391" t="s">
        <v>9567</v>
      </c>
    </row>
    <row r="1451" spans="1:7" x14ac:dyDescent="0.3">
      <c r="A1451" s="54"/>
      <c r="C1451" s="5"/>
      <c r="D1451" s="65"/>
      <c r="E1451" s="65"/>
      <c r="F1451" s="46">
        <f t="shared" si="31"/>
        <v>917422</v>
      </c>
      <c r="G1451" s="391" t="s">
        <v>9567</v>
      </c>
    </row>
    <row r="1452" spans="1:7" x14ac:dyDescent="0.3">
      <c r="A1452" s="54"/>
      <c r="C1452" s="5"/>
      <c r="D1452" s="65"/>
      <c r="E1452" s="65"/>
      <c r="F1452" s="46">
        <f t="shared" si="31"/>
        <v>917422</v>
      </c>
      <c r="G1452" s="391" t="s">
        <v>9567</v>
      </c>
    </row>
    <row r="1453" spans="1:7" x14ac:dyDescent="0.3">
      <c r="A1453" s="54"/>
      <c r="C1453" s="5"/>
      <c r="D1453" s="65"/>
      <c r="E1453" s="65"/>
      <c r="F1453" s="46">
        <f t="shared" si="31"/>
        <v>917422</v>
      </c>
      <c r="G1453" s="391" t="s">
        <v>9567</v>
      </c>
    </row>
    <row r="1454" spans="1:7" x14ac:dyDescent="0.3">
      <c r="A1454" s="54"/>
      <c r="C1454" s="5"/>
      <c r="D1454" s="65"/>
      <c r="E1454" s="65"/>
      <c r="F1454" s="46">
        <f t="shared" si="31"/>
        <v>917422</v>
      </c>
      <c r="G1454" s="391" t="s">
        <v>9567</v>
      </c>
    </row>
    <row r="1455" spans="1:7" x14ac:dyDescent="0.3">
      <c r="A1455" s="54"/>
      <c r="C1455" s="5"/>
      <c r="D1455" s="65"/>
      <c r="E1455" s="65"/>
      <c r="F1455" s="46">
        <f t="shared" si="31"/>
        <v>917422</v>
      </c>
      <c r="G1455" s="391" t="s">
        <v>9567</v>
      </c>
    </row>
    <row r="1456" spans="1:7" x14ac:dyDescent="0.3">
      <c r="A1456" s="54"/>
      <c r="C1456" s="5"/>
      <c r="D1456" s="65"/>
      <c r="E1456" s="65"/>
      <c r="F1456" s="46">
        <f t="shared" si="31"/>
        <v>917422</v>
      </c>
      <c r="G1456" s="391" t="s">
        <v>9567</v>
      </c>
    </row>
    <row r="1457" spans="1:7" x14ac:dyDescent="0.3">
      <c r="A1457" s="54"/>
      <c r="C1457" s="5"/>
      <c r="D1457" s="65"/>
      <c r="E1457" s="65"/>
      <c r="F1457" s="46">
        <f t="shared" si="31"/>
        <v>917422</v>
      </c>
      <c r="G1457" s="391" t="s">
        <v>9567</v>
      </c>
    </row>
    <row r="1458" spans="1:7" x14ac:dyDescent="0.3">
      <c r="A1458" s="54"/>
      <c r="C1458" s="5"/>
      <c r="D1458" s="65"/>
      <c r="E1458" s="65"/>
      <c r="F1458" s="46">
        <f t="shared" si="31"/>
        <v>917422</v>
      </c>
      <c r="G1458" s="391" t="s">
        <v>9567</v>
      </c>
    </row>
    <row r="1459" spans="1:7" x14ac:dyDescent="0.3">
      <c r="A1459" s="54"/>
      <c r="C1459" s="5"/>
      <c r="D1459" s="65"/>
      <c r="E1459" s="65"/>
      <c r="F1459" s="46">
        <f t="shared" si="31"/>
        <v>917422</v>
      </c>
      <c r="G1459" s="391" t="s">
        <v>9567</v>
      </c>
    </row>
    <row r="1460" spans="1:7" x14ac:dyDescent="0.3">
      <c r="A1460" s="54"/>
      <c r="C1460" s="5"/>
      <c r="D1460" s="65"/>
      <c r="E1460" s="65"/>
      <c r="F1460" s="46">
        <f t="shared" si="31"/>
        <v>917422</v>
      </c>
      <c r="G1460" s="391" t="s">
        <v>9567</v>
      </c>
    </row>
    <row r="1461" spans="1:7" x14ac:dyDescent="0.3">
      <c r="A1461" s="54"/>
      <c r="C1461" s="5"/>
      <c r="D1461" s="65"/>
      <c r="E1461" s="65"/>
      <c r="F1461" s="46">
        <f t="shared" si="31"/>
        <v>917422</v>
      </c>
      <c r="G1461" s="391" t="s">
        <v>9567</v>
      </c>
    </row>
    <row r="1462" spans="1:7" x14ac:dyDescent="0.3">
      <c r="A1462" s="54"/>
      <c r="C1462" s="5"/>
      <c r="D1462" s="65"/>
      <c r="E1462" s="65"/>
      <c r="F1462" s="46">
        <f t="shared" si="31"/>
        <v>917422</v>
      </c>
      <c r="G1462" s="391" t="s">
        <v>9567</v>
      </c>
    </row>
    <row r="1463" spans="1:7" x14ac:dyDescent="0.3">
      <c r="A1463" s="54"/>
      <c r="C1463" s="5"/>
      <c r="D1463" s="65"/>
      <c r="E1463" s="65"/>
      <c r="F1463" s="46">
        <f t="shared" si="31"/>
        <v>917422</v>
      </c>
      <c r="G1463" s="391" t="s">
        <v>9567</v>
      </c>
    </row>
    <row r="1464" spans="1:7" x14ac:dyDescent="0.3">
      <c r="A1464" s="54"/>
      <c r="C1464" s="5"/>
      <c r="D1464" s="65"/>
      <c r="E1464" s="65"/>
      <c r="F1464" s="46">
        <f t="shared" si="31"/>
        <v>917422</v>
      </c>
      <c r="G1464" s="391" t="s">
        <v>9567</v>
      </c>
    </row>
    <row r="1465" spans="1:7" x14ac:dyDescent="0.3">
      <c r="A1465" s="54"/>
      <c r="C1465" s="5"/>
      <c r="D1465" s="65"/>
      <c r="E1465" s="65"/>
      <c r="F1465" s="46">
        <f t="shared" si="31"/>
        <v>917422</v>
      </c>
      <c r="G1465" s="391" t="s">
        <v>9567</v>
      </c>
    </row>
    <row r="1466" spans="1:7" x14ac:dyDescent="0.3">
      <c r="A1466" s="54"/>
      <c r="C1466" s="5"/>
      <c r="D1466" s="65"/>
      <c r="E1466" s="65"/>
      <c r="F1466" s="46">
        <f t="shared" si="31"/>
        <v>917422</v>
      </c>
      <c r="G1466" s="391" t="s">
        <v>9567</v>
      </c>
    </row>
    <row r="1467" spans="1:7" x14ac:dyDescent="0.3">
      <c r="A1467" s="54"/>
      <c r="C1467" s="5"/>
      <c r="D1467" s="65"/>
      <c r="E1467" s="65"/>
      <c r="F1467" s="46">
        <f t="shared" si="31"/>
        <v>917422</v>
      </c>
      <c r="G1467" s="391" t="s">
        <v>9567</v>
      </c>
    </row>
    <row r="1468" spans="1:7" x14ac:dyDescent="0.3">
      <c r="A1468" s="54"/>
      <c r="C1468" s="5"/>
      <c r="D1468" s="65"/>
      <c r="E1468" s="65"/>
      <c r="F1468" s="46">
        <f t="shared" si="31"/>
        <v>917422</v>
      </c>
      <c r="G1468" s="391" t="s">
        <v>9567</v>
      </c>
    </row>
    <row r="1469" spans="1:7" x14ac:dyDescent="0.3">
      <c r="A1469" s="54"/>
      <c r="C1469" s="5"/>
      <c r="D1469" s="65"/>
      <c r="E1469" s="65"/>
      <c r="F1469" s="46">
        <f t="shared" si="31"/>
        <v>917422</v>
      </c>
      <c r="G1469" s="391" t="s">
        <v>9567</v>
      </c>
    </row>
    <row r="1470" spans="1:7" x14ac:dyDescent="0.3">
      <c r="A1470" s="54"/>
      <c r="C1470" s="5"/>
      <c r="D1470" s="65"/>
      <c r="E1470" s="65"/>
      <c r="F1470" s="46">
        <f t="shared" si="31"/>
        <v>917422</v>
      </c>
      <c r="G1470" s="391" t="s">
        <v>9567</v>
      </c>
    </row>
    <row r="1471" spans="1:7" x14ac:dyDescent="0.3">
      <c r="A1471" s="54"/>
      <c r="C1471" s="5"/>
      <c r="D1471" s="65"/>
      <c r="E1471" s="65"/>
      <c r="F1471" s="46">
        <f t="shared" si="31"/>
        <v>917422</v>
      </c>
      <c r="G1471" s="391" t="s">
        <v>9567</v>
      </c>
    </row>
    <row r="1472" spans="1:7" x14ac:dyDescent="0.3">
      <c r="A1472" s="54"/>
      <c r="C1472" s="5"/>
      <c r="D1472" s="65"/>
      <c r="E1472" s="65"/>
      <c r="F1472" s="46">
        <f t="shared" si="31"/>
        <v>917422</v>
      </c>
      <c r="G1472" s="391" t="s">
        <v>9567</v>
      </c>
    </row>
    <row r="1473" spans="1:7" x14ac:dyDescent="0.3">
      <c r="A1473" s="54"/>
      <c r="C1473" s="5"/>
      <c r="D1473" s="65"/>
      <c r="E1473" s="65"/>
      <c r="F1473" s="46">
        <f t="shared" si="31"/>
        <v>917422</v>
      </c>
      <c r="G1473" s="391" t="s">
        <v>9567</v>
      </c>
    </row>
    <row r="1474" spans="1:7" x14ac:dyDescent="0.3">
      <c r="A1474" s="54"/>
      <c r="C1474" s="5"/>
      <c r="D1474" s="65"/>
      <c r="E1474" s="65"/>
      <c r="F1474" s="46">
        <f t="shared" si="31"/>
        <v>917422</v>
      </c>
      <c r="G1474" s="391" t="s">
        <v>9567</v>
      </c>
    </row>
    <row r="1475" spans="1:7" x14ac:dyDescent="0.3">
      <c r="A1475" s="54"/>
      <c r="C1475" s="5"/>
      <c r="D1475" s="65"/>
      <c r="E1475" s="65"/>
      <c r="F1475" s="46">
        <f t="shared" si="31"/>
        <v>917422</v>
      </c>
      <c r="G1475" s="391" t="s">
        <v>9567</v>
      </c>
    </row>
    <row r="1476" spans="1:7" x14ac:dyDescent="0.3">
      <c r="A1476" s="54"/>
      <c r="C1476" s="5"/>
      <c r="D1476" s="65"/>
      <c r="E1476" s="65"/>
      <c r="F1476" s="46">
        <f t="shared" si="31"/>
        <v>917422</v>
      </c>
      <c r="G1476" s="391" t="s">
        <v>9567</v>
      </c>
    </row>
    <row r="1477" spans="1:7" x14ac:dyDescent="0.3">
      <c r="A1477" s="54"/>
      <c r="C1477" s="5"/>
      <c r="D1477" s="65"/>
      <c r="E1477" s="65"/>
      <c r="F1477" s="46">
        <f t="shared" si="31"/>
        <v>917422</v>
      </c>
      <c r="G1477" s="391" t="s">
        <v>9567</v>
      </c>
    </row>
    <row r="1478" spans="1:7" x14ac:dyDescent="0.3">
      <c r="A1478" s="54"/>
      <c r="C1478" s="5"/>
      <c r="D1478" s="65"/>
      <c r="E1478" s="65"/>
      <c r="F1478" s="46">
        <f t="shared" si="31"/>
        <v>917422</v>
      </c>
      <c r="G1478" s="391" t="s">
        <v>9567</v>
      </c>
    </row>
    <row r="1479" spans="1:7" x14ac:dyDescent="0.3">
      <c r="A1479" s="54"/>
      <c r="C1479" s="5"/>
      <c r="D1479" s="65"/>
      <c r="E1479" s="65"/>
      <c r="F1479" s="46">
        <f t="shared" si="31"/>
        <v>917422</v>
      </c>
      <c r="G1479" s="391" t="s">
        <v>9567</v>
      </c>
    </row>
    <row r="1480" spans="1:7" x14ac:dyDescent="0.3">
      <c r="A1480" s="54"/>
      <c r="C1480" s="5"/>
      <c r="D1480" s="65"/>
      <c r="E1480" s="65"/>
      <c r="F1480" s="46">
        <f t="shared" si="31"/>
        <v>917422</v>
      </c>
      <c r="G1480" s="391" t="s">
        <v>9567</v>
      </c>
    </row>
    <row r="1481" spans="1:7" x14ac:dyDescent="0.3">
      <c r="A1481" s="54"/>
      <c r="C1481" s="5"/>
      <c r="D1481" s="65"/>
      <c r="E1481" s="65"/>
      <c r="F1481" s="46">
        <f t="shared" ref="F1481:F1544" si="32">F1480+E1481-D1481</f>
        <v>917422</v>
      </c>
      <c r="G1481" s="391" t="s">
        <v>9567</v>
      </c>
    </row>
    <row r="1482" spans="1:7" x14ac:dyDescent="0.3">
      <c r="A1482" s="54"/>
      <c r="C1482" s="5"/>
      <c r="D1482" s="65"/>
      <c r="E1482" s="65"/>
      <c r="F1482" s="46">
        <f t="shared" si="32"/>
        <v>917422</v>
      </c>
      <c r="G1482" s="391" t="s">
        <v>9567</v>
      </c>
    </row>
    <row r="1483" spans="1:7" x14ac:dyDescent="0.3">
      <c r="A1483" s="54"/>
      <c r="C1483" s="5"/>
      <c r="D1483" s="65"/>
      <c r="E1483" s="65"/>
      <c r="F1483" s="46">
        <f t="shared" si="32"/>
        <v>917422</v>
      </c>
      <c r="G1483" s="391" t="s">
        <v>9567</v>
      </c>
    </row>
    <row r="1484" spans="1:7" x14ac:dyDescent="0.3">
      <c r="A1484" s="54"/>
      <c r="C1484" s="5"/>
      <c r="D1484" s="65"/>
      <c r="E1484" s="65"/>
      <c r="F1484" s="46">
        <f t="shared" si="32"/>
        <v>917422</v>
      </c>
      <c r="G1484" s="391" t="s">
        <v>9567</v>
      </c>
    </row>
    <row r="1485" spans="1:7" x14ac:dyDescent="0.3">
      <c r="A1485" s="54"/>
      <c r="C1485" s="5"/>
      <c r="D1485" s="65"/>
      <c r="E1485" s="65"/>
      <c r="F1485" s="46">
        <f t="shared" si="32"/>
        <v>917422</v>
      </c>
      <c r="G1485" s="391" t="s">
        <v>9567</v>
      </c>
    </row>
    <row r="1486" spans="1:7" x14ac:dyDescent="0.3">
      <c r="A1486" s="54"/>
      <c r="C1486" s="5"/>
      <c r="D1486" s="65"/>
      <c r="E1486" s="65"/>
      <c r="F1486" s="46">
        <f t="shared" si="32"/>
        <v>917422</v>
      </c>
      <c r="G1486" s="391" t="s">
        <v>9567</v>
      </c>
    </row>
    <row r="1487" spans="1:7" x14ac:dyDescent="0.3">
      <c r="A1487" s="54"/>
      <c r="C1487" s="5"/>
      <c r="D1487" s="65"/>
      <c r="E1487" s="65"/>
      <c r="F1487" s="46">
        <f t="shared" si="32"/>
        <v>917422</v>
      </c>
      <c r="G1487" s="391" t="s">
        <v>9567</v>
      </c>
    </row>
    <row r="1488" spans="1:7" x14ac:dyDescent="0.3">
      <c r="A1488" s="54"/>
      <c r="C1488" s="5"/>
      <c r="D1488" s="65"/>
      <c r="E1488" s="65"/>
      <c r="F1488" s="46">
        <f t="shared" si="32"/>
        <v>917422</v>
      </c>
      <c r="G1488" s="391" t="s">
        <v>9567</v>
      </c>
    </row>
    <row r="1489" spans="1:7" x14ac:dyDescent="0.3">
      <c r="A1489" s="54"/>
      <c r="C1489" s="5"/>
      <c r="D1489" s="65"/>
      <c r="E1489" s="65"/>
      <c r="F1489" s="46">
        <f t="shared" si="32"/>
        <v>917422</v>
      </c>
      <c r="G1489" s="391" t="s">
        <v>9567</v>
      </c>
    </row>
    <row r="1490" spans="1:7" x14ac:dyDescent="0.3">
      <c r="A1490" s="54"/>
      <c r="C1490" s="5"/>
      <c r="D1490" s="65"/>
      <c r="E1490" s="65"/>
      <c r="F1490" s="46">
        <f t="shared" si="32"/>
        <v>917422</v>
      </c>
      <c r="G1490" s="391" t="s">
        <v>9567</v>
      </c>
    </row>
    <row r="1491" spans="1:7" x14ac:dyDescent="0.3">
      <c r="A1491" s="54"/>
      <c r="C1491" s="5"/>
      <c r="D1491" s="65"/>
      <c r="E1491" s="65"/>
      <c r="F1491" s="46">
        <f t="shared" si="32"/>
        <v>917422</v>
      </c>
      <c r="G1491" s="391" t="s">
        <v>9567</v>
      </c>
    </row>
    <row r="1492" spans="1:7" x14ac:dyDescent="0.3">
      <c r="A1492" s="54"/>
      <c r="C1492" s="5"/>
      <c r="D1492" s="65"/>
      <c r="E1492" s="65"/>
      <c r="F1492" s="46">
        <f t="shared" si="32"/>
        <v>917422</v>
      </c>
      <c r="G1492" s="391" t="s">
        <v>9567</v>
      </c>
    </row>
    <row r="1493" spans="1:7" x14ac:dyDescent="0.3">
      <c r="A1493" s="54"/>
      <c r="C1493" s="5"/>
      <c r="D1493" s="65"/>
      <c r="E1493" s="65"/>
      <c r="F1493" s="46">
        <f t="shared" si="32"/>
        <v>917422</v>
      </c>
      <c r="G1493" s="391" t="s">
        <v>9567</v>
      </c>
    </row>
    <row r="1494" spans="1:7" x14ac:dyDescent="0.3">
      <c r="A1494" s="54"/>
      <c r="C1494" s="5"/>
      <c r="D1494" s="65"/>
      <c r="E1494" s="65"/>
      <c r="F1494" s="46">
        <f t="shared" si="32"/>
        <v>917422</v>
      </c>
      <c r="G1494" s="391" t="s">
        <v>9567</v>
      </c>
    </row>
    <row r="1495" spans="1:7" x14ac:dyDescent="0.3">
      <c r="A1495" s="54"/>
      <c r="C1495" s="5"/>
      <c r="D1495" s="65"/>
      <c r="E1495" s="65"/>
      <c r="F1495" s="46">
        <f t="shared" si="32"/>
        <v>917422</v>
      </c>
      <c r="G1495" s="391" t="s">
        <v>9567</v>
      </c>
    </row>
    <row r="1496" spans="1:7" x14ac:dyDescent="0.3">
      <c r="A1496" s="54"/>
      <c r="C1496" s="5"/>
      <c r="D1496" s="65"/>
      <c r="E1496" s="65"/>
      <c r="F1496" s="46">
        <f t="shared" si="32"/>
        <v>917422</v>
      </c>
      <c r="G1496" s="391" t="s">
        <v>9567</v>
      </c>
    </row>
    <row r="1497" spans="1:7" x14ac:dyDescent="0.3">
      <c r="A1497" s="54"/>
      <c r="C1497" s="5"/>
      <c r="D1497" s="65"/>
      <c r="E1497" s="65"/>
      <c r="F1497" s="46">
        <f t="shared" si="32"/>
        <v>917422</v>
      </c>
      <c r="G1497" s="391" t="s">
        <v>9567</v>
      </c>
    </row>
    <row r="1498" spans="1:7" x14ac:dyDescent="0.3">
      <c r="A1498" s="54"/>
      <c r="C1498" s="5"/>
      <c r="D1498" s="65"/>
      <c r="E1498" s="65"/>
      <c r="F1498" s="46">
        <f t="shared" si="32"/>
        <v>917422</v>
      </c>
      <c r="G1498" s="391" t="s">
        <v>9567</v>
      </c>
    </row>
    <row r="1499" spans="1:7" x14ac:dyDescent="0.3">
      <c r="A1499" s="54"/>
      <c r="C1499" s="5"/>
      <c r="D1499" s="65"/>
      <c r="E1499" s="65"/>
      <c r="F1499" s="46">
        <f t="shared" si="32"/>
        <v>917422</v>
      </c>
      <c r="G1499" s="391" t="s">
        <v>9567</v>
      </c>
    </row>
    <row r="1500" spans="1:7" x14ac:dyDescent="0.3">
      <c r="A1500" s="54"/>
      <c r="C1500" s="5"/>
      <c r="D1500" s="65"/>
      <c r="E1500" s="65"/>
      <c r="F1500" s="46">
        <f t="shared" si="32"/>
        <v>917422</v>
      </c>
      <c r="G1500" s="391" t="s">
        <v>9567</v>
      </c>
    </row>
    <row r="1501" spans="1:7" x14ac:dyDescent="0.3">
      <c r="A1501" s="54"/>
      <c r="C1501" s="5"/>
      <c r="D1501" s="65"/>
      <c r="E1501" s="65"/>
      <c r="F1501" s="46">
        <f t="shared" si="32"/>
        <v>917422</v>
      </c>
      <c r="G1501" s="391" t="s">
        <v>9567</v>
      </c>
    </row>
    <row r="1502" spans="1:7" x14ac:dyDescent="0.3">
      <c r="A1502" s="54"/>
      <c r="C1502" s="5"/>
      <c r="D1502" s="65"/>
      <c r="E1502" s="65"/>
      <c r="F1502" s="46">
        <f t="shared" si="32"/>
        <v>917422</v>
      </c>
      <c r="G1502" s="391" t="s">
        <v>9567</v>
      </c>
    </row>
    <row r="1503" spans="1:7" x14ac:dyDescent="0.3">
      <c r="A1503" s="54"/>
      <c r="C1503" s="5"/>
      <c r="D1503" s="65"/>
      <c r="E1503" s="65"/>
      <c r="F1503" s="46">
        <f t="shared" si="32"/>
        <v>917422</v>
      </c>
      <c r="G1503" s="391" t="s">
        <v>9567</v>
      </c>
    </row>
    <row r="1504" spans="1:7" x14ac:dyDescent="0.3">
      <c r="A1504" s="54"/>
      <c r="C1504" s="5"/>
      <c r="D1504" s="65"/>
      <c r="E1504" s="65"/>
      <c r="F1504" s="46">
        <f t="shared" si="32"/>
        <v>917422</v>
      </c>
      <c r="G1504" s="391" t="s">
        <v>9567</v>
      </c>
    </row>
    <row r="1505" spans="1:7" x14ac:dyDescent="0.3">
      <c r="A1505" s="54"/>
      <c r="C1505" s="5"/>
      <c r="D1505" s="65"/>
      <c r="E1505" s="65"/>
      <c r="F1505" s="46">
        <f t="shared" si="32"/>
        <v>917422</v>
      </c>
      <c r="G1505" s="391" t="s">
        <v>9567</v>
      </c>
    </row>
    <row r="1506" spans="1:7" x14ac:dyDescent="0.3">
      <c r="A1506" s="54"/>
      <c r="C1506" s="5"/>
      <c r="D1506" s="65"/>
      <c r="E1506" s="65"/>
      <c r="F1506" s="46">
        <f t="shared" si="32"/>
        <v>917422</v>
      </c>
      <c r="G1506" s="391" t="s">
        <v>9567</v>
      </c>
    </row>
    <row r="1507" spans="1:7" x14ac:dyDescent="0.3">
      <c r="A1507" s="54"/>
      <c r="C1507" s="5"/>
      <c r="D1507" s="65"/>
      <c r="E1507" s="65"/>
      <c r="F1507" s="46">
        <f t="shared" si="32"/>
        <v>917422</v>
      </c>
      <c r="G1507" s="391" t="s">
        <v>9567</v>
      </c>
    </row>
    <row r="1508" spans="1:7" x14ac:dyDescent="0.3">
      <c r="A1508" s="54"/>
      <c r="C1508" s="5"/>
      <c r="D1508" s="65"/>
      <c r="E1508" s="65"/>
      <c r="F1508" s="46">
        <f t="shared" si="32"/>
        <v>917422</v>
      </c>
      <c r="G1508" s="391" t="s">
        <v>9567</v>
      </c>
    </row>
    <row r="1509" spans="1:7" x14ac:dyDescent="0.3">
      <c r="A1509" s="54"/>
      <c r="C1509" s="5"/>
      <c r="D1509" s="65"/>
      <c r="E1509" s="65"/>
      <c r="F1509" s="46">
        <f t="shared" si="32"/>
        <v>917422</v>
      </c>
      <c r="G1509" s="391" t="s">
        <v>9567</v>
      </c>
    </row>
    <row r="1510" spans="1:7" x14ac:dyDescent="0.3">
      <c r="A1510" s="54"/>
      <c r="C1510" s="5"/>
      <c r="D1510" s="65"/>
      <c r="E1510" s="65"/>
      <c r="F1510" s="46">
        <f t="shared" si="32"/>
        <v>917422</v>
      </c>
      <c r="G1510" s="391" t="s">
        <v>9567</v>
      </c>
    </row>
    <row r="1511" spans="1:7" x14ac:dyDescent="0.3">
      <c r="A1511" s="54"/>
      <c r="C1511" s="5"/>
      <c r="D1511" s="65"/>
      <c r="E1511" s="65"/>
      <c r="F1511" s="46">
        <f t="shared" si="32"/>
        <v>917422</v>
      </c>
      <c r="G1511" s="391" t="s">
        <v>9567</v>
      </c>
    </row>
    <row r="1512" spans="1:7" x14ac:dyDescent="0.3">
      <c r="A1512" s="54"/>
      <c r="C1512" s="5"/>
      <c r="D1512" s="65"/>
      <c r="E1512" s="65"/>
      <c r="F1512" s="46">
        <f t="shared" si="32"/>
        <v>917422</v>
      </c>
      <c r="G1512" s="391" t="s">
        <v>9567</v>
      </c>
    </row>
    <row r="1513" spans="1:7" x14ac:dyDescent="0.3">
      <c r="A1513" s="54"/>
      <c r="C1513" s="5"/>
      <c r="D1513" s="65"/>
      <c r="E1513" s="65"/>
      <c r="F1513" s="46">
        <f t="shared" si="32"/>
        <v>917422</v>
      </c>
      <c r="G1513" s="391" t="s">
        <v>9567</v>
      </c>
    </row>
    <row r="1514" spans="1:7" x14ac:dyDescent="0.3">
      <c r="A1514" s="54"/>
      <c r="C1514" s="5"/>
      <c r="D1514" s="65"/>
      <c r="E1514" s="65"/>
      <c r="F1514" s="46">
        <f t="shared" si="32"/>
        <v>917422</v>
      </c>
      <c r="G1514" s="391" t="s">
        <v>9567</v>
      </c>
    </row>
    <row r="1515" spans="1:7" x14ac:dyDescent="0.3">
      <c r="A1515" s="54"/>
      <c r="C1515" s="5"/>
      <c r="D1515" s="65"/>
      <c r="E1515" s="65"/>
      <c r="F1515" s="46">
        <f t="shared" si="32"/>
        <v>917422</v>
      </c>
      <c r="G1515" s="391" t="s">
        <v>9567</v>
      </c>
    </row>
    <row r="1516" spans="1:7" x14ac:dyDescent="0.3">
      <c r="A1516" s="54"/>
      <c r="C1516" s="5"/>
      <c r="D1516" s="65"/>
      <c r="E1516" s="65"/>
      <c r="F1516" s="46">
        <f t="shared" si="32"/>
        <v>917422</v>
      </c>
      <c r="G1516" s="391" t="s">
        <v>9567</v>
      </c>
    </row>
    <row r="1517" spans="1:7" x14ac:dyDescent="0.3">
      <c r="A1517" s="54"/>
      <c r="C1517" s="5"/>
      <c r="D1517" s="65"/>
      <c r="E1517" s="65"/>
      <c r="F1517" s="46">
        <f t="shared" si="32"/>
        <v>917422</v>
      </c>
      <c r="G1517" s="391" t="s">
        <v>9567</v>
      </c>
    </row>
    <row r="1518" spans="1:7" x14ac:dyDescent="0.3">
      <c r="A1518" s="54"/>
      <c r="C1518" s="5"/>
      <c r="D1518" s="65"/>
      <c r="E1518" s="65"/>
      <c r="F1518" s="46">
        <f t="shared" si="32"/>
        <v>917422</v>
      </c>
      <c r="G1518" s="391" t="s">
        <v>9567</v>
      </c>
    </row>
    <row r="1519" spans="1:7" x14ac:dyDescent="0.3">
      <c r="A1519" s="54"/>
      <c r="C1519" s="5"/>
      <c r="D1519" s="65"/>
      <c r="E1519" s="65"/>
      <c r="F1519" s="46">
        <f t="shared" si="32"/>
        <v>917422</v>
      </c>
      <c r="G1519" s="391" t="s">
        <v>9567</v>
      </c>
    </row>
    <row r="1520" spans="1:7" x14ac:dyDescent="0.3">
      <c r="A1520" s="54"/>
      <c r="C1520" s="5"/>
      <c r="D1520" s="65"/>
      <c r="E1520" s="65"/>
      <c r="F1520" s="46">
        <f t="shared" si="32"/>
        <v>917422</v>
      </c>
      <c r="G1520" s="391" t="s">
        <v>9567</v>
      </c>
    </row>
    <row r="1521" spans="1:7" x14ac:dyDescent="0.3">
      <c r="A1521" s="54"/>
      <c r="C1521" s="5"/>
      <c r="D1521" s="65"/>
      <c r="E1521" s="65"/>
      <c r="F1521" s="46">
        <f t="shared" si="32"/>
        <v>917422</v>
      </c>
      <c r="G1521" s="391" t="s">
        <v>9567</v>
      </c>
    </row>
    <row r="1522" spans="1:7" x14ac:dyDescent="0.3">
      <c r="A1522" s="54"/>
      <c r="C1522" s="5"/>
      <c r="D1522" s="65"/>
      <c r="E1522" s="65"/>
      <c r="F1522" s="46">
        <f t="shared" si="32"/>
        <v>917422</v>
      </c>
      <c r="G1522" s="391" t="s">
        <v>9567</v>
      </c>
    </row>
    <row r="1523" spans="1:7" x14ac:dyDescent="0.3">
      <c r="A1523" s="54"/>
      <c r="C1523" s="5"/>
      <c r="D1523" s="65"/>
      <c r="E1523" s="65"/>
      <c r="F1523" s="46">
        <f t="shared" si="32"/>
        <v>917422</v>
      </c>
      <c r="G1523" s="391" t="s">
        <v>9567</v>
      </c>
    </row>
    <row r="1524" spans="1:7" x14ac:dyDescent="0.3">
      <c r="A1524" s="54"/>
      <c r="C1524" s="5"/>
      <c r="D1524" s="65"/>
      <c r="E1524" s="65"/>
      <c r="F1524" s="46">
        <f t="shared" si="32"/>
        <v>917422</v>
      </c>
      <c r="G1524" s="391" t="s">
        <v>9567</v>
      </c>
    </row>
    <row r="1525" spans="1:7" x14ac:dyDescent="0.3">
      <c r="A1525" s="54"/>
      <c r="C1525" s="5"/>
      <c r="D1525" s="65"/>
      <c r="E1525" s="65"/>
      <c r="F1525" s="46">
        <f t="shared" si="32"/>
        <v>917422</v>
      </c>
      <c r="G1525" s="391" t="s">
        <v>9567</v>
      </c>
    </row>
    <row r="1526" spans="1:7" x14ac:dyDescent="0.3">
      <c r="A1526" s="54"/>
      <c r="C1526" s="5"/>
      <c r="D1526" s="65"/>
      <c r="E1526" s="65"/>
      <c r="F1526" s="46">
        <f t="shared" si="32"/>
        <v>917422</v>
      </c>
      <c r="G1526" s="391" t="s">
        <v>9567</v>
      </c>
    </row>
    <row r="1527" spans="1:7" x14ac:dyDescent="0.3">
      <c r="A1527" s="54"/>
      <c r="C1527" s="5"/>
      <c r="D1527" s="65"/>
      <c r="E1527" s="65"/>
      <c r="F1527" s="46">
        <f t="shared" si="32"/>
        <v>917422</v>
      </c>
      <c r="G1527" s="391" t="s">
        <v>9567</v>
      </c>
    </row>
    <row r="1528" spans="1:7" x14ac:dyDescent="0.3">
      <c r="A1528" s="54"/>
      <c r="C1528" s="5"/>
      <c r="D1528" s="65"/>
      <c r="E1528" s="65"/>
      <c r="F1528" s="46">
        <f t="shared" si="32"/>
        <v>917422</v>
      </c>
      <c r="G1528" s="391" t="s">
        <v>9567</v>
      </c>
    </row>
    <row r="1529" spans="1:7" x14ac:dyDescent="0.3">
      <c r="A1529" s="54"/>
      <c r="C1529" s="5"/>
      <c r="D1529" s="65"/>
      <c r="E1529" s="65"/>
      <c r="F1529" s="46">
        <f t="shared" si="32"/>
        <v>917422</v>
      </c>
      <c r="G1529" s="391" t="s">
        <v>9567</v>
      </c>
    </row>
    <row r="1530" spans="1:7" x14ac:dyDescent="0.3">
      <c r="A1530" s="54"/>
      <c r="C1530" s="5"/>
      <c r="D1530" s="65"/>
      <c r="E1530" s="65"/>
      <c r="F1530" s="46">
        <f t="shared" si="32"/>
        <v>917422</v>
      </c>
      <c r="G1530" s="391" t="s">
        <v>9567</v>
      </c>
    </row>
    <row r="1531" spans="1:7" x14ac:dyDescent="0.3">
      <c r="A1531" s="54"/>
      <c r="C1531" s="5"/>
      <c r="D1531" s="65"/>
      <c r="E1531" s="65"/>
      <c r="F1531" s="46">
        <f t="shared" si="32"/>
        <v>917422</v>
      </c>
      <c r="G1531" s="391" t="s">
        <v>9567</v>
      </c>
    </row>
    <row r="1532" spans="1:7" x14ac:dyDescent="0.3">
      <c r="A1532" s="54"/>
      <c r="C1532" s="5"/>
      <c r="D1532" s="65"/>
      <c r="E1532" s="65"/>
      <c r="F1532" s="46">
        <f t="shared" si="32"/>
        <v>917422</v>
      </c>
      <c r="G1532" s="391" t="s">
        <v>9567</v>
      </c>
    </row>
    <row r="1533" spans="1:7" x14ac:dyDescent="0.3">
      <c r="A1533" s="54"/>
      <c r="C1533" s="5"/>
      <c r="D1533" s="65"/>
      <c r="E1533" s="65"/>
      <c r="F1533" s="46">
        <f t="shared" si="32"/>
        <v>917422</v>
      </c>
      <c r="G1533" s="391" t="s">
        <v>9567</v>
      </c>
    </row>
    <row r="1534" spans="1:7" x14ac:dyDescent="0.3">
      <c r="A1534" s="54"/>
      <c r="C1534" s="5"/>
      <c r="D1534" s="65"/>
      <c r="E1534" s="65"/>
      <c r="F1534" s="46">
        <f t="shared" si="32"/>
        <v>917422</v>
      </c>
      <c r="G1534" s="391" t="s">
        <v>9567</v>
      </c>
    </row>
    <row r="1535" spans="1:7" x14ac:dyDescent="0.3">
      <c r="A1535" s="54"/>
      <c r="C1535" s="5"/>
      <c r="D1535" s="65"/>
      <c r="E1535" s="65"/>
      <c r="F1535" s="46">
        <f t="shared" si="32"/>
        <v>917422</v>
      </c>
      <c r="G1535" s="391" t="s">
        <v>9567</v>
      </c>
    </row>
    <row r="1536" spans="1:7" x14ac:dyDescent="0.3">
      <c r="A1536" s="54"/>
      <c r="C1536" s="5"/>
      <c r="D1536" s="65"/>
      <c r="E1536" s="65"/>
      <c r="F1536" s="46">
        <f t="shared" si="32"/>
        <v>917422</v>
      </c>
      <c r="G1536" s="391" t="s">
        <v>9567</v>
      </c>
    </row>
    <row r="1537" spans="1:7" x14ac:dyDescent="0.3">
      <c r="A1537" s="54"/>
      <c r="C1537" s="5"/>
      <c r="D1537" s="65"/>
      <c r="E1537" s="65"/>
      <c r="F1537" s="46">
        <f t="shared" si="32"/>
        <v>917422</v>
      </c>
      <c r="G1537" s="391" t="s">
        <v>9567</v>
      </c>
    </row>
    <row r="1538" spans="1:7" x14ac:dyDescent="0.3">
      <c r="A1538" s="54"/>
      <c r="C1538" s="5"/>
      <c r="D1538" s="65"/>
      <c r="E1538" s="65"/>
      <c r="F1538" s="46">
        <f t="shared" si="32"/>
        <v>917422</v>
      </c>
      <c r="G1538" s="391" t="s">
        <v>9567</v>
      </c>
    </row>
    <row r="1539" spans="1:7" x14ac:dyDescent="0.3">
      <c r="A1539" s="54"/>
      <c r="C1539" s="5"/>
      <c r="D1539" s="65"/>
      <c r="E1539" s="65"/>
      <c r="F1539" s="46">
        <f t="shared" si="32"/>
        <v>917422</v>
      </c>
      <c r="G1539" s="391" t="s">
        <v>9567</v>
      </c>
    </row>
    <row r="1540" spans="1:7" x14ac:dyDescent="0.3">
      <c r="A1540" s="54"/>
      <c r="C1540" s="5"/>
      <c r="D1540" s="65"/>
      <c r="E1540" s="65"/>
      <c r="F1540" s="46">
        <f t="shared" si="32"/>
        <v>917422</v>
      </c>
      <c r="G1540" s="391" t="s">
        <v>9567</v>
      </c>
    </row>
    <row r="1541" spans="1:7" x14ac:dyDescent="0.3">
      <c r="A1541" s="54"/>
      <c r="C1541" s="5"/>
      <c r="D1541" s="65"/>
      <c r="E1541" s="65"/>
      <c r="F1541" s="46">
        <f t="shared" si="32"/>
        <v>917422</v>
      </c>
      <c r="G1541" s="391" t="s">
        <v>9567</v>
      </c>
    </row>
    <row r="1542" spans="1:7" x14ac:dyDescent="0.3">
      <c r="A1542" s="54"/>
      <c r="C1542" s="5"/>
      <c r="D1542" s="65"/>
      <c r="E1542" s="65"/>
      <c r="F1542" s="46">
        <f t="shared" si="32"/>
        <v>917422</v>
      </c>
      <c r="G1542" s="391" t="s">
        <v>9567</v>
      </c>
    </row>
    <row r="1543" spans="1:7" x14ac:dyDescent="0.3">
      <c r="A1543" s="54"/>
      <c r="C1543" s="5"/>
      <c r="D1543" s="65"/>
      <c r="E1543" s="65"/>
      <c r="F1543" s="46">
        <f t="shared" si="32"/>
        <v>917422</v>
      </c>
      <c r="G1543" s="391" t="s">
        <v>9567</v>
      </c>
    </row>
    <row r="1544" spans="1:7" x14ac:dyDescent="0.3">
      <c r="A1544" s="54"/>
      <c r="C1544" s="5"/>
      <c r="D1544" s="65"/>
      <c r="E1544" s="65"/>
      <c r="F1544" s="46">
        <f t="shared" si="32"/>
        <v>917422</v>
      </c>
      <c r="G1544" s="391" t="s">
        <v>9567</v>
      </c>
    </row>
    <row r="1545" spans="1:7" x14ac:dyDescent="0.3">
      <c r="A1545" s="54"/>
      <c r="C1545" s="5"/>
      <c r="D1545" s="65"/>
      <c r="E1545" s="65"/>
      <c r="F1545" s="46">
        <f t="shared" ref="F1545:F1608" si="33">F1544+E1545-D1545</f>
        <v>917422</v>
      </c>
      <c r="G1545" s="391" t="s">
        <v>9567</v>
      </c>
    </row>
    <row r="1546" spans="1:7" x14ac:dyDescent="0.3">
      <c r="A1546" s="54"/>
      <c r="C1546" s="5"/>
      <c r="D1546" s="65"/>
      <c r="E1546" s="65"/>
      <c r="F1546" s="46">
        <f t="shared" si="33"/>
        <v>917422</v>
      </c>
      <c r="G1546" s="391" t="s">
        <v>9567</v>
      </c>
    </row>
    <row r="1547" spans="1:7" x14ac:dyDescent="0.3">
      <c r="A1547" s="54"/>
      <c r="C1547" s="5"/>
      <c r="D1547" s="65"/>
      <c r="E1547" s="65"/>
      <c r="F1547" s="46">
        <f t="shared" si="33"/>
        <v>917422</v>
      </c>
      <c r="G1547" s="391" t="s">
        <v>9567</v>
      </c>
    </row>
    <row r="1548" spans="1:7" x14ac:dyDescent="0.3">
      <c r="A1548" s="54"/>
      <c r="C1548" s="5"/>
      <c r="D1548" s="65"/>
      <c r="E1548" s="65"/>
      <c r="F1548" s="46">
        <f t="shared" si="33"/>
        <v>917422</v>
      </c>
      <c r="G1548" s="391" t="s">
        <v>9567</v>
      </c>
    </row>
    <row r="1549" spans="1:7" x14ac:dyDescent="0.3">
      <c r="A1549" s="54"/>
      <c r="C1549" s="5"/>
      <c r="D1549" s="65"/>
      <c r="E1549" s="65"/>
      <c r="F1549" s="46">
        <f t="shared" si="33"/>
        <v>917422</v>
      </c>
      <c r="G1549" s="391" t="s">
        <v>9567</v>
      </c>
    </row>
    <row r="1550" spans="1:7" x14ac:dyDescent="0.3">
      <c r="A1550" s="54"/>
      <c r="C1550" s="5"/>
      <c r="D1550" s="65"/>
      <c r="E1550" s="65"/>
      <c r="F1550" s="46">
        <f t="shared" si="33"/>
        <v>917422</v>
      </c>
      <c r="G1550" s="391" t="s">
        <v>9567</v>
      </c>
    </row>
    <row r="1551" spans="1:7" x14ac:dyDescent="0.3">
      <c r="A1551" s="54"/>
      <c r="C1551" s="5"/>
      <c r="D1551" s="65"/>
      <c r="E1551" s="65"/>
      <c r="F1551" s="46">
        <f t="shared" si="33"/>
        <v>917422</v>
      </c>
      <c r="G1551" s="391" t="s">
        <v>9567</v>
      </c>
    </row>
    <row r="1552" spans="1:7" x14ac:dyDescent="0.3">
      <c r="A1552" s="54"/>
      <c r="C1552" s="5"/>
      <c r="D1552" s="65"/>
      <c r="E1552" s="65"/>
      <c r="F1552" s="46">
        <f t="shared" si="33"/>
        <v>917422</v>
      </c>
      <c r="G1552" s="391" t="s">
        <v>9567</v>
      </c>
    </row>
    <row r="1553" spans="1:7" x14ac:dyDescent="0.3">
      <c r="A1553" s="54"/>
      <c r="C1553" s="5"/>
      <c r="D1553" s="65"/>
      <c r="E1553" s="65"/>
      <c r="F1553" s="46">
        <f t="shared" si="33"/>
        <v>917422</v>
      </c>
      <c r="G1553" s="391" t="s">
        <v>9567</v>
      </c>
    </row>
    <row r="1554" spans="1:7" x14ac:dyDescent="0.3">
      <c r="A1554" s="54"/>
      <c r="C1554" s="5"/>
      <c r="D1554" s="65"/>
      <c r="E1554" s="65"/>
      <c r="F1554" s="46">
        <f t="shared" si="33"/>
        <v>917422</v>
      </c>
      <c r="G1554" s="391" t="s">
        <v>9567</v>
      </c>
    </row>
    <row r="1555" spans="1:7" x14ac:dyDescent="0.3">
      <c r="A1555" s="54"/>
      <c r="C1555" s="5"/>
      <c r="D1555" s="65"/>
      <c r="E1555" s="65"/>
      <c r="F1555" s="46">
        <f t="shared" si="33"/>
        <v>917422</v>
      </c>
      <c r="G1555" s="391" t="s">
        <v>9567</v>
      </c>
    </row>
    <row r="1556" spans="1:7" x14ac:dyDescent="0.3">
      <c r="A1556" s="54"/>
      <c r="C1556" s="5"/>
      <c r="D1556" s="65"/>
      <c r="E1556" s="65"/>
      <c r="F1556" s="46">
        <f t="shared" si="33"/>
        <v>917422</v>
      </c>
      <c r="G1556" s="391" t="s">
        <v>9567</v>
      </c>
    </row>
    <row r="1557" spans="1:7" x14ac:dyDescent="0.3">
      <c r="A1557" s="54"/>
      <c r="C1557" s="5"/>
      <c r="D1557" s="65"/>
      <c r="E1557" s="65"/>
      <c r="F1557" s="46">
        <f t="shared" si="33"/>
        <v>917422</v>
      </c>
      <c r="G1557" s="391" t="s">
        <v>9567</v>
      </c>
    </row>
    <row r="1558" spans="1:7" x14ac:dyDescent="0.3">
      <c r="A1558" s="54"/>
      <c r="C1558" s="5"/>
      <c r="D1558" s="65"/>
      <c r="E1558" s="65"/>
      <c r="F1558" s="46">
        <f t="shared" si="33"/>
        <v>917422</v>
      </c>
      <c r="G1558" s="391" t="s">
        <v>9567</v>
      </c>
    </row>
    <row r="1559" spans="1:7" x14ac:dyDescent="0.3">
      <c r="A1559" s="54"/>
      <c r="C1559" s="5"/>
      <c r="D1559" s="65"/>
      <c r="E1559" s="65"/>
      <c r="F1559" s="46">
        <f t="shared" si="33"/>
        <v>917422</v>
      </c>
      <c r="G1559" s="391" t="s">
        <v>9567</v>
      </c>
    </row>
    <row r="1560" spans="1:7" x14ac:dyDescent="0.3">
      <c r="A1560" s="54"/>
      <c r="C1560" s="5"/>
      <c r="D1560" s="65"/>
      <c r="E1560" s="65"/>
      <c r="F1560" s="46">
        <f t="shared" si="33"/>
        <v>917422</v>
      </c>
      <c r="G1560" s="391" t="s">
        <v>9567</v>
      </c>
    </row>
    <row r="1561" spans="1:7" x14ac:dyDescent="0.3">
      <c r="A1561" s="54"/>
      <c r="C1561" s="5"/>
      <c r="D1561" s="65"/>
      <c r="E1561" s="65"/>
      <c r="F1561" s="46">
        <f t="shared" si="33"/>
        <v>917422</v>
      </c>
      <c r="G1561" s="391" t="s">
        <v>9567</v>
      </c>
    </row>
    <row r="1562" spans="1:7" x14ac:dyDescent="0.3">
      <c r="A1562" s="54"/>
      <c r="C1562" s="5"/>
      <c r="D1562" s="65"/>
      <c r="E1562" s="65"/>
      <c r="F1562" s="46">
        <f t="shared" si="33"/>
        <v>917422</v>
      </c>
      <c r="G1562" s="391" t="s">
        <v>9567</v>
      </c>
    </row>
    <row r="1563" spans="1:7" x14ac:dyDescent="0.3">
      <c r="A1563" s="54"/>
      <c r="C1563" s="5"/>
      <c r="D1563" s="65"/>
      <c r="E1563" s="65"/>
      <c r="F1563" s="46">
        <f t="shared" si="33"/>
        <v>917422</v>
      </c>
      <c r="G1563" s="391" t="s">
        <v>9567</v>
      </c>
    </row>
    <row r="1564" spans="1:7" x14ac:dyDescent="0.3">
      <c r="A1564" s="54"/>
      <c r="C1564" s="5"/>
      <c r="D1564" s="65"/>
      <c r="E1564" s="65"/>
      <c r="F1564" s="46">
        <f t="shared" si="33"/>
        <v>917422</v>
      </c>
      <c r="G1564" s="391" t="s">
        <v>9567</v>
      </c>
    </row>
    <row r="1565" spans="1:7" x14ac:dyDescent="0.3">
      <c r="A1565" s="54"/>
      <c r="C1565" s="5"/>
      <c r="D1565" s="65"/>
      <c r="E1565" s="65"/>
      <c r="F1565" s="46">
        <f t="shared" si="33"/>
        <v>917422</v>
      </c>
      <c r="G1565" s="391" t="s">
        <v>9567</v>
      </c>
    </row>
    <row r="1566" spans="1:7" x14ac:dyDescent="0.3">
      <c r="A1566" s="54"/>
      <c r="C1566" s="5"/>
      <c r="D1566" s="65"/>
      <c r="E1566" s="65"/>
      <c r="F1566" s="46">
        <f t="shared" si="33"/>
        <v>917422</v>
      </c>
      <c r="G1566" s="391" t="s">
        <v>9567</v>
      </c>
    </row>
    <row r="1567" spans="1:7" x14ac:dyDescent="0.3">
      <c r="A1567" s="54"/>
      <c r="C1567" s="5"/>
      <c r="D1567" s="65"/>
      <c r="E1567" s="65"/>
      <c r="F1567" s="46">
        <f t="shared" si="33"/>
        <v>917422</v>
      </c>
      <c r="G1567" s="391" t="s">
        <v>9567</v>
      </c>
    </row>
    <row r="1568" spans="1:7" x14ac:dyDescent="0.3">
      <c r="A1568" s="54"/>
      <c r="C1568" s="5"/>
      <c r="D1568" s="65"/>
      <c r="E1568" s="65"/>
      <c r="F1568" s="46">
        <f t="shared" si="33"/>
        <v>917422</v>
      </c>
      <c r="G1568" s="391" t="s">
        <v>9567</v>
      </c>
    </row>
    <row r="1569" spans="1:7" x14ac:dyDescent="0.3">
      <c r="A1569" s="54"/>
      <c r="C1569" s="5"/>
      <c r="D1569" s="65"/>
      <c r="E1569" s="65"/>
      <c r="F1569" s="46">
        <f t="shared" si="33"/>
        <v>917422</v>
      </c>
      <c r="G1569" s="391" t="s">
        <v>9567</v>
      </c>
    </row>
    <row r="1570" spans="1:7" x14ac:dyDescent="0.3">
      <c r="A1570" s="54"/>
      <c r="C1570" s="5"/>
      <c r="D1570" s="65"/>
      <c r="E1570" s="65"/>
      <c r="F1570" s="46">
        <f t="shared" si="33"/>
        <v>917422</v>
      </c>
      <c r="G1570" s="391" t="s">
        <v>9567</v>
      </c>
    </row>
    <row r="1571" spans="1:7" x14ac:dyDescent="0.3">
      <c r="A1571" s="54"/>
      <c r="C1571" s="5"/>
      <c r="D1571" s="65"/>
      <c r="E1571" s="65"/>
      <c r="F1571" s="46">
        <f t="shared" si="33"/>
        <v>917422</v>
      </c>
      <c r="G1571" s="391" t="s">
        <v>9567</v>
      </c>
    </row>
    <row r="1572" spans="1:7" x14ac:dyDescent="0.3">
      <c r="A1572" s="54"/>
      <c r="C1572" s="5"/>
      <c r="D1572" s="65"/>
      <c r="E1572" s="65"/>
      <c r="F1572" s="46">
        <f t="shared" si="33"/>
        <v>917422</v>
      </c>
      <c r="G1572" s="391" t="s">
        <v>9567</v>
      </c>
    </row>
    <row r="1573" spans="1:7" x14ac:dyDescent="0.3">
      <c r="A1573" s="54"/>
      <c r="C1573" s="5"/>
      <c r="D1573" s="65"/>
      <c r="E1573" s="65"/>
      <c r="F1573" s="46">
        <f t="shared" si="33"/>
        <v>917422</v>
      </c>
      <c r="G1573" s="391" t="s">
        <v>9567</v>
      </c>
    </row>
    <row r="1574" spans="1:7" x14ac:dyDescent="0.3">
      <c r="A1574" s="54"/>
      <c r="C1574" s="5"/>
      <c r="D1574" s="65"/>
      <c r="E1574" s="65"/>
      <c r="F1574" s="46">
        <f t="shared" si="33"/>
        <v>917422</v>
      </c>
      <c r="G1574" s="391" t="s">
        <v>9567</v>
      </c>
    </row>
    <row r="1575" spans="1:7" x14ac:dyDescent="0.3">
      <c r="A1575" s="54"/>
      <c r="C1575" s="5"/>
      <c r="D1575" s="65"/>
      <c r="E1575" s="65"/>
      <c r="F1575" s="46">
        <f t="shared" si="33"/>
        <v>917422</v>
      </c>
      <c r="G1575" s="391" t="s">
        <v>9567</v>
      </c>
    </row>
    <row r="1576" spans="1:7" x14ac:dyDescent="0.3">
      <c r="A1576" s="54"/>
      <c r="C1576" s="5"/>
      <c r="D1576" s="65"/>
      <c r="E1576" s="65"/>
      <c r="F1576" s="46">
        <f t="shared" si="33"/>
        <v>917422</v>
      </c>
      <c r="G1576" s="391" t="s">
        <v>9567</v>
      </c>
    </row>
    <row r="1577" spans="1:7" x14ac:dyDescent="0.3">
      <c r="A1577" s="54"/>
      <c r="C1577" s="5"/>
      <c r="D1577" s="65"/>
      <c r="E1577" s="65"/>
      <c r="F1577" s="46">
        <f t="shared" si="33"/>
        <v>917422</v>
      </c>
      <c r="G1577" s="391" t="s">
        <v>9567</v>
      </c>
    </row>
    <row r="1578" spans="1:7" x14ac:dyDescent="0.3">
      <c r="A1578" s="54"/>
      <c r="C1578" s="5"/>
      <c r="D1578" s="65"/>
      <c r="E1578" s="65"/>
      <c r="F1578" s="46">
        <f t="shared" si="33"/>
        <v>917422</v>
      </c>
      <c r="G1578" s="391" t="s">
        <v>9567</v>
      </c>
    </row>
    <row r="1579" spans="1:7" x14ac:dyDescent="0.3">
      <c r="A1579" s="54"/>
      <c r="C1579" s="5"/>
      <c r="D1579" s="65"/>
      <c r="E1579" s="65"/>
      <c r="F1579" s="46">
        <f t="shared" si="33"/>
        <v>917422</v>
      </c>
      <c r="G1579" s="391" t="s">
        <v>9567</v>
      </c>
    </row>
    <row r="1580" spans="1:7" x14ac:dyDescent="0.3">
      <c r="A1580" s="54"/>
      <c r="C1580" s="5"/>
      <c r="D1580" s="65"/>
      <c r="E1580" s="65"/>
      <c r="F1580" s="46">
        <f t="shared" si="33"/>
        <v>917422</v>
      </c>
      <c r="G1580" s="391" t="s">
        <v>9567</v>
      </c>
    </row>
    <row r="1581" spans="1:7" x14ac:dyDescent="0.3">
      <c r="A1581" s="54"/>
      <c r="C1581" s="5"/>
      <c r="D1581" s="65"/>
      <c r="E1581" s="65"/>
      <c r="F1581" s="46">
        <f t="shared" si="33"/>
        <v>917422</v>
      </c>
      <c r="G1581" s="391" t="s">
        <v>9567</v>
      </c>
    </row>
    <row r="1582" spans="1:7" x14ac:dyDescent="0.3">
      <c r="A1582" s="54"/>
      <c r="C1582" s="5"/>
      <c r="D1582" s="65"/>
      <c r="E1582" s="65"/>
      <c r="F1582" s="46">
        <f t="shared" si="33"/>
        <v>917422</v>
      </c>
      <c r="G1582" s="391" t="s">
        <v>9567</v>
      </c>
    </row>
    <row r="1583" spans="1:7" x14ac:dyDescent="0.3">
      <c r="A1583" s="54"/>
      <c r="C1583" s="5"/>
      <c r="D1583" s="65"/>
      <c r="E1583" s="65"/>
      <c r="F1583" s="46">
        <f t="shared" si="33"/>
        <v>917422</v>
      </c>
      <c r="G1583" s="391" t="s">
        <v>9567</v>
      </c>
    </row>
    <row r="1584" spans="1:7" x14ac:dyDescent="0.3">
      <c r="A1584" s="54"/>
      <c r="C1584" s="5"/>
      <c r="D1584" s="65"/>
      <c r="E1584" s="65"/>
      <c r="F1584" s="46">
        <f t="shared" si="33"/>
        <v>917422</v>
      </c>
      <c r="G1584" s="391" t="s">
        <v>9567</v>
      </c>
    </row>
    <row r="1585" spans="1:7" x14ac:dyDescent="0.3">
      <c r="A1585" s="54"/>
      <c r="C1585" s="5"/>
      <c r="D1585" s="65"/>
      <c r="E1585" s="65"/>
      <c r="F1585" s="46">
        <f t="shared" si="33"/>
        <v>917422</v>
      </c>
      <c r="G1585" s="391" t="s">
        <v>9567</v>
      </c>
    </row>
    <row r="1586" spans="1:7" x14ac:dyDescent="0.3">
      <c r="A1586" s="54"/>
      <c r="C1586" s="5"/>
      <c r="D1586" s="65"/>
      <c r="E1586" s="65"/>
      <c r="F1586" s="46">
        <f t="shared" si="33"/>
        <v>917422</v>
      </c>
      <c r="G1586" s="391" t="s">
        <v>9567</v>
      </c>
    </row>
    <row r="1587" spans="1:7" x14ac:dyDescent="0.3">
      <c r="A1587" s="54"/>
      <c r="C1587" s="5"/>
      <c r="D1587" s="65"/>
      <c r="E1587" s="65"/>
      <c r="F1587" s="46">
        <f t="shared" si="33"/>
        <v>917422</v>
      </c>
      <c r="G1587" s="391" t="s">
        <v>9567</v>
      </c>
    </row>
    <row r="1588" spans="1:7" x14ac:dyDescent="0.3">
      <c r="A1588" s="54"/>
      <c r="C1588" s="5"/>
      <c r="D1588" s="65"/>
      <c r="E1588" s="65"/>
      <c r="F1588" s="46">
        <f t="shared" si="33"/>
        <v>917422</v>
      </c>
      <c r="G1588" s="391" t="s">
        <v>9567</v>
      </c>
    </row>
    <row r="1589" spans="1:7" x14ac:dyDescent="0.3">
      <c r="A1589" s="54"/>
      <c r="C1589" s="5"/>
      <c r="D1589" s="65"/>
      <c r="E1589" s="65"/>
      <c r="F1589" s="46">
        <f t="shared" si="33"/>
        <v>917422</v>
      </c>
      <c r="G1589" s="391" t="s">
        <v>9567</v>
      </c>
    </row>
    <row r="1590" spans="1:7" x14ac:dyDescent="0.3">
      <c r="A1590" s="54"/>
      <c r="C1590" s="5"/>
      <c r="D1590" s="65"/>
      <c r="E1590" s="65"/>
      <c r="F1590" s="46">
        <f t="shared" si="33"/>
        <v>917422</v>
      </c>
      <c r="G1590" s="391" t="s">
        <v>9567</v>
      </c>
    </row>
    <row r="1591" spans="1:7" x14ac:dyDescent="0.3">
      <c r="A1591" s="54"/>
      <c r="C1591" s="5"/>
      <c r="D1591" s="65"/>
      <c r="E1591" s="65"/>
      <c r="F1591" s="46">
        <f t="shared" si="33"/>
        <v>917422</v>
      </c>
      <c r="G1591" s="391" t="s">
        <v>9567</v>
      </c>
    </row>
    <row r="1592" spans="1:7" x14ac:dyDescent="0.3">
      <c r="A1592" s="54"/>
      <c r="C1592" s="5"/>
      <c r="D1592" s="65"/>
      <c r="E1592" s="65"/>
      <c r="F1592" s="46">
        <f t="shared" si="33"/>
        <v>917422</v>
      </c>
      <c r="G1592" s="391" t="s">
        <v>9567</v>
      </c>
    </row>
    <row r="1593" spans="1:7" x14ac:dyDescent="0.3">
      <c r="A1593" s="54"/>
      <c r="C1593" s="5"/>
      <c r="D1593" s="65"/>
      <c r="E1593" s="65"/>
      <c r="F1593" s="46">
        <f t="shared" si="33"/>
        <v>917422</v>
      </c>
      <c r="G1593" s="391" t="s">
        <v>9567</v>
      </c>
    </row>
    <row r="1594" spans="1:7" x14ac:dyDescent="0.3">
      <c r="A1594" s="54"/>
      <c r="C1594" s="5"/>
      <c r="D1594" s="65"/>
      <c r="E1594" s="65"/>
      <c r="F1594" s="46">
        <f t="shared" si="33"/>
        <v>917422</v>
      </c>
      <c r="G1594" s="391" t="s">
        <v>9567</v>
      </c>
    </row>
    <row r="1595" spans="1:7" x14ac:dyDescent="0.3">
      <c r="A1595" s="54"/>
      <c r="C1595" s="5"/>
      <c r="D1595" s="65"/>
      <c r="E1595" s="65"/>
      <c r="F1595" s="46">
        <f t="shared" si="33"/>
        <v>917422</v>
      </c>
      <c r="G1595" s="391" t="s">
        <v>9567</v>
      </c>
    </row>
    <row r="1596" spans="1:7" x14ac:dyDescent="0.3">
      <c r="A1596" s="54"/>
      <c r="C1596" s="5"/>
      <c r="D1596" s="65"/>
      <c r="E1596" s="65"/>
      <c r="F1596" s="46">
        <f t="shared" si="33"/>
        <v>917422</v>
      </c>
      <c r="G1596" s="391" t="s">
        <v>9567</v>
      </c>
    </row>
    <row r="1597" spans="1:7" x14ac:dyDescent="0.3">
      <c r="A1597" s="54"/>
      <c r="C1597" s="5"/>
      <c r="D1597" s="65"/>
      <c r="E1597" s="65"/>
      <c r="F1597" s="46">
        <f t="shared" si="33"/>
        <v>917422</v>
      </c>
      <c r="G1597" s="391" t="s">
        <v>9567</v>
      </c>
    </row>
    <row r="1598" spans="1:7" x14ac:dyDescent="0.3">
      <c r="A1598" s="54"/>
      <c r="C1598" s="5"/>
      <c r="D1598" s="65"/>
      <c r="E1598" s="65"/>
      <c r="F1598" s="46">
        <f t="shared" si="33"/>
        <v>917422</v>
      </c>
      <c r="G1598" s="391" t="s">
        <v>9567</v>
      </c>
    </row>
    <row r="1599" spans="1:7" x14ac:dyDescent="0.3">
      <c r="A1599" s="54"/>
      <c r="C1599" s="5"/>
      <c r="D1599" s="65"/>
      <c r="E1599" s="65"/>
      <c r="F1599" s="46">
        <f t="shared" si="33"/>
        <v>917422</v>
      </c>
      <c r="G1599" s="391" t="s">
        <v>9567</v>
      </c>
    </row>
    <row r="1600" spans="1:7" x14ac:dyDescent="0.3">
      <c r="A1600" s="54"/>
      <c r="C1600" s="5"/>
      <c r="D1600" s="65"/>
      <c r="E1600" s="65"/>
      <c r="F1600" s="46">
        <f t="shared" si="33"/>
        <v>917422</v>
      </c>
      <c r="G1600" s="391" t="s">
        <v>9567</v>
      </c>
    </row>
    <row r="1601" spans="1:7" x14ac:dyDescent="0.3">
      <c r="A1601" s="54"/>
      <c r="C1601" s="5"/>
      <c r="D1601" s="65"/>
      <c r="E1601" s="65"/>
      <c r="F1601" s="46">
        <f t="shared" si="33"/>
        <v>917422</v>
      </c>
      <c r="G1601" s="391" t="s">
        <v>9567</v>
      </c>
    </row>
    <row r="1602" spans="1:7" x14ac:dyDescent="0.3">
      <c r="A1602" s="54"/>
      <c r="C1602" s="5"/>
      <c r="D1602" s="65"/>
      <c r="E1602" s="65"/>
      <c r="F1602" s="46">
        <f t="shared" si="33"/>
        <v>917422</v>
      </c>
      <c r="G1602" s="391" t="s">
        <v>9567</v>
      </c>
    </row>
    <row r="1603" spans="1:7" x14ac:dyDescent="0.3">
      <c r="A1603" s="54"/>
      <c r="C1603" s="5"/>
      <c r="D1603" s="65"/>
      <c r="E1603" s="65"/>
      <c r="F1603" s="46">
        <f t="shared" si="33"/>
        <v>917422</v>
      </c>
      <c r="G1603" s="391" t="s">
        <v>9567</v>
      </c>
    </row>
    <row r="1604" spans="1:7" x14ac:dyDescent="0.3">
      <c r="A1604" s="54"/>
      <c r="C1604" s="5"/>
      <c r="D1604" s="65"/>
      <c r="E1604" s="65"/>
      <c r="F1604" s="46">
        <f t="shared" si="33"/>
        <v>917422</v>
      </c>
      <c r="G1604" s="391" t="s">
        <v>9567</v>
      </c>
    </row>
    <row r="1605" spans="1:7" x14ac:dyDescent="0.3">
      <c r="A1605" s="54"/>
      <c r="C1605" s="5"/>
      <c r="D1605" s="65"/>
      <c r="E1605" s="65"/>
      <c r="F1605" s="46">
        <f t="shared" si="33"/>
        <v>917422</v>
      </c>
      <c r="G1605" s="391" t="s">
        <v>9567</v>
      </c>
    </row>
    <row r="1606" spans="1:7" x14ac:dyDescent="0.3">
      <c r="A1606" s="54"/>
      <c r="C1606" s="5"/>
      <c r="D1606" s="65"/>
      <c r="E1606" s="65"/>
      <c r="F1606" s="46">
        <f t="shared" si="33"/>
        <v>917422</v>
      </c>
      <c r="G1606" s="391" t="s">
        <v>9567</v>
      </c>
    </row>
    <row r="1607" spans="1:7" x14ac:dyDescent="0.3">
      <c r="A1607" s="54"/>
      <c r="C1607" s="5"/>
      <c r="D1607" s="65"/>
      <c r="E1607" s="65"/>
      <c r="F1607" s="46">
        <f t="shared" si="33"/>
        <v>917422</v>
      </c>
      <c r="G1607" s="391" t="s">
        <v>9567</v>
      </c>
    </row>
    <row r="1608" spans="1:7" x14ac:dyDescent="0.3">
      <c r="A1608" s="54"/>
      <c r="C1608" s="5"/>
      <c r="D1608" s="65"/>
      <c r="E1608" s="65"/>
      <c r="F1608" s="46">
        <f t="shared" si="33"/>
        <v>917422</v>
      </c>
      <c r="G1608" s="391" t="s">
        <v>9567</v>
      </c>
    </row>
    <row r="1609" spans="1:7" x14ac:dyDescent="0.3">
      <c r="A1609" s="54"/>
      <c r="C1609" s="5"/>
      <c r="D1609" s="65"/>
      <c r="E1609" s="65"/>
      <c r="F1609" s="46">
        <f t="shared" ref="F1609:F1672" si="34">F1608+E1609-D1609</f>
        <v>917422</v>
      </c>
      <c r="G1609" s="391" t="s">
        <v>9567</v>
      </c>
    </row>
    <row r="1610" spans="1:7" x14ac:dyDescent="0.3">
      <c r="A1610" s="54"/>
      <c r="C1610" s="5"/>
      <c r="D1610" s="65"/>
      <c r="E1610" s="65"/>
      <c r="F1610" s="46">
        <f t="shared" si="34"/>
        <v>917422</v>
      </c>
      <c r="G1610" s="391" t="s">
        <v>9567</v>
      </c>
    </row>
    <row r="1611" spans="1:7" x14ac:dyDescent="0.3">
      <c r="A1611" s="54"/>
      <c r="C1611" s="5"/>
      <c r="D1611" s="65"/>
      <c r="E1611" s="65"/>
      <c r="F1611" s="46">
        <f t="shared" si="34"/>
        <v>917422</v>
      </c>
      <c r="G1611" s="391" t="s">
        <v>9567</v>
      </c>
    </row>
    <row r="1612" spans="1:7" x14ac:dyDescent="0.3">
      <c r="A1612" s="54"/>
      <c r="C1612" s="5"/>
      <c r="D1612" s="65"/>
      <c r="E1612" s="65"/>
      <c r="F1612" s="46">
        <f t="shared" si="34"/>
        <v>917422</v>
      </c>
      <c r="G1612" s="391" t="s">
        <v>9567</v>
      </c>
    </row>
    <row r="1613" spans="1:7" x14ac:dyDescent="0.3">
      <c r="A1613" s="54"/>
      <c r="C1613" s="5"/>
      <c r="D1613" s="65"/>
      <c r="E1613" s="65"/>
      <c r="F1613" s="46">
        <f t="shared" si="34"/>
        <v>917422</v>
      </c>
      <c r="G1613" s="391" t="s">
        <v>9567</v>
      </c>
    </row>
    <row r="1614" spans="1:7" x14ac:dyDescent="0.3">
      <c r="A1614" s="54"/>
      <c r="C1614" s="5"/>
      <c r="D1614" s="65"/>
      <c r="E1614" s="65"/>
      <c r="F1614" s="46">
        <f t="shared" si="34"/>
        <v>917422</v>
      </c>
      <c r="G1614" s="391" t="s">
        <v>9567</v>
      </c>
    </row>
    <row r="1615" spans="1:7" x14ac:dyDescent="0.3">
      <c r="A1615" s="54"/>
      <c r="C1615" s="5"/>
      <c r="D1615" s="65"/>
      <c r="E1615" s="65"/>
      <c r="F1615" s="46">
        <f t="shared" si="34"/>
        <v>917422</v>
      </c>
      <c r="G1615" s="391" t="s">
        <v>9567</v>
      </c>
    </row>
    <row r="1616" spans="1:7" x14ac:dyDescent="0.3">
      <c r="A1616" s="54"/>
      <c r="C1616" s="5"/>
      <c r="D1616" s="65"/>
      <c r="E1616" s="65"/>
      <c r="F1616" s="46">
        <f t="shared" si="34"/>
        <v>917422</v>
      </c>
      <c r="G1616" s="391" t="s">
        <v>9567</v>
      </c>
    </row>
    <row r="1617" spans="1:7" x14ac:dyDescent="0.3">
      <c r="A1617" s="54"/>
      <c r="C1617" s="5"/>
      <c r="D1617" s="65"/>
      <c r="E1617" s="65"/>
      <c r="F1617" s="46">
        <f t="shared" si="34"/>
        <v>917422</v>
      </c>
      <c r="G1617" s="391" t="s">
        <v>9567</v>
      </c>
    </row>
    <row r="1618" spans="1:7" x14ac:dyDescent="0.3">
      <c r="A1618" s="54"/>
      <c r="C1618" s="5"/>
      <c r="D1618" s="65"/>
      <c r="E1618" s="65"/>
      <c r="F1618" s="46">
        <f t="shared" si="34"/>
        <v>917422</v>
      </c>
      <c r="G1618" s="391" t="s">
        <v>9567</v>
      </c>
    </row>
    <row r="1619" spans="1:7" x14ac:dyDescent="0.3">
      <c r="A1619" s="54"/>
      <c r="C1619" s="5"/>
      <c r="D1619" s="65"/>
      <c r="E1619" s="65"/>
      <c r="F1619" s="46">
        <f t="shared" si="34"/>
        <v>917422</v>
      </c>
      <c r="G1619" s="391" t="s">
        <v>9567</v>
      </c>
    </row>
    <row r="1620" spans="1:7" x14ac:dyDescent="0.3">
      <c r="A1620" s="54"/>
      <c r="C1620" s="5"/>
      <c r="D1620" s="65"/>
      <c r="E1620" s="65"/>
      <c r="F1620" s="46">
        <f t="shared" si="34"/>
        <v>917422</v>
      </c>
      <c r="G1620" s="391" t="s">
        <v>9567</v>
      </c>
    </row>
    <row r="1621" spans="1:7" x14ac:dyDescent="0.3">
      <c r="A1621" s="54"/>
      <c r="C1621" s="5"/>
      <c r="D1621" s="65"/>
      <c r="E1621" s="65"/>
      <c r="F1621" s="46">
        <f t="shared" si="34"/>
        <v>917422</v>
      </c>
      <c r="G1621" s="391" t="s">
        <v>9567</v>
      </c>
    </row>
    <row r="1622" spans="1:7" x14ac:dyDescent="0.3">
      <c r="A1622" s="54"/>
      <c r="C1622" s="5"/>
      <c r="D1622" s="65"/>
      <c r="E1622" s="65"/>
      <c r="F1622" s="46">
        <f t="shared" si="34"/>
        <v>917422</v>
      </c>
      <c r="G1622" s="391" t="s">
        <v>9567</v>
      </c>
    </row>
    <row r="1623" spans="1:7" x14ac:dyDescent="0.3">
      <c r="A1623" s="54"/>
      <c r="C1623" s="5"/>
      <c r="D1623" s="65"/>
      <c r="E1623" s="65"/>
      <c r="F1623" s="46">
        <f t="shared" si="34"/>
        <v>917422</v>
      </c>
      <c r="G1623" s="391" t="s">
        <v>9567</v>
      </c>
    </row>
    <row r="1624" spans="1:7" x14ac:dyDescent="0.3">
      <c r="A1624" s="54"/>
      <c r="C1624" s="5"/>
      <c r="D1624" s="65"/>
      <c r="E1624" s="65"/>
      <c r="F1624" s="46">
        <f t="shared" si="34"/>
        <v>917422</v>
      </c>
      <c r="G1624" s="391" t="s">
        <v>9567</v>
      </c>
    </row>
    <row r="1625" spans="1:7" x14ac:dyDescent="0.3">
      <c r="A1625" s="54"/>
      <c r="C1625" s="5"/>
      <c r="D1625" s="65"/>
      <c r="E1625" s="65"/>
      <c r="F1625" s="46">
        <f t="shared" si="34"/>
        <v>917422</v>
      </c>
      <c r="G1625" s="391" t="s">
        <v>9567</v>
      </c>
    </row>
    <row r="1626" spans="1:7" x14ac:dyDescent="0.3">
      <c r="A1626" s="54"/>
      <c r="C1626" s="5"/>
      <c r="D1626" s="65"/>
      <c r="E1626" s="65"/>
      <c r="F1626" s="46">
        <f t="shared" si="34"/>
        <v>917422</v>
      </c>
      <c r="G1626" s="391" t="s">
        <v>9567</v>
      </c>
    </row>
    <row r="1627" spans="1:7" x14ac:dyDescent="0.3">
      <c r="A1627" s="54"/>
      <c r="C1627" s="5"/>
      <c r="D1627" s="65"/>
      <c r="E1627" s="65"/>
      <c r="F1627" s="46">
        <f t="shared" si="34"/>
        <v>917422</v>
      </c>
      <c r="G1627" s="391" t="s">
        <v>9567</v>
      </c>
    </row>
    <row r="1628" spans="1:7" x14ac:dyDescent="0.3">
      <c r="A1628" s="54"/>
      <c r="C1628" s="5"/>
      <c r="D1628" s="65"/>
      <c r="E1628" s="65"/>
      <c r="F1628" s="46">
        <f t="shared" si="34"/>
        <v>917422</v>
      </c>
      <c r="G1628" s="391" t="s">
        <v>9567</v>
      </c>
    </row>
    <row r="1629" spans="1:7" x14ac:dyDescent="0.3">
      <c r="A1629" s="54"/>
      <c r="C1629" s="5"/>
      <c r="D1629" s="65"/>
      <c r="E1629" s="65"/>
      <c r="F1629" s="46">
        <f t="shared" si="34"/>
        <v>917422</v>
      </c>
      <c r="G1629" s="391" t="s">
        <v>9567</v>
      </c>
    </row>
    <row r="1630" spans="1:7" x14ac:dyDescent="0.3">
      <c r="A1630" s="54"/>
      <c r="C1630" s="5"/>
      <c r="D1630" s="65"/>
      <c r="E1630" s="65"/>
      <c r="F1630" s="46">
        <f t="shared" si="34"/>
        <v>917422</v>
      </c>
      <c r="G1630" s="391" t="s">
        <v>9567</v>
      </c>
    </row>
    <row r="1631" spans="1:7" x14ac:dyDescent="0.3">
      <c r="A1631" s="54"/>
      <c r="C1631" s="5"/>
      <c r="D1631" s="65"/>
      <c r="E1631" s="65"/>
      <c r="F1631" s="46">
        <f t="shared" si="34"/>
        <v>917422</v>
      </c>
      <c r="G1631" s="391" t="s">
        <v>9567</v>
      </c>
    </row>
    <row r="1632" spans="1:7" x14ac:dyDescent="0.3">
      <c r="A1632" s="54"/>
      <c r="C1632" s="5"/>
      <c r="D1632" s="65"/>
      <c r="E1632" s="65"/>
      <c r="F1632" s="46">
        <f t="shared" si="34"/>
        <v>917422</v>
      </c>
      <c r="G1632" s="391" t="s">
        <v>9567</v>
      </c>
    </row>
    <row r="1633" spans="1:7" x14ac:dyDescent="0.3">
      <c r="A1633" s="54"/>
      <c r="C1633" s="5"/>
      <c r="D1633" s="65"/>
      <c r="E1633" s="65"/>
      <c r="F1633" s="46">
        <f t="shared" si="34"/>
        <v>917422</v>
      </c>
      <c r="G1633" s="391" t="s">
        <v>9567</v>
      </c>
    </row>
    <row r="1634" spans="1:7" x14ac:dyDescent="0.3">
      <c r="A1634" s="54"/>
      <c r="C1634" s="5"/>
      <c r="D1634" s="65"/>
      <c r="E1634" s="65"/>
      <c r="F1634" s="46">
        <f t="shared" si="34"/>
        <v>917422</v>
      </c>
      <c r="G1634" s="391" t="s">
        <v>9567</v>
      </c>
    </row>
    <row r="1635" spans="1:7" x14ac:dyDescent="0.3">
      <c r="A1635" s="54"/>
      <c r="C1635" s="5"/>
      <c r="D1635" s="65"/>
      <c r="E1635" s="65"/>
      <c r="F1635" s="46">
        <f t="shared" si="34"/>
        <v>917422</v>
      </c>
      <c r="G1635" s="391" t="s">
        <v>9567</v>
      </c>
    </row>
    <row r="1636" spans="1:7" x14ac:dyDescent="0.3">
      <c r="A1636" s="54"/>
      <c r="C1636" s="5"/>
      <c r="D1636" s="65"/>
      <c r="E1636" s="65"/>
      <c r="F1636" s="46">
        <f t="shared" si="34"/>
        <v>917422</v>
      </c>
      <c r="G1636" s="391" t="s">
        <v>9567</v>
      </c>
    </row>
    <row r="1637" spans="1:7" x14ac:dyDescent="0.3">
      <c r="A1637" s="54"/>
      <c r="C1637" s="5"/>
      <c r="D1637" s="65"/>
      <c r="E1637" s="65"/>
      <c r="F1637" s="46">
        <f t="shared" si="34"/>
        <v>917422</v>
      </c>
      <c r="G1637" s="391" t="s">
        <v>9567</v>
      </c>
    </row>
    <row r="1638" spans="1:7" x14ac:dyDescent="0.3">
      <c r="A1638" s="54"/>
      <c r="C1638" s="5"/>
      <c r="D1638" s="65"/>
      <c r="E1638" s="65"/>
      <c r="F1638" s="46">
        <f t="shared" si="34"/>
        <v>917422</v>
      </c>
      <c r="G1638" s="391" t="s">
        <v>9567</v>
      </c>
    </row>
    <row r="1639" spans="1:7" x14ac:dyDescent="0.3">
      <c r="A1639" s="54"/>
      <c r="C1639" s="5"/>
      <c r="D1639" s="65"/>
      <c r="E1639" s="65"/>
      <c r="F1639" s="46">
        <f t="shared" si="34"/>
        <v>917422</v>
      </c>
      <c r="G1639" s="391" t="s">
        <v>9567</v>
      </c>
    </row>
    <row r="1640" spans="1:7" x14ac:dyDescent="0.3">
      <c r="A1640" s="54"/>
      <c r="C1640" s="5"/>
      <c r="D1640" s="65"/>
      <c r="E1640" s="65"/>
      <c r="F1640" s="46">
        <f t="shared" si="34"/>
        <v>917422</v>
      </c>
      <c r="G1640" s="391" t="s">
        <v>9567</v>
      </c>
    </row>
    <row r="1641" spans="1:7" x14ac:dyDescent="0.3">
      <c r="A1641" s="54"/>
      <c r="C1641" s="5"/>
      <c r="D1641" s="65"/>
      <c r="E1641" s="65"/>
      <c r="F1641" s="46">
        <f t="shared" si="34"/>
        <v>917422</v>
      </c>
      <c r="G1641" s="391" t="s">
        <v>9567</v>
      </c>
    </row>
    <row r="1642" spans="1:7" x14ac:dyDescent="0.3">
      <c r="A1642" s="54"/>
      <c r="C1642" s="5"/>
      <c r="D1642" s="65"/>
      <c r="E1642" s="65"/>
      <c r="F1642" s="46">
        <f t="shared" si="34"/>
        <v>917422</v>
      </c>
      <c r="G1642" s="391" t="s">
        <v>9567</v>
      </c>
    </row>
    <row r="1643" spans="1:7" x14ac:dyDescent="0.3">
      <c r="A1643" s="54"/>
      <c r="C1643" s="5"/>
      <c r="D1643" s="65"/>
      <c r="E1643" s="65"/>
      <c r="F1643" s="46">
        <f t="shared" si="34"/>
        <v>917422</v>
      </c>
      <c r="G1643" s="391" t="s">
        <v>9567</v>
      </c>
    </row>
    <row r="1644" spans="1:7" x14ac:dyDescent="0.3">
      <c r="A1644" s="54"/>
      <c r="C1644" s="5"/>
      <c r="D1644" s="65"/>
      <c r="E1644" s="65"/>
      <c r="F1644" s="46">
        <f t="shared" si="34"/>
        <v>917422</v>
      </c>
      <c r="G1644" s="391" t="s">
        <v>9567</v>
      </c>
    </row>
    <row r="1645" spans="1:7" x14ac:dyDescent="0.3">
      <c r="A1645" s="54"/>
      <c r="C1645" s="5"/>
      <c r="D1645" s="65"/>
      <c r="E1645" s="65"/>
      <c r="F1645" s="46">
        <f t="shared" si="34"/>
        <v>917422</v>
      </c>
      <c r="G1645" s="391" t="s">
        <v>9567</v>
      </c>
    </row>
    <row r="1646" spans="1:7" x14ac:dyDescent="0.3">
      <c r="A1646" s="54"/>
      <c r="C1646" s="5"/>
      <c r="D1646" s="65"/>
      <c r="E1646" s="65"/>
      <c r="F1646" s="46">
        <f t="shared" si="34"/>
        <v>917422</v>
      </c>
      <c r="G1646" s="391" t="s">
        <v>9567</v>
      </c>
    </row>
    <row r="1647" spans="1:7" x14ac:dyDescent="0.3">
      <c r="A1647" s="54"/>
      <c r="C1647" s="5"/>
      <c r="D1647" s="65"/>
      <c r="E1647" s="65"/>
      <c r="F1647" s="46">
        <f t="shared" si="34"/>
        <v>917422</v>
      </c>
      <c r="G1647" s="391" t="s">
        <v>9567</v>
      </c>
    </row>
    <row r="1648" spans="1:7" x14ac:dyDescent="0.3">
      <c r="A1648" s="54"/>
      <c r="C1648" s="5"/>
      <c r="D1648" s="65"/>
      <c r="E1648" s="65"/>
      <c r="F1648" s="46">
        <f t="shared" si="34"/>
        <v>917422</v>
      </c>
      <c r="G1648" s="391" t="s">
        <v>9567</v>
      </c>
    </row>
    <row r="1649" spans="1:7" x14ac:dyDescent="0.3">
      <c r="A1649" s="54"/>
      <c r="C1649" s="5"/>
      <c r="D1649" s="65"/>
      <c r="E1649" s="65"/>
      <c r="F1649" s="46">
        <f t="shared" si="34"/>
        <v>917422</v>
      </c>
      <c r="G1649" s="391" t="s">
        <v>9567</v>
      </c>
    </row>
    <row r="1650" spans="1:7" x14ac:dyDescent="0.3">
      <c r="A1650" s="54"/>
      <c r="C1650" s="5"/>
      <c r="D1650" s="65"/>
      <c r="E1650" s="65"/>
      <c r="F1650" s="46">
        <f t="shared" si="34"/>
        <v>917422</v>
      </c>
      <c r="G1650" s="391" t="s">
        <v>9567</v>
      </c>
    </row>
    <row r="1651" spans="1:7" x14ac:dyDescent="0.3">
      <c r="A1651" s="54"/>
      <c r="C1651" s="5"/>
      <c r="D1651" s="65"/>
      <c r="E1651" s="65"/>
      <c r="F1651" s="46">
        <f t="shared" si="34"/>
        <v>917422</v>
      </c>
      <c r="G1651" s="391" t="s">
        <v>9567</v>
      </c>
    </row>
    <row r="1652" spans="1:7" x14ac:dyDescent="0.3">
      <c r="A1652" s="54"/>
      <c r="C1652" s="5"/>
      <c r="D1652" s="65"/>
      <c r="E1652" s="65"/>
      <c r="F1652" s="46">
        <f t="shared" si="34"/>
        <v>917422</v>
      </c>
      <c r="G1652" s="391" t="s">
        <v>9567</v>
      </c>
    </row>
    <row r="1653" spans="1:7" x14ac:dyDescent="0.3">
      <c r="A1653" s="54"/>
      <c r="C1653" s="5"/>
      <c r="D1653" s="65"/>
      <c r="E1653" s="65"/>
      <c r="F1653" s="46">
        <f t="shared" si="34"/>
        <v>917422</v>
      </c>
      <c r="G1653" s="391" t="s">
        <v>9567</v>
      </c>
    </row>
    <row r="1654" spans="1:7" x14ac:dyDescent="0.3">
      <c r="A1654" s="54"/>
      <c r="C1654" s="5"/>
      <c r="D1654" s="65"/>
      <c r="E1654" s="65"/>
      <c r="F1654" s="46">
        <f t="shared" si="34"/>
        <v>917422</v>
      </c>
      <c r="G1654" s="391" t="s">
        <v>9567</v>
      </c>
    </row>
    <row r="1655" spans="1:7" x14ac:dyDescent="0.3">
      <c r="A1655" s="54"/>
      <c r="C1655" s="5"/>
      <c r="D1655" s="65"/>
      <c r="E1655" s="65"/>
      <c r="F1655" s="46">
        <f t="shared" si="34"/>
        <v>917422</v>
      </c>
      <c r="G1655" s="391" t="s">
        <v>9567</v>
      </c>
    </row>
    <row r="1656" spans="1:7" x14ac:dyDescent="0.3">
      <c r="A1656" s="54"/>
      <c r="C1656" s="5"/>
      <c r="D1656" s="65"/>
      <c r="E1656" s="65"/>
      <c r="F1656" s="46">
        <f t="shared" si="34"/>
        <v>917422</v>
      </c>
      <c r="G1656" s="391" t="s">
        <v>9567</v>
      </c>
    </row>
    <row r="1657" spans="1:7" x14ac:dyDescent="0.3">
      <c r="A1657" s="54"/>
      <c r="C1657" s="5"/>
      <c r="D1657" s="65"/>
      <c r="E1657" s="65"/>
      <c r="F1657" s="46">
        <f t="shared" si="34"/>
        <v>917422</v>
      </c>
      <c r="G1657" s="391" t="s">
        <v>9567</v>
      </c>
    </row>
    <row r="1658" spans="1:7" x14ac:dyDescent="0.3">
      <c r="A1658" s="54"/>
      <c r="C1658" s="5"/>
      <c r="D1658" s="65"/>
      <c r="E1658" s="65"/>
      <c r="F1658" s="46">
        <f t="shared" si="34"/>
        <v>917422</v>
      </c>
      <c r="G1658" s="391" t="s">
        <v>9567</v>
      </c>
    </row>
    <row r="1659" spans="1:7" x14ac:dyDescent="0.3">
      <c r="A1659" s="54"/>
      <c r="C1659" s="5"/>
      <c r="D1659" s="65"/>
      <c r="E1659" s="65"/>
      <c r="F1659" s="46">
        <f t="shared" si="34"/>
        <v>917422</v>
      </c>
      <c r="G1659" s="391" t="s">
        <v>9567</v>
      </c>
    </row>
    <row r="1660" spans="1:7" x14ac:dyDescent="0.3">
      <c r="A1660" s="54"/>
      <c r="C1660" s="5"/>
      <c r="D1660" s="65"/>
      <c r="E1660" s="65"/>
      <c r="F1660" s="46">
        <f t="shared" si="34"/>
        <v>917422</v>
      </c>
      <c r="G1660" s="391" t="s">
        <v>9567</v>
      </c>
    </row>
    <row r="1661" spans="1:7" x14ac:dyDescent="0.3">
      <c r="A1661" s="54"/>
      <c r="C1661" s="5"/>
      <c r="D1661" s="65"/>
      <c r="E1661" s="65"/>
      <c r="F1661" s="46">
        <f t="shared" si="34"/>
        <v>917422</v>
      </c>
      <c r="G1661" s="391" t="s">
        <v>9567</v>
      </c>
    </row>
    <row r="1662" spans="1:7" x14ac:dyDescent="0.3">
      <c r="A1662" s="54"/>
      <c r="C1662" s="5"/>
      <c r="D1662" s="65"/>
      <c r="E1662" s="65"/>
      <c r="F1662" s="46">
        <f t="shared" si="34"/>
        <v>917422</v>
      </c>
      <c r="G1662" s="391" t="s">
        <v>9567</v>
      </c>
    </row>
    <row r="1663" spans="1:7" x14ac:dyDescent="0.3">
      <c r="D1663" s="65"/>
      <c r="E1663" s="65"/>
      <c r="F1663" s="46">
        <f t="shared" si="34"/>
        <v>917422</v>
      </c>
      <c r="G1663" s="391" t="s">
        <v>9567</v>
      </c>
    </row>
    <row r="1664" spans="1:7" x14ac:dyDescent="0.3">
      <c r="D1664" s="65"/>
      <c r="E1664" s="65"/>
      <c r="F1664" s="46">
        <f t="shared" si="34"/>
        <v>917422</v>
      </c>
      <c r="G1664" s="391" t="s">
        <v>9567</v>
      </c>
    </row>
    <row r="1665" spans="4:7" x14ac:dyDescent="0.3">
      <c r="D1665" s="65"/>
      <c r="E1665" s="65"/>
      <c r="F1665" s="46">
        <f t="shared" si="34"/>
        <v>917422</v>
      </c>
      <c r="G1665" s="391" t="s">
        <v>9567</v>
      </c>
    </row>
    <row r="1666" spans="4:7" x14ac:dyDescent="0.3">
      <c r="D1666" s="65"/>
      <c r="E1666" s="65"/>
      <c r="F1666" s="46">
        <f t="shared" si="34"/>
        <v>917422</v>
      </c>
      <c r="G1666" s="391" t="s">
        <v>9567</v>
      </c>
    </row>
    <row r="1667" spans="4:7" x14ac:dyDescent="0.3">
      <c r="D1667" s="65"/>
      <c r="E1667" s="65"/>
      <c r="F1667" s="46">
        <f t="shared" si="34"/>
        <v>917422</v>
      </c>
      <c r="G1667" s="391" t="s">
        <v>9567</v>
      </c>
    </row>
    <row r="1668" spans="4:7" x14ac:dyDescent="0.3">
      <c r="D1668" s="65"/>
      <c r="E1668" s="65"/>
      <c r="F1668" s="46">
        <f t="shared" si="34"/>
        <v>917422</v>
      </c>
      <c r="G1668" s="391" t="s">
        <v>9567</v>
      </c>
    </row>
    <row r="1669" spans="4:7" x14ac:dyDescent="0.3">
      <c r="D1669" s="65"/>
      <c r="E1669" s="65"/>
      <c r="F1669" s="46">
        <f t="shared" si="34"/>
        <v>917422</v>
      </c>
      <c r="G1669" s="391" t="s">
        <v>9567</v>
      </c>
    </row>
    <row r="1670" spans="4:7" x14ac:dyDescent="0.3">
      <c r="D1670" s="65"/>
      <c r="E1670" s="65"/>
      <c r="F1670" s="46">
        <f t="shared" si="34"/>
        <v>917422</v>
      </c>
      <c r="G1670" s="391" t="s">
        <v>9567</v>
      </c>
    </row>
    <row r="1671" spans="4:7" x14ac:dyDescent="0.3">
      <c r="D1671" s="65"/>
      <c r="E1671" s="65"/>
      <c r="F1671" s="46">
        <f t="shared" si="34"/>
        <v>917422</v>
      </c>
      <c r="G1671" s="391" t="s">
        <v>9567</v>
      </c>
    </row>
    <row r="1672" spans="4:7" x14ac:dyDescent="0.3">
      <c r="D1672" s="65"/>
      <c r="E1672" s="65"/>
      <c r="F1672" s="46">
        <f t="shared" si="34"/>
        <v>917422</v>
      </c>
      <c r="G1672" s="391" t="s">
        <v>9567</v>
      </c>
    </row>
    <row r="1673" spans="4:7" x14ac:dyDescent="0.3">
      <c r="D1673" s="65"/>
      <c r="E1673" s="65"/>
      <c r="F1673" s="46">
        <f t="shared" ref="F1673:F1736" si="35">F1672+E1673-D1673</f>
        <v>917422</v>
      </c>
      <c r="G1673" s="391" t="s">
        <v>9567</v>
      </c>
    </row>
    <row r="1674" spans="4:7" x14ac:dyDescent="0.3">
      <c r="D1674" s="65"/>
      <c r="E1674" s="65"/>
      <c r="F1674" s="46">
        <f t="shared" si="35"/>
        <v>917422</v>
      </c>
      <c r="G1674" s="391" t="s">
        <v>9567</v>
      </c>
    </row>
    <row r="1675" spans="4:7" x14ac:dyDescent="0.3">
      <c r="D1675" s="65"/>
      <c r="E1675" s="65"/>
      <c r="F1675" s="46">
        <f t="shared" si="35"/>
        <v>917422</v>
      </c>
      <c r="G1675" s="391" t="s">
        <v>9567</v>
      </c>
    </row>
    <row r="1676" spans="4:7" x14ac:dyDescent="0.3">
      <c r="D1676" s="65"/>
      <c r="E1676" s="65"/>
      <c r="F1676" s="46">
        <f t="shared" si="35"/>
        <v>917422</v>
      </c>
      <c r="G1676" s="391" t="s">
        <v>9567</v>
      </c>
    </row>
    <row r="1677" spans="4:7" x14ac:dyDescent="0.3">
      <c r="D1677" s="65"/>
      <c r="E1677" s="65"/>
      <c r="F1677" s="46">
        <f t="shared" si="35"/>
        <v>917422</v>
      </c>
      <c r="G1677" s="391" t="s">
        <v>9567</v>
      </c>
    </row>
    <row r="1678" spans="4:7" x14ac:dyDescent="0.3">
      <c r="D1678" s="65"/>
      <c r="E1678" s="65"/>
      <c r="F1678" s="46">
        <f t="shared" si="35"/>
        <v>917422</v>
      </c>
      <c r="G1678" s="391" t="s">
        <v>9567</v>
      </c>
    </row>
    <row r="1679" spans="4:7" x14ac:dyDescent="0.3">
      <c r="D1679" s="65"/>
      <c r="E1679" s="65"/>
      <c r="F1679" s="46">
        <f t="shared" si="35"/>
        <v>917422</v>
      </c>
      <c r="G1679" s="391" t="s">
        <v>9567</v>
      </c>
    </row>
    <row r="1680" spans="4:7" x14ac:dyDescent="0.3">
      <c r="D1680" s="65"/>
      <c r="E1680" s="65"/>
      <c r="F1680" s="46">
        <f t="shared" si="35"/>
        <v>917422</v>
      </c>
      <c r="G1680" s="391" t="s">
        <v>9567</v>
      </c>
    </row>
    <row r="1681" spans="4:7" x14ac:dyDescent="0.3">
      <c r="D1681" s="65"/>
      <c r="E1681" s="65"/>
      <c r="F1681" s="46">
        <f t="shared" si="35"/>
        <v>917422</v>
      </c>
      <c r="G1681" s="391" t="s">
        <v>9567</v>
      </c>
    </row>
    <row r="1682" spans="4:7" x14ac:dyDescent="0.3">
      <c r="D1682" s="65"/>
      <c r="E1682" s="65"/>
      <c r="F1682" s="46">
        <f t="shared" si="35"/>
        <v>917422</v>
      </c>
      <c r="G1682" s="391" t="s">
        <v>9567</v>
      </c>
    </row>
    <row r="1683" spans="4:7" x14ac:dyDescent="0.3">
      <c r="D1683" s="65"/>
      <c r="E1683" s="65"/>
      <c r="F1683" s="46">
        <f t="shared" si="35"/>
        <v>917422</v>
      </c>
      <c r="G1683" s="391" t="s">
        <v>9567</v>
      </c>
    </row>
    <row r="1684" spans="4:7" x14ac:dyDescent="0.3">
      <c r="D1684" s="65"/>
      <c r="E1684" s="65"/>
      <c r="F1684" s="46">
        <f t="shared" si="35"/>
        <v>917422</v>
      </c>
      <c r="G1684" s="391" t="s">
        <v>9567</v>
      </c>
    </row>
    <row r="1685" spans="4:7" x14ac:dyDescent="0.3">
      <c r="D1685" s="65"/>
      <c r="E1685" s="65"/>
      <c r="F1685" s="46">
        <f t="shared" si="35"/>
        <v>917422</v>
      </c>
      <c r="G1685" s="391" t="s">
        <v>9567</v>
      </c>
    </row>
    <row r="1686" spans="4:7" x14ac:dyDescent="0.3">
      <c r="D1686" s="65"/>
      <c r="E1686" s="65"/>
      <c r="F1686" s="46">
        <f t="shared" si="35"/>
        <v>917422</v>
      </c>
      <c r="G1686" s="391" t="s">
        <v>9567</v>
      </c>
    </row>
    <row r="1687" spans="4:7" x14ac:dyDescent="0.3">
      <c r="D1687" s="65"/>
      <c r="E1687" s="65"/>
      <c r="F1687" s="46">
        <f t="shared" si="35"/>
        <v>917422</v>
      </c>
      <c r="G1687" s="391" t="s">
        <v>9567</v>
      </c>
    </row>
    <row r="1688" spans="4:7" x14ac:dyDescent="0.3">
      <c r="D1688" s="65"/>
      <c r="E1688" s="65"/>
      <c r="F1688" s="46">
        <f t="shared" si="35"/>
        <v>917422</v>
      </c>
      <c r="G1688" s="391" t="s">
        <v>9567</v>
      </c>
    </row>
    <row r="1689" spans="4:7" x14ac:dyDescent="0.3">
      <c r="D1689" s="65"/>
      <c r="E1689" s="65"/>
      <c r="F1689" s="46">
        <f t="shared" si="35"/>
        <v>917422</v>
      </c>
      <c r="G1689" s="391" t="s">
        <v>9567</v>
      </c>
    </row>
    <row r="1690" spans="4:7" x14ac:dyDescent="0.3">
      <c r="D1690" s="65"/>
      <c r="E1690" s="65"/>
      <c r="F1690" s="46">
        <f t="shared" si="35"/>
        <v>917422</v>
      </c>
      <c r="G1690" s="391" t="s">
        <v>9567</v>
      </c>
    </row>
    <row r="1691" spans="4:7" x14ac:dyDescent="0.3">
      <c r="D1691" s="65"/>
      <c r="E1691" s="65"/>
      <c r="F1691" s="46">
        <f t="shared" si="35"/>
        <v>917422</v>
      </c>
      <c r="G1691" s="391" t="s">
        <v>9567</v>
      </c>
    </row>
    <row r="1692" spans="4:7" x14ac:dyDescent="0.3">
      <c r="D1692" s="65"/>
      <c r="E1692" s="65"/>
      <c r="F1692" s="46">
        <f t="shared" si="35"/>
        <v>917422</v>
      </c>
      <c r="G1692" s="391" t="s">
        <v>9567</v>
      </c>
    </row>
    <row r="1693" spans="4:7" x14ac:dyDescent="0.3">
      <c r="D1693" s="65"/>
      <c r="E1693" s="65"/>
      <c r="F1693" s="46">
        <f t="shared" si="35"/>
        <v>917422</v>
      </c>
      <c r="G1693" s="391" t="s">
        <v>9567</v>
      </c>
    </row>
    <row r="1694" spans="4:7" x14ac:dyDescent="0.3">
      <c r="D1694" s="65"/>
      <c r="E1694" s="65"/>
      <c r="F1694" s="46">
        <f t="shared" si="35"/>
        <v>917422</v>
      </c>
      <c r="G1694" s="391" t="s">
        <v>9567</v>
      </c>
    </row>
    <row r="1695" spans="4:7" x14ac:dyDescent="0.3">
      <c r="D1695" s="65"/>
      <c r="E1695" s="65"/>
      <c r="F1695" s="46">
        <f t="shared" si="35"/>
        <v>917422</v>
      </c>
      <c r="G1695" s="391" t="s">
        <v>9567</v>
      </c>
    </row>
    <row r="1696" spans="4:7" x14ac:dyDescent="0.3">
      <c r="D1696" s="65"/>
      <c r="E1696" s="65"/>
      <c r="F1696" s="46">
        <f t="shared" si="35"/>
        <v>917422</v>
      </c>
      <c r="G1696" s="391" t="s">
        <v>9567</v>
      </c>
    </row>
    <row r="1697" spans="4:7" x14ac:dyDescent="0.3">
      <c r="D1697" s="65"/>
      <c r="E1697" s="65"/>
      <c r="F1697" s="46">
        <f t="shared" si="35"/>
        <v>917422</v>
      </c>
      <c r="G1697" s="391" t="s">
        <v>9567</v>
      </c>
    </row>
    <row r="1698" spans="4:7" x14ac:dyDescent="0.3">
      <c r="D1698" s="65"/>
      <c r="E1698" s="65"/>
      <c r="F1698" s="46">
        <f t="shared" si="35"/>
        <v>917422</v>
      </c>
      <c r="G1698" s="391" t="s">
        <v>9567</v>
      </c>
    </row>
    <row r="1699" spans="4:7" x14ac:dyDescent="0.3">
      <c r="D1699" s="65"/>
      <c r="E1699" s="65"/>
      <c r="F1699" s="46">
        <f t="shared" si="35"/>
        <v>917422</v>
      </c>
      <c r="G1699" s="391" t="s">
        <v>9567</v>
      </c>
    </row>
    <row r="1700" spans="4:7" x14ac:dyDescent="0.3">
      <c r="D1700" s="65"/>
      <c r="E1700" s="65"/>
      <c r="F1700" s="46">
        <f t="shared" si="35"/>
        <v>917422</v>
      </c>
      <c r="G1700" s="391" t="s">
        <v>9567</v>
      </c>
    </row>
    <row r="1701" spans="4:7" x14ac:dyDescent="0.3">
      <c r="D1701" s="65"/>
      <c r="E1701" s="65"/>
      <c r="F1701" s="46">
        <f t="shared" si="35"/>
        <v>917422</v>
      </c>
      <c r="G1701" s="391" t="s">
        <v>9567</v>
      </c>
    </row>
    <row r="1702" spans="4:7" x14ac:dyDescent="0.3">
      <c r="D1702" s="65"/>
      <c r="E1702" s="65"/>
      <c r="F1702" s="46">
        <f t="shared" si="35"/>
        <v>917422</v>
      </c>
      <c r="G1702" s="391" t="s">
        <v>9567</v>
      </c>
    </row>
    <row r="1703" spans="4:7" x14ac:dyDescent="0.3">
      <c r="D1703" s="65"/>
      <c r="E1703" s="65"/>
      <c r="F1703" s="46">
        <f t="shared" si="35"/>
        <v>917422</v>
      </c>
      <c r="G1703" s="391" t="s">
        <v>9567</v>
      </c>
    </row>
    <row r="1704" spans="4:7" x14ac:dyDescent="0.3">
      <c r="D1704" s="65"/>
      <c r="E1704" s="65"/>
      <c r="F1704" s="46">
        <f t="shared" si="35"/>
        <v>917422</v>
      </c>
      <c r="G1704" s="391" t="s">
        <v>9567</v>
      </c>
    </row>
    <row r="1705" spans="4:7" x14ac:dyDescent="0.3">
      <c r="D1705" s="65"/>
      <c r="E1705" s="65"/>
      <c r="F1705" s="46">
        <f t="shared" si="35"/>
        <v>917422</v>
      </c>
      <c r="G1705" s="391" t="s">
        <v>9567</v>
      </c>
    </row>
    <row r="1706" spans="4:7" x14ac:dyDescent="0.3">
      <c r="D1706" s="65"/>
      <c r="E1706" s="65"/>
      <c r="F1706" s="46">
        <f t="shared" si="35"/>
        <v>917422</v>
      </c>
      <c r="G1706" s="391" t="s">
        <v>9567</v>
      </c>
    </row>
    <row r="1707" spans="4:7" x14ac:dyDescent="0.3">
      <c r="D1707" s="65"/>
      <c r="E1707" s="65"/>
      <c r="F1707" s="46">
        <f t="shared" si="35"/>
        <v>917422</v>
      </c>
      <c r="G1707" s="391" t="s">
        <v>9567</v>
      </c>
    </row>
    <row r="1708" spans="4:7" x14ac:dyDescent="0.3">
      <c r="D1708" s="65"/>
      <c r="E1708" s="65"/>
      <c r="F1708" s="46">
        <f t="shared" si="35"/>
        <v>917422</v>
      </c>
      <c r="G1708" s="391" t="s">
        <v>9567</v>
      </c>
    </row>
    <row r="1709" spans="4:7" x14ac:dyDescent="0.3">
      <c r="D1709" s="65"/>
      <c r="E1709" s="65"/>
      <c r="F1709" s="46">
        <f t="shared" si="35"/>
        <v>917422</v>
      </c>
      <c r="G1709" s="391" t="s">
        <v>9567</v>
      </c>
    </row>
    <row r="1710" spans="4:7" x14ac:dyDescent="0.3">
      <c r="D1710" s="65"/>
      <c r="E1710" s="65"/>
      <c r="F1710" s="46">
        <f t="shared" si="35"/>
        <v>917422</v>
      </c>
      <c r="G1710" s="391" t="s">
        <v>9567</v>
      </c>
    </row>
    <row r="1711" spans="4:7" x14ac:dyDescent="0.3">
      <c r="D1711" s="65"/>
      <c r="E1711" s="65"/>
      <c r="F1711" s="46">
        <f t="shared" si="35"/>
        <v>917422</v>
      </c>
      <c r="G1711" s="391" t="s">
        <v>9567</v>
      </c>
    </row>
    <row r="1712" spans="4:7" x14ac:dyDescent="0.3">
      <c r="D1712" s="65"/>
      <c r="E1712" s="65"/>
      <c r="F1712" s="46">
        <f t="shared" si="35"/>
        <v>917422</v>
      </c>
      <c r="G1712" s="391" t="s">
        <v>9567</v>
      </c>
    </row>
    <row r="1713" spans="4:7" x14ac:dyDescent="0.3">
      <c r="D1713" s="65"/>
      <c r="E1713" s="65"/>
      <c r="F1713" s="46">
        <f t="shared" si="35"/>
        <v>917422</v>
      </c>
      <c r="G1713" s="391" t="s">
        <v>9567</v>
      </c>
    </row>
    <row r="1714" spans="4:7" x14ac:dyDescent="0.3">
      <c r="D1714" s="65"/>
      <c r="E1714" s="65"/>
      <c r="F1714" s="46">
        <f t="shared" si="35"/>
        <v>917422</v>
      </c>
      <c r="G1714" s="391" t="s">
        <v>9567</v>
      </c>
    </row>
    <row r="1715" spans="4:7" x14ac:dyDescent="0.3">
      <c r="D1715" s="65"/>
      <c r="E1715" s="65"/>
      <c r="F1715" s="46">
        <f t="shared" si="35"/>
        <v>917422</v>
      </c>
      <c r="G1715" s="391" t="s">
        <v>9567</v>
      </c>
    </row>
    <row r="1716" spans="4:7" x14ac:dyDescent="0.3">
      <c r="D1716" s="65"/>
      <c r="E1716" s="65"/>
      <c r="F1716" s="46">
        <f t="shared" si="35"/>
        <v>917422</v>
      </c>
      <c r="G1716" s="391" t="s">
        <v>9567</v>
      </c>
    </row>
    <row r="1717" spans="4:7" x14ac:dyDescent="0.3">
      <c r="D1717" s="65"/>
      <c r="E1717" s="65"/>
      <c r="F1717" s="46">
        <f t="shared" si="35"/>
        <v>917422</v>
      </c>
      <c r="G1717" s="391" t="s">
        <v>9567</v>
      </c>
    </row>
    <row r="1718" spans="4:7" x14ac:dyDescent="0.3">
      <c r="D1718" s="65"/>
      <c r="E1718" s="65"/>
      <c r="F1718" s="46">
        <f t="shared" si="35"/>
        <v>917422</v>
      </c>
      <c r="G1718" s="391" t="s">
        <v>9567</v>
      </c>
    </row>
    <row r="1719" spans="4:7" x14ac:dyDescent="0.3">
      <c r="D1719" s="65"/>
      <c r="E1719" s="65"/>
      <c r="F1719" s="46">
        <f t="shared" si="35"/>
        <v>917422</v>
      </c>
      <c r="G1719" s="391" t="s">
        <v>9567</v>
      </c>
    </row>
    <row r="1720" spans="4:7" x14ac:dyDescent="0.3">
      <c r="D1720" s="65"/>
      <c r="E1720" s="65"/>
      <c r="F1720" s="46">
        <f t="shared" si="35"/>
        <v>917422</v>
      </c>
      <c r="G1720" s="391" t="s">
        <v>9567</v>
      </c>
    </row>
    <row r="1721" spans="4:7" x14ac:dyDescent="0.3">
      <c r="D1721" s="65"/>
      <c r="E1721" s="65"/>
      <c r="F1721" s="46">
        <f t="shared" si="35"/>
        <v>917422</v>
      </c>
      <c r="G1721" s="391" t="s">
        <v>9567</v>
      </c>
    </row>
    <row r="1722" spans="4:7" x14ac:dyDescent="0.3">
      <c r="D1722" s="65"/>
      <c r="E1722" s="65"/>
      <c r="F1722" s="46">
        <f t="shared" si="35"/>
        <v>917422</v>
      </c>
      <c r="G1722" s="391" t="s">
        <v>9567</v>
      </c>
    </row>
    <row r="1723" spans="4:7" x14ac:dyDescent="0.3">
      <c r="D1723" s="65"/>
      <c r="E1723" s="65"/>
      <c r="F1723" s="46">
        <f t="shared" si="35"/>
        <v>917422</v>
      </c>
      <c r="G1723" s="391" t="s">
        <v>9567</v>
      </c>
    </row>
    <row r="1724" spans="4:7" x14ac:dyDescent="0.3">
      <c r="D1724" s="65"/>
      <c r="E1724" s="65"/>
      <c r="F1724" s="46">
        <f t="shared" si="35"/>
        <v>917422</v>
      </c>
      <c r="G1724" s="391" t="s">
        <v>9567</v>
      </c>
    </row>
    <row r="1725" spans="4:7" x14ac:dyDescent="0.3">
      <c r="D1725" s="65"/>
      <c r="E1725" s="65"/>
      <c r="F1725" s="46">
        <f t="shared" si="35"/>
        <v>917422</v>
      </c>
      <c r="G1725" s="391" t="s">
        <v>9567</v>
      </c>
    </row>
    <row r="1726" spans="4:7" x14ac:dyDescent="0.3">
      <c r="D1726" s="65"/>
      <c r="E1726" s="65"/>
      <c r="F1726" s="46">
        <f t="shared" si="35"/>
        <v>917422</v>
      </c>
      <c r="G1726" s="391" t="s">
        <v>9567</v>
      </c>
    </row>
    <row r="1727" spans="4:7" x14ac:dyDescent="0.3">
      <c r="D1727" s="65"/>
      <c r="E1727" s="65"/>
      <c r="F1727" s="46">
        <f t="shared" si="35"/>
        <v>917422</v>
      </c>
      <c r="G1727" s="391" t="s">
        <v>9567</v>
      </c>
    </row>
    <row r="1728" spans="4:7" x14ac:dyDescent="0.3">
      <c r="D1728" s="65"/>
      <c r="E1728" s="65"/>
      <c r="F1728" s="46">
        <f t="shared" si="35"/>
        <v>917422</v>
      </c>
      <c r="G1728" s="391" t="s">
        <v>9567</v>
      </c>
    </row>
    <row r="1729" spans="4:7" x14ac:dyDescent="0.3">
      <c r="D1729" s="65"/>
      <c r="E1729" s="65"/>
      <c r="F1729" s="46">
        <f t="shared" si="35"/>
        <v>917422</v>
      </c>
      <c r="G1729" s="391" t="s">
        <v>9567</v>
      </c>
    </row>
    <row r="1730" spans="4:7" x14ac:dyDescent="0.3">
      <c r="D1730" s="65"/>
      <c r="E1730" s="65"/>
      <c r="F1730" s="46">
        <f t="shared" si="35"/>
        <v>917422</v>
      </c>
      <c r="G1730" s="391" t="s">
        <v>9567</v>
      </c>
    </row>
    <row r="1731" spans="4:7" x14ac:dyDescent="0.3">
      <c r="D1731" s="65"/>
      <c r="E1731" s="65"/>
      <c r="F1731" s="46">
        <f t="shared" si="35"/>
        <v>917422</v>
      </c>
      <c r="G1731" s="391" t="s">
        <v>9567</v>
      </c>
    </row>
    <row r="1732" spans="4:7" x14ac:dyDescent="0.3">
      <c r="D1732" s="65"/>
      <c r="E1732" s="65"/>
      <c r="F1732" s="46">
        <f t="shared" si="35"/>
        <v>917422</v>
      </c>
      <c r="G1732" s="391" t="s">
        <v>9567</v>
      </c>
    </row>
    <row r="1733" spans="4:7" x14ac:dyDescent="0.3">
      <c r="D1733" s="65"/>
      <c r="E1733" s="65"/>
      <c r="F1733" s="46">
        <f t="shared" si="35"/>
        <v>917422</v>
      </c>
      <c r="G1733" s="391" t="s">
        <v>9567</v>
      </c>
    </row>
    <row r="1734" spans="4:7" x14ac:dyDescent="0.3">
      <c r="D1734" s="65"/>
      <c r="E1734" s="65"/>
      <c r="F1734" s="46">
        <f t="shared" si="35"/>
        <v>917422</v>
      </c>
      <c r="G1734" s="391" t="s">
        <v>9567</v>
      </c>
    </row>
    <row r="1735" spans="4:7" x14ac:dyDescent="0.3">
      <c r="D1735" s="65"/>
      <c r="E1735" s="65"/>
      <c r="F1735" s="46">
        <f t="shared" si="35"/>
        <v>917422</v>
      </c>
      <c r="G1735" s="391" t="s">
        <v>9567</v>
      </c>
    </row>
    <row r="1736" spans="4:7" x14ac:dyDescent="0.3">
      <c r="D1736" s="65"/>
      <c r="E1736" s="65"/>
      <c r="F1736" s="46">
        <f t="shared" si="35"/>
        <v>917422</v>
      </c>
      <c r="G1736" s="391" t="s">
        <v>9567</v>
      </c>
    </row>
    <row r="1737" spans="4:7" x14ac:dyDescent="0.3">
      <c r="D1737" s="65"/>
      <c r="E1737" s="65"/>
      <c r="F1737" s="46">
        <f t="shared" ref="F1737:F1800" si="36">F1736+E1737-D1737</f>
        <v>917422</v>
      </c>
      <c r="G1737" s="391" t="s">
        <v>9567</v>
      </c>
    </row>
    <row r="1738" spans="4:7" x14ac:dyDescent="0.3">
      <c r="D1738" s="65"/>
      <c r="E1738" s="65"/>
      <c r="F1738" s="46">
        <f t="shared" si="36"/>
        <v>917422</v>
      </c>
      <c r="G1738" s="391" t="s">
        <v>9567</v>
      </c>
    </row>
    <row r="1739" spans="4:7" x14ac:dyDescent="0.3">
      <c r="D1739" s="65"/>
      <c r="E1739" s="65"/>
      <c r="F1739" s="46">
        <f t="shared" si="36"/>
        <v>917422</v>
      </c>
      <c r="G1739" s="391" t="s">
        <v>9567</v>
      </c>
    </row>
    <row r="1740" spans="4:7" x14ac:dyDescent="0.3">
      <c r="D1740" s="65"/>
      <c r="E1740" s="65"/>
      <c r="F1740" s="46">
        <f t="shared" si="36"/>
        <v>917422</v>
      </c>
      <c r="G1740" s="391" t="s">
        <v>9567</v>
      </c>
    </row>
    <row r="1741" spans="4:7" x14ac:dyDescent="0.3">
      <c r="D1741" s="65"/>
      <c r="E1741" s="65"/>
      <c r="F1741" s="46">
        <f t="shared" si="36"/>
        <v>917422</v>
      </c>
      <c r="G1741" s="391" t="s">
        <v>9567</v>
      </c>
    </row>
    <row r="1742" spans="4:7" x14ac:dyDescent="0.3">
      <c r="D1742" s="65"/>
      <c r="E1742" s="65"/>
      <c r="F1742" s="46">
        <f t="shared" si="36"/>
        <v>917422</v>
      </c>
      <c r="G1742" s="391" t="s">
        <v>9567</v>
      </c>
    </row>
    <row r="1743" spans="4:7" x14ac:dyDescent="0.3">
      <c r="D1743" s="65"/>
      <c r="E1743" s="65"/>
      <c r="F1743" s="46">
        <f t="shared" si="36"/>
        <v>917422</v>
      </c>
      <c r="G1743" s="391" t="s">
        <v>9567</v>
      </c>
    </row>
    <row r="1744" spans="4:7" x14ac:dyDescent="0.3">
      <c r="D1744" s="65"/>
      <c r="E1744" s="65"/>
      <c r="F1744" s="46">
        <f t="shared" si="36"/>
        <v>917422</v>
      </c>
      <c r="G1744" s="391" t="s">
        <v>9567</v>
      </c>
    </row>
    <row r="1745" spans="4:7" x14ac:dyDescent="0.3">
      <c r="D1745" s="65"/>
      <c r="E1745" s="65"/>
      <c r="F1745" s="46">
        <f t="shared" si="36"/>
        <v>917422</v>
      </c>
      <c r="G1745" s="391" t="s">
        <v>9567</v>
      </c>
    </row>
    <row r="1746" spans="4:7" x14ac:dyDescent="0.3">
      <c r="D1746" s="65"/>
      <c r="E1746" s="65"/>
      <c r="F1746" s="46">
        <f t="shared" si="36"/>
        <v>917422</v>
      </c>
      <c r="G1746" s="391" t="s">
        <v>9567</v>
      </c>
    </row>
    <row r="1747" spans="4:7" x14ac:dyDescent="0.3">
      <c r="D1747" s="65"/>
      <c r="E1747" s="65"/>
      <c r="F1747" s="46">
        <f t="shared" si="36"/>
        <v>917422</v>
      </c>
      <c r="G1747" s="391" t="s">
        <v>9567</v>
      </c>
    </row>
    <row r="1748" spans="4:7" x14ac:dyDescent="0.3">
      <c r="D1748" s="65"/>
      <c r="E1748" s="65"/>
      <c r="F1748" s="46">
        <f t="shared" si="36"/>
        <v>917422</v>
      </c>
      <c r="G1748" s="391" t="s">
        <v>9567</v>
      </c>
    </row>
    <row r="1749" spans="4:7" x14ac:dyDescent="0.3">
      <c r="D1749" s="65"/>
      <c r="E1749" s="65"/>
      <c r="F1749" s="46">
        <f t="shared" si="36"/>
        <v>917422</v>
      </c>
      <c r="G1749" s="391" t="s">
        <v>9567</v>
      </c>
    </row>
    <row r="1750" spans="4:7" x14ac:dyDescent="0.3">
      <c r="D1750" s="65"/>
      <c r="E1750" s="65"/>
      <c r="F1750" s="46">
        <f t="shared" si="36"/>
        <v>917422</v>
      </c>
      <c r="G1750" s="391" t="s">
        <v>9567</v>
      </c>
    </row>
    <row r="1751" spans="4:7" x14ac:dyDescent="0.3">
      <c r="D1751" s="65"/>
      <c r="E1751" s="65"/>
      <c r="F1751" s="46">
        <f t="shared" si="36"/>
        <v>917422</v>
      </c>
      <c r="G1751" s="391" t="s">
        <v>9567</v>
      </c>
    </row>
    <row r="1752" spans="4:7" x14ac:dyDescent="0.3">
      <c r="D1752" s="65"/>
      <c r="E1752" s="65"/>
      <c r="F1752" s="46">
        <f t="shared" si="36"/>
        <v>917422</v>
      </c>
      <c r="G1752" s="391" t="s">
        <v>9567</v>
      </c>
    </row>
    <row r="1753" spans="4:7" x14ac:dyDescent="0.3">
      <c r="D1753" s="65"/>
      <c r="E1753" s="65"/>
      <c r="F1753" s="46">
        <f t="shared" si="36"/>
        <v>917422</v>
      </c>
      <c r="G1753" s="391" t="s">
        <v>9567</v>
      </c>
    </row>
    <row r="1754" spans="4:7" x14ac:dyDescent="0.3">
      <c r="D1754" s="65"/>
      <c r="E1754" s="65"/>
      <c r="F1754" s="46">
        <f t="shared" si="36"/>
        <v>917422</v>
      </c>
      <c r="G1754" s="391" t="s">
        <v>9567</v>
      </c>
    </row>
    <row r="1755" spans="4:7" x14ac:dyDescent="0.3">
      <c r="D1755" s="65"/>
      <c r="E1755" s="65"/>
      <c r="F1755" s="46">
        <f t="shared" si="36"/>
        <v>917422</v>
      </c>
      <c r="G1755" s="391" t="s">
        <v>9567</v>
      </c>
    </row>
    <row r="1756" spans="4:7" x14ac:dyDescent="0.3">
      <c r="D1756" s="65"/>
      <c r="E1756" s="65"/>
      <c r="F1756" s="46">
        <f t="shared" si="36"/>
        <v>917422</v>
      </c>
      <c r="G1756" s="391" t="s">
        <v>9567</v>
      </c>
    </row>
    <row r="1757" spans="4:7" x14ac:dyDescent="0.3">
      <c r="D1757" s="65"/>
      <c r="E1757" s="65"/>
      <c r="F1757" s="46">
        <f t="shared" si="36"/>
        <v>917422</v>
      </c>
      <c r="G1757" s="391" t="s">
        <v>9567</v>
      </c>
    </row>
    <row r="1758" spans="4:7" x14ac:dyDescent="0.3">
      <c r="D1758" s="65"/>
      <c r="E1758" s="65"/>
      <c r="F1758" s="46">
        <f t="shared" si="36"/>
        <v>917422</v>
      </c>
      <c r="G1758" s="391" t="s">
        <v>9567</v>
      </c>
    </row>
    <row r="1759" spans="4:7" x14ac:dyDescent="0.3">
      <c r="D1759" s="65"/>
      <c r="E1759" s="65"/>
      <c r="F1759" s="46">
        <f t="shared" si="36"/>
        <v>917422</v>
      </c>
      <c r="G1759" s="391" t="s">
        <v>9567</v>
      </c>
    </row>
    <row r="1760" spans="4:7" x14ac:dyDescent="0.3">
      <c r="D1760" s="65"/>
      <c r="E1760" s="65"/>
      <c r="F1760" s="46">
        <f t="shared" si="36"/>
        <v>917422</v>
      </c>
      <c r="G1760" s="391" t="s">
        <v>9567</v>
      </c>
    </row>
    <row r="1761" spans="4:7" x14ac:dyDescent="0.3">
      <c r="D1761" s="65"/>
      <c r="E1761" s="65"/>
      <c r="F1761" s="46">
        <f t="shared" si="36"/>
        <v>917422</v>
      </c>
      <c r="G1761" s="391" t="s">
        <v>9567</v>
      </c>
    </row>
    <row r="1762" spans="4:7" x14ac:dyDescent="0.3">
      <c r="D1762" s="65"/>
      <c r="E1762" s="65"/>
      <c r="F1762" s="46">
        <f t="shared" si="36"/>
        <v>917422</v>
      </c>
      <c r="G1762" s="391" t="s">
        <v>9567</v>
      </c>
    </row>
    <row r="1763" spans="4:7" x14ac:dyDescent="0.3">
      <c r="D1763" s="65"/>
      <c r="E1763" s="65"/>
      <c r="F1763" s="46">
        <f t="shared" si="36"/>
        <v>917422</v>
      </c>
      <c r="G1763" s="391" t="s">
        <v>9567</v>
      </c>
    </row>
    <row r="1764" spans="4:7" x14ac:dyDescent="0.3">
      <c r="D1764" s="65"/>
      <c r="E1764" s="65"/>
      <c r="F1764" s="46">
        <f t="shared" si="36"/>
        <v>917422</v>
      </c>
      <c r="G1764" s="391" t="s">
        <v>9567</v>
      </c>
    </row>
    <row r="1765" spans="4:7" x14ac:dyDescent="0.3">
      <c r="D1765" s="65"/>
      <c r="E1765" s="65"/>
      <c r="F1765" s="46">
        <f t="shared" si="36"/>
        <v>917422</v>
      </c>
      <c r="G1765" s="391" t="s">
        <v>9567</v>
      </c>
    </row>
    <row r="1766" spans="4:7" x14ac:dyDescent="0.3">
      <c r="D1766" s="65"/>
      <c r="E1766" s="65"/>
      <c r="F1766" s="46">
        <f t="shared" si="36"/>
        <v>917422</v>
      </c>
      <c r="G1766" s="391" t="s">
        <v>9567</v>
      </c>
    </row>
    <row r="1767" spans="4:7" x14ac:dyDescent="0.3">
      <c r="D1767" s="65"/>
      <c r="E1767" s="65"/>
      <c r="F1767" s="46">
        <f t="shared" si="36"/>
        <v>917422</v>
      </c>
      <c r="G1767" s="391" t="s">
        <v>9567</v>
      </c>
    </row>
    <row r="1768" spans="4:7" x14ac:dyDescent="0.3">
      <c r="D1768" s="65"/>
      <c r="E1768" s="65"/>
      <c r="F1768" s="46">
        <f t="shared" si="36"/>
        <v>917422</v>
      </c>
      <c r="G1768" s="391" t="s">
        <v>9567</v>
      </c>
    </row>
    <row r="1769" spans="4:7" x14ac:dyDescent="0.3">
      <c r="D1769" s="65"/>
      <c r="E1769" s="65"/>
      <c r="F1769" s="46">
        <f t="shared" si="36"/>
        <v>917422</v>
      </c>
      <c r="G1769" s="391" t="s">
        <v>9567</v>
      </c>
    </row>
    <row r="1770" spans="4:7" x14ac:dyDescent="0.3">
      <c r="D1770" s="65"/>
      <c r="E1770" s="65"/>
      <c r="F1770" s="46">
        <f t="shared" si="36"/>
        <v>917422</v>
      </c>
      <c r="G1770" s="391" t="s">
        <v>9567</v>
      </c>
    </row>
    <row r="1771" spans="4:7" x14ac:dyDescent="0.3">
      <c r="D1771" s="65"/>
      <c r="E1771" s="65"/>
      <c r="F1771" s="46">
        <f t="shared" si="36"/>
        <v>917422</v>
      </c>
      <c r="G1771" s="391" t="s">
        <v>9567</v>
      </c>
    </row>
    <row r="1772" spans="4:7" x14ac:dyDescent="0.3">
      <c r="D1772" s="65"/>
      <c r="E1772" s="65"/>
      <c r="F1772" s="46">
        <f t="shared" si="36"/>
        <v>917422</v>
      </c>
      <c r="G1772" s="391" t="s">
        <v>9567</v>
      </c>
    </row>
    <row r="1773" spans="4:7" x14ac:dyDescent="0.3">
      <c r="D1773" s="65"/>
      <c r="E1773" s="65"/>
      <c r="F1773" s="46">
        <f t="shared" si="36"/>
        <v>917422</v>
      </c>
      <c r="G1773" s="391" t="s">
        <v>9567</v>
      </c>
    </row>
    <row r="1774" spans="4:7" x14ac:dyDescent="0.3">
      <c r="D1774" s="65"/>
      <c r="E1774" s="65"/>
      <c r="F1774" s="46">
        <f t="shared" si="36"/>
        <v>917422</v>
      </c>
      <c r="G1774" s="391" t="s">
        <v>9567</v>
      </c>
    </row>
    <row r="1775" spans="4:7" x14ac:dyDescent="0.3">
      <c r="D1775" s="65"/>
      <c r="E1775" s="65"/>
      <c r="F1775" s="46">
        <f t="shared" si="36"/>
        <v>917422</v>
      </c>
      <c r="G1775" s="391" t="s">
        <v>9567</v>
      </c>
    </row>
    <row r="1776" spans="4:7" x14ac:dyDescent="0.3">
      <c r="D1776" s="65"/>
      <c r="E1776" s="65"/>
      <c r="F1776" s="46">
        <f t="shared" si="36"/>
        <v>917422</v>
      </c>
      <c r="G1776" s="391" t="s">
        <v>9567</v>
      </c>
    </row>
    <row r="1777" spans="4:7" x14ac:dyDescent="0.3">
      <c r="D1777" s="65"/>
      <c r="E1777" s="65"/>
      <c r="F1777" s="46">
        <f t="shared" si="36"/>
        <v>917422</v>
      </c>
      <c r="G1777" s="391" t="s">
        <v>9567</v>
      </c>
    </row>
    <row r="1778" spans="4:7" x14ac:dyDescent="0.3">
      <c r="D1778" s="65"/>
      <c r="E1778" s="65"/>
      <c r="F1778" s="46">
        <f t="shared" si="36"/>
        <v>917422</v>
      </c>
      <c r="G1778" s="391" t="s">
        <v>9567</v>
      </c>
    </row>
    <row r="1779" spans="4:7" x14ac:dyDescent="0.3">
      <c r="D1779" s="65"/>
      <c r="E1779" s="65"/>
      <c r="F1779" s="46">
        <f t="shared" si="36"/>
        <v>917422</v>
      </c>
      <c r="G1779" s="391" t="s">
        <v>9567</v>
      </c>
    </row>
    <row r="1780" spans="4:7" x14ac:dyDescent="0.3">
      <c r="D1780" s="65"/>
      <c r="E1780" s="65"/>
      <c r="F1780" s="46">
        <f t="shared" si="36"/>
        <v>917422</v>
      </c>
      <c r="G1780" s="391" t="s">
        <v>9567</v>
      </c>
    </row>
    <row r="1781" spans="4:7" x14ac:dyDescent="0.3">
      <c r="D1781" s="65"/>
      <c r="E1781" s="65"/>
      <c r="F1781" s="46">
        <f t="shared" si="36"/>
        <v>917422</v>
      </c>
      <c r="G1781" s="391" t="s">
        <v>9567</v>
      </c>
    </row>
    <row r="1782" spans="4:7" x14ac:dyDescent="0.3">
      <c r="D1782" s="65"/>
      <c r="E1782" s="65"/>
      <c r="F1782" s="46">
        <f t="shared" si="36"/>
        <v>917422</v>
      </c>
      <c r="G1782" s="391" t="s">
        <v>9567</v>
      </c>
    </row>
    <row r="1783" spans="4:7" x14ac:dyDescent="0.3">
      <c r="D1783" s="65"/>
      <c r="E1783" s="65"/>
      <c r="F1783" s="46">
        <f t="shared" si="36"/>
        <v>917422</v>
      </c>
      <c r="G1783" s="391" t="s">
        <v>9567</v>
      </c>
    </row>
    <row r="1784" spans="4:7" x14ac:dyDescent="0.3">
      <c r="D1784" s="65"/>
      <c r="E1784" s="65"/>
      <c r="F1784" s="46">
        <f t="shared" si="36"/>
        <v>917422</v>
      </c>
      <c r="G1784" s="391" t="s">
        <v>9567</v>
      </c>
    </row>
    <row r="1785" spans="4:7" x14ac:dyDescent="0.3">
      <c r="D1785" s="65"/>
      <c r="E1785" s="65"/>
      <c r="F1785" s="46">
        <f t="shared" si="36"/>
        <v>917422</v>
      </c>
      <c r="G1785" s="391" t="s">
        <v>9567</v>
      </c>
    </row>
    <row r="1786" spans="4:7" x14ac:dyDescent="0.3">
      <c r="D1786" s="65"/>
      <c r="E1786" s="65"/>
      <c r="F1786" s="46">
        <f t="shared" si="36"/>
        <v>917422</v>
      </c>
      <c r="G1786" s="391" t="s">
        <v>9567</v>
      </c>
    </row>
    <row r="1787" spans="4:7" x14ac:dyDescent="0.3">
      <c r="D1787" s="65"/>
      <c r="E1787" s="65"/>
      <c r="F1787" s="46">
        <f t="shared" si="36"/>
        <v>917422</v>
      </c>
      <c r="G1787" s="391" t="s">
        <v>9567</v>
      </c>
    </row>
    <row r="1788" spans="4:7" x14ac:dyDescent="0.3">
      <c r="D1788" s="65"/>
      <c r="E1788" s="65"/>
      <c r="F1788" s="46">
        <f t="shared" si="36"/>
        <v>917422</v>
      </c>
      <c r="G1788" s="391" t="s">
        <v>9567</v>
      </c>
    </row>
    <row r="1789" spans="4:7" x14ac:dyDescent="0.3">
      <c r="D1789" s="65"/>
      <c r="E1789" s="65"/>
      <c r="F1789" s="46">
        <f t="shared" si="36"/>
        <v>917422</v>
      </c>
      <c r="G1789" s="391" t="s">
        <v>9567</v>
      </c>
    </row>
    <row r="1790" spans="4:7" x14ac:dyDescent="0.3">
      <c r="D1790" s="65"/>
      <c r="E1790" s="65"/>
      <c r="F1790" s="46">
        <f t="shared" si="36"/>
        <v>917422</v>
      </c>
      <c r="G1790" s="391" t="s">
        <v>9567</v>
      </c>
    </row>
    <row r="1791" spans="4:7" x14ac:dyDescent="0.3">
      <c r="D1791" s="65"/>
      <c r="E1791" s="65"/>
      <c r="F1791" s="46">
        <f t="shared" si="36"/>
        <v>917422</v>
      </c>
      <c r="G1791" s="391" t="s">
        <v>9567</v>
      </c>
    </row>
    <row r="1792" spans="4:7" x14ac:dyDescent="0.3">
      <c r="D1792" s="65"/>
      <c r="E1792" s="65"/>
      <c r="F1792" s="46">
        <f t="shared" si="36"/>
        <v>917422</v>
      </c>
      <c r="G1792" s="391" t="s">
        <v>9567</v>
      </c>
    </row>
    <row r="1793" spans="4:7" x14ac:dyDescent="0.3">
      <c r="D1793" s="65"/>
      <c r="E1793" s="65"/>
      <c r="F1793" s="46">
        <f t="shared" si="36"/>
        <v>917422</v>
      </c>
      <c r="G1793" s="391" t="s">
        <v>9567</v>
      </c>
    </row>
    <row r="1794" spans="4:7" x14ac:dyDescent="0.3">
      <c r="D1794" s="65"/>
      <c r="E1794" s="65"/>
      <c r="F1794" s="46">
        <f t="shared" si="36"/>
        <v>917422</v>
      </c>
      <c r="G1794" s="391" t="s">
        <v>9567</v>
      </c>
    </row>
    <row r="1795" spans="4:7" x14ac:dyDescent="0.3">
      <c r="D1795" s="65"/>
      <c r="E1795" s="65"/>
      <c r="F1795" s="46">
        <f t="shared" si="36"/>
        <v>917422</v>
      </c>
      <c r="G1795" s="391" t="s">
        <v>9567</v>
      </c>
    </row>
    <row r="1796" spans="4:7" x14ac:dyDescent="0.3">
      <c r="D1796" s="65"/>
      <c r="E1796" s="65"/>
      <c r="F1796" s="46">
        <f t="shared" si="36"/>
        <v>917422</v>
      </c>
      <c r="G1796" s="391" t="s">
        <v>9567</v>
      </c>
    </row>
    <row r="1797" spans="4:7" x14ac:dyDescent="0.3">
      <c r="D1797" s="65"/>
      <c r="E1797" s="65"/>
      <c r="F1797" s="46">
        <f t="shared" si="36"/>
        <v>917422</v>
      </c>
      <c r="G1797" s="391" t="s">
        <v>9567</v>
      </c>
    </row>
    <row r="1798" spans="4:7" x14ac:dyDescent="0.3">
      <c r="D1798" s="65"/>
      <c r="E1798" s="65"/>
      <c r="F1798" s="46">
        <f t="shared" si="36"/>
        <v>917422</v>
      </c>
      <c r="G1798" s="391" t="s">
        <v>9567</v>
      </c>
    </row>
    <row r="1799" spans="4:7" x14ac:dyDescent="0.3">
      <c r="D1799" s="65"/>
      <c r="E1799" s="65"/>
      <c r="F1799" s="46">
        <f t="shared" si="36"/>
        <v>917422</v>
      </c>
      <c r="G1799" s="391" t="s">
        <v>9567</v>
      </c>
    </row>
    <row r="1800" spans="4:7" x14ac:dyDescent="0.3">
      <c r="D1800" s="65"/>
      <c r="E1800" s="65"/>
      <c r="F1800" s="46">
        <f t="shared" si="36"/>
        <v>917422</v>
      </c>
      <c r="G1800" s="391" t="s">
        <v>9567</v>
      </c>
    </row>
    <row r="1801" spans="4:7" x14ac:dyDescent="0.3">
      <c r="D1801" s="65"/>
      <c r="E1801" s="65"/>
      <c r="F1801" s="46">
        <f t="shared" ref="F1801:F1864" si="37">F1800+E1801-D1801</f>
        <v>917422</v>
      </c>
      <c r="G1801" s="391" t="s">
        <v>9567</v>
      </c>
    </row>
    <row r="1802" spans="4:7" x14ac:dyDescent="0.3">
      <c r="D1802" s="65"/>
      <c r="E1802" s="65"/>
      <c r="F1802" s="46">
        <f t="shared" si="37"/>
        <v>917422</v>
      </c>
      <c r="G1802" s="391" t="s">
        <v>9567</v>
      </c>
    </row>
    <row r="1803" spans="4:7" x14ac:dyDescent="0.3">
      <c r="D1803" s="65"/>
      <c r="E1803" s="65"/>
      <c r="F1803" s="46">
        <f t="shared" si="37"/>
        <v>917422</v>
      </c>
      <c r="G1803" s="391" t="s">
        <v>9567</v>
      </c>
    </row>
    <row r="1804" spans="4:7" x14ac:dyDescent="0.3">
      <c r="D1804" s="65"/>
      <c r="E1804" s="65"/>
      <c r="F1804" s="46">
        <f t="shared" si="37"/>
        <v>917422</v>
      </c>
      <c r="G1804" s="391" t="s">
        <v>9567</v>
      </c>
    </row>
    <row r="1805" spans="4:7" x14ac:dyDescent="0.3">
      <c r="D1805" s="65"/>
      <c r="E1805" s="65"/>
      <c r="F1805" s="46">
        <f t="shared" si="37"/>
        <v>917422</v>
      </c>
      <c r="G1805" s="391" t="s">
        <v>9567</v>
      </c>
    </row>
    <row r="1806" spans="4:7" x14ac:dyDescent="0.3">
      <c r="D1806" s="65"/>
      <c r="E1806" s="65"/>
      <c r="F1806" s="46">
        <f t="shared" si="37"/>
        <v>917422</v>
      </c>
      <c r="G1806" s="391" t="s">
        <v>9567</v>
      </c>
    </row>
    <row r="1807" spans="4:7" x14ac:dyDescent="0.3">
      <c r="D1807" s="65"/>
      <c r="E1807" s="65"/>
      <c r="F1807" s="46">
        <f t="shared" si="37"/>
        <v>917422</v>
      </c>
      <c r="G1807" s="391" t="s">
        <v>9567</v>
      </c>
    </row>
    <row r="1808" spans="4:7" x14ac:dyDescent="0.3">
      <c r="D1808" s="65"/>
      <c r="E1808" s="65"/>
      <c r="F1808" s="46">
        <f t="shared" si="37"/>
        <v>917422</v>
      </c>
      <c r="G1808" s="391" t="s">
        <v>9567</v>
      </c>
    </row>
    <row r="1809" spans="4:7" x14ac:dyDescent="0.3">
      <c r="D1809" s="65"/>
      <c r="E1809" s="65"/>
      <c r="F1809" s="46">
        <f t="shared" si="37"/>
        <v>917422</v>
      </c>
      <c r="G1809" s="391" t="s">
        <v>9567</v>
      </c>
    </row>
    <row r="1810" spans="4:7" x14ac:dyDescent="0.3">
      <c r="D1810" s="65"/>
      <c r="E1810" s="65"/>
      <c r="F1810" s="46">
        <f t="shared" si="37"/>
        <v>917422</v>
      </c>
      <c r="G1810" s="391" t="s">
        <v>9567</v>
      </c>
    </row>
    <row r="1811" spans="4:7" x14ac:dyDescent="0.3">
      <c r="D1811" s="65"/>
      <c r="E1811" s="65"/>
      <c r="F1811" s="46">
        <f t="shared" si="37"/>
        <v>917422</v>
      </c>
      <c r="G1811" s="391" t="s">
        <v>9567</v>
      </c>
    </row>
    <row r="1812" spans="4:7" x14ac:dyDescent="0.3">
      <c r="D1812" s="65"/>
      <c r="E1812" s="65"/>
      <c r="F1812" s="46">
        <f t="shared" si="37"/>
        <v>917422</v>
      </c>
      <c r="G1812" s="391" t="s">
        <v>9567</v>
      </c>
    </row>
    <row r="1813" spans="4:7" x14ac:dyDescent="0.3">
      <c r="D1813" s="65"/>
      <c r="E1813" s="65"/>
      <c r="F1813" s="46">
        <f t="shared" si="37"/>
        <v>917422</v>
      </c>
      <c r="G1813" s="391" t="s">
        <v>9567</v>
      </c>
    </row>
    <row r="1814" spans="4:7" x14ac:dyDescent="0.3">
      <c r="D1814" s="65"/>
      <c r="E1814" s="65"/>
      <c r="F1814" s="46">
        <f t="shared" si="37"/>
        <v>917422</v>
      </c>
      <c r="G1814" s="391" t="s">
        <v>9567</v>
      </c>
    </row>
    <row r="1815" spans="4:7" x14ac:dyDescent="0.3">
      <c r="D1815" s="65"/>
      <c r="E1815" s="65"/>
      <c r="F1815" s="46">
        <f t="shared" si="37"/>
        <v>917422</v>
      </c>
      <c r="G1815" s="391" t="s">
        <v>9567</v>
      </c>
    </row>
    <row r="1816" spans="4:7" x14ac:dyDescent="0.3">
      <c r="D1816" s="65"/>
      <c r="E1816" s="65"/>
      <c r="F1816" s="46">
        <f t="shared" si="37"/>
        <v>917422</v>
      </c>
      <c r="G1816" s="391" t="s">
        <v>9567</v>
      </c>
    </row>
    <row r="1817" spans="4:7" x14ac:dyDescent="0.3">
      <c r="D1817" s="65"/>
      <c r="E1817" s="65"/>
      <c r="F1817" s="46">
        <f t="shared" si="37"/>
        <v>917422</v>
      </c>
      <c r="G1817" s="391" t="s">
        <v>9567</v>
      </c>
    </row>
    <row r="1818" spans="4:7" x14ac:dyDescent="0.3">
      <c r="D1818" s="65"/>
      <c r="E1818" s="65"/>
      <c r="F1818" s="46">
        <f t="shared" si="37"/>
        <v>917422</v>
      </c>
      <c r="G1818" s="391" t="s">
        <v>9567</v>
      </c>
    </row>
    <row r="1819" spans="4:7" x14ac:dyDescent="0.3">
      <c r="D1819" s="65"/>
      <c r="E1819" s="65"/>
      <c r="F1819" s="46">
        <f t="shared" si="37"/>
        <v>917422</v>
      </c>
      <c r="G1819" s="391" t="s">
        <v>9567</v>
      </c>
    </row>
    <row r="1820" spans="4:7" x14ac:dyDescent="0.3">
      <c r="D1820" s="65"/>
      <c r="E1820" s="65"/>
      <c r="F1820" s="46">
        <f t="shared" si="37"/>
        <v>917422</v>
      </c>
      <c r="G1820" s="391" t="s">
        <v>9567</v>
      </c>
    </row>
    <row r="1821" spans="4:7" x14ac:dyDescent="0.3">
      <c r="D1821" s="65"/>
      <c r="E1821" s="65"/>
      <c r="F1821" s="46">
        <f t="shared" si="37"/>
        <v>917422</v>
      </c>
      <c r="G1821" s="391" t="s">
        <v>9567</v>
      </c>
    </row>
    <row r="1822" spans="4:7" x14ac:dyDescent="0.3">
      <c r="D1822" s="65"/>
      <c r="E1822" s="65"/>
      <c r="F1822" s="46">
        <f t="shared" si="37"/>
        <v>917422</v>
      </c>
      <c r="G1822" s="391" t="s">
        <v>9567</v>
      </c>
    </row>
    <row r="1823" spans="4:7" x14ac:dyDescent="0.3">
      <c r="D1823" s="65"/>
      <c r="E1823" s="65"/>
      <c r="F1823" s="46">
        <f t="shared" si="37"/>
        <v>917422</v>
      </c>
      <c r="G1823" s="391" t="s">
        <v>9567</v>
      </c>
    </row>
    <row r="1824" spans="4:7" x14ac:dyDescent="0.3">
      <c r="D1824" s="65"/>
      <c r="E1824" s="65"/>
      <c r="F1824" s="46">
        <f t="shared" si="37"/>
        <v>917422</v>
      </c>
      <c r="G1824" s="391" t="s">
        <v>9567</v>
      </c>
    </row>
    <row r="1825" spans="4:7" x14ac:dyDescent="0.3">
      <c r="D1825" s="65"/>
      <c r="E1825" s="65"/>
      <c r="F1825" s="46">
        <f t="shared" si="37"/>
        <v>917422</v>
      </c>
      <c r="G1825" s="391" t="s">
        <v>9567</v>
      </c>
    </row>
    <row r="1826" spans="4:7" x14ac:dyDescent="0.3">
      <c r="D1826" s="65"/>
      <c r="E1826" s="65"/>
      <c r="F1826" s="46">
        <f t="shared" si="37"/>
        <v>917422</v>
      </c>
      <c r="G1826" s="391" t="s">
        <v>9567</v>
      </c>
    </row>
    <row r="1827" spans="4:7" x14ac:dyDescent="0.3">
      <c r="D1827" s="65"/>
      <c r="E1827" s="65"/>
      <c r="F1827" s="46">
        <f t="shared" si="37"/>
        <v>917422</v>
      </c>
      <c r="G1827" s="391" t="s">
        <v>9567</v>
      </c>
    </row>
    <row r="1828" spans="4:7" x14ac:dyDescent="0.3">
      <c r="D1828" s="65"/>
      <c r="E1828" s="65"/>
      <c r="F1828" s="46">
        <f t="shared" si="37"/>
        <v>917422</v>
      </c>
      <c r="G1828" s="391" t="s">
        <v>9567</v>
      </c>
    </row>
    <row r="1829" spans="4:7" x14ac:dyDescent="0.3">
      <c r="D1829" s="65"/>
      <c r="E1829" s="65"/>
      <c r="F1829" s="46">
        <f t="shared" si="37"/>
        <v>917422</v>
      </c>
      <c r="G1829" s="391" t="s">
        <v>9567</v>
      </c>
    </row>
    <row r="1830" spans="4:7" x14ac:dyDescent="0.3">
      <c r="D1830" s="65"/>
      <c r="E1830" s="65"/>
      <c r="F1830" s="46">
        <f t="shared" si="37"/>
        <v>917422</v>
      </c>
      <c r="G1830" s="391" t="s">
        <v>9567</v>
      </c>
    </row>
    <row r="1831" spans="4:7" x14ac:dyDescent="0.3">
      <c r="D1831" s="65"/>
      <c r="E1831" s="65"/>
      <c r="F1831" s="46">
        <f t="shared" si="37"/>
        <v>917422</v>
      </c>
      <c r="G1831" s="391" t="s">
        <v>9567</v>
      </c>
    </row>
    <row r="1832" spans="4:7" x14ac:dyDescent="0.3">
      <c r="D1832" s="65"/>
      <c r="E1832" s="65"/>
      <c r="F1832" s="46">
        <f t="shared" si="37"/>
        <v>917422</v>
      </c>
      <c r="G1832" s="391" t="s">
        <v>9567</v>
      </c>
    </row>
    <row r="1833" spans="4:7" x14ac:dyDescent="0.3">
      <c r="D1833" s="65"/>
      <c r="E1833" s="65"/>
      <c r="F1833" s="46">
        <f t="shared" si="37"/>
        <v>917422</v>
      </c>
      <c r="G1833" s="391" t="s">
        <v>9567</v>
      </c>
    </row>
    <row r="1834" spans="4:7" x14ac:dyDescent="0.3">
      <c r="D1834" s="65"/>
      <c r="E1834" s="65"/>
      <c r="F1834" s="46">
        <f t="shared" si="37"/>
        <v>917422</v>
      </c>
      <c r="G1834" s="391" t="s">
        <v>9567</v>
      </c>
    </row>
    <row r="1835" spans="4:7" x14ac:dyDescent="0.3">
      <c r="D1835" s="65"/>
      <c r="E1835" s="65"/>
      <c r="F1835" s="46">
        <f t="shared" si="37"/>
        <v>917422</v>
      </c>
      <c r="G1835" s="391" t="s">
        <v>9567</v>
      </c>
    </row>
    <row r="1836" spans="4:7" x14ac:dyDescent="0.3">
      <c r="D1836" s="65"/>
      <c r="E1836" s="65"/>
      <c r="F1836" s="46">
        <f t="shared" si="37"/>
        <v>917422</v>
      </c>
      <c r="G1836" s="391" t="s">
        <v>9567</v>
      </c>
    </row>
    <row r="1837" spans="4:7" x14ac:dyDescent="0.3">
      <c r="D1837" s="65"/>
      <c r="E1837" s="65"/>
      <c r="F1837" s="46">
        <f t="shared" si="37"/>
        <v>917422</v>
      </c>
      <c r="G1837" s="391" t="s">
        <v>9567</v>
      </c>
    </row>
    <row r="1838" spans="4:7" x14ac:dyDescent="0.3">
      <c r="D1838" s="65"/>
      <c r="E1838" s="65"/>
      <c r="F1838" s="46">
        <f t="shared" si="37"/>
        <v>917422</v>
      </c>
      <c r="G1838" s="391" t="s">
        <v>9567</v>
      </c>
    </row>
    <row r="1839" spans="4:7" x14ac:dyDescent="0.3">
      <c r="D1839" s="65"/>
      <c r="E1839" s="65"/>
      <c r="F1839" s="46">
        <f t="shared" si="37"/>
        <v>917422</v>
      </c>
      <c r="G1839" s="391" t="s">
        <v>9567</v>
      </c>
    </row>
    <row r="1840" spans="4:7" x14ac:dyDescent="0.3">
      <c r="D1840" s="65"/>
      <c r="E1840" s="65"/>
      <c r="F1840" s="46">
        <f t="shared" si="37"/>
        <v>917422</v>
      </c>
      <c r="G1840" s="391" t="s">
        <v>9567</v>
      </c>
    </row>
    <row r="1841" spans="4:7" x14ac:dyDescent="0.3">
      <c r="D1841" s="65"/>
      <c r="E1841" s="65"/>
      <c r="F1841" s="46">
        <f t="shared" si="37"/>
        <v>917422</v>
      </c>
      <c r="G1841" s="391" t="s">
        <v>9567</v>
      </c>
    </row>
    <row r="1842" spans="4:7" x14ac:dyDescent="0.3">
      <c r="D1842" s="65"/>
      <c r="E1842" s="65"/>
      <c r="F1842" s="46">
        <f t="shared" si="37"/>
        <v>917422</v>
      </c>
      <c r="G1842" s="391" t="s">
        <v>9567</v>
      </c>
    </row>
    <row r="1843" spans="4:7" x14ac:dyDescent="0.3">
      <c r="D1843" s="65"/>
      <c r="E1843" s="65"/>
      <c r="F1843" s="46">
        <f t="shared" si="37"/>
        <v>917422</v>
      </c>
      <c r="G1843" s="391" t="s">
        <v>9567</v>
      </c>
    </row>
    <row r="1844" spans="4:7" x14ac:dyDescent="0.3">
      <c r="D1844" s="65"/>
      <c r="E1844" s="65"/>
      <c r="F1844" s="46">
        <f t="shared" si="37"/>
        <v>917422</v>
      </c>
      <c r="G1844" s="391" t="s">
        <v>9567</v>
      </c>
    </row>
    <row r="1845" spans="4:7" x14ac:dyDescent="0.3">
      <c r="D1845" s="65"/>
      <c r="E1845" s="65"/>
      <c r="F1845" s="46">
        <f t="shared" si="37"/>
        <v>917422</v>
      </c>
      <c r="G1845" s="391" t="s">
        <v>9567</v>
      </c>
    </row>
    <row r="1846" spans="4:7" x14ac:dyDescent="0.3">
      <c r="D1846" s="65"/>
      <c r="E1846" s="65"/>
      <c r="F1846" s="46">
        <f t="shared" si="37"/>
        <v>917422</v>
      </c>
      <c r="G1846" s="391" t="s">
        <v>9567</v>
      </c>
    </row>
    <row r="1847" spans="4:7" x14ac:dyDescent="0.3">
      <c r="D1847" s="65"/>
      <c r="E1847" s="65"/>
      <c r="F1847" s="46">
        <f t="shared" si="37"/>
        <v>917422</v>
      </c>
      <c r="G1847" s="391" t="s">
        <v>9567</v>
      </c>
    </row>
    <row r="1848" spans="4:7" x14ac:dyDescent="0.3">
      <c r="D1848" s="65"/>
      <c r="E1848" s="65"/>
      <c r="F1848" s="46">
        <f t="shared" si="37"/>
        <v>917422</v>
      </c>
      <c r="G1848" s="391" t="s">
        <v>9567</v>
      </c>
    </row>
    <row r="1849" spans="4:7" x14ac:dyDescent="0.3">
      <c r="F1849" s="46">
        <f t="shared" si="37"/>
        <v>917422</v>
      </c>
      <c r="G1849" s="391" t="s">
        <v>9567</v>
      </c>
    </row>
    <row r="1850" spans="4:7" x14ac:dyDescent="0.3">
      <c r="F1850" s="46">
        <f t="shared" si="37"/>
        <v>917422</v>
      </c>
      <c r="G1850" s="391" t="s">
        <v>9567</v>
      </c>
    </row>
    <row r="1851" spans="4:7" x14ac:dyDescent="0.3">
      <c r="F1851" s="46">
        <f t="shared" si="37"/>
        <v>917422</v>
      </c>
      <c r="G1851" s="391" t="s">
        <v>9567</v>
      </c>
    </row>
    <row r="1852" spans="4:7" x14ac:dyDescent="0.3">
      <c r="F1852" s="46">
        <f t="shared" si="37"/>
        <v>917422</v>
      </c>
      <c r="G1852" s="391" t="s">
        <v>9567</v>
      </c>
    </row>
    <row r="1853" spans="4:7" x14ac:dyDescent="0.3">
      <c r="F1853" s="46">
        <f t="shared" si="37"/>
        <v>917422</v>
      </c>
      <c r="G1853" s="391" t="s">
        <v>9567</v>
      </c>
    </row>
    <row r="1854" spans="4:7" x14ac:dyDescent="0.3">
      <c r="F1854" s="46">
        <f t="shared" si="37"/>
        <v>917422</v>
      </c>
      <c r="G1854" s="391" t="s">
        <v>9567</v>
      </c>
    </row>
    <row r="1855" spans="4:7" x14ac:dyDescent="0.3">
      <c r="F1855" s="46">
        <f t="shared" si="37"/>
        <v>917422</v>
      </c>
      <c r="G1855" s="391" t="s">
        <v>9567</v>
      </c>
    </row>
    <row r="1856" spans="4:7" x14ac:dyDescent="0.3">
      <c r="F1856" s="46">
        <f t="shared" si="37"/>
        <v>917422</v>
      </c>
      <c r="G1856" s="391" t="s">
        <v>9567</v>
      </c>
    </row>
    <row r="1857" spans="6:7" x14ac:dyDescent="0.3">
      <c r="F1857" s="46">
        <f t="shared" si="37"/>
        <v>917422</v>
      </c>
      <c r="G1857" s="391" t="s">
        <v>9567</v>
      </c>
    </row>
    <row r="1858" spans="6:7" x14ac:dyDescent="0.3">
      <c r="F1858" s="46">
        <f t="shared" si="37"/>
        <v>917422</v>
      </c>
      <c r="G1858" s="391" t="s">
        <v>9567</v>
      </c>
    </row>
    <row r="1859" spans="6:7" x14ac:dyDescent="0.3">
      <c r="F1859" s="46">
        <f t="shared" si="37"/>
        <v>917422</v>
      </c>
      <c r="G1859" s="391" t="s">
        <v>9567</v>
      </c>
    </row>
    <row r="1860" spans="6:7" x14ac:dyDescent="0.3">
      <c r="F1860" s="46">
        <f t="shared" si="37"/>
        <v>917422</v>
      </c>
      <c r="G1860" s="391" t="s">
        <v>9567</v>
      </c>
    </row>
    <row r="1861" spans="6:7" x14ac:dyDescent="0.3">
      <c r="F1861" s="46">
        <f t="shared" si="37"/>
        <v>917422</v>
      </c>
      <c r="G1861" s="391" t="s">
        <v>9567</v>
      </c>
    </row>
    <row r="1862" spans="6:7" x14ac:dyDescent="0.3">
      <c r="F1862" s="46">
        <f t="shared" si="37"/>
        <v>917422</v>
      </c>
      <c r="G1862" s="391" t="s">
        <v>9567</v>
      </c>
    </row>
    <row r="1863" spans="6:7" x14ac:dyDescent="0.3">
      <c r="F1863" s="46">
        <f t="shared" si="37"/>
        <v>917422</v>
      </c>
      <c r="G1863" s="391" t="s">
        <v>9567</v>
      </c>
    </row>
    <row r="1864" spans="6:7" x14ac:dyDescent="0.3">
      <c r="F1864" s="46">
        <f t="shared" si="37"/>
        <v>917422</v>
      </c>
      <c r="G1864" s="391" t="s">
        <v>9567</v>
      </c>
    </row>
    <row r="1865" spans="6:7" x14ac:dyDescent="0.3">
      <c r="F1865" s="46">
        <f t="shared" ref="F1865:F1928" si="38">F1864+E1865-D1865</f>
        <v>917422</v>
      </c>
      <c r="G1865" s="391" t="s">
        <v>9567</v>
      </c>
    </row>
    <row r="1866" spans="6:7" x14ac:dyDescent="0.3">
      <c r="F1866" s="46">
        <f t="shared" si="38"/>
        <v>917422</v>
      </c>
      <c r="G1866" s="391" t="s">
        <v>9567</v>
      </c>
    </row>
    <row r="1867" spans="6:7" x14ac:dyDescent="0.3">
      <c r="F1867" s="46">
        <f t="shared" si="38"/>
        <v>917422</v>
      </c>
      <c r="G1867" s="391" t="s">
        <v>9567</v>
      </c>
    </row>
    <row r="1868" spans="6:7" x14ac:dyDescent="0.3">
      <c r="F1868" s="46">
        <f t="shared" si="38"/>
        <v>917422</v>
      </c>
      <c r="G1868" s="391" t="s">
        <v>9567</v>
      </c>
    </row>
    <row r="1869" spans="6:7" x14ac:dyDescent="0.3">
      <c r="F1869" s="46">
        <f t="shared" si="38"/>
        <v>917422</v>
      </c>
      <c r="G1869" s="391" t="s">
        <v>9567</v>
      </c>
    </row>
    <row r="1870" spans="6:7" x14ac:dyDescent="0.3">
      <c r="F1870" s="46">
        <f t="shared" si="38"/>
        <v>917422</v>
      </c>
      <c r="G1870" s="391" t="s">
        <v>9567</v>
      </c>
    </row>
    <row r="1871" spans="6:7" x14ac:dyDescent="0.3">
      <c r="F1871" s="46">
        <f t="shared" si="38"/>
        <v>917422</v>
      </c>
      <c r="G1871" s="391" t="s">
        <v>9567</v>
      </c>
    </row>
    <row r="1872" spans="6:7" x14ac:dyDescent="0.3">
      <c r="F1872" s="46">
        <f t="shared" si="38"/>
        <v>917422</v>
      </c>
      <c r="G1872" s="391" t="s">
        <v>9567</v>
      </c>
    </row>
    <row r="1873" spans="6:7" x14ac:dyDescent="0.3">
      <c r="F1873" s="46">
        <f t="shared" si="38"/>
        <v>917422</v>
      </c>
      <c r="G1873" s="391" t="s">
        <v>9567</v>
      </c>
    </row>
    <row r="1874" spans="6:7" x14ac:dyDescent="0.3">
      <c r="F1874" s="46">
        <f t="shared" si="38"/>
        <v>917422</v>
      </c>
      <c r="G1874" s="391" t="s">
        <v>9567</v>
      </c>
    </row>
    <row r="1875" spans="6:7" x14ac:dyDescent="0.3">
      <c r="F1875" s="46">
        <f t="shared" si="38"/>
        <v>917422</v>
      </c>
      <c r="G1875" s="391" t="s">
        <v>9567</v>
      </c>
    </row>
    <row r="1876" spans="6:7" x14ac:dyDescent="0.3">
      <c r="F1876" s="46">
        <f t="shared" si="38"/>
        <v>917422</v>
      </c>
      <c r="G1876" s="391" t="s">
        <v>9567</v>
      </c>
    </row>
    <row r="1877" spans="6:7" x14ac:dyDescent="0.3">
      <c r="F1877" s="46">
        <f t="shared" si="38"/>
        <v>917422</v>
      </c>
      <c r="G1877" s="391" t="s">
        <v>9567</v>
      </c>
    </row>
    <row r="1878" spans="6:7" x14ac:dyDescent="0.3">
      <c r="F1878" s="46">
        <f t="shared" si="38"/>
        <v>917422</v>
      </c>
      <c r="G1878" s="391" t="s">
        <v>9567</v>
      </c>
    </row>
    <row r="1879" spans="6:7" x14ac:dyDescent="0.3">
      <c r="F1879" s="46">
        <f t="shared" si="38"/>
        <v>917422</v>
      </c>
      <c r="G1879" s="391" t="s">
        <v>9567</v>
      </c>
    </row>
    <row r="1880" spans="6:7" x14ac:dyDescent="0.3">
      <c r="F1880" s="46">
        <f t="shared" si="38"/>
        <v>917422</v>
      </c>
      <c r="G1880" s="391" t="s">
        <v>9567</v>
      </c>
    </row>
    <row r="1881" spans="6:7" x14ac:dyDescent="0.3">
      <c r="F1881" s="46">
        <f t="shared" si="38"/>
        <v>917422</v>
      </c>
      <c r="G1881" s="391" t="s">
        <v>9567</v>
      </c>
    </row>
    <row r="1882" spans="6:7" x14ac:dyDescent="0.3">
      <c r="F1882" s="46">
        <f t="shared" si="38"/>
        <v>917422</v>
      </c>
      <c r="G1882" s="391" t="s">
        <v>9567</v>
      </c>
    </row>
    <row r="1883" spans="6:7" x14ac:dyDescent="0.3">
      <c r="F1883" s="46">
        <f t="shared" si="38"/>
        <v>917422</v>
      </c>
      <c r="G1883" s="391" t="s">
        <v>9567</v>
      </c>
    </row>
    <row r="1884" spans="6:7" x14ac:dyDescent="0.3">
      <c r="F1884" s="46">
        <f t="shared" si="38"/>
        <v>917422</v>
      </c>
      <c r="G1884" s="391" t="s">
        <v>9567</v>
      </c>
    </row>
    <row r="1885" spans="6:7" x14ac:dyDescent="0.3">
      <c r="F1885" s="46">
        <f t="shared" si="38"/>
        <v>917422</v>
      </c>
      <c r="G1885" s="391" t="s">
        <v>9567</v>
      </c>
    </row>
    <row r="1886" spans="6:7" x14ac:dyDescent="0.3">
      <c r="F1886" s="46">
        <f t="shared" si="38"/>
        <v>917422</v>
      </c>
      <c r="G1886" s="391" t="s">
        <v>9567</v>
      </c>
    </row>
    <row r="1887" spans="6:7" x14ac:dyDescent="0.3">
      <c r="F1887" s="46">
        <f t="shared" si="38"/>
        <v>917422</v>
      </c>
      <c r="G1887" s="391" t="s">
        <v>9567</v>
      </c>
    </row>
    <row r="1888" spans="6:7" x14ac:dyDescent="0.3">
      <c r="F1888" s="46">
        <f t="shared" si="38"/>
        <v>917422</v>
      </c>
      <c r="G1888" s="391" t="s">
        <v>9567</v>
      </c>
    </row>
    <row r="1889" spans="6:7" x14ac:dyDescent="0.3">
      <c r="F1889" s="46">
        <f t="shared" si="38"/>
        <v>917422</v>
      </c>
      <c r="G1889" s="391" t="s">
        <v>9567</v>
      </c>
    </row>
    <row r="1890" spans="6:7" x14ac:dyDescent="0.3">
      <c r="F1890" s="46">
        <f t="shared" si="38"/>
        <v>917422</v>
      </c>
      <c r="G1890" s="391" t="s">
        <v>9567</v>
      </c>
    </row>
    <row r="1891" spans="6:7" x14ac:dyDescent="0.3">
      <c r="F1891" s="46">
        <f t="shared" si="38"/>
        <v>917422</v>
      </c>
      <c r="G1891" s="391" t="s">
        <v>9567</v>
      </c>
    </row>
    <row r="1892" spans="6:7" x14ac:dyDescent="0.3">
      <c r="F1892" s="46">
        <f t="shared" si="38"/>
        <v>917422</v>
      </c>
      <c r="G1892" s="391" t="s">
        <v>9567</v>
      </c>
    </row>
    <row r="1893" spans="6:7" x14ac:dyDescent="0.3">
      <c r="F1893" s="46">
        <f t="shared" si="38"/>
        <v>917422</v>
      </c>
      <c r="G1893" s="391" t="s">
        <v>9567</v>
      </c>
    </row>
    <row r="1894" spans="6:7" x14ac:dyDescent="0.3">
      <c r="F1894" s="46">
        <f t="shared" si="38"/>
        <v>917422</v>
      </c>
      <c r="G1894" s="391" t="s">
        <v>9567</v>
      </c>
    </row>
    <row r="1895" spans="6:7" x14ac:dyDescent="0.3">
      <c r="F1895" s="46">
        <f t="shared" si="38"/>
        <v>917422</v>
      </c>
      <c r="G1895" s="391" t="s">
        <v>9567</v>
      </c>
    </row>
    <row r="1896" spans="6:7" x14ac:dyDescent="0.3">
      <c r="F1896" s="46">
        <f t="shared" si="38"/>
        <v>917422</v>
      </c>
      <c r="G1896" s="391" t="s">
        <v>9567</v>
      </c>
    </row>
    <row r="1897" spans="6:7" x14ac:dyDescent="0.3">
      <c r="F1897" s="46">
        <f t="shared" si="38"/>
        <v>917422</v>
      </c>
      <c r="G1897" s="391" t="s">
        <v>9567</v>
      </c>
    </row>
    <row r="1898" spans="6:7" x14ac:dyDescent="0.3">
      <c r="F1898" s="46">
        <f t="shared" si="38"/>
        <v>917422</v>
      </c>
      <c r="G1898" s="391" t="s">
        <v>9567</v>
      </c>
    </row>
    <row r="1899" spans="6:7" x14ac:dyDescent="0.3">
      <c r="F1899" s="46">
        <f t="shared" si="38"/>
        <v>917422</v>
      </c>
      <c r="G1899" s="391" t="s">
        <v>9567</v>
      </c>
    </row>
    <row r="1900" spans="6:7" x14ac:dyDescent="0.3">
      <c r="F1900" s="46">
        <f t="shared" si="38"/>
        <v>917422</v>
      </c>
      <c r="G1900" s="391" t="s">
        <v>9567</v>
      </c>
    </row>
    <row r="1901" spans="6:7" x14ac:dyDescent="0.3">
      <c r="F1901" s="46">
        <f t="shared" si="38"/>
        <v>917422</v>
      </c>
      <c r="G1901" s="391" t="s">
        <v>9567</v>
      </c>
    </row>
    <row r="1902" spans="6:7" x14ac:dyDescent="0.3">
      <c r="F1902" s="46">
        <f t="shared" si="38"/>
        <v>917422</v>
      </c>
      <c r="G1902" s="391" t="s">
        <v>9567</v>
      </c>
    </row>
    <row r="1903" spans="6:7" x14ac:dyDescent="0.3">
      <c r="F1903" s="46">
        <f t="shared" si="38"/>
        <v>917422</v>
      </c>
      <c r="G1903" s="391" t="s">
        <v>9567</v>
      </c>
    </row>
    <row r="1904" spans="6:7" x14ac:dyDescent="0.3">
      <c r="F1904" s="46">
        <f t="shared" si="38"/>
        <v>917422</v>
      </c>
      <c r="G1904" s="391" t="s">
        <v>9567</v>
      </c>
    </row>
    <row r="1905" spans="6:7" x14ac:dyDescent="0.3">
      <c r="F1905" s="46">
        <f t="shared" si="38"/>
        <v>917422</v>
      </c>
      <c r="G1905" s="391" t="s">
        <v>9567</v>
      </c>
    </row>
    <row r="1906" spans="6:7" x14ac:dyDescent="0.3">
      <c r="F1906" s="46">
        <f t="shared" si="38"/>
        <v>917422</v>
      </c>
      <c r="G1906" s="391" t="s">
        <v>9567</v>
      </c>
    </row>
    <row r="1907" spans="6:7" x14ac:dyDescent="0.3">
      <c r="F1907" s="46">
        <f t="shared" si="38"/>
        <v>917422</v>
      </c>
      <c r="G1907" s="391" t="s">
        <v>9567</v>
      </c>
    </row>
    <row r="1908" spans="6:7" x14ac:dyDescent="0.3">
      <c r="F1908" s="46">
        <f t="shared" si="38"/>
        <v>917422</v>
      </c>
      <c r="G1908" s="391" t="s">
        <v>9567</v>
      </c>
    </row>
    <row r="1909" spans="6:7" x14ac:dyDescent="0.3">
      <c r="F1909" s="46">
        <f t="shared" si="38"/>
        <v>917422</v>
      </c>
      <c r="G1909" s="391" t="s">
        <v>9567</v>
      </c>
    </row>
    <row r="1910" spans="6:7" x14ac:dyDescent="0.3">
      <c r="F1910" s="46">
        <f t="shared" si="38"/>
        <v>917422</v>
      </c>
      <c r="G1910" s="391" t="s">
        <v>9567</v>
      </c>
    </row>
    <row r="1911" spans="6:7" x14ac:dyDescent="0.3">
      <c r="F1911" s="46">
        <f t="shared" si="38"/>
        <v>917422</v>
      </c>
      <c r="G1911" s="391" t="s">
        <v>9567</v>
      </c>
    </row>
    <row r="1912" spans="6:7" x14ac:dyDescent="0.3">
      <c r="F1912" s="46">
        <f t="shared" si="38"/>
        <v>917422</v>
      </c>
      <c r="G1912" s="391" t="s">
        <v>9567</v>
      </c>
    </row>
    <row r="1913" spans="6:7" x14ac:dyDescent="0.3">
      <c r="F1913" s="46">
        <f t="shared" si="38"/>
        <v>917422</v>
      </c>
      <c r="G1913" s="391" t="s">
        <v>9567</v>
      </c>
    </row>
    <row r="1914" spans="6:7" x14ac:dyDescent="0.3">
      <c r="F1914" s="46">
        <f t="shared" si="38"/>
        <v>917422</v>
      </c>
      <c r="G1914" s="391" t="s">
        <v>9567</v>
      </c>
    </row>
    <row r="1915" spans="6:7" x14ac:dyDescent="0.3">
      <c r="F1915" s="46">
        <f t="shared" si="38"/>
        <v>917422</v>
      </c>
      <c r="G1915" s="391" t="s">
        <v>9567</v>
      </c>
    </row>
    <row r="1916" spans="6:7" x14ac:dyDescent="0.3">
      <c r="F1916" s="46">
        <f t="shared" si="38"/>
        <v>917422</v>
      </c>
      <c r="G1916" s="391" t="s">
        <v>9567</v>
      </c>
    </row>
    <row r="1917" spans="6:7" x14ac:dyDescent="0.3">
      <c r="F1917" s="46">
        <f t="shared" si="38"/>
        <v>917422</v>
      </c>
      <c r="G1917" s="391" t="s">
        <v>9567</v>
      </c>
    </row>
    <row r="1918" spans="6:7" x14ac:dyDescent="0.3">
      <c r="F1918" s="46">
        <f t="shared" si="38"/>
        <v>917422</v>
      </c>
      <c r="G1918" s="391" t="s">
        <v>9567</v>
      </c>
    </row>
    <row r="1919" spans="6:7" x14ac:dyDescent="0.3">
      <c r="F1919" s="46">
        <f t="shared" si="38"/>
        <v>917422</v>
      </c>
      <c r="G1919" s="391" t="s">
        <v>9567</v>
      </c>
    </row>
    <row r="1920" spans="6:7" x14ac:dyDescent="0.3">
      <c r="F1920" s="46">
        <f t="shared" si="38"/>
        <v>917422</v>
      </c>
      <c r="G1920" s="391" t="s">
        <v>9567</v>
      </c>
    </row>
    <row r="1921" spans="6:7" x14ac:dyDescent="0.3">
      <c r="F1921" s="46">
        <f t="shared" si="38"/>
        <v>917422</v>
      </c>
      <c r="G1921" s="391" t="s">
        <v>9567</v>
      </c>
    </row>
    <row r="1922" spans="6:7" x14ac:dyDescent="0.3">
      <c r="F1922" s="46">
        <f t="shared" si="38"/>
        <v>917422</v>
      </c>
      <c r="G1922" s="391" t="s">
        <v>9567</v>
      </c>
    </row>
    <row r="1923" spans="6:7" x14ac:dyDescent="0.3">
      <c r="F1923" s="46">
        <f t="shared" si="38"/>
        <v>917422</v>
      </c>
      <c r="G1923" s="391" t="s">
        <v>9567</v>
      </c>
    </row>
    <row r="1924" spans="6:7" x14ac:dyDescent="0.3">
      <c r="F1924" s="46">
        <f t="shared" si="38"/>
        <v>917422</v>
      </c>
      <c r="G1924" s="391" t="s">
        <v>9567</v>
      </c>
    </row>
    <row r="1925" spans="6:7" x14ac:dyDescent="0.3">
      <c r="F1925" s="46">
        <f t="shared" si="38"/>
        <v>917422</v>
      </c>
      <c r="G1925" s="391" t="s">
        <v>9567</v>
      </c>
    </row>
    <row r="1926" spans="6:7" x14ac:dyDescent="0.3">
      <c r="F1926" s="46">
        <f t="shared" si="38"/>
        <v>917422</v>
      </c>
      <c r="G1926" s="391" t="s">
        <v>9567</v>
      </c>
    </row>
    <row r="1927" spans="6:7" x14ac:dyDescent="0.3">
      <c r="F1927" s="46">
        <f t="shared" si="38"/>
        <v>917422</v>
      </c>
      <c r="G1927" s="391" t="s">
        <v>9567</v>
      </c>
    </row>
    <row r="1928" spans="6:7" x14ac:dyDescent="0.3">
      <c r="F1928" s="46">
        <f t="shared" si="38"/>
        <v>917422</v>
      </c>
      <c r="G1928" s="391" t="s">
        <v>9567</v>
      </c>
    </row>
    <row r="1929" spans="6:7" x14ac:dyDescent="0.3">
      <c r="F1929" s="46">
        <f t="shared" ref="F1929:F1992" si="39">F1928+E1929-D1929</f>
        <v>917422</v>
      </c>
      <c r="G1929" s="391" t="s">
        <v>9567</v>
      </c>
    </row>
    <row r="1930" spans="6:7" x14ac:dyDescent="0.3">
      <c r="F1930" s="46">
        <f t="shared" si="39"/>
        <v>917422</v>
      </c>
      <c r="G1930" s="391" t="s">
        <v>9567</v>
      </c>
    </row>
    <row r="1931" spans="6:7" x14ac:dyDescent="0.3">
      <c r="F1931" s="46">
        <f t="shared" si="39"/>
        <v>917422</v>
      </c>
      <c r="G1931" s="391" t="s">
        <v>9567</v>
      </c>
    </row>
    <row r="1932" spans="6:7" x14ac:dyDescent="0.3">
      <c r="F1932" s="46">
        <f t="shared" si="39"/>
        <v>917422</v>
      </c>
      <c r="G1932" s="391" t="s">
        <v>9567</v>
      </c>
    </row>
    <row r="1933" spans="6:7" x14ac:dyDescent="0.3">
      <c r="F1933" s="46">
        <f t="shared" si="39"/>
        <v>917422</v>
      </c>
      <c r="G1933" s="391" t="s">
        <v>9567</v>
      </c>
    </row>
    <row r="1934" spans="6:7" x14ac:dyDescent="0.3">
      <c r="F1934" s="46">
        <f t="shared" si="39"/>
        <v>917422</v>
      </c>
      <c r="G1934" s="391" t="s">
        <v>9567</v>
      </c>
    </row>
    <row r="1935" spans="6:7" x14ac:dyDescent="0.3">
      <c r="F1935" s="46">
        <f t="shared" si="39"/>
        <v>917422</v>
      </c>
      <c r="G1935" s="391" t="s">
        <v>9567</v>
      </c>
    </row>
    <row r="1936" spans="6:7" x14ac:dyDescent="0.3">
      <c r="F1936" s="46">
        <f t="shared" si="39"/>
        <v>917422</v>
      </c>
      <c r="G1936" s="391" t="s">
        <v>9567</v>
      </c>
    </row>
    <row r="1937" spans="6:7" x14ac:dyDescent="0.3">
      <c r="F1937" s="46">
        <f t="shared" si="39"/>
        <v>917422</v>
      </c>
      <c r="G1937" s="391" t="s">
        <v>9567</v>
      </c>
    </row>
    <row r="1938" spans="6:7" x14ac:dyDescent="0.3">
      <c r="F1938" s="46">
        <f t="shared" si="39"/>
        <v>917422</v>
      </c>
      <c r="G1938" s="391" t="s">
        <v>9567</v>
      </c>
    </row>
    <row r="1939" spans="6:7" x14ac:dyDescent="0.3">
      <c r="F1939" s="46">
        <f t="shared" si="39"/>
        <v>917422</v>
      </c>
      <c r="G1939" s="391" t="s">
        <v>9567</v>
      </c>
    </row>
    <row r="1940" spans="6:7" x14ac:dyDescent="0.3">
      <c r="F1940" s="46">
        <f t="shared" si="39"/>
        <v>917422</v>
      </c>
      <c r="G1940" s="391" t="s">
        <v>9567</v>
      </c>
    </row>
    <row r="1941" spans="6:7" x14ac:dyDescent="0.3">
      <c r="F1941" s="46">
        <f t="shared" si="39"/>
        <v>917422</v>
      </c>
      <c r="G1941" s="391" t="s">
        <v>9567</v>
      </c>
    </row>
    <row r="1942" spans="6:7" x14ac:dyDescent="0.3">
      <c r="F1942" s="46">
        <f t="shared" si="39"/>
        <v>917422</v>
      </c>
      <c r="G1942" s="391" t="s">
        <v>9567</v>
      </c>
    </row>
    <row r="1943" spans="6:7" x14ac:dyDescent="0.3">
      <c r="F1943" s="46">
        <f t="shared" si="39"/>
        <v>917422</v>
      </c>
      <c r="G1943" s="391" t="s">
        <v>9567</v>
      </c>
    </row>
    <row r="1944" spans="6:7" x14ac:dyDescent="0.3">
      <c r="F1944" s="46">
        <f t="shared" si="39"/>
        <v>917422</v>
      </c>
      <c r="G1944" s="391" t="s">
        <v>9567</v>
      </c>
    </row>
    <row r="1945" spans="6:7" x14ac:dyDescent="0.3">
      <c r="F1945" s="46">
        <f t="shared" si="39"/>
        <v>917422</v>
      </c>
      <c r="G1945" s="391" t="s">
        <v>9567</v>
      </c>
    </row>
    <row r="1946" spans="6:7" x14ac:dyDescent="0.3">
      <c r="F1946" s="46">
        <f t="shared" si="39"/>
        <v>917422</v>
      </c>
      <c r="G1946" s="391" t="s">
        <v>9567</v>
      </c>
    </row>
    <row r="1947" spans="6:7" x14ac:dyDescent="0.3">
      <c r="F1947" s="46">
        <f t="shared" si="39"/>
        <v>917422</v>
      </c>
      <c r="G1947" s="391" t="s">
        <v>9567</v>
      </c>
    </row>
    <row r="1948" spans="6:7" x14ac:dyDescent="0.3">
      <c r="F1948" s="46">
        <f t="shared" si="39"/>
        <v>917422</v>
      </c>
      <c r="G1948" s="391" t="s">
        <v>9567</v>
      </c>
    </row>
    <row r="1949" spans="6:7" x14ac:dyDescent="0.3">
      <c r="F1949" s="46">
        <f t="shared" si="39"/>
        <v>917422</v>
      </c>
      <c r="G1949" s="391" t="s">
        <v>9567</v>
      </c>
    </row>
    <row r="1950" spans="6:7" x14ac:dyDescent="0.3">
      <c r="F1950" s="46">
        <f t="shared" si="39"/>
        <v>917422</v>
      </c>
      <c r="G1950" s="391" t="s">
        <v>9567</v>
      </c>
    </row>
    <row r="1951" spans="6:7" x14ac:dyDescent="0.3">
      <c r="F1951" s="46">
        <f t="shared" si="39"/>
        <v>917422</v>
      </c>
      <c r="G1951" s="391" t="s">
        <v>9567</v>
      </c>
    </row>
    <row r="1952" spans="6:7" x14ac:dyDescent="0.3">
      <c r="F1952" s="46">
        <f t="shared" si="39"/>
        <v>917422</v>
      </c>
      <c r="G1952" s="391" t="s">
        <v>9567</v>
      </c>
    </row>
    <row r="1953" spans="6:7" x14ac:dyDescent="0.3">
      <c r="F1953" s="46">
        <f t="shared" si="39"/>
        <v>917422</v>
      </c>
      <c r="G1953" s="391" t="s">
        <v>9567</v>
      </c>
    </row>
    <row r="1954" spans="6:7" x14ac:dyDescent="0.3">
      <c r="F1954" s="46">
        <f t="shared" si="39"/>
        <v>917422</v>
      </c>
      <c r="G1954" s="391" t="s">
        <v>9567</v>
      </c>
    </row>
    <row r="1955" spans="6:7" x14ac:dyDescent="0.3">
      <c r="F1955" s="46">
        <f t="shared" si="39"/>
        <v>917422</v>
      </c>
      <c r="G1955" s="391" t="s">
        <v>9567</v>
      </c>
    </row>
    <row r="1956" spans="6:7" x14ac:dyDescent="0.3">
      <c r="F1956" s="46">
        <f t="shared" si="39"/>
        <v>917422</v>
      </c>
      <c r="G1956" s="391" t="s">
        <v>9567</v>
      </c>
    </row>
    <row r="1957" spans="6:7" x14ac:dyDescent="0.3">
      <c r="F1957" s="46">
        <f t="shared" si="39"/>
        <v>917422</v>
      </c>
      <c r="G1957" s="391" t="s">
        <v>9567</v>
      </c>
    </row>
    <row r="1958" spans="6:7" x14ac:dyDescent="0.3">
      <c r="F1958" s="46">
        <f t="shared" si="39"/>
        <v>917422</v>
      </c>
      <c r="G1958" s="391" t="s">
        <v>9567</v>
      </c>
    </row>
    <row r="1959" spans="6:7" x14ac:dyDescent="0.3">
      <c r="F1959" s="46">
        <f t="shared" si="39"/>
        <v>917422</v>
      </c>
      <c r="G1959" s="391" t="s">
        <v>9567</v>
      </c>
    </row>
    <row r="1960" spans="6:7" x14ac:dyDescent="0.3">
      <c r="F1960" s="46">
        <f t="shared" si="39"/>
        <v>917422</v>
      </c>
      <c r="G1960" s="391" t="s">
        <v>9567</v>
      </c>
    </row>
    <row r="1961" spans="6:7" x14ac:dyDescent="0.3">
      <c r="F1961" s="46">
        <f t="shared" si="39"/>
        <v>917422</v>
      </c>
      <c r="G1961" s="391" t="s">
        <v>9567</v>
      </c>
    </row>
    <row r="1962" spans="6:7" x14ac:dyDescent="0.3">
      <c r="F1962" s="46">
        <f t="shared" si="39"/>
        <v>917422</v>
      </c>
      <c r="G1962" s="391" t="s">
        <v>9567</v>
      </c>
    </row>
    <row r="1963" spans="6:7" x14ac:dyDescent="0.3">
      <c r="F1963" s="46">
        <f t="shared" si="39"/>
        <v>917422</v>
      </c>
      <c r="G1963" s="391" t="s">
        <v>9567</v>
      </c>
    </row>
    <row r="1964" spans="6:7" x14ac:dyDescent="0.3">
      <c r="F1964" s="46">
        <f t="shared" si="39"/>
        <v>917422</v>
      </c>
      <c r="G1964" s="391" t="s">
        <v>9567</v>
      </c>
    </row>
    <row r="1965" spans="6:7" x14ac:dyDescent="0.3">
      <c r="F1965" s="46">
        <f t="shared" si="39"/>
        <v>917422</v>
      </c>
      <c r="G1965" s="391" t="s">
        <v>9567</v>
      </c>
    </row>
    <row r="1966" spans="6:7" x14ac:dyDescent="0.3">
      <c r="F1966" s="46">
        <f t="shared" si="39"/>
        <v>917422</v>
      </c>
      <c r="G1966" s="391" t="s">
        <v>9567</v>
      </c>
    </row>
    <row r="1967" spans="6:7" x14ac:dyDescent="0.3">
      <c r="F1967" s="46">
        <f t="shared" si="39"/>
        <v>917422</v>
      </c>
      <c r="G1967" s="391" t="s">
        <v>9567</v>
      </c>
    </row>
    <row r="1968" spans="6:7" x14ac:dyDescent="0.3">
      <c r="F1968" s="46">
        <f t="shared" si="39"/>
        <v>917422</v>
      </c>
      <c r="G1968" s="391" t="s">
        <v>9567</v>
      </c>
    </row>
    <row r="1969" spans="6:7" x14ac:dyDescent="0.3">
      <c r="F1969" s="46">
        <f t="shared" si="39"/>
        <v>917422</v>
      </c>
      <c r="G1969" s="391" t="s">
        <v>9567</v>
      </c>
    </row>
    <row r="1970" spans="6:7" x14ac:dyDescent="0.3">
      <c r="F1970" s="46">
        <f t="shared" si="39"/>
        <v>917422</v>
      </c>
      <c r="G1970" s="391" t="s">
        <v>9567</v>
      </c>
    </row>
    <row r="1971" spans="6:7" x14ac:dyDescent="0.3">
      <c r="F1971" s="46">
        <f t="shared" si="39"/>
        <v>917422</v>
      </c>
      <c r="G1971" s="391" t="s">
        <v>9567</v>
      </c>
    </row>
    <row r="1972" spans="6:7" x14ac:dyDescent="0.3">
      <c r="F1972" s="46">
        <f t="shared" si="39"/>
        <v>917422</v>
      </c>
      <c r="G1972" s="391" t="s">
        <v>9567</v>
      </c>
    </row>
    <row r="1973" spans="6:7" x14ac:dyDescent="0.3">
      <c r="F1973" s="46">
        <f t="shared" si="39"/>
        <v>917422</v>
      </c>
      <c r="G1973" s="391" t="s">
        <v>9567</v>
      </c>
    </row>
    <row r="1974" spans="6:7" x14ac:dyDescent="0.3">
      <c r="F1974" s="46">
        <f t="shared" si="39"/>
        <v>917422</v>
      </c>
      <c r="G1974" s="391" t="s">
        <v>9567</v>
      </c>
    </row>
    <row r="1975" spans="6:7" x14ac:dyDescent="0.3">
      <c r="F1975" s="46">
        <f t="shared" si="39"/>
        <v>917422</v>
      </c>
      <c r="G1975" s="391" t="s">
        <v>9567</v>
      </c>
    </row>
    <row r="1976" spans="6:7" x14ac:dyDescent="0.3">
      <c r="F1976" s="46">
        <f t="shared" si="39"/>
        <v>917422</v>
      </c>
      <c r="G1976" s="391" t="s">
        <v>9567</v>
      </c>
    </row>
    <row r="1977" spans="6:7" x14ac:dyDescent="0.3">
      <c r="F1977" s="46">
        <f t="shared" si="39"/>
        <v>917422</v>
      </c>
      <c r="G1977" s="391" t="s">
        <v>9567</v>
      </c>
    </row>
    <row r="1978" spans="6:7" x14ac:dyDescent="0.3">
      <c r="F1978" s="46">
        <f t="shared" si="39"/>
        <v>917422</v>
      </c>
      <c r="G1978" s="391" t="s">
        <v>9567</v>
      </c>
    </row>
    <row r="1979" spans="6:7" x14ac:dyDescent="0.3">
      <c r="F1979" s="46">
        <f t="shared" si="39"/>
        <v>917422</v>
      </c>
      <c r="G1979" s="391" t="s">
        <v>9567</v>
      </c>
    </row>
    <row r="1980" spans="6:7" x14ac:dyDescent="0.3">
      <c r="F1980" s="46">
        <f t="shared" si="39"/>
        <v>917422</v>
      </c>
      <c r="G1980" s="391" t="s">
        <v>9567</v>
      </c>
    </row>
    <row r="1981" spans="6:7" x14ac:dyDescent="0.3">
      <c r="F1981" s="46">
        <f t="shared" si="39"/>
        <v>917422</v>
      </c>
      <c r="G1981" s="391" t="s">
        <v>9567</v>
      </c>
    </row>
    <row r="1982" spans="6:7" x14ac:dyDescent="0.3">
      <c r="F1982" s="46">
        <f t="shared" si="39"/>
        <v>917422</v>
      </c>
      <c r="G1982" s="391" t="s">
        <v>9567</v>
      </c>
    </row>
    <row r="1983" spans="6:7" x14ac:dyDescent="0.3">
      <c r="F1983" s="46">
        <f t="shared" si="39"/>
        <v>917422</v>
      </c>
      <c r="G1983" s="391" t="s">
        <v>9567</v>
      </c>
    </row>
    <row r="1984" spans="6:7" x14ac:dyDescent="0.3">
      <c r="F1984" s="46">
        <f t="shared" si="39"/>
        <v>917422</v>
      </c>
      <c r="G1984" s="391" t="s">
        <v>9567</v>
      </c>
    </row>
    <row r="1985" spans="6:7" x14ac:dyDescent="0.3">
      <c r="F1985" s="46">
        <f t="shared" si="39"/>
        <v>917422</v>
      </c>
      <c r="G1985" s="391" t="s">
        <v>9567</v>
      </c>
    </row>
    <row r="1986" spans="6:7" x14ac:dyDescent="0.3">
      <c r="F1986" s="46">
        <f t="shared" si="39"/>
        <v>917422</v>
      </c>
      <c r="G1986" s="391" t="s">
        <v>9567</v>
      </c>
    </row>
    <row r="1987" spans="6:7" x14ac:dyDescent="0.3">
      <c r="F1987" s="46">
        <f t="shared" si="39"/>
        <v>917422</v>
      </c>
      <c r="G1987" s="391" t="s">
        <v>9567</v>
      </c>
    </row>
    <row r="1988" spans="6:7" x14ac:dyDescent="0.3">
      <c r="F1988" s="46">
        <f t="shared" si="39"/>
        <v>917422</v>
      </c>
      <c r="G1988" s="391" t="s">
        <v>9567</v>
      </c>
    </row>
    <row r="1989" spans="6:7" x14ac:dyDescent="0.3">
      <c r="F1989" s="46">
        <f t="shared" si="39"/>
        <v>917422</v>
      </c>
      <c r="G1989" s="391" t="s">
        <v>9567</v>
      </c>
    </row>
    <row r="1990" spans="6:7" x14ac:dyDescent="0.3">
      <c r="F1990" s="46">
        <f t="shared" si="39"/>
        <v>917422</v>
      </c>
      <c r="G1990" s="391" t="s">
        <v>9567</v>
      </c>
    </row>
    <row r="1991" spans="6:7" x14ac:dyDescent="0.3">
      <c r="F1991" s="46">
        <f t="shared" si="39"/>
        <v>917422</v>
      </c>
      <c r="G1991" s="391" t="s">
        <v>9567</v>
      </c>
    </row>
    <row r="1992" spans="6:7" x14ac:dyDescent="0.3">
      <c r="F1992" s="46">
        <f t="shared" si="39"/>
        <v>917422</v>
      </c>
      <c r="G1992" s="391" t="s">
        <v>9567</v>
      </c>
    </row>
    <row r="1993" spans="6:7" x14ac:dyDescent="0.3">
      <c r="F1993" s="46">
        <f t="shared" ref="F1993:F2005" si="40">F1992+E1993-D1993</f>
        <v>917422</v>
      </c>
      <c r="G1993" s="391" t="s">
        <v>9567</v>
      </c>
    </row>
    <row r="1994" spans="6:7" x14ac:dyDescent="0.3">
      <c r="F1994" s="46">
        <f t="shared" si="40"/>
        <v>917422</v>
      </c>
      <c r="G1994" s="391" t="s">
        <v>9567</v>
      </c>
    </row>
    <row r="1995" spans="6:7" x14ac:dyDescent="0.3">
      <c r="F1995" s="46">
        <f t="shared" si="40"/>
        <v>917422</v>
      </c>
      <c r="G1995" s="391" t="s">
        <v>9567</v>
      </c>
    </row>
    <row r="1996" spans="6:7" x14ac:dyDescent="0.3">
      <c r="F1996" s="46">
        <f t="shared" si="40"/>
        <v>917422</v>
      </c>
      <c r="G1996" s="391" t="s">
        <v>9567</v>
      </c>
    </row>
    <row r="1997" spans="6:7" x14ac:dyDescent="0.3">
      <c r="F1997" s="46">
        <f t="shared" si="40"/>
        <v>917422</v>
      </c>
      <c r="G1997" s="391" t="s">
        <v>9567</v>
      </c>
    </row>
    <row r="1998" spans="6:7" x14ac:dyDescent="0.3">
      <c r="F1998" s="46">
        <f t="shared" si="40"/>
        <v>917422</v>
      </c>
      <c r="G1998" s="391" t="s">
        <v>9567</v>
      </c>
    </row>
    <row r="1999" spans="6:7" x14ac:dyDescent="0.3">
      <c r="F1999" s="46">
        <f t="shared" si="40"/>
        <v>917422</v>
      </c>
      <c r="G1999" s="391" t="s">
        <v>9567</v>
      </c>
    </row>
    <row r="2000" spans="6:7" x14ac:dyDescent="0.3">
      <c r="F2000" s="46">
        <f t="shared" si="40"/>
        <v>917422</v>
      </c>
      <c r="G2000" s="391" t="s">
        <v>9567</v>
      </c>
    </row>
    <row r="2001" spans="6:7" x14ac:dyDescent="0.3">
      <c r="F2001" s="46">
        <f t="shared" si="40"/>
        <v>917422</v>
      </c>
      <c r="G2001" s="391" t="s">
        <v>9567</v>
      </c>
    </row>
    <row r="2002" spans="6:7" x14ac:dyDescent="0.3">
      <c r="F2002" s="46">
        <f t="shared" si="40"/>
        <v>917422</v>
      </c>
      <c r="G2002" s="391" t="s">
        <v>9567</v>
      </c>
    </row>
    <row r="2003" spans="6:7" x14ac:dyDescent="0.3">
      <c r="F2003" s="46">
        <f t="shared" si="40"/>
        <v>917422</v>
      </c>
      <c r="G2003" s="391" t="s">
        <v>9567</v>
      </c>
    </row>
    <row r="2004" spans="6:7" x14ac:dyDescent="0.3">
      <c r="F2004" s="46">
        <f t="shared" si="40"/>
        <v>917422</v>
      </c>
      <c r="G2004" s="391" t="s">
        <v>9567</v>
      </c>
    </row>
    <row r="2005" spans="6:7" x14ac:dyDescent="0.3">
      <c r="F2005" s="46">
        <f t="shared" si="40"/>
        <v>917422</v>
      </c>
      <c r="G2005" s="391" t="s">
        <v>9567</v>
      </c>
    </row>
    <row r="2006" spans="6:7" x14ac:dyDescent="0.3">
      <c r="G2006" s="391" t="s">
        <v>9567</v>
      </c>
    </row>
    <row r="2007" spans="6:7" x14ac:dyDescent="0.3">
      <c r="G2007" s="391" t="s">
        <v>9567</v>
      </c>
    </row>
    <row r="2008" spans="6:7" x14ac:dyDescent="0.3">
      <c r="G2008" s="391" t="s">
        <v>9567</v>
      </c>
    </row>
    <row r="2009" spans="6:7" x14ac:dyDescent="0.3">
      <c r="G2009" s="391" t="s">
        <v>9567</v>
      </c>
    </row>
    <row r="2010" spans="6:7" x14ac:dyDescent="0.3">
      <c r="G2010" s="391" t="s">
        <v>9567</v>
      </c>
    </row>
    <row r="2011" spans="6:7" x14ac:dyDescent="0.3">
      <c r="G2011" s="391" t="s">
        <v>9567</v>
      </c>
    </row>
    <row r="2012" spans="6:7" x14ac:dyDescent="0.3">
      <c r="G2012" s="391" t="s">
        <v>9567</v>
      </c>
    </row>
    <row r="2013" spans="6:7" x14ac:dyDescent="0.3">
      <c r="G2013" s="391" t="s">
        <v>9567</v>
      </c>
    </row>
    <row r="2014" spans="6:7" x14ac:dyDescent="0.3">
      <c r="G2014" s="391" t="s">
        <v>9567</v>
      </c>
    </row>
    <row r="2015" spans="6:7" x14ac:dyDescent="0.3">
      <c r="G2015" s="391" t="s">
        <v>9567</v>
      </c>
    </row>
    <row r="2016" spans="6:7" x14ac:dyDescent="0.3">
      <c r="G2016" s="391" t="s">
        <v>9567</v>
      </c>
    </row>
    <row r="2017" spans="7:7" x14ac:dyDescent="0.3">
      <c r="G2017" s="391" t="s">
        <v>9567</v>
      </c>
    </row>
    <row r="2018" spans="7:7" x14ac:dyDescent="0.3">
      <c r="G2018" s="391" t="s">
        <v>9567</v>
      </c>
    </row>
    <row r="2019" spans="7:7" x14ac:dyDescent="0.3">
      <c r="G2019" s="391" t="s">
        <v>9567</v>
      </c>
    </row>
    <row r="2020" spans="7:7" x14ac:dyDescent="0.3">
      <c r="G2020" s="391" t="s">
        <v>9567</v>
      </c>
    </row>
    <row r="2021" spans="7:7" x14ac:dyDescent="0.3">
      <c r="G2021" s="391" t="s">
        <v>9567</v>
      </c>
    </row>
    <row r="2022" spans="7:7" x14ac:dyDescent="0.3">
      <c r="G2022" s="391" t="s">
        <v>9567</v>
      </c>
    </row>
    <row r="2023" spans="7:7" x14ac:dyDescent="0.3">
      <c r="G2023" s="391" t="s">
        <v>9567</v>
      </c>
    </row>
    <row r="2024" spans="7:7" x14ac:dyDescent="0.3">
      <c r="G2024" s="391" t="s">
        <v>9567</v>
      </c>
    </row>
    <row r="2025" spans="7:7" x14ac:dyDescent="0.3">
      <c r="G2025" s="391" t="s">
        <v>9567</v>
      </c>
    </row>
    <row r="2026" spans="7:7" x14ac:dyDescent="0.3">
      <c r="G2026" s="391" t="s">
        <v>9567</v>
      </c>
    </row>
    <row r="2027" spans="7:7" x14ac:dyDescent="0.3">
      <c r="G2027" s="391" t="s">
        <v>9567</v>
      </c>
    </row>
    <row r="2028" spans="7:7" x14ac:dyDescent="0.3">
      <c r="G2028" s="391" t="s">
        <v>9567</v>
      </c>
    </row>
    <row r="2029" spans="7:7" x14ac:dyDescent="0.3">
      <c r="G2029" s="391" t="s">
        <v>9567</v>
      </c>
    </row>
    <row r="2030" spans="7:7" x14ac:dyDescent="0.3">
      <c r="G2030" s="391" t="s">
        <v>9567</v>
      </c>
    </row>
    <row r="2031" spans="7:7" x14ac:dyDescent="0.3">
      <c r="G2031" s="391" t="s">
        <v>9567</v>
      </c>
    </row>
    <row r="2032" spans="7:7" x14ac:dyDescent="0.3">
      <c r="G2032" s="391" t="s">
        <v>9567</v>
      </c>
    </row>
    <row r="2033" spans="7:7" x14ac:dyDescent="0.3">
      <c r="G2033" s="391" t="s">
        <v>9567</v>
      </c>
    </row>
    <row r="2034" spans="7:7" x14ac:dyDescent="0.3">
      <c r="G2034" s="391" t="s">
        <v>9567</v>
      </c>
    </row>
    <row r="2035" spans="7:7" x14ac:dyDescent="0.3">
      <c r="G2035" s="391" t="s">
        <v>9567</v>
      </c>
    </row>
    <row r="2036" spans="7:7" x14ac:dyDescent="0.3">
      <c r="G2036" s="391" t="s">
        <v>9567</v>
      </c>
    </row>
    <row r="2037" spans="7:7" x14ac:dyDescent="0.3">
      <c r="G2037" s="391" t="s">
        <v>9567</v>
      </c>
    </row>
    <row r="2038" spans="7:7" x14ac:dyDescent="0.3">
      <c r="G2038" s="391" t="s">
        <v>9567</v>
      </c>
    </row>
    <row r="2039" spans="7:7" x14ac:dyDescent="0.3">
      <c r="G2039" s="391" t="s">
        <v>9567</v>
      </c>
    </row>
    <row r="2040" spans="7:7" x14ac:dyDescent="0.3">
      <c r="G2040" s="391" t="s">
        <v>9567</v>
      </c>
    </row>
    <row r="2041" spans="7:7" x14ac:dyDescent="0.3">
      <c r="G2041" s="391" t="s">
        <v>9567</v>
      </c>
    </row>
    <row r="2042" spans="7:7" x14ac:dyDescent="0.3">
      <c r="G2042" s="391" t="s">
        <v>9567</v>
      </c>
    </row>
    <row r="2043" spans="7:7" x14ac:dyDescent="0.3">
      <c r="G2043" s="391" t="s">
        <v>9567</v>
      </c>
    </row>
    <row r="2044" spans="7:7" x14ac:dyDescent="0.3">
      <c r="G2044" s="391" t="s">
        <v>9567</v>
      </c>
    </row>
    <row r="2045" spans="7:7" x14ac:dyDescent="0.3">
      <c r="G2045" s="391" t="s">
        <v>9567</v>
      </c>
    </row>
    <row r="2046" spans="7:7" x14ac:dyDescent="0.3">
      <c r="G2046" s="391" t="s">
        <v>9567</v>
      </c>
    </row>
    <row r="2047" spans="7:7" x14ac:dyDescent="0.3">
      <c r="G2047" s="391" t="s">
        <v>9567</v>
      </c>
    </row>
    <row r="2048" spans="7:7" x14ac:dyDescent="0.3">
      <c r="G2048" s="391" t="s">
        <v>9567</v>
      </c>
    </row>
    <row r="2049" spans="7:7" x14ac:dyDescent="0.3">
      <c r="G2049" s="391" t="s">
        <v>9567</v>
      </c>
    </row>
    <row r="2050" spans="7:7" x14ac:dyDescent="0.3">
      <c r="G2050" s="391" t="s">
        <v>9567</v>
      </c>
    </row>
    <row r="2051" spans="7:7" x14ac:dyDescent="0.3">
      <c r="G2051" s="391" t="s">
        <v>9567</v>
      </c>
    </row>
    <row r="2052" spans="7:7" x14ac:dyDescent="0.3">
      <c r="G2052" s="391" t="s">
        <v>9567</v>
      </c>
    </row>
    <row r="2053" spans="7:7" x14ac:dyDescent="0.3">
      <c r="G2053" s="391" t="s">
        <v>9567</v>
      </c>
    </row>
    <row r="2054" spans="7:7" x14ac:dyDescent="0.3">
      <c r="G2054" s="391" t="s">
        <v>9567</v>
      </c>
    </row>
    <row r="2055" spans="7:7" x14ac:dyDescent="0.3">
      <c r="G2055" s="391" t="s">
        <v>9567</v>
      </c>
    </row>
    <row r="2056" spans="7:7" x14ac:dyDescent="0.3">
      <c r="G2056" s="391" t="s">
        <v>9567</v>
      </c>
    </row>
    <row r="2057" spans="7:7" x14ac:dyDescent="0.3">
      <c r="G2057" s="391" t="s">
        <v>9567</v>
      </c>
    </row>
    <row r="2058" spans="7:7" x14ac:dyDescent="0.3">
      <c r="G2058" s="391" t="s">
        <v>9567</v>
      </c>
    </row>
    <row r="2059" spans="7:7" x14ac:dyDescent="0.3">
      <c r="G2059" s="391" t="s">
        <v>9567</v>
      </c>
    </row>
    <row r="2060" spans="7:7" x14ac:dyDescent="0.3">
      <c r="G2060" s="391" t="s">
        <v>9567</v>
      </c>
    </row>
    <row r="2061" spans="7:7" x14ac:dyDescent="0.3">
      <c r="G2061" s="391" t="s">
        <v>9567</v>
      </c>
    </row>
    <row r="2062" spans="7:7" x14ac:dyDescent="0.3">
      <c r="G2062" s="391" t="s">
        <v>9567</v>
      </c>
    </row>
    <row r="2063" spans="7:7" x14ac:dyDescent="0.3">
      <c r="G2063" s="391" t="s">
        <v>9567</v>
      </c>
    </row>
    <row r="2064" spans="7:7" x14ac:dyDescent="0.3">
      <c r="G2064" s="391" t="s">
        <v>9567</v>
      </c>
    </row>
    <row r="2065" spans="7:7" x14ac:dyDescent="0.3">
      <c r="G2065" s="391" t="s">
        <v>9567</v>
      </c>
    </row>
    <row r="2066" spans="7:7" x14ac:dyDescent="0.3">
      <c r="G2066" s="391" t="s">
        <v>9567</v>
      </c>
    </row>
    <row r="2067" spans="7:7" x14ac:dyDescent="0.3">
      <c r="G2067" s="391" t="s">
        <v>9567</v>
      </c>
    </row>
    <row r="2068" spans="7:7" x14ac:dyDescent="0.3">
      <c r="G2068" s="391" t="s">
        <v>9567</v>
      </c>
    </row>
    <row r="2069" spans="7:7" x14ac:dyDescent="0.3">
      <c r="G2069" s="391" t="s">
        <v>9567</v>
      </c>
    </row>
    <row r="2070" spans="7:7" x14ac:dyDescent="0.3">
      <c r="G2070" s="391" t="s">
        <v>9567</v>
      </c>
    </row>
    <row r="2071" spans="7:7" x14ac:dyDescent="0.3">
      <c r="G2071" s="391" t="s">
        <v>9567</v>
      </c>
    </row>
    <row r="2072" spans="7:7" x14ac:dyDescent="0.3">
      <c r="G2072" s="391" t="s">
        <v>9567</v>
      </c>
    </row>
    <row r="2073" spans="7:7" x14ac:dyDescent="0.3">
      <c r="G2073" s="391" t="s">
        <v>9567</v>
      </c>
    </row>
    <row r="2074" spans="7:7" x14ac:dyDescent="0.3">
      <c r="G2074" s="391" t="s">
        <v>9567</v>
      </c>
    </row>
    <row r="2075" spans="7:7" x14ac:dyDescent="0.3">
      <c r="G2075" s="391" t="s">
        <v>9567</v>
      </c>
    </row>
    <row r="2076" spans="7:7" x14ac:dyDescent="0.3">
      <c r="G2076" s="391" t="s">
        <v>9567</v>
      </c>
    </row>
    <row r="2077" spans="7:7" x14ac:dyDescent="0.3">
      <c r="G2077" s="391" t="s">
        <v>9567</v>
      </c>
    </row>
    <row r="2078" spans="7:7" x14ac:dyDescent="0.3">
      <c r="G2078" s="391" t="s">
        <v>9567</v>
      </c>
    </row>
    <row r="2079" spans="7:7" x14ac:dyDescent="0.3">
      <c r="G2079" s="391" t="s">
        <v>9567</v>
      </c>
    </row>
    <row r="2080" spans="7:7" x14ac:dyDescent="0.3">
      <c r="G2080" s="391" t="s">
        <v>9567</v>
      </c>
    </row>
    <row r="2081" spans="7:7" x14ac:dyDescent="0.3">
      <c r="G2081" s="391" t="s">
        <v>9567</v>
      </c>
    </row>
    <row r="2082" spans="7:7" x14ac:dyDescent="0.3">
      <c r="G2082" s="391" t="s">
        <v>9567</v>
      </c>
    </row>
    <row r="2083" spans="7:7" x14ac:dyDescent="0.3">
      <c r="G2083" s="391" t="s">
        <v>9567</v>
      </c>
    </row>
    <row r="2084" spans="7:7" x14ac:dyDescent="0.3">
      <c r="G2084" s="391" t="s">
        <v>9567</v>
      </c>
    </row>
    <row r="2085" spans="7:7" x14ac:dyDescent="0.3">
      <c r="G2085" s="391" t="s">
        <v>9567</v>
      </c>
    </row>
    <row r="2086" spans="7:7" x14ac:dyDescent="0.3">
      <c r="G2086" s="391" t="s">
        <v>9567</v>
      </c>
    </row>
    <row r="2087" spans="7:7" x14ac:dyDescent="0.3">
      <c r="G2087" s="391" t="s">
        <v>9567</v>
      </c>
    </row>
    <row r="2088" spans="7:7" x14ac:dyDescent="0.3">
      <c r="G2088" s="391" t="s">
        <v>9567</v>
      </c>
    </row>
    <row r="2089" spans="7:7" x14ac:dyDescent="0.3">
      <c r="G2089" s="391" t="s">
        <v>9567</v>
      </c>
    </row>
    <row r="2090" spans="7:7" x14ac:dyDescent="0.3">
      <c r="G2090" s="391" t="s">
        <v>9567</v>
      </c>
    </row>
    <row r="2091" spans="7:7" x14ac:dyDescent="0.3">
      <c r="G2091" s="391" t="s">
        <v>9567</v>
      </c>
    </row>
    <row r="2092" spans="7:7" x14ac:dyDescent="0.3">
      <c r="G2092" s="391" t="s">
        <v>9567</v>
      </c>
    </row>
    <row r="2093" spans="7:7" x14ac:dyDescent="0.3">
      <c r="G2093" s="391" t="s">
        <v>9567</v>
      </c>
    </row>
    <row r="2094" spans="7:7" x14ac:dyDescent="0.3">
      <c r="G2094" s="391" t="s">
        <v>9567</v>
      </c>
    </row>
    <row r="2095" spans="7:7" x14ac:dyDescent="0.3">
      <c r="G2095" s="391" t="s">
        <v>9567</v>
      </c>
    </row>
    <row r="2096" spans="7:7" x14ac:dyDescent="0.3">
      <c r="G2096" s="391" t="s">
        <v>9567</v>
      </c>
    </row>
    <row r="2097" spans="7:7" x14ac:dyDescent="0.3">
      <c r="G2097" s="391" t="s">
        <v>9567</v>
      </c>
    </row>
    <row r="2098" spans="7:7" x14ac:dyDescent="0.3">
      <c r="G2098" s="391" t="s">
        <v>9567</v>
      </c>
    </row>
    <row r="2099" spans="7:7" x14ac:dyDescent="0.3">
      <c r="G2099" s="391" t="s">
        <v>9567</v>
      </c>
    </row>
    <row r="2100" spans="7:7" x14ac:dyDescent="0.3">
      <c r="G2100" s="391" t="s">
        <v>9567</v>
      </c>
    </row>
    <row r="2101" spans="7:7" x14ac:dyDescent="0.3">
      <c r="G2101" s="391" t="s">
        <v>9567</v>
      </c>
    </row>
    <row r="2102" spans="7:7" x14ac:dyDescent="0.3">
      <c r="G2102" s="391" t="s">
        <v>9567</v>
      </c>
    </row>
    <row r="2103" spans="7:7" x14ac:dyDescent="0.3">
      <c r="G2103" s="391" t="s">
        <v>9567</v>
      </c>
    </row>
    <row r="2104" spans="7:7" x14ac:dyDescent="0.3">
      <c r="G2104" s="391" t="s">
        <v>9567</v>
      </c>
    </row>
    <row r="2105" spans="7:7" x14ac:dyDescent="0.3">
      <c r="G2105" s="391" t="s">
        <v>9567</v>
      </c>
    </row>
    <row r="2106" spans="7:7" x14ac:dyDescent="0.3">
      <c r="G2106" s="391" t="s">
        <v>9567</v>
      </c>
    </row>
    <row r="2107" spans="7:7" x14ac:dyDescent="0.3">
      <c r="G2107" s="391" t="s">
        <v>9567</v>
      </c>
    </row>
    <row r="2108" spans="7:7" x14ac:dyDescent="0.3">
      <c r="G2108" s="391" t="s">
        <v>9567</v>
      </c>
    </row>
    <row r="2109" spans="7:7" x14ac:dyDescent="0.3">
      <c r="G2109" s="391" t="s">
        <v>9567</v>
      </c>
    </row>
    <row r="2110" spans="7:7" x14ac:dyDescent="0.3">
      <c r="G2110" s="391" t="s">
        <v>9567</v>
      </c>
    </row>
    <row r="2111" spans="7:7" x14ac:dyDescent="0.3">
      <c r="G2111" s="391" t="s">
        <v>9567</v>
      </c>
    </row>
    <row r="2112" spans="7:7" x14ac:dyDescent="0.3">
      <c r="G2112" s="391" t="s">
        <v>9567</v>
      </c>
    </row>
    <row r="2113" spans="7:7" x14ac:dyDescent="0.3">
      <c r="G2113" s="391" t="s">
        <v>9567</v>
      </c>
    </row>
    <row r="2114" spans="7:7" x14ac:dyDescent="0.3">
      <c r="G2114" s="391" t="s">
        <v>9567</v>
      </c>
    </row>
    <row r="2115" spans="7:7" x14ac:dyDescent="0.3">
      <c r="G2115" s="391" t="s">
        <v>9567</v>
      </c>
    </row>
    <row r="2116" spans="7:7" x14ac:dyDescent="0.3">
      <c r="G2116" s="391" t="s">
        <v>9567</v>
      </c>
    </row>
    <row r="2117" spans="7:7" x14ac:dyDescent="0.3">
      <c r="G2117" s="391" t="s">
        <v>9567</v>
      </c>
    </row>
    <row r="2118" spans="7:7" x14ac:dyDescent="0.3">
      <c r="G2118" s="391" t="s">
        <v>9567</v>
      </c>
    </row>
    <row r="2119" spans="7:7" x14ac:dyDescent="0.3">
      <c r="G2119" s="391" t="s">
        <v>9567</v>
      </c>
    </row>
    <row r="2120" spans="7:7" x14ac:dyDescent="0.3">
      <c r="G2120" s="391" t="s">
        <v>9567</v>
      </c>
    </row>
    <row r="2121" spans="7:7" x14ac:dyDescent="0.3">
      <c r="G2121" s="391" t="s">
        <v>9567</v>
      </c>
    </row>
    <row r="2122" spans="7:7" x14ac:dyDescent="0.3">
      <c r="G2122" s="391" t="s">
        <v>9567</v>
      </c>
    </row>
    <row r="2123" spans="7:7" x14ac:dyDescent="0.3">
      <c r="G2123" s="391" t="s">
        <v>9567</v>
      </c>
    </row>
    <row r="2124" spans="7:7" x14ac:dyDescent="0.3">
      <c r="G2124" s="391" t="s">
        <v>9567</v>
      </c>
    </row>
    <row r="2125" spans="7:7" x14ac:dyDescent="0.3">
      <c r="G2125" s="391" t="s">
        <v>9567</v>
      </c>
    </row>
    <row r="2126" spans="7:7" x14ac:dyDescent="0.3">
      <c r="G2126" s="391" t="s">
        <v>9567</v>
      </c>
    </row>
    <row r="2127" spans="7:7" x14ac:dyDescent="0.3">
      <c r="G2127" s="391" t="s">
        <v>9567</v>
      </c>
    </row>
    <row r="2128" spans="7:7" x14ac:dyDescent="0.3">
      <c r="G2128" s="391" t="s">
        <v>9567</v>
      </c>
    </row>
    <row r="2129" spans="7:7" x14ac:dyDescent="0.3">
      <c r="G2129" s="391" t="s">
        <v>9567</v>
      </c>
    </row>
    <row r="2130" spans="7:7" x14ac:dyDescent="0.3">
      <c r="G2130" s="391" t="s">
        <v>9567</v>
      </c>
    </row>
    <row r="2131" spans="7:7" x14ac:dyDescent="0.3">
      <c r="G2131" s="391" t="s">
        <v>9567</v>
      </c>
    </row>
    <row r="2132" spans="7:7" x14ac:dyDescent="0.3">
      <c r="G2132" s="391" t="s">
        <v>9567</v>
      </c>
    </row>
    <row r="2133" spans="7:7" x14ac:dyDescent="0.3">
      <c r="G2133" s="391" t="s">
        <v>9567</v>
      </c>
    </row>
    <row r="2134" spans="7:7" x14ac:dyDescent="0.3">
      <c r="G2134" s="391" t="s">
        <v>9567</v>
      </c>
    </row>
    <row r="2135" spans="7:7" x14ac:dyDescent="0.3">
      <c r="G2135" s="391" t="s">
        <v>9567</v>
      </c>
    </row>
    <row r="2136" spans="7:7" x14ac:dyDescent="0.3">
      <c r="G2136" s="391" t="s">
        <v>9567</v>
      </c>
    </row>
    <row r="2137" spans="7:7" x14ac:dyDescent="0.3">
      <c r="G2137" s="391" t="s">
        <v>9567</v>
      </c>
    </row>
    <row r="2138" spans="7:7" x14ac:dyDescent="0.3">
      <c r="G2138" s="391" t="s">
        <v>9567</v>
      </c>
    </row>
    <row r="2139" spans="7:7" x14ac:dyDescent="0.3">
      <c r="G2139" s="391" t="s">
        <v>9567</v>
      </c>
    </row>
    <row r="2140" spans="7:7" x14ac:dyDescent="0.3">
      <c r="G2140" s="391" t="s">
        <v>9567</v>
      </c>
    </row>
    <row r="2141" spans="7:7" x14ac:dyDescent="0.3">
      <c r="G2141" s="391" t="s">
        <v>9567</v>
      </c>
    </row>
    <row r="2142" spans="7:7" x14ac:dyDescent="0.3">
      <c r="G2142" s="391" t="s">
        <v>9567</v>
      </c>
    </row>
    <row r="2143" spans="7:7" x14ac:dyDescent="0.3">
      <c r="G2143" s="391" t="s">
        <v>9567</v>
      </c>
    </row>
    <row r="2144" spans="7:7" x14ac:dyDescent="0.3">
      <c r="G2144" s="391" t="s">
        <v>9567</v>
      </c>
    </row>
    <row r="2145" spans="7:7" x14ac:dyDescent="0.3">
      <c r="G2145" s="391" t="s">
        <v>9567</v>
      </c>
    </row>
    <row r="2146" spans="7:7" x14ac:dyDescent="0.3">
      <c r="G2146" s="391" t="s">
        <v>9567</v>
      </c>
    </row>
    <row r="2147" spans="7:7" x14ac:dyDescent="0.3">
      <c r="G2147" s="391" t="s">
        <v>9567</v>
      </c>
    </row>
    <row r="2148" spans="7:7" x14ac:dyDescent="0.3">
      <c r="G2148" s="391" t="s">
        <v>9567</v>
      </c>
    </row>
    <row r="2149" spans="7:7" x14ac:dyDescent="0.3">
      <c r="G2149" s="391" t="s">
        <v>9567</v>
      </c>
    </row>
    <row r="2150" spans="7:7" x14ac:dyDescent="0.3">
      <c r="G2150" s="391" t="s">
        <v>9567</v>
      </c>
    </row>
    <row r="2151" spans="7:7" x14ac:dyDescent="0.3">
      <c r="G2151" s="391" t="s">
        <v>9567</v>
      </c>
    </row>
    <row r="2152" spans="7:7" x14ac:dyDescent="0.3">
      <c r="G2152" s="391" t="s">
        <v>9567</v>
      </c>
    </row>
    <row r="2153" spans="7:7" x14ac:dyDescent="0.3">
      <c r="G2153" s="391" t="s">
        <v>9567</v>
      </c>
    </row>
    <row r="2154" spans="7:7" x14ac:dyDescent="0.3">
      <c r="G2154" s="391" t="s">
        <v>9567</v>
      </c>
    </row>
    <row r="2155" spans="7:7" x14ac:dyDescent="0.3">
      <c r="G2155" s="391" t="s">
        <v>9567</v>
      </c>
    </row>
    <row r="2156" spans="7:7" x14ac:dyDescent="0.3">
      <c r="G2156" s="391" t="s">
        <v>9567</v>
      </c>
    </row>
    <row r="2157" spans="7:7" x14ac:dyDescent="0.3">
      <c r="G2157" s="391" t="s">
        <v>9567</v>
      </c>
    </row>
    <row r="2158" spans="7:7" x14ac:dyDescent="0.3">
      <c r="G2158" s="391" t="s">
        <v>9567</v>
      </c>
    </row>
    <row r="2159" spans="7:7" x14ac:dyDescent="0.3">
      <c r="G2159" s="391" t="s">
        <v>9567</v>
      </c>
    </row>
    <row r="2160" spans="7:7" x14ac:dyDescent="0.3">
      <c r="G2160" s="391" t="s">
        <v>9567</v>
      </c>
    </row>
    <row r="2161" spans="7:7" x14ac:dyDescent="0.3">
      <c r="G2161" s="391" t="s">
        <v>9567</v>
      </c>
    </row>
    <row r="2162" spans="7:7" x14ac:dyDescent="0.3">
      <c r="G2162" s="391" t="s">
        <v>9567</v>
      </c>
    </row>
    <row r="2163" spans="7:7" x14ac:dyDescent="0.3">
      <c r="G2163" s="391" t="s">
        <v>9567</v>
      </c>
    </row>
    <row r="2164" spans="7:7" x14ac:dyDescent="0.3">
      <c r="G2164" s="391" t="s">
        <v>9567</v>
      </c>
    </row>
    <row r="2165" spans="7:7" x14ac:dyDescent="0.3">
      <c r="G2165" s="391" t="s">
        <v>9567</v>
      </c>
    </row>
    <row r="2166" spans="7:7" x14ac:dyDescent="0.3">
      <c r="G2166" s="391" t="s">
        <v>9567</v>
      </c>
    </row>
    <row r="2167" spans="7:7" x14ac:dyDescent="0.3">
      <c r="G2167" s="391" t="s">
        <v>9567</v>
      </c>
    </row>
    <row r="2168" spans="7:7" x14ac:dyDescent="0.3">
      <c r="G2168" s="391" t="s">
        <v>9567</v>
      </c>
    </row>
    <row r="2169" spans="7:7" x14ac:dyDescent="0.3">
      <c r="G2169" s="391" t="s">
        <v>9567</v>
      </c>
    </row>
    <row r="2170" spans="7:7" x14ac:dyDescent="0.3">
      <c r="G2170" s="391" t="s">
        <v>9567</v>
      </c>
    </row>
    <row r="2171" spans="7:7" x14ac:dyDescent="0.3">
      <c r="G2171" s="391" t="s">
        <v>9567</v>
      </c>
    </row>
    <row r="2172" spans="7:7" x14ac:dyDescent="0.3">
      <c r="G2172" s="391" t="s">
        <v>9567</v>
      </c>
    </row>
    <row r="2173" spans="7:7" x14ac:dyDescent="0.3">
      <c r="G2173" s="391" t="s">
        <v>9567</v>
      </c>
    </row>
    <row r="2174" spans="7:7" x14ac:dyDescent="0.3">
      <c r="G2174" s="391" t="s">
        <v>9567</v>
      </c>
    </row>
    <row r="2175" spans="7:7" x14ac:dyDescent="0.3">
      <c r="G2175" s="391" t="s">
        <v>9567</v>
      </c>
    </row>
    <row r="2176" spans="7:7" x14ac:dyDescent="0.3">
      <c r="G2176" s="391" t="s">
        <v>9567</v>
      </c>
    </row>
    <row r="2177" spans="7:7" x14ac:dyDescent="0.3">
      <c r="G2177" s="391" t="s">
        <v>9567</v>
      </c>
    </row>
    <row r="2178" spans="7:7" x14ac:dyDescent="0.3">
      <c r="G2178" s="391" t="s">
        <v>9567</v>
      </c>
    </row>
    <row r="2179" spans="7:7" x14ac:dyDescent="0.3">
      <c r="G2179" s="391" t="s">
        <v>9567</v>
      </c>
    </row>
    <row r="2180" spans="7:7" x14ac:dyDescent="0.3">
      <c r="G2180" s="391" t="s">
        <v>9567</v>
      </c>
    </row>
    <row r="2181" spans="7:7" x14ac:dyDescent="0.3">
      <c r="G2181" s="391" t="s">
        <v>9567</v>
      </c>
    </row>
    <row r="2182" spans="7:7" x14ac:dyDescent="0.3">
      <c r="G2182" s="391" t="s">
        <v>9567</v>
      </c>
    </row>
    <row r="2183" spans="7:7" x14ac:dyDescent="0.3">
      <c r="G2183" s="391" t="s">
        <v>9567</v>
      </c>
    </row>
    <row r="2184" spans="7:7" x14ac:dyDescent="0.3">
      <c r="G2184" s="391" t="s">
        <v>9567</v>
      </c>
    </row>
    <row r="2185" spans="7:7" x14ac:dyDescent="0.3">
      <c r="G2185" s="391" t="s">
        <v>9567</v>
      </c>
    </row>
    <row r="2186" spans="7:7" x14ac:dyDescent="0.3">
      <c r="G2186" s="391" t="s">
        <v>9567</v>
      </c>
    </row>
    <row r="2187" spans="7:7" x14ac:dyDescent="0.3">
      <c r="G2187" s="391" t="s">
        <v>9567</v>
      </c>
    </row>
    <row r="2188" spans="7:7" x14ac:dyDescent="0.3">
      <c r="G2188" s="391" t="s">
        <v>9567</v>
      </c>
    </row>
    <row r="2189" spans="7:7" x14ac:dyDescent="0.3">
      <c r="G2189" s="391" t="s">
        <v>9567</v>
      </c>
    </row>
    <row r="2190" spans="7:7" x14ac:dyDescent="0.3">
      <c r="G2190" s="391" t="s">
        <v>9567</v>
      </c>
    </row>
    <row r="2191" spans="7:7" x14ac:dyDescent="0.3">
      <c r="G2191" s="391" t="s">
        <v>9567</v>
      </c>
    </row>
    <row r="2192" spans="7:7" x14ac:dyDescent="0.3">
      <c r="G2192" s="391" t="s">
        <v>9567</v>
      </c>
    </row>
    <row r="2193" spans="7:7" x14ac:dyDescent="0.3">
      <c r="G2193" s="391" t="s">
        <v>9567</v>
      </c>
    </row>
    <row r="2194" spans="7:7" x14ac:dyDescent="0.3">
      <c r="G2194" s="391" t="s">
        <v>9567</v>
      </c>
    </row>
    <row r="2195" spans="7:7" x14ac:dyDescent="0.3">
      <c r="G2195" s="391" t="s">
        <v>9567</v>
      </c>
    </row>
    <row r="2196" spans="7:7" x14ac:dyDescent="0.3">
      <c r="G2196" s="391" t="s">
        <v>9567</v>
      </c>
    </row>
    <row r="2197" spans="7:7" x14ac:dyDescent="0.3">
      <c r="G2197" s="391" t="s">
        <v>9567</v>
      </c>
    </row>
    <row r="2198" spans="7:7" x14ac:dyDescent="0.3">
      <c r="G2198" s="391" t="s">
        <v>9567</v>
      </c>
    </row>
    <row r="2199" spans="7:7" x14ac:dyDescent="0.3">
      <c r="G2199" s="391" t="s">
        <v>9567</v>
      </c>
    </row>
    <row r="2200" spans="7:7" x14ac:dyDescent="0.3">
      <c r="G2200" s="391" t="s">
        <v>9567</v>
      </c>
    </row>
    <row r="2201" spans="7:7" x14ac:dyDescent="0.3">
      <c r="G2201" s="391" t="s">
        <v>9567</v>
      </c>
    </row>
    <row r="2202" spans="7:7" x14ac:dyDescent="0.3">
      <c r="G2202" s="391" t="s">
        <v>9567</v>
      </c>
    </row>
    <row r="2203" spans="7:7" x14ac:dyDescent="0.3">
      <c r="G2203" s="391" t="s">
        <v>9567</v>
      </c>
    </row>
    <row r="2204" spans="7:7" x14ac:dyDescent="0.3">
      <c r="G2204" s="391" t="s">
        <v>9567</v>
      </c>
    </row>
    <row r="2205" spans="7:7" x14ac:dyDescent="0.3">
      <c r="G2205" s="391" t="s">
        <v>9567</v>
      </c>
    </row>
    <row r="2206" spans="7:7" x14ac:dyDescent="0.3">
      <c r="G2206" s="391" t="s">
        <v>9567</v>
      </c>
    </row>
    <row r="2207" spans="7:7" x14ac:dyDescent="0.3">
      <c r="G2207" s="391" t="s">
        <v>9567</v>
      </c>
    </row>
    <row r="2208" spans="7:7" x14ac:dyDescent="0.3">
      <c r="G2208" s="391" t="s">
        <v>9567</v>
      </c>
    </row>
    <row r="2209" spans="7:7" x14ac:dyDescent="0.3">
      <c r="G2209" s="391" t="s">
        <v>9567</v>
      </c>
    </row>
    <row r="2210" spans="7:7" x14ac:dyDescent="0.3">
      <c r="G2210" s="391" t="s">
        <v>9567</v>
      </c>
    </row>
    <row r="2211" spans="7:7" x14ac:dyDescent="0.3">
      <c r="G2211" s="391" t="s">
        <v>9567</v>
      </c>
    </row>
    <row r="2212" spans="7:7" x14ac:dyDescent="0.3">
      <c r="G2212" s="391" t="s">
        <v>9567</v>
      </c>
    </row>
    <row r="2213" spans="7:7" x14ac:dyDescent="0.3">
      <c r="G2213" s="391" t="s">
        <v>9567</v>
      </c>
    </row>
    <row r="2214" spans="7:7" x14ac:dyDescent="0.3">
      <c r="G2214" s="391" t="s">
        <v>9567</v>
      </c>
    </row>
    <row r="2215" spans="7:7" x14ac:dyDescent="0.3">
      <c r="G2215" s="391" t="s">
        <v>9567</v>
      </c>
    </row>
    <row r="2216" spans="7:7" x14ac:dyDescent="0.3">
      <c r="G2216" s="391" t="s">
        <v>9567</v>
      </c>
    </row>
    <row r="2217" spans="7:7" x14ac:dyDescent="0.3">
      <c r="G2217" s="391" t="s">
        <v>9567</v>
      </c>
    </row>
    <row r="2218" spans="7:7" x14ac:dyDescent="0.3">
      <c r="G2218" s="391" t="s">
        <v>9567</v>
      </c>
    </row>
    <row r="2219" spans="7:7" x14ac:dyDescent="0.3">
      <c r="G2219" s="391" t="s">
        <v>9567</v>
      </c>
    </row>
    <row r="2220" spans="7:7" x14ac:dyDescent="0.3">
      <c r="G2220" s="391" t="s">
        <v>9567</v>
      </c>
    </row>
    <row r="2221" spans="7:7" x14ac:dyDescent="0.3">
      <c r="G2221" s="391" t="s">
        <v>9567</v>
      </c>
    </row>
    <row r="2222" spans="7:7" x14ac:dyDescent="0.3">
      <c r="G2222" s="391" t="s">
        <v>9567</v>
      </c>
    </row>
    <row r="2223" spans="7:7" x14ac:dyDescent="0.3">
      <c r="G2223" s="391" t="s">
        <v>9567</v>
      </c>
    </row>
    <row r="2224" spans="7:7" x14ac:dyDescent="0.3">
      <c r="G2224" s="391" t="s">
        <v>9567</v>
      </c>
    </row>
    <row r="2225" spans="7:7" x14ac:dyDescent="0.3">
      <c r="G2225" s="391" t="s">
        <v>9567</v>
      </c>
    </row>
    <row r="2226" spans="7:7" x14ac:dyDescent="0.3">
      <c r="G2226" s="391" t="s">
        <v>9567</v>
      </c>
    </row>
    <row r="2227" spans="7:7" x14ac:dyDescent="0.3">
      <c r="G2227" s="391" t="s">
        <v>9567</v>
      </c>
    </row>
    <row r="2228" spans="7:7" x14ac:dyDescent="0.3">
      <c r="G2228" s="391" t="s">
        <v>9567</v>
      </c>
    </row>
    <row r="2229" spans="7:7" x14ac:dyDescent="0.3">
      <c r="G2229" s="391" t="s">
        <v>9567</v>
      </c>
    </row>
    <row r="2230" spans="7:7" x14ac:dyDescent="0.3">
      <c r="G2230" s="391" t="s">
        <v>9567</v>
      </c>
    </row>
    <row r="2231" spans="7:7" x14ac:dyDescent="0.3">
      <c r="G2231" s="391" t="s">
        <v>9567</v>
      </c>
    </row>
    <row r="2232" spans="7:7" x14ac:dyDescent="0.3">
      <c r="G2232" s="391" t="s">
        <v>9567</v>
      </c>
    </row>
    <row r="2233" spans="7:7" x14ac:dyDescent="0.3">
      <c r="G2233" s="391" t="s">
        <v>9567</v>
      </c>
    </row>
    <row r="2234" spans="7:7" x14ac:dyDescent="0.3">
      <c r="G2234" s="391" t="s">
        <v>9567</v>
      </c>
    </row>
    <row r="2235" spans="7:7" x14ac:dyDescent="0.3">
      <c r="G2235" s="391" t="s">
        <v>9567</v>
      </c>
    </row>
    <row r="2236" spans="7:7" x14ac:dyDescent="0.3">
      <c r="G2236" s="391" t="s">
        <v>9567</v>
      </c>
    </row>
    <row r="2237" spans="7:7" x14ac:dyDescent="0.3">
      <c r="G2237" s="391" t="s">
        <v>9567</v>
      </c>
    </row>
    <row r="2238" spans="7:7" x14ac:dyDescent="0.3">
      <c r="G2238" s="391" t="s">
        <v>9567</v>
      </c>
    </row>
    <row r="2239" spans="7:7" x14ac:dyDescent="0.3">
      <c r="G2239" s="391" t="s">
        <v>9567</v>
      </c>
    </row>
    <row r="2240" spans="7:7" x14ac:dyDescent="0.3">
      <c r="G2240" s="391" t="s">
        <v>9567</v>
      </c>
    </row>
    <row r="2241" spans="7:7" x14ac:dyDescent="0.3">
      <c r="G2241" s="391" t="s">
        <v>9567</v>
      </c>
    </row>
    <row r="2242" spans="7:7" x14ac:dyDescent="0.3">
      <c r="G2242" s="391" t="s">
        <v>9567</v>
      </c>
    </row>
    <row r="2243" spans="7:7" x14ac:dyDescent="0.3">
      <c r="G2243" s="391" t="s">
        <v>9567</v>
      </c>
    </row>
    <row r="2244" spans="7:7" x14ac:dyDescent="0.3">
      <c r="G2244" s="391" t="s">
        <v>9567</v>
      </c>
    </row>
    <row r="2245" spans="7:7" x14ac:dyDescent="0.3">
      <c r="G2245" s="391" t="s">
        <v>9567</v>
      </c>
    </row>
    <row r="2246" spans="7:7" x14ac:dyDescent="0.3">
      <c r="G2246" s="391" t="s">
        <v>9567</v>
      </c>
    </row>
    <row r="2247" spans="7:7" x14ac:dyDescent="0.3">
      <c r="G2247" s="391" t="s">
        <v>9567</v>
      </c>
    </row>
    <row r="2248" spans="7:7" x14ac:dyDescent="0.3">
      <c r="G2248" s="391" t="s">
        <v>9567</v>
      </c>
    </row>
    <row r="2249" spans="7:7" x14ac:dyDescent="0.3">
      <c r="G2249" s="391" t="s">
        <v>9567</v>
      </c>
    </row>
    <row r="2250" spans="7:7" x14ac:dyDescent="0.3">
      <c r="G2250" s="391" t="s">
        <v>9567</v>
      </c>
    </row>
    <row r="2251" spans="7:7" x14ac:dyDescent="0.3">
      <c r="G2251" s="391" t="s">
        <v>9567</v>
      </c>
    </row>
    <row r="2252" spans="7:7" x14ac:dyDescent="0.3">
      <c r="G2252" s="391" t="s">
        <v>9567</v>
      </c>
    </row>
    <row r="2253" spans="7:7" x14ac:dyDescent="0.3">
      <c r="G2253" s="391" t="s">
        <v>9567</v>
      </c>
    </row>
    <row r="2254" spans="7:7" x14ac:dyDescent="0.3">
      <c r="G2254" s="391" t="s">
        <v>9567</v>
      </c>
    </row>
    <row r="2255" spans="7:7" x14ac:dyDescent="0.3">
      <c r="G2255" s="391" t="s">
        <v>9567</v>
      </c>
    </row>
    <row r="2256" spans="7:7" x14ac:dyDescent="0.3">
      <c r="G2256" s="391" t="s">
        <v>9567</v>
      </c>
    </row>
    <row r="2257" spans="7:7" x14ac:dyDescent="0.3">
      <c r="G2257" s="391" t="s">
        <v>9567</v>
      </c>
    </row>
    <row r="2258" spans="7:7" x14ac:dyDescent="0.3">
      <c r="G2258" s="391" t="s">
        <v>9567</v>
      </c>
    </row>
    <row r="2259" spans="7:7" x14ac:dyDescent="0.3">
      <c r="G2259" s="391" t="s">
        <v>9567</v>
      </c>
    </row>
    <row r="2260" spans="7:7" x14ac:dyDescent="0.3">
      <c r="G2260" s="391" t="s">
        <v>9567</v>
      </c>
    </row>
    <row r="2261" spans="7:7" x14ac:dyDescent="0.3">
      <c r="G2261" s="391" t="s">
        <v>9567</v>
      </c>
    </row>
    <row r="2262" spans="7:7" x14ac:dyDescent="0.3">
      <c r="G2262" s="391" t="s">
        <v>9567</v>
      </c>
    </row>
    <row r="2263" spans="7:7" x14ac:dyDescent="0.3">
      <c r="G2263" s="391" t="s">
        <v>9567</v>
      </c>
    </row>
    <row r="2264" spans="7:7" x14ac:dyDescent="0.3">
      <c r="G2264" s="391" t="s">
        <v>9567</v>
      </c>
    </row>
    <row r="2265" spans="7:7" x14ac:dyDescent="0.3">
      <c r="G2265" s="391" t="s">
        <v>9567</v>
      </c>
    </row>
    <row r="2266" spans="7:7" x14ac:dyDescent="0.3">
      <c r="G2266" s="391" t="s">
        <v>9567</v>
      </c>
    </row>
    <row r="2267" spans="7:7" x14ac:dyDescent="0.3">
      <c r="G2267" s="391" t="s">
        <v>9567</v>
      </c>
    </row>
    <row r="2268" spans="7:7" x14ac:dyDescent="0.3">
      <c r="G2268" s="391" t="s">
        <v>9567</v>
      </c>
    </row>
    <row r="2269" spans="7:7" x14ac:dyDescent="0.3">
      <c r="G2269" s="391" t="s">
        <v>9567</v>
      </c>
    </row>
    <row r="2270" spans="7:7" x14ac:dyDescent="0.3">
      <c r="G2270" s="391" t="s">
        <v>9567</v>
      </c>
    </row>
    <row r="2271" spans="7:7" x14ac:dyDescent="0.3">
      <c r="G2271" s="391" t="s">
        <v>9567</v>
      </c>
    </row>
    <row r="2272" spans="7:7" x14ac:dyDescent="0.3">
      <c r="G2272" s="391" t="s">
        <v>9567</v>
      </c>
    </row>
    <row r="2273" spans="7:7" x14ac:dyDescent="0.3">
      <c r="G2273" s="391" t="s">
        <v>9567</v>
      </c>
    </row>
    <row r="2274" spans="7:7" x14ac:dyDescent="0.3">
      <c r="G2274" s="391" t="s">
        <v>9567</v>
      </c>
    </row>
    <row r="2275" spans="7:7" x14ac:dyDescent="0.3">
      <c r="G2275" s="391" t="s">
        <v>9567</v>
      </c>
    </row>
    <row r="2276" spans="7:7" x14ac:dyDescent="0.3">
      <c r="G2276" s="391" t="s">
        <v>9567</v>
      </c>
    </row>
    <row r="2277" spans="7:7" x14ac:dyDescent="0.3">
      <c r="G2277" s="391" t="s">
        <v>9567</v>
      </c>
    </row>
    <row r="2278" spans="7:7" x14ac:dyDescent="0.3">
      <c r="G2278" s="391" t="s">
        <v>9567</v>
      </c>
    </row>
    <row r="2279" spans="7:7" x14ac:dyDescent="0.3">
      <c r="G2279" s="391" t="s">
        <v>9567</v>
      </c>
    </row>
    <row r="2280" spans="7:7" x14ac:dyDescent="0.3">
      <c r="G2280" s="391" t="s">
        <v>9567</v>
      </c>
    </row>
    <row r="2281" spans="7:7" x14ac:dyDescent="0.3">
      <c r="G2281" s="391" t="s">
        <v>9567</v>
      </c>
    </row>
    <row r="2282" spans="7:7" x14ac:dyDescent="0.3">
      <c r="G2282" s="391" t="s">
        <v>9567</v>
      </c>
    </row>
    <row r="2283" spans="7:7" x14ac:dyDescent="0.3">
      <c r="G2283" s="391" t="s">
        <v>9567</v>
      </c>
    </row>
    <row r="2284" spans="7:7" x14ac:dyDescent="0.3">
      <c r="G2284" s="391" t="s">
        <v>9567</v>
      </c>
    </row>
    <row r="2285" spans="7:7" x14ac:dyDescent="0.3">
      <c r="G2285" s="391" t="s">
        <v>9567</v>
      </c>
    </row>
    <row r="2286" spans="7:7" x14ac:dyDescent="0.3">
      <c r="G2286" s="391" t="s">
        <v>9567</v>
      </c>
    </row>
    <row r="2287" spans="7:7" x14ac:dyDescent="0.3">
      <c r="G2287" s="391" t="s">
        <v>9567</v>
      </c>
    </row>
    <row r="2288" spans="7:7" x14ac:dyDescent="0.3">
      <c r="G2288" s="391" t="s">
        <v>9567</v>
      </c>
    </row>
    <row r="2289" spans="7:7" x14ac:dyDescent="0.3">
      <c r="G2289" s="391" t="s">
        <v>9567</v>
      </c>
    </row>
    <row r="2290" spans="7:7" x14ac:dyDescent="0.3">
      <c r="G2290" s="391" t="s">
        <v>9567</v>
      </c>
    </row>
    <row r="2291" spans="7:7" x14ac:dyDescent="0.3">
      <c r="G2291" s="391" t="s">
        <v>9567</v>
      </c>
    </row>
    <row r="2292" spans="7:7" x14ac:dyDescent="0.3">
      <c r="G2292" s="391" t="s">
        <v>9567</v>
      </c>
    </row>
    <row r="2293" spans="7:7" x14ac:dyDescent="0.3">
      <c r="G2293" s="391" t="s">
        <v>9567</v>
      </c>
    </row>
    <row r="2294" spans="7:7" x14ac:dyDescent="0.3">
      <c r="G2294" s="391" t="s">
        <v>9567</v>
      </c>
    </row>
    <row r="2295" spans="7:7" x14ac:dyDescent="0.3">
      <c r="G2295" s="391" t="s">
        <v>9567</v>
      </c>
    </row>
    <row r="2296" spans="7:7" x14ac:dyDescent="0.3">
      <c r="G2296" s="391" t="s">
        <v>9567</v>
      </c>
    </row>
    <row r="2297" spans="7:7" x14ac:dyDescent="0.3">
      <c r="G2297" s="391" t="s">
        <v>9567</v>
      </c>
    </row>
    <row r="2298" spans="7:7" x14ac:dyDescent="0.3">
      <c r="G2298" s="391" t="s">
        <v>9567</v>
      </c>
    </row>
    <row r="2299" spans="7:7" x14ac:dyDescent="0.3">
      <c r="G2299" s="391" t="s">
        <v>9567</v>
      </c>
    </row>
    <row r="2300" spans="7:7" x14ac:dyDescent="0.3">
      <c r="G2300" s="391" t="s">
        <v>9567</v>
      </c>
    </row>
    <row r="2301" spans="7:7" x14ac:dyDescent="0.3">
      <c r="G2301" s="391" t="s">
        <v>9567</v>
      </c>
    </row>
    <row r="2302" spans="7:7" x14ac:dyDescent="0.3">
      <c r="G2302" s="391" t="s">
        <v>9567</v>
      </c>
    </row>
    <row r="2303" spans="7:7" x14ac:dyDescent="0.3">
      <c r="G2303" s="391" t="s">
        <v>9567</v>
      </c>
    </row>
    <row r="2304" spans="7:7" x14ac:dyDescent="0.3">
      <c r="G2304" s="391" t="s">
        <v>9567</v>
      </c>
    </row>
    <row r="2305" spans="7:7" x14ac:dyDescent="0.3">
      <c r="G2305" s="391" t="s">
        <v>9567</v>
      </c>
    </row>
    <row r="2306" spans="7:7" x14ac:dyDescent="0.3">
      <c r="G2306" s="391" t="s">
        <v>9567</v>
      </c>
    </row>
    <row r="2307" spans="7:7" x14ac:dyDescent="0.3">
      <c r="G2307" s="391" t="s">
        <v>9567</v>
      </c>
    </row>
    <row r="2308" spans="7:7" x14ac:dyDescent="0.3">
      <c r="G2308" s="391" t="s">
        <v>9567</v>
      </c>
    </row>
    <row r="2309" spans="7:7" x14ac:dyDescent="0.3">
      <c r="G2309" s="391" t="s">
        <v>9567</v>
      </c>
    </row>
    <row r="2310" spans="7:7" x14ac:dyDescent="0.3">
      <c r="G2310" s="391" t="s">
        <v>9567</v>
      </c>
    </row>
    <row r="2311" spans="7:7" x14ac:dyDescent="0.3">
      <c r="G2311" s="391" t="s">
        <v>9567</v>
      </c>
    </row>
    <row r="2312" spans="7:7" x14ac:dyDescent="0.3">
      <c r="G2312" s="391" t="s">
        <v>9567</v>
      </c>
    </row>
    <row r="2313" spans="7:7" x14ac:dyDescent="0.3">
      <c r="G2313" s="391" t="s">
        <v>9567</v>
      </c>
    </row>
    <row r="2314" spans="7:7" x14ac:dyDescent="0.3">
      <c r="G2314" s="391" t="s">
        <v>9567</v>
      </c>
    </row>
    <row r="2315" spans="7:7" x14ac:dyDescent="0.3">
      <c r="G2315" s="391" t="s">
        <v>9567</v>
      </c>
    </row>
    <row r="2316" spans="7:7" x14ac:dyDescent="0.3">
      <c r="G2316" s="391" t="s">
        <v>9567</v>
      </c>
    </row>
    <row r="2317" spans="7:7" x14ac:dyDescent="0.3">
      <c r="G2317" s="391" t="s">
        <v>9567</v>
      </c>
    </row>
    <row r="2318" spans="7:7" x14ac:dyDescent="0.3">
      <c r="G2318" s="391" t="s">
        <v>9567</v>
      </c>
    </row>
    <row r="2319" spans="7:7" x14ac:dyDescent="0.3">
      <c r="G2319" s="391" t="s">
        <v>9567</v>
      </c>
    </row>
    <row r="2320" spans="7:7" x14ac:dyDescent="0.3">
      <c r="G2320" s="391" t="s">
        <v>9567</v>
      </c>
    </row>
    <row r="2321" spans="7:7" x14ac:dyDescent="0.3">
      <c r="G2321" s="391" t="s">
        <v>9567</v>
      </c>
    </row>
    <row r="2322" spans="7:7" x14ac:dyDescent="0.3">
      <c r="G2322" s="391" t="s">
        <v>9567</v>
      </c>
    </row>
    <row r="2323" spans="7:7" x14ac:dyDescent="0.3">
      <c r="G2323" s="391" t="s">
        <v>9567</v>
      </c>
    </row>
    <row r="2324" spans="7:7" x14ac:dyDescent="0.3">
      <c r="G2324" s="391" t="s">
        <v>9567</v>
      </c>
    </row>
    <row r="2325" spans="7:7" x14ac:dyDescent="0.3">
      <c r="G2325" s="391" t="s">
        <v>9567</v>
      </c>
    </row>
    <row r="2326" spans="7:7" x14ac:dyDescent="0.3">
      <c r="G2326" s="391" t="s">
        <v>9567</v>
      </c>
    </row>
    <row r="2327" spans="7:7" x14ac:dyDescent="0.3">
      <c r="G2327" s="391" t="s">
        <v>9567</v>
      </c>
    </row>
    <row r="2328" spans="7:7" x14ac:dyDescent="0.3">
      <c r="G2328" s="391" t="s">
        <v>9567</v>
      </c>
    </row>
    <row r="2329" spans="7:7" x14ac:dyDescent="0.3">
      <c r="G2329" s="391" t="s">
        <v>9567</v>
      </c>
    </row>
    <row r="2330" spans="7:7" x14ac:dyDescent="0.3">
      <c r="G2330" s="391" t="s">
        <v>9567</v>
      </c>
    </row>
    <row r="2331" spans="7:7" x14ac:dyDescent="0.3">
      <c r="G2331" s="391" t="s">
        <v>9567</v>
      </c>
    </row>
    <row r="2332" spans="7:7" x14ac:dyDescent="0.3">
      <c r="G2332" s="391" t="s">
        <v>9567</v>
      </c>
    </row>
    <row r="2333" spans="7:7" x14ac:dyDescent="0.3">
      <c r="G2333" s="391" t="s">
        <v>9567</v>
      </c>
    </row>
    <row r="2334" spans="7:7" x14ac:dyDescent="0.3">
      <c r="G2334" s="391" t="s">
        <v>9567</v>
      </c>
    </row>
    <row r="2335" spans="7:7" x14ac:dyDescent="0.3">
      <c r="G2335" s="391" t="s">
        <v>9567</v>
      </c>
    </row>
    <row r="2336" spans="7:7" x14ac:dyDescent="0.3">
      <c r="G2336" s="391" t="s">
        <v>9567</v>
      </c>
    </row>
    <row r="2337" spans="7:7" x14ac:dyDescent="0.3">
      <c r="G2337" s="391" t="s">
        <v>9567</v>
      </c>
    </row>
    <row r="2338" spans="7:7" x14ac:dyDescent="0.3">
      <c r="G2338" s="391" t="s">
        <v>9567</v>
      </c>
    </row>
    <row r="2339" spans="7:7" x14ac:dyDescent="0.3">
      <c r="G2339" s="391" t="s">
        <v>9567</v>
      </c>
    </row>
    <row r="2340" spans="7:7" x14ac:dyDescent="0.3">
      <c r="G2340" s="391" t="s">
        <v>9567</v>
      </c>
    </row>
    <row r="2341" spans="7:7" x14ac:dyDescent="0.3">
      <c r="G2341" s="391" t="s">
        <v>9567</v>
      </c>
    </row>
    <row r="2342" spans="7:7" x14ac:dyDescent="0.3">
      <c r="G2342" s="391" t="s">
        <v>9567</v>
      </c>
    </row>
    <row r="2343" spans="7:7" x14ac:dyDescent="0.3">
      <c r="G2343" s="391" t="s">
        <v>9567</v>
      </c>
    </row>
    <row r="2344" spans="7:7" x14ac:dyDescent="0.3">
      <c r="G2344" s="391" t="s">
        <v>9567</v>
      </c>
    </row>
    <row r="2345" spans="7:7" x14ac:dyDescent="0.3">
      <c r="G2345" s="391" t="s">
        <v>9567</v>
      </c>
    </row>
    <row r="2346" spans="7:7" x14ac:dyDescent="0.3">
      <c r="G2346" s="391" t="s">
        <v>9567</v>
      </c>
    </row>
    <row r="2347" spans="7:7" x14ac:dyDescent="0.3">
      <c r="G2347" s="391" t="s">
        <v>9567</v>
      </c>
    </row>
    <row r="2348" spans="7:7" x14ac:dyDescent="0.3">
      <c r="G2348" s="391" t="s">
        <v>9567</v>
      </c>
    </row>
    <row r="2349" spans="7:7" x14ac:dyDescent="0.3">
      <c r="G2349" s="391" t="s">
        <v>9567</v>
      </c>
    </row>
    <row r="2350" spans="7:7" x14ac:dyDescent="0.3">
      <c r="G2350" s="391" t="s">
        <v>9567</v>
      </c>
    </row>
    <row r="2351" spans="7:7" x14ac:dyDescent="0.3">
      <c r="G2351" s="391" t="s">
        <v>9567</v>
      </c>
    </row>
    <row r="2352" spans="7:7" x14ac:dyDescent="0.3">
      <c r="G2352" s="391" t="s">
        <v>9567</v>
      </c>
    </row>
    <row r="2353" spans="7:7" x14ac:dyDescent="0.3">
      <c r="G2353" s="391" t="s">
        <v>9567</v>
      </c>
    </row>
    <row r="2354" spans="7:7" x14ac:dyDescent="0.3">
      <c r="G2354" s="391" t="s">
        <v>9567</v>
      </c>
    </row>
    <row r="2355" spans="7:7" x14ac:dyDescent="0.3">
      <c r="G2355" s="391" t="s">
        <v>9567</v>
      </c>
    </row>
    <row r="2356" spans="7:7" x14ac:dyDescent="0.3">
      <c r="G2356" s="391" t="s">
        <v>9567</v>
      </c>
    </row>
    <row r="2357" spans="7:7" x14ac:dyDescent="0.3">
      <c r="G2357" s="391" t="s">
        <v>9567</v>
      </c>
    </row>
    <row r="2358" spans="7:7" x14ac:dyDescent="0.3">
      <c r="G2358" s="391" t="s">
        <v>9567</v>
      </c>
    </row>
    <row r="2359" spans="7:7" x14ac:dyDescent="0.3">
      <c r="G2359" s="391" t="s">
        <v>9567</v>
      </c>
    </row>
    <row r="2360" spans="7:7" x14ac:dyDescent="0.3">
      <c r="G2360" s="391" t="s">
        <v>9567</v>
      </c>
    </row>
    <row r="2361" spans="7:7" x14ac:dyDescent="0.3">
      <c r="G2361" s="391" t="s">
        <v>9567</v>
      </c>
    </row>
    <row r="2362" spans="7:7" x14ac:dyDescent="0.3">
      <c r="G2362" s="391" t="s">
        <v>9567</v>
      </c>
    </row>
    <row r="2363" spans="7:7" x14ac:dyDescent="0.3">
      <c r="G2363" s="391" t="s">
        <v>9567</v>
      </c>
    </row>
    <row r="2364" spans="7:7" x14ac:dyDescent="0.3">
      <c r="G2364" s="391" t="s">
        <v>9567</v>
      </c>
    </row>
    <row r="2365" spans="7:7" x14ac:dyDescent="0.3">
      <c r="G2365" s="391" t="s">
        <v>9567</v>
      </c>
    </row>
    <row r="2366" spans="7:7" x14ac:dyDescent="0.3">
      <c r="G2366" s="391" t="s">
        <v>9567</v>
      </c>
    </row>
    <row r="2367" spans="7:7" x14ac:dyDescent="0.3">
      <c r="G2367" s="391" t="s">
        <v>9567</v>
      </c>
    </row>
    <row r="2368" spans="7:7" x14ac:dyDescent="0.3">
      <c r="G2368" s="391" t="s">
        <v>9567</v>
      </c>
    </row>
    <row r="2369" spans="7:7" x14ac:dyDescent="0.3">
      <c r="G2369" s="391" t="s">
        <v>9567</v>
      </c>
    </row>
    <row r="2370" spans="7:7" x14ac:dyDescent="0.3">
      <c r="G2370" s="391" t="s">
        <v>9567</v>
      </c>
    </row>
    <row r="2371" spans="7:7" x14ac:dyDescent="0.3">
      <c r="G2371" s="391" t="s">
        <v>9567</v>
      </c>
    </row>
    <row r="2372" spans="7:7" x14ac:dyDescent="0.3">
      <c r="G2372" s="391" t="s">
        <v>9567</v>
      </c>
    </row>
    <row r="2373" spans="7:7" x14ac:dyDescent="0.3">
      <c r="G2373" s="391" t="s">
        <v>9567</v>
      </c>
    </row>
    <row r="2374" spans="7:7" x14ac:dyDescent="0.3">
      <c r="G2374" s="391" t="s">
        <v>9567</v>
      </c>
    </row>
    <row r="2375" spans="7:7" x14ac:dyDescent="0.3">
      <c r="G2375" s="391" t="s">
        <v>9567</v>
      </c>
    </row>
    <row r="2376" spans="7:7" x14ac:dyDescent="0.3">
      <c r="G2376" s="391" t="s">
        <v>9567</v>
      </c>
    </row>
    <row r="2377" spans="7:7" x14ac:dyDescent="0.3">
      <c r="G2377" s="391" t="s">
        <v>9567</v>
      </c>
    </row>
    <row r="2378" spans="7:7" x14ac:dyDescent="0.3">
      <c r="G2378" s="391" t="s">
        <v>9567</v>
      </c>
    </row>
    <row r="2379" spans="7:7" x14ac:dyDescent="0.3">
      <c r="G2379" s="391" t="s">
        <v>9567</v>
      </c>
    </row>
    <row r="2380" spans="7:7" x14ac:dyDescent="0.3">
      <c r="G2380" s="391" t="s">
        <v>9567</v>
      </c>
    </row>
    <row r="2381" spans="7:7" x14ac:dyDescent="0.3">
      <c r="G2381" s="391" t="s">
        <v>9567</v>
      </c>
    </row>
    <row r="2382" spans="7:7" x14ac:dyDescent="0.3">
      <c r="G2382" s="391" t="s">
        <v>9567</v>
      </c>
    </row>
    <row r="2383" spans="7:7" x14ac:dyDescent="0.3">
      <c r="G2383" s="391" t="s">
        <v>9567</v>
      </c>
    </row>
    <row r="2384" spans="7:7" x14ac:dyDescent="0.3">
      <c r="G2384" s="391" t="s">
        <v>9567</v>
      </c>
    </row>
    <row r="2385" spans="7:7" x14ac:dyDescent="0.3">
      <c r="G2385" s="391" t="s">
        <v>9567</v>
      </c>
    </row>
    <row r="2386" spans="7:7" x14ac:dyDescent="0.3">
      <c r="G2386" s="391" t="s">
        <v>9567</v>
      </c>
    </row>
    <row r="2387" spans="7:7" x14ac:dyDescent="0.3">
      <c r="G2387" s="391" t="s">
        <v>9567</v>
      </c>
    </row>
    <row r="2388" spans="7:7" x14ac:dyDescent="0.3">
      <c r="G2388" s="391" t="s">
        <v>9567</v>
      </c>
    </row>
    <row r="2389" spans="7:7" x14ac:dyDescent="0.3">
      <c r="G2389" s="391" t="s">
        <v>9567</v>
      </c>
    </row>
    <row r="2390" spans="7:7" x14ac:dyDescent="0.3">
      <c r="G2390" s="391" t="s">
        <v>9567</v>
      </c>
    </row>
    <row r="2391" spans="7:7" x14ac:dyDescent="0.3">
      <c r="G2391" s="391" t="s">
        <v>9567</v>
      </c>
    </row>
    <row r="2392" spans="7:7" x14ac:dyDescent="0.3">
      <c r="G2392" s="391" t="s">
        <v>9567</v>
      </c>
    </row>
    <row r="2393" spans="7:7" x14ac:dyDescent="0.3">
      <c r="G2393" s="391" t="s">
        <v>9567</v>
      </c>
    </row>
    <row r="2394" spans="7:7" x14ac:dyDescent="0.3">
      <c r="G2394" s="391" t="s">
        <v>9567</v>
      </c>
    </row>
    <row r="2395" spans="7:7" x14ac:dyDescent="0.3">
      <c r="G2395" s="391" t="s">
        <v>9567</v>
      </c>
    </row>
    <row r="2396" spans="7:7" x14ac:dyDescent="0.3">
      <c r="G2396" s="391" t="s">
        <v>9567</v>
      </c>
    </row>
    <row r="2397" spans="7:7" x14ac:dyDescent="0.3">
      <c r="G2397" s="391" t="s">
        <v>9567</v>
      </c>
    </row>
    <row r="2398" spans="7:7" x14ac:dyDescent="0.3">
      <c r="G2398" s="391" t="s">
        <v>9567</v>
      </c>
    </row>
    <row r="2399" spans="7:7" x14ac:dyDescent="0.3">
      <c r="G2399" s="391" t="s">
        <v>9567</v>
      </c>
    </row>
    <row r="2400" spans="7:7" x14ac:dyDescent="0.3">
      <c r="G2400" s="391" t="s">
        <v>9567</v>
      </c>
    </row>
    <row r="2401" spans="7:7" x14ac:dyDescent="0.3">
      <c r="G2401" s="391" t="s">
        <v>9567</v>
      </c>
    </row>
    <row r="2402" spans="7:7" x14ac:dyDescent="0.3">
      <c r="G2402" s="391" t="s">
        <v>9567</v>
      </c>
    </row>
    <row r="2403" spans="7:7" x14ac:dyDescent="0.3">
      <c r="G2403" s="391" t="s">
        <v>9567</v>
      </c>
    </row>
    <row r="2404" spans="7:7" x14ac:dyDescent="0.3">
      <c r="G2404" s="391" t="s">
        <v>9567</v>
      </c>
    </row>
    <row r="2405" spans="7:7" x14ac:dyDescent="0.3">
      <c r="G2405" s="391" t="s">
        <v>9567</v>
      </c>
    </row>
    <row r="2406" spans="7:7" x14ac:dyDescent="0.3">
      <c r="G2406" s="391" t="s">
        <v>9567</v>
      </c>
    </row>
    <row r="2407" spans="7:7" x14ac:dyDescent="0.3">
      <c r="G2407" s="391" t="s">
        <v>9567</v>
      </c>
    </row>
    <row r="2408" spans="7:7" x14ac:dyDescent="0.3">
      <c r="G2408" s="391" t="s">
        <v>9567</v>
      </c>
    </row>
    <row r="2409" spans="7:7" x14ac:dyDescent="0.3">
      <c r="G2409" s="391" t="s">
        <v>9567</v>
      </c>
    </row>
    <row r="2410" spans="7:7" x14ac:dyDescent="0.3">
      <c r="G2410" s="391" t="s">
        <v>9567</v>
      </c>
    </row>
    <row r="2411" spans="7:7" x14ac:dyDescent="0.3">
      <c r="G2411" s="391" t="s">
        <v>9567</v>
      </c>
    </row>
    <row r="2412" spans="7:7" x14ac:dyDescent="0.3">
      <c r="G2412" s="391" t="s">
        <v>9567</v>
      </c>
    </row>
    <row r="2413" spans="7:7" x14ac:dyDescent="0.3">
      <c r="G2413" s="391" t="s">
        <v>9567</v>
      </c>
    </row>
    <row r="2414" spans="7:7" x14ac:dyDescent="0.3">
      <c r="G2414" s="391" t="s">
        <v>9567</v>
      </c>
    </row>
    <row r="2415" spans="7:7" x14ac:dyDescent="0.3">
      <c r="G2415" s="391" t="s">
        <v>9567</v>
      </c>
    </row>
    <row r="2416" spans="7:7" x14ac:dyDescent="0.3">
      <c r="G2416" s="391" t="s">
        <v>9567</v>
      </c>
    </row>
    <row r="2417" spans="7:7" x14ac:dyDescent="0.3">
      <c r="G2417" s="391" t="s">
        <v>9567</v>
      </c>
    </row>
    <row r="2418" spans="7:7" x14ac:dyDescent="0.3">
      <c r="G2418" s="391" t="s">
        <v>9567</v>
      </c>
    </row>
    <row r="2419" spans="7:7" x14ac:dyDescent="0.3">
      <c r="G2419" s="391" t="s">
        <v>9567</v>
      </c>
    </row>
    <row r="2420" spans="7:7" x14ac:dyDescent="0.3">
      <c r="G2420" s="391" t="s">
        <v>9567</v>
      </c>
    </row>
    <row r="2421" spans="7:7" x14ac:dyDescent="0.3">
      <c r="G2421" s="391" t="s">
        <v>9567</v>
      </c>
    </row>
    <row r="2422" spans="7:7" x14ac:dyDescent="0.3">
      <c r="G2422" s="391" t="s">
        <v>9567</v>
      </c>
    </row>
    <row r="2423" spans="7:7" x14ac:dyDescent="0.3">
      <c r="G2423" s="391" t="s">
        <v>9567</v>
      </c>
    </row>
    <row r="2424" spans="7:7" x14ac:dyDescent="0.3">
      <c r="G2424" s="391" t="s">
        <v>9567</v>
      </c>
    </row>
    <row r="2425" spans="7:7" x14ac:dyDescent="0.3">
      <c r="G2425" s="391" t="s">
        <v>9567</v>
      </c>
    </row>
    <row r="2426" spans="7:7" x14ac:dyDescent="0.3">
      <c r="G2426" s="391" t="s">
        <v>9567</v>
      </c>
    </row>
    <row r="2427" spans="7:7" x14ac:dyDescent="0.3">
      <c r="G2427" s="391" t="s">
        <v>9567</v>
      </c>
    </row>
    <row r="2428" spans="7:7" x14ac:dyDescent="0.3">
      <c r="G2428" s="391" t="s">
        <v>9567</v>
      </c>
    </row>
    <row r="2429" spans="7:7" x14ac:dyDescent="0.3">
      <c r="G2429" s="391" t="s">
        <v>9567</v>
      </c>
    </row>
    <row r="2430" spans="7:7" x14ac:dyDescent="0.3">
      <c r="G2430" s="391" t="s">
        <v>9567</v>
      </c>
    </row>
    <row r="2431" spans="7:7" x14ac:dyDescent="0.3">
      <c r="G2431" s="391" t="s">
        <v>9567</v>
      </c>
    </row>
    <row r="2432" spans="7:7" x14ac:dyDescent="0.3">
      <c r="G2432" s="391" t="s">
        <v>9567</v>
      </c>
    </row>
    <row r="2433" spans="7:7" x14ac:dyDescent="0.3">
      <c r="G2433" s="391" t="s">
        <v>9567</v>
      </c>
    </row>
    <row r="2434" spans="7:7" x14ac:dyDescent="0.3">
      <c r="G2434" s="391" t="s">
        <v>9567</v>
      </c>
    </row>
    <row r="2435" spans="7:7" x14ac:dyDescent="0.3">
      <c r="G2435" s="391" t="s">
        <v>9567</v>
      </c>
    </row>
    <row r="2436" spans="7:7" x14ac:dyDescent="0.3">
      <c r="G2436" s="391" t="s">
        <v>9567</v>
      </c>
    </row>
    <row r="2437" spans="7:7" x14ac:dyDescent="0.3">
      <c r="G2437" s="391" t="s">
        <v>9567</v>
      </c>
    </row>
    <row r="2438" spans="7:7" x14ac:dyDescent="0.3">
      <c r="G2438" s="391" t="s">
        <v>9567</v>
      </c>
    </row>
    <row r="2439" spans="7:7" x14ac:dyDescent="0.3">
      <c r="G2439" s="391" t="s">
        <v>9567</v>
      </c>
    </row>
    <row r="2440" spans="7:7" x14ac:dyDescent="0.3">
      <c r="G2440" s="391" t="s">
        <v>9567</v>
      </c>
    </row>
    <row r="2441" spans="7:7" x14ac:dyDescent="0.3">
      <c r="G2441" s="391" t="s">
        <v>9567</v>
      </c>
    </row>
    <row r="2442" spans="7:7" x14ac:dyDescent="0.3">
      <c r="G2442" s="391" t="s">
        <v>9567</v>
      </c>
    </row>
    <row r="2443" spans="7:7" x14ac:dyDescent="0.3">
      <c r="G2443" s="391" t="s">
        <v>9567</v>
      </c>
    </row>
    <row r="2444" spans="7:7" x14ac:dyDescent="0.3">
      <c r="G2444" s="391" t="s">
        <v>9567</v>
      </c>
    </row>
    <row r="2445" spans="7:7" x14ac:dyDescent="0.3">
      <c r="G2445" s="391" t="s">
        <v>9567</v>
      </c>
    </row>
    <row r="2446" spans="7:7" x14ac:dyDescent="0.3">
      <c r="G2446" s="391" t="s">
        <v>9567</v>
      </c>
    </row>
    <row r="2447" spans="7:7" x14ac:dyDescent="0.3">
      <c r="G2447" s="391" t="s">
        <v>9567</v>
      </c>
    </row>
    <row r="2448" spans="7:7" x14ac:dyDescent="0.3">
      <c r="G2448" s="391" t="s">
        <v>9567</v>
      </c>
    </row>
    <row r="2449" spans="7:7" x14ac:dyDescent="0.3">
      <c r="G2449" s="391" t="s">
        <v>9567</v>
      </c>
    </row>
    <row r="2450" spans="7:7" x14ac:dyDescent="0.3">
      <c r="G2450" s="391" t="s">
        <v>9567</v>
      </c>
    </row>
    <row r="2451" spans="7:7" x14ac:dyDescent="0.3">
      <c r="G2451" s="391" t="s">
        <v>9567</v>
      </c>
    </row>
    <row r="2452" spans="7:7" x14ac:dyDescent="0.3">
      <c r="G2452" s="391" t="s">
        <v>9567</v>
      </c>
    </row>
    <row r="2453" spans="7:7" x14ac:dyDescent="0.3">
      <c r="G2453" s="391" t="s">
        <v>9567</v>
      </c>
    </row>
    <row r="2454" spans="7:7" x14ac:dyDescent="0.3">
      <c r="G2454" s="391" t="s">
        <v>9567</v>
      </c>
    </row>
    <row r="2455" spans="7:7" x14ac:dyDescent="0.3">
      <c r="G2455" s="391" t="s">
        <v>9567</v>
      </c>
    </row>
    <row r="2456" spans="7:7" x14ac:dyDescent="0.3">
      <c r="G2456" s="391" t="s">
        <v>9567</v>
      </c>
    </row>
    <row r="2457" spans="7:7" x14ac:dyDescent="0.3">
      <c r="G2457" s="391" t="s">
        <v>9567</v>
      </c>
    </row>
    <row r="2458" spans="7:7" x14ac:dyDescent="0.3">
      <c r="G2458" s="391" t="s">
        <v>9567</v>
      </c>
    </row>
    <row r="2459" spans="7:7" x14ac:dyDescent="0.3">
      <c r="G2459" s="391" t="s">
        <v>9567</v>
      </c>
    </row>
    <row r="2460" spans="7:7" x14ac:dyDescent="0.3">
      <c r="G2460" s="391" t="s">
        <v>9567</v>
      </c>
    </row>
    <row r="2461" spans="7:7" x14ac:dyDescent="0.3">
      <c r="G2461" s="391" t="s">
        <v>9567</v>
      </c>
    </row>
    <row r="2462" spans="7:7" x14ac:dyDescent="0.3">
      <c r="G2462" s="391" t="s">
        <v>9567</v>
      </c>
    </row>
    <row r="2463" spans="7:7" x14ac:dyDescent="0.3">
      <c r="G2463" s="391" t="s">
        <v>9567</v>
      </c>
    </row>
    <row r="2464" spans="7:7" x14ac:dyDescent="0.3">
      <c r="G2464" s="391" t="s">
        <v>9567</v>
      </c>
    </row>
    <row r="2465" spans="7:7" x14ac:dyDescent="0.3">
      <c r="G2465" s="391" t="s">
        <v>9567</v>
      </c>
    </row>
    <row r="2466" spans="7:7" x14ac:dyDescent="0.3">
      <c r="G2466" s="391" t="s">
        <v>9567</v>
      </c>
    </row>
    <row r="2467" spans="7:7" x14ac:dyDescent="0.3">
      <c r="G2467" s="391" t="s">
        <v>9567</v>
      </c>
    </row>
    <row r="2468" spans="7:7" x14ac:dyDescent="0.3">
      <c r="G2468" s="391" t="s">
        <v>9567</v>
      </c>
    </row>
    <row r="2469" spans="7:7" x14ac:dyDescent="0.3">
      <c r="G2469" s="391" t="s">
        <v>9567</v>
      </c>
    </row>
    <row r="2470" spans="7:7" x14ac:dyDescent="0.3">
      <c r="G2470" s="391" t="s">
        <v>9567</v>
      </c>
    </row>
    <row r="2471" spans="7:7" x14ac:dyDescent="0.3">
      <c r="G2471" s="391" t="s">
        <v>9567</v>
      </c>
    </row>
    <row r="2472" spans="7:7" x14ac:dyDescent="0.3">
      <c r="G2472" s="391" t="s">
        <v>9567</v>
      </c>
    </row>
    <row r="2473" spans="7:7" x14ac:dyDescent="0.3">
      <c r="G2473" s="391" t="s">
        <v>9567</v>
      </c>
    </row>
    <row r="2474" spans="7:7" x14ac:dyDescent="0.3">
      <c r="G2474" s="391" t="s">
        <v>9567</v>
      </c>
    </row>
    <row r="2475" spans="7:7" x14ac:dyDescent="0.3">
      <c r="G2475" s="391" t="s">
        <v>9567</v>
      </c>
    </row>
    <row r="2476" spans="7:7" x14ac:dyDescent="0.3">
      <c r="G2476" s="391" t="s">
        <v>9567</v>
      </c>
    </row>
    <row r="2477" spans="7:7" x14ac:dyDescent="0.3">
      <c r="G2477" s="391" t="s">
        <v>9567</v>
      </c>
    </row>
    <row r="2478" spans="7:7" x14ac:dyDescent="0.3">
      <c r="G2478" s="391" t="s">
        <v>9567</v>
      </c>
    </row>
    <row r="2479" spans="7:7" x14ac:dyDescent="0.3">
      <c r="G2479" s="391" t="s">
        <v>9567</v>
      </c>
    </row>
    <row r="2480" spans="7:7" x14ac:dyDescent="0.3">
      <c r="G2480" s="391" t="s">
        <v>9567</v>
      </c>
    </row>
    <row r="2481" spans="7:7" x14ac:dyDescent="0.3">
      <c r="G2481" s="391" t="s">
        <v>9567</v>
      </c>
    </row>
    <row r="2482" spans="7:7" x14ac:dyDescent="0.3">
      <c r="G2482" s="391" t="s">
        <v>9567</v>
      </c>
    </row>
    <row r="2483" spans="7:7" x14ac:dyDescent="0.3">
      <c r="G2483" s="391" t="s">
        <v>9567</v>
      </c>
    </row>
    <row r="2484" spans="7:7" x14ac:dyDescent="0.3">
      <c r="G2484" s="391" t="s">
        <v>9567</v>
      </c>
    </row>
    <row r="2485" spans="7:7" x14ac:dyDescent="0.3">
      <c r="G2485" s="391" t="s">
        <v>9567</v>
      </c>
    </row>
    <row r="2486" spans="7:7" x14ac:dyDescent="0.3">
      <c r="G2486" s="391" t="s">
        <v>9567</v>
      </c>
    </row>
    <row r="2487" spans="7:7" x14ac:dyDescent="0.3">
      <c r="G2487" s="391" t="s">
        <v>9567</v>
      </c>
    </row>
    <row r="2488" spans="7:7" x14ac:dyDescent="0.3">
      <c r="G2488" s="391" t="s">
        <v>9567</v>
      </c>
    </row>
    <row r="2489" spans="7:7" x14ac:dyDescent="0.3">
      <c r="G2489" s="391" t="s">
        <v>9567</v>
      </c>
    </row>
    <row r="2490" spans="7:7" x14ac:dyDescent="0.3">
      <c r="G2490" s="391" t="s">
        <v>9567</v>
      </c>
    </row>
    <row r="2491" spans="7:7" x14ac:dyDescent="0.3">
      <c r="G2491" s="391" t="s">
        <v>9567</v>
      </c>
    </row>
    <row r="2492" spans="7:7" x14ac:dyDescent="0.3">
      <c r="G2492" s="391" t="s">
        <v>9567</v>
      </c>
    </row>
    <row r="2493" spans="7:7" x14ac:dyDescent="0.3">
      <c r="G2493" s="391" t="s">
        <v>9567</v>
      </c>
    </row>
    <row r="2494" spans="7:7" x14ac:dyDescent="0.3">
      <c r="G2494" s="391" t="s">
        <v>9567</v>
      </c>
    </row>
    <row r="2495" spans="7:7" x14ac:dyDescent="0.3">
      <c r="G2495" s="391" t="s">
        <v>9567</v>
      </c>
    </row>
    <row r="2496" spans="7:7" x14ac:dyDescent="0.3">
      <c r="G2496" s="391" t="s">
        <v>9567</v>
      </c>
    </row>
    <row r="2497" spans="7:7" x14ac:dyDescent="0.3">
      <c r="G2497" s="391" t="s">
        <v>9567</v>
      </c>
    </row>
    <row r="2498" spans="7:7" x14ac:dyDescent="0.3">
      <c r="G2498" s="391" t="s">
        <v>9567</v>
      </c>
    </row>
    <row r="2499" spans="7:7" x14ac:dyDescent="0.3">
      <c r="G2499" s="391" t="s">
        <v>9567</v>
      </c>
    </row>
    <row r="2500" spans="7:7" x14ac:dyDescent="0.3">
      <c r="G2500" s="391" t="s">
        <v>9567</v>
      </c>
    </row>
    <row r="2501" spans="7:7" x14ac:dyDescent="0.3">
      <c r="G2501" s="391" t="s">
        <v>9567</v>
      </c>
    </row>
    <row r="2502" spans="7:7" x14ac:dyDescent="0.3">
      <c r="G2502" s="391" t="s">
        <v>9567</v>
      </c>
    </row>
    <row r="2503" spans="7:7" x14ac:dyDescent="0.3">
      <c r="G2503" s="391" t="s">
        <v>9567</v>
      </c>
    </row>
    <row r="2504" spans="7:7" x14ac:dyDescent="0.3">
      <c r="G2504" s="391" t="s">
        <v>9567</v>
      </c>
    </row>
    <row r="2505" spans="7:7" x14ac:dyDescent="0.3">
      <c r="G2505" s="391" t="s">
        <v>9567</v>
      </c>
    </row>
    <row r="2506" spans="7:7" x14ac:dyDescent="0.3">
      <c r="G2506" s="391" t="s">
        <v>9567</v>
      </c>
    </row>
    <row r="2507" spans="7:7" x14ac:dyDescent="0.3">
      <c r="G2507" s="391" t="s">
        <v>9567</v>
      </c>
    </row>
    <row r="2508" spans="7:7" x14ac:dyDescent="0.3">
      <c r="G2508" s="391" t="s">
        <v>9567</v>
      </c>
    </row>
    <row r="2509" spans="7:7" x14ac:dyDescent="0.3">
      <c r="G2509" s="391" t="s">
        <v>9567</v>
      </c>
    </row>
    <row r="2510" spans="7:7" x14ac:dyDescent="0.3">
      <c r="G2510" s="391" t="s">
        <v>9567</v>
      </c>
    </row>
    <row r="2511" spans="7:7" x14ac:dyDescent="0.3">
      <c r="G2511" s="391" t="s">
        <v>9567</v>
      </c>
    </row>
    <row r="2512" spans="7:7" x14ac:dyDescent="0.3">
      <c r="G2512" s="391" t="s">
        <v>9567</v>
      </c>
    </row>
    <row r="2513" spans="7:7" x14ac:dyDescent="0.3">
      <c r="G2513" s="391" t="s">
        <v>9567</v>
      </c>
    </row>
    <row r="2514" spans="7:7" x14ac:dyDescent="0.3">
      <c r="G2514" s="391" t="s">
        <v>9567</v>
      </c>
    </row>
    <row r="2515" spans="7:7" x14ac:dyDescent="0.3">
      <c r="G2515" s="391" t="s">
        <v>9567</v>
      </c>
    </row>
    <row r="2516" spans="7:7" x14ac:dyDescent="0.3">
      <c r="G2516" s="391" t="s">
        <v>9567</v>
      </c>
    </row>
    <row r="2517" spans="7:7" x14ac:dyDescent="0.3">
      <c r="G2517" s="391" t="s">
        <v>9567</v>
      </c>
    </row>
    <row r="2518" spans="7:7" x14ac:dyDescent="0.3">
      <c r="G2518" s="391" t="s">
        <v>9567</v>
      </c>
    </row>
    <row r="2519" spans="7:7" x14ac:dyDescent="0.3">
      <c r="G2519" s="391" t="s">
        <v>9567</v>
      </c>
    </row>
    <row r="2520" spans="7:7" x14ac:dyDescent="0.3">
      <c r="G2520" s="391" t="s">
        <v>9567</v>
      </c>
    </row>
    <row r="2521" spans="7:7" x14ac:dyDescent="0.3">
      <c r="G2521" s="391" t="s">
        <v>9567</v>
      </c>
    </row>
    <row r="2522" spans="7:7" x14ac:dyDescent="0.3">
      <c r="G2522" s="391" t="s">
        <v>9567</v>
      </c>
    </row>
    <row r="2523" spans="7:7" x14ac:dyDescent="0.3">
      <c r="G2523" s="391" t="s">
        <v>9567</v>
      </c>
    </row>
    <row r="2524" spans="7:7" x14ac:dyDescent="0.3">
      <c r="G2524" s="391" t="s">
        <v>9567</v>
      </c>
    </row>
    <row r="2525" spans="7:7" x14ac:dyDescent="0.3">
      <c r="G2525" s="391" t="s">
        <v>9567</v>
      </c>
    </row>
    <row r="2526" spans="7:7" x14ac:dyDescent="0.3">
      <c r="G2526" s="391" t="s">
        <v>9567</v>
      </c>
    </row>
    <row r="2527" spans="7:7" x14ac:dyDescent="0.3">
      <c r="G2527" s="391" t="s">
        <v>9567</v>
      </c>
    </row>
    <row r="2528" spans="7:7" x14ac:dyDescent="0.3">
      <c r="G2528" s="391" t="s">
        <v>9567</v>
      </c>
    </row>
    <row r="2529" spans="7:7" x14ac:dyDescent="0.3">
      <c r="G2529" s="391" t="s">
        <v>9567</v>
      </c>
    </row>
    <row r="2530" spans="7:7" x14ac:dyDescent="0.3">
      <c r="G2530" s="391" t="s">
        <v>9567</v>
      </c>
    </row>
    <row r="2531" spans="7:7" x14ac:dyDescent="0.3">
      <c r="G2531" s="391" t="s">
        <v>9567</v>
      </c>
    </row>
    <row r="2532" spans="7:7" x14ac:dyDescent="0.3">
      <c r="G2532" s="391" t="s">
        <v>9567</v>
      </c>
    </row>
    <row r="2533" spans="7:7" x14ac:dyDescent="0.3">
      <c r="G2533" s="391" t="s">
        <v>9567</v>
      </c>
    </row>
    <row r="2534" spans="7:7" x14ac:dyDescent="0.3">
      <c r="G2534" s="391" t="s">
        <v>9567</v>
      </c>
    </row>
    <row r="2535" spans="7:7" x14ac:dyDescent="0.3">
      <c r="G2535" s="391" t="s">
        <v>9567</v>
      </c>
    </row>
    <row r="2536" spans="7:7" x14ac:dyDescent="0.3">
      <c r="G2536" s="391" t="s">
        <v>9567</v>
      </c>
    </row>
    <row r="2537" spans="7:7" x14ac:dyDescent="0.3">
      <c r="G2537" s="391" t="s">
        <v>9567</v>
      </c>
    </row>
    <row r="2538" spans="7:7" x14ac:dyDescent="0.3">
      <c r="G2538" s="391" t="s">
        <v>9567</v>
      </c>
    </row>
    <row r="2539" spans="7:7" x14ac:dyDescent="0.3">
      <c r="G2539" s="391" t="s">
        <v>9567</v>
      </c>
    </row>
    <row r="2540" spans="7:7" x14ac:dyDescent="0.3">
      <c r="G2540" s="391" t="s">
        <v>9567</v>
      </c>
    </row>
    <row r="2541" spans="7:7" x14ac:dyDescent="0.3">
      <c r="G2541" s="391" t="s">
        <v>9567</v>
      </c>
    </row>
    <row r="2542" spans="7:7" x14ac:dyDescent="0.3">
      <c r="G2542" s="391" t="s">
        <v>9567</v>
      </c>
    </row>
    <row r="2543" spans="7:7" x14ac:dyDescent="0.3">
      <c r="G2543" s="391" t="s">
        <v>9567</v>
      </c>
    </row>
    <row r="2544" spans="7:7" x14ac:dyDescent="0.3">
      <c r="G2544" s="391" t="s">
        <v>9567</v>
      </c>
    </row>
    <row r="2545" spans="7:7" x14ac:dyDescent="0.3">
      <c r="G2545" s="391" t="s">
        <v>9567</v>
      </c>
    </row>
    <row r="2546" spans="7:7" x14ac:dyDescent="0.3">
      <c r="G2546" s="391" t="s">
        <v>9567</v>
      </c>
    </row>
    <row r="2547" spans="7:7" x14ac:dyDescent="0.3">
      <c r="G2547" s="391" t="s">
        <v>9567</v>
      </c>
    </row>
    <row r="2548" spans="7:7" x14ac:dyDescent="0.3">
      <c r="G2548" s="391" t="s">
        <v>9567</v>
      </c>
    </row>
    <row r="2549" spans="7:7" x14ac:dyDescent="0.3">
      <c r="G2549" s="391" t="s">
        <v>9567</v>
      </c>
    </row>
    <row r="2550" spans="7:7" x14ac:dyDescent="0.3">
      <c r="G2550" s="391" t="s">
        <v>9567</v>
      </c>
    </row>
    <row r="2551" spans="7:7" x14ac:dyDescent="0.3">
      <c r="G2551" s="391" t="s">
        <v>9567</v>
      </c>
    </row>
    <row r="2552" spans="7:7" x14ac:dyDescent="0.3">
      <c r="G2552" s="391" t="s">
        <v>9567</v>
      </c>
    </row>
    <row r="2553" spans="7:7" x14ac:dyDescent="0.3">
      <c r="G2553" s="391" t="s">
        <v>9567</v>
      </c>
    </row>
    <row r="2554" spans="7:7" x14ac:dyDescent="0.3">
      <c r="G2554" s="391" t="s">
        <v>9567</v>
      </c>
    </row>
    <row r="2555" spans="7:7" x14ac:dyDescent="0.3">
      <c r="G2555" s="391" t="s">
        <v>9567</v>
      </c>
    </row>
    <row r="2556" spans="7:7" x14ac:dyDescent="0.3">
      <c r="G2556" s="391" t="s">
        <v>9567</v>
      </c>
    </row>
    <row r="2557" spans="7:7" x14ac:dyDescent="0.3">
      <c r="G2557" s="391" t="s">
        <v>9567</v>
      </c>
    </row>
    <row r="2558" spans="7:7" x14ac:dyDescent="0.3">
      <c r="G2558" s="391" t="s">
        <v>9567</v>
      </c>
    </row>
    <row r="2559" spans="7:7" x14ac:dyDescent="0.3">
      <c r="G2559" s="391" t="s">
        <v>9567</v>
      </c>
    </row>
    <row r="2560" spans="7:7" x14ac:dyDescent="0.3">
      <c r="G2560" s="391" t="s">
        <v>9567</v>
      </c>
    </row>
    <row r="2561" spans="7:7" x14ac:dyDescent="0.3">
      <c r="G2561" s="391" t="s">
        <v>9567</v>
      </c>
    </row>
    <row r="2562" spans="7:7" x14ac:dyDescent="0.3">
      <c r="G2562" s="391" t="s">
        <v>9567</v>
      </c>
    </row>
    <row r="2563" spans="7:7" x14ac:dyDescent="0.3">
      <c r="G2563" s="391" t="s">
        <v>9567</v>
      </c>
    </row>
    <row r="2564" spans="7:7" x14ac:dyDescent="0.3">
      <c r="G2564" s="391" t="s">
        <v>9567</v>
      </c>
    </row>
    <row r="2565" spans="7:7" x14ac:dyDescent="0.3">
      <c r="G2565" s="391" t="s">
        <v>9567</v>
      </c>
    </row>
    <row r="2566" spans="7:7" x14ac:dyDescent="0.3">
      <c r="G2566" s="391" t="s">
        <v>9567</v>
      </c>
    </row>
    <row r="2567" spans="7:7" x14ac:dyDescent="0.3">
      <c r="G2567" s="391" t="s">
        <v>9567</v>
      </c>
    </row>
    <row r="2568" spans="7:7" x14ac:dyDescent="0.3">
      <c r="G2568" s="391" t="s">
        <v>9567</v>
      </c>
    </row>
    <row r="2569" spans="7:7" x14ac:dyDescent="0.3">
      <c r="G2569" s="391" t="s">
        <v>9567</v>
      </c>
    </row>
    <row r="2570" spans="7:7" x14ac:dyDescent="0.3">
      <c r="G2570" s="391" t="s">
        <v>9567</v>
      </c>
    </row>
    <row r="2571" spans="7:7" x14ac:dyDescent="0.3">
      <c r="G2571" s="391" t="s">
        <v>9567</v>
      </c>
    </row>
    <row r="2572" spans="7:7" x14ac:dyDescent="0.3">
      <c r="G2572" s="391" t="s">
        <v>9567</v>
      </c>
    </row>
    <row r="2573" spans="7:7" x14ac:dyDescent="0.3">
      <c r="G2573" s="391" t="s">
        <v>9567</v>
      </c>
    </row>
    <row r="2574" spans="7:7" x14ac:dyDescent="0.3">
      <c r="G2574" s="391" t="s">
        <v>9567</v>
      </c>
    </row>
    <row r="2575" spans="7:7" x14ac:dyDescent="0.3">
      <c r="G2575" s="391" t="s">
        <v>9567</v>
      </c>
    </row>
    <row r="2576" spans="7:7" x14ac:dyDescent="0.3">
      <c r="G2576" s="391" t="s">
        <v>9567</v>
      </c>
    </row>
    <row r="2577" spans="7:7" x14ac:dyDescent="0.3">
      <c r="G2577" s="391" t="s">
        <v>9567</v>
      </c>
    </row>
    <row r="2578" spans="7:7" x14ac:dyDescent="0.3">
      <c r="G2578" s="391" t="s">
        <v>9567</v>
      </c>
    </row>
    <row r="2579" spans="7:7" x14ac:dyDescent="0.3">
      <c r="G2579" s="391" t="s">
        <v>9567</v>
      </c>
    </row>
    <row r="2580" spans="7:7" x14ac:dyDescent="0.3">
      <c r="G2580" s="391" t="s">
        <v>9567</v>
      </c>
    </row>
    <row r="2581" spans="7:7" x14ac:dyDescent="0.3">
      <c r="G2581" s="391" t="s">
        <v>9567</v>
      </c>
    </row>
    <row r="2582" spans="7:7" x14ac:dyDescent="0.3">
      <c r="G2582" s="391" t="s">
        <v>9567</v>
      </c>
    </row>
    <row r="2583" spans="7:7" x14ac:dyDescent="0.3">
      <c r="G2583" s="391" t="s">
        <v>9567</v>
      </c>
    </row>
    <row r="2584" spans="7:7" x14ac:dyDescent="0.3">
      <c r="G2584" s="391" t="s">
        <v>9567</v>
      </c>
    </row>
    <row r="2585" spans="7:7" x14ac:dyDescent="0.3">
      <c r="G2585" s="391" t="s">
        <v>9567</v>
      </c>
    </row>
    <row r="2586" spans="7:7" x14ac:dyDescent="0.3">
      <c r="G2586" s="391" t="s">
        <v>9567</v>
      </c>
    </row>
    <row r="2587" spans="7:7" x14ac:dyDescent="0.3">
      <c r="G2587" s="391" t="s">
        <v>9567</v>
      </c>
    </row>
    <row r="2588" spans="7:7" x14ac:dyDescent="0.3">
      <c r="G2588" s="391" t="s">
        <v>9567</v>
      </c>
    </row>
    <row r="2589" spans="7:7" x14ac:dyDescent="0.3">
      <c r="G2589" s="391" t="s">
        <v>9567</v>
      </c>
    </row>
    <row r="2590" spans="7:7" x14ac:dyDescent="0.3">
      <c r="G2590" s="391" t="s">
        <v>9567</v>
      </c>
    </row>
    <row r="2591" spans="7:7" x14ac:dyDescent="0.3">
      <c r="G2591" s="391" t="s">
        <v>9567</v>
      </c>
    </row>
    <row r="2592" spans="7:7" x14ac:dyDescent="0.3">
      <c r="G2592" s="391" t="s">
        <v>9567</v>
      </c>
    </row>
    <row r="2593" spans="7:7" x14ac:dyDescent="0.3">
      <c r="G2593" s="391" t="s">
        <v>9567</v>
      </c>
    </row>
    <row r="2594" spans="7:7" x14ac:dyDescent="0.3">
      <c r="G2594" s="391" t="s">
        <v>9567</v>
      </c>
    </row>
    <row r="2595" spans="7:7" x14ac:dyDescent="0.3">
      <c r="G2595" s="391" t="s">
        <v>9567</v>
      </c>
    </row>
    <row r="2596" spans="7:7" x14ac:dyDescent="0.3">
      <c r="G2596" s="391" t="s">
        <v>9567</v>
      </c>
    </row>
    <row r="2597" spans="7:7" x14ac:dyDescent="0.3">
      <c r="G2597" s="391" t="s">
        <v>9567</v>
      </c>
    </row>
    <row r="2598" spans="7:7" x14ac:dyDescent="0.3">
      <c r="G2598" s="391" t="s">
        <v>9567</v>
      </c>
    </row>
    <row r="2599" spans="7:7" x14ac:dyDescent="0.3">
      <c r="G2599" s="391" t="s">
        <v>9567</v>
      </c>
    </row>
    <row r="2600" spans="7:7" x14ac:dyDescent="0.3">
      <c r="G2600" s="391" t="s">
        <v>9567</v>
      </c>
    </row>
    <row r="2601" spans="7:7" x14ac:dyDescent="0.3">
      <c r="G2601" s="391" t="s">
        <v>9567</v>
      </c>
    </row>
    <row r="2602" spans="7:7" x14ac:dyDescent="0.3">
      <c r="G2602" s="391" t="s">
        <v>9567</v>
      </c>
    </row>
    <row r="2603" spans="7:7" x14ac:dyDescent="0.3">
      <c r="G2603" s="391" t="s">
        <v>9567</v>
      </c>
    </row>
    <row r="2604" spans="7:7" x14ac:dyDescent="0.3">
      <c r="G2604" s="391" t="s">
        <v>9567</v>
      </c>
    </row>
    <row r="2605" spans="7:7" x14ac:dyDescent="0.3">
      <c r="G2605" s="391" t="s">
        <v>9567</v>
      </c>
    </row>
    <row r="2606" spans="7:7" x14ac:dyDescent="0.3">
      <c r="G2606" s="391" t="s">
        <v>9567</v>
      </c>
    </row>
    <row r="2607" spans="7:7" x14ac:dyDescent="0.3">
      <c r="G2607" s="391" t="s">
        <v>9567</v>
      </c>
    </row>
    <row r="2608" spans="7:7" x14ac:dyDescent="0.3">
      <c r="G2608" s="391" t="s">
        <v>9567</v>
      </c>
    </row>
    <row r="2609" spans="7:7" x14ac:dyDescent="0.3">
      <c r="G2609" s="391" t="s">
        <v>9567</v>
      </c>
    </row>
    <row r="2610" spans="7:7" x14ac:dyDescent="0.3">
      <c r="G2610" s="391" t="s">
        <v>9567</v>
      </c>
    </row>
    <row r="2611" spans="7:7" x14ac:dyDescent="0.3">
      <c r="G2611" s="391" t="s">
        <v>9567</v>
      </c>
    </row>
    <row r="2612" spans="7:7" x14ac:dyDescent="0.3">
      <c r="G2612" s="391" t="s">
        <v>9567</v>
      </c>
    </row>
    <row r="2613" spans="7:7" x14ac:dyDescent="0.3">
      <c r="G2613" s="391" t="s">
        <v>9567</v>
      </c>
    </row>
    <row r="2614" spans="7:7" x14ac:dyDescent="0.3">
      <c r="G2614" s="391" t="s">
        <v>9567</v>
      </c>
    </row>
    <row r="2615" spans="7:7" x14ac:dyDescent="0.3">
      <c r="G2615" s="391" t="s">
        <v>9567</v>
      </c>
    </row>
    <row r="2616" spans="7:7" x14ac:dyDescent="0.3">
      <c r="G2616" s="391" t="s">
        <v>9567</v>
      </c>
    </row>
    <row r="2617" spans="7:7" x14ac:dyDescent="0.3">
      <c r="G2617" s="391" t="s">
        <v>9567</v>
      </c>
    </row>
    <row r="2618" spans="7:7" x14ac:dyDescent="0.3">
      <c r="G2618" s="391" t="s">
        <v>9567</v>
      </c>
    </row>
    <row r="2619" spans="7:7" x14ac:dyDescent="0.3">
      <c r="G2619" s="391" t="s">
        <v>9567</v>
      </c>
    </row>
    <row r="2620" spans="7:7" x14ac:dyDescent="0.3">
      <c r="G2620" s="391" t="s">
        <v>9567</v>
      </c>
    </row>
    <row r="2621" spans="7:7" x14ac:dyDescent="0.3">
      <c r="G2621" s="391" t="s">
        <v>9567</v>
      </c>
    </row>
    <row r="2622" spans="7:7" x14ac:dyDescent="0.3">
      <c r="G2622" s="391" t="s">
        <v>9567</v>
      </c>
    </row>
    <row r="2623" spans="7:7" x14ac:dyDescent="0.3">
      <c r="G2623" s="391" t="s">
        <v>9567</v>
      </c>
    </row>
    <row r="2624" spans="7:7" x14ac:dyDescent="0.3">
      <c r="G2624" s="391" t="s">
        <v>9567</v>
      </c>
    </row>
    <row r="2625" spans="7:7" x14ac:dyDescent="0.3">
      <c r="G2625" s="391" t="s">
        <v>9567</v>
      </c>
    </row>
    <row r="2626" spans="7:7" x14ac:dyDescent="0.3">
      <c r="G2626" s="391" t="s">
        <v>9567</v>
      </c>
    </row>
    <row r="2627" spans="7:7" x14ac:dyDescent="0.3">
      <c r="G2627" s="391" t="s">
        <v>9567</v>
      </c>
    </row>
    <row r="2628" spans="7:7" x14ac:dyDescent="0.3">
      <c r="G2628" s="391" t="s">
        <v>9567</v>
      </c>
    </row>
    <row r="2629" spans="7:7" x14ac:dyDescent="0.3">
      <c r="G2629" s="391" t="s">
        <v>9567</v>
      </c>
    </row>
    <row r="2630" spans="7:7" x14ac:dyDescent="0.3">
      <c r="G2630" s="391" t="s">
        <v>9567</v>
      </c>
    </row>
    <row r="2631" spans="7:7" x14ac:dyDescent="0.3">
      <c r="G2631" s="391" t="s">
        <v>9567</v>
      </c>
    </row>
    <row r="2632" spans="7:7" x14ac:dyDescent="0.3">
      <c r="G2632" s="391" t="s">
        <v>9567</v>
      </c>
    </row>
    <row r="2633" spans="7:7" x14ac:dyDescent="0.3">
      <c r="G2633" s="391" t="s">
        <v>9567</v>
      </c>
    </row>
    <row r="2634" spans="7:7" x14ac:dyDescent="0.3">
      <c r="G2634" s="391" t="s">
        <v>9567</v>
      </c>
    </row>
    <row r="2635" spans="7:7" x14ac:dyDescent="0.3">
      <c r="G2635" s="391" t="s">
        <v>9567</v>
      </c>
    </row>
    <row r="2636" spans="7:7" x14ac:dyDescent="0.3">
      <c r="G2636" s="391" t="s">
        <v>9567</v>
      </c>
    </row>
    <row r="2637" spans="7:7" x14ac:dyDescent="0.3">
      <c r="G2637" s="391" t="s">
        <v>9567</v>
      </c>
    </row>
    <row r="2638" spans="7:7" x14ac:dyDescent="0.3">
      <c r="G2638" s="391" t="s">
        <v>9567</v>
      </c>
    </row>
    <row r="2639" spans="7:7" x14ac:dyDescent="0.3">
      <c r="G2639" s="391" t="s">
        <v>9567</v>
      </c>
    </row>
    <row r="2640" spans="7:7" x14ac:dyDescent="0.3">
      <c r="G2640" s="391" t="s">
        <v>9567</v>
      </c>
    </row>
    <row r="2641" spans="7:7" x14ac:dyDescent="0.3">
      <c r="G2641" s="391" t="s">
        <v>9567</v>
      </c>
    </row>
    <row r="2642" spans="7:7" x14ac:dyDescent="0.3">
      <c r="G2642" s="391" t="s">
        <v>9567</v>
      </c>
    </row>
    <row r="2643" spans="7:7" x14ac:dyDescent="0.3">
      <c r="G2643" s="391" t="s">
        <v>9567</v>
      </c>
    </row>
    <row r="2644" spans="7:7" x14ac:dyDescent="0.3">
      <c r="G2644" s="391" t="s">
        <v>9567</v>
      </c>
    </row>
    <row r="2645" spans="7:7" x14ac:dyDescent="0.3">
      <c r="G2645" s="391" t="s">
        <v>9567</v>
      </c>
    </row>
    <row r="2646" spans="7:7" x14ac:dyDescent="0.3">
      <c r="G2646" s="391" t="s">
        <v>9567</v>
      </c>
    </row>
    <row r="2647" spans="7:7" x14ac:dyDescent="0.3">
      <c r="G2647" s="391" t="s">
        <v>9567</v>
      </c>
    </row>
    <row r="2648" spans="7:7" x14ac:dyDescent="0.3">
      <c r="G2648" s="391" t="s">
        <v>9567</v>
      </c>
    </row>
    <row r="2649" spans="7:7" x14ac:dyDescent="0.3">
      <c r="G2649" s="391" t="s">
        <v>9567</v>
      </c>
    </row>
    <row r="2650" spans="7:7" x14ac:dyDescent="0.3">
      <c r="G2650" s="391" t="s">
        <v>9567</v>
      </c>
    </row>
    <row r="2651" spans="7:7" x14ac:dyDescent="0.3">
      <c r="G2651" s="391" t="s">
        <v>9567</v>
      </c>
    </row>
    <row r="2652" spans="7:7" x14ac:dyDescent="0.3">
      <c r="G2652" s="391" t="s">
        <v>9567</v>
      </c>
    </row>
    <row r="2653" spans="7:7" x14ac:dyDescent="0.3">
      <c r="G2653" s="391" t="s">
        <v>9567</v>
      </c>
    </row>
    <row r="2654" spans="7:7" x14ac:dyDescent="0.3">
      <c r="G2654" s="391" t="s">
        <v>9567</v>
      </c>
    </row>
    <row r="2655" spans="7:7" x14ac:dyDescent="0.3">
      <c r="G2655" s="391" t="s">
        <v>9567</v>
      </c>
    </row>
    <row r="2656" spans="7:7" x14ac:dyDescent="0.3">
      <c r="G2656" s="391" t="s">
        <v>9567</v>
      </c>
    </row>
    <row r="2657" spans="7:7" x14ac:dyDescent="0.3">
      <c r="G2657" s="391" t="s">
        <v>9567</v>
      </c>
    </row>
    <row r="2658" spans="7:7" x14ac:dyDescent="0.3">
      <c r="G2658" s="391" t="s">
        <v>9567</v>
      </c>
    </row>
    <row r="2659" spans="7:7" x14ac:dyDescent="0.3">
      <c r="G2659" s="391" t="s">
        <v>9567</v>
      </c>
    </row>
    <row r="2660" spans="7:7" x14ac:dyDescent="0.3">
      <c r="G2660" s="391" t="s">
        <v>9567</v>
      </c>
    </row>
    <row r="2661" spans="7:7" x14ac:dyDescent="0.3">
      <c r="G2661" s="391" t="s">
        <v>9567</v>
      </c>
    </row>
    <row r="2662" spans="7:7" x14ac:dyDescent="0.3">
      <c r="G2662" s="391" t="s">
        <v>9567</v>
      </c>
    </row>
    <row r="2663" spans="7:7" x14ac:dyDescent="0.3">
      <c r="G2663" s="391" t="s">
        <v>9567</v>
      </c>
    </row>
    <row r="2664" spans="7:7" x14ac:dyDescent="0.3">
      <c r="G2664" s="391" t="s">
        <v>9567</v>
      </c>
    </row>
    <row r="2665" spans="7:7" x14ac:dyDescent="0.3">
      <c r="G2665" s="391" t="s">
        <v>9567</v>
      </c>
    </row>
    <row r="2666" spans="7:7" x14ac:dyDescent="0.3">
      <c r="G2666" s="391" t="s">
        <v>9567</v>
      </c>
    </row>
    <row r="2667" spans="7:7" x14ac:dyDescent="0.3">
      <c r="G2667" s="391" t="s">
        <v>9567</v>
      </c>
    </row>
    <row r="2668" spans="7:7" x14ac:dyDescent="0.3">
      <c r="G2668" s="391" t="s">
        <v>9567</v>
      </c>
    </row>
    <row r="2669" spans="7:7" x14ac:dyDescent="0.3">
      <c r="G2669" s="391" t="s">
        <v>9567</v>
      </c>
    </row>
    <row r="2670" spans="7:7" x14ac:dyDescent="0.3">
      <c r="G2670" s="391" t="s">
        <v>9567</v>
      </c>
    </row>
    <row r="2671" spans="7:7" x14ac:dyDescent="0.3">
      <c r="G2671" s="391" t="s">
        <v>9567</v>
      </c>
    </row>
    <row r="2672" spans="7:7" x14ac:dyDescent="0.3">
      <c r="G2672" s="391" t="s">
        <v>9567</v>
      </c>
    </row>
    <row r="2673" spans="7:7" x14ac:dyDescent="0.3">
      <c r="G2673" s="391" t="s">
        <v>9567</v>
      </c>
    </row>
    <row r="2674" spans="7:7" x14ac:dyDescent="0.3">
      <c r="G2674" s="391" t="s">
        <v>9567</v>
      </c>
    </row>
    <row r="2675" spans="7:7" x14ac:dyDescent="0.3">
      <c r="G2675" s="391" t="s">
        <v>9567</v>
      </c>
    </row>
    <row r="2676" spans="7:7" x14ac:dyDescent="0.3">
      <c r="G2676" s="391" t="s">
        <v>9567</v>
      </c>
    </row>
    <row r="2677" spans="7:7" x14ac:dyDescent="0.3">
      <c r="G2677" s="391" t="s">
        <v>9567</v>
      </c>
    </row>
    <row r="2678" spans="7:7" x14ac:dyDescent="0.3">
      <c r="G2678" s="391" t="s">
        <v>9567</v>
      </c>
    </row>
    <row r="2679" spans="7:7" x14ac:dyDescent="0.3">
      <c r="G2679" s="391" t="s">
        <v>9567</v>
      </c>
    </row>
    <row r="2680" spans="7:7" x14ac:dyDescent="0.3">
      <c r="G2680" s="391" t="s">
        <v>9567</v>
      </c>
    </row>
    <row r="2681" spans="7:7" x14ac:dyDescent="0.3">
      <c r="G2681" s="391" t="s">
        <v>9567</v>
      </c>
    </row>
    <row r="2682" spans="7:7" x14ac:dyDescent="0.3">
      <c r="G2682" s="391" t="s">
        <v>9567</v>
      </c>
    </row>
    <row r="2683" spans="7:7" x14ac:dyDescent="0.3">
      <c r="G2683" s="391" t="s">
        <v>9567</v>
      </c>
    </row>
    <row r="2684" spans="7:7" x14ac:dyDescent="0.3">
      <c r="G2684" s="391" t="s">
        <v>9567</v>
      </c>
    </row>
    <row r="2685" spans="7:7" x14ac:dyDescent="0.3">
      <c r="G2685" s="391" t="s">
        <v>9567</v>
      </c>
    </row>
    <row r="2686" spans="7:7" x14ac:dyDescent="0.3">
      <c r="G2686" s="391" t="s">
        <v>9567</v>
      </c>
    </row>
    <row r="2687" spans="7:7" x14ac:dyDescent="0.3">
      <c r="G2687" s="391" t="s">
        <v>9567</v>
      </c>
    </row>
    <row r="2688" spans="7:7" x14ac:dyDescent="0.3">
      <c r="G2688" s="391" t="s">
        <v>9567</v>
      </c>
    </row>
    <row r="2689" spans="7:7" x14ac:dyDescent="0.3">
      <c r="G2689" s="391" t="s">
        <v>9567</v>
      </c>
    </row>
    <row r="2690" spans="7:7" x14ac:dyDescent="0.3">
      <c r="G2690" s="391" t="s">
        <v>9567</v>
      </c>
    </row>
    <row r="2691" spans="7:7" x14ac:dyDescent="0.3">
      <c r="G2691" s="391" t="s">
        <v>9567</v>
      </c>
    </row>
    <row r="2692" spans="7:7" x14ac:dyDescent="0.3">
      <c r="G2692" s="391" t="s">
        <v>9567</v>
      </c>
    </row>
    <row r="2693" spans="7:7" x14ac:dyDescent="0.3">
      <c r="G2693" s="391" t="s">
        <v>9567</v>
      </c>
    </row>
    <row r="2694" spans="7:7" x14ac:dyDescent="0.3">
      <c r="G2694" s="391" t="s">
        <v>9567</v>
      </c>
    </row>
    <row r="2695" spans="7:7" x14ac:dyDescent="0.3">
      <c r="G2695" s="391" t="s">
        <v>9567</v>
      </c>
    </row>
    <row r="2696" spans="7:7" x14ac:dyDescent="0.3">
      <c r="G2696" s="391" t="s">
        <v>9567</v>
      </c>
    </row>
    <row r="2697" spans="7:7" x14ac:dyDescent="0.3">
      <c r="G2697" s="391" t="s">
        <v>9567</v>
      </c>
    </row>
    <row r="2698" spans="7:7" x14ac:dyDescent="0.3">
      <c r="G2698" s="391" t="s">
        <v>9567</v>
      </c>
    </row>
    <row r="2699" spans="7:7" x14ac:dyDescent="0.3">
      <c r="G2699" s="391" t="s">
        <v>9567</v>
      </c>
    </row>
    <row r="2700" spans="7:7" x14ac:dyDescent="0.3">
      <c r="G2700" s="391" t="s">
        <v>9567</v>
      </c>
    </row>
    <row r="2701" spans="7:7" x14ac:dyDescent="0.3">
      <c r="G2701" s="391" t="s">
        <v>9567</v>
      </c>
    </row>
    <row r="2702" spans="7:7" x14ac:dyDescent="0.3">
      <c r="G2702" s="391" t="s">
        <v>9567</v>
      </c>
    </row>
    <row r="2703" spans="7:7" x14ac:dyDescent="0.3">
      <c r="G2703" s="391" t="s">
        <v>9567</v>
      </c>
    </row>
    <row r="2704" spans="7:7" x14ac:dyDescent="0.3">
      <c r="G2704" s="391" t="s">
        <v>9567</v>
      </c>
    </row>
    <row r="2705" spans="7:7" x14ac:dyDescent="0.3">
      <c r="G2705" s="391" t="s">
        <v>9567</v>
      </c>
    </row>
    <row r="2706" spans="7:7" x14ac:dyDescent="0.3">
      <c r="G2706" s="391" t="s">
        <v>9567</v>
      </c>
    </row>
    <row r="2707" spans="7:7" x14ac:dyDescent="0.3">
      <c r="G2707" s="391" t="s">
        <v>9567</v>
      </c>
    </row>
    <row r="2708" spans="7:7" x14ac:dyDescent="0.3">
      <c r="G2708" s="391" t="s">
        <v>9567</v>
      </c>
    </row>
    <row r="2709" spans="7:7" x14ac:dyDescent="0.3">
      <c r="G2709" s="391" t="s">
        <v>9567</v>
      </c>
    </row>
    <row r="2710" spans="7:7" x14ac:dyDescent="0.3">
      <c r="G2710" s="391" t="s">
        <v>9567</v>
      </c>
    </row>
    <row r="2711" spans="7:7" x14ac:dyDescent="0.3">
      <c r="G2711" s="391" t="s">
        <v>9567</v>
      </c>
    </row>
    <row r="2712" spans="7:7" x14ac:dyDescent="0.3">
      <c r="G2712" s="391" t="s">
        <v>9567</v>
      </c>
    </row>
    <row r="2713" spans="7:7" x14ac:dyDescent="0.3">
      <c r="G2713" s="391" t="s">
        <v>9567</v>
      </c>
    </row>
    <row r="2714" spans="7:7" x14ac:dyDescent="0.3">
      <c r="G2714" s="391" t="s">
        <v>9567</v>
      </c>
    </row>
    <row r="2715" spans="7:7" x14ac:dyDescent="0.3">
      <c r="G2715" s="391" t="s">
        <v>9567</v>
      </c>
    </row>
    <row r="2716" spans="7:7" x14ac:dyDescent="0.3">
      <c r="G2716" s="391" t="s">
        <v>9567</v>
      </c>
    </row>
    <row r="2717" spans="7:7" x14ac:dyDescent="0.3">
      <c r="G2717" s="391" t="s">
        <v>9567</v>
      </c>
    </row>
    <row r="2718" spans="7:7" x14ac:dyDescent="0.3">
      <c r="G2718" s="391" t="s">
        <v>9567</v>
      </c>
    </row>
    <row r="2719" spans="7:7" x14ac:dyDescent="0.3">
      <c r="G2719" s="391" t="s">
        <v>9567</v>
      </c>
    </row>
    <row r="2720" spans="7:7" x14ac:dyDescent="0.3">
      <c r="G2720" s="391" t="s">
        <v>9567</v>
      </c>
    </row>
    <row r="2721" spans="7:7" x14ac:dyDescent="0.3">
      <c r="G2721" s="391" t="s">
        <v>9567</v>
      </c>
    </row>
    <row r="2722" spans="7:7" x14ac:dyDescent="0.3">
      <c r="G2722" s="391" t="s">
        <v>9567</v>
      </c>
    </row>
    <row r="2723" spans="7:7" x14ac:dyDescent="0.3">
      <c r="G2723" s="391" t="s">
        <v>9567</v>
      </c>
    </row>
    <row r="2724" spans="7:7" x14ac:dyDescent="0.3">
      <c r="G2724" s="391" t="s">
        <v>9567</v>
      </c>
    </row>
    <row r="2725" spans="7:7" x14ac:dyDescent="0.3">
      <c r="G2725" s="391" t="s">
        <v>9567</v>
      </c>
    </row>
    <row r="2726" spans="7:7" x14ac:dyDescent="0.3">
      <c r="G2726" s="391" t="s">
        <v>9567</v>
      </c>
    </row>
    <row r="2727" spans="7:7" x14ac:dyDescent="0.3">
      <c r="G2727" s="391" t="s">
        <v>9567</v>
      </c>
    </row>
    <row r="2728" spans="7:7" x14ac:dyDescent="0.3">
      <c r="G2728" s="391" t="s">
        <v>9567</v>
      </c>
    </row>
    <row r="2729" spans="7:7" x14ac:dyDescent="0.3">
      <c r="G2729" s="391" t="s">
        <v>9567</v>
      </c>
    </row>
    <row r="2730" spans="7:7" x14ac:dyDescent="0.3">
      <c r="G2730" s="391" t="s">
        <v>9567</v>
      </c>
    </row>
    <row r="2731" spans="7:7" x14ac:dyDescent="0.3">
      <c r="G2731" s="391" t="s">
        <v>9567</v>
      </c>
    </row>
    <row r="2732" spans="7:7" x14ac:dyDescent="0.3">
      <c r="G2732" s="391" t="s">
        <v>9567</v>
      </c>
    </row>
    <row r="2733" spans="7:7" x14ac:dyDescent="0.3">
      <c r="G2733" s="391" t="s">
        <v>9567</v>
      </c>
    </row>
    <row r="2734" spans="7:7" x14ac:dyDescent="0.3">
      <c r="G2734" s="391" t="s">
        <v>9567</v>
      </c>
    </row>
    <row r="2735" spans="7:7" x14ac:dyDescent="0.3">
      <c r="G2735" s="391" t="s">
        <v>9567</v>
      </c>
    </row>
    <row r="2736" spans="7:7" x14ac:dyDescent="0.3">
      <c r="G2736" s="391" t="s">
        <v>9567</v>
      </c>
    </row>
    <row r="2737" spans="7:7" x14ac:dyDescent="0.3">
      <c r="G2737" s="391" t="s">
        <v>9567</v>
      </c>
    </row>
    <row r="2738" spans="7:7" x14ac:dyDescent="0.3">
      <c r="G2738" s="391" t="s">
        <v>9567</v>
      </c>
    </row>
    <row r="2739" spans="7:7" x14ac:dyDescent="0.3">
      <c r="G2739" s="391" t="s">
        <v>9567</v>
      </c>
    </row>
    <row r="2740" spans="7:7" x14ac:dyDescent="0.3">
      <c r="G2740" s="391" t="s">
        <v>9567</v>
      </c>
    </row>
    <row r="2741" spans="7:7" x14ac:dyDescent="0.3">
      <c r="G2741" s="391" t="s">
        <v>9567</v>
      </c>
    </row>
    <row r="2742" spans="7:7" x14ac:dyDescent="0.3">
      <c r="G2742" s="391" t="s">
        <v>9567</v>
      </c>
    </row>
    <row r="2743" spans="7:7" x14ac:dyDescent="0.3">
      <c r="G2743" s="391" t="s">
        <v>9567</v>
      </c>
    </row>
    <row r="2744" spans="7:7" x14ac:dyDescent="0.3">
      <c r="G2744" s="391" t="s">
        <v>9567</v>
      </c>
    </row>
    <row r="2745" spans="7:7" x14ac:dyDescent="0.3">
      <c r="G2745" s="391" t="s">
        <v>9567</v>
      </c>
    </row>
    <row r="2746" spans="7:7" x14ac:dyDescent="0.3">
      <c r="G2746" s="391" t="s">
        <v>9567</v>
      </c>
    </row>
    <row r="2747" spans="7:7" x14ac:dyDescent="0.3">
      <c r="G2747" s="391" t="s">
        <v>9567</v>
      </c>
    </row>
    <row r="2748" spans="7:7" x14ac:dyDescent="0.3">
      <c r="G2748" s="391" t="s">
        <v>9567</v>
      </c>
    </row>
    <row r="2749" spans="7:7" x14ac:dyDescent="0.3">
      <c r="G2749" s="391" t="s">
        <v>9567</v>
      </c>
    </row>
    <row r="2750" spans="7:7" x14ac:dyDescent="0.3">
      <c r="G2750" s="391" t="s">
        <v>9567</v>
      </c>
    </row>
    <row r="2751" spans="7:7" x14ac:dyDescent="0.3">
      <c r="G2751" s="391" t="s">
        <v>9567</v>
      </c>
    </row>
    <row r="2752" spans="7:7" x14ac:dyDescent="0.3">
      <c r="G2752" s="391" t="s">
        <v>9567</v>
      </c>
    </row>
    <row r="2753" spans="7:7" x14ac:dyDescent="0.3">
      <c r="G2753" s="391" t="s">
        <v>9567</v>
      </c>
    </row>
    <row r="2754" spans="7:7" x14ac:dyDescent="0.3">
      <c r="G2754" s="391" t="s">
        <v>9567</v>
      </c>
    </row>
    <row r="2755" spans="7:7" x14ac:dyDescent="0.3">
      <c r="G2755" s="391" t="s">
        <v>9567</v>
      </c>
    </row>
    <row r="2756" spans="7:7" x14ac:dyDescent="0.3">
      <c r="G2756" s="391" t="s">
        <v>9567</v>
      </c>
    </row>
    <row r="2757" spans="7:7" x14ac:dyDescent="0.3">
      <c r="G2757" s="391" t="s">
        <v>9567</v>
      </c>
    </row>
    <row r="2758" spans="7:7" x14ac:dyDescent="0.3">
      <c r="G2758" s="391" t="s">
        <v>9567</v>
      </c>
    </row>
    <row r="2759" spans="7:7" x14ac:dyDescent="0.3">
      <c r="G2759" s="391" t="s">
        <v>9567</v>
      </c>
    </row>
    <row r="2760" spans="7:7" x14ac:dyDescent="0.3">
      <c r="G2760" s="391" t="s">
        <v>9567</v>
      </c>
    </row>
    <row r="2761" spans="7:7" x14ac:dyDescent="0.3">
      <c r="G2761" s="391" t="s">
        <v>9567</v>
      </c>
    </row>
    <row r="2762" spans="7:7" x14ac:dyDescent="0.3">
      <c r="G2762" s="391" t="s">
        <v>9567</v>
      </c>
    </row>
    <row r="2763" spans="7:7" x14ac:dyDescent="0.3">
      <c r="G2763" s="391" t="s">
        <v>9567</v>
      </c>
    </row>
    <row r="2764" spans="7:7" x14ac:dyDescent="0.3">
      <c r="G2764" s="391" t="s">
        <v>9567</v>
      </c>
    </row>
    <row r="2765" spans="7:7" x14ac:dyDescent="0.3">
      <c r="G2765" s="391" t="s">
        <v>9567</v>
      </c>
    </row>
    <row r="2766" spans="7:7" x14ac:dyDescent="0.3">
      <c r="G2766" s="391" t="s">
        <v>9567</v>
      </c>
    </row>
    <row r="2767" spans="7:7" x14ac:dyDescent="0.3">
      <c r="G2767" s="391" t="s">
        <v>9567</v>
      </c>
    </row>
    <row r="2768" spans="7:7" x14ac:dyDescent="0.3">
      <c r="G2768" s="391" t="s">
        <v>9567</v>
      </c>
    </row>
    <row r="2769" spans="7:7" x14ac:dyDescent="0.3">
      <c r="G2769" s="391" t="s">
        <v>9567</v>
      </c>
    </row>
    <row r="2770" spans="7:7" x14ac:dyDescent="0.3">
      <c r="G2770" s="391" t="s">
        <v>9567</v>
      </c>
    </row>
    <row r="2771" spans="7:7" x14ac:dyDescent="0.3">
      <c r="G2771" s="391" t="s">
        <v>9567</v>
      </c>
    </row>
    <row r="2772" spans="7:7" x14ac:dyDescent="0.3">
      <c r="G2772" s="391" t="s">
        <v>9567</v>
      </c>
    </row>
    <row r="2773" spans="7:7" x14ac:dyDescent="0.3">
      <c r="G2773" s="391" t="s">
        <v>9567</v>
      </c>
    </row>
    <row r="2774" spans="7:7" x14ac:dyDescent="0.3">
      <c r="G2774" s="391" t="s">
        <v>9567</v>
      </c>
    </row>
    <row r="2775" spans="7:7" x14ac:dyDescent="0.3">
      <c r="G2775" s="391" t="s">
        <v>9567</v>
      </c>
    </row>
    <row r="2776" spans="7:7" x14ac:dyDescent="0.3">
      <c r="G2776" s="391" t="s">
        <v>9567</v>
      </c>
    </row>
    <row r="2777" spans="7:7" x14ac:dyDescent="0.3">
      <c r="G2777" s="391" t="s">
        <v>9567</v>
      </c>
    </row>
    <row r="2778" spans="7:7" x14ac:dyDescent="0.3">
      <c r="G2778" s="391" t="s">
        <v>9567</v>
      </c>
    </row>
    <row r="2779" spans="7:7" x14ac:dyDescent="0.3">
      <c r="G2779" s="391" t="s">
        <v>9567</v>
      </c>
    </row>
    <row r="2780" spans="7:7" x14ac:dyDescent="0.3">
      <c r="G2780" s="391" t="s">
        <v>9567</v>
      </c>
    </row>
    <row r="2781" spans="7:7" x14ac:dyDescent="0.3">
      <c r="G2781" s="391" t="s">
        <v>9567</v>
      </c>
    </row>
    <row r="2782" spans="7:7" x14ac:dyDescent="0.3">
      <c r="G2782" s="391" t="s">
        <v>9567</v>
      </c>
    </row>
    <row r="2783" spans="7:7" x14ac:dyDescent="0.3">
      <c r="G2783" s="391" t="s">
        <v>9567</v>
      </c>
    </row>
    <row r="2784" spans="7:7" x14ac:dyDescent="0.3">
      <c r="G2784" s="391" t="s">
        <v>9567</v>
      </c>
    </row>
    <row r="2785" spans="7:7" x14ac:dyDescent="0.3">
      <c r="G2785" s="391" t="s">
        <v>9567</v>
      </c>
    </row>
    <row r="2786" spans="7:7" x14ac:dyDescent="0.3">
      <c r="G2786" s="391" t="s">
        <v>9567</v>
      </c>
    </row>
    <row r="2787" spans="7:7" x14ac:dyDescent="0.3">
      <c r="G2787" s="391" t="s">
        <v>9567</v>
      </c>
    </row>
    <row r="2788" spans="7:7" x14ac:dyDescent="0.3">
      <c r="G2788" s="391" t="s">
        <v>9567</v>
      </c>
    </row>
    <row r="2789" spans="7:7" x14ac:dyDescent="0.3">
      <c r="G2789" s="391" t="s">
        <v>9567</v>
      </c>
    </row>
    <row r="2790" spans="7:7" x14ac:dyDescent="0.3">
      <c r="G2790" s="391" t="s">
        <v>9567</v>
      </c>
    </row>
    <row r="2791" spans="7:7" x14ac:dyDescent="0.3">
      <c r="G2791" s="391" t="s">
        <v>9567</v>
      </c>
    </row>
    <row r="2792" spans="7:7" x14ac:dyDescent="0.3">
      <c r="G2792" s="391" t="s">
        <v>9567</v>
      </c>
    </row>
    <row r="2793" spans="7:7" x14ac:dyDescent="0.3">
      <c r="G2793" s="391" t="s">
        <v>9567</v>
      </c>
    </row>
    <row r="2794" spans="7:7" x14ac:dyDescent="0.3">
      <c r="G2794" s="391" t="s">
        <v>9567</v>
      </c>
    </row>
    <row r="2795" spans="7:7" x14ac:dyDescent="0.3">
      <c r="G2795" s="391" t="s">
        <v>9567</v>
      </c>
    </row>
    <row r="2796" spans="7:7" x14ac:dyDescent="0.3">
      <c r="G2796" s="391" t="s">
        <v>9567</v>
      </c>
    </row>
    <row r="2797" spans="7:7" x14ac:dyDescent="0.3">
      <c r="G2797" s="391" t="s">
        <v>9567</v>
      </c>
    </row>
    <row r="2798" spans="7:7" x14ac:dyDescent="0.3">
      <c r="G2798" s="391" t="s">
        <v>9567</v>
      </c>
    </row>
    <row r="2799" spans="7:7" x14ac:dyDescent="0.3">
      <c r="G2799" s="391" t="s">
        <v>9567</v>
      </c>
    </row>
    <row r="2800" spans="7:7" x14ac:dyDescent="0.3">
      <c r="G2800" s="391" t="s">
        <v>9567</v>
      </c>
    </row>
    <row r="2801" spans="7:7" x14ac:dyDescent="0.3">
      <c r="G2801" s="391" t="s">
        <v>9567</v>
      </c>
    </row>
    <row r="2802" spans="7:7" x14ac:dyDescent="0.3">
      <c r="G2802" s="391" t="s">
        <v>9567</v>
      </c>
    </row>
    <row r="2803" spans="7:7" x14ac:dyDescent="0.3">
      <c r="G2803" s="391" t="s">
        <v>9567</v>
      </c>
    </row>
    <row r="2804" spans="7:7" x14ac:dyDescent="0.3">
      <c r="G2804" s="391" t="s">
        <v>9567</v>
      </c>
    </row>
    <row r="2805" spans="7:7" x14ac:dyDescent="0.3">
      <c r="G2805" s="391" t="s">
        <v>9567</v>
      </c>
    </row>
    <row r="2806" spans="7:7" x14ac:dyDescent="0.3">
      <c r="G2806" s="391" t="s">
        <v>9567</v>
      </c>
    </row>
    <row r="2807" spans="7:7" x14ac:dyDescent="0.3">
      <c r="G2807" s="391" t="s">
        <v>9567</v>
      </c>
    </row>
    <row r="2808" spans="7:7" x14ac:dyDescent="0.3">
      <c r="G2808" s="391" t="s">
        <v>9567</v>
      </c>
    </row>
    <row r="2809" spans="7:7" x14ac:dyDescent="0.3">
      <c r="G2809" s="391" t="s">
        <v>9567</v>
      </c>
    </row>
    <row r="2810" spans="7:7" x14ac:dyDescent="0.3">
      <c r="G2810" s="391" t="s">
        <v>9567</v>
      </c>
    </row>
    <row r="2811" spans="7:7" x14ac:dyDescent="0.3">
      <c r="G2811" s="391" t="s">
        <v>9567</v>
      </c>
    </row>
    <row r="2812" spans="7:7" x14ac:dyDescent="0.3">
      <c r="G2812" s="391" t="s">
        <v>9567</v>
      </c>
    </row>
    <row r="2813" spans="7:7" x14ac:dyDescent="0.3">
      <c r="G2813" s="391" t="s">
        <v>9567</v>
      </c>
    </row>
    <row r="2814" spans="7:7" x14ac:dyDescent="0.3">
      <c r="G2814" s="391" t="s">
        <v>9567</v>
      </c>
    </row>
    <row r="2815" spans="7:7" x14ac:dyDescent="0.3">
      <c r="G2815" s="391" t="s">
        <v>9567</v>
      </c>
    </row>
    <row r="2816" spans="7:7" x14ac:dyDescent="0.3">
      <c r="G2816" s="391" t="s">
        <v>9567</v>
      </c>
    </row>
    <row r="2817" spans="7:7" x14ac:dyDescent="0.3">
      <c r="G2817" s="391" t="s">
        <v>9567</v>
      </c>
    </row>
    <row r="2818" spans="7:7" x14ac:dyDescent="0.3">
      <c r="G2818" s="391" t="s">
        <v>9567</v>
      </c>
    </row>
    <row r="2819" spans="7:7" x14ac:dyDescent="0.3">
      <c r="G2819" s="391" t="s">
        <v>9567</v>
      </c>
    </row>
    <row r="2820" spans="7:7" x14ac:dyDescent="0.3">
      <c r="G2820" s="391" t="s">
        <v>9567</v>
      </c>
    </row>
    <row r="2821" spans="7:7" x14ac:dyDescent="0.3">
      <c r="G2821" s="391" t="s">
        <v>9567</v>
      </c>
    </row>
    <row r="2822" spans="7:7" x14ac:dyDescent="0.3">
      <c r="G2822" s="391" t="s">
        <v>9567</v>
      </c>
    </row>
    <row r="2823" spans="7:7" x14ac:dyDescent="0.3">
      <c r="G2823" s="391" t="s">
        <v>9567</v>
      </c>
    </row>
    <row r="2824" spans="7:7" x14ac:dyDescent="0.3">
      <c r="G2824" s="391" t="s">
        <v>9567</v>
      </c>
    </row>
    <row r="2825" spans="7:7" x14ac:dyDescent="0.3">
      <c r="G2825" s="391" t="s">
        <v>9567</v>
      </c>
    </row>
    <row r="2826" spans="7:7" x14ac:dyDescent="0.3">
      <c r="G2826" s="391" t="s">
        <v>9567</v>
      </c>
    </row>
    <row r="2827" spans="7:7" x14ac:dyDescent="0.3">
      <c r="G2827" s="391" t="s">
        <v>9567</v>
      </c>
    </row>
    <row r="2828" spans="7:7" x14ac:dyDescent="0.3">
      <c r="G2828" s="391" t="s">
        <v>9567</v>
      </c>
    </row>
    <row r="2829" spans="7:7" x14ac:dyDescent="0.3">
      <c r="G2829" s="391" t="s">
        <v>9567</v>
      </c>
    </row>
    <row r="2830" spans="7:7" x14ac:dyDescent="0.3">
      <c r="G2830" s="391" t="s">
        <v>9567</v>
      </c>
    </row>
    <row r="2831" spans="7:7" x14ac:dyDescent="0.3">
      <c r="G2831" s="391" t="s">
        <v>9567</v>
      </c>
    </row>
    <row r="2832" spans="7:7" x14ac:dyDescent="0.3">
      <c r="G2832" s="391" t="s">
        <v>9567</v>
      </c>
    </row>
    <row r="2833" spans="7:7" x14ac:dyDescent="0.3">
      <c r="G2833" s="391" t="s">
        <v>9567</v>
      </c>
    </row>
    <row r="2834" spans="7:7" x14ac:dyDescent="0.3">
      <c r="G2834" s="391" t="s">
        <v>9567</v>
      </c>
    </row>
    <row r="2835" spans="7:7" x14ac:dyDescent="0.3">
      <c r="G2835" s="391" t="s">
        <v>9567</v>
      </c>
    </row>
    <row r="2836" spans="7:7" x14ac:dyDescent="0.3">
      <c r="G2836" s="391" t="s">
        <v>9567</v>
      </c>
    </row>
    <row r="2837" spans="7:7" x14ac:dyDescent="0.3">
      <c r="G2837" s="391" t="s">
        <v>9567</v>
      </c>
    </row>
    <row r="2838" spans="7:7" x14ac:dyDescent="0.3">
      <c r="G2838" s="391" t="s">
        <v>9567</v>
      </c>
    </row>
    <row r="2839" spans="7:7" x14ac:dyDescent="0.3">
      <c r="G2839" s="391" t="s">
        <v>9567</v>
      </c>
    </row>
    <row r="2840" spans="7:7" x14ac:dyDescent="0.3">
      <c r="G2840" s="391" t="s">
        <v>9567</v>
      </c>
    </row>
    <row r="2841" spans="7:7" x14ac:dyDescent="0.3">
      <c r="G2841" s="391" t="s">
        <v>9567</v>
      </c>
    </row>
    <row r="2842" spans="7:7" x14ac:dyDescent="0.3">
      <c r="G2842" s="391" t="s">
        <v>9567</v>
      </c>
    </row>
    <row r="2843" spans="7:7" x14ac:dyDescent="0.3">
      <c r="G2843" s="391" t="s">
        <v>9567</v>
      </c>
    </row>
    <row r="2844" spans="7:7" x14ac:dyDescent="0.3">
      <c r="G2844" s="391" t="s">
        <v>9567</v>
      </c>
    </row>
    <row r="2845" spans="7:7" x14ac:dyDescent="0.3">
      <c r="G2845" s="391" t="s">
        <v>9567</v>
      </c>
    </row>
    <row r="2846" spans="7:7" x14ac:dyDescent="0.3">
      <c r="G2846" s="391" t="s">
        <v>9567</v>
      </c>
    </row>
    <row r="2847" spans="7:7" x14ac:dyDescent="0.3">
      <c r="G2847" s="391" t="s">
        <v>9567</v>
      </c>
    </row>
    <row r="2848" spans="7:7" x14ac:dyDescent="0.3">
      <c r="G2848" s="391" t="s">
        <v>9567</v>
      </c>
    </row>
    <row r="2849" spans="7:7" x14ac:dyDescent="0.3">
      <c r="G2849" s="391" t="s">
        <v>9567</v>
      </c>
    </row>
    <row r="2850" spans="7:7" x14ac:dyDescent="0.3">
      <c r="G2850" s="391" t="s">
        <v>9567</v>
      </c>
    </row>
    <row r="2851" spans="7:7" x14ac:dyDescent="0.3">
      <c r="G2851" s="391" t="s">
        <v>9567</v>
      </c>
    </row>
    <row r="2852" spans="7:7" x14ac:dyDescent="0.3">
      <c r="G2852" s="391" t="s">
        <v>9567</v>
      </c>
    </row>
    <row r="2853" spans="7:7" x14ac:dyDescent="0.3">
      <c r="G2853" s="391" t="s">
        <v>9567</v>
      </c>
    </row>
    <row r="2854" spans="7:7" x14ac:dyDescent="0.3">
      <c r="G2854" s="391" t="s">
        <v>9567</v>
      </c>
    </row>
    <row r="2855" spans="7:7" x14ac:dyDescent="0.3">
      <c r="G2855" s="391" t="s">
        <v>9567</v>
      </c>
    </row>
    <row r="2856" spans="7:7" x14ac:dyDescent="0.3">
      <c r="G2856" s="391" t="s">
        <v>9567</v>
      </c>
    </row>
    <row r="2857" spans="7:7" x14ac:dyDescent="0.3">
      <c r="G2857" s="391" t="s">
        <v>9567</v>
      </c>
    </row>
    <row r="2858" spans="7:7" x14ac:dyDescent="0.3">
      <c r="G2858" s="391" t="s">
        <v>9567</v>
      </c>
    </row>
    <row r="2859" spans="7:7" x14ac:dyDescent="0.3">
      <c r="G2859" s="391" t="s">
        <v>9567</v>
      </c>
    </row>
    <row r="2860" spans="7:7" x14ac:dyDescent="0.3">
      <c r="G2860" s="391" t="s">
        <v>9567</v>
      </c>
    </row>
    <row r="2861" spans="7:7" x14ac:dyDescent="0.3">
      <c r="G2861" s="391" t="s">
        <v>9567</v>
      </c>
    </row>
    <row r="2862" spans="7:7" x14ac:dyDescent="0.3">
      <c r="G2862" s="391" t="s">
        <v>9567</v>
      </c>
    </row>
    <row r="2863" spans="7:7" x14ac:dyDescent="0.3">
      <c r="G2863" s="391" t="s">
        <v>9567</v>
      </c>
    </row>
    <row r="2864" spans="7:7" x14ac:dyDescent="0.3">
      <c r="G2864" s="391" t="s">
        <v>9567</v>
      </c>
    </row>
    <row r="2865" spans="7:7" x14ac:dyDescent="0.3">
      <c r="G2865" s="391" t="s">
        <v>9567</v>
      </c>
    </row>
    <row r="2866" spans="7:7" x14ac:dyDescent="0.3">
      <c r="G2866" s="391" t="s">
        <v>9567</v>
      </c>
    </row>
    <row r="2867" spans="7:7" x14ac:dyDescent="0.3">
      <c r="G2867" s="391" t="s">
        <v>9567</v>
      </c>
    </row>
    <row r="2868" spans="7:7" x14ac:dyDescent="0.3">
      <c r="G2868" s="391" t="s">
        <v>9567</v>
      </c>
    </row>
    <row r="2869" spans="7:7" x14ac:dyDescent="0.3">
      <c r="G2869" s="391" t="s">
        <v>9567</v>
      </c>
    </row>
    <row r="2870" spans="7:7" x14ac:dyDescent="0.3">
      <c r="G2870" s="391" t="s">
        <v>9567</v>
      </c>
    </row>
    <row r="2871" spans="7:7" x14ac:dyDescent="0.3">
      <c r="G2871" s="391" t="s">
        <v>9567</v>
      </c>
    </row>
    <row r="2872" spans="7:7" x14ac:dyDescent="0.3">
      <c r="G2872" s="391" t="s">
        <v>9567</v>
      </c>
    </row>
    <row r="2873" spans="7:7" x14ac:dyDescent="0.3">
      <c r="G2873" s="391" t="s">
        <v>9567</v>
      </c>
    </row>
    <row r="2874" spans="7:7" x14ac:dyDescent="0.3">
      <c r="G2874" s="391" t="s">
        <v>9567</v>
      </c>
    </row>
    <row r="2875" spans="7:7" x14ac:dyDescent="0.3">
      <c r="G2875" s="391" t="s">
        <v>9567</v>
      </c>
    </row>
    <row r="2876" spans="7:7" x14ac:dyDescent="0.3">
      <c r="G2876" s="391" t="s">
        <v>9567</v>
      </c>
    </row>
    <row r="2877" spans="7:7" x14ac:dyDescent="0.3">
      <c r="G2877" s="391" t="s">
        <v>9567</v>
      </c>
    </row>
    <row r="2878" spans="7:7" x14ac:dyDescent="0.3">
      <c r="G2878" s="391" t="s">
        <v>9567</v>
      </c>
    </row>
    <row r="2879" spans="7:7" x14ac:dyDescent="0.3">
      <c r="G2879" s="391" t="s">
        <v>9567</v>
      </c>
    </row>
    <row r="2880" spans="7:7" x14ac:dyDescent="0.3">
      <c r="G2880" s="391" t="s">
        <v>9567</v>
      </c>
    </row>
    <row r="2881" spans="7:7" x14ac:dyDescent="0.3">
      <c r="G2881" s="391" t="s">
        <v>9567</v>
      </c>
    </row>
    <row r="2882" spans="7:7" x14ac:dyDescent="0.3">
      <c r="G2882" s="391" t="s">
        <v>9567</v>
      </c>
    </row>
    <row r="2883" spans="7:7" x14ac:dyDescent="0.3">
      <c r="G2883" s="391" t="s">
        <v>9567</v>
      </c>
    </row>
    <row r="2884" spans="7:7" x14ac:dyDescent="0.3">
      <c r="G2884" s="391" t="s">
        <v>9567</v>
      </c>
    </row>
    <row r="2885" spans="7:7" x14ac:dyDescent="0.3">
      <c r="G2885" s="391" t="s">
        <v>9567</v>
      </c>
    </row>
    <row r="2886" spans="7:7" x14ac:dyDescent="0.3">
      <c r="G2886" s="391" t="s">
        <v>9567</v>
      </c>
    </row>
    <row r="2887" spans="7:7" x14ac:dyDescent="0.3">
      <c r="G2887" s="391" t="s">
        <v>9567</v>
      </c>
    </row>
    <row r="2888" spans="7:7" x14ac:dyDescent="0.3">
      <c r="G2888" s="391" t="s">
        <v>9567</v>
      </c>
    </row>
    <row r="2889" spans="7:7" x14ac:dyDescent="0.3">
      <c r="G2889" s="391" t="s">
        <v>9567</v>
      </c>
    </row>
    <row r="2890" spans="7:7" x14ac:dyDescent="0.3">
      <c r="G2890" s="391" t="s">
        <v>9567</v>
      </c>
    </row>
    <row r="2891" spans="7:7" x14ac:dyDescent="0.3">
      <c r="G2891" s="391" t="s">
        <v>9567</v>
      </c>
    </row>
    <row r="2892" spans="7:7" x14ac:dyDescent="0.3">
      <c r="G2892" s="391" t="s">
        <v>9567</v>
      </c>
    </row>
    <row r="2893" spans="7:7" x14ac:dyDescent="0.3">
      <c r="G2893" s="391" t="s">
        <v>9567</v>
      </c>
    </row>
    <row r="2894" spans="7:7" x14ac:dyDescent="0.3">
      <c r="G2894" s="391" t="s">
        <v>9567</v>
      </c>
    </row>
    <row r="2895" spans="7:7" x14ac:dyDescent="0.3">
      <c r="G2895" s="391" t="s">
        <v>9567</v>
      </c>
    </row>
    <row r="2896" spans="7:7" x14ac:dyDescent="0.3">
      <c r="G2896" s="391" t="s">
        <v>9567</v>
      </c>
    </row>
    <row r="2897" spans="7:7" x14ac:dyDescent="0.3">
      <c r="G2897" s="391" t="s">
        <v>9567</v>
      </c>
    </row>
    <row r="2898" spans="7:7" x14ac:dyDescent="0.3">
      <c r="G2898" s="391" t="s">
        <v>9567</v>
      </c>
    </row>
    <row r="2899" spans="7:7" x14ac:dyDescent="0.3">
      <c r="G2899" s="391" t="s">
        <v>9567</v>
      </c>
    </row>
    <row r="2900" spans="7:7" x14ac:dyDescent="0.3">
      <c r="G2900" s="391" t="s">
        <v>9567</v>
      </c>
    </row>
    <row r="2901" spans="7:7" x14ac:dyDescent="0.3">
      <c r="G2901" s="391" t="s">
        <v>9567</v>
      </c>
    </row>
    <row r="2902" spans="7:7" x14ac:dyDescent="0.3">
      <c r="G2902" s="391" t="s">
        <v>9567</v>
      </c>
    </row>
    <row r="2903" spans="7:7" x14ac:dyDescent="0.3">
      <c r="G2903" s="391" t="s">
        <v>9567</v>
      </c>
    </row>
    <row r="2904" spans="7:7" x14ac:dyDescent="0.3">
      <c r="G2904" s="391" t="s">
        <v>9567</v>
      </c>
    </row>
    <row r="2905" spans="7:7" x14ac:dyDescent="0.3">
      <c r="G2905" s="391" t="s">
        <v>9567</v>
      </c>
    </row>
    <row r="2906" spans="7:7" x14ac:dyDescent="0.3">
      <c r="G2906" s="391" t="s">
        <v>9567</v>
      </c>
    </row>
    <row r="2907" spans="7:7" x14ac:dyDescent="0.3">
      <c r="G2907" s="391" t="s">
        <v>9567</v>
      </c>
    </row>
    <row r="2908" spans="7:7" x14ac:dyDescent="0.3">
      <c r="G2908" s="391" t="s">
        <v>9567</v>
      </c>
    </row>
    <row r="2909" spans="7:7" x14ac:dyDescent="0.3">
      <c r="G2909" s="391" t="s">
        <v>9567</v>
      </c>
    </row>
    <row r="2910" spans="7:7" x14ac:dyDescent="0.3">
      <c r="G2910" s="391" t="s">
        <v>9567</v>
      </c>
    </row>
    <row r="2911" spans="7:7" x14ac:dyDescent="0.3">
      <c r="G2911" s="391" t="s">
        <v>9567</v>
      </c>
    </row>
    <row r="2912" spans="7:7" x14ac:dyDescent="0.3">
      <c r="G2912" s="391" t="s">
        <v>9567</v>
      </c>
    </row>
    <row r="2913" spans="7:7" x14ac:dyDescent="0.3">
      <c r="G2913" s="391" t="s">
        <v>9567</v>
      </c>
    </row>
    <row r="2914" spans="7:7" x14ac:dyDescent="0.3">
      <c r="G2914" s="391" t="s">
        <v>9567</v>
      </c>
    </row>
    <row r="2915" spans="7:7" x14ac:dyDescent="0.3">
      <c r="G2915" s="391" t="s">
        <v>9567</v>
      </c>
    </row>
    <row r="2916" spans="7:7" x14ac:dyDescent="0.3">
      <c r="G2916" s="391" t="s">
        <v>9567</v>
      </c>
    </row>
    <row r="2917" spans="7:7" x14ac:dyDescent="0.3">
      <c r="G2917" s="391" t="s">
        <v>9567</v>
      </c>
    </row>
    <row r="2918" spans="7:7" x14ac:dyDescent="0.3">
      <c r="G2918" s="391" t="s">
        <v>9567</v>
      </c>
    </row>
    <row r="2919" spans="7:7" x14ac:dyDescent="0.3">
      <c r="G2919" s="391" t="s">
        <v>9567</v>
      </c>
    </row>
    <row r="2920" spans="7:7" x14ac:dyDescent="0.3">
      <c r="G2920" s="391" t="s">
        <v>9567</v>
      </c>
    </row>
    <row r="2921" spans="7:7" x14ac:dyDescent="0.3">
      <c r="G2921" s="391" t="s">
        <v>9567</v>
      </c>
    </row>
    <row r="2922" spans="7:7" x14ac:dyDescent="0.3">
      <c r="G2922" s="391" t="s">
        <v>9567</v>
      </c>
    </row>
    <row r="2923" spans="7:7" x14ac:dyDescent="0.3">
      <c r="G2923" s="391" t="s">
        <v>9567</v>
      </c>
    </row>
    <row r="2924" spans="7:7" x14ac:dyDescent="0.3">
      <c r="G2924" s="391" t="s">
        <v>9567</v>
      </c>
    </row>
    <row r="2925" spans="7:7" x14ac:dyDescent="0.3">
      <c r="G2925" s="391" t="s">
        <v>9567</v>
      </c>
    </row>
    <row r="2926" spans="7:7" x14ac:dyDescent="0.3">
      <c r="G2926" s="391" t="s">
        <v>9567</v>
      </c>
    </row>
    <row r="2927" spans="7:7" x14ac:dyDescent="0.3">
      <c r="G2927" s="391" t="s">
        <v>9567</v>
      </c>
    </row>
    <row r="2928" spans="7:7" x14ac:dyDescent="0.3">
      <c r="G2928" s="391" t="s">
        <v>9567</v>
      </c>
    </row>
    <row r="2929" spans="7:7" x14ac:dyDescent="0.3">
      <c r="G2929" s="391" t="s">
        <v>9567</v>
      </c>
    </row>
    <row r="2930" spans="7:7" x14ac:dyDescent="0.3">
      <c r="G2930" s="391" t="s">
        <v>9567</v>
      </c>
    </row>
    <row r="2931" spans="7:7" x14ac:dyDescent="0.3">
      <c r="G2931" s="391" t="s">
        <v>9567</v>
      </c>
    </row>
    <row r="2932" spans="7:7" x14ac:dyDescent="0.3">
      <c r="G2932" s="391" t="s">
        <v>9567</v>
      </c>
    </row>
    <row r="2933" spans="7:7" x14ac:dyDescent="0.3">
      <c r="G2933" s="391" t="s">
        <v>9567</v>
      </c>
    </row>
    <row r="2934" spans="7:7" x14ac:dyDescent="0.3">
      <c r="G2934" s="391" t="s">
        <v>9567</v>
      </c>
    </row>
    <row r="2935" spans="7:7" x14ac:dyDescent="0.3">
      <c r="G2935" s="391" t="s">
        <v>9567</v>
      </c>
    </row>
    <row r="2936" spans="7:7" x14ac:dyDescent="0.3">
      <c r="G2936" s="391" t="s">
        <v>9567</v>
      </c>
    </row>
    <row r="2937" spans="7:7" x14ac:dyDescent="0.3">
      <c r="G2937" s="391" t="s">
        <v>9567</v>
      </c>
    </row>
    <row r="2938" spans="7:7" x14ac:dyDescent="0.3">
      <c r="G2938" s="391" t="s">
        <v>9567</v>
      </c>
    </row>
    <row r="2939" spans="7:7" x14ac:dyDescent="0.3">
      <c r="G2939" s="391" t="s">
        <v>9567</v>
      </c>
    </row>
    <row r="2940" spans="7:7" x14ac:dyDescent="0.3">
      <c r="G2940" s="391" t="s">
        <v>9567</v>
      </c>
    </row>
    <row r="2941" spans="7:7" x14ac:dyDescent="0.3">
      <c r="G2941" s="391" t="s">
        <v>9567</v>
      </c>
    </row>
    <row r="2942" spans="7:7" x14ac:dyDescent="0.3">
      <c r="G2942" s="391" t="s">
        <v>9567</v>
      </c>
    </row>
    <row r="2943" spans="7:7" x14ac:dyDescent="0.3">
      <c r="G2943" s="391" t="s">
        <v>9567</v>
      </c>
    </row>
    <row r="2944" spans="7:7" x14ac:dyDescent="0.3">
      <c r="G2944" s="391" t="s">
        <v>9567</v>
      </c>
    </row>
    <row r="2945" spans="7:7" x14ac:dyDescent="0.3">
      <c r="G2945" s="391" t="s">
        <v>9567</v>
      </c>
    </row>
    <row r="2946" spans="7:7" x14ac:dyDescent="0.3">
      <c r="G2946" s="391" t="s">
        <v>9567</v>
      </c>
    </row>
    <row r="2947" spans="7:7" x14ac:dyDescent="0.3">
      <c r="G2947" s="391" t="s">
        <v>9567</v>
      </c>
    </row>
    <row r="2948" spans="7:7" x14ac:dyDescent="0.3">
      <c r="G2948" s="391" t="s">
        <v>9567</v>
      </c>
    </row>
    <row r="2949" spans="7:7" x14ac:dyDescent="0.3">
      <c r="G2949" s="391" t="s">
        <v>9567</v>
      </c>
    </row>
    <row r="2950" spans="7:7" x14ac:dyDescent="0.3">
      <c r="G2950" s="391" t="s">
        <v>9567</v>
      </c>
    </row>
    <row r="2951" spans="7:7" x14ac:dyDescent="0.3">
      <c r="G2951" s="391" t="s">
        <v>9567</v>
      </c>
    </row>
    <row r="2952" spans="7:7" x14ac:dyDescent="0.3">
      <c r="G2952" s="391" t="s">
        <v>9567</v>
      </c>
    </row>
    <row r="2953" spans="7:7" x14ac:dyDescent="0.3">
      <c r="G2953" s="391" t="s">
        <v>9567</v>
      </c>
    </row>
    <row r="2954" spans="7:7" x14ac:dyDescent="0.3">
      <c r="G2954" s="391" t="s">
        <v>9567</v>
      </c>
    </row>
    <row r="2955" spans="7:7" x14ac:dyDescent="0.3">
      <c r="G2955" s="391" t="s">
        <v>9567</v>
      </c>
    </row>
    <row r="2956" spans="7:7" x14ac:dyDescent="0.3">
      <c r="G2956" s="391" t="s">
        <v>9567</v>
      </c>
    </row>
    <row r="2957" spans="7:7" x14ac:dyDescent="0.3">
      <c r="G2957" s="391" t="s">
        <v>9567</v>
      </c>
    </row>
    <row r="2958" spans="7:7" x14ac:dyDescent="0.3">
      <c r="G2958" s="391" t="s">
        <v>9567</v>
      </c>
    </row>
    <row r="2959" spans="7:7" x14ac:dyDescent="0.3">
      <c r="G2959" s="391" t="s">
        <v>9567</v>
      </c>
    </row>
    <row r="2960" spans="7:7" x14ac:dyDescent="0.3">
      <c r="G2960" s="391" t="s">
        <v>9567</v>
      </c>
    </row>
    <row r="2961" spans="7:7" x14ac:dyDescent="0.3">
      <c r="G2961" s="391" t="s">
        <v>9567</v>
      </c>
    </row>
    <row r="2962" spans="7:7" x14ac:dyDescent="0.3">
      <c r="G2962" s="391" t="s">
        <v>9567</v>
      </c>
    </row>
    <row r="2963" spans="7:7" x14ac:dyDescent="0.3">
      <c r="G2963" s="391" t="s">
        <v>9567</v>
      </c>
    </row>
    <row r="2964" spans="7:7" x14ac:dyDescent="0.3">
      <c r="G2964" s="391" t="s">
        <v>9567</v>
      </c>
    </row>
    <row r="2965" spans="7:7" x14ac:dyDescent="0.3">
      <c r="G2965" s="391" t="s">
        <v>9567</v>
      </c>
    </row>
    <row r="2966" spans="7:7" x14ac:dyDescent="0.3">
      <c r="G2966" s="391" t="s">
        <v>9567</v>
      </c>
    </row>
    <row r="2967" spans="7:7" x14ac:dyDescent="0.3">
      <c r="G2967" s="391" t="s">
        <v>9567</v>
      </c>
    </row>
    <row r="2968" spans="7:7" x14ac:dyDescent="0.3">
      <c r="G2968" s="391" t="s">
        <v>9567</v>
      </c>
    </row>
    <row r="2969" spans="7:7" x14ac:dyDescent="0.3">
      <c r="G2969" s="391" t="s">
        <v>9567</v>
      </c>
    </row>
    <row r="2970" spans="7:7" x14ac:dyDescent="0.3">
      <c r="G2970" s="391" t="s">
        <v>9567</v>
      </c>
    </row>
    <row r="2971" spans="7:7" x14ac:dyDescent="0.3">
      <c r="G2971" s="391" t="s">
        <v>9567</v>
      </c>
    </row>
    <row r="2972" spans="7:7" x14ac:dyDescent="0.3">
      <c r="G2972" s="391" t="s">
        <v>9567</v>
      </c>
    </row>
    <row r="2973" spans="7:7" x14ac:dyDescent="0.3">
      <c r="G2973" s="391" t="s">
        <v>9567</v>
      </c>
    </row>
    <row r="2974" spans="7:7" x14ac:dyDescent="0.3">
      <c r="G2974" s="391" t="s">
        <v>9567</v>
      </c>
    </row>
    <row r="2975" spans="7:7" x14ac:dyDescent="0.3">
      <c r="G2975" s="391" t="s">
        <v>9567</v>
      </c>
    </row>
    <row r="2976" spans="7:7" x14ac:dyDescent="0.3">
      <c r="G2976" s="391" t="s">
        <v>9567</v>
      </c>
    </row>
    <row r="2977" spans="7:7" x14ac:dyDescent="0.3">
      <c r="G2977" s="391" t="s">
        <v>9567</v>
      </c>
    </row>
    <row r="2978" spans="7:7" x14ac:dyDescent="0.3">
      <c r="G2978" s="391" t="s">
        <v>9567</v>
      </c>
    </row>
    <row r="2979" spans="7:7" x14ac:dyDescent="0.3">
      <c r="G2979" s="391" t="s">
        <v>9567</v>
      </c>
    </row>
    <row r="2980" spans="7:7" x14ac:dyDescent="0.3">
      <c r="G2980" s="391" t="s">
        <v>9567</v>
      </c>
    </row>
    <row r="2981" spans="7:7" x14ac:dyDescent="0.3">
      <c r="G2981" s="391" t="s">
        <v>9567</v>
      </c>
    </row>
    <row r="2982" spans="7:7" x14ac:dyDescent="0.3">
      <c r="G2982" s="391" t="s">
        <v>9567</v>
      </c>
    </row>
    <row r="2983" spans="7:7" x14ac:dyDescent="0.3">
      <c r="G2983" s="391" t="s">
        <v>9567</v>
      </c>
    </row>
    <row r="2984" spans="7:7" x14ac:dyDescent="0.3">
      <c r="G2984" s="391" t="s">
        <v>9567</v>
      </c>
    </row>
    <row r="2985" spans="7:7" x14ac:dyDescent="0.3">
      <c r="G2985" s="391" t="s">
        <v>9567</v>
      </c>
    </row>
    <row r="2986" spans="7:7" x14ac:dyDescent="0.3">
      <c r="G2986" s="391" t="s">
        <v>9567</v>
      </c>
    </row>
    <row r="2987" spans="7:7" x14ac:dyDescent="0.3">
      <c r="G2987" s="391" t="s">
        <v>9567</v>
      </c>
    </row>
    <row r="2988" spans="7:7" x14ac:dyDescent="0.3">
      <c r="G2988" s="391" t="s">
        <v>9567</v>
      </c>
    </row>
    <row r="2989" spans="7:7" x14ac:dyDescent="0.3">
      <c r="G2989" s="391" t="s">
        <v>9567</v>
      </c>
    </row>
    <row r="2990" spans="7:7" x14ac:dyDescent="0.3">
      <c r="G2990" s="391" t="s">
        <v>9567</v>
      </c>
    </row>
    <row r="2991" spans="7:7" x14ac:dyDescent="0.3">
      <c r="G2991" s="391" t="s">
        <v>9567</v>
      </c>
    </row>
    <row r="2992" spans="7:7" x14ac:dyDescent="0.3">
      <c r="G2992" s="391" t="s">
        <v>9567</v>
      </c>
    </row>
    <row r="2993" spans="7:7" x14ac:dyDescent="0.3">
      <c r="G2993" s="391" t="s">
        <v>9567</v>
      </c>
    </row>
    <row r="2994" spans="7:7" x14ac:dyDescent="0.3">
      <c r="G2994" s="391" t="s">
        <v>9567</v>
      </c>
    </row>
    <row r="2995" spans="7:7" x14ac:dyDescent="0.3">
      <c r="G2995" s="391" t="s">
        <v>9567</v>
      </c>
    </row>
    <row r="2996" spans="7:7" x14ac:dyDescent="0.3">
      <c r="G2996" s="391" t="s">
        <v>9567</v>
      </c>
    </row>
    <row r="2997" spans="7:7" x14ac:dyDescent="0.3">
      <c r="G2997" s="391" t="s">
        <v>9567</v>
      </c>
    </row>
    <row r="2998" spans="7:7" x14ac:dyDescent="0.3">
      <c r="G2998" s="391" t="s">
        <v>9567</v>
      </c>
    </row>
    <row r="2999" spans="7:7" x14ac:dyDescent="0.3">
      <c r="G2999" s="391" t="s">
        <v>9567</v>
      </c>
    </row>
    <row r="3000" spans="7:7" x14ac:dyDescent="0.3">
      <c r="G3000" s="391" t="s">
        <v>9567</v>
      </c>
    </row>
    <row r="3001" spans="7:7" x14ac:dyDescent="0.3">
      <c r="G3001" s="391" t="s">
        <v>9567</v>
      </c>
    </row>
    <row r="3002" spans="7:7" x14ac:dyDescent="0.3">
      <c r="G3002" s="391" t="s">
        <v>9567</v>
      </c>
    </row>
    <row r="3003" spans="7:7" x14ac:dyDescent="0.3">
      <c r="G3003" s="391" t="s">
        <v>9567</v>
      </c>
    </row>
    <row r="3004" spans="7:7" x14ac:dyDescent="0.3">
      <c r="G3004" s="391" t="s">
        <v>9567</v>
      </c>
    </row>
    <row r="3005" spans="7:7" x14ac:dyDescent="0.3">
      <c r="G3005" s="391" t="s">
        <v>9567</v>
      </c>
    </row>
    <row r="3006" spans="7:7" x14ac:dyDescent="0.3">
      <c r="G3006" s="391" t="s">
        <v>9567</v>
      </c>
    </row>
    <row r="3007" spans="7:7" x14ac:dyDescent="0.3">
      <c r="G3007" s="391" t="s">
        <v>9567</v>
      </c>
    </row>
    <row r="3008" spans="7:7" x14ac:dyDescent="0.3">
      <c r="G3008" s="391" t="s">
        <v>9567</v>
      </c>
    </row>
    <row r="3009" spans="7:7" x14ac:dyDescent="0.3">
      <c r="G3009" s="391" t="s">
        <v>9567</v>
      </c>
    </row>
    <row r="3010" spans="7:7" x14ac:dyDescent="0.3">
      <c r="G3010" s="391" t="s">
        <v>9567</v>
      </c>
    </row>
    <row r="3011" spans="7:7" x14ac:dyDescent="0.3">
      <c r="G3011" s="391" t="s">
        <v>9567</v>
      </c>
    </row>
    <row r="3012" spans="7:7" x14ac:dyDescent="0.3">
      <c r="G3012" s="391" t="s">
        <v>9567</v>
      </c>
    </row>
    <row r="3013" spans="7:7" x14ac:dyDescent="0.3">
      <c r="G3013" s="391" t="s">
        <v>9567</v>
      </c>
    </row>
    <row r="3014" spans="7:7" x14ac:dyDescent="0.3">
      <c r="G3014" s="391" t="s">
        <v>9567</v>
      </c>
    </row>
    <row r="3015" spans="7:7" x14ac:dyDescent="0.3">
      <c r="G3015" s="391" t="s">
        <v>9567</v>
      </c>
    </row>
    <row r="3016" spans="7:7" x14ac:dyDescent="0.3">
      <c r="G3016" s="391" t="s">
        <v>9567</v>
      </c>
    </row>
    <row r="3017" spans="7:7" x14ac:dyDescent="0.3">
      <c r="G3017" s="391" t="s">
        <v>9567</v>
      </c>
    </row>
    <row r="3018" spans="7:7" x14ac:dyDescent="0.3">
      <c r="G3018" s="391" t="s">
        <v>9567</v>
      </c>
    </row>
    <row r="3019" spans="7:7" x14ac:dyDescent="0.3">
      <c r="G3019" s="391" t="s">
        <v>9567</v>
      </c>
    </row>
    <row r="3020" spans="7:7" x14ac:dyDescent="0.3">
      <c r="G3020" s="391" t="s">
        <v>9567</v>
      </c>
    </row>
    <row r="3021" spans="7:7" x14ac:dyDescent="0.3">
      <c r="G3021" s="391" t="s">
        <v>9567</v>
      </c>
    </row>
    <row r="3022" spans="7:7" x14ac:dyDescent="0.3">
      <c r="G3022" s="391" t="s">
        <v>9567</v>
      </c>
    </row>
    <row r="3023" spans="7:7" x14ac:dyDescent="0.3">
      <c r="G3023" s="391" t="s">
        <v>9567</v>
      </c>
    </row>
    <row r="3024" spans="7:7" x14ac:dyDescent="0.3">
      <c r="G3024" s="391" t="s">
        <v>9567</v>
      </c>
    </row>
    <row r="3025" spans="7:7" x14ac:dyDescent="0.3">
      <c r="G3025" s="391" t="s">
        <v>9567</v>
      </c>
    </row>
    <row r="3026" spans="7:7" x14ac:dyDescent="0.3">
      <c r="G3026" s="391" t="s">
        <v>9567</v>
      </c>
    </row>
    <row r="3027" spans="7:7" x14ac:dyDescent="0.3">
      <c r="G3027" s="391" t="s">
        <v>9567</v>
      </c>
    </row>
    <row r="3028" spans="7:7" x14ac:dyDescent="0.3">
      <c r="G3028" s="391" t="s">
        <v>9567</v>
      </c>
    </row>
    <row r="3029" spans="7:7" x14ac:dyDescent="0.3">
      <c r="G3029" s="391" t="s">
        <v>9567</v>
      </c>
    </row>
    <row r="3030" spans="7:7" x14ac:dyDescent="0.3">
      <c r="G3030" s="391" t="s">
        <v>9567</v>
      </c>
    </row>
    <row r="3031" spans="7:7" x14ac:dyDescent="0.3">
      <c r="G3031" s="391" t="s">
        <v>9567</v>
      </c>
    </row>
    <row r="3032" spans="7:7" x14ac:dyDescent="0.3">
      <c r="G3032" s="391" t="s">
        <v>9567</v>
      </c>
    </row>
    <row r="3033" spans="7:7" x14ac:dyDescent="0.3">
      <c r="G3033" s="391" t="s">
        <v>9567</v>
      </c>
    </row>
    <row r="3034" spans="7:7" x14ac:dyDescent="0.3">
      <c r="G3034" s="391" t="s">
        <v>9567</v>
      </c>
    </row>
    <row r="3035" spans="7:7" x14ac:dyDescent="0.3">
      <c r="G3035" s="391" t="s">
        <v>9567</v>
      </c>
    </row>
    <row r="3036" spans="7:7" x14ac:dyDescent="0.3">
      <c r="G3036" s="391" t="s">
        <v>9567</v>
      </c>
    </row>
    <row r="3037" spans="7:7" x14ac:dyDescent="0.3">
      <c r="G3037" s="391" t="s">
        <v>9567</v>
      </c>
    </row>
    <row r="3038" spans="7:7" x14ac:dyDescent="0.3">
      <c r="G3038" s="391" t="s">
        <v>9567</v>
      </c>
    </row>
    <row r="3039" spans="7:7" x14ac:dyDescent="0.3">
      <c r="G3039" s="391" t="s">
        <v>9567</v>
      </c>
    </row>
    <row r="3040" spans="7:7" x14ac:dyDescent="0.3">
      <c r="G3040" s="391" t="s">
        <v>9567</v>
      </c>
    </row>
    <row r="3041" spans="7:7" x14ac:dyDescent="0.3">
      <c r="G3041" s="391" t="s">
        <v>9567</v>
      </c>
    </row>
    <row r="3042" spans="7:7" x14ac:dyDescent="0.3">
      <c r="G3042" s="391" t="s">
        <v>9567</v>
      </c>
    </row>
    <row r="3043" spans="7:7" x14ac:dyDescent="0.3">
      <c r="G3043" s="391" t="s">
        <v>9567</v>
      </c>
    </row>
    <row r="3044" spans="7:7" x14ac:dyDescent="0.3">
      <c r="G3044" s="391" t="s">
        <v>9567</v>
      </c>
    </row>
    <row r="3045" spans="7:7" x14ac:dyDescent="0.3">
      <c r="G3045" s="391" t="s">
        <v>9567</v>
      </c>
    </row>
    <row r="3046" spans="7:7" x14ac:dyDescent="0.3">
      <c r="G3046" s="391" t="s">
        <v>9567</v>
      </c>
    </row>
    <row r="3047" spans="7:7" x14ac:dyDescent="0.3">
      <c r="G3047" s="391" t="s">
        <v>9567</v>
      </c>
    </row>
    <row r="3048" spans="7:7" x14ac:dyDescent="0.3">
      <c r="G3048" s="391" t="s">
        <v>9567</v>
      </c>
    </row>
    <row r="3049" spans="7:7" x14ac:dyDescent="0.3">
      <c r="G3049" s="391" t="s">
        <v>9567</v>
      </c>
    </row>
    <row r="3050" spans="7:7" x14ac:dyDescent="0.3">
      <c r="G3050" s="391" t="s">
        <v>9567</v>
      </c>
    </row>
    <row r="3051" spans="7:7" x14ac:dyDescent="0.3">
      <c r="G3051" s="391" t="s">
        <v>9567</v>
      </c>
    </row>
    <row r="3052" spans="7:7" x14ac:dyDescent="0.3">
      <c r="G3052" s="391" t="s">
        <v>9567</v>
      </c>
    </row>
    <row r="3053" spans="7:7" x14ac:dyDescent="0.3">
      <c r="G3053" s="391" t="s">
        <v>9567</v>
      </c>
    </row>
    <row r="3054" spans="7:7" x14ac:dyDescent="0.3">
      <c r="G3054" s="391" t="s">
        <v>9567</v>
      </c>
    </row>
    <row r="3055" spans="7:7" x14ac:dyDescent="0.3">
      <c r="G3055" s="391" t="s">
        <v>9567</v>
      </c>
    </row>
    <row r="3056" spans="7:7" x14ac:dyDescent="0.3">
      <c r="G3056" s="391" t="s">
        <v>9567</v>
      </c>
    </row>
    <row r="3057" spans="7:7" x14ac:dyDescent="0.3">
      <c r="G3057" s="391" t="s">
        <v>9567</v>
      </c>
    </row>
    <row r="3058" spans="7:7" x14ac:dyDescent="0.3">
      <c r="G3058" s="391" t="s">
        <v>9567</v>
      </c>
    </row>
    <row r="3059" spans="7:7" x14ac:dyDescent="0.3">
      <c r="G3059" s="391" t="s">
        <v>9567</v>
      </c>
    </row>
    <row r="3060" spans="7:7" x14ac:dyDescent="0.3">
      <c r="G3060" s="391" t="s">
        <v>9567</v>
      </c>
    </row>
    <row r="3061" spans="7:7" x14ac:dyDescent="0.3">
      <c r="G3061" s="391" t="s">
        <v>9567</v>
      </c>
    </row>
    <row r="3062" spans="7:7" x14ac:dyDescent="0.3">
      <c r="G3062" s="391" t="s">
        <v>9567</v>
      </c>
    </row>
    <row r="3063" spans="7:7" x14ac:dyDescent="0.3">
      <c r="G3063" s="391" t="s">
        <v>9567</v>
      </c>
    </row>
    <row r="3064" spans="7:7" x14ac:dyDescent="0.3">
      <c r="G3064" s="391" t="s">
        <v>9567</v>
      </c>
    </row>
    <row r="3065" spans="7:7" x14ac:dyDescent="0.3">
      <c r="G3065" s="391" t="s">
        <v>9567</v>
      </c>
    </row>
    <row r="3066" spans="7:7" x14ac:dyDescent="0.3">
      <c r="G3066" s="391" t="s">
        <v>9567</v>
      </c>
    </row>
    <row r="3067" spans="7:7" x14ac:dyDescent="0.3">
      <c r="G3067" s="391" t="s">
        <v>9567</v>
      </c>
    </row>
    <row r="3068" spans="7:7" x14ac:dyDescent="0.3">
      <c r="G3068" s="391" t="s">
        <v>9567</v>
      </c>
    </row>
    <row r="3069" spans="7:7" x14ac:dyDescent="0.3">
      <c r="G3069" s="391" t="s">
        <v>9567</v>
      </c>
    </row>
    <row r="3070" spans="7:7" x14ac:dyDescent="0.3">
      <c r="G3070" s="391" t="s">
        <v>9567</v>
      </c>
    </row>
    <row r="3071" spans="7:7" x14ac:dyDescent="0.3">
      <c r="G3071" s="391" t="s">
        <v>9567</v>
      </c>
    </row>
    <row r="3072" spans="7:7" x14ac:dyDescent="0.3">
      <c r="G3072" s="391" t="s">
        <v>9567</v>
      </c>
    </row>
    <row r="3073" spans="7:7" x14ac:dyDescent="0.3">
      <c r="G3073" s="391" t="s">
        <v>9567</v>
      </c>
    </row>
    <row r="3074" spans="7:7" x14ac:dyDescent="0.3">
      <c r="G3074" s="391" t="s">
        <v>9567</v>
      </c>
    </row>
    <row r="3075" spans="7:7" x14ac:dyDescent="0.3">
      <c r="G3075" s="391" t="s">
        <v>9567</v>
      </c>
    </row>
    <row r="3076" spans="7:7" x14ac:dyDescent="0.3">
      <c r="G3076" s="391" t="s">
        <v>9567</v>
      </c>
    </row>
    <row r="3077" spans="7:7" x14ac:dyDescent="0.3">
      <c r="G3077" s="391" t="s">
        <v>9567</v>
      </c>
    </row>
    <row r="3078" spans="7:7" x14ac:dyDescent="0.3">
      <c r="G3078" s="391" t="s">
        <v>9567</v>
      </c>
    </row>
    <row r="3079" spans="7:7" x14ac:dyDescent="0.3">
      <c r="G3079" s="391" t="s">
        <v>9567</v>
      </c>
    </row>
    <row r="3080" spans="7:7" x14ac:dyDescent="0.3">
      <c r="G3080" s="391" t="s">
        <v>9567</v>
      </c>
    </row>
    <row r="3081" spans="7:7" x14ac:dyDescent="0.3">
      <c r="G3081" s="391" t="s">
        <v>9567</v>
      </c>
    </row>
    <row r="3082" spans="7:7" x14ac:dyDescent="0.3">
      <c r="G3082" s="391" t="s">
        <v>9567</v>
      </c>
    </row>
    <row r="3083" spans="7:7" x14ac:dyDescent="0.3">
      <c r="G3083" s="391" t="s">
        <v>9567</v>
      </c>
    </row>
    <row r="3084" spans="7:7" x14ac:dyDescent="0.3">
      <c r="G3084" s="391" t="s">
        <v>9567</v>
      </c>
    </row>
    <row r="3085" spans="7:7" x14ac:dyDescent="0.3">
      <c r="G3085" s="391" t="s">
        <v>9567</v>
      </c>
    </row>
    <row r="3086" spans="7:7" x14ac:dyDescent="0.3">
      <c r="G3086" s="391" t="s">
        <v>9567</v>
      </c>
    </row>
    <row r="3087" spans="7:7" x14ac:dyDescent="0.3">
      <c r="G3087" s="391" t="s">
        <v>9567</v>
      </c>
    </row>
    <row r="3088" spans="7:7" x14ac:dyDescent="0.3">
      <c r="G3088" s="391" t="s">
        <v>9567</v>
      </c>
    </row>
    <row r="3089" spans="7:7" x14ac:dyDescent="0.3">
      <c r="G3089" s="391" t="s">
        <v>9567</v>
      </c>
    </row>
    <row r="3090" spans="7:7" x14ac:dyDescent="0.3">
      <c r="G3090" s="391" t="s">
        <v>9567</v>
      </c>
    </row>
    <row r="3091" spans="7:7" x14ac:dyDescent="0.3">
      <c r="G3091" s="391" t="s">
        <v>9567</v>
      </c>
    </row>
    <row r="3092" spans="7:7" x14ac:dyDescent="0.3">
      <c r="G3092" s="391" t="s">
        <v>9567</v>
      </c>
    </row>
    <row r="3093" spans="7:7" x14ac:dyDescent="0.3">
      <c r="G3093" s="391" t="s">
        <v>9567</v>
      </c>
    </row>
    <row r="3094" spans="7:7" x14ac:dyDescent="0.3">
      <c r="G3094" s="391" t="s">
        <v>9567</v>
      </c>
    </row>
    <row r="3095" spans="7:7" x14ac:dyDescent="0.3">
      <c r="G3095" s="391" t="s">
        <v>9567</v>
      </c>
    </row>
    <row r="3096" spans="7:7" x14ac:dyDescent="0.3">
      <c r="G3096" s="391" t="s">
        <v>9567</v>
      </c>
    </row>
    <row r="3097" spans="7:7" x14ac:dyDescent="0.3">
      <c r="G3097" s="391" t="s">
        <v>9567</v>
      </c>
    </row>
    <row r="3098" spans="7:7" x14ac:dyDescent="0.3">
      <c r="G3098" s="391" t="s">
        <v>9567</v>
      </c>
    </row>
    <row r="3099" spans="7:7" x14ac:dyDescent="0.3">
      <c r="G3099" s="391" t="s">
        <v>9567</v>
      </c>
    </row>
    <row r="3100" spans="7:7" x14ac:dyDescent="0.3">
      <c r="G3100" s="391" t="s">
        <v>9567</v>
      </c>
    </row>
    <row r="3101" spans="7:7" x14ac:dyDescent="0.3">
      <c r="G3101" s="391" t="s">
        <v>9567</v>
      </c>
    </row>
    <row r="3102" spans="7:7" x14ac:dyDescent="0.3">
      <c r="G3102" s="391" t="s">
        <v>9567</v>
      </c>
    </row>
    <row r="3103" spans="7:7" x14ac:dyDescent="0.3">
      <c r="G3103" s="391" t="s">
        <v>9567</v>
      </c>
    </row>
    <row r="3104" spans="7:7" x14ac:dyDescent="0.3">
      <c r="G3104" s="391" t="s">
        <v>9567</v>
      </c>
    </row>
    <row r="3105" spans="7:7" x14ac:dyDescent="0.3">
      <c r="G3105" s="391" t="s">
        <v>9567</v>
      </c>
    </row>
    <row r="3106" spans="7:7" x14ac:dyDescent="0.3">
      <c r="G3106" s="391" t="s">
        <v>9567</v>
      </c>
    </row>
    <row r="3107" spans="7:7" x14ac:dyDescent="0.3">
      <c r="G3107" s="391" t="s">
        <v>9567</v>
      </c>
    </row>
    <row r="3108" spans="7:7" x14ac:dyDescent="0.3">
      <c r="G3108" s="391" t="s">
        <v>9567</v>
      </c>
    </row>
    <row r="3109" spans="7:7" x14ac:dyDescent="0.3">
      <c r="G3109" s="391" t="s">
        <v>9567</v>
      </c>
    </row>
    <row r="3110" spans="7:7" x14ac:dyDescent="0.3">
      <c r="G3110" s="391" t="s">
        <v>9567</v>
      </c>
    </row>
    <row r="3111" spans="7:7" x14ac:dyDescent="0.3">
      <c r="G3111" s="391" t="s">
        <v>9567</v>
      </c>
    </row>
    <row r="3112" spans="7:7" x14ac:dyDescent="0.3">
      <c r="G3112" s="391" t="s">
        <v>9567</v>
      </c>
    </row>
    <row r="3113" spans="7:7" x14ac:dyDescent="0.3">
      <c r="G3113" s="391" t="s">
        <v>9567</v>
      </c>
    </row>
    <row r="3114" spans="7:7" x14ac:dyDescent="0.3">
      <c r="G3114" s="391" t="s">
        <v>9567</v>
      </c>
    </row>
    <row r="3115" spans="7:7" x14ac:dyDescent="0.3">
      <c r="G3115" s="391" t="s">
        <v>9567</v>
      </c>
    </row>
    <row r="3116" spans="7:7" x14ac:dyDescent="0.3">
      <c r="G3116" s="391" t="s">
        <v>9567</v>
      </c>
    </row>
    <row r="3117" spans="7:7" x14ac:dyDescent="0.3">
      <c r="G3117" s="391" t="s">
        <v>9567</v>
      </c>
    </row>
    <row r="3118" spans="7:7" x14ac:dyDescent="0.3">
      <c r="G3118" s="391" t="s">
        <v>9567</v>
      </c>
    </row>
    <row r="3119" spans="7:7" x14ac:dyDescent="0.3">
      <c r="G3119" s="391" t="s">
        <v>9567</v>
      </c>
    </row>
    <row r="3120" spans="7:7" x14ac:dyDescent="0.3">
      <c r="G3120" s="391" t="s">
        <v>9567</v>
      </c>
    </row>
    <row r="3121" spans="7:7" x14ac:dyDescent="0.3">
      <c r="G3121" s="391" t="s">
        <v>9567</v>
      </c>
    </row>
    <row r="3122" spans="7:7" x14ac:dyDescent="0.3">
      <c r="G3122" s="391" t="s">
        <v>9567</v>
      </c>
    </row>
    <row r="3123" spans="7:7" x14ac:dyDescent="0.3">
      <c r="G3123" s="391" t="s">
        <v>9567</v>
      </c>
    </row>
    <row r="3124" spans="7:7" x14ac:dyDescent="0.3">
      <c r="G3124" s="391" t="s">
        <v>9567</v>
      </c>
    </row>
    <row r="3125" spans="7:7" x14ac:dyDescent="0.3">
      <c r="G3125" s="391" t="s">
        <v>9567</v>
      </c>
    </row>
    <row r="3126" spans="7:7" x14ac:dyDescent="0.3">
      <c r="G3126" s="391" t="s">
        <v>9567</v>
      </c>
    </row>
    <row r="3127" spans="7:7" x14ac:dyDescent="0.3">
      <c r="G3127" s="391" t="s">
        <v>9567</v>
      </c>
    </row>
    <row r="3128" spans="7:7" x14ac:dyDescent="0.3">
      <c r="G3128" s="391" t="s">
        <v>9567</v>
      </c>
    </row>
    <row r="3129" spans="7:7" x14ac:dyDescent="0.3">
      <c r="G3129" s="391" t="s">
        <v>9567</v>
      </c>
    </row>
    <row r="3130" spans="7:7" x14ac:dyDescent="0.3">
      <c r="G3130" s="391" t="s">
        <v>9567</v>
      </c>
    </row>
    <row r="3131" spans="7:7" x14ac:dyDescent="0.3">
      <c r="G3131" s="391" t="s">
        <v>9567</v>
      </c>
    </row>
    <row r="3132" spans="7:7" x14ac:dyDescent="0.3">
      <c r="G3132" s="391" t="s">
        <v>9567</v>
      </c>
    </row>
    <row r="3133" spans="7:7" x14ac:dyDescent="0.3">
      <c r="G3133" s="391" t="s">
        <v>9567</v>
      </c>
    </row>
    <row r="3134" spans="7:7" x14ac:dyDescent="0.3">
      <c r="G3134" s="391" t="s">
        <v>9567</v>
      </c>
    </row>
    <row r="3135" spans="7:7" x14ac:dyDescent="0.3">
      <c r="G3135" s="391" t="s">
        <v>9567</v>
      </c>
    </row>
    <row r="3136" spans="7:7" x14ac:dyDescent="0.3">
      <c r="G3136" s="391" t="s">
        <v>9567</v>
      </c>
    </row>
    <row r="3137" spans="7:7" x14ac:dyDescent="0.3">
      <c r="G3137" s="391" t="s">
        <v>9567</v>
      </c>
    </row>
    <row r="3138" spans="7:7" x14ac:dyDescent="0.3">
      <c r="G3138" s="391" t="s">
        <v>9567</v>
      </c>
    </row>
    <row r="3139" spans="7:7" x14ac:dyDescent="0.3">
      <c r="G3139" s="391" t="s">
        <v>9567</v>
      </c>
    </row>
    <row r="3140" spans="7:7" x14ac:dyDescent="0.3">
      <c r="G3140" s="391" t="s">
        <v>9567</v>
      </c>
    </row>
    <row r="3141" spans="7:7" x14ac:dyDescent="0.3">
      <c r="G3141" s="391" t="s">
        <v>9567</v>
      </c>
    </row>
    <row r="3142" spans="7:7" x14ac:dyDescent="0.3">
      <c r="G3142" s="391" t="s">
        <v>9567</v>
      </c>
    </row>
    <row r="3143" spans="7:7" x14ac:dyDescent="0.3">
      <c r="G3143" s="391" t="s">
        <v>9567</v>
      </c>
    </row>
    <row r="3144" spans="7:7" x14ac:dyDescent="0.3">
      <c r="G3144" s="391" t="s">
        <v>9567</v>
      </c>
    </row>
    <row r="3145" spans="7:7" x14ac:dyDescent="0.3">
      <c r="G3145" s="391" t="s">
        <v>9567</v>
      </c>
    </row>
    <row r="3146" spans="7:7" x14ac:dyDescent="0.3">
      <c r="G3146" s="391" t="s">
        <v>9567</v>
      </c>
    </row>
    <row r="3147" spans="7:7" x14ac:dyDescent="0.3">
      <c r="G3147" s="391" t="s">
        <v>9567</v>
      </c>
    </row>
    <row r="3148" spans="7:7" x14ac:dyDescent="0.3">
      <c r="G3148" s="391" t="s">
        <v>9567</v>
      </c>
    </row>
    <row r="3149" spans="7:7" x14ac:dyDescent="0.3">
      <c r="G3149" s="391" t="s">
        <v>9567</v>
      </c>
    </row>
    <row r="3150" spans="7:7" x14ac:dyDescent="0.3">
      <c r="G3150" s="391" t="s">
        <v>9567</v>
      </c>
    </row>
    <row r="3151" spans="7:7" x14ac:dyDescent="0.3">
      <c r="G3151" s="391" t="s">
        <v>9567</v>
      </c>
    </row>
    <row r="3152" spans="7:7" x14ac:dyDescent="0.3">
      <c r="G3152" s="391" t="s">
        <v>9567</v>
      </c>
    </row>
    <row r="3153" spans="7:7" x14ac:dyDescent="0.3">
      <c r="G3153" s="391" t="s">
        <v>9567</v>
      </c>
    </row>
    <row r="3154" spans="7:7" x14ac:dyDescent="0.3">
      <c r="G3154" s="391" t="s">
        <v>9567</v>
      </c>
    </row>
    <row r="3155" spans="7:7" x14ac:dyDescent="0.3">
      <c r="G3155" s="391" t="s">
        <v>9567</v>
      </c>
    </row>
    <row r="3156" spans="7:7" x14ac:dyDescent="0.3">
      <c r="G3156" s="391" t="s">
        <v>9567</v>
      </c>
    </row>
    <row r="3157" spans="7:7" x14ac:dyDescent="0.3">
      <c r="G3157" s="391" t="s">
        <v>9567</v>
      </c>
    </row>
    <row r="3158" spans="7:7" x14ac:dyDescent="0.3">
      <c r="G3158" s="391" t="s">
        <v>9567</v>
      </c>
    </row>
    <row r="3159" spans="7:7" x14ac:dyDescent="0.3">
      <c r="G3159" s="391" t="s">
        <v>9567</v>
      </c>
    </row>
    <row r="3160" spans="7:7" x14ac:dyDescent="0.3">
      <c r="G3160" s="391" t="s">
        <v>9567</v>
      </c>
    </row>
    <row r="3161" spans="7:7" x14ac:dyDescent="0.3">
      <c r="G3161" s="391" t="s">
        <v>9567</v>
      </c>
    </row>
    <row r="3162" spans="7:7" x14ac:dyDescent="0.3">
      <c r="G3162" s="391" t="s">
        <v>9567</v>
      </c>
    </row>
    <row r="3163" spans="7:7" x14ac:dyDescent="0.3">
      <c r="G3163" s="391" t="s">
        <v>9567</v>
      </c>
    </row>
    <row r="3164" spans="7:7" x14ac:dyDescent="0.3">
      <c r="G3164" s="391" t="s">
        <v>9567</v>
      </c>
    </row>
    <row r="3165" spans="7:7" x14ac:dyDescent="0.3">
      <c r="G3165" s="391" t="s">
        <v>9567</v>
      </c>
    </row>
    <row r="3166" spans="7:7" x14ac:dyDescent="0.3">
      <c r="G3166" s="391" t="s">
        <v>9567</v>
      </c>
    </row>
    <row r="3167" spans="7:7" x14ac:dyDescent="0.3">
      <c r="G3167" s="391" t="s">
        <v>9567</v>
      </c>
    </row>
    <row r="3168" spans="7:7" x14ac:dyDescent="0.3">
      <c r="G3168" s="391" t="s">
        <v>9567</v>
      </c>
    </row>
    <row r="3169" spans="7:7" x14ac:dyDescent="0.3">
      <c r="G3169" s="391" t="s">
        <v>9567</v>
      </c>
    </row>
    <row r="3170" spans="7:7" x14ac:dyDescent="0.3">
      <c r="G3170" s="391" t="s">
        <v>9567</v>
      </c>
    </row>
    <row r="3171" spans="7:7" x14ac:dyDescent="0.3">
      <c r="G3171" s="391" t="s">
        <v>9567</v>
      </c>
    </row>
    <row r="3172" spans="7:7" x14ac:dyDescent="0.3">
      <c r="G3172" s="391" t="s">
        <v>9567</v>
      </c>
    </row>
    <row r="3173" spans="7:7" x14ac:dyDescent="0.3">
      <c r="G3173" s="391" t="s">
        <v>9567</v>
      </c>
    </row>
    <row r="3174" spans="7:7" x14ac:dyDescent="0.3">
      <c r="G3174" s="391" t="s">
        <v>9567</v>
      </c>
    </row>
    <row r="3175" spans="7:7" x14ac:dyDescent="0.3">
      <c r="G3175" s="391" t="s">
        <v>9567</v>
      </c>
    </row>
    <row r="3176" spans="7:7" x14ac:dyDescent="0.3">
      <c r="G3176" s="391" t="s">
        <v>9567</v>
      </c>
    </row>
    <row r="3177" spans="7:7" x14ac:dyDescent="0.3">
      <c r="G3177" s="391" t="s">
        <v>9567</v>
      </c>
    </row>
    <row r="3178" spans="7:7" x14ac:dyDescent="0.3">
      <c r="G3178" s="391" t="s">
        <v>9567</v>
      </c>
    </row>
    <row r="3179" spans="7:7" x14ac:dyDescent="0.3">
      <c r="G3179" s="391" t="s">
        <v>9567</v>
      </c>
    </row>
    <row r="3180" spans="7:7" x14ac:dyDescent="0.3">
      <c r="G3180" s="391" t="s">
        <v>9567</v>
      </c>
    </row>
    <row r="3181" spans="7:7" x14ac:dyDescent="0.3">
      <c r="G3181" s="391" t="s">
        <v>9567</v>
      </c>
    </row>
    <row r="3182" spans="7:7" x14ac:dyDescent="0.3">
      <c r="G3182" s="391" t="s">
        <v>9567</v>
      </c>
    </row>
    <row r="3183" spans="7:7" x14ac:dyDescent="0.3">
      <c r="G3183" s="391" t="s">
        <v>9567</v>
      </c>
    </row>
    <row r="3184" spans="7:7" x14ac:dyDescent="0.3">
      <c r="G3184" s="391" t="s">
        <v>9567</v>
      </c>
    </row>
    <row r="3185" spans="7:7" x14ac:dyDescent="0.3">
      <c r="G3185" s="391" t="s">
        <v>9567</v>
      </c>
    </row>
    <row r="3186" spans="7:7" x14ac:dyDescent="0.3">
      <c r="G3186" s="391" t="s">
        <v>9567</v>
      </c>
    </row>
    <row r="3187" spans="7:7" x14ac:dyDescent="0.3">
      <c r="G3187" s="391" t="s">
        <v>9567</v>
      </c>
    </row>
    <row r="3188" spans="7:7" x14ac:dyDescent="0.3">
      <c r="G3188" s="391" t="s">
        <v>9567</v>
      </c>
    </row>
    <row r="3189" spans="7:7" x14ac:dyDescent="0.3">
      <c r="G3189" s="391" t="s">
        <v>9567</v>
      </c>
    </row>
    <row r="3190" spans="7:7" x14ac:dyDescent="0.3">
      <c r="G3190" s="391" t="s">
        <v>9567</v>
      </c>
    </row>
    <row r="3191" spans="7:7" x14ac:dyDescent="0.3">
      <c r="G3191" s="391" t="s">
        <v>9567</v>
      </c>
    </row>
    <row r="3192" spans="7:7" x14ac:dyDescent="0.3">
      <c r="G3192" s="391" t="s">
        <v>9567</v>
      </c>
    </row>
    <row r="3193" spans="7:7" x14ac:dyDescent="0.3">
      <c r="G3193" s="391" t="s">
        <v>9567</v>
      </c>
    </row>
    <row r="3194" spans="7:7" x14ac:dyDescent="0.3">
      <c r="G3194" s="391" t="s">
        <v>9567</v>
      </c>
    </row>
    <row r="3195" spans="7:7" x14ac:dyDescent="0.3">
      <c r="G3195" s="391" t="s">
        <v>9567</v>
      </c>
    </row>
    <row r="3196" spans="7:7" x14ac:dyDescent="0.3">
      <c r="G3196" s="391" t="s">
        <v>9567</v>
      </c>
    </row>
    <row r="3197" spans="7:7" x14ac:dyDescent="0.3">
      <c r="G3197" s="391" t="s">
        <v>9567</v>
      </c>
    </row>
    <row r="3198" spans="7:7" x14ac:dyDescent="0.3">
      <c r="G3198" s="391" t="s">
        <v>9567</v>
      </c>
    </row>
    <row r="3199" spans="7:7" x14ac:dyDescent="0.3">
      <c r="G3199" s="391" t="s">
        <v>9567</v>
      </c>
    </row>
    <row r="3200" spans="7:7" x14ac:dyDescent="0.3">
      <c r="G3200" s="391" t="s">
        <v>9567</v>
      </c>
    </row>
    <row r="3201" spans="7:7" x14ac:dyDescent="0.3">
      <c r="G3201" s="391" t="s">
        <v>9567</v>
      </c>
    </row>
    <row r="3202" spans="7:7" x14ac:dyDescent="0.3">
      <c r="G3202" s="391" t="s">
        <v>9567</v>
      </c>
    </row>
    <row r="3203" spans="7:7" x14ac:dyDescent="0.3">
      <c r="G3203" s="391" t="s">
        <v>9567</v>
      </c>
    </row>
    <row r="3204" spans="7:7" x14ac:dyDescent="0.3">
      <c r="G3204" s="391" t="s">
        <v>9567</v>
      </c>
    </row>
    <row r="3205" spans="7:7" x14ac:dyDescent="0.3">
      <c r="G3205" s="391" t="s">
        <v>9567</v>
      </c>
    </row>
    <row r="3206" spans="7:7" x14ac:dyDescent="0.3">
      <c r="G3206" s="391" t="s">
        <v>9567</v>
      </c>
    </row>
    <row r="3207" spans="7:7" x14ac:dyDescent="0.3">
      <c r="G3207" s="391" t="s">
        <v>9567</v>
      </c>
    </row>
    <row r="3208" spans="7:7" x14ac:dyDescent="0.3">
      <c r="G3208" s="391" t="s">
        <v>9567</v>
      </c>
    </row>
    <row r="3209" spans="7:7" x14ac:dyDescent="0.3">
      <c r="G3209" s="391" t="s">
        <v>9567</v>
      </c>
    </row>
    <row r="3210" spans="7:7" x14ac:dyDescent="0.3">
      <c r="G3210" s="391" t="s">
        <v>9567</v>
      </c>
    </row>
    <row r="3211" spans="7:7" x14ac:dyDescent="0.3">
      <c r="G3211" s="391" t="s">
        <v>9567</v>
      </c>
    </row>
    <row r="3212" spans="7:7" x14ac:dyDescent="0.3">
      <c r="G3212" s="391" t="s">
        <v>9567</v>
      </c>
    </row>
    <row r="3213" spans="7:7" x14ac:dyDescent="0.3">
      <c r="G3213" s="391" t="s">
        <v>9567</v>
      </c>
    </row>
    <row r="3214" spans="7:7" x14ac:dyDescent="0.3">
      <c r="G3214" s="391" t="s">
        <v>9567</v>
      </c>
    </row>
    <row r="3215" spans="7:7" x14ac:dyDescent="0.3">
      <c r="G3215" s="391" t="s">
        <v>9567</v>
      </c>
    </row>
    <row r="3216" spans="7:7" x14ac:dyDescent="0.3">
      <c r="G3216" s="391" t="s">
        <v>9567</v>
      </c>
    </row>
    <row r="3217" spans="7:7" x14ac:dyDescent="0.3">
      <c r="G3217" s="391" t="s">
        <v>9567</v>
      </c>
    </row>
    <row r="3218" spans="7:7" x14ac:dyDescent="0.3">
      <c r="G3218" s="391" t="s">
        <v>9567</v>
      </c>
    </row>
    <row r="3219" spans="7:7" x14ac:dyDescent="0.3">
      <c r="G3219" s="391" t="s">
        <v>9567</v>
      </c>
    </row>
    <row r="3220" spans="7:7" x14ac:dyDescent="0.3">
      <c r="G3220" s="391" t="s">
        <v>9567</v>
      </c>
    </row>
    <row r="3221" spans="7:7" x14ac:dyDescent="0.3">
      <c r="G3221" s="391" t="s">
        <v>9567</v>
      </c>
    </row>
    <row r="3222" spans="7:7" x14ac:dyDescent="0.3">
      <c r="G3222" s="391" t="s">
        <v>9567</v>
      </c>
    </row>
    <row r="3223" spans="7:7" x14ac:dyDescent="0.3">
      <c r="G3223" s="391" t="s">
        <v>9567</v>
      </c>
    </row>
    <row r="3224" spans="7:7" x14ac:dyDescent="0.3">
      <c r="G3224" s="391" t="s">
        <v>9567</v>
      </c>
    </row>
    <row r="3225" spans="7:7" x14ac:dyDescent="0.3">
      <c r="G3225" s="391" t="s">
        <v>9567</v>
      </c>
    </row>
    <row r="3226" spans="7:7" x14ac:dyDescent="0.3">
      <c r="G3226" s="391" t="s">
        <v>9567</v>
      </c>
    </row>
    <row r="3227" spans="7:7" x14ac:dyDescent="0.3">
      <c r="G3227" s="391" t="s">
        <v>9567</v>
      </c>
    </row>
    <row r="3228" spans="7:7" x14ac:dyDescent="0.3">
      <c r="G3228" s="391" t="s">
        <v>9567</v>
      </c>
    </row>
    <row r="3229" spans="7:7" x14ac:dyDescent="0.3">
      <c r="G3229" s="391" t="s">
        <v>9567</v>
      </c>
    </row>
    <row r="3230" spans="7:7" x14ac:dyDescent="0.3">
      <c r="G3230" s="391" t="s">
        <v>9567</v>
      </c>
    </row>
    <row r="3231" spans="7:7" x14ac:dyDescent="0.3">
      <c r="G3231" s="391" t="s">
        <v>9567</v>
      </c>
    </row>
    <row r="3232" spans="7:7" x14ac:dyDescent="0.3">
      <c r="G3232" s="391" t="s">
        <v>9567</v>
      </c>
    </row>
    <row r="3233" spans="7:7" x14ac:dyDescent="0.3">
      <c r="G3233" s="391" t="s">
        <v>9567</v>
      </c>
    </row>
    <row r="3234" spans="7:7" x14ac:dyDescent="0.3">
      <c r="G3234" s="391" t="s">
        <v>9567</v>
      </c>
    </row>
    <row r="3235" spans="7:7" x14ac:dyDescent="0.3">
      <c r="G3235" s="391" t="s">
        <v>9567</v>
      </c>
    </row>
    <row r="3236" spans="7:7" x14ac:dyDescent="0.3">
      <c r="G3236" s="391" t="s">
        <v>9567</v>
      </c>
    </row>
    <row r="3237" spans="7:7" x14ac:dyDescent="0.3">
      <c r="G3237" s="391" t="s">
        <v>9567</v>
      </c>
    </row>
    <row r="3238" spans="7:7" x14ac:dyDescent="0.3">
      <c r="G3238" s="391" t="s">
        <v>9567</v>
      </c>
    </row>
    <row r="3239" spans="7:7" x14ac:dyDescent="0.3">
      <c r="G3239" s="391" t="s">
        <v>9567</v>
      </c>
    </row>
    <row r="3240" spans="7:7" x14ac:dyDescent="0.3">
      <c r="G3240" s="391" t="s">
        <v>9567</v>
      </c>
    </row>
    <row r="3241" spans="7:7" x14ac:dyDescent="0.3">
      <c r="G3241" s="391" t="s">
        <v>9567</v>
      </c>
    </row>
    <row r="3242" spans="7:7" x14ac:dyDescent="0.3">
      <c r="G3242" s="391" t="s">
        <v>9567</v>
      </c>
    </row>
    <row r="3243" spans="7:7" x14ac:dyDescent="0.3">
      <c r="G3243" s="391" t="s">
        <v>9567</v>
      </c>
    </row>
    <row r="3244" spans="7:7" x14ac:dyDescent="0.3">
      <c r="G3244" s="391" t="s">
        <v>9567</v>
      </c>
    </row>
    <row r="3245" spans="7:7" x14ac:dyDescent="0.3">
      <c r="G3245" s="391" t="s">
        <v>9567</v>
      </c>
    </row>
    <row r="3246" spans="7:7" x14ac:dyDescent="0.3">
      <c r="G3246" s="391" t="s">
        <v>9567</v>
      </c>
    </row>
    <row r="3247" spans="7:7" x14ac:dyDescent="0.3">
      <c r="G3247" s="391" t="s">
        <v>9567</v>
      </c>
    </row>
    <row r="3248" spans="7:7" x14ac:dyDescent="0.3">
      <c r="G3248" s="391" t="s">
        <v>9567</v>
      </c>
    </row>
    <row r="3249" spans="7:7" x14ac:dyDescent="0.3">
      <c r="G3249" s="391" t="s">
        <v>9567</v>
      </c>
    </row>
    <row r="3250" spans="7:7" x14ac:dyDescent="0.3">
      <c r="G3250" s="391" t="s">
        <v>9567</v>
      </c>
    </row>
    <row r="3251" spans="7:7" x14ac:dyDescent="0.3">
      <c r="G3251" s="391" t="s">
        <v>9567</v>
      </c>
    </row>
    <row r="3252" spans="7:7" x14ac:dyDescent="0.3">
      <c r="G3252" s="391" t="s">
        <v>9567</v>
      </c>
    </row>
    <row r="3253" spans="7:7" x14ac:dyDescent="0.3">
      <c r="G3253" s="391" t="s">
        <v>9567</v>
      </c>
    </row>
    <row r="3254" spans="7:7" x14ac:dyDescent="0.3">
      <c r="G3254" s="391" t="s">
        <v>9567</v>
      </c>
    </row>
    <row r="3255" spans="7:7" x14ac:dyDescent="0.3">
      <c r="G3255" s="391" t="s">
        <v>9567</v>
      </c>
    </row>
    <row r="3256" spans="7:7" x14ac:dyDescent="0.3">
      <c r="G3256" s="391" t="s">
        <v>9567</v>
      </c>
    </row>
    <row r="3257" spans="7:7" x14ac:dyDescent="0.3">
      <c r="G3257" s="391" t="s">
        <v>9567</v>
      </c>
    </row>
    <row r="3258" spans="7:7" x14ac:dyDescent="0.3">
      <c r="G3258" s="391" t="s">
        <v>9567</v>
      </c>
    </row>
    <row r="3259" spans="7:7" x14ac:dyDescent="0.3">
      <c r="G3259" s="391" t="s">
        <v>9567</v>
      </c>
    </row>
    <row r="3260" spans="7:7" x14ac:dyDescent="0.3">
      <c r="G3260" s="391" t="s">
        <v>9567</v>
      </c>
    </row>
    <row r="3261" spans="7:7" x14ac:dyDescent="0.3">
      <c r="G3261" s="391" t="s">
        <v>9567</v>
      </c>
    </row>
    <row r="3262" spans="7:7" x14ac:dyDescent="0.3">
      <c r="G3262" s="391" t="s">
        <v>9567</v>
      </c>
    </row>
    <row r="3263" spans="7:7" x14ac:dyDescent="0.3">
      <c r="G3263" s="391" t="s">
        <v>9567</v>
      </c>
    </row>
    <row r="3264" spans="7:7" x14ac:dyDescent="0.3">
      <c r="G3264" s="391" t="s">
        <v>9567</v>
      </c>
    </row>
    <row r="3265" spans="7:7" x14ac:dyDescent="0.3">
      <c r="G3265" s="391" t="s">
        <v>9567</v>
      </c>
    </row>
    <row r="3266" spans="7:7" x14ac:dyDescent="0.3">
      <c r="G3266" s="391" t="s">
        <v>9567</v>
      </c>
    </row>
    <row r="3267" spans="7:7" x14ac:dyDescent="0.3">
      <c r="G3267" s="391" t="s">
        <v>9567</v>
      </c>
    </row>
    <row r="3268" spans="7:7" x14ac:dyDescent="0.3">
      <c r="G3268" s="391" t="s">
        <v>9567</v>
      </c>
    </row>
    <row r="3269" spans="7:7" x14ac:dyDescent="0.3">
      <c r="G3269" s="391" t="s">
        <v>9567</v>
      </c>
    </row>
    <row r="3270" spans="7:7" x14ac:dyDescent="0.3">
      <c r="G3270" s="391" t="s">
        <v>9567</v>
      </c>
    </row>
    <row r="3271" spans="7:7" x14ac:dyDescent="0.3">
      <c r="G3271" s="391" t="s">
        <v>9567</v>
      </c>
    </row>
    <row r="3272" spans="7:7" x14ac:dyDescent="0.3">
      <c r="G3272" s="391" t="s">
        <v>9567</v>
      </c>
    </row>
    <row r="3273" spans="7:7" x14ac:dyDescent="0.3">
      <c r="G3273" s="391" t="s">
        <v>9567</v>
      </c>
    </row>
    <row r="3274" spans="7:7" x14ac:dyDescent="0.3">
      <c r="G3274" s="391" t="s">
        <v>9567</v>
      </c>
    </row>
    <row r="3275" spans="7:7" x14ac:dyDescent="0.3">
      <c r="G3275" s="391" t="s">
        <v>9567</v>
      </c>
    </row>
    <row r="3276" spans="7:7" x14ac:dyDescent="0.3">
      <c r="G3276" s="391" t="s">
        <v>9567</v>
      </c>
    </row>
    <row r="3277" spans="7:7" x14ac:dyDescent="0.3">
      <c r="G3277" s="391" t="s">
        <v>9567</v>
      </c>
    </row>
    <row r="3278" spans="7:7" x14ac:dyDescent="0.3">
      <c r="G3278" s="391" t="s">
        <v>9567</v>
      </c>
    </row>
    <row r="3279" spans="7:7" x14ac:dyDescent="0.3">
      <c r="G3279" s="391" t="s">
        <v>9567</v>
      </c>
    </row>
    <row r="3280" spans="7:7" x14ac:dyDescent="0.3">
      <c r="G3280" s="391" t="s">
        <v>9567</v>
      </c>
    </row>
    <row r="3281" spans="7:7" x14ac:dyDescent="0.3">
      <c r="G3281" s="391" t="s">
        <v>9567</v>
      </c>
    </row>
    <row r="3282" spans="7:7" x14ac:dyDescent="0.3">
      <c r="G3282" s="391" t="s">
        <v>9567</v>
      </c>
    </row>
    <row r="3283" spans="7:7" x14ac:dyDescent="0.3">
      <c r="G3283" s="391" t="s">
        <v>9567</v>
      </c>
    </row>
    <row r="3284" spans="7:7" x14ac:dyDescent="0.3">
      <c r="G3284" s="391" t="s">
        <v>9567</v>
      </c>
    </row>
    <row r="3285" spans="7:7" x14ac:dyDescent="0.3">
      <c r="G3285" s="391" t="s">
        <v>9567</v>
      </c>
    </row>
    <row r="3286" spans="7:7" x14ac:dyDescent="0.3">
      <c r="G3286" s="391" t="s">
        <v>9567</v>
      </c>
    </row>
    <row r="3287" spans="7:7" x14ac:dyDescent="0.3">
      <c r="G3287" s="391" t="s">
        <v>9567</v>
      </c>
    </row>
    <row r="3288" spans="7:7" x14ac:dyDescent="0.3">
      <c r="G3288" s="391" t="s">
        <v>9567</v>
      </c>
    </row>
    <row r="3289" spans="7:7" x14ac:dyDescent="0.3">
      <c r="G3289" s="391" t="s">
        <v>9567</v>
      </c>
    </row>
    <row r="3290" spans="7:7" x14ac:dyDescent="0.3">
      <c r="G3290" s="391" t="s">
        <v>9567</v>
      </c>
    </row>
    <row r="3291" spans="7:7" x14ac:dyDescent="0.3">
      <c r="G3291" s="391" t="s">
        <v>9567</v>
      </c>
    </row>
    <row r="3292" spans="7:7" x14ac:dyDescent="0.3">
      <c r="G3292" s="391" t="s">
        <v>9567</v>
      </c>
    </row>
    <row r="3293" spans="7:7" x14ac:dyDescent="0.3">
      <c r="G3293" s="391" t="s">
        <v>9567</v>
      </c>
    </row>
    <row r="3294" spans="7:7" x14ac:dyDescent="0.3">
      <c r="G3294" s="391" t="s">
        <v>9567</v>
      </c>
    </row>
    <row r="3295" spans="7:7" x14ac:dyDescent="0.3">
      <c r="G3295" s="391" t="s">
        <v>9567</v>
      </c>
    </row>
    <row r="3296" spans="7:7" x14ac:dyDescent="0.3">
      <c r="G3296" s="391" t="s">
        <v>9567</v>
      </c>
    </row>
    <row r="3297" spans="7:7" x14ac:dyDescent="0.3">
      <c r="G3297" s="391" t="s">
        <v>9567</v>
      </c>
    </row>
    <row r="3298" spans="7:7" x14ac:dyDescent="0.3">
      <c r="G3298" s="391" t="s">
        <v>9567</v>
      </c>
    </row>
    <row r="3299" spans="7:7" x14ac:dyDescent="0.3">
      <c r="G3299" s="391" t="s">
        <v>9567</v>
      </c>
    </row>
    <row r="3300" spans="7:7" x14ac:dyDescent="0.3">
      <c r="G3300" s="391" t="s">
        <v>9567</v>
      </c>
    </row>
    <row r="3301" spans="7:7" x14ac:dyDescent="0.3">
      <c r="G3301" s="391" t="s">
        <v>9567</v>
      </c>
    </row>
    <row r="3302" spans="7:7" x14ac:dyDescent="0.3">
      <c r="G3302" s="391" t="s">
        <v>9567</v>
      </c>
    </row>
    <row r="3303" spans="7:7" x14ac:dyDescent="0.3">
      <c r="G3303" s="391" t="s">
        <v>9567</v>
      </c>
    </row>
    <row r="3304" spans="7:7" x14ac:dyDescent="0.3">
      <c r="G3304" s="391" t="s">
        <v>9567</v>
      </c>
    </row>
    <row r="3305" spans="7:7" x14ac:dyDescent="0.3">
      <c r="G3305" s="391" t="s">
        <v>9567</v>
      </c>
    </row>
    <row r="3306" spans="7:7" x14ac:dyDescent="0.3">
      <c r="G3306" s="391" t="s">
        <v>9567</v>
      </c>
    </row>
    <row r="3307" spans="7:7" x14ac:dyDescent="0.3">
      <c r="G3307" s="391" t="s">
        <v>9567</v>
      </c>
    </row>
    <row r="3308" spans="7:7" x14ac:dyDescent="0.3">
      <c r="G3308" s="391" t="s">
        <v>9567</v>
      </c>
    </row>
    <row r="3309" spans="7:7" x14ac:dyDescent="0.3">
      <c r="G3309" s="391" t="s">
        <v>9567</v>
      </c>
    </row>
    <row r="3310" spans="7:7" x14ac:dyDescent="0.3">
      <c r="G3310" s="391" t="s">
        <v>9567</v>
      </c>
    </row>
    <row r="3311" spans="7:7" x14ac:dyDescent="0.3">
      <c r="G3311" s="391" t="s">
        <v>9567</v>
      </c>
    </row>
    <row r="3312" spans="7:7" x14ac:dyDescent="0.3">
      <c r="G3312" s="391" t="s">
        <v>9567</v>
      </c>
    </row>
    <row r="3313" spans="7:7" x14ac:dyDescent="0.3">
      <c r="G3313" s="391" t="s">
        <v>9567</v>
      </c>
    </row>
    <row r="3314" spans="7:7" x14ac:dyDescent="0.3">
      <c r="G3314" s="391" t="s">
        <v>9567</v>
      </c>
    </row>
    <row r="3315" spans="7:7" x14ac:dyDescent="0.3">
      <c r="G3315" s="391" t="s">
        <v>9567</v>
      </c>
    </row>
    <row r="3316" spans="7:7" x14ac:dyDescent="0.3">
      <c r="G3316" s="391" t="s">
        <v>9567</v>
      </c>
    </row>
    <row r="3317" spans="7:7" x14ac:dyDescent="0.3">
      <c r="G3317" s="391" t="s">
        <v>9567</v>
      </c>
    </row>
    <row r="3318" spans="7:7" x14ac:dyDescent="0.3">
      <c r="G3318" s="391" t="s">
        <v>9567</v>
      </c>
    </row>
    <row r="3319" spans="7:7" x14ac:dyDescent="0.3">
      <c r="G3319" s="391" t="s">
        <v>9567</v>
      </c>
    </row>
    <row r="3320" spans="7:7" x14ac:dyDescent="0.3">
      <c r="G3320" s="391" t="s">
        <v>9567</v>
      </c>
    </row>
    <row r="3321" spans="7:7" x14ac:dyDescent="0.3">
      <c r="G3321" s="391" t="s">
        <v>9567</v>
      </c>
    </row>
    <row r="3322" spans="7:7" x14ac:dyDescent="0.3">
      <c r="G3322" s="391" t="s">
        <v>9567</v>
      </c>
    </row>
    <row r="3323" spans="7:7" x14ac:dyDescent="0.3">
      <c r="G3323" s="391" t="s">
        <v>9567</v>
      </c>
    </row>
    <row r="3324" spans="7:7" x14ac:dyDescent="0.3">
      <c r="G3324" s="391" t="s">
        <v>9567</v>
      </c>
    </row>
    <row r="3325" spans="7:7" x14ac:dyDescent="0.3">
      <c r="G3325" s="391" t="s">
        <v>9567</v>
      </c>
    </row>
    <row r="3326" spans="7:7" x14ac:dyDescent="0.3">
      <c r="G3326" s="391" t="s">
        <v>9567</v>
      </c>
    </row>
    <row r="3327" spans="7:7" x14ac:dyDescent="0.3">
      <c r="G3327" s="391" t="s">
        <v>9567</v>
      </c>
    </row>
    <row r="3328" spans="7:7" x14ac:dyDescent="0.3">
      <c r="G3328" s="391" t="s">
        <v>9567</v>
      </c>
    </row>
    <row r="3329" spans="7:7" x14ac:dyDescent="0.3">
      <c r="G3329" s="391" t="s">
        <v>9567</v>
      </c>
    </row>
    <row r="3330" spans="7:7" x14ac:dyDescent="0.3">
      <c r="G3330" s="391" t="s">
        <v>9567</v>
      </c>
    </row>
    <row r="3331" spans="7:7" x14ac:dyDescent="0.3">
      <c r="G3331" s="391" t="s">
        <v>9567</v>
      </c>
    </row>
    <row r="3332" spans="7:7" x14ac:dyDescent="0.3">
      <c r="G3332" s="391" t="s">
        <v>9567</v>
      </c>
    </row>
    <row r="3333" spans="7:7" x14ac:dyDescent="0.3">
      <c r="G3333" s="391" t="s">
        <v>9567</v>
      </c>
    </row>
    <row r="3334" spans="7:7" x14ac:dyDescent="0.3">
      <c r="G3334" s="391" t="s">
        <v>9567</v>
      </c>
    </row>
    <row r="3335" spans="7:7" x14ac:dyDescent="0.3">
      <c r="G3335" s="391" t="s">
        <v>9567</v>
      </c>
    </row>
    <row r="3336" spans="7:7" x14ac:dyDescent="0.3">
      <c r="G3336" s="391" t="s">
        <v>9567</v>
      </c>
    </row>
    <row r="3337" spans="7:7" x14ac:dyDescent="0.3">
      <c r="G3337" s="391" t="s">
        <v>9567</v>
      </c>
    </row>
    <row r="3338" spans="7:7" x14ac:dyDescent="0.3">
      <c r="G3338" s="391" t="s">
        <v>9567</v>
      </c>
    </row>
    <row r="3339" spans="7:7" x14ac:dyDescent="0.3">
      <c r="G3339" s="391" t="s">
        <v>9567</v>
      </c>
    </row>
    <row r="3340" spans="7:7" x14ac:dyDescent="0.3">
      <c r="G3340" s="391" t="s">
        <v>9567</v>
      </c>
    </row>
    <row r="3341" spans="7:7" x14ac:dyDescent="0.3">
      <c r="G3341" s="391" t="s">
        <v>9567</v>
      </c>
    </row>
    <row r="3342" spans="7:7" x14ac:dyDescent="0.3">
      <c r="G3342" s="391" t="s">
        <v>9567</v>
      </c>
    </row>
    <row r="3343" spans="7:7" x14ac:dyDescent="0.3">
      <c r="G3343" s="391" t="s">
        <v>9567</v>
      </c>
    </row>
    <row r="3344" spans="7:7" x14ac:dyDescent="0.3">
      <c r="G3344" s="391" t="s">
        <v>9567</v>
      </c>
    </row>
    <row r="3345" spans="7:7" x14ac:dyDescent="0.3">
      <c r="G3345" s="391" t="s">
        <v>9567</v>
      </c>
    </row>
    <row r="3346" spans="7:7" x14ac:dyDescent="0.3">
      <c r="G3346" s="391" t="s">
        <v>9567</v>
      </c>
    </row>
    <row r="3347" spans="7:7" x14ac:dyDescent="0.3">
      <c r="G3347" s="391" t="s">
        <v>9567</v>
      </c>
    </row>
    <row r="3348" spans="7:7" x14ac:dyDescent="0.3">
      <c r="G3348" s="391" t="s">
        <v>9567</v>
      </c>
    </row>
    <row r="3349" spans="7:7" x14ac:dyDescent="0.3">
      <c r="G3349" s="391" t="s">
        <v>9567</v>
      </c>
    </row>
    <row r="3350" spans="7:7" x14ac:dyDescent="0.3">
      <c r="G3350" s="391" t="s">
        <v>9567</v>
      </c>
    </row>
    <row r="3351" spans="7:7" x14ac:dyDescent="0.3">
      <c r="G3351" s="391" t="s">
        <v>9567</v>
      </c>
    </row>
    <row r="3352" spans="7:7" x14ac:dyDescent="0.3">
      <c r="G3352" s="391" t="s">
        <v>9567</v>
      </c>
    </row>
    <row r="3353" spans="7:7" x14ac:dyDescent="0.3">
      <c r="G3353" s="391" t="s">
        <v>9567</v>
      </c>
    </row>
    <row r="3354" spans="7:7" x14ac:dyDescent="0.3">
      <c r="G3354" s="391" t="s">
        <v>9567</v>
      </c>
    </row>
    <row r="3355" spans="7:7" x14ac:dyDescent="0.3">
      <c r="G3355" s="391" t="s">
        <v>9567</v>
      </c>
    </row>
    <row r="3356" spans="7:7" x14ac:dyDescent="0.3">
      <c r="G3356" s="391" t="s">
        <v>9567</v>
      </c>
    </row>
    <row r="3357" spans="7:7" x14ac:dyDescent="0.3">
      <c r="G3357" s="391" t="s">
        <v>9567</v>
      </c>
    </row>
    <row r="3358" spans="7:7" x14ac:dyDescent="0.3">
      <c r="G3358" s="391" t="s">
        <v>9567</v>
      </c>
    </row>
    <row r="3359" spans="7:7" x14ac:dyDescent="0.3">
      <c r="G3359" s="391" t="s">
        <v>9567</v>
      </c>
    </row>
    <row r="3360" spans="7:7" x14ac:dyDescent="0.3">
      <c r="G3360" s="391" t="s">
        <v>9567</v>
      </c>
    </row>
    <row r="3361" spans="7:7" x14ac:dyDescent="0.3">
      <c r="G3361" s="391" t="s">
        <v>9567</v>
      </c>
    </row>
    <row r="3362" spans="7:7" x14ac:dyDescent="0.3">
      <c r="G3362" s="391" t="s">
        <v>9567</v>
      </c>
    </row>
    <row r="3363" spans="7:7" x14ac:dyDescent="0.3">
      <c r="G3363" s="391" t="s">
        <v>9567</v>
      </c>
    </row>
    <row r="3364" spans="7:7" x14ac:dyDescent="0.3">
      <c r="G3364" s="391" t="s">
        <v>9567</v>
      </c>
    </row>
    <row r="3365" spans="7:7" x14ac:dyDescent="0.3">
      <c r="G3365" s="391" t="s">
        <v>9567</v>
      </c>
    </row>
    <row r="3366" spans="7:7" x14ac:dyDescent="0.3">
      <c r="G3366" s="391" t="s">
        <v>9567</v>
      </c>
    </row>
    <row r="3367" spans="7:7" x14ac:dyDescent="0.3">
      <c r="G3367" s="391" t="s">
        <v>9567</v>
      </c>
    </row>
    <row r="3368" spans="7:7" x14ac:dyDescent="0.3">
      <c r="G3368" s="391" t="s">
        <v>9567</v>
      </c>
    </row>
    <row r="3369" spans="7:7" x14ac:dyDescent="0.3">
      <c r="G3369" s="391" t="s">
        <v>9567</v>
      </c>
    </row>
    <row r="3370" spans="7:7" x14ac:dyDescent="0.3">
      <c r="G3370" s="391" t="s">
        <v>9567</v>
      </c>
    </row>
    <row r="3371" spans="7:7" x14ac:dyDescent="0.3">
      <c r="G3371" s="391" t="s">
        <v>9567</v>
      </c>
    </row>
    <row r="3372" spans="7:7" x14ac:dyDescent="0.3">
      <c r="G3372" s="391" t="s">
        <v>9567</v>
      </c>
    </row>
    <row r="3373" spans="7:7" x14ac:dyDescent="0.3">
      <c r="G3373" s="391" t="s">
        <v>9567</v>
      </c>
    </row>
    <row r="3374" spans="7:7" x14ac:dyDescent="0.3">
      <c r="G3374" s="391" t="s">
        <v>9567</v>
      </c>
    </row>
    <row r="3375" spans="7:7" x14ac:dyDescent="0.3">
      <c r="G3375" s="391" t="s">
        <v>9567</v>
      </c>
    </row>
    <row r="3376" spans="7:7" x14ac:dyDescent="0.3">
      <c r="G3376" s="391" t="s">
        <v>9567</v>
      </c>
    </row>
    <row r="3377" spans="7:7" x14ac:dyDescent="0.3">
      <c r="G3377" s="391" t="s">
        <v>9567</v>
      </c>
    </row>
    <row r="3378" spans="7:7" x14ac:dyDescent="0.3">
      <c r="G3378" s="391" t="s">
        <v>9567</v>
      </c>
    </row>
    <row r="3379" spans="7:7" x14ac:dyDescent="0.3">
      <c r="G3379" s="391" t="s">
        <v>9567</v>
      </c>
    </row>
    <row r="3380" spans="7:7" x14ac:dyDescent="0.3">
      <c r="G3380" s="391" t="s">
        <v>9567</v>
      </c>
    </row>
    <row r="3381" spans="7:7" x14ac:dyDescent="0.3">
      <c r="G3381" s="391" t="s">
        <v>9567</v>
      </c>
    </row>
    <row r="3382" spans="7:7" x14ac:dyDescent="0.3">
      <c r="G3382" s="391" t="s">
        <v>9567</v>
      </c>
    </row>
    <row r="3383" spans="7:7" x14ac:dyDescent="0.3">
      <c r="G3383" s="391" t="s">
        <v>9567</v>
      </c>
    </row>
    <row r="3384" spans="7:7" x14ac:dyDescent="0.3">
      <c r="G3384" s="391" t="s">
        <v>9567</v>
      </c>
    </row>
    <row r="3385" spans="7:7" x14ac:dyDescent="0.3">
      <c r="G3385" s="391" t="s">
        <v>9567</v>
      </c>
    </row>
    <row r="3386" spans="7:7" x14ac:dyDescent="0.3">
      <c r="G3386" s="391" t="s">
        <v>9567</v>
      </c>
    </row>
    <row r="3387" spans="7:7" x14ac:dyDescent="0.3">
      <c r="G3387" s="391" t="s">
        <v>9567</v>
      </c>
    </row>
    <row r="3388" spans="7:7" x14ac:dyDescent="0.3">
      <c r="G3388" s="391" t="s">
        <v>9567</v>
      </c>
    </row>
    <row r="3389" spans="7:7" x14ac:dyDescent="0.3">
      <c r="G3389" s="391" t="s">
        <v>9567</v>
      </c>
    </row>
    <row r="3390" spans="7:7" x14ac:dyDescent="0.3">
      <c r="G3390" s="391" t="s">
        <v>9567</v>
      </c>
    </row>
    <row r="3391" spans="7:7" x14ac:dyDescent="0.3">
      <c r="G3391" s="391" t="s">
        <v>9567</v>
      </c>
    </row>
    <row r="3392" spans="7:7" x14ac:dyDescent="0.3">
      <c r="G3392" s="391" t="s">
        <v>9567</v>
      </c>
    </row>
    <row r="3393" spans="7:7" x14ac:dyDescent="0.3">
      <c r="G3393" s="391" t="s">
        <v>9567</v>
      </c>
    </row>
    <row r="3394" spans="7:7" x14ac:dyDescent="0.3">
      <c r="G3394" s="391" t="s">
        <v>9567</v>
      </c>
    </row>
    <row r="3395" spans="7:7" x14ac:dyDescent="0.3">
      <c r="G3395" s="391" t="s">
        <v>9567</v>
      </c>
    </row>
    <row r="3396" spans="7:7" x14ac:dyDescent="0.3">
      <c r="G3396" s="391" t="s">
        <v>9567</v>
      </c>
    </row>
    <row r="3397" spans="7:7" x14ac:dyDescent="0.3">
      <c r="G3397" s="391" t="s">
        <v>9567</v>
      </c>
    </row>
    <row r="3398" spans="7:7" x14ac:dyDescent="0.3">
      <c r="G3398" s="391" t="s">
        <v>9567</v>
      </c>
    </row>
    <row r="3399" spans="7:7" x14ac:dyDescent="0.3">
      <c r="G3399" s="391" t="s">
        <v>9567</v>
      </c>
    </row>
    <row r="3400" spans="7:7" x14ac:dyDescent="0.3">
      <c r="G3400" s="391" t="s">
        <v>9567</v>
      </c>
    </row>
    <row r="3401" spans="7:7" x14ac:dyDescent="0.3">
      <c r="G3401" s="391" t="s">
        <v>9567</v>
      </c>
    </row>
    <row r="3402" spans="7:7" x14ac:dyDescent="0.3">
      <c r="G3402" s="391" t="s">
        <v>9567</v>
      </c>
    </row>
    <row r="3403" spans="7:7" x14ac:dyDescent="0.3">
      <c r="G3403" s="391" t="s">
        <v>9567</v>
      </c>
    </row>
    <row r="3404" spans="7:7" x14ac:dyDescent="0.3">
      <c r="G3404" s="391" t="s">
        <v>9567</v>
      </c>
    </row>
    <row r="3405" spans="7:7" x14ac:dyDescent="0.3">
      <c r="G3405" s="391" t="s">
        <v>9567</v>
      </c>
    </row>
    <row r="3406" spans="7:7" x14ac:dyDescent="0.3">
      <c r="G3406" s="391" t="s">
        <v>9567</v>
      </c>
    </row>
    <row r="3407" spans="7:7" x14ac:dyDescent="0.3">
      <c r="G3407" s="391" t="s">
        <v>9567</v>
      </c>
    </row>
    <row r="3408" spans="7:7" x14ac:dyDescent="0.3">
      <c r="G3408" s="391" t="s">
        <v>9567</v>
      </c>
    </row>
    <row r="3409" spans="7:7" x14ac:dyDescent="0.3">
      <c r="G3409" s="391" t="s">
        <v>9567</v>
      </c>
    </row>
    <row r="3410" spans="7:7" x14ac:dyDescent="0.3">
      <c r="G3410" s="391" t="s">
        <v>9567</v>
      </c>
    </row>
    <row r="3411" spans="7:7" x14ac:dyDescent="0.3">
      <c r="G3411" s="391" t="s">
        <v>9567</v>
      </c>
    </row>
    <row r="3412" spans="7:7" x14ac:dyDescent="0.3">
      <c r="G3412" s="391" t="s">
        <v>9567</v>
      </c>
    </row>
    <row r="3413" spans="7:7" x14ac:dyDescent="0.3">
      <c r="G3413" s="391" t="s">
        <v>9567</v>
      </c>
    </row>
    <row r="3414" spans="7:7" x14ac:dyDescent="0.3">
      <c r="G3414" s="391" t="s">
        <v>9567</v>
      </c>
    </row>
    <row r="3415" spans="7:7" x14ac:dyDescent="0.3">
      <c r="G3415" s="391" t="s">
        <v>9567</v>
      </c>
    </row>
    <row r="3416" spans="7:7" x14ac:dyDescent="0.3">
      <c r="G3416" s="391" t="s">
        <v>9567</v>
      </c>
    </row>
    <row r="3417" spans="7:7" x14ac:dyDescent="0.3">
      <c r="G3417" s="391" t="s">
        <v>9567</v>
      </c>
    </row>
    <row r="3418" spans="7:7" x14ac:dyDescent="0.3">
      <c r="G3418" s="391" t="s">
        <v>9567</v>
      </c>
    </row>
    <row r="3419" spans="7:7" x14ac:dyDescent="0.3">
      <c r="G3419" s="391" t="s">
        <v>9567</v>
      </c>
    </row>
    <row r="3420" spans="7:7" x14ac:dyDescent="0.3">
      <c r="G3420" s="391" t="s">
        <v>9567</v>
      </c>
    </row>
    <row r="3421" spans="7:7" x14ac:dyDescent="0.3">
      <c r="G3421" s="391" t="s">
        <v>9567</v>
      </c>
    </row>
    <row r="3422" spans="7:7" x14ac:dyDescent="0.3">
      <c r="G3422" s="391" t="s">
        <v>9567</v>
      </c>
    </row>
    <row r="3423" spans="7:7" x14ac:dyDescent="0.3">
      <c r="G3423" s="391" t="s">
        <v>9567</v>
      </c>
    </row>
    <row r="3424" spans="7:7" x14ac:dyDescent="0.3">
      <c r="G3424" s="391" t="s">
        <v>9567</v>
      </c>
    </row>
    <row r="3425" spans="7:7" x14ac:dyDescent="0.3">
      <c r="G3425" s="391" t="s">
        <v>9567</v>
      </c>
    </row>
    <row r="3426" spans="7:7" x14ac:dyDescent="0.3">
      <c r="G3426" s="391" t="s">
        <v>9567</v>
      </c>
    </row>
    <row r="3427" spans="7:7" x14ac:dyDescent="0.3">
      <c r="G3427" s="391" t="s">
        <v>9567</v>
      </c>
    </row>
    <row r="3428" spans="7:7" x14ac:dyDescent="0.3">
      <c r="G3428" s="391" t="s">
        <v>9567</v>
      </c>
    </row>
    <row r="3429" spans="7:7" x14ac:dyDescent="0.3">
      <c r="G3429" s="391" t="s">
        <v>9567</v>
      </c>
    </row>
    <row r="3430" spans="7:7" x14ac:dyDescent="0.3">
      <c r="G3430" s="391" t="s">
        <v>9567</v>
      </c>
    </row>
    <row r="3431" spans="7:7" x14ac:dyDescent="0.3">
      <c r="G3431" s="391" t="s">
        <v>9567</v>
      </c>
    </row>
    <row r="3432" spans="7:7" x14ac:dyDescent="0.3">
      <c r="G3432" s="391" t="s">
        <v>9567</v>
      </c>
    </row>
    <row r="3433" spans="7:7" x14ac:dyDescent="0.3">
      <c r="G3433" s="391" t="s">
        <v>9567</v>
      </c>
    </row>
    <row r="3434" spans="7:7" x14ac:dyDescent="0.3">
      <c r="G3434" s="391" t="s">
        <v>9567</v>
      </c>
    </row>
    <row r="3435" spans="7:7" x14ac:dyDescent="0.3">
      <c r="G3435" s="391" t="s">
        <v>9567</v>
      </c>
    </row>
    <row r="3436" spans="7:7" x14ac:dyDescent="0.3">
      <c r="G3436" s="391" t="s">
        <v>9567</v>
      </c>
    </row>
    <row r="3437" spans="7:7" x14ac:dyDescent="0.3">
      <c r="G3437" s="391" t="s">
        <v>9567</v>
      </c>
    </row>
    <row r="3438" spans="7:7" x14ac:dyDescent="0.3">
      <c r="G3438" s="391" t="s">
        <v>9567</v>
      </c>
    </row>
    <row r="3439" spans="7:7" x14ac:dyDescent="0.3">
      <c r="G3439" s="391" t="s">
        <v>9567</v>
      </c>
    </row>
    <row r="3440" spans="7:7" x14ac:dyDescent="0.3">
      <c r="G3440" s="391" t="s">
        <v>9567</v>
      </c>
    </row>
    <row r="3441" spans="7:7" x14ac:dyDescent="0.3">
      <c r="G3441" s="391" t="s">
        <v>9567</v>
      </c>
    </row>
    <row r="3442" spans="7:7" x14ac:dyDescent="0.3">
      <c r="G3442" s="391" t="s">
        <v>9567</v>
      </c>
    </row>
    <row r="3443" spans="7:7" x14ac:dyDescent="0.3">
      <c r="G3443" s="391" t="s">
        <v>9567</v>
      </c>
    </row>
    <row r="3444" spans="7:7" x14ac:dyDescent="0.3">
      <c r="G3444" s="391" t="s">
        <v>9567</v>
      </c>
    </row>
    <row r="3445" spans="7:7" x14ac:dyDescent="0.3">
      <c r="G3445" s="391" t="s">
        <v>9567</v>
      </c>
    </row>
    <row r="3446" spans="7:7" x14ac:dyDescent="0.3">
      <c r="G3446" s="391" t="s">
        <v>9567</v>
      </c>
    </row>
    <row r="3447" spans="7:7" x14ac:dyDescent="0.3">
      <c r="G3447" s="391" t="s">
        <v>9567</v>
      </c>
    </row>
    <row r="3448" spans="7:7" x14ac:dyDescent="0.3">
      <c r="G3448" s="391" t="s">
        <v>9567</v>
      </c>
    </row>
    <row r="3449" spans="7:7" x14ac:dyDescent="0.3">
      <c r="G3449" s="391" t="s">
        <v>9567</v>
      </c>
    </row>
    <row r="3450" spans="7:7" x14ac:dyDescent="0.3">
      <c r="G3450" s="391" t="s">
        <v>9567</v>
      </c>
    </row>
    <row r="3451" spans="7:7" x14ac:dyDescent="0.3">
      <c r="G3451" s="391" t="s">
        <v>9567</v>
      </c>
    </row>
    <row r="3452" spans="7:7" x14ac:dyDescent="0.3">
      <c r="G3452" s="391" t="s">
        <v>9567</v>
      </c>
    </row>
    <row r="3453" spans="7:7" x14ac:dyDescent="0.3">
      <c r="G3453" s="391" t="s">
        <v>9567</v>
      </c>
    </row>
    <row r="3454" spans="7:7" x14ac:dyDescent="0.3">
      <c r="G3454" s="391" t="s">
        <v>9567</v>
      </c>
    </row>
    <row r="3455" spans="7:7" x14ac:dyDescent="0.3">
      <c r="G3455" s="391" t="s">
        <v>9567</v>
      </c>
    </row>
    <row r="3456" spans="7:7" x14ac:dyDescent="0.3">
      <c r="G3456" s="391" t="s">
        <v>9567</v>
      </c>
    </row>
    <row r="3457" spans="7:7" x14ac:dyDescent="0.3">
      <c r="G3457" s="391" t="s">
        <v>9567</v>
      </c>
    </row>
    <row r="3458" spans="7:7" x14ac:dyDescent="0.3">
      <c r="G3458" s="391" t="s">
        <v>9567</v>
      </c>
    </row>
    <row r="3459" spans="7:7" x14ac:dyDescent="0.3">
      <c r="G3459" s="391" t="s">
        <v>9567</v>
      </c>
    </row>
    <row r="3460" spans="7:7" x14ac:dyDescent="0.3">
      <c r="G3460" s="391" t="s">
        <v>9567</v>
      </c>
    </row>
    <row r="3461" spans="7:7" x14ac:dyDescent="0.3">
      <c r="G3461" s="391" t="s">
        <v>9567</v>
      </c>
    </row>
    <row r="3462" spans="7:7" x14ac:dyDescent="0.3">
      <c r="G3462" s="391" t="s">
        <v>9567</v>
      </c>
    </row>
    <row r="3463" spans="7:7" x14ac:dyDescent="0.3">
      <c r="G3463" s="391" t="s">
        <v>9567</v>
      </c>
    </row>
    <row r="3464" spans="7:7" x14ac:dyDescent="0.3">
      <c r="G3464" s="391" t="s">
        <v>9567</v>
      </c>
    </row>
    <row r="3465" spans="7:7" x14ac:dyDescent="0.3">
      <c r="G3465" s="391" t="s">
        <v>9567</v>
      </c>
    </row>
    <row r="3466" spans="7:7" x14ac:dyDescent="0.3">
      <c r="G3466" s="391" t="s">
        <v>9567</v>
      </c>
    </row>
    <row r="3467" spans="7:7" x14ac:dyDescent="0.3">
      <c r="G3467" s="391" t="s">
        <v>9567</v>
      </c>
    </row>
    <row r="3468" spans="7:7" x14ac:dyDescent="0.3">
      <c r="G3468" s="391" t="s">
        <v>9567</v>
      </c>
    </row>
    <row r="3469" spans="7:7" x14ac:dyDescent="0.3">
      <c r="G3469" s="391" t="s">
        <v>9567</v>
      </c>
    </row>
    <row r="3470" spans="7:7" x14ac:dyDescent="0.3">
      <c r="G3470" s="391" t="s">
        <v>9567</v>
      </c>
    </row>
    <row r="3471" spans="7:7" x14ac:dyDescent="0.3">
      <c r="G3471" s="391" t="s">
        <v>9567</v>
      </c>
    </row>
    <row r="3472" spans="7:7" x14ac:dyDescent="0.3">
      <c r="G3472" s="391" t="s">
        <v>9567</v>
      </c>
    </row>
    <row r="3473" spans="7:7" x14ac:dyDescent="0.3">
      <c r="G3473" s="391" t="s">
        <v>9567</v>
      </c>
    </row>
    <row r="3474" spans="7:7" x14ac:dyDescent="0.3">
      <c r="G3474" s="391" t="s">
        <v>9567</v>
      </c>
    </row>
    <row r="3475" spans="7:7" x14ac:dyDescent="0.3">
      <c r="G3475" s="391" t="s">
        <v>9567</v>
      </c>
    </row>
    <row r="3476" spans="7:7" x14ac:dyDescent="0.3">
      <c r="G3476" s="391" t="s">
        <v>9567</v>
      </c>
    </row>
    <row r="3477" spans="7:7" x14ac:dyDescent="0.3">
      <c r="G3477" s="391" t="s">
        <v>9567</v>
      </c>
    </row>
    <row r="3478" spans="7:7" x14ac:dyDescent="0.3">
      <c r="G3478" s="391" t="s">
        <v>9567</v>
      </c>
    </row>
    <row r="3479" spans="7:7" x14ac:dyDescent="0.3">
      <c r="G3479" s="391" t="s">
        <v>9567</v>
      </c>
    </row>
    <row r="3480" spans="7:7" x14ac:dyDescent="0.3">
      <c r="G3480" s="391" t="s">
        <v>9567</v>
      </c>
    </row>
    <row r="3481" spans="7:7" x14ac:dyDescent="0.3">
      <c r="G3481" s="391" t="s">
        <v>9567</v>
      </c>
    </row>
    <row r="3482" spans="7:7" x14ac:dyDescent="0.3">
      <c r="G3482" s="391" t="s">
        <v>9567</v>
      </c>
    </row>
    <row r="3483" spans="7:7" x14ac:dyDescent="0.3">
      <c r="G3483" s="391" t="s">
        <v>9567</v>
      </c>
    </row>
    <row r="3484" spans="7:7" x14ac:dyDescent="0.3">
      <c r="G3484" s="391" t="s">
        <v>9567</v>
      </c>
    </row>
    <row r="3485" spans="7:7" x14ac:dyDescent="0.3">
      <c r="G3485" s="391" t="s">
        <v>9567</v>
      </c>
    </row>
    <row r="3486" spans="7:7" x14ac:dyDescent="0.3">
      <c r="G3486" s="391" t="s">
        <v>9567</v>
      </c>
    </row>
    <row r="3487" spans="7:7" x14ac:dyDescent="0.3">
      <c r="G3487" s="391" t="s">
        <v>9567</v>
      </c>
    </row>
    <row r="3488" spans="7:7" x14ac:dyDescent="0.3">
      <c r="G3488" s="391" t="s">
        <v>9567</v>
      </c>
    </row>
    <row r="3489" spans="7:7" x14ac:dyDescent="0.3">
      <c r="G3489" s="391" t="s">
        <v>9567</v>
      </c>
    </row>
    <row r="3490" spans="7:7" x14ac:dyDescent="0.3">
      <c r="G3490" s="391" t="s">
        <v>9567</v>
      </c>
    </row>
    <row r="3491" spans="7:7" x14ac:dyDescent="0.3">
      <c r="G3491" s="391" t="s">
        <v>9567</v>
      </c>
    </row>
    <row r="3492" spans="7:7" x14ac:dyDescent="0.3">
      <c r="G3492" s="391" t="s">
        <v>9567</v>
      </c>
    </row>
    <row r="3493" spans="7:7" x14ac:dyDescent="0.3">
      <c r="G3493" s="391" t="s">
        <v>9567</v>
      </c>
    </row>
    <row r="3494" spans="7:7" x14ac:dyDescent="0.3">
      <c r="G3494" s="391" t="s">
        <v>9567</v>
      </c>
    </row>
    <row r="3495" spans="7:7" x14ac:dyDescent="0.3">
      <c r="G3495" s="391" t="s">
        <v>9567</v>
      </c>
    </row>
    <row r="3496" spans="7:7" x14ac:dyDescent="0.3">
      <c r="G3496" s="391" t="s">
        <v>9567</v>
      </c>
    </row>
    <row r="3497" spans="7:7" x14ac:dyDescent="0.3">
      <c r="G3497" s="391" t="s">
        <v>9567</v>
      </c>
    </row>
    <row r="3498" spans="7:7" x14ac:dyDescent="0.3">
      <c r="G3498" s="391" t="s">
        <v>9567</v>
      </c>
    </row>
    <row r="3499" spans="7:7" x14ac:dyDescent="0.3">
      <c r="G3499" s="391" t="s">
        <v>9567</v>
      </c>
    </row>
    <row r="3500" spans="7:7" x14ac:dyDescent="0.3">
      <c r="G3500" s="391" t="s">
        <v>9567</v>
      </c>
    </row>
    <row r="3501" spans="7:7" x14ac:dyDescent="0.3">
      <c r="G3501" s="391" t="s">
        <v>9567</v>
      </c>
    </row>
    <row r="3502" spans="7:7" x14ac:dyDescent="0.3">
      <c r="G3502" s="391" t="s">
        <v>9567</v>
      </c>
    </row>
    <row r="3503" spans="7:7" x14ac:dyDescent="0.3">
      <c r="G3503" s="391" t="s">
        <v>9567</v>
      </c>
    </row>
    <row r="3504" spans="7:7" x14ac:dyDescent="0.3">
      <c r="G3504" s="391" t="s">
        <v>9567</v>
      </c>
    </row>
    <row r="3505" spans="7:7" x14ac:dyDescent="0.3">
      <c r="G3505" s="391" t="s">
        <v>9567</v>
      </c>
    </row>
    <row r="3506" spans="7:7" x14ac:dyDescent="0.3">
      <c r="G3506" s="391" t="s">
        <v>9567</v>
      </c>
    </row>
    <row r="3507" spans="7:7" x14ac:dyDescent="0.3">
      <c r="G3507" s="391" t="s">
        <v>9567</v>
      </c>
    </row>
    <row r="3508" spans="7:7" x14ac:dyDescent="0.3">
      <c r="G3508" s="391" t="s">
        <v>9567</v>
      </c>
    </row>
    <row r="3509" spans="7:7" x14ac:dyDescent="0.3">
      <c r="G3509" s="391" t="s">
        <v>9567</v>
      </c>
    </row>
    <row r="3510" spans="7:7" x14ac:dyDescent="0.3">
      <c r="G3510" s="391" t="s">
        <v>9567</v>
      </c>
    </row>
    <row r="3511" spans="7:7" x14ac:dyDescent="0.3">
      <c r="G3511" s="391" t="s">
        <v>9567</v>
      </c>
    </row>
    <row r="3512" spans="7:7" x14ac:dyDescent="0.3">
      <c r="G3512" s="391" t="s">
        <v>9567</v>
      </c>
    </row>
    <row r="3513" spans="7:7" x14ac:dyDescent="0.3">
      <c r="G3513" s="391" t="s">
        <v>9567</v>
      </c>
    </row>
    <row r="3514" spans="7:7" x14ac:dyDescent="0.3">
      <c r="G3514" s="391" t="s">
        <v>9567</v>
      </c>
    </row>
    <row r="3515" spans="7:7" x14ac:dyDescent="0.3">
      <c r="G3515" s="391" t="s">
        <v>9567</v>
      </c>
    </row>
    <row r="3516" spans="7:7" x14ac:dyDescent="0.3">
      <c r="G3516" s="391" t="s">
        <v>9567</v>
      </c>
    </row>
    <row r="3517" spans="7:7" x14ac:dyDescent="0.3">
      <c r="G3517" s="391" t="s">
        <v>9567</v>
      </c>
    </row>
    <row r="3518" spans="7:7" x14ac:dyDescent="0.3">
      <c r="G3518" s="391" t="s">
        <v>9567</v>
      </c>
    </row>
    <row r="3519" spans="7:7" x14ac:dyDescent="0.3">
      <c r="G3519" s="391" t="s">
        <v>9567</v>
      </c>
    </row>
    <row r="3520" spans="7:7" x14ac:dyDescent="0.3">
      <c r="G3520" s="391" t="s">
        <v>9567</v>
      </c>
    </row>
    <row r="3521" spans="7:7" x14ac:dyDescent="0.3">
      <c r="G3521" s="391" t="s">
        <v>9567</v>
      </c>
    </row>
    <row r="3522" spans="7:7" x14ac:dyDescent="0.3">
      <c r="G3522" s="391" t="s">
        <v>9567</v>
      </c>
    </row>
    <row r="3523" spans="7:7" x14ac:dyDescent="0.3">
      <c r="G3523" s="391" t="s">
        <v>9567</v>
      </c>
    </row>
    <row r="3524" spans="7:7" x14ac:dyDescent="0.3">
      <c r="G3524" s="391" t="s">
        <v>9567</v>
      </c>
    </row>
    <row r="3525" spans="7:7" x14ac:dyDescent="0.3">
      <c r="G3525" s="391" t="s">
        <v>9567</v>
      </c>
    </row>
    <row r="3526" spans="7:7" x14ac:dyDescent="0.3">
      <c r="G3526" s="391" t="s">
        <v>9567</v>
      </c>
    </row>
    <row r="3527" spans="7:7" x14ac:dyDescent="0.3">
      <c r="G3527" s="391" t="s">
        <v>9567</v>
      </c>
    </row>
    <row r="3528" spans="7:7" x14ac:dyDescent="0.3">
      <c r="G3528" s="391" t="s">
        <v>9567</v>
      </c>
    </row>
    <row r="3529" spans="7:7" x14ac:dyDescent="0.3">
      <c r="G3529" s="391" t="s">
        <v>9567</v>
      </c>
    </row>
    <row r="3530" spans="7:7" x14ac:dyDescent="0.3">
      <c r="G3530" s="391" t="s">
        <v>9567</v>
      </c>
    </row>
    <row r="3531" spans="7:7" x14ac:dyDescent="0.3">
      <c r="G3531" s="391" t="s">
        <v>9567</v>
      </c>
    </row>
    <row r="3532" spans="7:7" x14ac:dyDescent="0.3">
      <c r="G3532" s="391" t="s">
        <v>9567</v>
      </c>
    </row>
    <row r="3533" spans="7:7" x14ac:dyDescent="0.3">
      <c r="G3533" s="391" t="s">
        <v>9567</v>
      </c>
    </row>
    <row r="3534" spans="7:7" x14ac:dyDescent="0.3">
      <c r="G3534" s="391" t="s">
        <v>9567</v>
      </c>
    </row>
    <row r="3535" spans="7:7" x14ac:dyDescent="0.3">
      <c r="G3535" s="391" t="s">
        <v>9567</v>
      </c>
    </row>
    <row r="3536" spans="7:7" x14ac:dyDescent="0.3">
      <c r="G3536" s="391" t="s">
        <v>9567</v>
      </c>
    </row>
    <row r="3537" spans="7:7" x14ac:dyDescent="0.3">
      <c r="G3537" s="391" t="s">
        <v>9567</v>
      </c>
    </row>
    <row r="3538" spans="7:7" x14ac:dyDescent="0.3">
      <c r="G3538" s="391" t="s">
        <v>9567</v>
      </c>
    </row>
    <row r="3539" spans="7:7" x14ac:dyDescent="0.3">
      <c r="G3539" s="391" t="s">
        <v>9567</v>
      </c>
    </row>
    <row r="3540" spans="7:7" x14ac:dyDescent="0.3">
      <c r="G3540" s="391" t="s">
        <v>9567</v>
      </c>
    </row>
    <row r="3541" spans="7:7" x14ac:dyDescent="0.3">
      <c r="G3541" s="391" t="s">
        <v>9567</v>
      </c>
    </row>
    <row r="3542" spans="7:7" x14ac:dyDescent="0.3">
      <c r="G3542" s="391" t="s">
        <v>9567</v>
      </c>
    </row>
    <row r="3543" spans="7:7" x14ac:dyDescent="0.3">
      <c r="G3543" s="391" t="s">
        <v>9567</v>
      </c>
    </row>
    <row r="3544" spans="7:7" x14ac:dyDescent="0.3">
      <c r="G3544" s="391" t="s">
        <v>9567</v>
      </c>
    </row>
    <row r="3545" spans="7:7" x14ac:dyDescent="0.3">
      <c r="G3545" s="391" t="s">
        <v>9567</v>
      </c>
    </row>
    <row r="3546" spans="7:7" x14ac:dyDescent="0.3">
      <c r="G3546" s="391" t="s">
        <v>9567</v>
      </c>
    </row>
    <row r="3547" spans="7:7" x14ac:dyDescent="0.3">
      <c r="G3547" s="391" t="s">
        <v>9567</v>
      </c>
    </row>
    <row r="3548" spans="7:7" x14ac:dyDescent="0.3">
      <c r="G3548" s="391" t="s">
        <v>9567</v>
      </c>
    </row>
    <row r="3549" spans="7:7" x14ac:dyDescent="0.3">
      <c r="G3549" s="391" t="s">
        <v>9567</v>
      </c>
    </row>
    <row r="3550" spans="7:7" x14ac:dyDescent="0.3">
      <c r="G3550" s="391" t="s">
        <v>9567</v>
      </c>
    </row>
    <row r="3551" spans="7:7" x14ac:dyDescent="0.3">
      <c r="G3551" s="391" t="s">
        <v>9567</v>
      </c>
    </row>
    <row r="3552" spans="7:7" x14ac:dyDescent="0.3">
      <c r="G3552" s="391" t="s">
        <v>9567</v>
      </c>
    </row>
    <row r="3553" spans="7:7" x14ac:dyDescent="0.3">
      <c r="G3553" s="391" t="s">
        <v>9567</v>
      </c>
    </row>
    <row r="3554" spans="7:7" x14ac:dyDescent="0.3">
      <c r="G3554" s="391" t="s">
        <v>9567</v>
      </c>
    </row>
    <row r="3555" spans="7:7" x14ac:dyDescent="0.3">
      <c r="G3555" s="391" t="s">
        <v>9567</v>
      </c>
    </row>
    <row r="3556" spans="7:7" x14ac:dyDescent="0.3">
      <c r="G3556" s="391" t="s">
        <v>9567</v>
      </c>
    </row>
    <row r="3557" spans="7:7" x14ac:dyDescent="0.3">
      <c r="G3557" s="391" t="s">
        <v>9567</v>
      </c>
    </row>
    <row r="3558" spans="7:7" x14ac:dyDescent="0.3">
      <c r="G3558" s="391" t="s">
        <v>9567</v>
      </c>
    </row>
    <row r="3559" spans="7:7" x14ac:dyDescent="0.3">
      <c r="G3559" s="391" t="s">
        <v>9567</v>
      </c>
    </row>
    <row r="3560" spans="7:7" x14ac:dyDescent="0.3">
      <c r="G3560" s="391" t="s">
        <v>9567</v>
      </c>
    </row>
    <row r="3561" spans="7:7" x14ac:dyDescent="0.3">
      <c r="G3561" s="391" t="s">
        <v>9567</v>
      </c>
    </row>
    <row r="3562" spans="7:7" x14ac:dyDescent="0.3">
      <c r="G3562" s="391" t="s">
        <v>9567</v>
      </c>
    </row>
    <row r="3563" spans="7:7" x14ac:dyDescent="0.3">
      <c r="G3563" s="391" t="s">
        <v>9567</v>
      </c>
    </row>
    <row r="3564" spans="7:7" x14ac:dyDescent="0.3">
      <c r="G3564" s="391" t="s">
        <v>9567</v>
      </c>
    </row>
    <row r="3565" spans="7:7" x14ac:dyDescent="0.3">
      <c r="G3565" s="391" t="s">
        <v>9567</v>
      </c>
    </row>
    <row r="3566" spans="7:7" x14ac:dyDescent="0.3">
      <c r="G3566" s="391" t="s">
        <v>9567</v>
      </c>
    </row>
    <row r="3567" spans="7:7" x14ac:dyDescent="0.3">
      <c r="G3567" s="391" t="s">
        <v>9567</v>
      </c>
    </row>
    <row r="3568" spans="7:7" x14ac:dyDescent="0.3">
      <c r="G3568" s="391" t="s">
        <v>9567</v>
      </c>
    </row>
    <row r="3569" spans="7:7" x14ac:dyDescent="0.3">
      <c r="G3569" s="391" t="s">
        <v>9567</v>
      </c>
    </row>
    <row r="3570" spans="7:7" x14ac:dyDescent="0.3">
      <c r="G3570" s="391" t="s">
        <v>9567</v>
      </c>
    </row>
    <row r="3571" spans="7:7" x14ac:dyDescent="0.3">
      <c r="G3571" s="391" t="s">
        <v>9567</v>
      </c>
    </row>
    <row r="3572" spans="7:7" x14ac:dyDescent="0.3">
      <c r="G3572" s="391" t="s">
        <v>9567</v>
      </c>
    </row>
    <row r="3573" spans="7:7" x14ac:dyDescent="0.3">
      <c r="G3573" s="391" t="s">
        <v>9567</v>
      </c>
    </row>
    <row r="3574" spans="7:7" x14ac:dyDescent="0.3">
      <c r="G3574" s="391" t="s">
        <v>9567</v>
      </c>
    </row>
    <row r="3575" spans="7:7" x14ac:dyDescent="0.3">
      <c r="G3575" s="391" t="s">
        <v>9567</v>
      </c>
    </row>
    <row r="3576" spans="7:7" x14ac:dyDescent="0.3">
      <c r="G3576" s="391" t="s">
        <v>9567</v>
      </c>
    </row>
    <row r="3577" spans="7:7" x14ac:dyDescent="0.3">
      <c r="G3577" s="391" t="s">
        <v>9567</v>
      </c>
    </row>
    <row r="3578" spans="7:7" x14ac:dyDescent="0.3">
      <c r="G3578" s="391" t="s">
        <v>9567</v>
      </c>
    </row>
    <row r="3579" spans="7:7" x14ac:dyDescent="0.3">
      <c r="G3579" s="391" t="s">
        <v>9567</v>
      </c>
    </row>
    <row r="3580" spans="7:7" x14ac:dyDescent="0.3">
      <c r="G3580" s="391" t="s">
        <v>9567</v>
      </c>
    </row>
    <row r="3581" spans="7:7" x14ac:dyDescent="0.3">
      <c r="G3581" s="391" t="s">
        <v>9567</v>
      </c>
    </row>
    <row r="3582" spans="7:7" x14ac:dyDescent="0.3">
      <c r="G3582" s="391" t="s">
        <v>9567</v>
      </c>
    </row>
    <row r="3583" spans="7:7" x14ac:dyDescent="0.3">
      <c r="G3583" s="391" t="s">
        <v>9567</v>
      </c>
    </row>
    <row r="3584" spans="7:7" x14ac:dyDescent="0.3">
      <c r="G3584" s="391" t="s">
        <v>9567</v>
      </c>
    </row>
    <row r="3585" spans="7:7" x14ac:dyDescent="0.3">
      <c r="G3585" s="391" t="s">
        <v>9567</v>
      </c>
    </row>
    <row r="3586" spans="7:7" x14ac:dyDescent="0.3">
      <c r="G3586" s="391" t="s">
        <v>9567</v>
      </c>
    </row>
    <row r="3587" spans="7:7" x14ac:dyDescent="0.3">
      <c r="G3587" s="391" t="s">
        <v>9567</v>
      </c>
    </row>
    <row r="3588" spans="7:7" x14ac:dyDescent="0.3">
      <c r="G3588" s="391" t="s">
        <v>9567</v>
      </c>
    </row>
    <row r="3589" spans="7:7" x14ac:dyDescent="0.3">
      <c r="G3589" s="391" t="s">
        <v>9567</v>
      </c>
    </row>
    <row r="3590" spans="7:7" x14ac:dyDescent="0.3">
      <c r="G3590" s="391" t="s">
        <v>9567</v>
      </c>
    </row>
    <row r="3591" spans="7:7" x14ac:dyDescent="0.3">
      <c r="G3591" s="391" t="s">
        <v>9567</v>
      </c>
    </row>
    <row r="3592" spans="7:7" x14ac:dyDescent="0.3">
      <c r="G3592" s="391" t="s">
        <v>9567</v>
      </c>
    </row>
    <row r="3593" spans="7:7" x14ac:dyDescent="0.3">
      <c r="G3593" s="391" t="s">
        <v>9567</v>
      </c>
    </row>
    <row r="3594" spans="7:7" x14ac:dyDescent="0.3">
      <c r="G3594" s="391" t="s">
        <v>9567</v>
      </c>
    </row>
    <row r="3595" spans="7:7" x14ac:dyDescent="0.3">
      <c r="G3595" s="391" t="s">
        <v>9567</v>
      </c>
    </row>
    <row r="3596" spans="7:7" x14ac:dyDescent="0.3">
      <c r="G3596" s="391" t="s">
        <v>9567</v>
      </c>
    </row>
    <row r="3597" spans="7:7" x14ac:dyDescent="0.3">
      <c r="G3597" s="391" t="s">
        <v>9567</v>
      </c>
    </row>
    <row r="3598" spans="7:7" x14ac:dyDescent="0.3">
      <c r="G3598" s="391" t="s">
        <v>9567</v>
      </c>
    </row>
    <row r="3599" spans="7:7" x14ac:dyDescent="0.3">
      <c r="G3599" s="391" t="s">
        <v>9567</v>
      </c>
    </row>
    <row r="3600" spans="7:7" x14ac:dyDescent="0.3">
      <c r="G3600" s="391" t="s">
        <v>9567</v>
      </c>
    </row>
    <row r="3601" spans="7:7" x14ac:dyDescent="0.3">
      <c r="G3601" s="391" t="s">
        <v>9567</v>
      </c>
    </row>
    <row r="3602" spans="7:7" x14ac:dyDescent="0.3">
      <c r="G3602" s="391" t="s">
        <v>9567</v>
      </c>
    </row>
    <row r="3603" spans="7:7" x14ac:dyDescent="0.3">
      <c r="G3603" s="391" t="s">
        <v>9567</v>
      </c>
    </row>
    <row r="3604" spans="7:7" x14ac:dyDescent="0.3">
      <c r="G3604" s="391" t="s">
        <v>9567</v>
      </c>
    </row>
    <row r="3605" spans="7:7" x14ac:dyDescent="0.3">
      <c r="G3605" s="391" t="s">
        <v>9567</v>
      </c>
    </row>
    <row r="3606" spans="7:7" x14ac:dyDescent="0.3">
      <c r="G3606" s="391" t="s">
        <v>9567</v>
      </c>
    </row>
    <row r="3607" spans="7:7" x14ac:dyDescent="0.3">
      <c r="G3607" s="391" t="s">
        <v>9567</v>
      </c>
    </row>
    <row r="3608" spans="7:7" x14ac:dyDescent="0.3">
      <c r="G3608" s="391" t="s">
        <v>9567</v>
      </c>
    </row>
    <row r="3609" spans="7:7" x14ac:dyDescent="0.3">
      <c r="G3609" s="391" t="s">
        <v>9567</v>
      </c>
    </row>
    <row r="3610" spans="7:7" x14ac:dyDescent="0.3">
      <c r="G3610" s="391" t="s">
        <v>9567</v>
      </c>
    </row>
    <row r="3611" spans="7:7" x14ac:dyDescent="0.3">
      <c r="G3611" s="391" t="s">
        <v>9567</v>
      </c>
    </row>
    <row r="3612" spans="7:7" x14ac:dyDescent="0.3">
      <c r="G3612" s="391" t="s">
        <v>9567</v>
      </c>
    </row>
    <row r="3613" spans="7:7" x14ac:dyDescent="0.3">
      <c r="G3613" s="391" t="s">
        <v>9567</v>
      </c>
    </row>
    <row r="3614" spans="7:7" x14ac:dyDescent="0.3">
      <c r="G3614" s="391" t="s">
        <v>9567</v>
      </c>
    </row>
    <row r="3615" spans="7:7" x14ac:dyDescent="0.3">
      <c r="G3615" s="391" t="s">
        <v>9567</v>
      </c>
    </row>
    <row r="3616" spans="7:7" x14ac:dyDescent="0.3">
      <c r="G3616" s="391" t="s">
        <v>9567</v>
      </c>
    </row>
    <row r="3617" spans="7:7" x14ac:dyDescent="0.3">
      <c r="G3617" s="391" t="s">
        <v>9567</v>
      </c>
    </row>
    <row r="3618" spans="7:7" x14ac:dyDescent="0.3">
      <c r="G3618" s="391" t="s">
        <v>9567</v>
      </c>
    </row>
    <row r="3619" spans="7:7" x14ac:dyDescent="0.3">
      <c r="G3619" s="391" t="s">
        <v>9567</v>
      </c>
    </row>
    <row r="3620" spans="7:7" x14ac:dyDescent="0.3">
      <c r="G3620" s="391" t="s">
        <v>9567</v>
      </c>
    </row>
    <row r="3621" spans="7:7" x14ac:dyDescent="0.3">
      <c r="G3621" s="391" t="s">
        <v>9567</v>
      </c>
    </row>
    <row r="3622" spans="7:7" x14ac:dyDescent="0.3">
      <c r="G3622" s="391" t="s">
        <v>9567</v>
      </c>
    </row>
    <row r="3623" spans="7:7" x14ac:dyDescent="0.3">
      <c r="G3623" s="391" t="s">
        <v>9567</v>
      </c>
    </row>
    <row r="3624" spans="7:7" x14ac:dyDescent="0.3">
      <c r="G3624" s="391" t="s">
        <v>9567</v>
      </c>
    </row>
    <row r="3625" spans="7:7" x14ac:dyDescent="0.3">
      <c r="G3625" s="391" t="s">
        <v>9567</v>
      </c>
    </row>
    <row r="3626" spans="7:7" x14ac:dyDescent="0.3">
      <c r="G3626" s="391" t="s">
        <v>9567</v>
      </c>
    </row>
    <row r="3627" spans="7:7" x14ac:dyDescent="0.3">
      <c r="G3627" s="391" t="s">
        <v>9567</v>
      </c>
    </row>
    <row r="3628" spans="7:7" x14ac:dyDescent="0.3">
      <c r="G3628" s="391" t="s">
        <v>9567</v>
      </c>
    </row>
    <row r="3629" spans="7:7" x14ac:dyDescent="0.3">
      <c r="G3629" s="391" t="s">
        <v>9567</v>
      </c>
    </row>
    <row r="3630" spans="7:7" x14ac:dyDescent="0.3">
      <c r="G3630" s="391" t="s">
        <v>9567</v>
      </c>
    </row>
    <row r="3631" spans="7:7" x14ac:dyDescent="0.3">
      <c r="G3631" s="391" t="s">
        <v>9567</v>
      </c>
    </row>
    <row r="3632" spans="7:7" x14ac:dyDescent="0.3">
      <c r="G3632" s="391" t="s">
        <v>9567</v>
      </c>
    </row>
    <row r="3633" spans="7:7" x14ac:dyDescent="0.3">
      <c r="G3633" s="391" t="s">
        <v>9567</v>
      </c>
    </row>
    <row r="3634" spans="7:7" x14ac:dyDescent="0.3">
      <c r="G3634" s="391" t="s">
        <v>9567</v>
      </c>
    </row>
    <row r="3635" spans="7:7" x14ac:dyDescent="0.3">
      <c r="G3635" s="391" t="s">
        <v>9567</v>
      </c>
    </row>
    <row r="3636" spans="7:7" x14ac:dyDescent="0.3">
      <c r="G3636" s="391" t="s">
        <v>9567</v>
      </c>
    </row>
    <row r="3637" spans="7:7" x14ac:dyDescent="0.3">
      <c r="G3637" s="391" t="s">
        <v>9567</v>
      </c>
    </row>
    <row r="3638" spans="7:7" x14ac:dyDescent="0.3">
      <c r="G3638" s="391" t="s">
        <v>9567</v>
      </c>
    </row>
    <row r="3639" spans="7:7" x14ac:dyDescent="0.3">
      <c r="G3639" s="391" t="s">
        <v>9567</v>
      </c>
    </row>
    <row r="3640" spans="7:7" x14ac:dyDescent="0.3">
      <c r="G3640" s="391" t="s">
        <v>9567</v>
      </c>
    </row>
    <row r="3641" spans="7:7" x14ac:dyDescent="0.3">
      <c r="G3641" s="391" t="s">
        <v>9567</v>
      </c>
    </row>
    <row r="3642" spans="7:7" x14ac:dyDescent="0.3">
      <c r="G3642" s="391" t="s">
        <v>9567</v>
      </c>
    </row>
    <row r="3643" spans="7:7" x14ac:dyDescent="0.3">
      <c r="G3643" s="391" t="s">
        <v>9567</v>
      </c>
    </row>
    <row r="3644" spans="7:7" x14ac:dyDescent="0.3">
      <c r="G3644" s="391" t="s">
        <v>9567</v>
      </c>
    </row>
    <row r="3645" spans="7:7" x14ac:dyDescent="0.3">
      <c r="G3645" s="391" t="s">
        <v>9567</v>
      </c>
    </row>
    <row r="3646" spans="7:7" x14ac:dyDescent="0.3">
      <c r="G3646" s="391" t="s">
        <v>9567</v>
      </c>
    </row>
    <row r="3647" spans="7:7" x14ac:dyDescent="0.3">
      <c r="G3647" s="391" t="s">
        <v>9567</v>
      </c>
    </row>
    <row r="3648" spans="7:7" x14ac:dyDescent="0.3">
      <c r="G3648" s="391" t="s">
        <v>9567</v>
      </c>
    </row>
    <row r="3649" spans="7:7" x14ac:dyDescent="0.3">
      <c r="G3649" s="391" t="s">
        <v>9567</v>
      </c>
    </row>
    <row r="3650" spans="7:7" x14ac:dyDescent="0.3">
      <c r="G3650" s="391" t="s">
        <v>9567</v>
      </c>
    </row>
    <row r="3651" spans="7:7" x14ac:dyDescent="0.3">
      <c r="G3651" s="391" t="s">
        <v>9567</v>
      </c>
    </row>
    <row r="3652" spans="7:7" x14ac:dyDescent="0.3">
      <c r="G3652" s="391" t="s">
        <v>9567</v>
      </c>
    </row>
    <row r="3653" spans="7:7" x14ac:dyDescent="0.3">
      <c r="G3653" s="391" t="s">
        <v>9567</v>
      </c>
    </row>
    <row r="3654" spans="7:7" x14ac:dyDescent="0.3">
      <c r="G3654" s="391" t="s">
        <v>9567</v>
      </c>
    </row>
    <row r="3655" spans="7:7" x14ac:dyDescent="0.3">
      <c r="G3655" s="391" t="s">
        <v>9567</v>
      </c>
    </row>
    <row r="3656" spans="7:7" x14ac:dyDescent="0.3">
      <c r="G3656" s="391" t="s">
        <v>9567</v>
      </c>
    </row>
    <row r="3657" spans="7:7" x14ac:dyDescent="0.3">
      <c r="G3657" s="391" t="s">
        <v>9567</v>
      </c>
    </row>
    <row r="3658" spans="7:7" x14ac:dyDescent="0.3">
      <c r="G3658" s="391" t="s">
        <v>9567</v>
      </c>
    </row>
    <row r="3659" spans="7:7" x14ac:dyDescent="0.3">
      <c r="G3659" s="391" t="s">
        <v>9567</v>
      </c>
    </row>
    <row r="3660" spans="7:7" x14ac:dyDescent="0.3">
      <c r="G3660" s="391" t="s">
        <v>9567</v>
      </c>
    </row>
    <row r="3661" spans="7:7" x14ac:dyDescent="0.3">
      <c r="G3661" s="391" t="s">
        <v>9567</v>
      </c>
    </row>
    <row r="3662" spans="7:7" x14ac:dyDescent="0.3">
      <c r="G3662" s="391" t="s">
        <v>9567</v>
      </c>
    </row>
    <row r="3663" spans="7:7" x14ac:dyDescent="0.3">
      <c r="G3663" s="391" t="s">
        <v>9567</v>
      </c>
    </row>
    <row r="3664" spans="7:7" x14ac:dyDescent="0.3">
      <c r="G3664" s="391" t="s">
        <v>9567</v>
      </c>
    </row>
    <row r="3665" spans="7:7" x14ac:dyDescent="0.3">
      <c r="G3665" s="391" t="s">
        <v>9567</v>
      </c>
    </row>
    <row r="3666" spans="7:7" x14ac:dyDescent="0.3">
      <c r="G3666" s="391" t="s">
        <v>9567</v>
      </c>
    </row>
    <row r="3667" spans="7:7" x14ac:dyDescent="0.3">
      <c r="G3667" s="391" t="s">
        <v>9567</v>
      </c>
    </row>
    <row r="3668" spans="7:7" x14ac:dyDescent="0.3">
      <c r="G3668" s="391" t="s">
        <v>9567</v>
      </c>
    </row>
    <row r="3669" spans="7:7" x14ac:dyDescent="0.3">
      <c r="G3669" s="391" t="s">
        <v>9567</v>
      </c>
    </row>
    <row r="3670" spans="7:7" x14ac:dyDescent="0.3">
      <c r="G3670" s="391" t="s">
        <v>9567</v>
      </c>
    </row>
    <row r="3671" spans="7:7" x14ac:dyDescent="0.3">
      <c r="G3671" s="391" t="s">
        <v>9567</v>
      </c>
    </row>
    <row r="3672" spans="7:7" x14ac:dyDescent="0.3">
      <c r="G3672" s="391" t="s">
        <v>9567</v>
      </c>
    </row>
    <row r="3673" spans="7:7" x14ac:dyDescent="0.3">
      <c r="G3673" s="391" t="s">
        <v>9567</v>
      </c>
    </row>
    <row r="3674" spans="7:7" x14ac:dyDescent="0.3">
      <c r="G3674" s="391" t="s">
        <v>9567</v>
      </c>
    </row>
    <row r="3675" spans="7:7" x14ac:dyDescent="0.3">
      <c r="G3675" s="391" t="s">
        <v>9567</v>
      </c>
    </row>
    <row r="3676" spans="7:7" x14ac:dyDescent="0.3">
      <c r="G3676" s="391" t="s">
        <v>9567</v>
      </c>
    </row>
    <row r="3677" spans="7:7" x14ac:dyDescent="0.3">
      <c r="G3677" s="391" t="s">
        <v>9567</v>
      </c>
    </row>
    <row r="3678" spans="7:7" x14ac:dyDescent="0.3">
      <c r="G3678" s="391" t="s">
        <v>9567</v>
      </c>
    </row>
    <row r="3679" spans="7:7" x14ac:dyDescent="0.3">
      <c r="G3679" s="391" t="s">
        <v>9567</v>
      </c>
    </row>
    <row r="3680" spans="7:7" x14ac:dyDescent="0.3">
      <c r="G3680" s="391" t="s">
        <v>9567</v>
      </c>
    </row>
    <row r="3681" spans="7:7" x14ac:dyDescent="0.3">
      <c r="G3681" s="391" t="s">
        <v>9567</v>
      </c>
    </row>
    <row r="3682" spans="7:7" x14ac:dyDescent="0.3">
      <c r="G3682" s="391" t="s">
        <v>9567</v>
      </c>
    </row>
    <row r="3683" spans="7:7" x14ac:dyDescent="0.3">
      <c r="G3683" s="391" t="s">
        <v>9567</v>
      </c>
    </row>
    <row r="3684" spans="7:7" x14ac:dyDescent="0.3">
      <c r="G3684" s="391" t="s">
        <v>9567</v>
      </c>
    </row>
    <row r="3685" spans="7:7" x14ac:dyDescent="0.3">
      <c r="G3685" s="391" t="s">
        <v>9567</v>
      </c>
    </row>
    <row r="3686" spans="7:7" x14ac:dyDescent="0.3">
      <c r="G3686" s="391" t="s">
        <v>9567</v>
      </c>
    </row>
    <row r="3687" spans="7:7" x14ac:dyDescent="0.3">
      <c r="G3687" s="391" t="s">
        <v>9567</v>
      </c>
    </row>
    <row r="3688" spans="7:7" x14ac:dyDescent="0.3">
      <c r="G3688" s="391" t="s">
        <v>9567</v>
      </c>
    </row>
    <row r="3689" spans="7:7" x14ac:dyDescent="0.3">
      <c r="G3689" s="391" t="s">
        <v>9567</v>
      </c>
    </row>
    <row r="3690" spans="7:7" x14ac:dyDescent="0.3">
      <c r="G3690" s="391" t="s">
        <v>9567</v>
      </c>
    </row>
    <row r="3691" spans="7:7" x14ac:dyDescent="0.3">
      <c r="G3691" s="391" t="s">
        <v>9567</v>
      </c>
    </row>
    <row r="3692" spans="7:7" x14ac:dyDescent="0.3">
      <c r="G3692" s="391" t="s">
        <v>9567</v>
      </c>
    </row>
    <row r="3693" spans="7:7" x14ac:dyDescent="0.3">
      <c r="G3693" s="391" t="s">
        <v>9567</v>
      </c>
    </row>
    <row r="3694" spans="7:7" x14ac:dyDescent="0.3">
      <c r="G3694" s="391" t="s">
        <v>9567</v>
      </c>
    </row>
    <row r="3695" spans="7:7" x14ac:dyDescent="0.3">
      <c r="G3695" s="391" t="s">
        <v>9567</v>
      </c>
    </row>
    <row r="3696" spans="7:7" x14ac:dyDescent="0.3">
      <c r="G3696" s="391" t="s">
        <v>9567</v>
      </c>
    </row>
    <row r="3697" spans="7:7" x14ac:dyDescent="0.3">
      <c r="G3697" s="391" t="s">
        <v>9567</v>
      </c>
    </row>
    <row r="3698" spans="7:7" x14ac:dyDescent="0.3">
      <c r="G3698" s="391" t="s">
        <v>9567</v>
      </c>
    </row>
    <row r="3699" spans="7:7" x14ac:dyDescent="0.3">
      <c r="G3699" s="391" t="s">
        <v>9567</v>
      </c>
    </row>
    <row r="3700" spans="7:7" x14ac:dyDescent="0.3">
      <c r="G3700" s="391" t="s">
        <v>9567</v>
      </c>
    </row>
    <row r="3701" spans="7:7" x14ac:dyDescent="0.3">
      <c r="G3701" s="391" t="s">
        <v>9567</v>
      </c>
    </row>
    <row r="3702" spans="7:7" x14ac:dyDescent="0.3">
      <c r="G3702" s="391" t="s">
        <v>9567</v>
      </c>
    </row>
    <row r="3703" spans="7:7" x14ac:dyDescent="0.3">
      <c r="G3703" s="391" t="s">
        <v>9567</v>
      </c>
    </row>
    <row r="3704" spans="7:7" x14ac:dyDescent="0.3">
      <c r="G3704" s="391" t="s">
        <v>9567</v>
      </c>
    </row>
    <row r="3705" spans="7:7" x14ac:dyDescent="0.3">
      <c r="G3705" s="391" t="s">
        <v>9567</v>
      </c>
    </row>
    <row r="3706" spans="7:7" x14ac:dyDescent="0.3">
      <c r="G3706" s="391" t="s">
        <v>9567</v>
      </c>
    </row>
    <row r="3707" spans="7:7" x14ac:dyDescent="0.3">
      <c r="G3707" s="391" t="s">
        <v>9567</v>
      </c>
    </row>
    <row r="3708" spans="7:7" x14ac:dyDescent="0.3">
      <c r="G3708" s="391" t="s">
        <v>9567</v>
      </c>
    </row>
    <row r="3709" spans="7:7" x14ac:dyDescent="0.3">
      <c r="G3709" s="391" t="s">
        <v>9567</v>
      </c>
    </row>
    <row r="3710" spans="7:7" x14ac:dyDescent="0.3">
      <c r="G3710" s="391" t="s">
        <v>9567</v>
      </c>
    </row>
    <row r="3711" spans="7:7" x14ac:dyDescent="0.3">
      <c r="G3711" s="391" t="s">
        <v>9567</v>
      </c>
    </row>
    <row r="3712" spans="7:7" x14ac:dyDescent="0.3">
      <c r="G3712" s="391" t="s">
        <v>9567</v>
      </c>
    </row>
    <row r="3713" spans="7:7" x14ac:dyDescent="0.3">
      <c r="G3713" s="391" t="s">
        <v>9567</v>
      </c>
    </row>
    <row r="3714" spans="7:7" x14ac:dyDescent="0.3">
      <c r="G3714" s="391" t="s">
        <v>9567</v>
      </c>
    </row>
    <row r="3715" spans="7:7" x14ac:dyDescent="0.3">
      <c r="G3715" s="391" t="s">
        <v>9567</v>
      </c>
    </row>
    <row r="3716" spans="7:7" x14ac:dyDescent="0.3">
      <c r="G3716" s="391" t="s">
        <v>9567</v>
      </c>
    </row>
    <row r="3717" spans="7:7" x14ac:dyDescent="0.3">
      <c r="G3717" s="391" t="s">
        <v>9567</v>
      </c>
    </row>
    <row r="3718" spans="7:7" x14ac:dyDescent="0.3">
      <c r="G3718" s="391" t="s">
        <v>9567</v>
      </c>
    </row>
    <row r="3719" spans="7:7" x14ac:dyDescent="0.3">
      <c r="G3719" s="391" t="s">
        <v>9567</v>
      </c>
    </row>
    <row r="3720" spans="7:7" x14ac:dyDescent="0.3">
      <c r="G3720" s="391" t="s">
        <v>9567</v>
      </c>
    </row>
    <row r="3721" spans="7:7" x14ac:dyDescent="0.3">
      <c r="G3721" s="391" t="s">
        <v>9567</v>
      </c>
    </row>
    <row r="3722" spans="7:7" x14ac:dyDescent="0.3">
      <c r="G3722" s="391" t="s">
        <v>9567</v>
      </c>
    </row>
    <row r="3723" spans="7:7" x14ac:dyDescent="0.3">
      <c r="G3723" s="391" t="s">
        <v>9567</v>
      </c>
    </row>
    <row r="3724" spans="7:7" x14ac:dyDescent="0.3">
      <c r="G3724" s="391" t="s">
        <v>9567</v>
      </c>
    </row>
    <row r="3725" spans="7:7" x14ac:dyDescent="0.3">
      <c r="G3725" s="391" t="s">
        <v>9567</v>
      </c>
    </row>
    <row r="3726" spans="7:7" x14ac:dyDescent="0.3">
      <c r="G3726" s="391" t="s">
        <v>9567</v>
      </c>
    </row>
    <row r="3727" spans="7:7" x14ac:dyDescent="0.3">
      <c r="G3727" s="391" t="s">
        <v>9567</v>
      </c>
    </row>
    <row r="3728" spans="7:7" x14ac:dyDescent="0.3">
      <c r="G3728" s="391" t="s">
        <v>9567</v>
      </c>
    </row>
    <row r="3729" spans="7:7" x14ac:dyDescent="0.3">
      <c r="G3729" s="391" t="s">
        <v>9567</v>
      </c>
    </row>
    <row r="3730" spans="7:7" x14ac:dyDescent="0.3">
      <c r="G3730" s="391" t="s">
        <v>9567</v>
      </c>
    </row>
    <row r="3731" spans="7:7" x14ac:dyDescent="0.3">
      <c r="G3731" s="391" t="s">
        <v>9567</v>
      </c>
    </row>
    <row r="3732" spans="7:7" x14ac:dyDescent="0.3">
      <c r="G3732" s="391" t="s">
        <v>9567</v>
      </c>
    </row>
    <row r="3733" spans="7:7" x14ac:dyDescent="0.3">
      <c r="G3733" s="391" t="s">
        <v>9567</v>
      </c>
    </row>
    <row r="3734" spans="7:7" x14ac:dyDescent="0.3">
      <c r="G3734" s="391" t="s">
        <v>9567</v>
      </c>
    </row>
    <row r="3735" spans="7:7" x14ac:dyDescent="0.3">
      <c r="G3735" s="391" t="s">
        <v>9567</v>
      </c>
    </row>
    <row r="3736" spans="7:7" x14ac:dyDescent="0.3">
      <c r="G3736" s="391" t="s">
        <v>9567</v>
      </c>
    </row>
    <row r="3737" spans="7:7" x14ac:dyDescent="0.3">
      <c r="G3737" s="391" t="s">
        <v>9567</v>
      </c>
    </row>
    <row r="3738" spans="7:7" x14ac:dyDescent="0.3">
      <c r="G3738" s="391" t="s">
        <v>9567</v>
      </c>
    </row>
    <row r="3739" spans="7:7" x14ac:dyDescent="0.3">
      <c r="G3739" s="391" t="s">
        <v>9567</v>
      </c>
    </row>
    <row r="3740" spans="7:7" x14ac:dyDescent="0.3">
      <c r="G3740" s="391" t="s">
        <v>9567</v>
      </c>
    </row>
    <row r="3741" spans="7:7" x14ac:dyDescent="0.3">
      <c r="G3741" s="391" t="s">
        <v>9567</v>
      </c>
    </row>
    <row r="3742" spans="7:7" x14ac:dyDescent="0.3">
      <c r="G3742" s="391" t="s">
        <v>9567</v>
      </c>
    </row>
    <row r="3743" spans="7:7" x14ac:dyDescent="0.3">
      <c r="G3743" s="391" t="s">
        <v>9567</v>
      </c>
    </row>
    <row r="3744" spans="7:7" x14ac:dyDescent="0.3">
      <c r="G3744" s="391" t="s">
        <v>9567</v>
      </c>
    </row>
    <row r="3745" spans="7:7" x14ac:dyDescent="0.3">
      <c r="G3745" s="391" t="s">
        <v>9567</v>
      </c>
    </row>
    <row r="3746" spans="7:7" x14ac:dyDescent="0.3">
      <c r="G3746" s="391" t="s">
        <v>9567</v>
      </c>
    </row>
    <row r="3747" spans="7:7" x14ac:dyDescent="0.3">
      <c r="G3747" s="391" t="s">
        <v>9567</v>
      </c>
    </row>
    <row r="3748" spans="7:7" x14ac:dyDescent="0.3">
      <c r="G3748" s="391" t="s">
        <v>9567</v>
      </c>
    </row>
    <row r="3749" spans="7:7" x14ac:dyDescent="0.3">
      <c r="G3749" s="391" t="s">
        <v>9567</v>
      </c>
    </row>
    <row r="3750" spans="7:7" x14ac:dyDescent="0.3">
      <c r="G3750" s="391" t="s">
        <v>9567</v>
      </c>
    </row>
    <row r="3751" spans="7:7" x14ac:dyDescent="0.3">
      <c r="G3751" s="391" t="s">
        <v>9567</v>
      </c>
    </row>
    <row r="3752" spans="7:7" x14ac:dyDescent="0.3">
      <c r="G3752" s="391" t="s">
        <v>9567</v>
      </c>
    </row>
    <row r="3753" spans="7:7" x14ac:dyDescent="0.3">
      <c r="G3753" s="391" t="s">
        <v>9567</v>
      </c>
    </row>
    <row r="3754" spans="7:7" x14ac:dyDescent="0.3">
      <c r="G3754" s="391" t="s">
        <v>9567</v>
      </c>
    </row>
    <row r="3755" spans="7:7" x14ac:dyDescent="0.3">
      <c r="G3755" s="391" t="s">
        <v>9567</v>
      </c>
    </row>
    <row r="3756" spans="7:7" x14ac:dyDescent="0.3">
      <c r="G3756" s="391" t="s">
        <v>9567</v>
      </c>
    </row>
    <row r="3757" spans="7:7" x14ac:dyDescent="0.3">
      <c r="G3757" s="391" t="s">
        <v>9567</v>
      </c>
    </row>
    <row r="3758" spans="7:7" x14ac:dyDescent="0.3">
      <c r="G3758" s="391" t="s">
        <v>9567</v>
      </c>
    </row>
    <row r="3759" spans="7:7" x14ac:dyDescent="0.3">
      <c r="G3759" s="391" t="s">
        <v>9567</v>
      </c>
    </row>
    <row r="3760" spans="7:7" x14ac:dyDescent="0.3">
      <c r="G3760" s="391" t="s">
        <v>9567</v>
      </c>
    </row>
    <row r="3761" spans="7:7" x14ac:dyDescent="0.3">
      <c r="G3761" s="391" t="s">
        <v>9567</v>
      </c>
    </row>
    <row r="3762" spans="7:7" x14ac:dyDescent="0.3">
      <c r="G3762" s="391" t="s">
        <v>9567</v>
      </c>
    </row>
    <row r="3763" spans="7:7" x14ac:dyDescent="0.3">
      <c r="G3763" s="391" t="s">
        <v>9567</v>
      </c>
    </row>
    <row r="3764" spans="7:7" x14ac:dyDescent="0.3">
      <c r="G3764" s="391" t="s">
        <v>9567</v>
      </c>
    </row>
    <row r="3765" spans="7:7" x14ac:dyDescent="0.3">
      <c r="G3765" s="391" t="s">
        <v>9567</v>
      </c>
    </row>
    <row r="3766" spans="7:7" x14ac:dyDescent="0.3">
      <c r="G3766" s="391" t="s">
        <v>9567</v>
      </c>
    </row>
    <row r="3767" spans="7:7" x14ac:dyDescent="0.3">
      <c r="G3767" s="391" t="s">
        <v>9567</v>
      </c>
    </row>
    <row r="3768" spans="7:7" x14ac:dyDescent="0.3">
      <c r="G3768" s="391" t="s">
        <v>9567</v>
      </c>
    </row>
    <row r="3769" spans="7:7" x14ac:dyDescent="0.3">
      <c r="G3769" s="391" t="s">
        <v>9567</v>
      </c>
    </row>
    <row r="3770" spans="7:7" x14ac:dyDescent="0.3">
      <c r="G3770" s="391" t="s">
        <v>9567</v>
      </c>
    </row>
    <row r="3771" spans="7:7" x14ac:dyDescent="0.3">
      <c r="G3771" s="391" t="s">
        <v>9567</v>
      </c>
    </row>
    <row r="3772" spans="7:7" x14ac:dyDescent="0.3">
      <c r="G3772" s="391" t="s">
        <v>9567</v>
      </c>
    </row>
    <row r="3773" spans="7:7" x14ac:dyDescent="0.3">
      <c r="G3773" s="391" t="s">
        <v>9567</v>
      </c>
    </row>
    <row r="3774" spans="7:7" x14ac:dyDescent="0.3">
      <c r="G3774" s="391" t="s">
        <v>9567</v>
      </c>
    </row>
    <row r="3775" spans="7:7" x14ac:dyDescent="0.3">
      <c r="G3775" s="391" t="s">
        <v>9567</v>
      </c>
    </row>
    <row r="3776" spans="7:7" x14ac:dyDescent="0.3">
      <c r="G3776" s="391" t="s">
        <v>9567</v>
      </c>
    </row>
    <row r="3777" spans="7:7" x14ac:dyDescent="0.3">
      <c r="G3777" s="391" t="s">
        <v>9567</v>
      </c>
    </row>
    <row r="3778" spans="7:7" x14ac:dyDescent="0.3">
      <c r="G3778" s="391" t="s">
        <v>9567</v>
      </c>
    </row>
    <row r="3779" spans="7:7" x14ac:dyDescent="0.3">
      <c r="G3779" s="391" t="s">
        <v>9567</v>
      </c>
    </row>
    <row r="3780" spans="7:7" x14ac:dyDescent="0.3">
      <c r="G3780" s="391" t="s">
        <v>9567</v>
      </c>
    </row>
    <row r="3781" spans="7:7" x14ac:dyDescent="0.3">
      <c r="G3781" s="391" t="s">
        <v>9567</v>
      </c>
    </row>
    <row r="3782" spans="7:7" x14ac:dyDescent="0.3">
      <c r="G3782" s="391" t="s">
        <v>9567</v>
      </c>
    </row>
    <row r="3783" spans="7:7" x14ac:dyDescent="0.3">
      <c r="G3783" s="391" t="s">
        <v>9567</v>
      </c>
    </row>
    <row r="3784" spans="7:7" x14ac:dyDescent="0.3">
      <c r="G3784" s="391" t="s">
        <v>9567</v>
      </c>
    </row>
    <row r="3785" spans="7:7" x14ac:dyDescent="0.3">
      <c r="G3785" s="391" t="s">
        <v>9567</v>
      </c>
    </row>
    <row r="3786" spans="7:7" x14ac:dyDescent="0.3">
      <c r="G3786" s="391" t="s">
        <v>9567</v>
      </c>
    </row>
    <row r="3787" spans="7:7" x14ac:dyDescent="0.3">
      <c r="G3787" s="391" t="s">
        <v>9567</v>
      </c>
    </row>
    <row r="3788" spans="7:7" x14ac:dyDescent="0.3">
      <c r="G3788" s="391" t="s">
        <v>9567</v>
      </c>
    </row>
    <row r="3789" spans="7:7" x14ac:dyDescent="0.3">
      <c r="G3789" s="391" t="s">
        <v>9567</v>
      </c>
    </row>
    <row r="3790" spans="7:7" x14ac:dyDescent="0.3">
      <c r="G3790" s="391" t="s">
        <v>9567</v>
      </c>
    </row>
    <row r="3791" spans="7:7" x14ac:dyDescent="0.3">
      <c r="G3791" s="391" t="s">
        <v>9567</v>
      </c>
    </row>
    <row r="3792" spans="7:7" x14ac:dyDescent="0.3">
      <c r="G3792" s="391" t="s">
        <v>9567</v>
      </c>
    </row>
    <row r="3793" spans="7:7" x14ac:dyDescent="0.3">
      <c r="G3793" s="391" t="s">
        <v>9567</v>
      </c>
    </row>
    <row r="3794" spans="7:7" x14ac:dyDescent="0.3">
      <c r="G3794" s="391" t="s">
        <v>9567</v>
      </c>
    </row>
    <row r="3795" spans="7:7" x14ac:dyDescent="0.3">
      <c r="G3795" s="391" t="s">
        <v>9567</v>
      </c>
    </row>
    <row r="3796" spans="7:7" x14ac:dyDescent="0.3">
      <c r="G3796" s="391" t="s">
        <v>9567</v>
      </c>
    </row>
    <row r="3797" spans="7:7" x14ac:dyDescent="0.3">
      <c r="G3797" s="391" t="s">
        <v>9567</v>
      </c>
    </row>
    <row r="3798" spans="7:7" x14ac:dyDescent="0.3">
      <c r="G3798" s="391" t="s">
        <v>9567</v>
      </c>
    </row>
    <row r="3799" spans="7:7" x14ac:dyDescent="0.3">
      <c r="G3799" s="391" t="s">
        <v>9567</v>
      </c>
    </row>
    <row r="3800" spans="7:7" x14ac:dyDescent="0.3">
      <c r="G3800" s="391" t="s">
        <v>9567</v>
      </c>
    </row>
    <row r="3801" spans="7:7" x14ac:dyDescent="0.3">
      <c r="G3801" s="391" t="s">
        <v>9567</v>
      </c>
    </row>
    <row r="3802" spans="7:7" x14ac:dyDescent="0.3">
      <c r="G3802" s="391" t="s">
        <v>9567</v>
      </c>
    </row>
    <row r="3803" spans="7:7" x14ac:dyDescent="0.3">
      <c r="G3803" s="391" t="s">
        <v>9567</v>
      </c>
    </row>
    <row r="3804" spans="7:7" x14ac:dyDescent="0.3">
      <c r="G3804" s="391" t="s">
        <v>9567</v>
      </c>
    </row>
    <row r="3805" spans="7:7" x14ac:dyDescent="0.3">
      <c r="G3805" s="391" t="s">
        <v>9567</v>
      </c>
    </row>
    <row r="3806" spans="7:7" x14ac:dyDescent="0.3">
      <c r="G3806" s="391" t="s">
        <v>9567</v>
      </c>
    </row>
    <row r="3807" spans="7:7" x14ac:dyDescent="0.3">
      <c r="G3807" s="391" t="s">
        <v>9567</v>
      </c>
    </row>
    <row r="3808" spans="7:7" x14ac:dyDescent="0.3">
      <c r="G3808" s="391" t="s">
        <v>9567</v>
      </c>
    </row>
    <row r="3809" spans="7:7" x14ac:dyDescent="0.3">
      <c r="G3809" s="391" t="s">
        <v>9567</v>
      </c>
    </row>
    <row r="3810" spans="7:7" x14ac:dyDescent="0.3">
      <c r="G3810" s="391" t="s">
        <v>9567</v>
      </c>
    </row>
    <row r="3811" spans="7:7" x14ac:dyDescent="0.3">
      <c r="G3811" s="391" t="s">
        <v>9567</v>
      </c>
    </row>
    <row r="3812" spans="7:7" x14ac:dyDescent="0.3">
      <c r="G3812" s="391" t="s">
        <v>9567</v>
      </c>
    </row>
    <row r="3813" spans="7:7" x14ac:dyDescent="0.3">
      <c r="G3813" s="391" t="s">
        <v>9567</v>
      </c>
    </row>
    <row r="3814" spans="7:7" x14ac:dyDescent="0.3">
      <c r="G3814" s="391" t="s">
        <v>9567</v>
      </c>
    </row>
    <row r="3815" spans="7:7" x14ac:dyDescent="0.3">
      <c r="G3815" s="391" t="s">
        <v>9567</v>
      </c>
    </row>
    <row r="3816" spans="7:7" x14ac:dyDescent="0.3">
      <c r="G3816" s="391" t="s">
        <v>9567</v>
      </c>
    </row>
    <row r="3817" spans="7:7" x14ac:dyDescent="0.3">
      <c r="G3817" s="391" t="s">
        <v>9567</v>
      </c>
    </row>
    <row r="3818" spans="7:7" x14ac:dyDescent="0.3">
      <c r="G3818" s="391" t="s">
        <v>9567</v>
      </c>
    </row>
    <row r="3819" spans="7:7" x14ac:dyDescent="0.3">
      <c r="G3819" s="391" t="s">
        <v>9567</v>
      </c>
    </row>
    <row r="3820" spans="7:7" x14ac:dyDescent="0.3">
      <c r="G3820" s="391" t="s">
        <v>9567</v>
      </c>
    </row>
    <row r="3821" spans="7:7" x14ac:dyDescent="0.3">
      <c r="G3821" s="391" t="s">
        <v>9567</v>
      </c>
    </row>
    <row r="3822" spans="7:7" x14ac:dyDescent="0.3">
      <c r="G3822" s="391" t="s">
        <v>9567</v>
      </c>
    </row>
    <row r="3823" spans="7:7" x14ac:dyDescent="0.3">
      <c r="G3823" s="391" t="s">
        <v>9567</v>
      </c>
    </row>
    <row r="3824" spans="7:7" x14ac:dyDescent="0.3">
      <c r="G3824" s="391" t="s">
        <v>9567</v>
      </c>
    </row>
    <row r="3825" spans="7:7" x14ac:dyDescent="0.3">
      <c r="G3825" s="391" t="s">
        <v>9567</v>
      </c>
    </row>
    <row r="3826" spans="7:7" x14ac:dyDescent="0.3">
      <c r="G3826" s="391" t="s">
        <v>9567</v>
      </c>
    </row>
    <row r="3827" spans="7:7" x14ac:dyDescent="0.3">
      <c r="G3827" s="391" t="s">
        <v>9567</v>
      </c>
    </row>
    <row r="3828" spans="7:7" x14ac:dyDescent="0.3">
      <c r="G3828" s="391" t="s">
        <v>9567</v>
      </c>
    </row>
    <row r="3829" spans="7:7" x14ac:dyDescent="0.3">
      <c r="G3829" s="391" t="s">
        <v>9567</v>
      </c>
    </row>
    <row r="3830" spans="7:7" x14ac:dyDescent="0.3">
      <c r="G3830" s="391" t="s">
        <v>9567</v>
      </c>
    </row>
    <row r="3831" spans="7:7" x14ac:dyDescent="0.3">
      <c r="G3831" s="391" t="s">
        <v>9567</v>
      </c>
    </row>
    <row r="3832" spans="7:7" x14ac:dyDescent="0.3">
      <c r="G3832" s="391" t="s">
        <v>9567</v>
      </c>
    </row>
    <row r="3833" spans="7:7" x14ac:dyDescent="0.3">
      <c r="G3833" s="391" t="s">
        <v>9567</v>
      </c>
    </row>
    <row r="3834" spans="7:7" x14ac:dyDescent="0.3">
      <c r="G3834" s="391" t="s">
        <v>9567</v>
      </c>
    </row>
    <row r="3835" spans="7:7" x14ac:dyDescent="0.3">
      <c r="G3835" s="391" t="s">
        <v>9567</v>
      </c>
    </row>
    <row r="3836" spans="7:7" x14ac:dyDescent="0.3">
      <c r="G3836" s="391" t="s">
        <v>9567</v>
      </c>
    </row>
    <row r="3837" spans="7:7" x14ac:dyDescent="0.3">
      <c r="G3837" s="391" t="s">
        <v>9567</v>
      </c>
    </row>
    <row r="3838" spans="7:7" x14ac:dyDescent="0.3">
      <c r="G3838" s="391" t="s">
        <v>9567</v>
      </c>
    </row>
    <row r="3839" spans="7:7" x14ac:dyDescent="0.3">
      <c r="G3839" s="391" t="s">
        <v>9567</v>
      </c>
    </row>
    <row r="3840" spans="7:7" x14ac:dyDescent="0.3">
      <c r="G3840" s="391" t="s">
        <v>9567</v>
      </c>
    </row>
    <row r="3841" spans="7:7" x14ac:dyDescent="0.3">
      <c r="G3841" s="391" t="s">
        <v>9567</v>
      </c>
    </row>
    <row r="3842" spans="7:7" x14ac:dyDescent="0.3">
      <c r="G3842" s="391" t="s">
        <v>9567</v>
      </c>
    </row>
    <row r="3843" spans="7:7" x14ac:dyDescent="0.3">
      <c r="G3843" s="391" t="s">
        <v>9567</v>
      </c>
    </row>
    <row r="3844" spans="7:7" x14ac:dyDescent="0.3">
      <c r="G3844" s="391" t="s">
        <v>9567</v>
      </c>
    </row>
    <row r="3845" spans="7:7" x14ac:dyDescent="0.3">
      <c r="G3845" s="391" t="s">
        <v>9567</v>
      </c>
    </row>
    <row r="3846" spans="7:7" x14ac:dyDescent="0.3">
      <c r="G3846" s="391" t="s">
        <v>9567</v>
      </c>
    </row>
    <row r="3847" spans="7:7" x14ac:dyDescent="0.3">
      <c r="G3847" s="391" t="s">
        <v>9567</v>
      </c>
    </row>
    <row r="3848" spans="7:7" x14ac:dyDescent="0.3">
      <c r="G3848" s="391" t="s">
        <v>9567</v>
      </c>
    </row>
    <row r="3849" spans="7:7" x14ac:dyDescent="0.3">
      <c r="G3849" s="391" t="s">
        <v>9567</v>
      </c>
    </row>
    <row r="3850" spans="7:7" x14ac:dyDescent="0.3">
      <c r="G3850" s="391" t="s">
        <v>9567</v>
      </c>
    </row>
    <row r="3851" spans="7:7" x14ac:dyDescent="0.3">
      <c r="G3851" s="391" t="s">
        <v>9567</v>
      </c>
    </row>
    <row r="3852" spans="7:7" x14ac:dyDescent="0.3">
      <c r="G3852" s="391" t="s">
        <v>9567</v>
      </c>
    </row>
    <row r="3853" spans="7:7" x14ac:dyDescent="0.3">
      <c r="G3853" s="391" t="s">
        <v>9567</v>
      </c>
    </row>
    <row r="3854" spans="7:7" x14ac:dyDescent="0.3">
      <c r="G3854" s="391" t="s">
        <v>9567</v>
      </c>
    </row>
    <row r="3855" spans="7:7" x14ac:dyDescent="0.3">
      <c r="G3855" s="391" t="s">
        <v>9567</v>
      </c>
    </row>
    <row r="3856" spans="7:7" x14ac:dyDescent="0.3">
      <c r="G3856" s="391" t="s">
        <v>9567</v>
      </c>
    </row>
    <row r="3857" spans="7:7" x14ac:dyDescent="0.3">
      <c r="G3857" s="391" t="s">
        <v>9567</v>
      </c>
    </row>
    <row r="3858" spans="7:7" x14ac:dyDescent="0.3">
      <c r="G3858" s="391" t="s">
        <v>9567</v>
      </c>
    </row>
    <row r="3859" spans="7:7" x14ac:dyDescent="0.3">
      <c r="G3859" s="391" t="s">
        <v>9567</v>
      </c>
    </row>
    <row r="3860" spans="7:7" x14ac:dyDescent="0.3">
      <c r="G3860" s="391" t="s">
        <v>9567</v>
      </c>
    </row>
    <row r="3861" spans="7:7" x14ac:dyDescent="0.3">
      <c r="G3861" s="391" t="s">
        <v>9567</v>
      </c>
    </row>
    <row r="3862" spans="7:7" x14ac:dyDescent="0.3">
      <c r="G3862" s="391" t="s">
        <v>9567</v>
      </c>
    </row>
    <row r="3863" spans="7:7" x14ac:dyDescent="0.3">
      <c r="G3863" s="391" t="s">
        <v>9567</v>
      </c>
    </row>
    <row r="3864" spans="7:7" x14ac:dyDescent="0.3">
      <c r="G3864" s="391" t="s">
        <v>9567</v>
      </c>
    </row>
    <row r="3865" spans="7:7" x14ac:dyDescent="0.3">
      <c r="G3865" s="391" t="s">
        <v>9567</v>
      </c>
    </row>
    <row r="3866" spans="7:7" x14ac:dyDescent="0.3">
      <c r="G3866" s="391" t="s">
        <v>9567</v>
      </c>
    </row>
    <row r="3867" spans="7:7" x14ac:dyDescent="0.3">
      <c r="G3867" s="391" t="s">
        <v>9567</v>
      </c>
    </row>
    <row r="3868" spans="7:7" x14ac:dyDescent="0.3">
      <c r="G3868" s="391" t="s">
        <v>9567</v>
      </c>
    </row>
    <row r="3869" spans="7:7" x14ac:dyDescent="0.3">
      <c r="G3869" s="391" t="s">
        <v>9567</v>
      </c>
    </row>
    <row r="3870" spans="7:7" x14ac:dyDescent="0.3">
      <c r="G3870" s="391" t="s">
        <v>9567</v>
      </c>
    </row>
    <row r="3871" spans="7:7" x14ac:dyDescent="0.3">
      <c r="G3871" s="391" t="s">
        <v>9567</v>
      </c>
    </row>
    <row r="3872" spans="7:7" x14ac:dyDescent="0.3">
      <c r="G3872" s="391" t="s">
        <v>9567</v>
      </c>
    </row>
    <row r="3873" spans="7:7" x14ac:dyDescent="0.3">
      <c r="G3873" s="391" t="s">
        <v>9567</v>
      </c>
    </row>
    <row r="3874" spans="7:7" x14ac:dyDescent="0.3">
      <c r="G3874" s="391" t="s">
        <v>9567</v>
      </c>
    </row>
    <row r="3875" spans="7:7" x14ac:dyDescent="0.3">
      <c r="G3875" s="391" t="s">
        <v>9567</v>
      </c>
    </row>
    <row r="3876" spans="7:7" x14ac:dyDescent="0.3">
      <c r="G3876" s="391" t="s">
        <v>9567</v>
      </c>
    </row>
    <row r="3877" spans="7:7" x14ac:dyDescent="0.3">
      <c r="G3877" s="391" t="s">
        <v>9567</v>
      </c>
    </row>
    <row r="3878" spans="7:7" x14ac:dyDescent="0.3">
      <c r="G3878" s="391" t="s">
        <v>9567</v>
      </c>
    </row>
    <row r="3879" spans="7:7" x14ac:dyDescent="0.3">
      <c r="G3879" s="391" t="s">
        <v>9567</v>
      </c>
    </row>
    <row r="3880" spans="7:7" x14ac:dyDescent="0.3">
      <c r="G3880" s="391" t="s">
        <v>9567</v>
      </c>
    </row>
    <row r="3881" spans="7:7" x14ac:dyDescent="0.3">
      <c r="G3881" s="391" t="s">
        <v>9567</v>
      </c>
    </row>
    <row r="3882" spans="7:7" x14ac:dyDescent="0.3">
      <c r="G3882" s="391" t="s">
        <v>9567</v>
      </c>
    </row>
    <row r="3883" spans="7:7" x14ac:dyDescent="0.3">
      <c r="G3883" s="391" t="s">
        <v>9567</v>
      </c>
    </row>
    <row r="3884" spans="7:7" x14ac:dyDescent="0.3">
      <c r="G3884" s="391" t="s">
        <v>9567</v>
      </c>
    </row>
    <row r="3885" spans="7:7" x14ac:dyDescent="0.3">
      <c r="G3885" s="391" t="s">
        <v>9567</v>
      </c>
    </row>
    <row r="3886" spans="7:7" x14ac:dyDescent="0.3">
      <c r="G3886" s="391" t="s">
        <v>9567</v>
      </c>
    </row>
    <row r="3887" spans="7:7" x14ac:dyDescent="0.3">
      <c r="G3887" s="391" t="s">
        <v>9567</v>
      </c>
    </row>
    <row r="3888" spans="7:7" x14ac:dyDescent="0.3">
      <c r="G3888" s="391" t="s">
        <v>9567</v>
      </c>
    </row>
    <row r="3889" spans="7:7" x14ac:dyDescent="0.3">
      <c r="G3889" s="391" t="s">
        <v>9567</v>
      </c>
    </row>
    <row r="3890" spans="7:7" x14ac:dyDescent="0.3">
      <c r="G3890" s="391" t="s">
        <v>9567</v>
      </c>
    </row>
    <row r="3891" spans="7:7" x14ac:dyDescent="0.3">
      <c r="G3891" s="391" t="s">
        <v>9567</v>
      </c>
    </row>
    <row r="3892" spans="7:7" x14ac:dyDescent="0.3">
      <c r="G3892" s="391" t="s">
        <v>9567</v>
      </c>
    </row>
    <row r="3893" spans="7:7" x14ac:dyDescent="0.3">
      <c r="G3893" s="391" t="s">
        <v>9567</v>
      </c>
    </row>
    <row r="3894" spans="7:7" x14ac:dyDescent="0.3">
      <c r="G3894" s="391" t="s">
        <v>9567</v>
      </c>
    </row>
    <row r="3895" spans="7:7" x14ac:dyDescent="0.3">
      <c r="G3895" s="391" t="s">
        <v>9567</v>
      </c>
    </row>
    <row r="3896" spans="7:7" x14ac:dyDescent="0.3">
      <c r="G3896" s="391" t="s">
        <v>9567</v>
      </c>
    </row>
    <row r="3897" spans="7:7" x14ac:dyDescent="0.3">
      <c r="G3897" s="391" t="s">
        <v>9567</v>
      </c>
    </row>
    <row r="3898" spans="7:7" x14ac:dyDescent="0.3">
      <c r="G3898" s="391" t="s">
        <v>9567</v>
      </c>
    </row>
    <row r="3899" spans="7:7" x14ac:dyDescent="0.3">
      <c r="G3899" s="391" t="s">
        <v>9567</v>
      </c>
    </row>
    <row r="3900" spans="7:7" x14ac:dyDescent="0.3">
      <c r="G3900" s="391" t="s">
        <v>9567</v>
      </c>
    </row>
    <row r="3901" spans="7:7" x14ac:dyDescent="0.3">
      <c r="G3901" s="391" t="s">
        <v>9567</v>
      </c>
    </row>
    <row r="3902" spans="7:7" x14ac:dyDescent="0.3">
      <c r="G3902" s="391" t="s">
        <v>9567</v>
      </c>
    </row>
    <row r="3903" spans="7:7" x14ac:dyDescent="0.3">
      <c r="G3903" s="391" t="s">
        <v>9567</v>
      </c>
    </row>
    <row r="3904" spans="7:7" x14ac:dyDescent="0.3">
      <c r="G3904" s="391" t="s">
        <v>9567</v>
      </c>
    </row>
    <row r="3905" spans="7:7" x14ac:dyDescent="0.3">
      <c r="G3905" s="391" t="s">
        <v>9567</v>
      </c>
    </row>
    <row r="3906" spans="7:7" x14ac:dyDescent="0.3">
      <c r="G3906" s="391" t="s">
        <v>9567</v>
      </c>
    </row>
    <row r="3907" spans="7:7" x14ac:dyDescent="0.3">
      <c r="G3907" s="391" t="s">
        <v>9567</v>
      </c>
    </row>
    <row r="3908" spans="7:7" x14ac:dyDescent="0.3">
      <c r="G3908" s="391" t="s">
        <v>9567</v>
      </c>
    </row>
    <row r="3909" spans="7:7" x14ac:dyDescent="0.3">
      <c r="G3909" s="391" t="s">
        <v>9567</v>
      </c>
    </row>
    <row r="3910" spans="7:7" x14ac:dyDescent="0.3">
      <c r="G3910" s="391" t="s">
        <v>9567</v>
      </c>
    </row>
    <row r="3911" spans="7:7" x14ac:dyDescent="0.3">
      <c r="G3911" s="391" t="s">
        <v>9567</v>
      </c>
    </row>
    <row r="3912" spans="7:7" x14ac:dyDescent="0.3">
      <c r="G3912" s="391" t="s">
        <v>9567</v>
      </c>
    </row>
    <row r="3913" spans="7:7" x14ac:dyDescent="0.3">
      <c r="G3913" s="391" t="s">
        <v>9567</v>
      </c>
    </row>
    <row r="3914" spans="7:7" x14ac:dyDescent="0.3">
      <c r="G3914" s="391" t="s">
        <v>9567</v>
      </c>
    </row>
    <row r="3915" spans="7:7" x14ac:dyDescent="0.3">
      <c r="G3915" s="391" t="s">
        <v>9567</v>
      </c>
    </row>
    <row r="3916" spans="7:7" x14ac:dyDescent="0.3">
      <c r="G3916" s="391" t="s">
        <v>9567</v>
      </c>
    </row>
    <row r="3917" spans="7:7" x14ac:dyDescent="0.3">
      <c r="G3917" s="391" t="s">
        <v>9567</v>
      </c>
    </row>
    <row r="3918" spans="7:7" x14ac:dyDescent="0.3">
      <c r="G3918" s="391" t="s">
        <v>9567</v>
      </c>
    </row>
    <row r="3919" spans="7:7" x14ac:dyDescent="0.3">
      <c r="G3919" s="391" t="s">
        <v>9567</v>
      </c>
    </row>
    <row r="3920" spans="7:7" x14ac:dyDescent="0.3">
      <c r="G3920" s="391" t="s">
        <v>9567</v>
      </c>
    </row>
    <row r="3921" spans="7:7" x14ac:dyDescent="0.3">
      <c r="G3921" s="391" t="s">
        <v>9567</v>
      </c>
    </row>
    <row r="3922" spans="7:7" x14ac:dyDescent="0.3">
      <c r="G3922" s="391" t="s">
        <v>9567</v>
      </c>
    </row>
    <row r="3923" spans="7:7" x14ac:dyDescent="0.3">
      <c r="G3923" s="391" t="s">
        <v>9567</v>
      </c>
    </row>
    <row r="3924" spans="7:7" x14ac:dyDescent="0.3">
      <c r="G3924" s="391" t="s">
        <v>9567</v>
      </c>
    </row>
    <row r="3925" spans="7:7" x14ac:dyDescent="0.3">
      <c r="G3925" s="391" t="s">
        <v>9567</v>
      </c>
    </row>
    <row r="3926" spans="7:7" x14ac:dyDescent="0.3">
      <c r="G3926" s="391" t="s">
        <v>9567</v>
      </c>
    </row>
    <row r="3927" spans="7:7" x14ac:dyDescent="0.3">
      <c r="G3927" s="391" t="s">
        <v>9567</v>
      </c>
    </row>
    <row r="3928" spans="7:7" x14ac:dyDescent="0.3">
      <c r="G3928" s="391" t="s">
        <v>9567</v>
      </c>
    </row>
    <row r="3929" spans="7:7" x14ac:dyDescent="0.3">
      <c r="G3929" s="391" t="s">
        <v>9567</v>
      </c>
    </row>
    <row r="3930" spans="7:7" x14ac:dyDescent="0.3">
      <c r="G3930" s="391" t="s">
        <v>9567</v>
      </c>
    </row>
    <row r="3931" spans="7:7" x14ac:dyDescent="0.3">
      <c r="G3931" s="391" t="s">
        <v>9567</v>
      </c>
    </row>
    <row r="3932" spans="7:7" x14ac:dyDescent="0.3">
      <c r="G3932" s="391" t="s">
        <v>9567</v>
      </c>
    </row>
    <row r="3933" spans="7:7" x14ac:dyDescent="0.3">
      <c r="G3933" s="391" t="s">
        <v>9567</v>
      </c>
    </row>
    <row r="3934" spans="7:7" x14ac:dyDescent="0.3">
      <c r="G3934" s="391" t="s">
        <v>9567</v>
      </c>
    </row>
    <row r="3935" spans="7:7" x14ac:dyDescent="0.3">
      <c r="G3935" s="391" t="s">
        <v>9567</v>
      </c>
    </row>
    <row r="3936" spans="7:7" x14ac:dyDescent="0.3">
      <c r="G3936" s="391" t="s">
        <v>9567</v>
      </c>
    </row>
    <row r="3937" spans="7:7" x14ac:dyDescent="0.3">
      <c r="G3937" s="391" t="s">
        <v>9567</v>
      </c>
    </row>
    <row r="3938" spans="7:7" x14ac:dyDescent="0.3">
      <c r="G3938" s="391" t="s">
        <v>9567</v>
      </c>
    </row>
    <row r="3939" spans="7:7" x14ac:dyDescent="0.3">
      <c r="G3939" s="391" t="s">
        <v>9567</v>
      </c>
    </row>
    <row r="3940" spans="7:7" x14ac:dyDescent="0.3">
      <c r="G3940" s="391" t="s">
        <v>9567</v>
      </c>
    </row>
    <row r="3941" spans="7:7" x14ac:dyDescent="0.3">
      <c r="G3941" s="391" t="s">
        <v>9567</v>
      </c>
    </row>
    <row r="3942" spans="7:7" x14ac:dyDescent="0.3">
      <c r="G3942" s="391" t="s">
        <v>9567</v>
      </c>
    </row>
    <row r="3943" spans="7:7" x14ac:dyDescent="0.3">
      <c r="G3943" s="391" t="s">
        <v>9567</v>
      </c>
    </row>
    <row r="3944" spans="7:7" x14ac:dyDescent="0.3">
      <c r="G3944" s="391" t="s">
        <v>9567</v>
      </c>
    </row>
    <row r="3945" spans="7:7" x14ac:dyDescent="0.3">
      <c r="G3945" s="391" t="s">
        <v>9567</v>
      </c>
    </row>
    <row r="3946" spans="7:7" x14ac:dyDescent="0.3">
      <c r="G3946" s="391" t="s">
        <v>9567</v>
      </c>
    </row>
    <row r="3947" spans="7:7" x14ac:dyDescent="0.3">
      <c r="G3947" s="391" t="s">
        <v>9567</v>
      </c>
    </row>
    <row r="3948" spans="7:7" x14ac:dyDescent="0.3">
      <c r="G3948" s="391" t="s">
        <v>9567</v>
      </c>
    </row>
    <row r="3949" spans="7:7" x14ac:dyDescent="0.3">
      <c r="G3949" s="391" t="s">
        <v>9567</v>
      </c>
    </row>
    <row r="3950" spans="7:7" x14ac:dyDescent="0.3">
      <c r="G3950" s="391" t="s">
        <v>9567</v>
      </c>
    </row>
    <row r="3951" spans="7:7" x14ac:dyDescent="0.3">
      <c r="G3951" s="391" t="s">
        <v>9567</v>
      </c>
    </row>
    <row r="3952" spans="7:7" x14ac:dyDescent="0.3">
      <c r="G3952" s="391" t="s">
        <v>9567</v>
      </c>
    </row>
    <row r="3953" spans="7:7" x14ac:dyDescent="0.3">
      <c r="G3953" s="391" t="s">
        <v>9567</v>
      </c>
    </row>
    <row r="3954" spans="7:7" x14ac:dyDescent="0.3">
      <c r="G3954" s="391" t="s">
        <v>9567</v>
      </c>
    </row>
    <row r="3955" spans="7:7" x14ac:dyDescent="0.3">
      <c r="G3955" s="391" t="s">
        <v>9567</v>
      </c>
    </row>
    <row r="3956" spans="7:7" x14ac:dyDescent="0.3">
      <c r="G3956" s="391" t="s">
        <v>9567</v>
      </c>
    </row>
    <row r="3957" spans="7:7" x14ac:dyDescent="0.3">
      <c r="G3957" s="391" t="s">
        <v>9567</v>
      </c>
    </row>
    <row r="3958" spans="7:7" x14ac:dyDescent="0.3">
      <c r="G3958" s="391" t="s">
        <v>9567</v>
      </c>
    </row>
    <row r="3959" spans="7:7" x14ac:dyDescent="0.3">
      <c r="G3959" s="391" t="s">
        <v>9567</v>
      </c>
    </row>
    <row r="3960" spans="7:7" x14ac:dyDescent="0.3">
      <c r="G3960" s="391" t="s">
        <v>9567</v>
      </c>
    </row>
    <row r="3961" spans="7:7" x14ac:dyDescent="0.3">
      <c r="G3961" s="391" t="s">
        <v>9567</v>
      </c>
    </row>
    <row r="3962" spans="7:7" x14ac:dyDescent="0.3">
      <c r="G3962" s="391" t="s">
        <v>9567</v>
      </c>
    </row>
    <row r="3963" spans="7:7" x14ac:dyDescent="0.3">
      <c r="G3963" s="391" t="s">
        <v>9567</v>
      </c>
    </row>
    <row r="3964" spans="7:7" x14ac:dyDescent="0.3">
      <c r="G3964" s="391" t="s">
        <v>9567</v>
      </c>
    </row>
    <row r="3965" spans="7:7" x14ac:dyDescent="0.3">
      <c r="G3965" s="391" t="s">
        <v>9567</v>
      </c>
    </row>
    <row r="3966" spans="7:7" x14ac:dyDescent="0.3">
      <c r="G3966" s="391" t="s">
        <v>9567</v>
      </c>
    </row>
    <row r="3967" spans="7:7" x14ac:dyDescent="0.3">
      <c r="G3967" s="391" t="s">
        <v>9567</v>
      </c>
    </row>
    <row r="3968" spans="7:7" x14ac:dyDescent="0.3">
      <c r="G3968" s="391" t="s">
        <v>9567</v>
      </c>
    </row>
    <row r="3969" spans="7:7" x14ac:dyDescent="0.3">
      <c r="G3969" s="391" t="s">
        <v>9567</v>
      </c>
    </row>
    <row r="3970" spans="7:7" x14ac:dyDescent="0.3">
      <c r="G3970" s="391" t="s">
        <v>9567</v>
      </c>
    </row>
    <row r="3971" spans="7:7" x14ac:dyDescent="0.3">
      <c r="G3971" s="391" t="s">
        <v>9567</v>
      </c>
    </row>
    <row r="3972" spans="7:7" x14ac:dyDescent="0.3">
      <c r="G3972" s="391" t="s">
        <v>9567</v>
      </c>
    </row>
    <row r="3973" spans="7:7" x14ac:dyDescent="0.3">
      <c r="G3973" s="391" t="s">
        <v>9567</v>
      </c>
    </row>
    <row r="3974" spans="7:7" x14ac:dyDescent="0.3">
      <c r="G3974" s="391" t="s">
        <v>9567</v>
      </c>
    </row>
    <row r="3975" spans="7:7" x14ac:dyDescent="0.3">
      <c r="G3975" s="391" t="s">
        <v>9567</v>
      </c>
    </row>
    <row r="3976" spans="7:7" x14ac:dyDescent="0.3">
      <c r="G3976" s="391" t="s">
        <v>9567</v>
      </c>
    </row>
    <row r="3977" spans="7:7" x14ac:dyDescent="0.3">
      <c r="G3977" s="391" t="s">
        <v>9567</v>
      </c>
    </row>
    <row r="3978" spans="7:7" x14ac:dyDescent="0.3">
      <c r="G3978" s="391" t="s">
        <v>9567</v>
      </c>
    </row>
    <row r="3979" spans="7:7" x14ac:dyDescent="0.3">
      <c r="G3979" s="391" t="s">
        <v>9567</v>
      </c>
    </row>
    <row r="3980" spans="7:7" x14ac:dyDescent="0.3">
      <c r="G3980" s="391" t="s">
        <v>9567</v>
      </c>
    </row>
    <row r="3981" spans="7:7" x14ac:dyDescent="0.3">
      <c r="G3981" s="391" t="s">
        <v>9567</v>
      </c>
    </row>
    <row r="3982" spans="7:7" x14ac:dyDescent="0.3">
      <c r="G3982" s="391" t="s">
        <v>9567</v>
      </c>
    </row>
    <row r="3983" spans="7:7" x14ac:dyDescent="0.3">
      <c r="G3983" s="391" t="s">
        <v>9567</v>
      </c>
    </row>
    <row r="3984" spans="7:7" x14ac:dyDescent="0.3">
      <c r="G3984" s="391" t="s">
        <v>9567</v>
      </c>
    </row>
    <row r="3985" spans="7:7" x14ac:dyDescent="0.3">
      <c r="G3985" s="391" t="s">
        <v>9567</v>
      </c>
    </row>
    <row r="3986" spans="7:7" x14ac:dyDescent="0.3">
      <c r="G3986" s="391" t="s">
        <v>9567</v>
      </c>
    </row>
    <row r="3987" spans="7:7" x14ac:dyDescent="0.3">
      <c r="G3987" s="391" t="s">
        <v>9567</v>
      </c>
    </row>
    <row r="3988" spans="7:7" x14ac:dyDescent="0.3">
      <c r="G3988" s="391" t="s">
        <v>9567</v>
      </c>
    </row>
    <row r="3989" spans="7:7" x14ac:dyDescent="0.3">
      <c r="G3989" s="391" t="s">
        <v>9567</v>
      </c>
    </row>
    <row r="3990" spans="7:7" x14ac:dyDescent="0.3">
      <c r="G3990" s="391" t="s">
        <v>9567</v>
      </c>
    </row>
    <row r="3991" spans="7:7" x14ac:dyDescent="0.3">
      <c r="G3991" s="391" t="s">
        <v>9567</v>
      </c>
    </row>
    <row r="3992" spans="7:7" x14ac:dyDescent="0.3">
      <c r="G3992" s="391" t="s">
        <v>9567</v>
      </c>
    </row>
    <row r="3993" spans="7:7" x14ac:dyDescent="0.3">
      <c r="G3993" s="391" t="s">
        <v>9567</v>
      </c>
    </row>
    <row r="3994" spans="7:7" x14ac:dyDescent="0.3">
      <c r="G3994" s="391" t="s">
        <v>9567</v>
      </c>
    </row>
    <row r="3995" spans="7:7" x14ac:dyDescent="0.3">
      <c r="G3995" s="391" t="s">
        <v>9567</v>
      </c>
    </row>
    <row r="3996" spans="7:7" x14ac:dyDescent="0.3">
      <c r="G3996" s="391" t="s">
        <v>9567</v>
      </c>
    </row>
    <row r="3997" spans="7:7" x14ac:dyDescent="0.3">
      <c r="G3997" s="391" t="s">
        <v>9567</v>
      </c>
    </row>
    <row r="3998" spans="7:7" x14ac:dyDescent="0.3">
      <c r="G3998" s="391" t="s">
        <v>9567</v>
      </c>
    </row>
    <row r="3999" spans="7:7" x14ac:dyDescent="0.3">
      <c r="G3999" s="391" t="s">
        <v>9567</v>
      </c>
    </row>
    <row r="4000" spans="7:7" x14ac:dyDescent="0.3">
      <c r="G4000" s="391" t="s">
        <v>9567</v>
      </c>
    </row>
    <row r="4001" spans="7:7" x14ac:dyDescent="0.3">
      <c r="G4001" s="391" t="s">
        <v>9567</v>
      </c>
    </row>
    <row r="4002" spans="7:7" x14ac:dyDescent="0.3">
      <c r="G4002" s="391" t="s">
        <v>9567</v>
      </c>
    </row>
    <row r="4003" spans="7:7" x14ac:dyDescent="0.3">
      <c r="G4003" s="391" t="s">
        <v>9567</v>
      </c>
    </row>
    <row r="4004" spans="7:7" x14ac:dyDescent="0.3">
      <c r="G4004" s="391" t="s">
        <v>9567</v>
      </c>
    </row>
    <row r="4005" spans="7:7" x14ac:dyDescent="0.3">
      <c r="G4005" s="391" t="s">
        <v>9567</v>
      </c>
    </row>
    <row r="4006" spans="7:7" x14ac:dyDescent="0.3">
      <c r="G4006" s="391" t="s">
        <v>9567</v>
      </c>
    </row>
    <row r="4007" spans="7:7" x14ac:dyDescent="0.3">
      <c r="G4007" s="391" t="s">
        <v>9567</v>
      </c>
    </row>
    <row r="4008" spans="7:7" x14ac:dyDescent="0.3">
      <c r="G4008" s="391" t="s">
        <v>9567</v>
      </c>
    </row>
    <row r="4009" spans="7:7" x14ac:dyDescent="0.3">
      <c r="G4009" s="391" t="s">
        <v>9567</v>
      </c>
    </row>
    <row r="4010" spans="7:7" x14ac:dyDescent="0.3">
      <c r="G4010" s="391" t="s">
        <v>9567</v>
      </c>
    </row>
    <row r="4011" spans="7:7" x14ac:dyDescent="0.3">
      <c r="G4011" s="391" t="s">
        <v>9567</v>
      </c>
    </row>
    <row r="4012" spans="7:7" x14ac:dyDescent="0.3">
      <c r="G4012" s="391" t="s">
        <v>9567</v>
      </c>
    </row>
    <row r="4013" spans="7:7" x14ac:dyDescent="0.3">
      <c r="G4013" s="391" t="s">
        <v>9567</v>
      </c>
    </row>
    <row r="4014" spans="7:7" x14ac:dyDescent="0.3">
      <c r="G4014" s="391" t="s">
        <v>9567</v>
      </c>
    </row>
    <row r="4015" spans="7:7" x14ac:dyDescent="0.3">
      <c r="G4015" s="391" t="s">
        <v>9567</v>
      </c>
    </row>
    <row r="4016" spans="7:7" x14ac:dyDescent="0.3">
      <c r="G4016" s="391" t="s">
        <v>9567</v>
      </c>
    </row>
    <row r="4017" spans="7:7" x14ac:dyDescent="0.3">
      <c r="G4017" s="391" t="s">
        <v>9567</v>
      </c>
    </row>
    <row r="4018" spans="7:7" x14ac:dyDescent="0.3">
      <c r="G4018" s="391" t="s">
        <v>9567</v>
      </c>
    </row>
    <row r="4019" spans="7:7" x14ac:dyDescent="0.3">
      <c r="G4019" s="391" t="s">
        <v>9567</v>
      </c>
    </row>
    <row r="4020" spans="7:7" x14ac:dyDescent="0.3">
      <c r="G4020" s="391" t="s">
        <v>9567</v>
      </c>
    </row>
    <row r="4021" spans="7:7" x14ac:dyDescent="0.3">
      <c r="G4021" s="391" t="s">
        <v>9567</v>
      </c>
    </row>
    <row r="4022" spans="7:7" x14ac:dyDescent="0.3">
      <c r="G4022" s="391" t="s">
        <v>9567</v>
      </c>
    </row>
    <row r="4023" spans="7:7" x14ac:dyDescent="0.3">
      <c r="G4023" s="391" t="s">
        <v>9567</v>
      </c>
    </row>
    <row r="4024" spans="7:7" x14ac:dyDescent="0.3">
      <c r="G4024" s="391" t="s">
        <v>9567</v>
      </c>
    </row>
    <row r="4025" spans="7:7" x14ac:dyDescent="0.3">
      <c r="G4025" s="391" t="s">
        <v>9567</v>
      </c>
    </row>
    <row r="4026" spans="7:7" x14ac:dyDescent="0.3">
      <c r="G4026" s="391" t="s">
        <v>9567</v>
      </c>
    </row>
    <row r="4027" spans="7:7" x14ac:dyDescent="0.3">
      <c r="G4027" s="391" t="s">
        <v>9567</v>
      </c>
    </row>
    <row r="4028" spans="7:7" x14ac:dyDescent="0.3">
      <c r="G4028" s="391" t="s">
        <v>9567</v>
      </c>
    </row>
    <row r="4029" spans="7:7" x14ac:dyDescent="0.3">
      <c r="G4029" s="391" t="s">
        <v>9567</v>
      </c>
    </row>
    <row r="4030" spans="7:7" x14ac:dyDescent="0.3">
      <c r="G4030" s="391" t="s">
        <v>9567</v>
      </c>
    </row>
    <row r="4031" spans="7:7" x14ac:dyDescent="0.3">
      <c r="G4031" s="391" t="s">
        <v>9567</v>
      </c>
    </row>
    <row r="4032" spans="7:7" x14ac:dyDescent="0.3">
      <c r="G4032" s="391" t="s">
        <v>9567</v>
      </c>
    </row>
    <row r="4033" spans="7:7" x14ac:dyDescent="0.3">
      <c r="G4033" s="391" t="s">
        <v>9567</v>
      </c>
    </row>
    <row r="4034" spans="7:7" x14ac:dyDescent="0.3">
      <c r="G4034" s="391" t="s">
        <v>9567</v>
      </c>
    </row>
    <row r="4035" spans="7:7" x14ac:dyDescent="0.3">
      <c r="G4035" s="391" t="s">
        <v>9567</v>
      </c>
    </row>
    <row r="4036" spans="7:7" x14ac:dyDescent="0.3">
      <c r="G4036" s="391" t="s">
        <v>9567</v>
      </c>
    </row>
    <row r="4037" spans="7:7" x14ac:dyDescent="0.3">
      <c r="G4037" s="391" t="s">
        <v>9567</v>
      </c>
    </row>
    <row r="4038" spans="7:7" x14ac:dyDescent="0.3">
      <c r="G4038" s="391" t="s">
        <v>9567</v>
      </c>
    </row>
    <row r="4039" spans="7:7" x14ac:dyDescent="0.3">
      <c r="G4039" s="391" t="s">
        <v>9567</v>
      </c>
    </row>
    <row r="4040" spans="7:7" x14ac:dyDescent="0.3">
      <c r="G4040" s="391" t="s">
        <v>9567</v>
      </c>
    </row>
    <row r="4041" spans="7:7" x14ac:dyDescent="0.3">
      <c r="G4041" s="391" t="s">
        <v>9567</v>
      </c>
    </row>
    <row r="4042" spans="7:7" x14ac:dyDescent="0.3">
      <c r="G4042" s="391" t="s">
        <v>9567</v>
      </c>
    </row>
    <row r="4043" spans="7:7" x14ac:dyDescent="0.3">
      <c r="G4043" s="391" t="s">
        <v>9567</v>
      </c>
    </row>
    <row r="4044" spans="7:7" x14ac:dyDescent="0.3">
      <c r="G4044" s="391" t="s">
        <v>9567</v>
      </c>
    </row>
    <row r="4045" spans="7:7" x14ac:dyDescent="0.3">
      <c r="G4045" s="391" t="s">
        <v>9567</v>
      </c>
    </row>
    <row r="4046" spans="7:7" x14ac:dyDescent="0.3">
      <c r="G4046" s="391" t="s">
        <v>9567</v>
      </c>
    </row>
    <row r="4047" spans="7:7" x14ac:dyDescent="0.3">
      <c r="G4047" s="391" t="s">
        <v>9567</v>
      </c>
    </row>
    <row r="4048" spans="7:7" x14ac:dyDescent="0.3">
      <c r="G4048" s="391" t="s">
        <v>9567</v>
      </c>
    </row>
    <row r="4049" spans="7:7" x14ac:dyDescent="0.3">
      <c r="G4049" s="391" t="s">
        <v>9567</v>
      </c>
    </row>
    <row r="4050" spans="7:7" x14ac:dyDescent="0.3">
      <c r="G4050" s="391" t="s">
        <v>9567</v>
      </c>
    </row>
    <row r="4051" spans="7:7" x14ac:dyDescent="0.3">
      <c r="G4051" s="391" t="s">
        <v>9567</v>
      </c>
    </row>
    <row r="4052" spans="7:7" x14ac:dyDescent="0.3">
      <c r="G4052" s="391" t="s">
        <v>9567</v>
      </c>
    </row>
    <row r="4053" spans="7:7" x14ac:dyDescent="0.3">
      <c r="G4053" s="391" t="s">
        <v>9567</v>
      </c>
    </row>
    <row r="4054" spans="7:7" x14ac:dyDescent="0.3">
      <c r="G4054" s="391" t="s">
        <v>9567</v>
      </c>
    </row>
    <row r="4055" spans="7:7" x14ac:dyDescent="0.3">
      <c r="G4055" s="391" t="s">
        <v>9567</v>
      </c>
    </row>
    <row r="4056" spans="7:7" x14ac:dyDescent="0.3">
      <c r="G4056" s="391" t="s">
        <v>9567</v>
      </c>
    </row>
    <row r="4057" spans="7:7" x14ac:dyDescent="0.3">
      <c r="G4057" s="391" t="s">
        <v>9567</v>
      </c>
    </row>
    <row r="4058" spans="7:7" x14ac:dyDescent="0.3">
      <c r="G4058" s="391" t="s">
        <v>9567</v>
      </c>
    </row>
    <row r="4059" spans="7:7" x14ac:dyDescent="0.3">
      <c r="G4059" s="391" t="s">
        <v>9567</v>
      </c>
    </row>
    <row r="4060" spans="7:7" x14ac:dyDescent="0.3">
      <c r="G4060" s="391" t="s">
        <v>9567</v>
      </c>
    </row>
    <row r="4061" spans="7:7" x14ac:dyDescent="0.3">
      <c r="G4061" s="391" t="s">
        <v>9567</v>
      </c>
    </row>
    <row r="4062" spans="7:7" x14ac:dyDescent="0.3">
      <c r="G4062" s="391" t="s">
        <v>9567</v>
      </c>
    </row>
    <row r="4063" spans="7:7" x14ac:dyDescent="0.3">
      <c r="G4063" s="391" t="s">
        <v>9567</v>
      </c>
    </row>
    <row r="4064" spans="7:7" x14ac:dyDescent="0.3">
      <c r="G4064" s="391" t="s">
        <v>9567</v>
      </c>
    </row>
    <row r="4065" spans="7:7" x14ac:dyDescent="0.3">
      <c r="G4065" s="391" t="s">
        <v>9567</v>
      </c>
    </row>
    <row r="4066" spans="7:7" x14ac:dyDescent="0.3">
      <c r="G4066" s="391" t="s">
        <v>9567</v>
      </c>
    </row>
    <row r="4067" spans="7:7" x14ac:dyDescent="0.3">
      <c r="G4067" s="391" t="s">
        <v>9567</v>
      </c>
    </row>
    <row r="4068" spans="7:7" x14ac:dyDescent="0.3">
      <c r="G4068" s="391" t="s">
        <v>9567</v>
      </c>
    </row>
    <row r="4069" spans="7:7" x14ac:dyDescent="0.3">
      <c r="G4069" s="391" t="s">
        <v>9567</v>
      </c>
    </row>
    <row r="4070" spans="7:7" x14ac:dyDescent="0.3">
      <c r="G4070" s="391" t="s">
        <v>9567</v>
      </c>
    </row>
    <row r="4071" spans="7:7" x14ac:dyDescent="0.3">
      <c r="G4071" s="391" t="s">
        <v>9567</v>
      </c>
    </row>
    <row r="4072" spans="7:7" x14ac:dyDescent="0.3">
      <c r="G4072" s="391" t="s">
        <v>9567</v>
      </c>
    </row>
    <row r="4073" spans="7:7" x14ac:dyDescent="0.3">
      <c r="G4073" s="391" t="s">
        <v>9567</v>
      </c>
    </row>
    <row r="4074" spans="7:7" x14ac:dyDescent="0.3">
      <c r="G4074" s="391" t="s">
        <v>9567</v>
      </c>
    </row>
    <row r="4075" spans="7:7" x14ac:dyDescent="0.3">
      <c r="G4075" s="391" t="s">
        <v>9567</v>
      </c>
    </row>
    <row r="4076" spans="7:7" x14ac:dyDescent="0.3">
      <c r="G4076" s="391" t="s">
        <v>9567</v>
      </c>
    </row>
    <row r="4077" spans="7:7" x14ac:dyDescent="0.3">
      <c r="G4077" s="391" t="s">
        <v>9567</v>
      </c>
    </row>
    <row r="4078" spans="7:7" x14ac:dyDescent="0.3">
      <c r="G4078" s="391" t="s">
        <v>9567</v>
      </c>
    </row>
    <row r="4079" spans="7:7" x14ac:dyDescent="0.3">
      <c r="G4079" s="391" t="s">
        <v>9567</v>
      </c>
    </row>
    <row r="4080" spans="7:7" x14ac:dyDescent="0.3">
      <c r="G4080" s="391" t="s">
        <v>9567</v>
      </c>
    </row>
    <row r="4081" spans="7:7" x14ac:dyDescent="0.3">
      <c r="G4081" s="391" t="s">
        <v>9567</v>
      </c>
    </row>
    <row r="4082" spans="7:7" x14ac:dyDescent="0.3">
      <c r="G4082" s="391" t="s">
        <v>9567</v>
      </c>
    </row>
    <row r="4083" spans="7:7" x14ac:dyDescent="0.3">
      <c r="G4083" s="391" t="s">
        <v>9567</v>
      </c>
    </row>
    <row r="4084" spans="7:7" x14ac:dyDescent="0.3">
      <c r="G4084" s="391" t="s">
        <v>9567</v>
      </c>
    </row>
    <row r="4085" spans="7:7" x14ac:dyDescent="0.3">
      <c r="G4085" s="391" t="s">
        <v>9567</v>
      </c>
    </row>
    <row r="4086" spans="7:7" x14ac:dyDescent="0.3">
      <c r="G4086" s="391" t="s">
        <v>9567</v>
      </c>
    </row>
    <row r="4087" spans="7:7" x14ac:dyDescent="0.3">
      <c r="G4087" s="391" t="s">
        <v>9567</v>
      </c>
    </row>
    <row r="4088" spans="7:7" x14ac:dyDescent="0.3">
      <c r="G4088" s="391" t="s">
        <v>9567</v>
      </c>
    </row>
    <row r="4089" spans="7:7" x14ac:dyDescent="0.3">
      <c r="G4089" s="391" t="s">
        <v>9567</v>
      </c>
    </row>
    <row r="4090" spans="7:7" x14ac:dyDescent="0.3">
      <c r="G4090" s="391" t="s">
        <v>9567</v>
      </c>
    </row>
    <row r="4091" spans="7:7" x14ac:dyDescent="0.3">
      <c r="G4091" s="391" t="s">
        <v>9567</v>
      </c>
    </row>
    <row r="4092" spans="7:7" x14ac:dyDescent="0.3">
      <c r="G4092" s="391" t="s">
        <v>9567</v>
      </c>
    </row>
    <row r="4093" spans="7:7" x14ac:dyDescent="0.3">
      <c r="G4093" s="391" t="s">
        <v>9567</v>
      </c>
    </row>
    <row r="4094" spans="7:7" x14ac:dyDescent="0.3">
      <c r="G4094" s="391" t="s">
        <v>9567</v>
      </c>
    </row>
    <row r="4095" spans="7:7" x14ac:dyDescent="0.3">
      <c r="G4095" s="391" t="s">
        <v>9567</v>
      </c>
    </row>
    <row r="4096" spans="7:7" x14ac:dyDescent="0.3">
      <c r="G4096" s="391" t="s">
        <v>9567</v>
      </c>
    </row>
    <row r="4097" spans="7:7" x14ac:dyDescent="0.3">
      <c r="G4097" s="391" t="s">
        <v>9567</v>
      </c>
    </row>
    <row r="4098" spans="7:7" x14ac:dyDescent="0.3">
      <c r="G4098" s="391" t="s">
        <v>9567</v>
      </c>
    </row>
    <row r="4099" spans="7:7" x14ac:dyDescent="0.3">
      <c r="G4099" s="391" t="s">
        <v>9567</v>
      </c>
    </row>
    <row r="4100" spans="7:7" x14ac:dyDescent="0.3">
      <c r="G4100" s="391" t="s">
        <v>9567</v>
      </c>
    </row>
    <row r="4101" spans="7:7" x14ac:dyDescent="0.3">
      <c r="G4101" s="391" t="s">
        <v>9567</v>
      </c>
    </row>
    <row r="4102" spans="7:7" x14ac:dyDescent="0.3">
      <c r="G4102" s="391" t="s">
        <v>9567</v>
      </c>
    </row>
    <row r="4103" spans="7:7" x14ac:dyDescent="0.3">
      <c r="G4103" s="391" t="s">
        <v>9567</v>
      </c>
    </row>
    <row r="4104" spans="7:7" x14ac:dyDescent="0.3">
      <c r="G4104" s="391" t="s">
        <v>9567</v>
      </c>
    </row>
    <row r="4105" spans="7:7" x14ac:dyDescent="0.3">
      <c r="G4105" s="391" t="s">
        <v>9567</v>
      </c>
    </row>
    <row r="4106" spans="7:7" x14ac:dyDescent="0.3">
      <c r="G4106" s="391" t="s">
        <v>9567</v>
      </c>
    </row>
    <row r="4107" spans="7:7" x14ac:dyDescent="0.3">
      <c r="G4107" s="391" t="s">
        <v>9567</v>
      </c>
    </row>
    <row r="4108" spans="7:7" x14ac:dyDescent="0.3">
      <c r="G4108" s="391" t="s">
        <v>9567</v>
      </c>
    </row>
    <row r="4109" spans="7:7" x14ac:dyDescent="0.3">
      <c r="G4109" s="391" t="s">
        <v>9567</v>
      </c>
    </row>
    <row r="4110" spans="7:7" x14ac:dyDescent="0.3">
      <c r="G4110" s="391" t="s">
        <v>9567</v>
      </c>
    </row>
    <row r="4111" spans="7:7" x14ac:dyDescent="0.3">
      <c r="G4111" s="391" t="s">
        <v>9567</v>
      </c>
    </row>
    <row r="4112" spans="7:7" x14ac:dyDescent="0.3">
      <c r="G4112" s="391" t="s">
        <v>9567</v>
      </c>
    </row>
    <row r="4113" spans="7:7" x14ac:dyDescent="0.3">
      <c r="G4113" s="391" t="s">
        <v>9567</v>
      </c>
    </row>
    <row r="4114" spans="7:7" x14ac:dyDescent="0.3">
      <c r="G4114" s="391" t="s">
        <v>9567</v>
      </c>
    </row>
    <row r="4115" spans="7:7" x14ac:dyDescent="0.3">
      <c r="G4115" s="391" t="s">
        <v>9567</v>
      </c>
    </row>
    <row r="4116" spans="7:7" x14ac:dyDescent="0.3">
      <c r="G4116" s="391" t="s">
        <v>9567</v>
      </c>
    </row>
    <row r="4117" spans="7:7" x14ac:dyDescent="0.3">
      <c r="G4117" s="391" t="s">
        <v>9567</v>
      </c>
    </row>
    <row r="4118" spans="7:7" x14ac:dyDescent="0.3">
      <c r="G4118" s="391" t="s">
        <v>9567</v>
      </c>
    </row>
    <row r="4119" spans="7:7" x14ac:dyDescent="0.3">
      <c r="G4119" s="391" t="s">
        <v>9567</v>
      </c>
    </row>
    <row r="4120" spans="7:7" x14ac:dyDescent="0.3">
      <c r="G4120" s="391" t="s">
        <v>9567</v>
      </c>
    </row>
    <row r="4121" spans="7:7" x14ac:dyDescent="0.3">
      <c r="G4121" s="391" t="s">
        <v>9567</v>
      </c>
    </row>
    <row r="4122" spans="7:7" x14ac:dyDescent="0.3">
      <c r="G4122" s="391" t="s">
        <v>9567</v>
      </c>
    </row>
    <row r="4123" spans="7:7" x14ac:dyDescent="0.3">
      <c r="G4123" s="391" t="s">
        <v>9567</v>
      </c>
    </row>
    <row r="4124" spans="7:7" x14ac:dyDescent="0.3">
      <c r="G4124" s="391" t="s">
        <v>9567</v>
      </c>
    </row>
    <row r="4125" spans="7:7" x14ac:dyDescent="0.3">
      <c r="G4125" s="391" t="s">
        <v>9567</v>
      </c>
    </row>
    <row r="4126" spans="7:7" x14ac:dyDescent="0.3">
      <c r="G4126" s="391" t="s">
        <v>9567</v>
      </c>
    </row>
    <row r="4127" spans="7:7" x14ac:dyDescent="0.3">
      <c r="G4127" s="391" t="s">
        <v>9567</v>
      </c>
    </row>
    <row r="4128" spans="7:7" x14ac:dyDescent="0.3">
      <c r="G4128" s="391" t="s">
        <v>9567</v>
      </c>
    </row>
    <row r="4129" spans="7:7" x14ac:dyDescent="0.3">
      <c r="G4129" s="391" t="s">
        <v>9567</v>
      </c>
    </row>
    <row r="4130" spans="7:7" x14ac:dyDescent="0.3">
      <c r="G4130" s="391" t="s">
        <v>9567</v>
      </c>
    </row>
    <row r="4131" spans="7:7" x14ac:dyDescent="0.3">
      <c r="G4131" s="391" t="s">
        <v>9567</v>
      </c>
    </row>
    <row r="4132" spans="7:7" x14ac:dyDescent="0.3">
      <c r="G4132" s="391" t="s">
        <v>9567</v>
      </c>
    </row>
    <row r="4133" spans="7:7" x14ac:dyDescent="0.3">
      <c r="G4133" s="391" t="s">
        <v>9567</v>
      </c>
    </row>
    <row r="4134" spans="7:7" x14ac:dyDescent="0.3">
      <c r="G4134" s="391" t="s">
        <v>9567</v>
      </c>
    </row>
    <row r="4135" spans="7:7" x14ac:dyDescent="0.3">
      <c r="G4135" s="391" t="s">
        <v>9567</v>
      </c>
    </row>
    <row r="4136" spans="7:7" x14ac:dyDescent="0.3">
      <c r="G4136" s="391" t="s">
        <v>9567</v>
      </c>
    </row>
    <row r="4137" spans="7:7" x14ac:dyDescent="0.3">
      <c r="G4137" s="391" t="s">
        <v>9567</v>
      </c>
    </row>
    <row r="4138" spans="7:7" x14ac:dyDescent="0.3">
      <c r="G4138" s="391" t="s">
        <v>9567</v>
      </c>
    </row>
    <row r="4139" spans="7:7" x14ac:dyDescent="0.3">
      <c r="G4139" s="391" t="s">
        <v>9567</v>
      </c>
    </row>
    <row r="4140" spans="7:7" x14ac:dyDescent="0.3">
      <c r="G4140" s="391" t="s">
        <v>9567</v>
      </c>
    </row>
    <row r="4141" spans="7:7" x14ac:dyDescent="0.3">
      <c r="G4141" s="391" t="s">
        <v>9567</v>
      </c>
    </row>
    <row r="4142" spans="7:7" x14ac:dyDescent="0.3">
      <c r="G4142" s="391" t="s">
        <v>9567</v>
      </c>
    </row>
    <row r="4143" spans="7:7" x14ac:dyDescent="0.3">
      <c r="G4143" s="391" t="s">
        <v>9567</v>
      </c>
    </row>
    <row r="4144" spans="7:7" x14ac:dyDescent="0.3">
      <c r="G4144" s="391" t="s">
        <v>9567</v>
      </c>
    </row>
    <row r="4145" spans="7:7" x14ac:dyDescent="0.3">
      <c r="G4145" s="391" t="s">
        <v>9567</v>
      </c>
    </row>
    <row r="4146" spans="7:7" x14ac:dyDescent="0.3">
      <c r="G4146" s="391" t="s">
        <v>9567</v>
      </c>
    </row>
    <row r="4147" spans="7:7" x14ac:dyDescent="0.3">
      <c r="G4147" s="391" t="s">
        <v>9567</v>
      </c>
    </row>
    <row r="4148" spans="7:7" x14ac:dyDescent="0.3">
      <c r="G4148" s="391" t="s">
        <v>9567</v>
      </c>
    </row>
    <row r="4149" spans="7:7" x14ac:dyDescent="0.3">
      <c r="G4149" s="391" t="s">
        <v>9567</v>
      </c>
    </row>
    <row r="4150" spans="7:7" x14ac:dyDescent="0.3">
      <c r="G4150" s="391" t="s">
        <v>9567</v>
      </c>
    </row>
    <row r="4151" spans="7:7" x14ac:dyDescent="0.3">
      <c r="G4151" s="391" t="s">
        <v>9567</v>
      </c>
    </row>
    <row r="4152" spans="7:7" x14ac:dyDescent="0.3">
      <c r="G4152" s="391" t="s">
        <v>9567</v>
      </c>
    </row>
    <row r="4153" spans="7:7" x14ac:dyDescent="0.3">
      <c r="G4153" s="391" t="s">
        <v>9567</v>
      </c>
    </row>
    <row r="4154" spans="7:7" x14ac:dyDescent="0.3">
      <c r="G4154" s="391" t="s">
        <v>9567</v>
      </c>
    </row>
    <row r="4155" spans="7:7" x14ac:dyDescent="0.3">
      <c r="G4155" s="391" t="s">
        <v>9567</v>
      </c>
    </row>
    <row r="4156" spans="7:7" x14ac:dyDescent="0.3">
      <c r="G4156" s="391" t="s">
        <v>9567</v>
      </c>
    </row>
    <row r="4157" spans="7:7" x14ac:dyDescent="0.3">
      <c r="G4157" s="391" t="s">
        <v>9567</v>
      </c>
    </row>
    <row r="4158" spans="7:7" x14ac:dyDescent="0.3">
      <c r="G4158" s="391" t="s">
        <v>9567</v>
      </c>
    </row>
    <row r="4159" spans="7:7" x14ac:dyDescent="0.3">
      <c r="G4159" s="391" t="s">
        <v>9567</v>
      </c>
    </row>
    <row r="4160" spans="7:7" x14ac:dyDescent="0.3">
      <c r="G4160" s="391" t="s">
        <v>9567</v>
      </c>
    </row>
    <row r="4161" spans="7:7" x14ac:dyDescent="0.3">
      <c r="G4161" s="391" t="s">
        <v>9567</v>
      </c>
    </row>
    <row r="4162" spans="7:7" x14ac:dyDescent="0.3">
      <c r="G4162" s="391" t="s">
        <v>9567</v>
      </c>
    </row>
    <row r="4163" spans="7:7" x14ac:dyDescent="0.3">
      <c r="G4163" s="391" t="s">
        <v>9567</v>
      </c>
    </row>
    <row r="4164" spans="7:7" x14ac:dyDescent="0.3">
      <c r="G4164" s="391" t="s">
        <v>9567</v>
      </c>
    </row>
    <row r="4165" spans="7:7" x14ac:dyDescent="0.3">
      <c r="G4165" s="391" t="s">
        <v>9567</v>
      </c>
    </row>
    <row r="4166" spans="7:7" x14ac:dyDescent="0.3">
      <c r="G4166" s="391" t="s">
        <v>9567</v>
      </c>
    </row>
    <row r="4167" spans="7:7" x14ac:dyDescent="0.3">
      <c r="G4167" s="391" t="s">
        <v>9567</v>
      </c>
    </row>
    <row r="4168" spans="7:7" x14ac:dyDescent="0.3">
      <c r="G4168" s="391" t="s">
        <v>9567</v>
      </c>
    </row>
    <row r="4169" spans="7:7" x14ac:dyDescent="0.3">
      <c r="G4169" s="391" t="s">
        <v>9567</v>
      </c>
    </row>
    <row r="4170" spans="7:7" x14ac:dyDescent="0.3">
      <c r="G4170" s="391" t="s">
        <v>9567</v>
      </c>
    </row>
    <row r="4171" spans="7:7" x14ac:dyDescent="0.3">
      <c r="G4171" s="391" t="s">
        <v>9567</v>
      </c>
    </row>
    <row r="4172" spans="7:7" x14ac:dyDescent="0.3">
      <c r="G4172" s="391" t="s">
        <v>9567</v>
      </c>
    </row>
    <row r="4173" spans="7:7" x14ac:dyDescent="0.3">
      <c r="G4173" s="391" t="s">
        <v>9567</v>
      </c>
    </row>
    <row r="4174" spans="7:7" x14ac:dyDescent="0.3">
      <c r="G4174" s="391" t="s">
        <v>9567</v>
      </c>
    </row>
    <row r="4175" spans="7:7" x14ac:dyDescent="0.3">
      <c r="G4175" s="391" t="s">
        <v>9567</v>
      </c>
    </row>
    <row r="4176" spans="7:7" x14ac:dyDescent="0.3">
      <c r="G4176" s="391" t="s">
        <v>9567</v>
      </c>
    </row>
    <row r="4177" spans="7:7" x14ac:dyDescent="0.3">
      <c r="G4177" s="391" t="s">
        <v>9567</v>
      </c>
    </row>
    <row r="4178" spans="7:7" x14ac:dyDescent="0.3">
      <c r="G4178" s="391" t="s">
        <v>9567</v>
      </c>
    </row>
    <row r="4179" spans="7:7" x14ac:dyDescent="0.3">
      <c r="G4179" s="391" t="s">
        <v>9567</v>
      </c>
    </row>
    <row r="4180" spans="7:7" x14ac:dyDescent="0.3">
      <c r="G4180" s="391" t="s">
        <v>9567</v>
      </c>
    </row>
    <row r="4181" spans="7:7" x14ac:dyDescent="0.3">
      <c r="G4181" s="391" t="s">
        <v>9567</v>
      </c>
    </row>
    <row r="4182" spans="7:7" x14ac:dyDescent="0.3">
      <c r="G4182" s="391" t="s">
        <v>9567</v>
      </c>
    </row>
    <row r="4183" spans="7:7" x14ac:dyDescent="0.3">
      <c r="G4183" s="391" t="s">
        <v>9567</v>
      </c>
    </row>
    <row r="4184" spans="7:7" x14ac:dyDescent="0.3">
      <c r="G4184" s="391" t="s">
        <v>9567</v>
      </c>
    </row>
    <row r="4185" spans="7:7" x14ac:dyDescent="0.3">
      <c r="G4185" s="391" t="s">
        <v>9567</v>
      </c>
    </row>
    <row r="4186" spans="7:7" x14ac:dyDescent="0.3">
      <c r="G4186" s="391" t="s">
        <v>9567</v>
      </c>
    </row>
    <row r="4187" spans="7:7" x14ac:dyDescent="0.3">
      <c r="G4187" s="391" t="s">
        <v>9567</v>
      </c>
    </row>
    <row r="4188" spans="7:7" x14ac:dyDescent="0.3">
      <c r="G4188" s="391" t="s">
        <v>9567</v>
      </c>
    </row>
    <row r="4189" spans="7:7" x14ac:dyDescent="0.3">
      <c r="G4189" s="391" t="s">
        <v>9567</v>
      </c>
    </row>
    <row r="4190" spans="7:7" x14ac:dyDescent="0.3">
      <c r="G4190" s="391" t="s">
        <v>9567</v>
      </c>
    </row>
    <row r="4191" spans="7:7" x14ac:dyDescent="0.3">
      <c r="G4191" s="391" t="s">
        <v>9567</v>
      </c>
    </row>
    <row r="4192" spans="7:7" x14ac:dyDescent="0.3">
      <c r="G4192" s="391" t="s">
        <v>9567</v>
      </c>
    </row>
    <row r="4193" spans="7:7" x14ac:dyDescent="0.3">
      <c r="G4193" s="391" t="s">
        <v>9567</v>
      </c>
    </row>
    <row r="4194" spans="7:7" x14ac:dyDescent="0.3">
      <c r="G4194" s="391" t="s">
        <v>9567</v>
      </c>
    </row>
    <row r="4195" spans="7:7" x14ac:dyDescent="0.3">
      <c r="G4195" s="391" t="s">
        <v>9567</v>
      </c>
    </row>
    <row r="4196" spans="7:7" x14ac:dyDescent="0.3">
      <c r="G4196" s="391" t="s">
        <v>9567</v>
      </c>
    </row>
    <row r="4197" spans="7:7" x14ac:dyDescent="0.3">
      <c r="G4197" s="391" t="s">
        <v>9567</v>
      </c>
    </row>
    <row r="4198" spans="7:7" x14ac:dyDescent="0.3">
      <c r="G4198" s="391" t="s">
        <v>9567</v>
      </c>
    </row>
    <row r="4199" spans="7:7" x14ac:dyDescent="0.3">
      <c r="G4199" s="391" t="s">
        <v>9567</v>
      </c>
    </row>
    <row r="4200" spans="7:7" x14ac:dyDescent="0.3">
      <c r="G4200" s="391" t="s">
        <v>9567</v>
      </c>
    </row>
    <row r="4201" spans="7:7" x14ac:dyDescent="0.3">
      <c r="G4201" s="391" t="s">
        <v>9567</v>
      </c>
    </row>
    <row r="4202" spans="7:7" x14ac:dyDescent="0.3">
      <c r="G4202" s="391" t="s">
        <v>9567</v>
      </c>
    </row>
    <row r="4203" spans="7:7" x14ac:dyDescent="0.3">
      <c r="G4203" s="391" t="s">
        <v>9567</v>
      </c>
    </row>
    <row r="4204" spans="7:7" x14ac:dyDescent="0.3">
      <c r="G4204" s="391" t="s">
        <v>9567</v>
      </c>
    </row>
    <row r="4205" spans="7:7" x14ac:dyDescent="0.3">
      <c r="G4205" s="391" t="s">
        <v>9567</v>
      </c>
    </row>
    <row r="4206" spans="7:7" x14ac:dyDescent="0.3">
      <c r="G4206" s="391" t="s">
        <v>9567</v>
      </c>
    </row>
    <row r="4207" spans="7:7" x14ac:dyDescent="0.3">
      <c r="G4207" s="391" t="s">
        <v>9567</v>
      </c>
    </row>
    <row r="4208" spans="7:7" x14ac:dyDescent="0.3">
      <c r="G4208" s="391" t="s">
        <v>9567</v>
      </c>
    </row>
    <row r="4209" spans="7:7" x14ac:dyDescent="0.3">
      <c r="G4209" s="391" t="s">
        <v>9567</v>
      </c>
    </row>
    <row r="4210" spans="7:7" x14ac:dyDescent="0.3">
      <c r="G4210" s="391" t="s">
        <v>9567</v>
      </c>
    </row>
    <row r="4211" spans="7:7" x14ac:dyDescent="0.3">
      <c r="G4211" s="391" t="s">
        <v>9567</v>
      </c>
    </row>
    <row r="4212" spans="7:7" x14ac:dyDescent="0.3">
      <c r="G4212" s="391" t="s">
        <v>9567</v>
      </c>
    </row>
    <row r="4213" spans="7:7" x14ac:dyDescent="0.3">
      <c r="G4213" s="391" t="s">
        <v>9567</v>
      </c>
    </row>
    <row r="4214" spans="7:7" x14ac:dyDescent="0.3">
      <c r="G4214" s="391" t="s">
        <v>9567</v>
      </c>
    </row>
    <row r="4215" spans="7:7" x14ac:dyDescent="0.3">
      <c r="G4215" s="391" t="s">
        <v>9567</v>
      </c>
    </row>
    <row r="4216" spans="7:7" x14ac:dyDescent="0.3">
      <c r="G4216" s="391" t="s">
        <v>9567</v>
      </c>
    </row>
    <row r="4217" spans="7:7" x14ac:dyDescent="0.3">
      <c r="G4217" s="391" t="s">
        <v>9567</v>
      </c>
    </row>
    <row r="4218" spans="7:7" x14ac:dyDescent="0.3">
      <c r="G4218" s="391" t="s">
        <v>9567</v>
      </c>
    </row>
    <row r="4219" spans="7:7" x14ac:dyDescent="0.3">
      <c r="G4219" s="391" t="s">
        <v>9567</v>
      </c>
    </row>
    <row r="4220" spans="7:7" x14ac:dyDescent="0.3">
      <c r="G4220" s="391" t="s">
        <v>9567</v>
      </c>
    </row>
    <row r="4221" spans="7:7" x14ac:dyDescent="0.3">
      <c r="G4221" s="391" t="s">
        <v>9567</v>
      </c>
    </row>
    <row r="4222" spans="7:7" x14ac:dyDescent="0.3">
      <c r="G4222" s="391" t="s">
        <v>9567</v>
      </c>
    </row>
    <row r="4223" spans="7:7" x14ac:dyDescent="0.3">
      <c r="G4223" s="391" t="s">
        <v>9567</v>
      </c>
    </row>
    <row r="4224" spans="7:7" x14ac:dyDescent="0.3">
      <c r="G4224" s="391" t="s">
        <v>9567</v>
      </c>
    </row>
    <row r="4225" spans="7:7" x14ac:dyDescent="0.3">
      <c r="G4225" s="391" t="s">
        <v>9567</v>
      </c>
    </row>
    <row r="4226" spans="7:7" x14ac:dyDescent="0.3">
      <c r="G4226" s="391" t="s">
        <v>9567</v>
      </c>
    </row>
    <row r="4227" spans="7:7" x14ac:dyDescent="0.3">
      <c r="G4227" s="391" t="s">
        <v>9567</v>
      </c>
    </row>
    <row r="4228" spans="7:7" x14ac:dyDescent="0.3">
      <c r="G4228" s="391" t="s">
        <v>9567</v>
      </c>
    </row>
    <row r="4229" spans="7:7" x14ac:dyDescent="0.3">
      <c r="G4229" s="391" t="s">
        <v>9567</v>
      </c>
    </row>
    <row r="4230" spans="7:7" x14ac:dyDescent="0.3">
      <c r="G4230" s="391" t="s">
        <v>9567</v>
      </c>
    </row>
    <row r="4231" spans="7:7" x14ac:dyDescent="0.3">
      <c r="G4231" s="391" t="s">
        <v>9567</v>
      </c>
    </row>
    <row r="4232" spans="7:7" x14ac:dyDescent="0.3">
      <c r="G4232" s="391" t="s">
        <v>9567</v>
      </c>
    </row>
    <row r="4233" spans="7:7" x14ac:dyDescent="0.3">
      <c r="G4233" s="391" t="s">
        <v>9567</v>
      </c>
    </row>
    <row r="4234" spans="7:7" x14ac:dyDescent="0.3">
      <c r="G4234" s="391" t="s">
        <v>9567</v>
      </c>
    </row>
    <row r="4235" spans="7:7" x14ac:dyDescent="0.3">
      <c r="G4235" s="391" t="s">
        <v>9567</v>
      </c>
    </row>
    <row r="4236" spans="7:7" x14ac:dyDescent="0.3">
      <c r="G4236" s="391" t="s">
        <v>9567</v>
      </c>
    </row>
    <row r="4237" spans="7:7" x14ac:dyDescent="0.3">
      <c r="G4237" s="391" t="s">
        <v>9567</v>
      </c>
    </row>
    <row r="4238" spans="7:7" x14ac:dyDescent="0.3">
      <c r="G4238" s="391" t="s">
        <v>9567</v>
      </c>
    </row>
    <row r="4239" spans="7:7" x14ac:dyDescent="0.3">
      <c r="G4239" s="391" t="s">
        <v>9567</v>
      </c>
    </row>
    <row r="4240" spans="7:7" x14ac:dyDescent="0.3">
      <c r="G4240" s="391" t="s">
        <v>9567</v>
      </c>
    </row>
    <row r="4241" spans="7:7" x14ac:dyDescent="0.3">
      <c r="G4241" s="391" t="s">
        <v>9567</v>
      </c>
    </row>
    <row r="4242" spans="7:7" x14ac:dyDescent="0.3">
      <c r="G4242" s="391" t="s">
        <v>9567</v>
      </c>
    </row>
    <row r="4243" spans="7:7" x14ac:dyDescent="0.3">
      <c r="G4243" s="391" t="s">
        <v>9567</v>
      </c>
    </row>
    <row r="4244" spans="7:7" x14ac:dyDescent="0.3">
      <c r="G4244" s="391" t="s">
        <v>9567</v>
      </c>
    </row>
    <row r="4245" spans="7:7" x14ac:dyDescent="0.3">
      <c r="G4245" s="391" t="s">
        <v>9567</v>
      </c>
    </row>
    <row r="4246" spans="7:7" x14ac:dyDescent="0.3">
      <c r="G4246" s="391" t="s">
        <v>9567</v>
      </c>
    </row>
    <row r="4247" spans="7:7" x14ac:dyDescent="0.3">
      <c r="G4247" s="391" t="s">
        <v>9567</v>
      </c>
    </row>
    <row r="4248" spans="7:7" x14ac:dyDescent="0.3">
      <c r="G4248" s="391" t="s">
        <v>9567</v>
      </c>
    </row>
    <row r="4249" spans="7:7" x14ac:dyDescent="0.3">
      <c r="G4249" s="391" t="s">
        <v>9567</v>
      </c>
    </row>
    <row r="4250" spans="7:7" x14ac:dyDescent="0.3">
      <c r="G4250" s="391" t="s">
        <v>9567</v>
      </c>
    </row>
    <row r="4251" spans="7:7" x14ac:dyDescent="0.3">
      <c r="G4251" s="391" t="s">
        <v>9567</v>
      </c>
    </row>
    <row r="4252" spans="7:7" x14ac:dyDescent="0.3">
      <c r="G4252" s="391" t="s">
        <v>9567</v>
      </c>
    </row>
    <row r="4253" spans="7:7" x14ac:dyDescent="0.3">
      <c r="G4253" s="391" t="s">
        <v>9567</v>
      </c>
    </row>
    <row r="4254" spans="7:7" x14ac:dyDescent="0.3">
      <c r="G4254" s="391" t="s">
        <v>9567</v>
      </c>
    </row>
    <row r="4255" spans="7:7" x14ac:dyDescent="0.3">
      <c r="G4255" s="391" t="s">
        <v>9567</v>
      </c>
    </row>
    <row r="4256" spans="7:7" x14ac:dyDescent="0.3">
      <c r="G4256" s="391" t="s">
        <v>9567</v>
      </c>
    </row>
    <row r="4257" spans="7:7" x14ac:dyDescent="0.3">
      <c r="G4257" s="391" t="s">
        <v>9567</v>
      </c>
    </row>
    <row r="4258" spans="7:7" x14ac:dyDescent="0.3">
      <c r="G4258" s="391" t="s">
        <v>9567</v>
      </c>
    </row>
    <row r="4259" spans="7:7" x14ac:dyDescent="0.3">
      <c r="G4259" s="391" t="s">
        <v>9567</v>
      </c>
    </row>
    <row r="4260" spans="7:7" x14ac:dyDescent="0.3">
      <c r="G4260" s="391" t="s">
        <v>9567</v>
      </c>
    </row>
    <row r="4261" spans="7:7" x14ac:dyDescent="0.3">
      <c r="G4261" s="391" t="s">
        <v>9567</v>
      </c>
    </row>
    <row r="4262" spans="7:7" x14ac:dyDescent="0.3">
      <c r="G4262" s="391" t="s">
        <v>9567</v>
      </c>
    </row>
    <row r="4263" spans="7:7" x14ac:dyDescent="0.3">
      <c r="G4263" s="391" t="s">
        <v>9567</v>
      </c>
    </row>
    <row r="4264" spans="7:7" x14ac:dyDescent="0.3">
      <c r="G4264" s="391" t="s">
        <v>9567</v>
      </c>
    </row>
    <row r="4265" spans="7:7" x14ac:dyDescent="0.3">
      <c r="G4265" s="391" t="s">
        <v>9567</v>
      </c>
    </row>
    <row r="4266" spans="7:7" x14ac:dyDescent="0.3">
      <c r="G4266" s="391" t="s">
        <v>9567</v>
      </c>
    </row>
    <row r="4267" spans="7:7" x14ac:dyDescent="0.3">
      <c r="G4267" s="391" t="s">
        <v>9567</v>
      </c>
    </row>
    <row r="4268" spans="7:7" x14ac:dyDescent="0.3">
      <c r="G4268" s="391" t="s">
        <v>9567</v>
      </c>
    </row>
    <row r="4269" spans="7:7" x14ac:dyDescent="0.3">
      <c r="G4269" s="391" t="s">
        <v>9567</v>
      </c>
    </row>
    <row r="4270" spans="7:7" x14ac:dyDescent="0.3">
      <c r="G4270" s="391" t="s">
        <v>9567</v>
      </c>
    </row>
    <row r="4271" spans="7:7" x14ac:dyDescent="0.3">
      <c r="G4271" s="391" t="s">
        <v>9567</v>
      </c>
    </row>
    <row r="4272" spans="7:7" x14ac:dyDescent="0.3">
      <c r="G4272" s="391" t="s">
        <v>9567</v>
      </c>
    </row>
    <row r="4273" spans="7:7" x14ac:dyDescent="0.3">
      <c r="G4273" s="391" t="s">
        <v>9567</v>
      </c>
    </row>
    <row r="4274" spans="7:7" x14ac:dyDescent="0.3">
      <c r="G4274" s="391" t="s">
        <v>9567</v>
      </c>
    </row>
    <row r="4275" spans="7:7" x14ac:dyDescent="0.3">
      <c r="G4275" s="391" t="s">
        <v>9567</v>
      </c>
    </row>
    <row r="4276" spans="7:7" x14ac:dyDescent="0.3">
      <c r="G4276" s="391" t="s">
        <v>9567</v>
      </c>
    </row>
    <row r="4277" spans="7:7" x14ac:dyDescent="0.3">
      <c r="G4277" s="391" t="s">
        <v>9567</v>
      </c>
    </row>
    <row r="4278" spans="7:7" x14ac:dyDescent="0.3">
      <c r="G4278" s="391" t="s">
        <v>9567</v>
      </c>
    </row>
    <row r="4279" spans="7:7" x14ac:dyDescent="0.3">
      <c r="G4279" s="391" t="s">
        <v>9567</v>
      </c>
    </row>
    <row r="4280" spans="7:7" x14ac:dyDescent="0.3">
      <c r="G4280" s="391" t="s">
        <v>9567</v>
      </c>
    </row>
    <row r="4281" spans="7:7" x14ac:dyDescent="0.3">
      <c r="G4281" s="391" t="s">
        <v>9567</v>
      </c>
    </row>
    <row r="4282" spans="7:7" x14ac:dyDescent="0.3">
      <c r="G4282" s="391" t="s">
        <v>9567</v>
      </c>
    </row>
    <row r="4283" spans="7:7" x14ac:dyDescent="0.3">
      <c r="G4283" s="391" t="s">
        <v>9567</v>
      </c>
    </row>
    <row r="4284" spans="7:7" x14ac:dyDescent="0.3">
      <c r="G4284" s="391" t="s">
        <v>9567</v>
      </c>
    </row>
    <row r="4285" spans="7:7" x14ac:dyDescent="0.3">
      <c r="G4285" s="391" t="s">
        <v>9567</v>
      </c>
    </row>
    <row r="4286" spans="7:7" x14ac:dyDescent="0.3">
      <c r="G4286" s="391" t="s">
        <v>9567</v>
      </c>
    </row>
    <row r="4287" spans="7:7" x14ac:dyDescent="0.3">
      <c r="G4287" s="391" t="s">
        <v>9567</v>
      </c>
    </row>
    <row r="4288" spans="7:7" x14ac:dyDescent="0.3">
      <c r="G4288" s="391" t="s">
        <v>9567</v>
      </c>
    </row>
    <row r="4289" spans="7:7" x14ac:dyDescent="0.3">
      <c r="G4289" s="391" t="s">
        <v>9567</v>
      </c>
    </row>
    <row r="4290" spans="7:7" x14ac:dyDescent="0.3">
      <c r="G4290" s="391" t="s">
        <v>9567</v>
      </c>
    </row>
    <row r="4291" spans="7:7" x14ac:dyDescent="0.3">
      <c r="G4291" s="391" t="s">
        <v>9567</v>
      </c>
    </row>
    <row r="4292" spans="7:7" x14ac:dyDescent="0.3">
      <c r="G4292" s="391" t="s">
        <v>9567</v>
      </c>
    </row>
    <row r="4293" spans="7:7" x14ac:dyDescent="0.3">
      <c r="G4293" s="391" t="s">
        <v>9567</v>
      </c>
    </row>
    <row r="4294" spans="7:7" x14ac:dyDescent="0.3">
      <c r="G4294" s="391" t="s">
        <v>9567</v>
      </c>
    </row>
    <row r="4295" spans="7:7" x14ac:dyDescent="0.3">
      <c r="G4295" s="391" t="s">
        <v>9567</v>
      </c>
    </row>
    <row r="4296" spans="7:7" x14ac:dyDescent="0.3">
      <c r="G4296" s="391" t="s">
        <v>9567</v>
      </c>
    </row>
    <row r="4297" spans="7:7" x14ac:dyDescent="0.3">
      <c r="G4297" s="391" t="s">
        <v>9567</v>
      </c>
    </row>
    <row r="4298" spans="7:7" x14ac:dyDescent="0.3">
      <c r="G4298" s="391" t="s">
        <v>9567</v>
      </c>
    </row>
    <row r="4299" spans="7:7" x14ac:dyDescent="0.3">
      <c r="G4299" s="391" t="s">
        <v>9567</v>
      </c>
    </row>
    <row r="4300" spans="7:7" x14ac:dyDescent="0.3">
      <c r="G4300" s="391" t="s">
        <v>9567</v>
      </c>
    </row>
    <row r="4301" spans="7:7" x14ac:dyDescent="0.3">
      <c r="G4301" s="391" t="s">
        <v>9567</v>
      </c>
    </row>
    <row r="4302" spans="7:7" x14ac:dyDescent="0.3">
      <c r="G4302" s="391" t="s">
        <v>9567</v>
      </c>
    </row>
    <row r="4303" spans="7:7" x14ac:dyDescent="0.3">
      <c r="G4303" s="391" t="s">
        <v>9567</v>
      </c>
    </row>
    <row r="4304" spans="7:7" x14ac:dyDescent="0.3">
      <c r="G4304" s="391" t="s">
        <v>9567</v>
      </c>
    </row>
    <row r="4305" spans="7:7" x14ac:dyDescent="0.3">
      <c r="G4305" s="391" t="s">
        <v>9567</v>
      </c>
    </row>
    <row r="4306" spans="7:7" x14ac:dyDescent="0.3">
      <c r="G4306" s="391" t="s">
        <v>9567</v>
      </c>
    </row>
    <row r="4307" spans="7:7" x14ac:dyDescent="0.3">
      <c r="G4307" s="391" t="s">
        <v>9567</v>
      </c>
    </row>
    <row r="4308" spans="7:7" x14ac:dyDescent="0.3">
      <c r="G4308" s="391" t="s">
        <v>9567</v>
      </c>
    </row>
    <row r="4309" spans="7:7" x14ac:dyDescent="0.3">
      <c r="G4309" s="391" t="s">
        <v>9567</v>
      </c>
    </row>
    <row r="4310" spans="7:7" x14ac:dyDescent="0.3">
      <c r="G4310" s="391" t="s">
        <v>9567</v>
      </c>
    </row>
    <row r="4311" spans="7:7" x14ac:dyDescent="0.3">
      <c r="G4311" s="391" t="s">
        <v>9567</v>
      </c>
    </row>
    <row r="4312" spans="7:7" x14ac:dyDescent="0.3">
      <c r="G4312" s="391" t="s">
        <v>9567</v>
      </c>
    </row>
    <row r="4313" spans="7:7" x14ac:dyDescent="0.3">
      <c r="G4313" s="391" t="s">
        <v>9567</v>
      </c>
    </row>
    <row r="4314" spans="7:7" x14ac:dyDescent="0.3">
      <c r="G4314" s="391" t="s">
        <v>9567</v>
      </c>
    </row>
    <row r="4315" spans="7:7" x14ac:dyDescent="0.3">
      <c r="G4315" s="391" t="s">
        <v>9567</v>
      </c>
    </row>
    <row r="4316" spans="7:7" x14ac:dyDescent="0.3">
      <c r="G4316" s="391" t="s">
        <v>9567</v>
      </c>
    </row>
    <row r="4317" spans="7:7" x14ac:dyDescent="0.3">
      <c r="G4317" s="391" t="s">
        <v>9567</v>
      </c>
    </row>
    <row r="4318" spans="7:7" x14ac:dyDescent="0.3">
      <c r="G4318" s="391" t="s">
        <v>9567</v>
      </c>
    </row>
    <row r="4319" spans="7:7" x14ac:dyDescent="0.3">
      <c r="G4319" s="391" t="s">
        <v>9567</v>
      </c>
    </row>
    <row r="4320" spans="7:7" x14ac:dyDescent="0.3">
      <c r="G4320" s="391" t="s">
        <v>9567</v>
      </c>
    </row>
    <row r="4321" spans="7:7" x14ac:dyDescent="0.3">
      <c r="G4321" s="391" t="s">
        <v>9567</v>
      </c>
    </row>
    <row r="4322" spans="7:7" x14ac:dyDescent="0.3">
      <c r="G4322" s="391" t="s">
        <v>9567</v>
      </c>
    </row>
    <row r="4323" spans="7:7" x14ac:dyDescent="0.3">
      <c r="G4323" s="391" t="s">
        <v>9567</v>
      </c>
    </row>
    <row r="4324" spans="7:7" x14ac:dyDescent="0.3">
      <c r="G4324" s="391" t="s">
        <v>9567</v>
      </c>
    </row>
    <row r="4325" spans="7:7" x14ac:dyDescent="0.3">
      <c r="G4325" s="391" t="s">
        <v>9567</v>
      </c>
    </row>
    <row r="4326" spans="7:7" x14ac:dyDescent="0.3">
      <c r="G4326" s="391" t="s">
        <v>9567</v>
      </c>
    </row>
    <row r="4327" spans="7:7" x14ac:dyDescent="0.3">
      <c r="G4327" s="391" t="s">
        <v>9567</v>
      </c>
    </row>
    <row r="4328" spans="7:7" x14ac:dyDescent="0.3">
      <c r="G4328" s="391" t="s">
        <v>9567</v>
      </c>
    </row>
    <row r="4329" spans="7:7" x14ac:dyDescent="0.3">
      <c r="G4329" s="391" t="s">
        <v>9567</v>
      </c>
    </row>
    <row r="4330" spans="7:7" x14ac:dyDescent="0.3">
      <c r="G4330" s="391" t="s">
        <v>9567</v>
      </c>
    </row>
    <row r="4331" spans="7:7" x14ac:dyDescent="0.3">
      <c r="G4331" s="391" t="s">
        <v>9567</v>
      </c>
    </row>
    <row r="4332" spans="7:7" x14ac:dyDescent="0.3">
      <c r="G4332" s="391" t="s">
        <v>9567</v>
      </c>
    </row>
    <row r="4333" spans="7:7" x14ac:dyDescent="0.3">
      <c r="G4333" s="391" t="s">
        <v>9567</v>
      </c>
    </row>
    <row r="4334" spans="7:7" x14ac:dyDescent="0.3">
      <c r="G4334" s="391" t="s">
        <v>9567</v>
      </c>
    </row>
    <row r="4335" spans="7:7" x14ac:dyDescent="0.3">
      <c r="G4335" s="391" t="s">
        <v>9567</v>
      </c>
    </row>
    <row r="4336" spans="7:7" x14ac:dyDescent="0.3">
      <c r="G4336" s="391" t="s">
        <v>9567</v>
      </c>
    </row>
    <row r="4337" spans="7:7" x14ac:dyDescent="0.3">
      <c r="G4337" s="391" t="s">
        <v>9567</v>
      </c>
    </row>
    <row r="4338" spans="7:7" x14ac:dyDescent="0.3">
      <c r="G4338" s="391" t="s">
        <v>9567</v>
      </c>
    </row>
    <row r="4339" spans="7:7" x14ac:dyDescent="0.3">
      <c r="G4339" s="391" t="s">
        <v>9567</v>
      </c>
    </row>
    <row r="4340" spans="7:7" x14ac:dyDescent="0.3">
      <c r="G4340" s="391" t="s">
        <v>9567</v>
      </c>
    </row>
    <row r="4341" spans="7:7" x14ac:dyDescent="0.3">
      <c r="G4341" s="391" t="s">
        <v>9567</v>
      </c>
    </row>
    <row r="4342" spans="7:7" x14ac:dyDescent="0.3">
      <c r="G4342" s="391" t="s">
        <v>9567</v>
      </c>
    </row>
    <row r="4343" spans="7:7" x14ac:dyDescent="0.3">
      <c r="G4343" s="391" t="s">
        <v>9567</v>
      </c>
    </row>
    <row r="4344" spans="7:7" x14ac:dyDescent="0.3">
      <c r="G4344" s="391" t="s">
        <v>9567</v>
      </c>
    </row>
    <row r="4345" spans="7:7" x14ac:dyDescent="0.3">
      <c r="G4345" s="391" t="s">
        <v>9567</v>
      </c>
    </row>
    <row r="4346" spans="7:7" x14ac:dyDescent="0.3">
      <c r="G4346" s="391" t="s">
        <v>9567</v>
      </c>
    </row>
    <row r="4347" spans="7:7" x14ac:dyDescent="0.3">
      <c r="G4347" s="391" t="s">
        <v>9567</v>
      </c>
    </row>
    <row r="4348" spans="7:7" x14ac:dyDescent="0.3">
      <c r="G4348" s="391" t="s">
        <v>9567</v>
      </c>
    </row>
    <row r="4349" spans="7:7" x14ac:dyDescent="0.3">
      <c r="G4349" s="391" t="s">
        <v>9567</v>
      </c>
    </row>
    <row r="4350" spans="7:7" x14ac:dyDescent="0.3">
      <c r="G4350" s="391" t="s">
        <v>9567</v>
      </c>
    </row>
    <row r="4351" spans="7:7" x14ac:dyDescent="0.3">
      <c r="G4351" s="391" t="s">
        <v>9567</v>
      </c>
    </row>
    <row r="4352" spans="7:7" x14ac:dyDescent="0.3">
      <c r="G4352" s="391" t="s">
        <v>9567</v>
      </c>
    </row>
    <row r="4353" spans="7:7" x14ac:dyDescent="0.3">
      <c r="G4353" s="391" t="s">
        <v>9567</v>
      </c>
    </row>
    <row r="4354" spans="7:7" x14ac:dyDescent="0.3">
      <c r="G4354" s="391" t="s">
        <v>9567</v>
      </c>
    </row>
    <row r="4355" spans="7:7" x14ac:dyDescent="0.3">
      <c r="G4355" s="391" t="s">
        <v>9567</v>
      </c>
    </row>
    <row r="4356" spans="7:7" x14ac:dyDescent="0.3">
      <c r="G4356" s="391" t="s">
        <v>9567</v>
      </c>
    </row>
    <row r="4357" spans="7:7" x14ac:dyDescent="0.3">
      <c r="G4357" s="391" t="s">
        <v>9567</v>
      </c>
    </row>
    <row r="4358" spans="7:7" x14ac:dyDescent="0.3">
      <c r="G4358" s="391" t="s">
        <v>9567</v>
      </c>
    </row>
    <row r="4359" spans="7:7" x14ac:dyDescent="0.3">
      <c r="G4359" s="391" t="s">
        <v>9567</v>
      </c>
    </row>
    <row r="4360" spans="7:7" x14ac:dyDescent="0.3">
      <c r="G4360" s="391" t="s">
        <v>9567</v>
      </c>
    </row>
    <row r="4361" spans="7:7" x14ac:dyDescent="0.3">
      <c r="G4361" s="391" t="s">
        <v>9567</v>
      </c>
    </row>
    <row r="4362" spans="7:7" x14ac:dyDescent="0.3">
      <c r="G4362" s="391" t="s">
        <v>9567</v>
      </c>
    </row>
    <row r="4363" spans="7:7" x14ac:dyDescent="0.3">
      <c r="G4363" s="391" t="s">
        <v>9567</v>
      </c>
    </row>
    <row r="4364" spans="7:7" x14ac:dyDescent="0.3">
      <c r="G4364" s="391" t="s">
        <v>9567</v>
      </c>
    </row>
    <row r="4365" spans="7:7" x14ac:dyDescent="0.3">
      <c r="G4365" s="391" t="s">
        <v>9567</v>
      </c>
    </row>
    <row r="4366" spans="7:7" x14ac:dyDescent="0.3">
      <c r="G4366" s="391" t="s">
        <v>9567</v>
      </c>
    </row>
    <row r="4367" spans="7:7" x14ac:dyDescent="0.3">
      <c r="G4367" s="391" t="s">
        <v>9567</v>
      </c>
    </row>
    <row r="4368" spans="7:7" x14ac:dyDescent="0.3">
      <c r="G4368" s="391" t="s">
        <v>9567</v>
      </c>
    </row>
    <row r="4369" spans="7:7" x14ac:dyDescent="0.3">
      <c r="G4369" s="391" t="s">
        <v>9567</v>
      </c>
    </row>
    <row r="4370" spans="7:7" x14ac:dyDescent="0.3">
      <c r="G4370" s="391" t="s">
        <v>9567</v>
      </c>
    </row>
    <row r="4371" spans="7:7" x14ac:dyDescent="0.3">
      <c r="G4371" s="391" t="s">
        <v>9567</v>
      </c>
    </row>
    <row r="4372" spans="7:7" x14ac:dyDescent="0.3">
      <c r="G4372" s="391" t="s">
        <v>9567</v>
      </c>
    </row>
    <row r="4373" spans="7:7" x14ac:dyDescent="0.3">
      <c r="G4373" s="391" t="s">
        <v>9567</v>
      </c>
    </row>
    <row r="4374" spans="7:7" x14ac:dyDescent="0.3">
      <c r="G4374" s="391" t="s">
        <v>9567</v>
      </c>
    </row>
    <row r="4375" spans="7:7" x14ac:dyDescent="0.3">
      <c r="G4375" s="391" t="s">
        <v>9567</v>
      </c>
    </row>
    <row r="4376" spans="7:7" x14ac:dyDescent="0.3">
      <c r="G4376" s="391" t="s">
        <v>9567</v>
      </c>
    </row>
    <row r="4377" spans="7:7" x14ac:dyDescent="0.3">
      <c r="G4377" s="391" t="s">
        <v>9567</v>
      </c>
    </row>
    <row r="4378" spans="7:7" x14ac:dyDescent="0.3">
      <c r="G4378" s="391" t="s">
        <v>9567</v>
      </c>
    </row>
    <row r="4379" spans="7:7" x14ac:dyDescent="0.3">
      <c r="G4379" s="391" t="s">
        <v>9567</v>
      </c>
    </row>
    <row r="4380" spans="7:7" x14ac:dyDescent="0.3">
      <c r="G4380" s="391" t="s">
        <v>9567</v>
      </c>
    </row>
    <row r="4381" spans="7:7" x14ac:dyDescent="0.3">
      <c r="G4381" s="391" t="s">
        <v>9567</v>
      </c>
    </row>
    <row r="4382" spans="7:7" x14ac:dyDescent="0.3">
      <c r="G4382" s="391" t="s">
        <v>9567</v>
      </c>
    </row>
    <row r="4383" spans="7:7" x14ac:dyDescent="0.3">
      <c r="G4383" s="391" t="s">
        <v>9567</v>
      </c>
    </row>
    <row r="4384" spans="7:7" x14ac:dyDescent="0.3">
      <c r="G4384" s="391" t="s">
        <v>9567</v>
      </c>
    </row>
    <row r="4385" spans="7:7" x14ac:dyDescent="0.3">
      <c r="G4385" s="391" t="s">
        <v>9567</v>
      </c>
    </row>
    <row r="4386" spans="7:7" x14ac:dyDescent="0.3">
      <c r="G4386" s="391" t="s">
        <v>9567</v>
      </c>
    </row>
    <row r="4387" spans="7:7" x14ac:dyDescent="0.3">
      <c r="G4387" s="391" t="s">
        <v>9567</v>
      </c>
    </row>
    <row r="4388" spans="7:7" x14ac:dyDescent="0.3">
      <c r="G4388" s="391" t="s">
        <v>9567</v>
      </c>
    </row>
    <row r="4389" spans="7:7" x14ac:dyDescent="0.3">
      <c r="G4389" s="391" t="s">
        <v>9567</v>
      </c>
    </row>
    <row r="4390" spans="7:7" x14ac:dyDescent="0.3">
      <c r="G4390" s="391" t="s">
        <v>9567</v>
      </c>
    </row>
    <row r="4391" spans="7:7" x14ac:dyDescent="0.3">
      <c r="G4391" s="391" t="s">
        <v>9567</v>
      </c>
    </row>
    <row r="4392" spans="7:7" x14ac:dyDescent="0.3">
      <c r="G4392" s="391" t="s">
        <v>9567</v>
      </c>
    </row>
    <row r="4393" spans="7:7" x14ac:dyDescent="0.3">
      <c r="G4393" s="391" t="s">
        <v>9567</v>
      </c>
    </row>
    <row r="4394" spans="7:7" x14ac:dyDescent="0.3">
      <c r="G4394" s="391" t="s">
        <v>9567</v>
      </c>
    </row>
    <row r="4395" spans="7:7" x14ac:dyDescent="0.3">
      <c r="G4395" s="391" t="s">
        <v>9567</v>
      </c>
    </row>
    <row r="4396" spans="7:7" x14ac:dyDescent="0.3">
      <c r="G4396" s="391" t="s">
        <v>9567</v>
      </c>
    </row>
    <row r="4397" spans="7:7" x14ac:dyDescent="0.3">
      <c r="G4397" s="391" t="s">
        <v>9567</v>
      </c>
    </row>
    <row r="4398" spans="7:7" x14ac:dyDescent="0.3">
      <c r="G4398" s="391" t="s">
        <v>9567</v>
      </c>
    </row>
    <row r="4399" spans="7:7" x14ac:dyDescent="0.3">
      <c r="G4399" s="391" t="s">
        <v>9567</v>
      </c>
    </row>
    <row r="4400" spans="7:7" x14ac:dyDescent="0.3">
      <c r="G4400" s="391" t="s">
        <v>9567</v>
      </c>
    </row>
    <row r="4401" spans="7:7" x14ac:dyDescent="0.3">
      <c r="G4401" s="391" t="s">
        <v>9567</v>
      </c>
    </row>
    <row r="4402" spans="7:7" x14ac:dyDescent="0.3">
      <c r="G4402" s="391" t="s">
        <v>9567</v>
      </c>
    </row>
    <row r="4403" spans="7:7" x14ac:dyDescent="0.3">
      <c r="G4403" s="391" t="s">
        <v>9567</v>
      </c>
    </row>
    <row r="4404" spans="7:7" x14ac:dyDescent="0.3">
      <c r="G4404" s="391" t="s">
        <v>9567</v>
      </c>
    </row>
    <row r="4405" spans="7:7" x14ac:dyDescent="0.3">
      <c r="G4405" s="391" t="s">
        <v>9567</v>
      </c>
    </row>
    <row r="4406" spans="7:7" x14ac:dyDescent="0.3">
      <c r="G4406" s="391" t="s">
        <v>9567</v>
      </c>
    </row>
    <row r="4407" spans="7:7" x14ac:dyDescent="0.3">
      <c r="G4407" s="391" t="s">
        <v>9567</v>
      </c>
    </row>
    <row r="4408" spans="7:7" x14ac:dyDescent="0.3">
      <c r="G4408" s="391" t="s">
        <v>9567</v>
      </c>
    </row>
    <row r="4409" spans="7:7" x14ac:dyDescent="0.3">
      <c r="G4409" s="391" t="s">
        <v>9567</v>
      </c>
    </row>
    <row r="4410" spans="7:7" x14ac:dyDescent="0.3">
      <c r="G4410" s="391" t="s">
        <v>9567</v>
      </c>
    </row>
    <row r="4411" spans="7:7" x14ac:dyDescent="0.3">
      <c r="G4411" s="391" t="s">
        <v>9567</v>
      </c>
    </row>
    <row r="4412" spans="7:7" x14ac:dyDescent="0.3">
      <c r="G4412" s="391" t="s">
        <v>9567</v>
      </c>
    </row>
    <row r="4413" spans="7:7" x14ac:dyDescent="0.3">
      <c r="G4413" s="391" t="s">
        <v>9567</v>
      </c>
    </row>
    <row r="4414" spans="7:7" x14ac:dyDescent="0.3">
      <c r="G4414" s="391" t="s">
        <v>9567</v>
      </c>
    </row>
    <row r="4415" spans="7:7" x14ac:dyDescent="0.3">
      <c r="G4415" s="391" t="s">
        <v>9567</v>
      </c>
    </row>
    <row r="4416" spans="7:7" x14ac:dyDescent="0.3">
      <c r="G4416" s="391" t="s">
        <v>9567</v>
      </c>
    </row>
    <row r="4417" spans="7:7" x14ac:dyDescent="0.3">
      <c r="G4417" s="391" t="s">
        <v>9567</v>
      </c>
    </row>
    <row r="4418" spans="7:7" x14ac:dyDescent="0.3">
      <c r="G4418" s="391" t="s">
        <v>9567</v>
      </c>
    </row>
    <row r="4419" spans="7:7" x14ac:dyDescent="0.3">
      <c r="G4419" s="391" t="s">
        <v>9567</v>
      </c>
    </row>
    <row r="4420" spans="7:7" x14ac:dyDescent="0.3">
      <c r="G4420" s="391" t="s">
        <v>9567</v>
      </c>
    </row>
    <row r="4421" spans="7:7" x14ac:dyDescent="0.3">
      <c r="G4421" s="391" t="s">
        <v>9567</v>
      </c>
    </row>
    <row r="4422" spans="7:7" x14ac:dyDescent="0.3">
      <c r="G4422" s="391" t="s">
        <v>9567</v>
      </c>
    </row>
    <row r="4423" spans="7:7" x14ac:dyDescent="0.3">
      <c r="G4423" s="391" t="s">
        <v>9567</v>
      </c>
    </row>
    <row r="4424" spans="7:7" x14ac:dyDescent="0.3">
      <c r="G4424" s="391" t="s">
        <v>9567</v>
      </c>
    </row>
    <row r="4425" spans="7:7" x14ac:dyDescent="0.3">
      <c r="G4425" s="391" t="s">
        <v>9567</v>
      </c>
    </row>
    <row r="4426" spans="7:7" x14ac:dyDescent="0.3">
      <c r="G4426" s="391" t="s">
        <v>9567</v>
      </c>
    </row>
    <row r="4427" spans="7:7" x14ac:dyDescent="0.3">
      <c r="G4427" s="391" t="s">
        <v>9567</v>
      </c>
    </row>
    <row r="4428" spans="7:7" x14ac:dyDescent="0.3">
      <c r="G4428" s="391" t="s">
        <v>9567</v>
      </c>
    </row>
    <row r="4429" spans="7:7" x14ac:dyDescent="0.3">
      <c r="G4429" s="391" t="s">
        <v>9567</v>
      </c>
    </row>
    <row r="4430" spans="7:7" x14ac:dyDescent="0.3">
      <c r="G4430" s="391" t="s">
        <v>9567</v>
      </c>
    </row>
    <row r="4431" spans="7:7" x14ac:dyDescent="0.3">
      <c r="G4431" s="391" t="s">
        <v>9567</v>
      </c>
    </row>
    <row r="4432" spans="7:7" x14ac:dyDescent="0.3">
      <c r="G4432" s="391" t="s">
        <v>9567</v>
      </c>
    </row>
    <row r="4433" spans="7:7" x14ac:dyDescent="0.3">
      <c r="G4433" s="391" t="s">
        <v>9567</v>
      </c>
    </row>
    <row r="4434" spans="7:7" x14ac:dyDescent="0.3">
      <c r="G4434" s="391" t="s">
        <v>9567</v>
      </c>
    </row>
    <row r="4435" spans="7:7" x14ac:dyDescent="0.3">
      <c r="G4435" s="391" t="s">
        <v>9567</v>
      </c>
    </row>
    <row r="4436" spans="7:7" x14ac:dyDescent="0.3">
      <c r="G4436" s="391" t="s">
        <v>9567</v>
      </c>
    </row>
    <row r="4437" spans="7:7" x14ac:dyDescent="0.3">
      <c r="G4437" s="391" t="s">
        <v>9567</v>
      </c>
    </row>
    <row r="4438" spans="7:7" x14ac:dyDescent="0.3">
      <c r="G4438" s="391" t="s">
        <v>9567</v>
      </c>
    </row>
    <row r="4439" spans="7:7" x14ac:dyDescent="0.3">
      <c r="G4439" s="391" t="s">
        <v>9568</v>
      </c>
    </row>
    <row r="4440" spans="7:7" x14ac:dyDescent="0.3">
      <c r="G4440" s="391" t="s">
        <v>9568</v>
      </c>
    </row>
    <row r="4441" spans="7:7" x14ac:dyDescent="0.3">
      <c r="G4441" s="391" t="s">
        <v>9568</v>
      </c>
    </row>
    <row r="4442" spans="7:7" x14ac:dyDescent="0.3">
      <c r="G4442" s="391" t="s">
        <v>9568</v>
      </c>
    </row>
    <row r="4443" spans="7:7" x14ac:dyDescent="0.3">
      <c r="G4443" s="391" t="s">
        <v>9568</v>
      </c>
    </row>
    <row r="4444" spans="7:7" x14ac:dyDescent="0.3">
      <c r="G4444" s="391" t="s">
        <v>9568</v>
      </c>
    </row>
    <row r="4445" spans="7:7" x14ac:dyDescent="0.3">
      <c r="G4445" s="391" t="s">
        <v>9568</v>
      </c>
    </row>
    <row r="4446" spans="7:7" x14ac:dyDescent="0.3">
      <c r="G4446" s="391" t="s">
        <v>9568</v>
      </c>
    </row>
    <row r="4447" spans="7:7" x14ac:dyDescent="0.3">
      <c r="G4447" s="391" t="s">
        <v>9568</v>
      </c>
    </row>
    <row r="4448" spans="7:7" x14ac:dyDescent="0.3">
      <c r="G4448" s="391" t="s">
        <v>9568</v>
      </c>
    </row>
    <row r="4449" spans="7:7" x14ac:dyDescent="0.3">
      <c r="G4449" s="391" t="s">
        <v>9568</v>
      </c>
    </row>
    <row r="4450" spans="7:7" x14ac:dyDescent="0.3">
      <c r="G4450" s="391" t="s">
        <v>9568</v>
      </c>
    </row>
    <row r="4451" spans="7:7" x14ac:dyDescent="0.3">
      <c r="G4451" s="391" t="s">
        <v>9568</v>
      </c>
    </row>
    <row r="4452" spans="7:7" x14ac:dyDescent="0.3">
      <c r="G4452" s="391" t="s">
        <v>9568</v>
      </c>
    </row>
    <row r="4453" spans="7:7" x14ac:dyDescent="0.3">
      <c r="G4453" s="391" t="s">
        <v>9568</v>
      </c>
    </row>
    <row r="4454" spans="7:7" x14ac:dyDescent="0.3">
      <c r="G4454" s="391" t="s">
        <v>9568</v>
      </c>
    </row>
    <row r="4455" spans="7:7" x14ac:dyDescent="0.3">
      <c r="G4455" s="391" t="s">
        <v>9568</v>
      </c>
    </row>
    <row r="4456" spans="7:7" x14ac:dyDescent="0.3">
      <c r="G4456" s="391" t="s">
        <v>9568</v>
      </c>
    </row>
    <row r="4457" spans="7:7" x14ac:dyDescent="0.3">
      <c r="G4457" s="391" t="s">
        <v>9568</v>
      </c>
    </row>
    <row r="4458" spans="7:7" x14ac:dyDescent="0.3">
      <c r="G4458" s="391" t="s">
        <v>9568</v>
      </c>
    </row>
    <row r="4459" spans="7:7" x14ac:dyDescent="0.3">
      <c r="G4459" s="391" t="s">
        <v>9568</v>
      </c>
    </row>
    <row r="4460" spans="7:7" x14ac:dyDescent="0.3">
      <c r="G4460" s="391" t="s">
        <v>9568</v>
      </c>
    </row>
    <row r="4461" spans="7:7" x14ac:dyDescent="0.3">
      <c r="G4461" s="391" t="s">
        <v>9568</v>
      </c>
    </row>
    <row r="4462" spans="7:7" x14ac:dyDescent="0.3">
      <c r="G4462" s="391" t="s">
        <v>9568</v>
      </c>
    </row>
    <row r="4463" spans="7:7" x14ac:dyDescent="0.3">
      <c r="G4463" s="391" t="s">
        <v>9568</v>
      </c>
    </row>
    <row r="4464" spans="7:7" x14ac:dyDescent="0.3">
      <c r="G4464" s="391" t="s">
        <v>9568</v>
      </c>
    </row>
    <row r="4465" spans="7:7" x14ac:dyDescent="0.3">
      <c r="G4465" s="391" t="s">
        <v>9568</v>
      </c>
    </row>
    <row r="4466" spans="7:7" x14ac:dyDescent="0.3">
      <c r="G4466" s="391" t="s">
        <v>9568</v>
      </c>
    </row>
    <row r="4467" spans="7:7" x14ac:dyDescent="0.3">
      <c r="G4467" s="391" t="s">
        <v>9568</v>
      </c>
    </row>
    <row r="4468" spans="7:7" x14ac:dyDescent="0.3">
      <c r="G4468" s="391" t="s">
        <v>9568</v>
      </c>
    </row>
    <row r="4469" spans="7:7" x14ac:dyDescent="0.3">
      <c r="G4469" s="391" t="s">
        <v>9568</v>
      </c>
    </row>
    <row r="4470" spans="7:7" x14ac:dyDescent="0.3">
      <c r="G4470" s="391" t="s">
        <v>9568</v>
      </c>
    </row>
    <row r="4471" spans="7:7" x14ac:dyDescent="0.3">
      <c r="G4471" s="391" t="s">
        <v>9568</v>
      </c>
    </row>
    <row r="4472" spans="7:7" x14ac:dyDescent="0.3">
      <c r="G4472" s="391" t="s">
        <v>9568</v>
      </c>
    </row>
    <row r="4473" spans="7:7" x14ac:dyDescent="0.3">
      <c r="G4473" s="391" t="s">
        <v>9568</v>
      </c>
    </row>
    <row r="4474" spans="7:7" x14ac:dyDescent="0.3">
      <c r="G4474" s="391" t="s">
        <v>9568</v>
      </c>
    </row>
    <row r="4475" spans="7:7" x14ac:dyDescent="0.3">
      <c r="G4475" s="391" t="s">
        <v>9568</v>
      </c>
    </row>
    <row r="4476" spans="7:7" x14ac:dyDescent="0.3">
      <c r="G4476" s="391" t="s">
        <v>9568</v>
      </c>
    </row>
    <row r="4477" spans="7:7" x14ac:dyDescent="0.3">
      <c r="G4477" s="391" t="s">
        <v>9568</v>
      </c>
    </row>
    <row r="4478" spans="7:7" x14ac:dyDescent="0.3">
      <c r="G4478" s="391" t="s">
        <v>9568</v>
      </c>
    </row>
    <row r="4479" spans="7:7" x14ac:dyDescent="0.3">
      <c r="G4479" s="391" t="s">
        <v>9568</v>
      </c>
    </row>
    <row r="4480" spans="7:7" x14ac:dyDescent="0.3">
      <c r="G4480" s="391" t="s">
        <v>9568</v>
      </c>
    </row>
    <row r="4481" spans="7:7" x14ac:dyDescent="0.3">
      <c r="G4481" s="391" t="s">
        <v>9568</v>
      </c>
    </row>
    <row r="4482" spans="7:7" x14ac:dyDescent="0.3">
      <c r="G4482" s="391" t="s">
        <v>9568</v>
      </c>
    </row>
    <row r="4483" spans="7:7" x14ac:dyDescent="0.3">
      <c r="G4483" s="391" t="s">
        <v>9568</v>
      </c>
    </row>
    <row r="4484" spans="7:7" x14ac:dyDescent="0.3">
      <c r="G4484" s="391" t="s">
        <v>9568</v>
      </c>
    </row>
    <row r="4485" spans="7:7" x14ac:dyDescent="0.3">
      <c r="G4485" s="391" t="s">
        <v>9568</v>
      </c>
    </row>
    <row r="4486" spans="7:7" x14ac:dyDescent="0.3">
      <c r="G4486" s="391" t="s">
        <v>9568</v>
      </c>
    </row>
    <row r="4487" spans="7:7" x14ac:dyDescent="0.3">
      <c r="G4487" s="391" t="s">
        <v>9568</v>
      </c>
    </row>
    <row r="4488" spans="7:7" x14ac:dyDescent="0.3">
      <c r="G4488" s="391" t="s">
        <v>9568</v>
      </c>
    </row>
    <row r="4489" spans="7:7" x14ac:dyDescent="0.3">
      <c r="G4489" s="391" t="s">
        <v>9568</v>
      </c>
    </row>
    <row r="4490" spans="7:7" x14ac:dyDescent="0.3">
      <c r="G4490" s="391" t="s">
        <v>9568</v>
      </c>
    </row>
    <row r="4491" spans="7:7" x14ac:dyDescent="0.3">
      <c r="G4491" s="391" t="s">
        <v>9568</v>
      </c>
    </row>
    <row r="4492" spans="7:7" x14ac:dyDescent="0.3">
      <c r="G4492" s="391" t="s">
        <v>9568</v>
      </c>
    </row>
    <row r="4493" spans="7:7" x14ac:dyDescent="0.3">
      <c r="G4493" s="391" t="s">
        <v>9568</v>
      </c>
    </row>
    <row r="4494" spans="7:7" x14ac:dyDescent="0.3">
      <c r="G4494" s="391" t="s">
        <v>9568</v>
      </c>
    </row>
    <row r="4495" spans="7:7" x14ac:dyDescent="0.3">
      <c r="G4495" s="391" t="s">
        <v>9568</v>
      </c>
    </row>
    <row r="4496" spans="7:7" x14ac:dyDescent="0.3">
      <c r="G4496" s="391" t="s">
        <v>9568</v>
      </c>
    </row>
    <row r="4497" spans="7:7" x14ac:dyDescent="0.3">
      <c r="G4497" s="391" t="s">
        <v>9568</v>
      </c>
    </row>
    <row r="4498" spans="7:7" x14ac:dyDescent="0.3">
      <c r="G4498" s="391" t="s">
        <v>9568</v>
      </c>
    </row>
    <row r="4499" spans="7:7" x14ac:dyDescent="0.25">
      <c r="G4499" s="400" t="s">
        <v>9568</v>
      </c>
    </row>
    <row r="4500" spans="7:7" x14ac:dyDescent="0.3">
      <c r="G4500" s="391" t="s">
        <v>9568</v>
      </c>
    </row>
    <row r="4501" spans="7:7" x14ac:dyDescent="0.3">
      <c r="G4501" s="391" t="s">
        <v>9568</v>
      </c>
    </row>
    <row r="4502" spans="7:7" x14ac:dyDescent="0.3">
      <c r="G4502" s="391" t="s">
        <v>9568</v>
      </c>
    </row>
    <row r="4503" spans="7:7" x14ac:dyDescent="0.3">
      <c r="G4503" s="391" t="s">
        <v>9568</v>
      </c>
    </row>
    <row r="4504" spans="7:7" x14ac:dyDescent="0.3">
      <c r="G4504" s="391" t="s">
        <v>9568</v>
      </c>
    </row>
    <row r="4505" spans="7:7" x14ac:dyDescent="0.3">
      <c r="G4505" s="391" t="s">
        <v>9568</v>
      </c>
    </row>
    <row r="4506" spans="7:7" x14ac:dyDescent="0.3">
      <c r="G4506" s="391" t="s">
        <v>9568</v>
      </c>
    </row>
    <row r="4507" spans="7:7" x14ac:dyDescent="0.3">
      <c r="G4507" s="391" t="s">
        <v>9568</v>
      </c>
    </row>
    <row r="4508" spans="7:7" x14ac:dyDescent="0.3">
      <c r="G4508" s="391" t="s">
        <v>9568</v>
      </c>
    </row>
    <row r="4509" spans="7:7" x14ac:dyDescent="0.3">
      <c r="G4509" s="391" t="s">
        <v>9568</v>
      </c>
    </row>
    <row r="4510" spans="7:7" x14ac:dyDescent="0.3">
      <c r="G4510" s="391" t="s">
        <v>9568</v>
      </c>
    </row>
    <row r="4511" spans="7:7" x14ac:dyDescent="0.3">
      <c r="G4511" s="391" t="s">
        <v>9568</v>
      </c>
    </row>
    <row r="4512" spans="7:7" x14ac:dyDescent="0.3">
      <c r="G4512" s="391" t="s">
        <v>9568</v>
      </c>
    </row>
    <row r="4513" spans="7:7" x14ac:dyDescent="0.3">
      <c r="G4513" s="391" t="s">
        <v>9568</v>
      </c>
    </row>
    <row r="4514" spans="7:7" x14ac:dyDescent="0.3">
      <c r="G4514" s="391" t="s">
        <v>9568</v>
      </c>
    </row>
    <row r="4515" spans="7:7" x14ac:dyDescent="0.3">
      <c r="G4515" s="391" t="s">
        <v>9568</v>
      </c>
    </row>
    <row r="4516" spans="7:7" x14ac:dyDescent="0.3">
      <c r="G4516" s="391" t="s">
        <v>9568</v>
      </c>
    </row>
    <row r="4517" spans="7:7" x14ac:dyDescent="0.3">
      <c r="G4517" s="391" t="s">
        <v>9568</v>
      </c>
    </row>
    <row r="4518" spans="7:7" x14ac:dyDescent="0.3">
      <c r="G4518" s="391" t="s">
        <v>9568</v>
      </c>
    </row>
    <row r="4519" spans="7:7" x14ac:dyDescent="0.3">
      <c r="G4519" s="391" t="s">
        <v>9568</v>
      </c>
    </row>
    <row r="4520" spans="7:7" x14ac:dyDescent="0.3">
      <c r="G4520" s="391" t="s">
        <v>9568</v>
      </c>
    </row>
    <row r="4521" spans="7:7" x14ac:dyDescent="0.3">
      <c r="G4521" s="391" t="s">
        <v>9568</v>
      </c>
    </row>
    <row r="4522" spans="7:7" x14ac:dyDescent="0.3">
      <c r="G4522" s="391" t="s">
        <v>9568</v>
      </c>
    </row>
    <row r="4523" spans="7:7" x14ac:dyDescent="0.3">
      <c r="G4523" s="391" t="s">
        <v>9568</v>
      </c>
    </row>
    <row r="4524" spans="7:7" x14ac:dyDescent="0.3">
      <c r="G4524" s="391" t="s">
        <v>9568</v>
      </c>
    </row>
    <row r="4525" spans="7:7" x14ac:dyDescent="0.3">
      <c r="G4525" s="391" t="s">
        <v>9568</v>
      </c>
    </row>
    <row r="4526" spans="7:7" x14ac:dyDescent="0.3">
      <c r="G4526" s="391" t="s">
        <v>9568</v>
      </c>
    </row>
    <row r="4527" spans="7:7" x14ac:dyDescent="0.3">
      <c r="G4527" s="391" t="s">
        <v>9568</v>
      </c>
    </row>
    <row r="4528" spans="7:7" x14ac:dyDescent="0.3">
      <c r="G4528" s="391" t="s">
        <v>9568</v>
      </c>
    </row>
    <row r="4529" spans="7:7" x14ac:dyDescent="0.3">
      <c r="G4529" s="391" t="s">
        <v>9568</v>
      </c>
    </row>
    <row r="4530" spans="7:7" x14ac:dyDescent="0.3">
      <c r="G4530" s="391" t="s">
        <v>9568</v>
      </c>
    </row>
    <row r="4531" spans="7:7" x14ac:dyDescent="0.3">
      <c r="G4531" s="391" t="s">
        <v>9568</v>
      </c>
    </row>
    <row r="4532" spans="7:7" x14ac:dyDescent="0.3">
      <c r="G4532" s="391" t="s">
        <v>9568</v>
      </c>
    </row>
    <row r="4533" spans="7:7" x14ac:dyDescent="0.3">
      <c r="G4533" s="391" t="s">
        <v>9568</v>
      </c>
    </row>
    <row r="4534" spans="7:7" x14ac:dyDescent="0.3">
      <c r="G4534" s="391" t="s">
        <v>9568</v>
      </c>
    </row>
    <row r="4535" spans="7:7" x14ac:dyDescent="0.3">
      <c r="G4535" s="391" t="s">
        <v>9568</v>
      </c>
    </row>
    <row r="4536" spans="7:7" x14ac:dyDescent="0.3">
      <c r="G4536" s="391" t="s">
        <v>9568</v>
      </c>
    </row>
    <row r="4537" spans="7:7" x14ac:dyDescent="0.3">
      <c r="G4537" s="391" t="s">
        <v>9568</v>
      </c>
    </row>
    <row r="4538" spans="7:7" x14ac:dyDescent="0.3">
      <c r="G4538" s="391" t="s">
        <v>9568</v>
      </c>
    </row>
    <row r="4539" spans="7:7" x14ac:dyDescent="0.3">
      <c r="G4539" s="391" t="s">
        <v>9568</v>
      </c>
    </row>
    <row r="4540" spans="7:7" x14ac:dyDescent="0.3">
      <c r="G4540" s="391" t="s">
        <v>9568</v>
      </c>
    </row>
    <row r="4541" spans="7:7" x14ac:dyDescent="0.3">
      <c r="G4541" s="391" t="s">
        <v>9568</v>
      </c>
    </row>
    <row r="4542" spans="7:7" x14ac:dyDescent="0.3">
      <c r="G4542" s="391" t="s">
        <v>9568</v>
      </c>
    </row>
    <row r="4543" spans="7:7" x14ac:dyDescent="0.3">
      <c r="G4543" s="391" t="s">
        <v>9568</v>
      </c>
    </row>
    <row r="4544" spans="7:7" x14ac:dyDescent="0.3">
      <c r="G4544" s="391" t="s">
        <v>9568</v>
      </c>
    </row>
    <row r="4545" spans="7:7" x14ac:dyDescent="0.3">
      <c r="G4545" s="391" t="s">
        <v>9568</v>
      </c>
    </row>
    <row r="4546" spans="7:7" x14ac:dyDescent="0.3">
      <c r="G4546" s="391" t="s">
        <v>9568</v>
      </c>
    </row>
    <row r="4547" spans="7:7" x14ac:dyDescent="0.3">
      <c r="G4547" s="391" t="s">
        <v>9568</v>
      </c>
    </row>
    <row r="4548" spans="7:7" x14ac:dyDescent="0.3">
      <c r="G4548" s="391" t="s">
        <v>9568</v>
      </c>
    </row>
    <row r="4549" spans="7:7" x14ac:dyDescent="0.3">
      <c r="G4549" s="391" t="s">
        <v>9568</v>
      </c>
    </row>
    <row r="4550" spans="7:7" x14ac:dyDescent="0.3">
      <c r="G4550" s="391" t="s">
        <v>9568</v>
      </c>
    </row>
    <row r="4551" spans="7:7" x14ac:dyDescent="0.3">
      <c r="G4551" s="391" t="s">
        <v>9568</v>
      </c>
    </row>
    <row r="4552" spans="7:7" x14ac:dyDescent="0.3">
      <c r="G4552" s="391" t="s">
        <v>9568</v>
      </c>
    </row>
    <row r="4553" spans="7:7" x14ac:dyDescent="0.3">
      <c r="G4553" s="391" t="s">
        <v>9568</v>
      </c>
    </row>
    <row r="4554" spans="7:7" x14ac:dyDescent="0.3">
      <c r="G4554" s="391" t="s">
        <v>9568</v>
      </c>
    </row>
    <row r="4555" spans="7:7" x14ac:dyDescent="0.3">
      <c r="G4555" s="391" t="s">
        <v>9568</v>
      </c>
    </row>
    <row r="4556" spans="7:7" x14ac:dyDescent="0.3">
      <c r="G4556" s="391" t="s">
        <v>9568</v>
      </c>
    </row>
    <row r="4557" spans="7:7" x14ac:dyDescent="0.3">
      <c r="G4557" s="391" t="s">
        <v>9568</v>
      </c>
    </row>
    <row r="4558" spans="7:7" x14ac:dyDescent="0.3">
      <c r="G4558" s="391" t="s">
        <v>9568</v>
      </c>
    </row>
    <row r="4559" spans="7:7" x14ac:dyDescent="0.3">
      <c r="G4559" s="391" t="s">
        <v>9568</v>
      </c>
    </row>
    <row r="4560" spans="7:7" x14ac:dyDescent="0.3">
      <c r="G4560" s="391" t="s">
        <v>9568</v>
      </c>
    </row>
    <row r="4561" spans="7:7" x14ac:dyDescent="0.3">
      <c r="G4561" s="391" t="s">
        <v>9568</v>
      </c>
    </row>
    <row r="4562" spans="7:7" x14ac:dyDescent="0.3">
      <c r="G4562" s="391" t="s">
        <v>9568</v>
      </c>
    </row>
    <row r="4563" spans="7:7" x14ac:dyDescent="0.3">
      <c r="G4563" s="391" t="s">
        <v>9568</v>
      </c>
    </row>
    <row r="4564" spans="7:7" x14ac:dyDescent="0.3">
      <c r="G4564" s="391" t="s">
        <v>9568</v>
      </c>
    </row>
    <row r="4565" spans="7:7" x14ac:dyDescent="0.3">
      <c r="G4565" s="391" t="s">
        <v>9568</v>
      </c>
    </row>
    <row r="4566" spans="7:7" x14ac:dyDescent="0.3">
      <c r="G4566" s="391" t="s">
        <v>9568</v>
      </c>
    </row>
    <row r="4567" spans="7:7" x14ac:dyDescent="0.3">
      <c r="G4567" s="391" t="s">
        <v>9568</v>
      </c>
    </row>
    <row r="4568" spans="7:7" x14ac:dyDescent="0.3">
      <c r="G4568" s="391" t="s">
        <v>9568</v>
      </c>
    </row>
    <row r="4569" spans="7:7" x14ac:dyDescent="0.3">
      <c r="G4569" s="391" t="s">
        <v>9568</v>
      </c>
    </row>
    <row r="4570" spans="7:7" x14ac:dyDescent="0.3">
      <c r="G4570" s="391" t="s">
        <v>9568</v>
      </c>
    </row>
    <row r="4571" spans="7:7" x14ac:dyDescent="0.3">
      <c r="G4571" s="391" t="s">
        <v>9568</v>
      </c>
    </row>
    <row r="4572" spans="7:7" x14ac:dyDescent="0.3">
      <c r="G4572" s="391" t="s">
        <v>9568</v>
      </c>
    </row>
    <row r="4573" spans="7:7" x14ac:dyDescent="0.3">
      <c r="G4573" s="391" t="s">
        <v>9568</v>
      </c>
    </row>
    <row r="4574" spans="7:7" x14ac:dyDescent="0.3">
      <c r="G4574" s="391" t="s">
        <v>9568</v>
      </c>
    </row>
    <row r="4575" spans="7:7" x14ac:dyDescent="0.3">
      <c r="G4575" s="391" t="s">
        <v>9568</v>
      </c>
    </row>
    <row r="4576" spans="7:7" x14ac:dyDescent="0.3">
      <c r="G4576" s="391" t="s">
        <v>9568</v>
      </c>
    </row>
    <row r="4577" spans="7:7" x14ac:dyDescent="0.3">
      <c r="G4577" s="391" t="s">
        <v>9568</v>
      </c>
    </row>
    <row r="4578" spans="7:7" x14ac:dyDescent="0.3">
      <c r="G4578" s="391" t="s">
        <v>9568</v>
      </c>
    </row>
    <row r="4579" spans="7:7" x14ac:dyDescent="0.3">
      <c r="G4579" s="391" t="s">
        <v>9568</v>
      </c>
    </row>
    <row r="4580" spans="7:7" x14ac:dyDescent="0.3">
      <c r="G4580" s="391" t="s">
        <v>9568</v>
      </c>
    </row>
    <row r="4581" spans="7:7" x14ac:dyDescent="0.3">
      <c r="G4581" s="391" t="s">
        <v>9568</v>
      </c>
    </row>
    <row r="4582" spans="7:7" x14ac:dyDescent="0.3">
      <c r="G4582" s="391" t="s">
        <v>9568</v>
      </c>
    </row>
    <row r="4583" spans="7:7" x14ac:dyDescent="0.3">
      <c r="G4583" s="391" t="s">
        <v>9568</v>
      </c>
    </row>
    <row r="4584" spans="7:7" x14ac:dyDescent="0.3">
      <c r="G4584" s="391" t="s">
        <v>9568</v>
      </c>
    </row>
    <row r="4585" spans="7:7" x14ac:dyDescent="0.3">
      <c r="G4585" s="391" t="s">
        <v>9568</v>
      </c>
    </row>
    <row r="4586" spans="7:7" x14ac:dyDescent="0.3">
      <c r="G4586" s="391" t="s">
        <v>9568</v>
      </c>
    </row>
    <row r="4587" spans="7:7" x14ac:dyDescent="0.3">
      <c r="G4587" s="391" t="s">
        <v>9568</v>
      </c>
    </row>
    <row r="4588" spans="7:7" x14ac:dyDescent="0.3">
      <c r="G4588" s="391" t="s">
        <v>9568</v>
      </c>
    </row>
    <row r="4589" spans="7:7" x14ac:dyDescent="0.3">
      <c r="G4589" s="391" t="s">
        <v>9568</v>
      </c>
    </row>
    <row r="4590" spans="7:7" x14ac:dyDescent="0.3">
      <c r="G4590" s="391" t="s">
        <v>9568</v>
      </c>
    </row>
    <row r="4591" spans="7:7" x14ac:dyDescent="0.3">
      <c r="G4591" s="391" t="s">
        <v>9568</v>
      </c>
    </row>
    <row r="4592" spans="7:7" x14ac:dyDescent="0.3">
      <c r="G4592" s="391" t="s">
        <v>9568</v>
      </c>
    </row>
    <row r="4593" spans="7:7" x14ac:dyDescent="0.3">
      <c r="G4593" s="391" t="s">
        <v>9568</v>
      </c>
    </row>
    <row r="4594" spans="7:7" x14ac:dyDescent="0.3">
      <c r="G4594" s="391" t="s">
        <v>9568</v>
      </c>
    </row>
    <row r="4595" spans="7:7" x14ac:dyDescent="0.3">
      <c r="G4595" s="391" t="s">
        <v>9568</v>
      </c>
    </row>
    <row r="4596" spans="7:7" x14ac:dyDescent="0.3">
      <c r="G4596" s="391" t="s">
        <v>9568</v>
      </c>
    </row>
    <row r="4597" spans="7:7" x14ac:dyDescent="0.3">
      <c r="G4597" s="391" t="s">
        <v>9568</v>
      </c>
    </row>
    <row r="4598" spans="7:7" x14ac:dyDescent="0.3">
      <c r="G4598" s="391" t="s">
        <v>9568</v>
      </c>
    </row>
    <row r="4599" spans="7:7" x14ac:dyDescent="0.3">
      <c r="G4599" s="391" t="s">
        <v>9568</v>
      </c>
    </row>
    <row r="4600" spans="7:7" x14ac:dyDescent="0.3">
      <c r="G4600" s="391" t="s">
        <v>9568</v>
      </c>
    </row>
    <row r="4601" spans="7:7" x14ac:dyDescent="0.3">
      <c r="G4601" s="391" t="s">
        <v>9568</v>
      </c>
    </row>
    <row r="4602" spans="7:7" x14ac:dyDescent="0.3">
      <c r="G4602" s="391" t="s">
        <v>9568</v>
      </c>
    </row>
    <row r="4603" spans="7:7" x14ac:dyDescent="0.3">
      <c r="G4603" s="391" t="s">
        <v>9568</v>
      </c>
    </row>
    <row r="4604" spans="7:7" x14ac:dyDescent="0.3">
      <c r="G4604" s="391" t="s">
        <v>9568</v>
      </c>
    </row>
    <row r="4605" spans="7:7" x14ac:dyDescent="0.3">
      <c r="G4605" s="391" t="s">
        <v>9568</v>
      </c>
    </row>
    <row r="4606" spans="7:7" x14ac:dyDescent="0.3">
      <c r="G4606" s="391" t="s">
        <v>9568</v>
      </c>
    </row>
    <row r="4607" spans="7:7" x14ac:dyDescent="0.3">
      <c r="G4607" s="391" t="s">
        <v>9568</v>
      </c>
    </row>
    <row r="4608" spans="7:7" x14ac:dyDescent="0.3">
      <c r="G4608" s="391" t="s">
        <v>9568</v>
      </c>
    </row>
    <row r="4609" spans="7:7" x14ac:dyDescent="0.3">
      <c r="G4609" s="391" t="s">
        <v>9568</v>
      </c>
    </row>
    <row r="4610" spans="7:7" x14ac:dyDescent="0.3">
      <c r="G4610" s="391" t="s">
        <v>9568</v>
      </c>
    </row>
    <row r="4611" spans="7:7" x14ac:dyDescent="0.3">
      <c r="G4611" s="391" t="s">
        <v>9568</v>
      </c>
    </row>
    <row r="4612" spans="7:7" x14ac:dyDescent="0.3">
      <c r="G4612" s="391" t="s">
        <v>9568</v>
      </c>
    </row>
    <row r="4613" spans="7:7" x14ac:dyDescent="0.3">
      <c r="G4613" s="391" t="s">
        <v>9568</v>
      </c>
    </row>
    <row r="4614" spans="7:7" x14ac:dyDescent="0.3">
      <c r="G4614" s="391" t="s">
        <v>9568</v>
      </c>
    </row>
    <row r="4615" spans="7:7" x14ac:dyDescent="0.3">
      <c r="G4615" s="391" t="s">
        <v>9568</v>
      </c>
    </row>
    <row r="4616" spans="7:7" x14ac:dyDescent="0.3">
      <c r="G4616" s="391" t="s">
        <v>9568</v>
      </c>
    </row>
    <row r="4617" spans="7:7" x14ac:dyDescent="0.3">
      <c r="G4617" s="391" t="s">
        <v>9568</v>
      </c>
    </row>
    <row r="4618" spans="7:7" x14ac:dyDescent="0.3">
      <c r="G4618" s="391" t="s">
        <v>9568</v>
      </c>
    </row>
    <row r="4619" spans="7:7" x14ac:dyDescent="0.3">
      <c r="G4619" s="391" t="s">
        <v>9568</v>
      </c>
    </row>
    <row r="4620" spans="7:7" x14ac:dyDescent="0.3">
      <c r="G4620" s="391" t="s">
        <v>9568</v>
      </c>
    </row>
    <row r="4621" spans="7:7" x14ac:dyDescent="0.3">
      <c r="G4621" s="391" t="s">
        <v>9568</v>
      </c>
    </row>
    <row r="4622" spans="7:7" x14ac:dyDescent="0.3">
      <c r="G4622" s="391" t="s">
        <v>9568</v>
      </c>
    </row>
    <row r="4623" spans="7:7" x14ac:dyDescent="0.3">
      <c r="G4623" s="391" t="s">
        <v>9568</v>
      </c>
    </row>
    <row r="4624" spans="7:7" x14ac:dyDescent="0.3">
      <c r="G4624" s="391" t="s">
        <v>9568</v>
      </c>
    </row>
    <row r="4625" spans="7:7" x14ac:dyDescent="0.3">
      <c r="G4625" s="391" t="s">
        <v>9568</v>
      </c>
    </row>
    <row r="4626" spans="7:7" x14ac:dyDescent="0.3">
      <c r="G4626" s="391" t="s">
        <v>9568</v>
      </c>
    </row>
    <row r="4627" spans="7:7" x14ac:dyDescent="0.3">
      <c r="G4627" s="391" t="s">
        <v>9568</v>
      </c>
    </row>
    <row r="4628" spans="7:7" x14ac:dyDescent="0.3">
      <c r="G4628" s="391" t="s">
        <v>9568</v>
      </c>
    </row>
    <row r="4629" spans="7:7" x14ac:dyDescent="0.3">
      <c r="G4629" s="391" t="s">
        <v>9568</v>
      </c>
    </row>
    <row r="4630" spans="7:7" x14ac:dyDescent="0.3">
      <c r="G4630" s="391" t="s">
        <v>9568</v>
      </c>
    </row>
    <row r="4631" spans="7:7" x14ac:dyDescent="0.3">
      <c r="G4631" s="391" t="s">
        <v>9568</v>
      </c>
    </row>
    <row r="4632" spans="7:7" x14ac:dyDescent="0.3">
      <c r="G4632" s="391" t="s">
        <v>9568</v>
      </c>
    </row>
    <row r="4633" spans="7:7" x14ac:dyDescent="0.3">
      <c r="G4633" s="391" t="s">
        <v>9568</v>
      </c>
    </row>
    <row r="4634" spans="7:7" x14ac:dyDescent="0.3">
      <c r="G4634" s="391" t="s">
        <v>9568</v>
      </c>
    </row>
    <row r="4635" spans="7:7" x14ac:dyDescent="0.3">
      <c r="G4635" s="391" t="s">
        <v>9568</v>
      </c>
    </row>
    <row r="4636" spans="7:7" x14ac:dyDescent="0.3">
      <c r="G4636" s="391" t="s">
        <v>9568</v>
      </c>
    </row>
    <row r="4637" spans="7:7" x14ac:dyDescent="0.3">
      <c r="G4637" s="391" t="s">
        <v>9568</v>
      </c>
    </row>
    <row r="4638" spans="7:7" x14ac:dyDescent="0.3">
      <c r="G4638" s="391" t="s">
        <v>9568</v>
      </c>
    </row>
    <row r="4639" spans="7:7" x14ac:dyDescent="0.3">
      <c r="G4639" s="391" t="s">
        <v>9568</v>
      </c>
    </row>
    <row r="4640" spans="7:7" x14ac:dyDescent="0.3">
      <c r="G4640" s="391" t="s">
        <v>9568</v>
      </c>
    </row>
    <row r="4641" spans="7:7" x14ac:dyDescent="0.3">
      <c r="G4641" s="391" t="s">
        <v>9568</v>
      </c>
    </row>
    <row r="4642" spans="7:7" x14ac:dyDescent="0.3">
      <c r="G4642" s="391" t="s">
        <v>9568</v>
      </c>
    </row>
    <row r="4643" spans="7:7" x14ac:dyDescent="0.3">
      <c r="G4643" s="391" t="s">
        <v>9568</v>
      </c>
    </row>
    <row r="4644" spans="7:7" x14ac:dyDescent="0.3">
      <c r="G4644" s="391" t="s">
        <v>9568</v>
      </c>
    </row>
    <row r="4645" spans="7:7" x14ac:dyDescent="0.3">
      <c r="G4645" s="391" t="s">
        <v>9568</v>
      </c>
    </row>
    <row r="4646" spans="7:7" x14ac:dyDescent="0.3">
      <c r="G4646" s="391" t="s">
        <v>9568</v>
      </c>
    </row>
    <row r="4647" spans="7:7" x14ac:dyDescent="0.3">
      <c r="G4647" s="391" t="s">
        <v>9568</v>
      </c>
    </row>
    <row r="4648" spans="7:7" x14ac:dyDescent="0.3">
      <c r="G4648" s="391" t="s">
        <v>9568</v>
      </c>
    </row>
    <row r="4649" spans="7:7" x14ac:dyDescent="0.3">
      <c r="G4649" s="391" t="s">
        <v>9568</v>
      </c>
    </row>
    <row r="4650" spans="7:7" x14ac:dyDescent="0.3">
      <c r="G4650" s="391" t="s">
        <v>9568</v>
      </c>
    </row>
    <row r="4651" spans="7:7" x14ac:dyDescent="0.3">
      <c r="G4651" s="391" t="s">
        <v>9568</v>
      </c>
    </row>
    <row r="4652" spans="7:7" x14ac:dyDescent="0.3">
      <c r="G4652" s="391" t="s">
        <v>9568</v>
      </c>
    </row>
    <row r="4653" spans="7:7" x14ac:dyDescent="0.3">
      <c r="G4653" s="391" t="s">
        <v>9568</v>
      </c>
    </row>
    <row r="4654" spans="7:7" x14ac:dyDescent="0.3">
      <c r="G4654" s="391" t="s">
        <v>9568</v>
      </c>
    </row>
    <row r="4655" spans="7:7" x14ac:dyDescent="0.3">
      <c r="G4655" s="391" t="s">
        <v>9568</v>
      </c>
    </row>
    <row r="4656" spans="7:7" x14ac:dyDescent="0.3">
      <c r="G4656" s="391" t="s">
        <v>9568</v>
      </c>
    </row>
    <row r="4657" spans="7:7" x14ac:dyDescent="0.3">
      <c r="G4657" s="391" t="s">
        <v>9568</v>
      </c>
    </row>
    <row r="4658" spans="7:7" x14ac:dyDescent="0.3">
      <c r="G4658" s="391" t="s">
        <v>9568</v>
      </c>
    </row>
    <row r="4659" spans="7:7" x14ac:dyDescent="0.3">
      <c r="G4659" s="391" t="s">
        <v>9568</v>
      </c>
    </row>
    <row r="4660" spans="7:7" x14ac:dyDescent="0.3">
      <c r="G4660" s="391" t="s">
        <v>9568</v>
      </c>
    </row>
    <row r="4661" spans="7:7" x14ac:dyDescent="0.3">
      <c r="G4661" s="391" t="s">
        <v>9568</v>
      </c>
    </row>
    <row r="4662" spans="7:7" x14ac:dyDescent="0.3">
      <c r="G4662" s="391" t="s">
        <v>9568</v>
      </c>
    </row>
    <row r="4663" spans="7:7" x14ac:dyDescent="0.3">
      <c r="G4663" s="391" t="s">
        <v>9568</v>
      </c>
    </row>
    <row r="4664" spans="7:7" x14ac:dyDescent="0.3">
      <c r="G4664" s="391" t="s">
        <v>9568</v>
      </c>
    </row>
    <row r="4665" spans="7:7" x14ac:dyDescent="0.3">
      <c r="G4665" s="391" t="s">
        <v>9568</v>
      </c>
    </row>
    <row r="4666" spans="7:7" x14ac:dyDescent="0.3">
      <c r="G4666" s="391" t="s">
        <v>9568</v>
      </c>
    </row>
    <row r="4667" spans="7:7" x14ac:dyDescent="0.3">
      <c r="G4667" s="391" t="s">
        <v>9568</v>
      </c>
    </row>
    <row r="4668" spans="7:7" x14ac:dyDescent="0.3">
      <c r="G4668" s="391" t="s">
        <v>9568</v>
      </c>
    </row>
    <row r="4669" spans="7:7" x14ac:dyDescent="0.3">
      <c r="G4669" s="391" t="s">
        <v>9568</v>
      </c>
    </row>
    <row r="4670" spans="7:7" x14ac:dyDescent="0.3">
      <c r="G4670" s="391" t="s">
        <v>9568</v>
      </c>
    </row>
    <row r="4671" spans="7:7" x14ac:dyDescent="0.3">
      <c r="G4671" s="391" t="s">
        <v>9568</v>
      </c>
    </row>
    <row r="4672" spans="7:7" x14ac:dyDescent="0.3">
      <c r="G4672" s="391" t="s">
        <v>9568</v>
      </c>
    </row>
    <row r="4673" spans="7:7" x14ac:dyDescent="0.3">
      <c r="G4673" s="391" t="s">
        <v>9568</v>
      </c>
    </row>
    <row r="4674" spans="7:7" x14ac:dyDescent="0.3">
      <c r="G4674" s="391" t="s">
        <v>9568</v>
      </c>
    </row>
    <row r="4675" spans="7:7" x14ac:dyDescent="0.3">
      <c r="G4675" s="391" t="s">
        <v>9568</v>
      </c>
    </row>
    <row r="4676" spans="7:7" x14ac:dyDescent="0.3">
      <c r="G4676" s="391" t="s">
        <v>9568</v>
      </c>
    </row>
    <row r="4677" spans="7:7" x14ac:dyDescent="0.3">
      <c r="G4677" s="391" t="s">
        <v>9568</v>
      </c>
    </row>
    <row r="4678" spans="7:7" x14ac:dyDescent="0.3">
      <c r="G4678" s="391" t="s">
        <v>9568</v>
      </c>
    </row>
    <row r="4679" spans="7:7" x14ac:dyDescent="0.3">
      <c r="G4679" s="391" t="s">
        <v>9568</v>
      </c>
    </row>
    <row r="4680" spans="7:7" x14ac:dyDescent="0.3">
      <c r="G4680" s="391" t="s">
        <v>9568</v>
      </c>
    </row>
    <row r="4681" spans="7:7" x14ac:dyDescent="0.3">
      <c r="G4681" s="391" t="s">
        <v>9568</v>
      </c>
    </row>
    <row r="4682" spans="7:7" x14ac:dyDescent="0.3">
      <c r="G4682" s="391" t="s">
        <v>9568</v>
      </c>
    </row>
    <row r="4683" spans="7:7" x14ac:dyDescent="0.3">
      <c r="G4683" s="391" t="s">
        <v>9568</v>
      </c>
    </row>
    <row r="4684" spans="7:7" x14ac:dyDescent="0.3">
      <c r="G4684" s="391" t="s">
        <v>9568</v>
      </c>
    </row>
    <row r="4685" spans="7:7" x14ac:dyDescent="0.3">
      <c r="G4685" s="391" t="s">
        <v>9568</v>
      </c>
    </row>
    <row r="4686" spans="7:7" x14ac:dyDescent="0.3">
      <c r="G4686" s="391" t="s">
        <v>9568</v>
      </c>
    </row>
    <row r="4687" spans="7:7" x14ac:dyDescent="0.3">
      <c r="G4687" s="391" t="s">
        <v>9568</v>
      </c>
    </row>
    <row r="4688" spans="7:7" x14ac:dyDescent="0.3">
      <c r="G4688" s="391" t="s">
        <v>9568</v>
      </c>
    </row>
    <row r="4689" spans="7:7" x14ac:dyDescent="0.3">
      <c r="G4689" s="391" t="s">
        <v>9568</v>
      </c>
    </row>
    <row r="4690" spans="7:7" x14ac:dyDescent="0.3">
      <c r="G4690" s="391" t="s">
        <v>9568</v>
      </c>
    </row>
    <row r="4691" spans="7:7" x14ac:dyDescent="0.3">
      <c r="G4691" s="391" t="s">
        <v>9568</v>
      </c>
    </row>
    <row r="4692" spans="7:7" x14ac:dyDescent="0.3">
      <c r="G4692" s="391" t="s">
        <v>9568</v>
      </c>
    </row>
    <row r="4693" spans="7:7" x14ac:dyDescent="0.3">
      <c r="G4693" s="391" t="s">
        <v>9568</v>
      </c>
    </row>
    <row r="4694" spans="7:7" x14ac:dyDescent="0.3">
      <c r="G4694" s="391" t="s">
        <v>9568</v>
      </c>
    </row>
    <row r="4695" spans="7:7" x14ac:dyDescent="0.3">
      <c r="G4695" s="391" t="s">
        <v>9568</v>
      </c>
    </row>
    <row r="4696" spans="7:7" x14ac:dyDescent="0.3">
      <c r="G4696" s="391" t="s">
        <v>9568</v>
      </c>
    </row>
    <row r="4697" spans="7:7" x14ac:dyDescent="0.3">
      <c r="G4697" s="391" t="s">
        <v>9568</v>
      </c>
    </row>
    <row r="4698" spans="7:7" x14ac:dyDescent="0.3">
      <c r="G4698" s="391" t="s">
        <v>9568</v>
      </c>
    </row>
    <row r="4699" spans="7:7" x14ac:dyDescent="0.3">
      <c r="G4699" s="391" t="s">
        <v>9568</v>
      </c>
    </row>
    <row r="4700" spans="7:7" x14ac:dyDescent="0.3">
      <c r="G4700" s="391" t="s">
        <v>9568</v>
      </c>
    </row>
    <row r="4701" spans="7:7" x14ac:dyDescent="0.3">
      <c r="G4701" s="391" t="s">
        <v>9568</v>
      </c>
    </row>
    <row r="4702" spans="7:7" x14ac:dyDescent="0.3">
      <c r="G4702" s="391" t="s">
        <v>9568</v>
      </c>
    </row>
    <row r="4703" spans="7:7" x14ac:dyDescent="0.3">
      <c r="G4703" s="391" t="s">
        <v>9568</v>
      </c>
    </row>
    <row r="4704" spans="7:7" x14ac:dyDescent="0.3">
      <c r="G4704" s="391" t="s">
        <v>9568</v>
      </c>
    </row>
    <row r="4705" spans="7:7" x14ac:dyDescent="0.3">
      <c r="G4705" s="391" t="s">
        <v>9568</v>
      </c>
    </row>
    <row r="4706" spans="7:7" x14ac:dyDescent="0.3">
      <c r="G4706" s="391" t="s">
        <v>9568</v>
      </c>
    </row>
    <row r="4707" spans="7:7" x14ac:dyDescent="0.3">
      <c r="G4707" s="391" t="s">
        <v>9568</v>
      </c>
    </row>
    <row r="4708" spans="7:7" x14ac:dyDescent="0.3">
      <c r="G4708" s="391" t="s">
        <v>9568</v>
      </c>
    </row>
    <row r="4709" spans="7:7" x14ac:dyDescent="0.3">
      <c r="G4709" s="391" t="s">
        <v>9568</v>
      </c>
    </row>
    <row r="4710" spans="7:7" x14ac:dyDescent="0.3">
      <c r="G4710" s="391" t="s">
        <v>9568</v>
      </c>
    </row>
    <row r="4711" spans="7:7" x14ac:dyDescent="0.3">
      <c r="G4711" s="391" t="s">
        <v>9568</v>
      </c>
    </row>
    <row r="4712" spans="7:7" x14ac:dyDescent="0.3">
      <c r="G4712" s="391" t="s">
        <v>9568</v>
      </c>
    </row>
    <row r="4713" spans="7:7" x14ac:dyDescent="0.3">
      <c r="G4713" s="391" t="s">
        <v>9568</v>
      </c>
    </row>
    <row r="4714" spans="7:7" x14ac:dyDescent="0.3">
      <c r="G4714" s="391" t="s">
        <v>9568</v>
      </c>
    </row>
    <row r="4715" spans="7:7" x14ac:dyDescent="0.3">
      <c r="G4715" s="391" t="s">
        <v>9568</v>
      </c>
    </row>
    <row r="4716" spans="7:7" x14ac:dyDescent="0.3">
      <c r="G4716" s="391" t="s">
        <v>9568</v>
      </c>
    </row>
    <row r="4717" spans="7:7" x14ac:dyDescent="0.3">
      <c r="G4717" s="391" t="s">
        <v>9568</v>
      </c>
    </row>
    <row r="4718" spans="7:7" x14ac:dyDescent="0.3">
      <c r="G4718" s="391" t="s">
        <v>9568</v>
      </c>
    </row>
    <row r="4719" spans="7:7" x14ac:dyDescent="0.3">
      <c r="G4719" s="391" t="s">
        <v>9568</v>
      </c>
    </row>
    <row r="4720" spans="7:7" x14ac:dyDescent="0.3">
      <c r="G4720" s="391" t="s">
        <v>9568</v>
      </c>
    </row>
    <row r="4721" spans="7:7" x14ac:dyDescent="0.3">
      <c r="G4721" s="391" t="s">
        <v>9568</v>
      </c>
    </row>
    <row r="4722" spans="7:7" x14ac:dyDescent="0.3">
      <c r="G4722" s="391" t="s">
        <v>9568</v>
      </c>
    </row>
    <row r="4723" spans="7:7" x14ac:dyDescent="0.3">
      <c r="G4723" s="391" t="s">
        <v>9568</v>
      </c>
    </row>
    <row r="4724" spans="7:7" x14ac:dyDescent="0.3">
      <c r="G4724" s="391" t="s">
        <v>9568</v>
      </c>
    </row>
    <row r="4725" spans="7:7" x14ac:dyDescent="0.3">
      <c r="G4725" s="391" t="s">
        <v>9568</v>
      </c>
    </row>
    <row r="4726" spans="7:7" x14ac:dyDescent="0.3">
      <c r="G4726" s="391" t="s">
        <v>9568</v>
      </c>
    </row>
    <row r="4727" spans="7:7" x14ac:dyDescent="0.3">
      <c r="G4727" s="391" t="s">
        <v>9568</v>
      </c>
    </row>
    <row r="4728" spans="7:7" x14ac:dyDescent="0.3">
      <c r="G4728" s="391" t="s">
        <v>9568</v>
      </c>
    </row>
    <row r="4729" spans="7:7" x14ac:dyDescent="0.3">
      <c r="G4729" s="391" t="s">
        <v>9568</v>
      </c>
    </row>
    <row r="4730" spans="7:7" x14ac:dyDescent="0.3">
      <c r="G4730" s="391" t="s">
        <v>9568</v>
      </c>
    </row>
    <row r="4731" spans="7:7" x14ac:dyDescent="0.3">
      <c r="G4731" s="391" t="s">
        <v>9568</v>
      </c>
    </row>
    <row r="4732" spans="7:7" x14ac:dyDescent="0.3">
      <c r="G4732" s="391" t="s">
        <v>9568</v>
      </c>
    </row>
    <row r="4733" spans="7:7" x14ac:dyDescent="0.3">
      <c r="G4733" s="391" t="s">
        <v>9568</v>
      </c>
    </row>
    <row r="4734" spans="7:7" x14ac:dyDescent="0.3">
      <c r="G4734" s="391" t="s">
        <v>9568</v>
      </c>
    </row>
    <row r="4735" spans="7:7" x14ac:dyDescent="0.3">
      <c r="G4735" s="391" t="s">
        <v>9568</v>
      </c>
    </row>
    <row r="4736" spans="7:7" x14ac:dyDescent="0.3">
      <c r="G4736" s="391" t="s">
        <v>9568</v>
      </c>
    </row>
    <row r="4737" spans="7:7" x14ac:dyDescent="0.3">
      <c r="G4737" s="391" t="s">
        <v>9568</v>
      </c>
    </row>
    <row r="4738" spans="7:7" x14ac:dyDescent="0.3">
      <c r="G4738" s="391" t="s">
        <v>9568</v>
      </c>
    </row>
    <row r="4739" spans="7:7" x14ac:dyDescent="0.3">
      <c r="G4739" s="391" t="s">
        <v>9568</v>
      </c>
    </row>
    <row r="4740" spans="7:7" x14ac:dyDescent="0.3">
      <c r="G4740" s="391" t="s">
        <v>9568</v>
      </c>
    </row>
    <row r="4741" spans="7:7" x14ac:dyDescent="0.3">
      <c r="G4741" s="391" t="s">
        <v>9568</v>
      </c>
    </row>
    <row r="4742" spans="7:7" x14ac:dyDescent="0.3">
      <c r="G4742" s="391" t="s">
        <v>9568</v>
      </c>
    </row>
    <row r="4743" spans="7:7" x14ac:dyDescent="0.3">
      <c r="G4743" s="391" t="s">
        <v>9568</v>
      </c>
    </row>
    <row r="4744" spans="7:7" x14ac:dyDescent="0.3">
      <c r="G4744" s="391" t="s">
        <v>9568</v>
      </c>
    </row>
    <row r="4745" spans="7:7" x14ac:dyDescent="0.3">
      <c r="G4745" s="391" t="s">
        <v>9568</v>
      </c>
    </row>
    <row r="4746" spans="7:7" x14ac:dyDescent="0.3">
      <c r="G4746" s="391" t="s">
        <v>9568</v>
      </c>
    </row>
    <row r="4747" spans="7:7" x14ac:dyDescent="0.3">
      <c r="G4747" s="391" t="s">
        <v>9568</v>
      </c>
    </row>
    <row r="4748" spans="7:7" x14ac:dyDescent="0.3">
      <c r="G4748" s="391" t="s">
        <v>9568</v>
      </c>
    </row>
    <row r="4749" spans="7:7" x14ac:dyDescent="0.3">
      <c r="G4749" s="391" t="s">
        <v>9568</v>
      </c>
    </row>
    <row r="4750" spans="7:7" x14ac:dyDescent="0.3">
      <c r="G4750" s="391" t="s">
        <v>9568</v>
      </c>
    </row>
    <row r="4751" spans="7:7" x14ac:dyDescent="0.3">
      <c r="G4751" s="391" t="s">
        <v>9568</v>
      </c>
    </row>
    <row r="4752" spans="7:7" x14ac:dyDescent="0.3">
      <c r="G4752" s="391" t="s">
        <v>9568</v>
      </c>
    </row>
    <row r="4753" spans="7:7" x14ac:dyDescent="0.3">
      <c r="G4753" s="391" t="s">
        <v>9568</v>
      </c>
    </row>
    <row r="4754" spans="7:7" x14ac:dyDescent="0.3">
      <c r="G4754" s="391" t="s">
        <v>9568</v>
      </c>
    </row>
    <row r="4755" spans="7:7" x14ac:dyDescent="0.3">
      <c r="G4755" s="391" t="s">
        <v>9568</v>
      </c>
    </row>
    <row r="4756" spans="7:7" x14ac:dyDescent="0.3">
      <c r="G4756" s="391" t="s">
        <v>9568</v>
      </c>
    </row>
    <row r="4757" spans="7:7" x14ac:dyDescent="0.3">
      <c r="G4757" s="391" t="s">
        <v>9568</v>
      </c>
    </row>
    <row r="4758" spans="7:7" x14ac:dyDescent="0.3">
      <c r="G4758" s="391" t="s">
        <v>9568</v>
      </c>
    </row>
    <row r="4759" spans="7:7" x14ac:dyDescent="0.3">
      <c r="G4759" s="391" t="s">
        <v>9568</v>
      </c>
    </row>
    <row r="4760" spans="7:7" x14ac:dyDescent="0.3">
      <c r="G4760" s="391" t="s">
        <v>9568</v>
      </c>
    </row>
    <row r="4761" spans="7:7" x14ac:dyDescent="0.3">
      <c r="G4761" s="391" t="s">
        <v>9568</v>
      </c>
    </row>
    <row r="4762" spans="7:7" x14ac:dyDescent="0.3">
      <c r="G4762" s="391" t="s">
        <v>9568</v>
      </c>
    </row>
    <row r="4763" spans="7:7" x14ac:dyDescent="0.3">
      <c r="G4763" s="391" t="s">
        <v>9568</v>
      </c>
    </row>
    <row r="4764" spans="7:7" x14ac:dyDescent="0.3">
      <c r="G4764" s="391" t="s">
        <v>9568</v>
      </c>
    </row>
    <row r="4765" spans="7:7" x14ac:dyDescent="0.3">
      <c r="G4765" s="391" t="s">
        <v>9568</v>
      </c>
    </row>
    <row r="4766" spans="7:7" x14ac:dyDescent="0.3">
      <c r="G4766" s="391" t="s">
        <v>9568</v>
      </c>
    </row>
    <row r="4767" spans="7:7" x14ac:dyDescent="0.3">
      <c r="G4767" s="391" t="s">
        <v>9568</v>
      </c>
    </row>
    <row r="4768" spans="7:7" x14ac:dyDescent="0.3">
      <c r="G4768" s="391" t="s">
        <v>9568</v>
      </c>
    </row>
    <row r="4769" spans="7:7" x14ac:dyDescent="0.3">
      <c r="G4769" s="391" t="s">
        <v>9568</v>
      </c>
    </row>
    <row r="4770" spans="7:7" x14ac:dyDescent="0.3">
      <c r="G4770" s="391" t="s">
        <v>9568</v>
      </c>
    </row>
    <row r="4771" spans="7:7" x14ac:dyDescent="0.3">
      <c r="G4771" s="391" t="s">
        <v>9568</v>
      </c>
    </row>
    <row r="4772" spans="7:7" x14ac:dyDescent="0.3">
      <c r="G4772" s="391" t="s">
        <v>9568</v>
      </c>
    </row>
    <row r="4773" spans="7:7" x14ac:dyDescent="0.3">
      <c r="G4773" s="391" t="s">
        <v>9568</v>
      </c>
    </row>
    <row r="4774" spans="7:7" x14ac:dyDescent="0.3">
      <c r="G4774" s="391" t="s">
        <v>9568</v>
      </c>
    </row>
    <row r="4775" spans="7:7" x14ac:dyDescent="0.3">
      <c r="G4775" s="391" t="s">
        <v>9568</v>
      </c>
    </row>
    <row r="4776" spans="7:7" x14ac:dyDescent="0.3">
      <c r="G4776" s="391" t="s">
        <v>9568</v>
      </c>
    </row>
    <row r="4777" spans="7:7" x14ac:dyDescent="0.3">
      <c r="G4777" s="391" t="s">
        <v>9568</v>
      </c>
    </row>
    <row r="4778" spans="7:7" x14ac:dyDescent="0.3">
      <c r="G4778" s="391" t="s">
        <v>9568</v>
      </c>
    </row>
    <row r="4779" spans="7:7" x14ac:dyDescent="0.3">
      <c r="G4779" s="391" t="s">
        <v>9568</v>
      </c>
    </row>
    <row r="4780" spans="7:7" x14ac:dyDescent="0.3">
      <c r="G4780" s="391" t="s">
        <v>9568</v>
      </c>
    </row>
    <row r="4781" spans="7:7" x14ac:dyDescent="0.3">
      <c r="G4781" s="391" t="s">
        <v>9568</v>
      </c>
    </row>
    <row r="4782" spans="7:7" x14ac:dyDescent="0.3">
      <c r="G4782" s="391" t="s">
        <v>9568</v>
      </c>
    </row>
    <row r="4783" spans="7:7" x14ac:dyDescent="0.3">
      <c r="G4783" s="391" t="s">
        <v>9568</v>
      </c>
    </row>
    <row r="4784" spans="7:7" x14ac:dyDescent="0.3">
      <c r="G4784" s="391" t="s">
        <v>9568</v>
      </c>
    </row>
    <row r="4785" spans="7:7" x14ac:dyDescent="0.3">
      <c r="G4785" s="391" t="s">
        <v>9568</v>
      </c>
    </row>
    <row r="4786" spans="7:7" x14ac:dyDescent="0.3">
      <c r="G4786" s="391" t="s">
        <v>9568</v>
      </c>
    </row>
    <row r="4787" spans="7:7" x14ac:dyDescent="0.3">
      <c r="G4787" s="391" t="s">
        <v>9568</v>
      </c>
    </row>
    <row r="4788" spans="7:7" x14ac:dyDescent="0.3">
      <c r="G4788" s="391" t="s">
        <v>9568</v>
      </c>
    </row>
    <row r="4789" spans="7:7" x14ac:dyDescent="0.3">
      <c r="G4789" s="391" t="s">
        <v>9568</v>
      </c>
    </row>
    <row r="4790" spans="7:7" x14ac:dyDescent="0.3">
      <c r="G4790" s="391" t="s">
        <v>9568</v>
      </c>
    </row>
    <row r="4791" spans="7:7" x14ac:dyDescent="0.3">
      <c r="G4791" s="391" t="s">
        <v>9568</v>
      </c>
    </row>
    <row r="4792" spans="7:7" x14ac:dyDescent="0.3">
      <c r="G4792" s="391" t="s">
        <v>9568</v>
      </c>
    </row>
    <row r="4793" spans="7:7" x14ac:dyDescent="0.3">
      <c r="G4793" s="391" t="s">
        <v>9568</v>
      </c>
    </row>
    <row r="4794" spans="7:7" x14ac:dyDescent="0.3">
      <c r="G4794" s="391" t="s">
        <v>9568</v>
      </c>
    </row>
    <row r="4795" spans="7:7" x14ac:dyDescent="0.3">
      <c r="G4795" s="391" t="s">
        <v>9568</v>
      </c>
    </row>
    <row r="4796" spans="7:7" x14ac:dyDescent="0.3">
      <c r="G4796" s="391" t="s">
        <v>9568</v>
      </c>
    </row>
    <row r="4797" spans="7:7" x14ac:dyDescent="0.3">
      <c r="G4797" s="391" t="s">
        <v>9568</v>
      </c>
    </row>
    <row r="4798" spans="7:7" x14ac:dyDescent="0.3">
      <c r="G4798" s="391" t="s">
        <v>9568</v>
      </c>
    </row>
    <row r="4799" spans="7:7" x14ac:dyDescent="0.3">
      <c r="G4799" s="391" t="s">
        <v>9568</v>
      </c>
    </row>
    <row r="4800" spans="7:7" x14ac:dyDescent="0.3">
      <c r="G4800" s="391" t="s">
        <v>9568</v>
      </c>
    </row>
    <row r="4801" spans="7:7" x14ac:dyDescent="0.3">
      <c r="G4801" s="391" t="s">
        <v>9568</v>
      </c>
    </row>
    <row r="4802" spans="7:7" x14ac:dyDescent="0.3">
      <c r="G4802" s="391" t="s">
        <v>9568</v>
      </c>
    </row>
    <row r="4803" spans="7:7" x14ac:dyDescent="0.3">
      <c r="G4803" s="391" t="s">
        <v>9568</v>
      </c>
    </row>
    <row r="4804" spans="7:7" x14ac:dyDescent="0.3">
      <c r="G4804" s="391" t="s">
        <v>9568</v>
      </c>
    </row>
    <row r="4805" spans="7:7" x14ac:dyDescent="0.3">
      <c r="G4805" s="391" t="s">
        <v>9568</v>
      </c>
    </row>
    <row r="4806" spans="7:7" x14ac:dyDescent="0.3">
      <c r="G4806" s="391" t="s">
        <v>9568</v>
      </c>
    </row>
    <row r="4807" spans="7:7" x14ac:dyDescent="0.3">
      <c r="G4807" s="391" t="s">
        <v>9568</v>
      </c>
    </row>
    <row r="4808" spans="7:7" x14ac:dyDescent="0.3">
      <c r="G4808" s="391" t="s">
        <v>9568</v>
      </c>
    </row>
    <row r="4809" spans="7:7" x14ac:dyDescent="0.3">
      <c r="G4809" s="391" t="s">
        <v>9568</v>
      </c>
    </row>
    <row r="4810" spans="7:7" x14ac:dyDescent="0.3">
      <c r="G4810" s="391" t="s">
        <v>9568</v>
      </c>
    </row>
    <row r="4811" spans="7:7" x14ac:dyDescent="0.3">
      <c r="G4811" s="391" t="s">
        <v>9568</v>
      </c>
    </row>
    <row r="4812" spans="7:7" x14ac:dyDescent="0.3">
      <c r="G4812" s="391" t="s">
        <v>9568</v>
      </c>
    </row>
    <row r="4813" spans="7:7" x14ac:dyDescent="0.3">
      <c r="G4813" s="391" t="s">
        <v>9568</v>
      </c>
    </row>
    <row r="4814" spans="7:7" x14ac:dyDescent="0.3">
      <c r="G4814" s="391" t="s">
        <v>9568</v>
      </c>
    </row>
    <row r="4815" spans="7:7" x14ac:dyDescent="0.3">
      <c r="G4815" s="391" t="s">
        <v>9568</v>
      </c>
    </row>
    <row r="4816" spans="7:7" x14ac:dyDescent="0.3">
      <c r="G4816" s="391" t="s">
        <v>9568</v>
      </c>
    </row>
    <row r="4817" spans="7:7" x14ac:dyDescent="0.3">
      <c r="G4817" s="391" t="s">
        <v>9568</v>
      </c>
    </row>
    <row r="4818" spans="7:7" x14ac:dyDescent="0.3">
      <c r="G4818" s="391" t="s">
        <v>9568</v>
      </c>
    </row>
    <row r="4819" spans="7:7" x14ac:dyDescent="0.3">
      <c r="G4819" s="391" t="s">
        <v>9568</v>
      </c>
    </row>
    <row r="4820" spans="7:7" x14ac:dyDescent="0.3">
      <c r="G4820" s="391" t="s">
        <v>9568</v>
      </c>
    </row>
    <row r="4821" spans="7:7" x14ac:dyDescent="0.3">
      <c r="G4821" s="391" t="s">
        <v>9568</v>
      </c>
    </row>
    <row r="4822" spans="7:7" x14ac:dyDescent="0.3">
      <c r="G4822" s="391" t="s">
        <v>9568</v>
      </c>
    </row>
    <row r="4823" spans="7:7" x14ac:dyDescent="0.3">
      <c r="G4823" s="391" t="s">
        <v>9568</v>
      </c>
    </row>
    <row r="4824" spans="7:7" x14ac:dyDescent="0.3">
      <c r="G4824" s="391" t="s">
        <v>9568</v>
      </c>
    </row>
    <row r="4825" spans="7:7" x14ac:dyDescent="0.3">
      <c r="G4825" s="391" t="s">
        <v>9568</v>
      </c>
    </row>
    <row r="4826" spans="7:7" x14ac:dyDescent="0.3">
      <c r="G4826" s="391" t="s">
        <v>9568</v>
      </c>
    </row>
    <row r="4827" spans="7:7" x14ac:dyDescent="0.3">
      <c r="G4827" s="391" t="s">
        <v>9568</v>
      </c>
    </row>
    <row r="4828" spans="7:7" x14ac:dyDescent="0.3">
      <c r="G4828" s="391" t="s">
        <v>9568</v>
      </c>
    </row>
    <row r="4829" spans="7:7" x14ac:dyDescent="0.3">
      <c r="G4829" s="391" t="s">
        <v>9568</v>
      </c>
    </row>
    <row r="4830" spans="7:7" x14ac:dyDescent="0.3">
      <c r="G4830" s="391" t="s">
        <v>9568</v>
      </c>
    </row>
    <row r="4831" spans="7:7" x14ac:dyDescent="0.3">
      <c r="G4831" s="391" t="s">
        <v>9568</v>
      </c>
    </row>
    <row r="4832" spans="7:7" x14ac:dyDescent="0.3">
      <c r="G4832" s="391" t="s">
        <v>9568</v>
      </c>
    </row>
    <row r="4833" spans="7:7" x14ac:dyDescent="0.3">
      <c r="G4833" s="391" t="s">
        <v>9568</v>
      </c>
    </row>
    <row r="4834" spans="7:7" x14ac:dyDescent="0.3">
      <c r="G4834" s="391" t="s">
        <v>9568</v>
      </c>
    </row>
    <row r="4835" spans="7:7" x14ac:dyDescent="0.3">
      <c r="G4835" s="391" t="s">
        <v>9568</v>
      </c>
    </row>
    <row r="4836" spans="7:7" x14ac:dyDescent="0.3">
      <c r="G4836" s="391" t="s">
        <v>9568</v>
      </c>
    </row>
    <row r="4837" spans="7:7" x14ac:dyDescent="0.3">
      <c r="G4837" s="391" t="s">
        <v>9568</v>
      </c>
    </row>
    <row r="4838" spans="7:7" x14ac:dyDescent="0.3">
      <c r="G4838" s="391" t="s">
        <v>9568</v>
      </c>
    </row>
    <row r="4839" spans="7:7" x14ac:dyDescent="0.3">
      <c r="G4839" s="391" t="s">
        <v>9568</v>
      </c>
    </row>
    <row r="4840" spans="7:7" x14ac:dyDescent="0.3">
      <c r="G4840" s="391" t="s">
        <v>9568</v>
      </c>
    </row>
    <row r="4841" spans="7:7" x14ac:dyDescent="0.3">
      <c r="G4841" s="391" t="s">
        <v>9568</v>
      </c>
    </row>
    <row r="4842" spans="7:7" x14ac:dyDescent="0.3">
      <c r="G4842" s="391" t="s">
        <v>9568</v>
      </c>
    </row>
    <row r="4843" spans="7:7" x14ac:dyDescent="0.3">
      <c r="G4843" s="391" t="s">
        <v>9568</v>
      </c>
    </row>
    <row r="4844" spans="7:7" x14ac:dyDescent="0.3">
      <c r="G4844" s="391" t="s">
        <v>9568</v>
      </c>
    </row>
    <row r="4845" spans="7:7" x14ac:dyDescent="0.3">
      <c r="G4845" s="391" t="s">
        <v>9568</v>
      </c>
    </row>
    <row r="4846" spans="7:7" x14ac:dyDescent="0.3">
      <c r="G4846" s="391" t="s">
        <v>9568</v>
      </c>
    </row>
    <row r="4847" spans="7:7" x14ac:dyDescent="0.3">
      <c r="G4847" s="391" t="s">
        <v>9568</v>
      </c>
    </row>
    <row r="4848" spans="7:7" x14ac:dyDescent="0.3">
      <c r="G4848" s="391" t="s">
        <v>9568</v>
      </c>
    </row>
    <row r="4849" spans="7:7" x14ac:dyDescent="0.3">
      <c r="G4849" s="391" t="s">
        <v>9568</v>
      </c>
    </row>
    <row r="4850" spans="7:7" x14ac:dyDescent="0.3">
      <c r="G4850" s="391" t="s">
        <v>9568</v>
      </c>
    </row>
    <row r="4851" spans="7:7" x14ac:dyDescent="0.3">
      <c r="G4851" s="391" t="s">
        <v>9568</v>
      </c>
    </row>
    <row r="4852" spans="7:7" x14ac:dyDescent="0.3">
      <c r="G4852" s="391" t="s">
        <v>9568</v>
      </c>
    </row>
    <row r="4853" spans="7:7" x14ac:dyDescent="0.3">
      <c r="G4853" s="391" t="s">
        <v>9568</v>
      </c>
    </row>
    <row r="4854" spans="7:7" x14ac:dyDescent="0.3">
      <c r="G4854" s="391" t="s">
        <v>9568</v>
      </c>
    </row>
    <row r="4855" spans="7:7" x14ac:dyDescent="0.3">
      <c r="G4855" s="391" t="s">
        <v>9568</v>
      </c>
    </row>
    <row r="4856" spans="7:7" x14ac:dyDescent="0.3">
      <c r="G4856" s="391" t="s">
        <v>9568</v>
      </c>
    </row>
    <row r="4857" spans="7:7" x14ac:dyDescent="0.3">
      <c r="G4857" s="391" t="s">
        <v>9568</v>
      </c>
    </row>
    <row r="4858" spans="7:7" x14ac:dyDescent="0.3">
      <c r="G4858" s="391" t="s">
        <v>9568</v>
      </c>
    </row>
    <row r="4859" spans="7:7" x14ac:dyDescent="0.3">
      <c r="G4859" s="391" t="s">
        <v>9568</v>
      </c>
    </row>
    <row r="4860" spans="7:7" x14ac:dyDescent="0.3">
      <c r="G4860" s="391" t="s">
        <v>9568</v>
      </c>
    </row>
    <row r="4861" spans="7:7" x14ac:dyDescent="0.3">
      <c r="G4861" s="391" t="s">
        <v>9568</v>
      </c>
    </row>
    <row r="4862" spans="7:7" x14ac:dyDescent="0.3">
      <c r="G4862" s="391" t="s">
        <v>9568</v>
      </c>
    </row>
    <row r="4863" spans="7:7" x14ac:dyDescent="0.3">
      <c r="G4863" s="391" t="s">
        <v>9568</v>
      </c>
    </row>
    <row r="4864" spans="7:7" x14ac:dyDescent="0.3">
      <c r="G4864" s="391" t="s">
        <v>9568</v>
      </c>
    </row>
    <row r="4865" spans="7:7" x14ac:dyDescent="0.3">
      <c r="G4865" s="391" t="s">
        <v>9568</v>
      </c>
    </row>
    <row r="4866" spans="7:7" x14ac:dyDescent="0.3">
      <c r="G4866" s="391" t="s">
        <v>9568</v>
      </c>
    </row>
    <row r="4867" spans="7:7" x14ac:dyDescent="0.3">
      <c r="G4867" s="391" t="s">
        <v>9568</v>
      </c>
    </row>
    <row r="4868" spans="7:7" x14ac:dyDescent="0.3">
      <c r="G4868" s="391" t="s">
        <v>9568</v>
      </c>
    </row>
    <row r="4869" spans="7:7" x14ac:dyDescent="0.3">
      <c r="G4869" s="391" t="s">
        <v>9568</v>
      </c>
    </row>
    <row r="4870" spans="7:7" x14ac:dyDescent="0.3">
      <c r="G4870" s="391" t="s">
        <v>9568</v>
      </c>
    </row>
    <row r="4871" spans="7:7" x14ac:dyDescent="0.3">
      <c r="G4871" s="391" t="s">
        <v>9568</v>
      </c>
    </row>
    <row r="4872" spans="7:7" x14ac:dyDescent="0.3">
      <c r="G4872" s="391" t="s">
        <v>9568</v>
      </c>
    </row>
    <row r="4873" spans="7:7" x14ac:dyDescent="0.3">
      <c r="G4873" s="391" t="s">
        <v>9568</v>
      </c>
    </row>
    <row r="4874" spans="7:7" x14ac:dyDescent="0.3">
      <c r="G4874" s="391" t="s">
        <v>9568</v>
      </c>
    </row>
    <row r="4875" spans="7:7" x14ac:dyDescent="0.3">
      <c r="G4875" s="391" t="s">
        <v>9568</v>
      </c>
    </row>
    <row r="4876" spans="7:7" x14ac:dyDescent="0.3">
      <c r="G4876" s="391" t="s">
        <v>9568</v>
      </c>
    </row>
    <row r="4877" spans="7:7" x14ac:dyDescent="0.3">
      <c r="G4877" s="391" t="s">
        <v>9568</v>
      </c>
    </row>
    <row r="4878" spans="7:7" x14ac:dyDescent="0.3">
      <c r="G4878" s="391" t="s">
        <v>9568</v>
      </c>
    </row>
    <row r="4879" spans="7:7" x14ac:dyDescent="0.3">
      <c r="G4879" s="391" t="s">
        <v>9568</v>
      </c>
    </row>
    <row r="4880" spans="7:7" x14ac:dyDescent="0.3">
      <c r="G4880" s="391" t="s">
        <v>9568</v>
      </c>
    </row>
    <row r="4881" spans="7:7" x14ac:dyDescent="0.3">
      <c r="G4881" s="391" t="s">
        <v>9568</v>
      </c>
    </row>
    <row r="4882" spans="7:7" x14ac:dyDescent="0.3">
      <c r="G4882" s="391" t="s">
        <v>9568</v>
      </c>
    </row>
    <row r="4883" spans="7:7" x14ac:dyDescent="0.3">
      <c r="G4883" s="391" t="s">
        <v>9568</v>
      </c>
    </row>
    <row r="4884" spans="7:7" x14ac:dyDescent="0.3">
      <c r="G4884" s="391" t="s">
        <v>9568</v>
      </c>
    </row>
    <row r="4885" spans="7:7" x14ac:dyDescent="0.3">
      <c r="G4885" s="391" t="s">
        <v>9568</v>
      </c>
    </row>
    <row r="4886" spans="7:7" x14ac:dyDescent="0.3">
      <c r="G4886" s="391" t="s">
        <v>9568</v>
      </c>
    </row>
    <row r="4887" spans="7:7" x14ac:dyDescent="0.3">
      <c r="G4887" s="391" t="s">
        <v>9568</v>
      </c>
    </row>
    <row r="4888" spans="7:7" x14ac:dyDescent="0.3">
      <c r="G4888" s="391" t="s">
        <v>9568</v>
      </c>
    </row>
    <row r="4889" spans="7:7" x14ac:dyDescent="0.3">
      <c r="G4889" s="391" t="s">
        <v>9568</v>
      </c>
    </row>
    <row r="4890" spans="7:7" x14ac:dyDescent="0.3">
      <c r="G4890" s="391" t="s">
        <v>9568</v>
      </c>
    </row>
    <row r="4891" spans="7:7" x14ac:dyDescent="0.3">
      <c r="G4891" s="391" t="s">
        <v>9568</v>
      </c>
    </row>
    <row r="4892" spans="7:7" x14ac:dyDescent="0.3">
      <c r="G4892" s="391" t="s">
        <v>9568</v>
      </c>
    </row>
    <row r="4893" spans="7:7" x14ac:dyDescent="0.3">
      <c r="G4893" s="391" t="s">
        <v>9568</v>
      </c>
    </row>
    <row r="4894" spans="7:7" x14ac:dyDescent="0.3">
      <c r="G4894" s="391" t="s">
        <v>9568</v>
      </c>
    </row>
    <row r="4895" spans="7:7" x14ac:dyDescent="0.3">
      <c r="G4895" s="391" t="s">
        <v>9568</v>
      </c>
    </row>
    <row r="4896" spans="7:7" x14ac:dyDescent="0.3">
      <c r="G4896" s="391" t="s">
        <v>9568</v>
      </c>
    </row>
    <row r="4897" spans="7:7" x14ac:dyDescent="0.3">
      <c r="G4897" s="391" t="s">
        <v>9568</v>
      </c>
    </row>
    <row r="4898" spans="7:7" x14ac:dyDescent="0.3">
      <c r="G4898" s="391" t="s">
        <v>9568</v>
      </c>
    </row>
    <row r="4899" spans="7:7" x14ac:dyDescent="0.3">
      <c r="G4899" s="391" t="s">
        <v>9568</v>
      </c>
    </row>
    <row r="4900" spans="7:7" x14ac:dyDescent="0.3">
      <c r="G4900" s="391" t="s">
        <v>9568</v>
      </c>
    </row>
    <row r="4901" spans="7:7" x14ac:dyDescent="0.3">
      <c r="G4901" s="391" t="s">
        <v>9568</v>
      </c>
    </row>
    <row r="4902" spans="7:7" x14ac:dyDescent="0.3">
      <c r="G4902" s="391" t="s">
        <v>9568</v>
      </c>
    </row>
    <row r="4903" spans="7:7" x14ac:dyDescent="0.3">
      <c r="G4903" s="391" t="s">
        <v>9568</v>
      </c>
    </row>
    <row r="4904" spans="7:7" x14ac:dyDescent="0.3">
      <c r="G4904" s="391" t="s">
        <v>9568</v>
      </c>
    </row>
    <row r="4905" spans="7:7" x14ac:dyDescent="0.3">
      <c r="G4905" s="391" t="s">
        <v>9568</v>
      </c>
    </row>
    <row r="4906" spans="7:7" x14ac:dyDescent="0.3">
      <c r="G4906" s="391" t="s">
        <v>9568</v>
      </c>
    </row>
    <row r="4907" spans="7:7" x14ac:dyDescent="0.3">
      <c r="G4907" s="391" t="s">
        <v>9568</v>
      </c>
    </row>
    <row r="4908" spans="7:7" x14ac:dyDescent="0.3">
      <c r="G4908" s="391" t="s">
        <v>9568</v>
      </c>
    </row>
    <row r="4909" spans="7:7" x14ac:dyDescent="0.3">
      <c r="G4909" s="391" t="s">
        <v>9568</v>
      </c>
    </row>
    <row r="4910" spans="7:7" x14ac:dyDescent="0.3">
      <c r="G4910" s="391" t="s">
        <v>9568</v>
      </c>
    </row>
    <row r="4911" spans="7:7" x14ac:dyDescent="0.3">
      <c r="G4911" s="391" t="s">
        <v>9568</v>
      </c>
    </row>
    <row r="4912" spans="7:7" x14ac:dyDescent="0.3">
      <c r="G4912" s="391" t="s">
        <v>9568</v>
      </c>
    </row>
    <row r="4913" spans="7:7" x14ac:dyDescent="0.3">
      <c r="G4913" s="391" t="s">
        <v>9568</v>
      </c>
    </row>
    <row r="4914" spans="7:7" x14ac:dyDescent="0.3">
      <c r="G4914" s="391" t="s">
        <v>9568</v>
      </c>
    </row>
    <row r="4915" spans="7:7" x14ac:dyDescent="0.3">
      <c r="G4915" s="391" t="s">
        <v>9568</v>
      </c>
    </row>
    <row r="4916" spans="7:7" x14ac:dyDescent="0.3">
      <c r="G4916" s="391" t="s">
        <v>9568</v>
      </c>
    </row>
    <row r="4917" spans="7:7" x14ac:dyDescent="0.3">
      <c r="G4917" s="391" t="s">
        <v>9568</v>
      </c>
    </row>
    <row r="4918" spans="7:7" x14ac:dyDescent="0.3">
      <c r="G4918" s="391" t="s">
        <v>9568</v>
      </c>
    </row>
    <row r="4919" spans="7:7" x14ac:dyDescent="0.3">
      <c r="G4919" s="391" t="s">
        <v>9568</v>
      </c>
    </row>
    <row r="4920" spans="7:7" x14ac:dyDescent="0.3">
      <c r="G4920" s="391" t="s">
        <v>9568</v>
      </c>
    </row>
    <row r="4921" spans="7:7" x14ac:dyDescent="0.3">
      <c r="G4921" s="391" t="s">
        <v>9568</v>
      </c>
    </row>
    <row r="4922" spans="7:7" x14ac:dyDescent="0.3">
      <c r="G4922" s="391" t="s">
        <v>9568</v>
      </c>
    </row>
    <row r="4923" spans="7:7" x14ac:dyDescent="0.3">
      <c r="G4923" s="391" t="s">
        <v>9568</v>
      </c>
    </row>
    <row r="4924" spans="7:7" x14ac:dyDescent="0.3">
      <c r="G4924" s="391" t="s">
        <v>9568</v>
      </c>
    </row>
    <row r="4925" spans="7:7" x14ac:dyDescent="0.3">
      <c r="G4925" s="391" t="s">
        <v>9568</v>
      </c>
    </row>
    <row r="4926" spans="7:7" x14ac:dyDescent="0.3">
      <c r="G4926" s="391" t="s">
        <v>9568</v>
      </c>
    </row>
    <row r="4927" spans="7:7" x14ac:dyDescent="0.3">
      <c r="G4927" s="391" t="s">
        <v>9568</v>
      </c>
    </row>
    <row r="4928" spans="7:7" x14ac:dyDescent="0.3">
      <c r="G4928" s="391" t="s">
        <v>9568</v>
      </c>
    </row>
    <row r="4929" spans="7:7" x14ac:dyDescent="0.3">
      <c r="G4929" s="391" t="s">
        <v>9568</v>
      </c>
    </row>
    <row r="4930" spans="7:7" x14ac:dyDescent="0.3">
      <c r="G4930" s="391" t="s">
        <v>9568</v>
      </c>
    </row>
    <row r="4931" spans="7:7" x14ac:dyDescent="0.3">
      <c r="G4931" s="391" t="s">
        <v>9568</v>
      </c>
    </row>
    <row r="4932" spans="7:7" x14ac:dyDescent="0.3">
      <c r="G4932" s="391" t="s">
        <v>9568</v>
      </c>
    </row>
    <row r="4933" spans="7:7" x14ac:dyDescent="0.3">
      <c r="G4933" s="391" t="s">
        <v>9568</v>
      </c>
    </row>
    <row r="4934" spans="7:7" x14ac:dyDescent="0.3">
      <c r="G4934" s="391" t="s">
        <v>9568</v>
      </c>
    </row>
    <row r="4935" spans="7:7" x14ac:dyDescent="0.3">
      <c r="G4935" s="391" t="s">
        <v>9568</v>
      </c>
    </row>
    <row r="4936" spans="7:7" x14ac:dyDescent="0.3">
      <c r="G4936" s="391" t="s">
        <v>9568</v>
      </c>
    </row>
    <row r="4937" spans="7:7" x14ac:dyDescent="0.3">
      <c r="G4937" s="391" t="s">
        <v>9568</v>
      </c>
    </row>
    <row r="4938" spans="7:7" x14ac:dyDescent="0.3">
      <c r="G4938" s="391" t="s">
        <v>9568</v>
      </c>
    </row>
    <row r="4939" spans="7:7" x14ac:dyDescent="0.3">
      <c r="G4939" s="391" t="s">
        <v>9568</v>
      </c>
    </row>
    <row r="4940" spans="7:7" x14ac:dyDescent="0.3">
      <c r="G4940" s="391" t="s">
        <v>9568</v>
      </c>
    </row>
    <row r="4941" spans="7:7" x14ac:dyDescent="0.3">
      <c r="G4941" s="391" t="s">
        <v>9568</v>
      </c>
    </row>
    <row r="4942" spans="7:7" x14ac:dyDescent="0.3">
      <c r="G4942" s="391" t="s">
        <v>9568</v>
      </c>
    </row>
    <row r="4943" spans="7:7" x14ac:dyDescent="0.3">
      <c r="G4943" s="391" t="s">
        <v>9568</v>
      </c>
    </row>
    <row r="4944" spans="7:7" x14ac:dyDescent="0.3">
      <c r="G4944" s="391" t="s">
        <v>9568</v>
      </c>
    </row>
    <row r="4945" spans="7:7" x14ac:dyDescent="0.3">
      <c r="G4945" s="391" t="s">
        <v>9568</v>
      </c>
    </row>
    <row r="4946" spans="7:7" x14ac:dyDescent="0.3">
      <c r="G4946" s="391" t="s">
        <v>9568</v>
      </c>
    </row>
    <row r="4947" spans="7:7" x14ac:dyDescent="0.3">
      <c r="G4947" s="391" t="s">
        <v>9568</v>
      </c>
    </row>
    <row r="4948" spans="7:7" x14ac:dyDescent="0.3">
      <c r="G4948" s="391" t="s">
        <v>9568</v>
      </c>
    </row>
    <row r="4949" spans="7:7" x14ac:dyDescent="0.3">
      <c r="G4949" s="391" t="s">
        <v>9568</v>
      </c>
    </row>
    <row r="4950" spans="7:7" x14ac:dyDescent="0.3">
      <c r="G4950" s="391" t="s">
        <v>9568</v>
      </c>
    </row>
    <row r="4951" spans="7:7" x14ac:dyDescent="0.3">
      <c r="G4951" s="391" t="s">
        <v>9568</v>
      </c>
    </row>
    <row r="4952" spans="7:7" x14ac:dyDescent="0.3">
      <c r="G4952" s="391" t="s">
        <v>9568</v>
      </c>
    </row>
    <row r="4953" spans="7:7" x14ac:dyDescent="0.3">
      <c r="G4953" s="391" t="s">
        <v>9568</v>
      </c>
    </row>
    <row r="4954" spans="7:7" x14ac:dyDescent="0.3">
      <c r="G4954" s="391" t="s">
        <v>9568</v>
      </c>
    </row>
    <row r="4955" spans="7:7" x14ac:dyDescent="0.3">
      <c r="G4955" s="391" t="s">
        <v>9568</v>
      </c>
    </row>
    <row r="4956" spans="7:7" x14ac:dyDescent="0.3">
      <c r="G4956" s="391" t="s">
        <v>9568</v>
      </c>
    </row>
    <row r="4957" spans="7:7" x14ac:dyDescent="0.3">
      <c r="G4957" s="391" t="s">
        <v>9568</v>
      </c>
    </row>
    <row r="4958" spans="7:7" x14ac:dyDescent="0.3">
      <c r="G4958" s="391" t="s">
        <v>9568</v>
      </c>
    </row>
    <row r="4959" spans="7:7" x14ac:dyDescent="0.3">
      <c r="G4959" s="391" t="s">
        <v>9568</v>
      </c>
    </row>
    <row r="4960" spans="7:7" x14ac:dyDescent="0.3">
      <c r="G4960" s="391" t="s">
        <v>9568</v>
      </c>
    </row>
    <row r="4961" spans="7:7" x14ac:dyDescent="0.3">
      <c r="G4961" s="391" t="s">
        <v>9568</v>
      </c>
    </row>
    <row r="4962" spans="7:7" x14ac:dyDescent="0.3">
      <c r="G4962" s="391" t="s">
        <v>9568</v>
      </c>
    </row>
    <row r="4963" spans="7:7" x14ac:dyDescent="0.3">
      <c r="G4963" s="391" t="s">
        <v>9568</v>
      </c>
    </row>
    <row r="4964" spans="7:7" x14ac:dyDescent="0.3">
      <c r="G4964" s="391" t="s">
        <v>9568</v>
      </c>
    </row>
    <row r="4965" spans="7:7" x14ac:dyDescent="0.3">
      <c r="G4965" s="391" t="s">
        <v>9568</v>
      </c>
    </row>
    <row r="4966" spans="7:7" x14ac:dyDescent="0.3">
      <c r="G4966" s="391" t="s">
        <v>9568</v>
      </c>
    </row>
    <row r="4967" spans="7:7" x14ac:dyDescent="0.3">
      <c r="G4967" s="391" t="s">
        <v>9568</v>
      </c>
    </row>
    <row r="4968" spans="7:7" x14ac:dyDescent="0.3">
      <c r="G4968" s="391" t="s">
        <v>9568</v>
      </c>
    </row>
    <row r="4969" spans="7:7" x14ac:dyDescent="0.3">
      <c r="G4969" s="391" t="s">
        <v>9568</v>
      </c>
    </row>
    <row r="4970" spans="7:7" x14ac:dyDescent="0.3">
      <c r="G4970" s="391" t="s">
        <v>9568</v>
      </c>
    </row>
    <row r="4971" spans="7:7" x14ac:dyDescent="0.3">
      <c r="G4971" s="391" t="s">
        <v>9568</v>
      </c>
    </row>
    <row r="4972" spans="7:7" x14ac:dyDescent="0.3">
      <c r="G4972" s="391" t="s">
        <v>9568</v>
      </c>
    </row>
    <row r="4973" spans="7:7" x14ac:dyDescent="0.3">
      <c r="G4973" s="391" t="s">
        <v>9568</v>
      </c>
    </row>
    <row r="4974" spans="7:7" x14ac:dyDescent="0.3">
      <c r="G4974" s="391" t="s">
        <v>9568</v>
      </c>
    </row>
    <row r="4975" spans="7:7" x14ac:dyDescent="0.3">
      <c r="G4975" s="391" t="s">
        <v>9568</v>
      </c>
    </row>
    <row r="4976" spans="7:7" x14ac:dyDescent="0.3">
      <c r="G4976" s="391" t="s">
        <v>9568</v>
      </c>
    </row>
    <row r="4977" spans="7:7" x14ac:dyDescent="0.3">
      <c r="G4977" s="391" t="s">
        <v>9568</v>
      </c>
    </row>
    <row r="4978" spans="7:7" x14ac:dyDescent="0.3">
      <c r="G4978" s="391" t="s">
        <v>9568</v>
      </c>
    </row>
    <row r="4979" spans="7:7" x14ac:dyDescent="0.3">
      <c r="G4979" s="391" t="s">
        <v>9568</v>
      </c>
    </row>
    <row r="4980" spans="7:7" x14ac:dyDescent="0.3">
      <c r="G4980" s="391" t="s">
        <v>9568</v>
      </c>
    </row>
    <row r="4981" spans="7:7" x14ac:dyDescent="0.3">
      <c r="G4981" s="391" t="s">
        <v>9568</v>
      </c>
    </row>
    <row r="4982" spans="7:7" x14ac:dyDescent="0.3">
      <c r="G4982" s="391" t="s">
        <v>9568</v>
      </c>
    </row>
    <row r="4983" spans="7:7" x14ac:dyDescent="0.3">
      <c r="G4983" s="391" t="s">
        <v>9568</v>
      </c>
    </row>
    <row r="4984" spans="7:7" x14ac:dyDescent="0.3">
      <c r="G4984" s="391" t="s">
        <v>9568</v>
      </c>
    </row>
    <row r="4985" spans="7:7" x14ac:dyDescent="0.3">
      <c r="G4985" s="391" t="s">
        <v>9568</v>
      </c>
    </row>
    <row r="4986" spans="7:7" x14ac:dyDescent="0.3">
      <c r="G4986" s="391" t="s">
        <v>9568</v>
      </c>
    </row>
    <row r="4987" spans="7:7" x14ac:dyDescent="0.3">
      <c r="G4987" s="391" t="s">
        <v>9568</v>
      </c>
    </row>
    <row r="4988" spans="7:7" x14ac:dyDescent="0.3">
      <c r="G4988" s="391" t="s">
        <v>9568</v>
      </c>
    </row>
    <row r="4989" spans="7:7" x14ac:dyDescent="0.3">
      <c r="G4989" s="391" t="s">
        <v>9568</v>
      </c>
    </row>
    <row r="4990" spans="7:7" x14ac:dyDescent="0.3">
      <c r="G4990" s="391" t="s">
        <v>9568</v>
      </c>
    </row>
    <row r="4991" spans="7:7" x14ac:dyDescent="0.3">
      <c r="G4991" s="391" t="s">
        <v>9568</v>
      </c>
    </row>
    <row r="4992" spans="7:7" x14ac:dyDescent="0.3">
      <c r="G4992" s="391" t="s">
        <v>9568</v>
      </c>
    </row>
    <row r="4993" spans="7:7" x14ac:dyDescent="0.3">
      <c r="G4993" s="391" t="s">
        <v>9568</v>
      </c>
    </row>
    <row r="4994" spans="7:7" x14ac:dyDescent="0.3">
      <c r="G4994" s="391" t="s">
        <v>9568</v>
      </c>
    </row>
    <row r="4995" spans="7:7" x14ac:dyDescent="0.3">
      <c r="G4995" s="391" t="s">
        <v>9568</v>
      </c>
    </row>
    <row r="4996" spans="7:7" x14ac:dyDescent="0.3">
      <c r="G4996" s="391" t="s">
        <v>9568</v>
      </c>
    </row>
    <row r="4997" spans="7:7" x14ac:dyDescent="0.3">
      <c r="G4997" s="391" t="s">
        <v>9568</v>
      </c>
    </row>
    <row r="4998" spans="7:7" x14ac:dyDescent="0.3">
      <c r="G4998" s="391" t="s">
        <v>9568</v>
      </c>
    </row>
    <row r="4999" spans="7:7" x14ac:dyDescent="0.3">
      <c r="G4999" s="391" t="s">
        <v>9568</v>
      </c>
    </row>
    <row r="5000" spans="7:7" x14ac:dyDescent="0.3">
      <c r="G5000" s="391" t="s">
        <v>9568</v>
      </c>
    </row>
    <row r="5001" spans="7:7" x14ac:dyDescent="0.3">
      <c r="G5001" s="391" t="s">
        <v>9568</v>
      </c>
    </row>
    <row r="5002" spans="7:7" x14ac:dyDescent="0.3">
      <c r="G5002" s="391" t="s">
        <v>9568</v>
      </c>
    </row>
    <row r="5003" spans="7:7" x14ac:dyDescent="0.3">
      <c r="G5003" s="391" t="s">
        <v>9568</v>
      </c>
    </row>
    <row r="5004" spans="7:7" x14ac:dyDescent="0.3">
      <c r="G5004" s="391" t="s">
        <v>9568</v>
      </c>
    </row>
    <row r="5005" spans="7:7" x14ac:dyDescent="0.3">
      <c r="G5005" s="391" t="s">
        <v>9568</v>
      </c>
    </row>
    <row r="5006" spans="7:7" x14ac:dyDescent="0.3">
      <c r="G5006" s="391" t="s">
        <v>9568</v>
      </c>
    </row>
    <row r="5007" spans="7:7" x14ac:dyDescent="0.3">
      <c r="G5007" s="391" t="s">
        <v>9568</v>
      </c>
    </row>
    <row r="5008" spans="7:7" x14ac:dyDescent="0.3">
      <c r="G5008" s="391" t="s">
        <v>9568</v>
      </c>
    </row>
    <row r="5009" spans="7:7" x14ac:dyDescent="0.3">
      <c r="G5009" s="391" t="s">
        <v>9568</v>
      </c>
    </row>
    <row r="5010" spans="7:7" x14ac:dyDescent="0.3">
      <c r="G5010" s="391" t="s">
        <v>9568</v>
      </c>
    </row>
    <row r="5011" spans="7:7" x14ac:dyDescent="0.3">
      <c r="G5011" s="391" t="s">
        <v>9568</v>
      </c>
    </row>
    <row r="5012" spans="7:7" x14ac:dyDescent="0.3">
      <c r="G5012" s="391" t="s">
        <v>9568</v>
      </c>
    </row>
    <row r="5013" spans="7:7" x14ac:dyDescent="0.3">
      <c r="G5013" s="391" t="s">
        <v>9568</v>
      </c>
    </row>
    <row r="5014" spans="7:7" x14ac:dyDescent="0.3">
      <c r="G5014" s="391" t="s">
        <v>9568</v>
      </c>
    </row>
    <row r="5015" spans="7:7" x14ac:dyDescent="0.3">
      <c r="G5015" s="391" t="s">
        <v>9568</v>
      </c>
    </row>
    <row r="5016" spans="7:7" x14ac:dyDescent="0.3">
      <c r="G5016" s="391" t="s">
        <v>9568</v>
      </c>
    </row>
    <row r="5017" spans="7:7" x14ac:dyDescent="0.3">
      <c r="G5017" s="391" t="s">
        <v>9568</v>
      </c>
    </row>
    <row r="5018" spans="7:7" x14ac:dyDescent="0.3">
      <c r="G5018" s="391" t="s">
        <v>9568</v>
      </c>
    </row>
    <row r="5019" spans="7:7" x14ac:dyDescent="0.3">
      <c r="G5019" s="391" t="s">
        <v>9568</v>
      </c>
    </row>
    <row r="5020" spans="7:7" x14ac:dyDescent="0.3">
      <c r="G5020" s="391" t="s">
        <v>9568</v>
      </c>
    </row>
    <row r="5021" spans="7:7" x14ac:dyDescent="0.3">
      <c r="G5021" s="391" t="s">
        <v>9568</v>
      </c>
    </row>
    <row r="5022" spans="7:7" x14ac:dyDescent="0.3">
      <c r="G5022" s="391" t="s">
        <v>9568</v>
      </c>
    </row>
    <row r="5023" spans="7:7" x14ac:dyDescent="0.3">
      <c r="G5023" s="391" t="s">
        <v>9568</v>
      </c>
    </row>
    <row r="5024" spans="7:7" x14ac:dyDescent="0.3">
      <c r="G5024" s="391" t="s">
        <v>9568</v>
      </c>
    </row>
    <row r="5025" spans="7:7" x14ac:dyDescent="0.3">
      <c r="G5025" s="391" t="s">
        <v>9568</v>
      </c>
    </row>
    <row r="5026" spans="7:7" x14ac:dyDescent="0.3">
      <c r="G5026" s="391" t="s">
        <v>9568</v>
      </c>
    </row>
    <row r="5027" spans="7:7" x14ac:dyDescent="0.3">
      <c r="G5027" s="391" t="s">
        <v>9568</v>
      </c>
    </row>
    <row r="5028" spans="7:7" x14ac:dyDescent="0.3">
      <c r="G5028" s="391" t="s">
        <v>9568</v>
      </c>
    </row>
    <row r="5029" spans="7:7" x14ac:dyDescent="0.3">
      <c r="G5029" s="391" t="s">
        <v>9568</v>
      </c>
    </row>
    <row r="5030" spans="7:7" x14ac:dyDescent="0.3">
      <c r="G5030" s="391" t="s">
        <v>9568</v>
      </c>
    </row>
    <row r="5031" spans="7:7" x14ac:dyDescent="0.3">
      <c r="G5031" s="391" t="s">
        <v>9568</v>
      </c>
    </row>
    <row r="5032" spans="7:7" x14ac:dyDescent="0.3">
      <c r="G5032" s="391" t="s">
        <v>9568</v>
      </c>
    </row>
    <row r="5033" spans="7:7" x14ac:dyDescent="0.3">
      <c r="G5033" s="391" t="s">
        <v>9568</v>
      </c>
    </row>
    <row r="5034" spans="7:7" x14ac:dyDescent="0.3">
      <c r="G5034" s="391" t="s">
        <v>9568</v>
      </c>
    </row>
    <row r="5035" spans="7:7" x14ac:dyDescent="0.3">
      <c r="G5035" s="391" t="s">
        <v>9568</v>
      </c>
    </row>
    <row r="5036" spans="7:7" x14ac:dyDescent="0.3">
      <c r="G5036" s="391" t="s">
        <v>9568</v>
      </c>
    </row>
    <row r="5037" spans="7:7" x14ac:dyDescent="0.3">
      <c r="G5037" s="391" t="s">
        <v>9568</v>
      </c>
    </row>
    <row r="5038" spans="7:7" x14ac:dyDescent="0.3">
      <c r="G5038" s="391" t="s">
        <v>9568</v>
      </c>
    </row>
    <row r="5039" spans="7:7" x14ac:dyDescent="0.3">
      <c r="G5039" s="391" t="s">
        <v>9568</v>
      </c>
    </row>
    <row r="5040" spans="7:7" x14ac:dyDescent="0.3">
      <c r="G5040" s="391" t="s">
        <v>9568</v>
      </c>
    </row>
    <row r="5041" spans="7:7" x14ac:dyDescent="0.3">
      <c r="G5041" s="391" t="s">
        <v>9568</v>
      </c>
    </row>
    <row r="5042" spans="7:7" x14ac:dyDescent="0.3">
      <c r="G5042" s="391" t="s">
        <v>9568</v>
      </c>
    </row>
    <row r="5043" spans="7:7" x14ac:dyDescent="0.3">
      <c r="G5043" s="391" t="s">
        <v>9568</v>
      </c>
    </row>
    <row r="5044" spans="7:7" x14ac:dyDescent="0.3">
      <c r="G5044" s="391" t="s">
        <v>9568</v>
      </c>
    </row>
    <row r="5045" spans="7:7" x14ac:dyDescent="0.3">
      <c r="G5045" s="391" t="s">
        <v>9568</v>
      </c>
    </row>
    <row r="5046" spans="7:7" x14ac:dyDescent="0.3">
      <c r="G5046" s="391" t="s">
        <v>9568</v>
      </c>
    </row>
    <row r="5047" spans="7:7" x14ac:dyDescent="0.3">
      <c r="G5047" s="391" t="s">
        <v>9568</v>
      </c>
    </row>
    <row r="5048" spans="7:7" x14ac:dyDescent="0.3">
      <c r="G5048" s="391" t="s">
        <v>9568</v>
      </c>
    </row>
    <row r="5049" spans="7:7" x14ac:dyDescent="0.3">
      <c r="G5049" s="391" t="s">
        <v>9568</v>
      </c>
    </row>
    <row r="5050" spans="7:7" x14ac:dyDescent="0.3">
      <c r="G5050" s="391" t="s">
        <v>9568</v>
      </c>
    </row>
    <row r="5051" spans="7:7" x14ac:dyDescent="0.3">
      <c r="G5051" s="391" t="s">
        <v>9568</v>
      </c>
    </row>
    <row r="5052" spans="7:7" x14ac:dyDescent="0.3">
      <c r="G5052" s="391" t="s">
        <v>9568</v>
      </c>
    </row>
    <row r="5053" spans="7:7" x14ac:dyDescent="0.3">
      <c r="G5053" s="391" t="s">
        <v>9568</v>
      </c>
    </row>
    <row r="5054" spans="7:7" x14ac:dyDescent="0.3">
      <c r="G5054" s="391" t="s">
        <v>9568</v>
      </c>
    </row>
    <row r="5055" spans="7:7" x14ac:dyDescent="0.3">
      <c r="G5055" s="391" t="s">
        <v>9568</v>
      </c>
    </row>
    <row r="5056" spans="7:7" x14ac:dyDescent="0.3">
      <c r="G5056" s="391" t="s">
        <v>9568</v>
      </c>
    </row>
    <row r="5057" spans="7:7" x14ac:dyDescent="0.3">
      <c r="G5057" s="391" t="s">
        <v>9568</v>
      </c>
    </row>
    <row r="5058" spans="7:7" x14ac:dyDescent="0.3">
      <c r="G5058" s="391" t="s">
        <v>9568</v>
      </c>
    </row>
    <row r="5059" spans="7:7" x14ac:dyDescent="0.3">
      <c r="G5059" s="391" t="s">
        <v>9568</v>
      </c>
    </row>
    <row r="5060" spans="7:7" x14ac:dyDescent="0.3">
      <c r="G5060" s="391" t="s">
        <v>9568</v>
      </c>
    </row>
    <row r="5061" spans="7:7" x14ac:dyDescent="0.3">
      <c r="G5061" s="391" t="s">
        <v>9568</v>
      </c>
    </row>
    <row r="5062" spans="7:7" x14ac:dyDescent="0.3">
      <c r="G5062" s="391" t="s">
        <v>9568</v>
      </c>
    </row>
    <row r="5063" spans="7:7" x14ac:dyDescent="0.3">
      <c r="G5063" s="391" t="s">
        <v>9568</v>
      </c>
    </row>
    <row r="5064" spans="7:7" x14ac:dyDescent="0.3">
      <c r="G5064" s="391" t="s">
        <v>9568</v>
      </c>
    </row>
    <row r="5065" spans="7:7" x14ac:dyDescent="0.3">
      <c r="G5065" s="391" t="s">
        <v>9568</v>
      </c>
    </row>
    <row r="5066" spans="7:7" x14ac:dyDescent="0.3">
      <c r="G5066" s="391" t="s">
        <v>9568</v>
      </c>
    </row>
    <row r="5067" spans="7:7" x14ac:dyDescent="0.3">
      <c r="G5067" s="391" t="s">
        <v>9568</v>
      </c>
    </row>
    <row r="5068" spans="7:7" x14ac:dyDescent="0.3">
      <c r="G5068" s="391" t="s">
        <v>9568</v>
      </c>
    </row>
    <row r="5069" spans="7:7" x14ac:dyDescent="0.3">
      <c r="G5069" s="391" t="s">
        <v>9568</v>
      </c>
    </row>
    <row r="5070" spans="7:7" x14ac:dyDescent="0.3">
      <c r="G5070" s="391" t="s">
        <v>9568</v>
      </c>
    </row>
    <row r="5071" spans="7:7" x14ac:dyDescent="0.3">
      <c r="G5071" s="391" t="s">
        <v>9568</v>
      </c>
    </row>
    <row r="5072" spans="7:7" x14ac:dyDescent="0.3">
      <c r="G5072" s="391" t="s">
        <v>9568</v>
      </c>
    </row>
    <row r="5073" spans="7:7" x14ac:dyDescent="0.3">
      <c r="G5073" s="391" t="s">
        <v>9568</v>
      </c>
    </row>
    <row r="5074" spans="7:7" x14ac:dyDescent="0.3">
      <c r="G5074" s="391" t="s">
        <v>9568</v>
      </c>
    </row>
    <row r="5075" spans="7:7" x14ac:dyDescent="0.3">
      <c r="G5075" s="391" t="s">
        <v>9568</v>
      </c>
    </row>
    <row r="5076" spans="7:7" x14ac:dyDescent="0.3">
      <c r="G5076" s="391" t="s">
        <v>9568</v>
      </c>
    </row>
    <row r="5077" spans="7:7" x14ac:dyDescent="0.3">
      <c r="G5077" s="391" t="s">
        <v>9568</v>
      </c>
    </row>
    <row r="5078" spans="7:7" x14ac:dyDescent="0.3">
      <c r="G5078" s="391" t="s">
        <v>9568</v>
      </c>
    </row>
    <row r="5079" spans="7:7" x14ac:dyDescent="0.3">
      <c r="G5079" s="391" t="s">
        <v>9568</v>
      </c>
    </row>
    <row r="5080" spans="7:7" x14ac:dyDescent="0.3">
      <c r="G5080" s="391" t="s">
        <v>9568</v>
      </c>
    </row>
    <row r="5081" spans="7:7" x14ac:dyDescent="0.3">
      <c r="G5081" s="391" t="s">
        <v>9568</v>
      </c>
    </row>
    <row r="5082" spans="7:7" x14ac:dyDescent="0.3">
      <c r="G5082" s="391" t="s">
        <v>9568</v>
      </c>
    </row>
    <row r="5083" spans="7:7" x14ac:dyDescent="0.3">
      <c r="G5083" s="391" t="s">
        <v>9568</v>
      </c>
    </row>
    <row r="5084" spans="7:7" x14ac:dyDescent="0.3">
      <c r="G5084" s="391" t="s">
        <v>9568</v>
      </c>
    </row>
    <row r="5085" spans="7:7" x14ac:dyDescent="0.3">
      <c r="G5085" s="391" t="s">
        <v>9568</v>
      </c>
    </row>
    <row r="5086" spans="7:7" x14ac:dyDescent="0.3">
      <c r="G5086" s="391" t="s">
        <v>9568</v>
      </c>
    </row>
    <row r="5087" spans="7:7" x14ac:dyDescent="0.3">
      <c r="G5087" s="391" t="s">
        <v>9568</v>
      </c>
    </row>
    <row r="5088" spans="7:7" x14ac:dyDescent="0.3">
      <c r="G5088" s="391" t="s">
        <v>9568</v>
      </c>
    </row>
    <row r="5089" spans="7:7" x14ac:dyDescent="0.3">
      <c r="G5089" s="391" t="s">
        <v>9568</v>
      </c>
    </row>
    <row r="5090" spans="7:7" x14ac:dyDescent="0.3">
      <c r="G5090" s="391" t="s">
        <v>9568</v>
      </c>
    </row>
    <row r="5091" spans="7:7" x14ac:dyDescent="0.3">
      <c r="G5091" s="391" t="s">
        <v>9568</v>
      </c>
    </row>
    <row r="5092" spans="7:7" x14ac:dyDescent="0.3">
      <c r="G5092" s="391" t="s">
        <v>9568</v>
      </c>
    </row>
    <row r="5093" spans="7:7" x14ac:dyDescent="0.3">
      <c r="G5093" s="391" t="s">
        <v>9568</v>
      </c>
    </row>
    <row r="5094" spans="7:7" x14ac:dyDescent="0.3">
      <c r="G5094" s="391" t="s">
        <v>9568</v>
      </c>
    </row>
    <row r="5095" spans="7:7" x14ac:dyDescent="0.3">
      <c r="G5095" s="391" t="s">
        <v>9568</v>
      </c>
    </row>
    <row r="5096" spans="7:7" x14ac:dyDescent="0.3">
      <c r="G5096" s="391" t="s">
        <v>9568</v>
      </c>
    </row>
    <row r="5097" spans="7:7" x14ac:dyDescent="0.3">
      <c r="G5097" s="391" t="s">
        <v>9568</v>
      </c>
    </row>
    <row r="5098" spans="7:7" x14ac:dyDescent="0.3">
      <c r="G5098" s="391" t="s">
        <v>9568</v>
      </c>
    </row>
    <row r="5099" spans="7:7" x14ac:dyDescent="0.3">
      <c r="G5099" s="391" t="s">
        <v>9568</v>
      </c>
    </row>
    <row r="5100" spans="7:7" x14ac:dyDescent="0.3">
      <c r="G5100" s="391" t="s">
        <v>9568</v>
      </c>
    </row>
    <row r="5101" spans="7:7" x14ac:dyDescent="0.3">
      <c r="G5101" s="391" t="s">
        <v>9568</v>
      </c>
    </row>
    <row r="5102" spans="7:7" x14ac:dyDescent="0.3">
      <c r="G5102" s="391" t="s">
        <v>9568</v>
      </c>
    </row>
    <row r="5103" spans="7:7" x14ac:dyDescent="0.3">
      <c r="G5103" s="391" t="s">
        <v>9568</v>
      </c>
    </row>
    <row r="5104" spans="7:7" x14ac:dyDescent="0.3">
      <c r="G5104" s="391" t="s">
        <v>9568</v>
      </c>
    </row>
    <row r="5105" spans="7:7" x14ac:dyDescent="0.3">
      <c r="G5105" s="391" t="s">
        <v>9568</v>
      </c>
    </row>
    <row r="5106" spans="7:7" x14ac:dyDescent="0.3">
      <c r="G5106" s="391" t="s">
        <v>9568</v>
      </c>
    </row>
    <row r="5107" spans="7:7" x14ac:dyDescent="0.3">
      <c r="G5107" s="391" t="s">
        <v>9568</v>
      </c>
    </row>
    <row r="5108" spans="7:7" x14ac:dyDescent="0.3">
      <c r="G5108" s="391" t="s">
        <v>9568</v>
      </c>
    </row>
    <row r="5109" spans="7:7" x14ac:dyDescent="0.3">
      <c r="G5109" s="391" t="s">
        <v>9568</v>
      </c>
    </row>
    <row r="5110" spans="7:7" x14ac:dyDescent="0.3">
      <c r="G5110" s="391" t="s">
        <v>9568</v>
      </c>
    </row>
    <row r="5111" spans="7:7" x14ac:dyDescent="0.3">
      <c r="G5111" s="391" t="s">
        <v>9568</v>
      </c>
    </row>
    <row r="5112" spans="7:7" x14ac:dyDescent="0.3">
      <c r="G5112" s="391" t="s">
        <v>9568</v>
      </c>
    </row>
    <row r="5113" spans="7:7" x14ac:dyDescent="0.3">
      <c r="G5113" s="391" t="s">
        <v>9568</v>
      </c>
    </row>
    <row r="5114" spans="7:7" x14ac:dyDescent="0.3">
      <c r="G5114" s="391" t="s">
        <v>9568</v>
      </c>
    </row>
    <row r="5115" spans="7:7" x14ac:dyDescent="0.3">
      <c r="G5115" s="391" t="s">
        <v>9568</v>
      </c>
    </row>
    <row r="5116" spans="7:7" x14ac:dyDescent="0.3">
      <c r="G5116" s="391" t="s">
        <v>9568</v>
      </c>
    </row>
    <row r="5117" spans="7:7" x14ac:dyDescent="0.3">
      <c r="G5117" s="391" t="s">
        <v>9568</v>
      </c>
    </row>
    <row r="5118" spans="7:7" x14ac:dyDescent="0.3">
      <c r="G5118" s="391" t="s">
        <v>9568</v>
      </c>
    </row>
    <row r="5119" spans="7:7" x14ac:dyDescent="0.3">
      <c r="G5119" s="391" t="s">
        <v>9568</v>
      </c>
    </row>
    <row r="5120" spans="7:7" x14ac:dyDescent="0.3">
      <c r="G5120" s="391" t="s">
        <v>9568</v>
      </c>
    </row>
    <row r="5121" spans="7:7" x14ac:dyDescent="0.3">
      <c r="G5121" s="391" t="s">
        <v>9568</v>
      </c>
    </row>
    <row r="5122" spans="7:7" x14ac:dyDescent="0.3">
      <c r="G5122" s="391" t="s">
        <v>9568</v>
      </c>
    </row>
    <row r="5123" spans="7:7" x14ac:dyDescent="0.3">
      <c r="G5123" s="391" t="s">
        <v>9568</v>
      </c>
    </row>
    <row r="5124" spans="7:7" x14ac:dyDescent="0.3">
      <c r="G5124" s="391" t="s">
        <v>9568</v>
      </c>
    </row>
    <row r="5125" spans="7:7" x14ac:dyDescent="0.3">
      <c r="G5125" s="391" t="s">
        <v>9568</v>
      </c>
    </row>
    <row r="5126" spans="7:7" x14ac:dyDescent="0.3">
      <c r="G5126" s="391" t="s">
        <v>9568</v>
      </c>
    </row>
    <row r="5127" spans="7:7" x14ac:dyDescent="0.3">
      <c r="G5127" s="391" t="s">
        <v>9568</v>
      </c>
    </row>
    <row r="5128" spans="7:7" x14ac:dyDescent="0.3">
      <c r="G5128" s="391" t="s">
        <v>9568</v>
      </c>
    </row>
    <row r="5129" spans="7:7" x14ac:dyDescent="0.3">
      <c r="G5129" s="391" t="s">
        <v>9568</v>
      </c>
    </row>
    <row r="5130" spans="7:7" x14ac:dyDescent="0.3">
      <c r="G5130" s="391" t="s">
        <v>9568</v>
      </c>
    </row>
    <row r="5131" spans="7:7" x14ac:dyDescent="0.3">
      <c r="G5131" s="391" t="s">
        <v>9568</v>
      </c>
    </row>
    <row r="5132" spans="7:7" x14ac:dyDescent="0.3">
      <c r="G5132" s="391" t="s">
        <v>9568</v>
      </c>
    </row>
    <row r="5133" spans="7:7" x14ac:dyDescent="0.3">
      <c r="G5133" s="391" t="s">
        <v>9568</v>
      </c>
    </row>
    <row r="5134" spans="7:7" x14ac:dyDescent="0.3">
      <c r="G5134" s="391" t="s">
        <v>9568</v>
      </c>
    </row>
    <row r="5135" spans="7:7" x14ac:dyDescent="0.3">
      <c r="G5135" s="391" t="s">
        <v>9568</v>
      </c>
    </row>
    <row r="5136" spans="7:7" x14ac:dyDescent="0.3">
      <c r="G5136" s="391" t="s">
        <v>9568</v>
      </c>
    </row>
    <row r="5137" spans="7:7" x14ac:dyDescent="0.3">
      <c r="G5137" s="391" t="s">
        <v>9568</v>
      </c>
    </row>
    <row r="5138" spans="7:7" x14ac:dyDescent="0.3">
      <c r="G5138" s="391" t="s">
        <v>9568</v>
      </c>
    </row>
    <row r="5139" spans="7:7" x14ac:dyDescent="0.3">
      <c r="G5139" s="391" t="s">
        <v>9568</v>
      </c>
    </row>
    <row r="5140" spans="7:7" x14ac:dyDescent="0.3">
      <c r="G5140" s="391" t="s">
        <v>9568</v>
      </c>
    </row>
    <row r="5141" spans="7:7" x14ac:dyDescent="0.3">
      <c r="G5141" s="391" t="s">
        <v>9568</v>
      </c>
    </row>
    <row r="5142" spans="7:7" x14ac:dyDescent="0.3">
      <c r="G5142" s="391" t="s">
        <v>9568</v>
      </c>
    </row>
    <row r="5143" spans="7:7" x14ac:dyDescent="0.3">
      <c r="G5143" s="391" t="s">
        <v>9568</v>
      </c>
    </row>
    <row r="5144" spans="7:7" x14ac:dyDescent="0.3">
      <c r="G5144" s="391" t="s">
        <v>9568</v>
      </c>
    </row>
    <row r="5145" spans="7:7" x14ac:dyDescent="0.3">
      <c r="G5145" s="391" t="s">
        <v>9568</v>
      </c>
    </row>
    <row r="5146" spans="7:7" x14ac:dyDescent="0.3">
      <c r="G5146" s="391" t="s">
        <v>9568</v>
      </c>
    </row>
    <row r="5147" spans="7:7" x14ac:dyDescent="0.3">
      <c r="G5147" s="391" t="s">
        <v>9568</v>
      </c>
    </row>
    <row r="5148" spans="7:7" x14ac:dyDescent="0.3">
      <c r="G5148" s="391" t="s">
        <v>9568</v>
      </c>
    </row>
    <row r="5149" spans="7:7" x14ac:dyDescent="0.3">
      <c r="G5149" s="391" t="s">
        <v>9568</v>
      </c>
    </row>
    <row r="5150" spans="7:7" x14ac:dyDescent="0.3">
      <c r="G5150" s="391" t="s">
        <v>9568</v>
      </c>
    </row>
    <row r="5151" spans="7:7" x14ac:dyDescent="0.3">
      <c r="G5151" s="391" t="s">
        <v>9568</v>
      </c>
    </row>
    <row r="5152" spans="7:7" x14ac:dyDescent="0.3">
      <c r="G5152" s="391" t="s">
        <v>9568</v>
      </c>
    </row>
    <row r="5153" spans="7:7" x14ac:dyDescent="0.3">
      <c r="G5153" s="391" t="s">
        <v>9568</v>
      </c>
    </row>
    <row r="5154" spans="7:7" x14ac:dyDescent="0.3">
      <c r="G5154" s="391" t="s">
        <v>9568</v>
      </c>
    </row>
    <row r="5155" spans="7:7" x14ac:dyDescent="0.3">
      <c r="G5155" s="391" t="s">
        <v>9568</v>
      </c>
    </row>
    <row r="5156" spans="7:7" x14ac:dyDescent="0.3">
      <c r="G5156" s="391" t="s">
        <v>9568</v>
      </c>
    </row>
    <row r="5157" spans="7:7" x14ac:dyDescent="0.25">
      <c r="G5157" s="400" t="s">
        <v>9568</v>
      </c>
    </row>
    <row r="5158" spans="7:7" x14ac:dyDescent="0.3">
      <c r="G5158" s="391" t="s">
        <v>9568</v>
      </c>
    </row>
    <row r="5159" spans="7:7" x14ac:dyDescent="0.3">
      <c r="G5159" s="391" t="s">
        <v>9568</v>
      </c>
    </row>
    <row r="5160" spans="7:7" x14ac:dyDescent="0.3">
      <c r="G5160" s="391" t="s">
        <v>9568</v>
      </c>
    </row>
    <row r="5161" spans="7:7" x14ac:dyDescent="0.3">
      <c r="G5161" s="391" t="s">
        <v>9568</v>
      </c>
    </row>
    <row r="5162" spans="7:7" x14ac:dyDescent="0.3">
      <c r="G5162" s="391" t="s">
        <v>9568</v>
      </c>
    </row>
    <row r="5163" spans="7:7" x14ac:dyDescent="0.3">
      <c r="G5163" s="391" t="s">
        <v>9568</v>
      </c>
    </row>
    <row r="5164" spans="7:7" x14ac:dyDescent="0.3">
      <c r="G5164" s="391" t="s">
        <v>9568</v>
      </c>
    </row>
    <row r="5165" spans="7:7" x14ac:dyDescent="0.3">
      <c r="G5165" s="391" t="s">
        <v>9568</v>
      </c>
    </row>
    <row r="5166" spans="7:7" x14ac:dyDescent="0.3">
      <c r="G5166" s="391" t="s">
        <v>9568</v>
      </c>
    </row>
    <row r="5167" spans="7:7" x14ac:dyDescent="0.3">
      <c r="G5167" s="391" t="s">
        <v>9568</v>
      </c>
    </row>
    <row r="5168" spans="7:7" x14ac:dyDescent="0.3">
      <c r="G5168" s="391" t="s">
        <v>9568</v>
      </c>
    </row>
    <row r="5169" spans="7:7" x14ac:dyDescent="0.3">
      <c r="G5169" s="391" t="s">
        <v>9568</v>
      </c>
    </row>
    <row r="5170" spans="7:7" x14ac:dyDescent="0.3">
      <c r="G5170" s="391" t="s">
        <v>9568</v>
      </c>
    </row>
    <row r="5171" spans="7:7" x14ac:dyDescent="0.3">
      <c r="G5171" s="391" t="s">
        <v>9568</v>
      </c>
    </row>
    <row r="5172" spans="7:7" x14ac:dyDescent="0.3">
      <c r="G5172" s="391" t="s">
        <v>9568</v>
      </c>
    </row>
    <row r="5173" spans="7:7" x14ac:dyDescent="0.3">
      <c r="G5173" s="391" t="s">
        <v>9568</v>
      </c>
    </row>
    <row r="5174" spans="7:7" x14ac:dyDescent="0.3">
      <c r="G5174" s="391" t="s">
        <v>9568</v>
      </c>
    </row>
    <row r="5175" spans="7:7" x14ac:dyDescent="0.3">
      <c r="G5175" s="391" t="s">
        <v>9568</v>
      </c>
    </row>
    <row r="5176" spans="7:7" x14ac:dyDescent="0.3">
      <c r="G5176" s="391" t="s">
        <v>9568</v>
      </c>
    </row>
    <row r="5177" spans="7:7" x14ac:dyDescent="0.3">
      <c r="G5177" s="391" t="s">
        <v>9568</v>
      </c>
    </row>
    <row r="5178" spans="7:7" x14ac:dyDescent="0.3">
      <c r="G5178" s="391" t="s">
        <v>9568</v>
      </c>
    </row>
    <row r="5179" spans="7:7" x14ac:dyDescent="0.3">
      <c r="G5179" s="391" t="s">
        <v>9568</v>
      </c>
    </row>
    <row r="5180" spans="7:7" x14ac:dyDescent="0.3">
      <c r="G5180" s="391" t="s">
        <v>9568</v>
      </c>
    </row>
    <row r="5181" spans="7:7" x14ac:dyDescent="0.3">
      <c r="G5181" s="391" t="s">
        <v>9568</v>
      </c>
    </row>
    <row r="5182" spans="7:7" x14ac:dyDescent="0.3">
      <c r="G5182" s="391" t="s">
        <v>9568</v>
      </c>
    </row>
    <row r="5183" spans="7:7" x14ac:dyDescent="0.3">
      <c r="G5183" s="391" t="s">
        <v>9568</v>
      </c>
    </row>
    <row r="5184" spans="7:7" x14ac:dyDescent="0.3">
      <c r="G5184" s="391" t="s">
        <v>9568</v>
      </c>
    </row>
    <row r="5185" spans="7:7" x14ac:dyDescent="0.3">
      <c r="G5185" s="391" t="s">
        <v>9568</v>
      </c>
    </row>
    <row r="5186" spans="7:7" x14ac:dyDescent="0.3">
      <c r="G5186" s="391" t="s">
        <v>9568</v>
      </c>
    </row>
    <row r="5187" spans="7:7" x14ac:dyDescent="0.3">
      <c r="G5187" s="391" t="s">
        <v>9568</v>
      </c>
    </row>
    <row r="5188" spans="7:7" x14ac:dyDescent="0.3">
      <c r="G5188" s="391" t="s">
        <v>9568</v>
      </c>
    </row>
    <row r="5189" spans="7:7" x14ac:dyDescent="0.3">
      <c r="G5189" s="391" t="s">
        <v>9568</v>
      </c>
    </row>
    <row r="5190" spans="7:7" x14ac:dyDescent="0.3">
      <c r="G5190" s="391" t="s">
        <v>9568</v>
      </c>
    </row>
    <row r="5191" spans="7:7" x14ac:dyDescent="0.3">
      <c r="G5191" s="391" t="s">
        <v>9568</v>
      </c>
    </row>
    <row r="5192" spans="7:7" x14ac:dyDescent="0.3">
      <c r="G5192" s="391" t="s">
        <v>9568</v>
      </c>
    </row>
    <row r="5193" spans="7:7" x14ac:dyDescent="0.3">
      <c r="G5193" s="391" t="s">
        <v>9568</v>
      </c>
    </row>
    <row r="5194" spans="7:7" x14ac:dyDescent="0.3">
      <c r="G5194" s="391" t="s">
        <v>9568</v>
      </c>
    </row>
    <row r="5195" spans="7:7" x14ac:dyDescent="0.3">
      <c r="G5195" s="391" t="s">
        <v>9568</v>
      </c>
    </row>
    <row r="5196" spans="7:7" x14ac:dyDescent="0.3">
      <c r="G5196" s="391" t="s">
        <v>9568</v>
      </c>
    </row>
    <row r="5197" spans="7:7" x14ac:dyDescent="0.3">
      <c r="G5197" s="391" t="s">
        <v>9568</v>
      </c>
    </row>
    <row r="5198" spans="7:7" x14ac:dyDescent="0.3">
      <c r="G5198" s="391" t="s">
        <v>9568</v>
      </c>
    </row>
    <row r="5199" spans="7:7" x14ac:dyDescent="0.3">
      <c r="G5199" s="391" t="s">
        <v>9568</v>
      </c>
    </row>
    <row r="5200" spans="7:7" x14ac:dyDescent="0.3">
      <c r="G5200" s="391" t="s">
        <v>9568</v>
      </c>
    </row>
    <row r="5201" spans="7:7" x14ac:dyDescent="0.3">
      <c r="G5201" s="391" t="s">
        <v>9568</v>
      </c>
    </row>
    <row r="5202" spans="7:7" x14ac:dyDescent="0.3">
      <c r="G5202" s="391" t="s">
        <v>9568</v>
      </c>
    </row>
    <row r="5203" spans="7:7" x14ac:dyDescent="0.3">
      <c r="G5203" s="391" t="s">
        <v>9568</v>
      </c>
    </row>
    <row r="5204" spans="7:7" x14ac:dyDescent="0.3">
      <c r="G5204" s="391" t="s">
        <v>9568</v>
      </c>
    </row>
    <row r="5205" spans="7:7" x14ac:dyDescent="0.3">
      <c r="G5205" s="391" t="s">
        <v>9568</v>
      </c>
    </row>
    <row r="5206" spans="7:7" x14ac:dyDescent="0.3">
      <c r="G5206" s="391" t="s">
        <v>9568</v>
      </c>
    </row>
    <row r="5207" spans="7:7" x14ac:dyDescent="0.3">
      <c r="G5207" s="391" t="s">
        <v>9568</v>
      </c>
    </row>
    <row r="5208" spans="7:7" x14ac:dyDescent="0.3">
      <c r="G5208" s="391" t="s">
        <v>9568</v>
      </c>
    </row>
    <row r="5209" spans="7:7" x14ac:dyDescent="0.3">
      <c r="G5209" s="391" t="s">
        <v>9568</v>
      </c>
    </row>
    <row r="5210" spans="7:7" x14ac:dyDescent="0.3">
      <c r="G5210" s="391" t="s">
        <v>9568</v>
      </c>
    </row>
    <row r="5211" spans="7:7" x14ac:dyDescent="0.3">
      <c r="G5211" s="391" t="s">
        <v>9568</v>
      </c>
    </row>
    <row r="5212" spans="7:7" x14ac:dyDescent="0.3">
      <c r="G5212" s="391" t="s">
        <v>9568</v>
      </c>
    </row>
    <row r="5213" spans="7:7" x14ac:dyDescent="0.3">
      <c r="G5213" s="391" t="s">
        <v>9568</v>
      </c>
    </row>
    <row r="5214" spans="7:7" x14ac:dyDescent="0.3">
      <c r="G5214" s="391" t="s">
        <v>9568</v>
      </c>
    </row>
    <row r="5215" spans="7:7" x14ac:dyDescent="0.3">
      <c r="G5215" s="391" t="s">
        <v>9568</v>
      </c>
    </row>
    <row r="5216" spans="7:7" x14ac:dyDescent="0.3">
      <c r="G5216" s="391" t="s">
        <v>9568</v>
      </c>
    </row>
    <row r="5217" spans="7:7" x14ac:dyDescent="0.3">
      <c r="G5217" s="391" t="s">
        <v>9568</v>
      </c>
    </row>
    <row r="5218" spans="7:7" x14ac:dyDescent="0.3">
      <c r="G5218" s="391" t="s">
        <v>9568</v>
      </c>
    </row>
    <row r="5219" spans="7:7" x14ac:dyDescent="0.3">
      <c r="G5219" s="391" t="s">
        <v>9568</v>
      </c>
    </row>
    <row r="5220" spans="7:7" x14ac:dyDescent="0.3">
      <c r="G5220" s="391" t="s">
        <v>9568</v>
      </c>
    </row>
    <row r="5221" spans="7:7" x14ac:dyDescent="0.3">
      <c r="G5221" s="391" t="s">
        <v>9568</v>
      </c>
    </row>
    <row r="5222" spans="7:7" x14ac:dyDescent="0.3">
      <c r="G5222" s="391" t="s">
        <v>9568</v>
      </c>
    </row>
    <row r="5223" spans="7:7" x14ac:dyDescent="0.3">
      <c r="G5223" s="391" t="s">
        <v>9568</v>
      </c>
    </row>
    <row r="5224" spans="7:7" x14ac:dyDescent="0.3">
      <c r="G5224" s="391" t="s">
        <v>9568</v>
      </c>
    </row>
    <row r="5225" spans="7:7" x14ac:dyDescent="0.3">
      <c r="G5225" s="391" t="s">
        <v>9568</v>
      </c>
    </row>
    <row r="5226" spans="7:7" x14ac:dyDescent="0.3">
      <c r="G5226" s="391" t="s">
        <v>9568</v>
      </c>
    </row>
    <row r="5227" spans="7:7" x14ac:dyDescent="0.3">
      <c r="G5227" s="391" t="s">
        <v>9568</v>
      </c>
    </row>
    <row r="5228" spans="7:7" x14ac:dyDescent="0.3">
      <c r="G5228" s="391" t="s">
        <v>9568</v>
      </c>
    </row>
    <row r="5229" spans="7:7" x14ac:dyDescent="0.3">
      <c r="G5229" s="391" t="s">
        <v>9568</v>
      </c>
    </row>
    <row r="5230" spans="7:7" x14ac:dyDescent="0.3">
      <c r="G5230" s="391" t="s">
        <v>9568</v>
      </c>
    </row>
    <row r="5231" spans="7:7" x14ac:dyDescent="0.3">
      <c r="G5231" s="391" t="s">
        <v>9568</v>
      </c>
    </row>
    <row r="5232" spans="7:7" x14ac:dyDescent="0.3">
      <c r="G5232" s="391" t="s">
        <v>9568</v>
      </c>
    </row>
    <row r="5233" spans="7:7" x14ac:dyDescent="0.3">
      <c r="G5233" s="391" t="s">
        <v>9568</v>
      </c>
    </row>
    <row r="5234" spans="7:7" x14ac:dyDescent="0.3">
      <c r="G5234" s="391" t="s">
        <v>9568</v>
      </c>
    </row>
    <row r="5235" spans="7:7" x14ac:dyDescent="0.3">
      <c r="G5235" s="391" t="s">
        <v>9568</v>
      </c>
    </row>
    <row r="5236" spans="7:7" x14ac:dyDescent="0.3">
      <c r="G5236" s="391" t="s">
        <v>9568</v>
      </c>
    </row>
    <row r="5237" spans="7:7" x14ac:dyDescent="0.3">
      <c r="G5237" s="391" t="s">
        <v>9568</v>
      </c>
    </row>
    <row r="5238" spans="7:7" x14ac:dyDescent="0.3">
      <c r="G5238" s="391" t="s">
        <v>9568</v>
      </c>
    </row>
    <row r="5239" spans="7:7" x14ac:dyDescent="0.3">
      <c r="G5239" s="391" t="s">
        <v>9568</v>
      </c>
    </row>
    <row r="5240" spans="7:7" x14ac:dyDescent="0.3">
      <c r="G5240" s="391" t="s">
        <v>9568</v>
      </c>
    </row>
    <row r="5241" spans="7:7" x14ac:dyDescent="0.3">
      <c r="G5241" s="391" t="s">
        <v>9568</v>
      </c>
    </row>
    <row r="5242" spans="7:7" x14ac:dyDescent="0.3">
      <c r="G5242" s="391" t="s">
        <v>9568</v>
      </c>
    </row>
    <row r="5243" spans="7:7" x14ac:dyDescent="0.3">
      <c r="G5243" s="391" t="s">
        <v>9568</v>
      </c>
    </row>
    <row r="5244" spans="7:7" x14ac:dyDescent="0.3">
      <c r="G5244" s="391" t="s">
        <v>9568</v>
      </c>
    </row>
    <row r="5245" spans="7:7" x14ac:dyDescent="0.3">
      <c r="G5245" s="391" t="s">
        <v>9568</v>
      </c>
    </row>
    <row r="5246" spans="7:7" x14ac:dyDescent="0.3">
      <c r="G5246" s="391" t="s">
        <v>9568</v>
      </c>
    </row>
    <row r="5247" spans="7:7" x14ac:dyDescent="0.3">
      <c r="G5247" s="391" t="s">
        <v>9568</v>
      </c>
    </row>
    <row r="5248" spans="7:7" x14ac:dyDescent="0.3">
      <c r="G5248" s="391" t="s">
        <v>9568</v>
      </c>
    </row>
    <row r="5249" spans="7:7" x14ac:dyDescent="0.3">
      <c r="G5249" s="391" t="s">
        <v>9568</v>
      </c>
    </row>
    <row r="5250" spans="7:7" x14ac:dyDescent="0.3">
      <c r="G5250" s="391" t="s">
        <v>9568</v>
      </c>
    </row>
    <row r="5251" spans="7:7" x14ac:dyDescent="0.3">
      <c r="G5251" s="391" t="s">
        <v>9568</v>
      </c>
    </row>
    <row r="5252" spans="7:7" x14ac:dyDescent="0.3">
      <c r="G5252" s="391" t="s">
        <v>9568</v>
      </c>
    </row>
    <row r="5253" spans="7:7" x14ac:dyDescent="0.3">
      <c r="G5253" s="391" t="s">
        <v>9568</v>
      </c>
    </row>
    <row r="5254" spans="7:7" x14ac:dyDescent="0.3">
      <c r="G5254" s="391" t="s">
        <v>9568</v>
      </c>
    </row>
    <row r="5255" spans="7:7" x14ac:dyDescent="0.3">
      <c r="G5255" s="391" t="s">
        <v>9568</v>
      </c>
    </row>
    <row r="5256" spans="7:7" x14ac:dyDescent="0.3">
      <c r="G5256" s="391" t="s">
        <v>9568</v>
      </c>
    </row>
    <row r="5257" spans="7:7" x14ac:dyDescent="0.3">
      <c r="G5257" s="391" t="s">
        <v>9568</v>
      </c>
    </row>
    <row r="5258" spans="7:7" x14ac:dyDescent="0.3">
      <c r="G5258" s="391" t="s">
        <v>9568</v>
      </c>
    </row>
    <row r="5259" spans="7:7" x14ac:dyDescent="0.3">
      <c r="G5259" s="391" t="s">
        <v>9568</v>
      </c>
    </row>
    <row r="5260" spans="7:7" x14ac:dyDescent="0.3">
      <c r="G5260" s="391" t="s">
        <v>9568</v>
      </c>
    </row>
    <row r="5261" spans="7:7" x14ac:dyDescent="0.3">
      <c r="G5261" s="391" t="s">
        <v>9568</v>
      </c>
    </row>
    <row r="5262" spans="7:7" x14ac:dyDescent="0.3">
      <c r="G5262" s="391" t="s">
        <v>9568</v>
      </c>
    </row>
    <row r="5263" spans="7:7" x14ac:dyDescent="0.3">
      <c r="G5263" s="391" t="s">
        <v>9568</v>
      </c>
    </row>
    <row r="5264" spans="7:7" x14ac:dyDescent="0.3">
      <c r="G5264" s="391" t="s">
        <v>9568</v>
      </c>
    </row>
    <row r="5265" spans="7:7" x14ac:dyDescent="0.3">
      <c r="G5265" s="391" t="s">
        <v>9568</v>
      </c>
    </row>
    <row r="5266" spans="7:7" x14ac:dyDescent="0.3">
      <c r="G5266" s="391" t="s">
        <v>9568</v>
      </c>
    </row>
    <row r="5267" spans="7:7" x14ac:dyDescent="0.3">
      <c r="G5267" s="391" t="s">
        <v>9568</v>
      </c>
    </row>
    <row r="5268" spans="7:7" x14ac:dyDescent="0.3">
      <c r="G5268" s="391" t="s">
        <v>9568</v>
      </c>
    </row>
    <row r="5269" spans="7:7" x14ac:dyDescent="0.3">
      <c r="G5269" s="391" t="s">
        <v>9568</v>
      </c>
    </row>
    <row r="5270" spans="7:7" x14ac:dyDescent="0.3">
      <c r="G5270" s="391" t="s">
        <v>9568</v>
      </c>
    </row>
    <row r="5271" spans="7:7" x14ac:dyDescent="0.3">
      <c r="G5271" s="391" t="s">
        <v>9568</v>
      </c>
    </row>
    <row r="5272" spans="7:7" x14ac:dyDescent="0.3">
      <c r="G5272" s="391" t="s">
        <v>9568</v>
      </c>
    </row>
    <row r="5273" spans="7:7" x14ac:dyDescent="0.3">
      <c r="G5273" s="391" t="s">
        <v>9568</v>
      </c>
    </row>
    <row r="5274" spans="7:7" x14ac:dyDescent="0.3">
      <c r="G5274" s="391" t="s">
        <v>9568</v>
      </c>
    </row>
    <row r="5275" spans="7:7" x14ac:dyDescent="0.3">
      <c r="G5275" s="391" t="s">
        <v>9568</v>
      </c>
    </row>
    <row r="5276" spans="7:7" x14ac:dyDescent="0.3">
      <c r="G5276" s="391" t="s">
        <v>9568</v>
      </c>
    </row>
    <row r="5277" spans="7:7" x14ac:dyDescent="0.3">
      <c r="G5277" s="391" t="s">
        <v>9568</v>
      </c>
    </row>
    <row r="5278" spans="7:7" x14ac:dyDescent="0.3">
      <c r="G5278" s="391" t="s">
        <v>9568</v>
      </c>
    </row>
    <row r="5279" spans="7:7" x14ac:dyDescent="0.3">
      <c r="G5279" s="391" t="s">
        <v>9568</v>
      </c>
    </row>
    <row r="5280" spans="7:7" x14ac:dyDescent="0.3">
      <c r="G5280" s="391" t="s">
        <v>9568</v>
      </c>
    </row>
    <row r="5281" spans="7:7" x14ac:dyDescent="0.3">
      <c r="G5281" s="391" t="s">
        <v>9568</v>
      </c>
    </row>
    <row r="5282" spans="7:7" x14ac:dyDescent="0.3">
      <c r="G5282" s="391" t="s">
        <v>9568</v>
      </c>
    </row>
    <row r="5283" spans="7:7" x14ac:dyDescent="0.3">
      <c r="G5283" s="391" t="s">
        <v>9568</v>
      </c>
    </row>
    <row r="5284" spans="7:7" x14ac:dyDescent="0.3">
      <c r="G5284" s="391" t="s">
        <v>9568</v>
      </c>
    </row>
    <row r="5285" spans="7:7" x14ac:dyDescent="0.3">
      <c r="G5285" s="391" t="s">
        <v>9568</v>
      </c>
    </row>
    <row r="5286" spans="7:7" x14ac:dyDescent="0.3">
      <c r="G5286" s="391" t="s">
        <v>9568</v>
      </c>
    </row>
    <row r="5287" spans="7:7" x14ac:dyDescent="0.3">
      <c r="G5287" s="391" t="s">
        <v>9568</v>
      </c>
    </row>
    <row r="5288" spans="7:7" x14ac:dyDescent="0.3">
      <c r="G5288" s="391" t="s">
        <v>9568</v>
      </c>
    </row>
    <row r="5289" spans="7:7" x14ac:dyDescent="0.3">
      <c r="G5289" s="391" t="s">
        <v>9568</v>
      </c>
    </row>
    <row r="5290" spans="7:7" x14ac:dyDescent="0.3">
      <c r="G5290" s="391" t="s">
        <v>9568</v>
      </c>
    </row>
    <row r="5291" spans="7:7" x14ac:dyDescent="0.3">
      <c r="G5291" s="391" t="s">
        <v>9568</v>
      </c>
    </row>
    <row r="5292" spans="7:7" x14ac:dyDescent="0.3">
      <c r="G5292" s="391" t="s">
        <v>9568</v>
      </c>
    </row>
    <row r="5293" spans="7:7" x14ac:dyDescent="0.3">
      <c r="G5293" s="391" t="s">
        <v>9568</v>
      </c>
    </row>
    <row r="5294" spans="7:7" x14ac:dyDescent="0.3">
      <c r="G5294" s="391" t="s">
        <v>9568</v>
      </c>
    </row>
    <row r="5295" spans="7:7" x14ac:dyDescent="0.3">
      <c r="G5295" s="391" t="s">
        <v>9568</v>
      </c>
    </row>
    <row r="5296" spans="7:7" x14ac:dyDescent="0.3">
      <c r="G5296" s="391" t="s">
        <v>9568</v>
      </c>
    </row>
    <row r="5297" spans="7:7" x14ac:dyDescent="0.3">
      <c r="G5297" s="391" t="s">
        <v>9568</v>
      </c>
    </row>
    <row r="5298" spans="7:7" x14ac:dyDescent="0.3">
      <c r="G5298" s="391" t="s">
        <v>9568</v>
      </c>
    </row>
    <row r="5299" spans="7:7" x14ac:dyDescent="0.3">
      <c r="G5299" s="391" t="s">
        <v>9568</v>
      </c>
    </row>
    <row r="5300" spans="7:7" x14ac:dyDescent="0.3">
      <c r="G5300" s="391" t="s">
        <v>9568</v>
      </c>
    </row>
    <row r="5301" spans="7:7" x14ac:dyDescent="0.3">
      <c r="G5301" s="391" t="s">
        <v>9568</v>
      </c>
    </row>
    <row r="5302" spans="7:7" x14ac:dyDescent="0.3">
      <c r="G5302" s="391" t="s">
        <v>9568</v>
      </c>
    </row>
    <row r="5303" spans="7:7" x14ac:dyDescent="0.3">
      <c r="G5303" s="391" t="s">
        <v>9568</v>
      </c>
    </row>
    <row r="5304" spans="7:7" x14ac:dyDescent="0.3">
      <c r="G5304" s="391" t="s">
        <v>9568</v>
      </c>
    </row>
    <row r="5305" spans="7:7" x14ac:dyDescent="0.3">
      <c r="G5305" s="391" t="s">
        <v>9568</v>
      </c>
    </row>
    <row r="5306" spans="7:7" x14ac:dyDescent="0.3">
      <c r="G5306" s="391" t="s">
        <v>9568</v>
      </c>
    </row>
    <row r="5307" spans="7:7" x14ac:dyDescent="0.3">
      <c r="G5307" s="391" t="s">
        <v>9568</v>
      </c>
    </row>
    <row r="5308" spans="7:7" x14ac:dyDescent="0.3">
      <c r="G5308" s="391" t="s">
        <v>9568</v>
      </c>
    </row>
    <row r="5309" spans="7:7" x14ac:dyDescent="0.3">
      <c r="G5309" s="391" t="s">
        <v>9568</v>
      </c>
    </row>
    <row r="5310" spans="7:7" x14ac:dyDescent="0.3">
      <c r="G5310" s="391" t="s">
        <v>9568</v>
      </c>
    </row>
    <row r="5311" spans="7:7" x14ac:dyDescent="0.3">
      <c r="G5311" s="391" t="s">
        <v>9568</v>
      </c>
    </row>
    <row r="5312" spans="7:7" x14ac:dyDescent="0.3">
      <c r="G5312" s="391" t="s">
        <v>9568</v>
      </c>
    </row>
    <row r="5313" spans="7:7" x14ac:dyDescent="0.3">
      <c r="G5313" s="391" t="s">
        <v>9568</v>
      </c>
    </row>
    <row r="5314" spans="7:7" x14ac:dyDescent="0.3">
      <c r="G5314" s="391" t="s">
        <v>9568</v>
      </c>
    </row>
    <row r="5315" spans="7:7" x14ac:dyDescent="0.3">
      <c r="G5315" s="391" t="s">
        <v>9568</v>
      </c>
    </row>
    <row r="5316" spans="7:7" x14ac:dyDescent="0.3">
      <c r="G5316" s="391" t="s">
        <v>9568</v>
      </c>
    </row>
    <row r="5317" spans="7:7" x14ac:dyDescent="0.3">
      <c r="G5317" s="391" t="s">
        <v>9568</v>
      </c>
    </row>
    <row r="5318" spans="7:7" x14ac:dyDescent="0.3">
      <c r="G5318" s="391" t="s">
        <v>9568</v>
      </c>
    </row>
    <row r="5319" spans="7:7" x14ac:dyDescent="0.3">
      <c r="G5319" s="391" t="s">
        <v>9568</v>
      </c>
    </row>
    <row r="5320" spans="7:7" x14ac:dyDescent="0.3">
      <c r="G5320" s="391" t="s">
        <v>9568</v>
      </c>
    </row>
    <row r="5321" spans="7:7" x14ac:dyDescent="0.3">
      <c r="G5321" s="391" t="s">
        <v>9568</v>
      </c>
    </row>
    <row r="5322" spans="7:7" x14ac:dyDescent="0.3">
      <c r="G5322" s="391" t="s">
        <v>9568</v>
      </c>
    </row>
    <row r="5323" spans="7:7" x14ac:dyDescent="0.3">
      <c r="G5323" s="391" t="s">
        <v>9568</v>
      </c>
    </row>
    <row r="5324" spans="7:7" x14ac:dyDescent="0.3">
      <c r="G5324" s="391" t="s">
        <v>9568</v>
      </c>
    </row>
    <row r="5325" spans="7:7" x14ac:dyDescent="0.3">
      <c r="G5325" s="391" t="s">
        <v>9568</v>
      </c>
    </row>
    <row r="5326" spans="7:7" x14ac:dyDescent="0.3">
      <c r="G5326" s="391" t="s">
        <v>9568</v>
      </c>
    </row>
    <row r="5327" spans="7:7" x14ac:dyDescent="0.3">
      <c r="G5327" s="391" t="s">
        <v>9568</v>
      </c>
    </row>
    <row r="5328" spans="7:7" x14ac:dyDescent="0.3">
      <c r="G5328" s="391" t="s">
        <v>9568</v>
      </c>
    </row>
    <row r="5329" spans="7:7" x14ac:dyDescent="0.3">
      <c r="G5329" s="391" t="s">
        <v>9568</v>
      </c>
    </row>
    <row r="5330" spans="7:7" x14ac:dyDescent="0.3">
      <c r="G5330" s="391" t="s">
        <v>9568</v>
      </c>
    </row>
    <row r="5331" spans="7:7" x14ac:dyDescent="0.3">
      <c r="G5331" s="391" t="s">
        <v>9568</v>
      </c>
    </row>
    <row r="5332" spans="7:7" x14ac:dyDescent="0.3">
      <c r="G5332" s="391" t="s">
        <v>9568</v>
      </c>
    </row>
    <row r="5333" spans="7:7" x14ac:dyDescent="0.3">
      <c r="G5333" s="391" t="s">
        <v>9568</v>
      </c>
    </row>
    <row r="5334" spans="7:7" x14ac:dyDescent="0.3">
      <c r="G5334" s="391" t="s">
        <v>9568</v>
      </c>
    </row>
    <row r="5335" spans="7:7" x14ac:dyDescent="0.3">
      <c r="G5335" s="391" t="s">
        <v>9568</v>
      </c>
    </row>
    <row r="5336" spans="7:7" x14ac:dyDescent="0.3">
      <c r="G5336" s="391" t="s">
        <v>9568</v>
      </c>
    </row>
    <row r="5337" spans="7:7" x14ac:dyDescent="0.3">
      <c r="G5337" s="391" t="s">
        <v>9568</v>
      </c>
    </row>
    <row r="5338" spans="7:7" x14ac:dyDescent="0.3">
      <c r="G5338" s="391" t="s">
        <v>9568</v>
      </c>
    </row>
    <row r="5339" spans="7:7" x14ac:dyDescent="0.3">
      <c r="G5339" s="391" t="s">
        <v>9568</v>
      </c>
    </row>
    <row r="5340" spans="7:7" x14ac:dyDescent="0.3">
      <c r="G5340" s="391" t="s">
        <v>9568</v>
      </c>
    </row>
    <row r="5341" spans="7:7" x14ac:dyDescent="0.3">
      <c r="G5341" s="391" t="s">
        <v>9568</v>
      </c>
    </row>
    <row r="5342" spans="7:7" x14ac:dyDescent="0.3">
      <c r="G5342" s="391" t="s">
        <v>9568</v>
      </c>
    </row>
    <row r="5343" spans="7:7" x14ac:dyDescent="0.3">
      <c r="G5343" s="391" t="s">
        <v>9568</v>
      </c>
    </row>
    <row r="5344" spans="7:7" x14ac:dyDescent="0.3">
      <c r="G5344" s="391" t="s">
        <v>9568</v>
      </c>
    </row>
    <row r="5345" spans="7:7" x14ac:dyDescent="0.3">
      <c r="G5345" s="391" t="s">
        <v>9568</v>
      </c>
    </row>
    <row r="5346" spans="7:7" x14ac:dyDescent="0.3">
      <c r="G5346" s="391" t="s">
        <v>9568</v>
      </c>
    </row>
    <row r="5347" spans="7:7" x14ac:dyDescent="0.3">
      <c r="G5347" s="391" t="s">
        <v>9568</v>
      </c>
    </row>
    <row r="5348" spans="7:7" x14ac:dyDescent="0.3">
      <c r="G5348" s="391" t="s">
        <v>9568</v>
      </c>
    </row>
    <row r="5349" spans="7:7" x14ac:dyDescent="0.3">
      <c r="G5349" s="391" t="s">
        <v>9568</v>
      </c>
    </row>
    <row r="5350" spans="7:7" x14ac:dyDescent="0.3">
      <c r="G5350" s="391" t="s">
        <v>9568</v>
      </c>
    </row>
    <row r="5351" spans="7:7" x14ac:dyDescent="0.3">
      <c r="G5351" s="391" t="s">
        <v>9568</v>
      </c>
    </row>
    <row r="5352" spans="7:7" x14ac:dyDescent="0.3">
      <c r="G5352" s="391" t="s">
        <v>9568</v>
      </c>
    </row>
    <row r="5353" spans="7:7" x14ac:dyDescent="0.3">
      <c r="G5353" s="391" t="s">
        <v>9568</v>
      </c>
    </row>
    <row r="5354" spans="7:7" x14ac:dyDescent="0.3">
      <c r="G5354" s="391" t="s">
        <v>9568</v>
      </c>
    </row>
    <row r="5355" spans="7:7" x14ac:dyDescent="0.3">
      <c r="G5355" s="391" t="s">
        <v>9568</v>
      </c>
    </row>
    <row r="5356" spans="7:7" x14ac:dyDescent="0.3">
      <c r="G5356" s="391" t="s">
        <v>9568</v>
      </c>
    </row>
    <row r="5357" spans="7:7" x14ac:dyDescent="0.3">
      <c r="G5357" s="391" t="s">
        <v>9568</v>
      </c>
    </row>
    <row r="5358" spans="7:7" x14ac:dyDescent="0.3">
      <c r="G5358" s="391" t="s">
        <v>9568</v>
      </c>
    </row>
    <row r="5359" spans="7:7" x14ac:dyDescent="0.3">
      <c r="G5359" s="391" t="s">
        <v>9568</v>
      </c>
    </row>
    <row r="5360" spans="7:7" x14ac:dyDescent="0.3">
      <c r="G5360" s="391" t="s">
        <v>9568</v>
      </c>
    </row>
    <row r="5361" spans="7:7" x14ac:dyDescent="0.3">
      <c r="G5361" s="391" t="s">
        <v>9568</v>
      </c>
    </row>
    <row r="5362" spans="7:7" x14ac:dyDescent="0.3">
      <c r="G5362" s="391" t="s">
        <v>9568</v>
      </c>
    </row>
    <row r="5363" spans="7:7" x14ac:dyDescent="0.3">
      <c r="G5363" s="391" t="s">
        <v>9568</v>
      </c>
    </row>
    <row r="5364" spans="7:7" x14ac:dyDescent="0.3">
      <c r="G5364" s="391" t="s">
        <v>9568</v>
      </c>
    </row>
    <row r="5365" spans="7:7" x14ac:dyDescent="0.3">
      <c r="G5365" s="391" t="s">
        <v>9568</v>
      </c>
    </row>
    <row r="5366" spans="7:7" x14ac:dyDescent="0.3">
      <c r="G5366" s="391" t="s">
        <v>9568</v>
      </c>
    </row>
    <row r="5367" spans="7:7" x14ac:dyDescent="0.3">
      <c r="G5367" s="391" t="s">
        <v>9568</v>
      </c>
    </row>
    <row r="5368" spans="7:7" x14ac:dyDescent="0.3">
      <c r="G5368" s="391" t="s">
        <v>9568</v>
      </c>
    </row>
    <row r="5369" spans="7:7" x14ac:dyDescent="0.3">
      <c r="G5369" s="391" t="s">
        <v>9568</v>
      </c>
    </row>
    <row r="5370" spans="7:7" x14ac:dyDescent="0.3">
      <c r="G5370" s="391" t="s">
        <v>9568</v>
      </c>
    </row>
    <row r="5371" spans="7:7" x14ac:dyDescent="0.3">
      <c r="G5371" s="391" t="s">
        <v>9568</v>
      </c>
    </row>
    <row r="5372" spans="7:7" x14ac:dyDescent="0.3">
      <c r="G5372" s="391" t="s">
        <v>9568</v>
      </c>
    </row>
    <row r="5373" spans="7:7" x14ac:dyDescent="0.3">
      <c r="G5373" s="391" t="s">
        <v>9568</v>
      </c>
    </row>
    <row r="5374" spans="7:7" x14ac:dyDescent="0.3">
      <c r="G5374" s="391" t="s">
        <v>9568</v>
      </c>
    </row>
    <row r="5375" spans="7:7" x14ac:dyDescent="0.3">
      <c r="G5375" s="391" t="s">
        <v>9568</v>
      </c>
    </row>
    <row r="5376" spans="7:7" x14ac:dyDescent="0.3">
      <c r="G5376" s="391" t="s">
        <v>9568</v>
      </c>
    </row>
    <row r="5377" spans="7:7" x14ac:dyDescent="0.3">
      <c r="G5377" s="391" t="s">
        <v>9568</v>
      </c>
    </row>
    <row r="5378" spans="7:7" x14ac:dyDescent="0.3">
      <c r="G5378" s="391" t="s">
        <v>9568</v>
      </c>
    </row>
    <row r="5379" spans="7:7" x14ac:dyDescent="0.3">
      <c r="G5379" s="391" t="s">
        <v>9568</v>
      </c>
    </row>
    <row r="5380" spans="7:7" x14ac:dyDescent="0.3">
      <c r="G5380" s="391" t="s">
        <v>9568</v>
      </c>
    </row>
    <row r="5381" spans="7:7" x14ac:dyDescent="0.3">
      <c r="G5381" s="391" t="s">
        <v>9568</v>
      </c>
    </row>
    <row r="5382" spans="7:7" x14ac:dyDescent="0.3">
      <c r="G5382" s="391" t="s">
        <v>9568</v>
      </c>
    </row>
    <row r="5383" spans="7:7" x14ac:dyDescent="0.3">
      <c r="G5383" s="391" t="s">
        <v>9568</v>
      </c>
    </row>
    <row r="5384" spans="7:7" x14ac:dyDescent="0.3">
      <c r="G5384" s="391" t="s">
        <v>9568</v>
      </c>
    </row>
    <row r="5385" spans="7:7" x14ac:dyDescent="0.3">
      <c r="G5385" s="391" t="s">
        <v>9568</v>
      </c>
    </row>
    <row r="5386" spans="7:7" x14ac:dyDescent="0.3">
      <c r="G5386" s="391" t="s">
        <v>9568</v>
      </c>
    </row>
    <row r="5387" spans="7:7" x14ac:dyDescent="0.3">
      <c r="G5387" s="391" t="s">
        <v>9568</v>
      </c>
    </row>
    <row r="5388" spans="7:7" x14ac:dyDescent="0.3">
      <c r="G5388" s="391" t="s">
        <v>9568</v>
      </c>
    </row>
    <row r="5389" spans="7:7" x14ac:dyDescent="0.3">
      <c r="G5389" s="391" t="s">
        <v>9568</v>
      </c>
    </row>
    <row r="5390" spans="7:7" x14ac:dyDescent="0.3">
      <c r="G5390" s="391" t="s">
        <v>9568</v>
      </c>
    </row>
    <row r="5391" spans="7:7" x14ac:dyDescent="0.3">
      <c r="G5391" s="391" t="s">
        <v>9568</v>
      </c>
    </row>
    <row r="5392" spans="7:7" x14ac:dyDescent="0.3">
      <c r="G5392" s="391" t="s">
        <v>9568</v>
      </c>
    </row>
    <row r="5393" spans="7:7" x14ac:dyDescent="0.3">
      <c r="G5393" s="391" t="s">
        <v>9568</v>
      </c>
    </row>
    <row r="5394" spans="7:7" x14ac:dyDescent="0.3">
      <c r="G5394" s="391" t="s">
        <v>9568</v>
      </c>
    </row>
    <row r="5395" spans="7:7" x14ac:dyDescent="0.3">
      <c r="G5395" s="391" t="s">
        <v>9568</v>
      </c>
    </row>
    <row r="5396" spans="7:7" x14ac:dyDescent="0.3">
      <c r="G5396" s="391" t="s">
        <v>9568</v>
      </c>
    </row>
    <row r="5397" spans="7:7" x14ac:dyDescent="0.3">
      <c r="G5397" s="391" t="s">
        <v>9568</v>
      </c>
    </row>
    <row r="5398" spans="7:7" x14ac:dyDescent="0.3">
      <c r="G5398" s="391" t="s">
        <v>9568</v>
      </c>
    </row>
    <row r="5399" spans="7:7" x14ac:dyDescent="0.3">
      <c r="G5399" s="391" t="s">
        <v>9568</v>
      </c>
    </row>
    <row r="5400" spans="7:7" x14ac:dyDescent="0.3">
      <c r="G5400" s="391" t="s">
        <v>9568</v>
      </c>
    </row>
    <row r="5401" spans="7:7" x14ac:dyDescent="0.3">
      <c r="G5401" s="391" t="s">
        <v>9568</v>
      </c>
    </row>
    <row r="5402" spans="7:7" x14ac:dyDescent="0.3">
      <c r="G5402" s="391" t="s">
        <v>9568</v>
      </c>
    </row>
    <row r="5403" spans="7:7" x14ac:dyDescent="0.3">
      <c r="G5403" s="391" t="s">
        <v>9568</v>
      </c>
    </row>
    <row r="5404" spans="7:7" x14ac:dyDescent="0.3">
      <c r="G5404" s="391" t="s">
        <v>9568</v>
      </c>
    </row>
    <row r="5405" spans="7:7" x14ac:dyDescent="0.3">
      <c r="G5405" s="391" t="s">
        <v>9568</v>
      </c>
    </row>
    <row r="5406" spans="7:7" x14ac:dyDescent="0.3">
      <c r="G5406" s="391" t="s">
        <v>9568</v>
      </c>
    </row>
    <row r="5407" spans="7:7" x14ac:dyDescent="0.3">
      <c r="G5407" s="391" t="s">
        <v>9568</v>
      </c>
    </row>
    <row r="5408" spans="7:7" x14ac:dyDescent="0.3">
      <c r="G5408" s="391" t="s">
        <v>9568</v>
      </c>
    </row>
    <row r="5409" spans="7:7" x14ac:dyDescent="0.3">
      <c r="G5409" s="391" t="s">
        <v>9568</v>
      </c>
    </row>
    <row r="5410" spans="7:7" x14ac:dyDescent="0.3">
      <c r="G5410" s="391" t="s">
        <v>9568</v>
      </c>
    </row>
    <row r="5411" spans="7:7" x14ac:dyDescent="0.3">
      <c r="G5411" s="391" t="s">
        <v>9568</v>
      </c>
    </row>
    <row r="5412" spans="7:7" x14ac:dyDescent="0.3">
      <c r="G5412" s="391" t="s">
        <v>9568</v>
      </c>
    </row>
    <row r="5413" spans="7:7" x14ac:dyDescent="0.3">
      <c r="G5413" s="391" t="s">
        <v>9568</v>
      </c>
    </row>
    <row r="5414" spans="7:7" x14ac:dyDescent="0.3">
      <c r="G5414" s="391" t="s">
        <v>9568</v>
      </c>
    </row>
    <row r="5415" spans="7:7" x14ac:dyDescent="0.3">
      <c r="G5415" s="391" t="s">
        <v>9568</v>
      </c>
    </row>
    <row r="5416" spans="7:7" x14ac:dyDescent="0.3">
      <c r="G5416" s="391" t="s">
        <v>9568</v>
      </c>
    </row>
    <row r="5417" spans="7:7" x14ac:dyDescent="0.3">
      <c r="G5417" s="391" t="s">
        <v>9568</v>
      </c>
    </row>
    <row r="5418" spans="7:7" x14ac:dyDescent="0.3">
      <c r="G5418" s="391" t="s">
        <v>9568</v>
      </c>
    </row>
    <row r="5419" spans="7:7" x14ac:dyDescent="0.3">
      <c r="G5419" s="391" t="s">
        <v>9568</v>
      </c>
    </row>
    <row r="5420" spans="7:7" x14ac:dyDescent="0.3">
      <c r="G5420" s="391" t="s">
        <v>9568</v>
      </c>
    </row>
    <row r="5421" spans="7:7" x14ac:dyDescent="0.3">
      <c r="G5421" s="391" t="s">
        <v>9568</v>
      </c>
    </row>
    <row r="5422" spans="7:7" x14ac:dyDescent="0.3">
      <c r="G5422" s="391" t="s">
        <v>9568</v>
      </c>
    </row>
    <row r="5423" spans="7:7" x14ac:dyDescent="0.3">
      <c r="G5423" s="391" t="s">
        <v>9568</v>
      </c>
    </row>
    <row r="5424" spans="7:7" x14ac:dyDescent="0.3">
      <c r="G5424" s="391" t="s">
        <v>9568</v>
      </c>
    </row>
    <row r="5425" spans="7:7" x14ac:dyDescent="0.3">
      <c r="G5425" s="391" t="s">
        <v>9568</v>
      </c>
    </row>
    <row r="5426" spans="7:7" x14ac:dyDescent="0.3">
      <c r="G5426" s="391" t="s">
        <v>9568</v>
      </c>
    </row>
    <row r="5427" spans="7:7" x14ac:dyDescent="0.3">
      <c r="G5427" s="391" t="s">
        <v>9568</v>
      </c>
    </row>
    <row r="5428" spans="7:7" x14ac:dyDescent="0.3">
      <c r="G5428" s="391" t="s">
        <v>9568</v>
      </c>
    </row>
    <row r="5429" spans="7:7" x14ac:dyDescent="0.3">
      <c r="G5429" s="391" t="s">
        <v>9568</v>
      </c>
    </row>
    <row r="5430" spans="7:7" x14ac:dyDescent="0.3">
      <c r="G5430" s="391" t="s">
        <v>9568</v>
      </c>
    </row>
    <row r="5431" spans="7:7" x14ac:dyDescent="0.3">
      <c r="G5431" s="391" t="s">
        <v>9568</v>
      </c>
    </row>
    <row r="5432" spans="7:7" x14ac:dyDescent="0.3">
      <c r="G5432" s="391" t="s">
        <v>9568</v>
      </c>
    </row>
    <row r="5433" spans="7:7" x14ac:dyDescent="0.3">
      <c r="G5433" s="391" t="s">
        <v>9568</v>
      </c>
    </row>
    <row r="5434" spans="7:7" x14ac:dyDescent="0.3">
      <c r="G5434" s="391" t="s">
        <v>9568</v>
      </c>
    </row>
    <row r="5435" spans="7:7" x14ac:dyDescent="0.3">
      <c r="G5435" s="391" t="s">
        <v>9568</v>
      </c>
    </row>
    <row r="5436" spans="7:7" x14ac:dyDescent="0.3">
      <c r="G5436" s="391" t="s">
        <v>9568</v>
      </c>
    </row>
    <row r="5437" spans="7:7" x14ac:dyDescent="0.3">
      <c r="G5437" s="391" t="s">
        <v>9568</v>
      </c>
    </row>
    <row r="5438" spans="7:7" x14ac:dyDescent="0.3">
      <c r="G5438" s="391" t="s">
        <v>9568</v>
      </c>
    </row>
    <row r="5439" spans="7:7" x14ac:dyDescent="0.3">
      <c r="G5439" s="391" t="s">
        <v>9568</v>
      </c>
    </row>
    <row r="5440" spans="7:7" x14ac:dyDescent="0.3">
      <c r="G5440" s="391" t="s">
        <v>9568</v>
      </c>
    </row>
    <row r="5441" spans="7:7" x14ac:dyDescent="0.3">
      <c r="G5441" s="391" t="s">
        <v>9568</v>
      </c>
    </row>
    <row r="5442" spans="7:7" x14ac:dyDescent="0.3">
      <c r="G5442" s="391" t="s">
        <v>9568</v>
      </c>
    </row>
    <row r="5443" spans="7:7" x14ac:dyDescent="0.3">
      <c r="G5443" s="391" t="s">
        <v>9568</v>
      </c>
    </row>
    <row r="5444" spans="7:7" x14ac:dyDescent="0.3">
      <c r="G5444" s="391" t="s">
        <v>9568</v>
      </c>
    </row>
    <row r="5445" spans="7:7" x14ac:dyDescent="0.3">
      <c r="G5445" s="391" t="s">
        <v>9568</v>
      </c>
    </row>
    <row r="5446" spans="7:7" x14ac:dyDescent="0.3">
      <c r="G5446" s="391" t="s">
        <v>9568</v>
      </c>
    </row>
    <row r="5447" spans="7:7" x14ac:dyDescent="0.3">
      <c r="G5447" s="391" t="s">
        <v>9568</v>
      </c>
    </row>
    <row r="5448" spans="7:7" x14ac:dyDescent="0.3">
      <c r="G5448" s="391" t="s">
        <v>9568</v>
      </c>
    </row>
    <row r="5449" spans="7:7" x14ac:dyDescent="0.3">
      <c r="G5449" s="391" t="s">
        <v>9568</v>
      </c>
    </row>
    <row r="5450" spans="7:7" x14ac:dyDescent="0.3">
      <c r="G5450" s="391" t="s">
        <v>9568</v>
      </c>
    </row>
    <row r="5451" spans="7:7" x14ac:dyDescent="0.3">
      <c r="G5451" s="391" t="s">
        <v>9568</v>
      </c>
    </row>
    <row r="5452" spans="7:7" x14ac:dyDescent="0.3">
      <c r="G5452" s="391" t="s">
        <v>9568</v>
      </c>
    </row>
    <row r="5453" spans="7:7" x14ac:dyDescent="0.3">
      <c r="G5453" s="391" t="s">
        <v>9568</v>
      </c>
    </row>
    <row r="5454" spans="7:7" x14ac:dyDescent="0.3">
      <c r="G5454" s="391" t="s">
        <v>9568</v>
      </c>
    </row>
    <row r="5455" spans="7:7" x14ac:dyDescent="0.3">
      <c r="G5455" s="391" t="s">
        <v>9568</v>
      </c>
    </row>
    <row r="5456" spans="7:7" x14ac:dyDescent="0.3">
      <c r="G5456" s="391" t="s">
        <v>9568</v>
      </c>
    </row>
    <row r="5457" spans="7:7" x14ac:dyDescent="0.3">
      <c r="G5457" s="391" t="s">
        <v>9568</v>
      </c>
    </row>
    <row r="5458" spans="7:7" x14ac:dyDescent="0.3">
      <c r="G5458" s="391" t="s">
        <v>9568</v>
      </c>
    </row>
    <row r="5459" spans="7:7" x14ac:dyDescent="0.3">
      <c r="G5459" s="391" t="s">
        <v>9568</v>
      </c>
    </row>
    <row r="5460" spans="7:7" x14ac:dyDescent="0.3">
      <c r="G5460" s="391" t="s">
        <v>9568</v>
      </c>
    </row>
    <row r="5461" spans="7:7" x14ac:dyDescent="0.3">
      <c r="G5461" s="391" t="s">
        <v>9568</v>
      </c>
    </row>
    <row r="5462" spans="7:7" x14ac:dyDescent="0.3">
      <c r="G5462" s="391" t="s">
        <v>9568</v>
      </c>
    </row>
    <row r="5463" spans="7:7" x14ac:dyDescent="0.3">
      <c r="G5463" s="391" t="s">
        <v>9568</v>
      </c>
    </row>
    <row r="5464" spans="7:7" x14ac:dyDescent="0.3">
      <c r="G5464" s="391" t="s">
        <v>9568</v>
      </c>
    </row>
    <row r="5465" spans="7:7" x14ac:dyDescent="0.3">
      <c r="G5465" s="391" t="s">
        <v>9568</v>
      </c>
    </row>
    <row r="5466" spans="7:7" x14ac:dyDescent="0.3">
      <c r="G5466" s="391" t="s">
        <v>9568</v>
      </c>
    </row>
    <row r="5467" spans="7:7" x14ac:dyDescent="0.3">
      <c r="G5467" s="391" t="s">
        <v>9568</v>
      </c>
    </row>
    <row r="5468" spans="7:7" x14ac:dyDescent="0.3">
      <c r="G5468" s="391" t="s">
        <v>9568</v>
      </c>
    </row>
    <row r="5469" spans="7:7" x14ac:dyDescent="0.3">
      <c r="G5469" s="391" t="s">
        <v>9568</v>
      </c>
    </row>
    <row r="5470" spans="7:7" x14ac:dyDescent="0.3">
      <c r="G5470" s="391" t="s">
        <v>9568</v>
      </c>
    </row>
    <row r="5471" spans="7:7" x14ac:dyDescent="0.3">
      <c r="G5471" s="391" t="s">
        <v>9568</v>
      </c>
    </row>
    <row r="5472" spans="7:7" x14ac:dyDescent="0.3">
      <c r="G5472" s="391" t="s">
        <v>9568</v>
      </c>
    </row>
    <row r="5473" spans="7:7" x14ac:dyDescent="0.3">
      <c r="G5473" s="391" t="s">
        <v>9568</v>
      </c>
    </row>
    <row r="5474" spans="7:7" x14ac:dyDescent="0.3">
      <c r="G5474" s="391" t="s">
        <v>9568</v>
      </c>
    </row>
    <row r="5475" spans="7:7" x14ac:dyDescent="0.3">
      <c r="G5475" s="391" t="s">
        <v>9568</v>
      </c>
    </row>
    <row r="5476" spans="7:7" x14ac:dyDescent="0.3">
      <c r="G5476" s="391" t="s">
        <v>9568</v>
      </c>
    </row>
    <row r="5477" spans="7:7" x14ac:dyDescent="0.3">
      <c r="G5477" s="391" t="s">
        <v>9568</v>
      </c>
    </row>
    <row r="5478" spans="7:7" x14ac:dyDescent="0.3">
      <c r="G5478" s="391" t="s">
        <v>9568</v>
      </c>
    </row>
    <row r="5479" spans="7:7" x14ac:dyDescent="0.3">
      <c r="G5479" s="391" t="s">
        <v>9568</v>
      </c>
    </row>
    <row r="5480" spans="7:7" x14ac:dyDescent="0.3">
      <c r="G5480" s="391" t="s">
        <v>9568</v>
      </c>
    </row>
    <row r="5481" spans="7:7" x14ac:dyDescent="0.3">
      <c r="G5481" s="391" t="s">
        <v>9568</v>
      </c>
    </row>
    <row r="5482" spans="7:7" x14ac:dyDescent="0.3">
      <c r="G5482" s="391" t="s">
        <v>9568</v>
      </c>
    </row>
    <row r="5483" spans="7:7" x14ac:dyDescent="0.3">
      <c r="G5483" s="391" t="s">
        <v>9568</v>
      </c>
    </row>
    <row r="5484" spans="7:7" x14ac:dyDescent="0.3">
      <c r="G5484" s="391" t="s">
        <v>9568</v>
      </c>
    </row>
    <row r="5485" spans="7:7" x14ac:dyDescent="0.3">
      <c r="G5485" s="391" t="s">
        <v>9568</v>
      </c>
    </row>
    <row r="5486" spans="7:7" x14ac:dyDescent="0.3">
      <c r="G5486" s="391" t="s">
        <v>9568</v>
      </c>
    </row>
    <row r="5487" spans="7:7" x14ac:dyDescent="0.3">
      <c r="G5487" s="391" t="s">
        <v>9568</v>
      </c>
    </row>
    <row r="5488" spans="7:7" x14ac:dyDescent="0.3">
      <c r="G5488" s="391" t="s">
        <v>9568</v>
      </c>
    </row>
    <row r="5489" spans="7:7" x14ac:dyDescent="0.3">
      <c r="G5489" s="391" t="s">
        <v>9568</v>
      </c>
    </row>
    <row r="5490" spans="7:7" x14ac:dyDescent="0.3">
      <c r="G5490" s="391" t="s">
        <v>9568</v>
      </c>
    </row>
    <row r="5491" spans="7:7" x14ac:dyDescent="0.3">
      <c r="G5491" s="391" t="s">
        <v>9568</v>
      </c>
    </row>
    <row r="5492" spans="7:7" x14ac:dyDescent="0.3">
      <c r="G5492" s="391" t="s">
        <v>9568</v>
      </c>
    </row>
    <row r="5493" spans="7:7" x14ac:dyDescent="0.3">
      <c r="G5493" s="391" t="s">
        <v>9568</v>
      </c>
    </row>
    <row r="5494" spans="7:7" x14ac:dyDescent="0.3">
      <c r="G5494" s="391" t="s">
        <v>9568</v>
      </c>
    </row>
    <row r="5495" spans="7:7" x14ac:dyDescent="0.3">
      <c r="G5495" s="391" t="s">
        <v>9568</v>
      </c>
    </row>
    <row r="5496" spans="7:7" x14ac:dyDescent="0.3">
      <c r="G5496" s="391" t="s">
        <v>9568</v>
      </c>
    </row>
    <row r="5497" spans="7:7" x14ac:dyDescent="0.3">
      <c r="G5497" s="391" t="s">
        <v>9568</v>
      </c>
    </row>
    <row r="5498" spans="7:7" x14ac:dyDescent="0.3">
      <c r="G5498" s="391" t="s">
        <v>9568</v>
      </c>
    </row>
    <row r="5499" spans="7:7" x14ac:dyDescent="0.3">
      <c r="G5499" s="391" t="s">
        <v>9568</v>
      </c>
    </row>
    <row r="5500" spans="7:7" x14ac:dyDescent="0.3">
      <c r="G5500" s="391" t="s">
        <v>9568</v>
      </c>
    </row>
    <row r="5501" spans="7:7" x14ac:dyDescent="0.3">
      <c r="G5501" s="391" t="s">
        <v>9568</v>
      </c>
    </row>
    <row r="5502" spans="7:7" x14ac:dyDescent="0.3">
      <c r="G5502" s="391" t="s">
        <v>9568</v>
      </c>
    </row>
    <row r="5503" spans="7:7" x14ac:dyDescent="0.3">
      <c r="G5503" s="391" t="s">
        <v>9568</v>
      </c>
    </row>
    <row r="5504" spans="7:7" x14ac:dyDescent="0.3">
      <c r="G5504" s="391" t="s">
        <v>9568</v>
      </c>
    </row>
    <row r="5505" spans="7:7" x14ac:dyDescent="0.3">
      <c r="G5505" s="391" t="s">
        <v>9568</v>
      </c>
    </row>
    <row r="5506" spans="7:7" x14ac:dyDescent="0.3">
      <c r="G5506" s="391" t="s">
        <v>9568</v>
      </c>
    </row>
    <row r="5507" spans="7:7" x14ac:dyDescent="0.3">
      <c r="G5507" s="391" t="s">
        <v>9568</v>
      </c>
    </row>
    <row r="5508" spans="7:7" x14ac:dyDescent="0.3">
      <c r="G5508" s="391" t="s">
        <v>9568</v>
      </c>
    </row>
    <row r="5509" spans="7:7" x14ac:dyDescent="0.3">
      <c r="G5509" s="391" t="s">
        <v>9568</v>
      </c>
    </row>
    <row r="5510" spans="7:7" x14ac:dyDescent="0.3">
      <c r="G5510" s="391" t="s">
        <v>9568</v>
      </c>
    </row>
    <row r="5511" spans="7:7" x14ac:dyDescent="0.3">
      <c r="G5511" s="391" t="s">
        <v>9568</v>
      </c>
    </row>
    <row r="5512" spans="7:7" x14ac:dyDescent="0.3">
      <c r="G5512" s="391" t="s">
        <v>9568</v>
      </c>
    </row>
    <row r="5513" spans="7:7" x14ac:dyDescent="0.3">
      <c r="G5513" s="391" t="s">
        <v>9568</v>
      </c>
    </row>
    <row r="5514" spans="7:7" x14ac:dyDescent="0.3">
      <c r="G5514" s="391" t="s">
        <v>9568</v>
      </c>
    </row>
    <row r="5515" spans="7:7" x14ac:dyDescent="0.3">
      <c r="G5515" s="391" t="s">
        <v>9568</v>
      </c>
    </row>
    <row r="5516" spans="7:7" x14ac:dyDescent="0.3">
      <c r="G5516" s="391" t="s">
        <v>9568</v>
      </c>
    </row>
    <row r="5517" spans="7:7" x14ac:dyDescent="0.3">
      <c r="G5517" s="391" t="s">
        <v>9567</v>
      </c>
    </row>
    <row r="5518" spans="7:7" x14ac:dyDescent="0.3">
      <c r="G5518" s="391" t="s">
        <v>9567</v>
      </c>
    </row>
    <row r="5519" spans="7:7" x14ac:dyDescent="0.3">
      <c r="G5519" s="391" t="s">
        <v>9567</v>
      </c>
    </row>
    <row r="5520" spans="7:7" x14ac:dyDescent="0.3">
      <c r="G5520" s="391" t="s">
        <v>9567</v>
      </c>
    </row>
    <row r="5521" spans="7:7" x14ac:dyDescent="0.3">
      <c r="G5521" s="391" t="s">
        <v>9567</v>
      </c>
    </row>
    <row r="5522" spans="7:7" x14ac:dyDescent="0.3">
      <c r="G5522" s="391" t="s">
        <v>9567</v>
      </c>
    </row>
    <row r="5523" spans="7:7" x14ac:dyDescent="0.3">
      <c r="G5523" s="391" t="s">
        <v>9567</v>
      </c>
    </row>
    <row r="5524" spans="7:7" x14ac:dyDescent="0.3">
      <c r="G5524" s="391" t="s">
        <v>9567</v>
      </c>
    </row>
    <row r="5525" spans="7:7" x14ac:dyDescent="0.3">
      <c r="G5525" s="391" t="s">
        <v>9567</v>
      </c>
    </row>
    <row r="5526" spans="7:7" x14ac:dyDescent="0.3">
      <c r="G5526" s="391" t="s">
        <v>9567</v>
      </c>
    </row>
    <row r="5527" spans="7:7" x14ac:dyDescent="0.3">
      <c r="G5527" s="391" t="s">
        <v>9567</v>
      </c>
    </row>
    <row r="5528" spans="7:7" x14ac:dyDescent="0.3">
      <c r="G5528" s="391" t="s">
        <v>9567</v>
      </c>
    </row>
    <row r="5529" spans="7:7" x14ac:dyDescent="0.3">
      <c r="G5529" s="391" t="s">
        <v>9567</v>
      </c>
    </row>
    <row r="5530" spans="7:7" x14ac:dyDescent="0.3">
      <c r="G5530" s="391" t="s">
        <v>9567</v>
      </c>
    </row>
    <row r="5531" spans="7:7" x14ac:dyDescent="0.3">
      <c r="G5531" s="391" t="s">
        <v>9567</v>
      </c>
    </row>
    <row r="5532" spans="7:7" x14ac:dyDescent="0.3">
      <c r="G5532" s="391" t="s">
        <v>9567</v>
      </c>
    </row>
    <row r="5533" spans="7:7" x14ac:dyDescent="0.3">
      <c r="G5533" s="391" t="s">
        <v>9567</v>
      </c>
    </row>
    <row r="5534" spans="7:7" x14ac:dyDescent="0.3">
      <c r="G5534" s="391" t="s">
        <v>9567</v>
      </c>
    </row>
    <row r="5535" spans="7:7" x14ac:dyDescent="0.3">
      <c r="G5535" s="391" t="s">
        <v>9567</v>
      </c>
    </row>
    <row r="5536" spans="7:7" x14ac:dyDescent="0.3">
      <c r="G5536" s="391" t="s">
        <v>9567</v>
      </c>
    </row>
    <row r="5537" spans="7:7" x14ac:dyDescent="0.3">
      <c r="G5537" s="391" t="s">
        <v>9567</v>
      </c>
    </row>
    <row r="5538" spans="7:7" x14ac:dyDescent="0.3">
      <c r="G5538" s="391" t="s">
        <v>9567</v>
      </c>
    </row>
    <row r="5539" spans="7:7" x14ac:dyDescent="0.3">
      <c r="G5539" s="391" t="s">
        <v>9567</v>
      </c>
    </row>
    <row r="5540" spans="7:7" x14ac:dyDescent="0.3">
      <c r="G5540" s="391" t="s">
        <v>9567</v>
      </c>
    </row>
    <row r="5541" spans="7:7" x14ac:dyDescent="0.3">
      <c r="G5541" s="391" t="s">
        <v>9567</v>
      </c>
    </row>
    <row r="5542" spans="7:7" x14ac:dyDescent="0.3">
      <c r="G5542" s="391" t="s">
        <v>9567</v>
      </c>
    </row>
    <row r="5543" spans="7:7" x14ac:dyDescent="0.3">
      <c r="G5543" s="391" t="s">
        <v>9567</v>
      </c>
    </row>
    <row r="5544" spans="7:7" x14ac:dyDescent="0.3">
      <c r="G5544" s="391" t="s">
        <v>9567</v>
      </c>
    </row>
    <row r="5545" spans="7:7" x14ac:dyDescent="0.3">
      <c r="G5545" s="391" t="s">
        <v>9567</v>
      </c>
    </row>
    <row r="5546" spans="7:7" x14ac:dyDescent="0.3">
      <c r="G5546" s="391" t="s">
        <v>9567</v>
      </c>
    </row>
    <row r="5547" spans="7:7" x14ac:dyDescent="0.3">
      <c r="G5547" s="391" t="s">
        <v>9567</v>
      </c>
    </row>
    <row r="5548" spans="7:7" x14ac:dyDescent="0.3">
      <c r="G5548" s="391" t="s">
        <v>9567</v>
      </c>
    </row>
    <row r="5549" spans="7:7" x14ac:dyDescent="0.3">
      <c r="G5549" s="391" t="s">
        <v>9567</v>
      </c>
    </row>
    <row r="5550" spans="7:7" x14ac:dyDescent="0.3">
      <c r="G5550" s="391" t="s">
        <v>9567</v>
      </c>
    </row>
    <row r="5551" spans="7:7" x14ac:dyDescent="0.3">
      <c r="G5551" s="391" t="s">
        <v>9567</v>
      </c>
    </row>
    <row r="5552" spans="7:7" x14ac:dyDescent="0.3">
      <c r="G5552" s="391" t="s">
        <v>9567</v>
      </c>
    </row>
    <row r="5553" spans="7:7" x14ac:dyDescent="0.3">
      <c r="G5553" s="391" t="s">
        <v>9567</v>
      </c>
    </row>
    <row r="5554" spans="7:7" x14ac:dyDescent="0.3">
      <c r="G5554" s="391" t="s">
        <v>9567</v>
      </c>
    </row>
    <row r="5555" spans="7:7" x14ac:dyDescent="0.3">
      <c r="G5555" s="391" t="s">
        <v>9567</v>
      </c>
    </row>
    <row r="5556" spans="7:7" x14ac:dyDescent="0.3">
      <c r="G5556" s="391" t="s">
        <v>9567</v>
      </c>
    </row>
    <row r="5557" spans="7:7" x14ac:dyDescent="0.3">
      <c r="G5557" s="391" t="s">
        <v>9567</v>
      </c>
    </row>
    <row r="5558" spans="7:7" x14ac:dyDescent="0.3">
      <c r="G5558" s="391" t="s">
        <v>9567</v>
      </c>
    </row>
    <row r="5559" spans="7:7" x14ac:dyDescent="0.3">
      <c r="G5559" s="391" t="s">
        <v>9567</v>
      </c>
    </row>
    <row r="5560" spans="7:7" x14ac:dyDescent="0.3">
      <c r="G5560" s="391" t="s">
        <v>9567</v>
      </c>
    </row>
    <row r="5561" spans="7:7" x14ac:dyDescent="0.3">
      <c r="G5561" s="391" t="s">
        <v>9567</v>
      </c>
    </row>
    <row r="5562" spans="7:7" x14ac:dyDescent="0.3">
      <c r="G5562" s="391" t="s">
        <v>9567</v>
      </c>
    </row>
    <row r="5563" spans="7:7" x14ac:dyDescent="0.3">
      <c r="G5563" s="391" t="s">
        <v>9567</v>
      </c>
    </row>
    <row r="5564" spans="7:7" x14ac:dyDescent="0.3">
      <c r="G5564" s="391" t="s">
        <v>9567</v>
      </c>
    </row>
    <row r="5565" spans="7:7" x14ac:dyDescent="0.3">
      <c r="G5565" s="391" t="s">
        <v>9567</v>
      </c>
    </row>
    <row r="5566" spans="7:7" x14ac:dyDescent="0.3">
      <c r="G5566" s="391" t="s">
        <v>9567</v>
      </c>
    </row>
    <row r="5567" spans="7:7" x14ac:dyDescent="0.3">
      <c r="G5567" s="391" t="s">
        <v>9567</v>
      </c>
    </row>
    <row r="5568" spans="7:7" x14ac:dyDescent="0.3">
      <c r="G5568" s="391" t="s">
        <v>9567</v>
      </c>
    </row>
    <row r="5569" spans="7:7" x14ac:dyDescent="0.3">
      <c r="G5569" s="391" t="s">
        <v>9567</v>
      </c>
    </row>
    <row r="5570" spans="7:7" x14ac:dyDescent="0.3">
      <c r="G5570" s="391" t="s">
        <v>9567</v>
      </c>
    </row>
    <row r="5571" spans="7:7" x14ac:dyDescent="0.3">
      <c r="G5571" s="391" t="s">
        <v>9567</v>
      </c>
    </row>
    <row r="5572" spans="7:7" x14ac:dyDescent="0.3">
      <c r="G5572" s="391" t="s">
        <v>9567</v>
      </c>
    </row>
    <row r="5573" spans="7:7" x14ac:dyDescent="0.3">
      <c r="G5573" s="391" t="s">
        <v>9567</v>
      </c>
    </row>
    <row r="5574" spans="7:7" x14ac:dyDescent="0.3">
      <c r="G5574" s="391" t="s">
        <v>9567</v>
      </c>
    </row>
    <row r="5575" spans="7:7" x14ac:dyDescent="0.3">
      <c r="G5575" s="391" t="s">
        <v>9567</v>
      </c>
    </row>
    <row r="5576" spans="7:7" x14ac:dyDescent="0.3">
      <c r="G5576" s="391" t="s">
        <v>9567</v>
      </c>
    </row>
    <row r="5577" spans="7:7" x14ac:dyDescent="0.3">
      <c r="G5577" s="391" t="s">
        <v>9567</v>
      </c>
    </row>
    <row r="5578" spans="7:7" x14ac:dyDescent="0.3">
      <c r="G5578" s="391" t="s">
        <v>9567</v>
      </c>
    </row>
    <row r="5579" spans="7:7" x14ac:dyDescent="0.3">
      <c r="G5579" s="391" t="s">
        <v>9567</v>
      </c>
    </row>
    <row r="5580" spans="7:7" x14ac:dyDescent="0.3">
      <c r="G5580" s="391" t="s">
        <v>9567</v>
      </c>
    </row>
    <row r="5581" spans="7:7" x14ac:dyDescent="0.3">
      <c r="G5581" s="391" t="s">
        <v>9567</v>
      </c>
    </row>
    <row r="5582" spans="7:7" x14ac:dyDescent="0.3">
      <c r="G5582" s="391" t="s">
        <v>9567</v>
      </c>
    </row>
    <row r="5583" spans="7:7" x14ac:dyDescent="0.3">
      <c r="G5583" s="391" t="s">
        <v>9567</v>
      </c>
    </row>
    <row r="5584" spans="7:7" x14ac:dyDescent="0.3">
      <c r="G5584" s="391" t="s">
        <v>9567</v>
      </c>
    </row>
    <row r="5585" spans="7:7" x14ac:dyDescent="0.3">
      <c r="G5585" s="391" t="s">
        <v>9567</v>
      </c>
    </row>
    <row r="5586" spans="7:7" x14ac:dyDescent="0.3">
      <c r="G5586" s="391" t="s">
        <v>9567</v>
      </c>
    </row>
    <row r="5587" spans="7:7" x14ac:dyDescent="0.3">
      <c r="G5587" s="391" t="s">
        <v>9567</v>
      </c>
    </row>
    <row r="5588" spans="7:7" x14ac:dyDescent="0.3">
      <c r="G5588" s="391" t="s">
        <v>9567</v>
      </c>
    </row>
    <row r="5589" spans="7:7" x14ac:dyDescent="0.3">
      <c r="G5589" s="391" t="s">
        <v>9567</v>
      </c>
    </row>
    <row r="5590" spans="7:7" x14ac:dyDescent="0.3">
      <c r="G5590" s="391" t="s">
        <v>9567</v>
      </c>
    </row>
    <row r="5591" spans="7:7" x14ac:dyDescent="0.3">
      <c r="G5591" s="391" t="s">
        <v>9567</v>
      </c>
    </row>
    <row r="5592" spans="7:7" x14ac:dyDescent="0.3">
      <c r="G5592" s="391" t="s">
        <v>9567</v>
      </c>
    </row>
    <row r="5593" spans="7:7" x14ac:dyDescent="0.3">
      <c r="G5593" s="391" t="s">
        <v>9567</v>
      </c>
    </row>
    <row r="5594" spans="7:7" x14ac:dyDescent="0.3">
      <c r="G5594" s="391" t="s">
        <v>9567</v>
      </c>
    </row>
    <row r="5595" spans="7:7" x14ac:dyDescent="0.3">
      <c r="G5595" s="391" t="s">
        <v>9567</v>
      </c>
    </row>
    <row r="5596" spans="7:7" x14ac:dyDescent="0.3">
      <c r="G5596" s="391" t="s">
        <v>9567</v>
      </c>
    </row>
    <row r="5597" spans="7:7" x14ac:dyDescent="0.3">
      <c r="G5597" s="391" t="s">
        <v>9567</v>
      </c>
    </row>
    <row r="5598" spans="7:7" x14ac:dyDescent="0.3">
      <c r="G5598" s="391" t="s">
        <v>9567</v>
      </c>
    </row>
    <row r="5599" spans="7:7" x14ac:dyDescent="0.3">
      <c r="G5599" s="391" t="s">
        <v>9567</v>
      </c>
    </row>
    <row r="5600" spans="7:7" x14ac:dyDescent="0.3">
      <c r="G5600" s="391" t="s">
        <v>9567</v>
      </c>
    </row>
    <row r="5601" spans="7:7" x14ac:dyDescent="0.3">
      <c r="G5601" s="391" t="s">
        <v>9567</v>
      </c>
    </row>
    <row r="5602" spans="7:7" x14ac:dyDescent="0.3">
      <c r="G5602" s="391" t="s">
        <v>9567</v>
      </c>
    </row>
    <row r="5603" spans="7:7" x14ac:dyDescent="0.3">
      <c r="G5603" s="391" t="s">
        <v>9567</v>
      </c>
    </row>
    <row r="5604" spans="7:7" x14ac:dyDescent="0.3">
      <c r="G5604" s="391" t="s">
        <v>9567</v>
      </c>
    </row>
    <row r="5605" spans="7:7" x14ac:dyDescent="0.3">
      <c r="G5605" s="391" t="s">
        <v>9567</v>
      </c>
    </row>
    <row r="5606" spans="7:7" x14ac:dyDescent="0.3">
      <c r="G5606" s="391" t="s">
        <v>9567</v>
      </c>
    </row>
    <row r="5607" spans="7:7" x14ac:dyDescent="0.3">
      <c r="G5607" s="391" t="s">
        <v>9567</v>
      </c>
    </row>
    <row r="5608" spans="7:7" x14ac:dyDescent="0.3">
      <c r="G5608" s="391" t="s">
        <v>9567</v>
      </c>
    </row>
    <row r="5609" spans="7:7" x14ac:dyDescent="0.3">
      <c r="G5609" s="391" t="s">
        <v>9567</v>
      </c>
    </row>
    <row r="5610" spans="7:7" x14ac:dyDescent="0.3">
      <c r="G5610" s="391" t="s">
        <v>9567</v>
      </c>
    </row>
    <row r="5611" spans="7:7" x14ac:dyDescent="0.3">
      <c r="G5611" s="391" t="s">
        <v>9567</v>
      </c>
    </row>
    <row r="5612" spans="7:7" x14ac:dyDescent="0.3">
      <c r="G5612" s="391" t="s">
        <v>9567</v>
      </c>
    </row>
    <row r="5613" spans="7:7" x14ac:dyDescent="0.3">
      <c r="G5613" s="391" t="s">
        <v>9567</v>
      </c>
    </row>
    <row r="5614" spans="7:7" x14ac:dyDescent="0.3">
      <c r="G5614" s="391" t="s">
        <v>9567</v>
      </c>
    </row>
    <row r="5615" spans="7:7" x14ac:dyDescent="0.3">
      <c r="G5615" s="391" t="s">
        <v>9567</v>
      </c>
    </row>
    <row r="5616" spans="7:7" x14ac:dyDescent="0.3">
      <c r="G5616" s="391" t="s">
        <v>9567</v>
      </c>
    </row>
    <row r="5617" spans="7:7" x14ac:dyDescent="0.3">
      <c r="G5617" s="391" t="s">
        <v>9567</v>
      </c>
    </row>
    <row r="5618" spans="7:7" x14ac:dyDescent="0.3">
      <c r="G5618" s="391" t="s">
        <v>9567</v>
      </c>
    </row>
    <row r="5619" spans="7:7" x14ac:dyDescent="0.3">
      <c r="G5619" s="391" t="s">
        <v>9567</v>
      </c>
    </row>
    <row r="5620" spans="7:7" x14ac:dyDescent="0.3">
      <c r="G5620" s="391" t="s">
        <v>9567</v>
      </c>
    </row>
    <row r="5621" spans="7:7" x14ac:dyDescent="0.3">
      <c r="G5621" s="391" t="s">
        <v>9567</v>
      </c>
    </row>
    <row r="5622" spans="7:7" x14ac:dyDescent="0.3">
      <c r="G5622" s="391" t="s">
        <v>9567</v>
      </c>
    </row>
    <row r="5623" spans="7:7" x14ac:dyDescent="0.3">
      <c r="G5623" s="391" t="s">
        <v>9567</v>
      </c>
    </row>
    <row r="5624" spans="7:7" x14ac:dyDescent="0.3">
      <c r="G5624" s="391" t="s">
        <v>9567</v>
      </c>
    </row>
    <row r="5625" spans="7:7" x14ac:dyDescent="0.3">
      <c r="G5625" s="391" t="s">
        <v>9567</v>
      </c>
    </row>
    <row r="5626" spans="7:7" x14ac:dyDescent="0.3">
      <c r="G5626" s="391" t="s">
        <v>9567</v>
      </c>
    </row>
    <row r="5627" spans="7:7" x14ac:dyDescent="0.3">
      <c r="G5627" s="391" t="s">
        <v>9567</v>
      </c>
    </row>
    <row r="5628" spans="7:7" x14ac:dyDescent="0.3">
      <c r="G5628" s="391" t="s">
        <v>9567</v>
      </c>
    </row>
    <row r="5629" spans="7:7" x14ac:dyDescent="0.3">
      <c r="G5629" s="391" t="s">
        <v>9567</v>
      </c>
    </row>
    <row r="5630" spans="7:7" x14ac:dyDescent="0.3">
      <c r="G5630" s="391" t="s">
        <v>9567</v>
      </c>
    </row>
    <row r="5631" spans="7:7" x14ac:dyDescent="0.3">
      <c r="G5631" s="391" t="s">
        <v>9567</v>
      </c>
    </row>
    <row r="5632" spans="7:7" x14ac:dyDescent="0.3">
      <c r="G5632" s="391" t="s">
        <v>9567</v>
      </c>
    </row>
    <row r="5633" spans="7:7" x14ac:dyDescent="0.3">
      <c r="G5633" s="391" t="s">
        <v>9567</v>
      </c>
    </row>
    <row r="5634" spans="7:7" x14ac:dyDescent="0.3">
      <c r="G5634" s="391" t="s">
        <v>9567</v>
      </c>
    </row>
    <row r="5635" spans="7:7" x14ac:dyDescent="0.3">
      <c r="G5635" s="391" t="s">
        <v>9567</v>
      </c>
    </row>
    <row r="5636" spans="7:7" x14ac:dyDescent="0.3">
      <c r="G5636" s="391" t="s">
        <v>9567</v>
      </c>
    </row>
    <row r="5637" spans="7:7" x14ac:dyDescent="0.3">
      <c r="G5637" s="391" t="s">
        <v>9567</v>
      </c>
    </row>
    <row r="5638" spans="7:7" x14ac:dyDescent="0.3">
      <c r="G5638" s="391" t="s">
        <v>9567</v>
      </c>
    </row>
    <row r="5639" spans="7:7" x14ac:dyDescent="0.3">
      <c r="G5639" s="391" t="s">
        <v>9567</v>
      </c>
    </row>
    <row r="5640" spans="7:7" x14ac:dyDescent="0.3">
      <c r="G5640" s="391" t="s">
        <v>9567</v>
      </c>
    </row>
    <row r="5641" spans="7:7" x14ac:dyDescent="0.3">
      <c r="G5641" s="391" t="s">
        <v>9567</v>
      </c>
    </row>
    <row r="5642" spans="7:7" x14ac:dyDescent="0.3">
      <c r="G5642" s="391" t="s">
        <v>9567</v>
      </c>
    </row>
    <row r="5643" spans="7:7" x14ac:dyDescent="0.3">
      <c r="G5643" s="391" t="s">
        <v>9567</v>
      </c>
    </row>
    <row r="5644" spans="7:7" x14ac:dyDescent="0.3">
      <c r="G5644" s="391" t="s">
        <v>9567</v>
      </c>
    </row>
    <row r="5645" spans="7:7" x14ac:dyDescent="0.3">
      <c r="G5645" s="391" t="s">
        <v>9567</v>
      </c>
    </row>
    <row r="5646" spans="7:7" x14ac:dyDescent="0.3">
      <c r="G5646" s="391" t="s">
        <v>9567</v>
      </c>
    </row>
    <row r="5647" spans="7:7" x14ac:dyDescent="0.3">
      <c r="G5647" s="391" t="s">
        <v>9567</v>
      </c>
    </row>
    <row r="5648" spans="7:7" x14ac:dyDescent="0.3">
      <c r="G5648" s="391" t="s">
        <v>9567</v>
      </c>
    </row>
    <row r="5649" spans="7:7" x14ac:dyDescent="0.3">
      <c r="G5649" s="391" t="s">
        <v>9567</v>
      </c>
    </row>
    <row r="5650" spans="7:7" x14ac:dyDescent="0.3">
      <c r="G5650" s="391" t="s">
        <v>9567</v>
      </c>
    </row>
    <row r="5651" spans="7:7" x14ac:dyDescent="0.3">
      <c r="G5651" s="391" t="s">
        <v>9567</v>
      </c>
    </row>
    <row r="5652" spans="7:7" x14ac:dyDescent="0.3">
      <c r="G5652" s="391" t="s">
        <v>9567</v>
      </c>
    </row>
    <row r="5653" spans="7:7" x14ac:dyDescent="0.3">
      <c r="G5653" s="391" t="s">
        <v>9567</v>
      </c>
    </row>
    <row r="5654" spans="7:7" x14ac:dyDescent="0.3">
      <c r="G5654" s="391" t="s">
        <v>9567</v>
      </c>
    </row>
    <row r="5655" spans="7:7" x14ac:dyDescent="0.3">
      <c r="G5655" s="391" t="s">
        <v>9567</v>
      </c>
    </row>
    <row r="5656" spans="7:7" x14ac:dyDescent="0.3">
      <c r="G5656" s="391" t="s">
        <v>9567</v>
      </c>
    </row>
    <row r="5657" spans="7:7" x14ac:dyDescent="0.3">
      <c r="G5657" s="391" t="s">
        <v>9567</v>
      </c>
    </row>
    <row r="5658" spans="7:7" x14ac:dyDescent="0.3">
      <c r="G5658" s="391" t="s">
        <v>9567</v>
      </c>
    </row>
    <row r="5659" spans="7:7" x14ac:dyDescent="0.3">
      <c r="G5659" s="391" t="s">
        <v>9567</v>
      </c>
    </row>
    <row r="5660" spans="7:7" x14ac:dyDescent="0.3">
      <c r="G5660" s="391" t="s">
        <v>9567</v>
      </c>
    </row>
    <row r="5661" spans="7:7" x14ac:dyDescent="0.3">
      <c r="G5661" s="391" t="s">
        <v>9567</v>
      </c>
    </row>
    <row r="5662" spans="7:7" x14ac:dyDescent="0.3">
      <c r="G5662" s="391" t="s">
        <v>9567</v>
      </c>
    </row>
    <row r="5663" spans="7:7" x14ac:dyDescent="0.3">
      <c r="G5663" s="391" t="s">
        <v>9567</v>
      </c>
    </row>
    <row r="5664" spans="7:7" x14ac:dyDescent="0.3">
      <c r="G5664" s="391" t="s">
        <v>9567</v>
      </c>
    </row>
    <row r="5665" spans="7:7" x14ac:dyDescent="0.3">
      <c r="G5665" s="391" t="s">
        <v>9567</v>
      </c>
    </row>
    <row r="5666" spans="7:7" x14ac:dyDescent="0.3">
      <c r="G5666" s="391" t="s">
        <v>9567</v>
      </c>
    </row>
    <row r="5667" spans="7:7" x14ac:dyDescent="0.3">
      <c r="G5667" s="391" t="s">
        <v>9567</v>
      </c>
    </row>
    <row r="5668" spans="7:7" x14ac:dyDescent="0.3">
      <c r="G5668" s="391" t="s">
        <v>9567</v>
      </c>
    </row>
    <row r="5669" spans="7:7" x14ac:dyDescent="0.3">
      <c r="G5669" s="391" t="s">
        <v>9567</v>
      </c>
    </row>
    <row r="5670" spans="7:7" x14ac:dyDescent="0.3">
      <c r="G5670" s="391" t="s">
        <v>9567</v>
      </c>
    </row>
    <row r="5671" spans="7:7" x14ac:dyDescent="0.3">
      <c r="G5671" s="391" t="s">
        <v>9567</v>
      </c>
    </row>
    <row r="5672" spans="7:7" x14ac:dyDescent="0.3">
      <c r="G5672" s="391" t="s">
        <v>9567</v>
      </c>
    </row>
    <row r="5673" spans="7:7" x14ac:dyDescent="0.3">
      <c r="G5673" s="391" t="s">
        <v>9567</v>
      </c>
    </row>
    <row r="5674" spans="7:7" x14ac:dyDescent="0.3">
      <c r="G5674" s="391" t="s">
        <v>9567</v>
      </c>
    </row>
    <row r="5675" spans="7:7" x14ac:dyDescent="0.3">
      <c r="G5675" s="391" t="s">
        <v>9567</v>
      </c>
    </row>
    <row r="5676" spans="7:7" x14ac:dyDescent="0.3">
      <c r="G5676" s="391" t="s">
        <v>9567</v>
      </c>
    </row>
    <row r="5677" spans="7:7" x14ac:dyDescent="0.3">
      <c r="G5677" s="391" t="s">
        <v>9567</v>
      </c>
    </row>
    <row r="5678" spans="7:7" x14ac:dyDescent="0.3">
      <c r="G5678" s="391" t="s">
        <v>9567</v>
      </c>
    </row>
    <row r="5679" spans="7:7" x14ac:dyDescent="0.3">
      <c r="G5679" s="391" t="s">
        <v>9567</v>
      </c>
    </row>
    <row r="5680" spans="7:7" x14ac:dyDescent="0.3">
      <c r="G5680" s="391" t="s">
        <v>9567</v>
      </c>
    </row>
    <row r="5681" spans="7:7" x14ac:dyDescent="0.3">
      <c r="G5681" s="391" t="s">
        <v>9567</v>
      </c>
    </row>
    <row r="5682" spans="7:7" x14ac:dyDescent="0.3">
      <c r="G5682" s="391" t="s">
        <v>9567</v>
      </c>
    </row>
    <row r="5683" spans="7:7" x14ac:dyDescent="0.3">
      <c r="G5683" s="391" t="s">
        <v>9567</v>
      </c>
    </row>
    <row r="5684" spans="7:7" x14ac:dyDescent="0.3">
      <c r="G5684" s="391" t="s">
        <v>9567</v>
      </c>
    </row>
    <row r="5685" spans="7:7" x14ac:dyDescent="0.3">
      <c r="G5685" s="391" t="s">
        <v>9567</v>
      </c>
    </row>
    <row r="5686" spans="7:7" x14ac:dyDescent="0.3">
      <c r="G5686" s="391" t="s">
        <v>9567</v>
      </c>
    </row>
    <row r="5687" spans="7:7" x14ac:dyDescent="0.3">
      <c r="G5687" s="391" t="s">
        <v>9567</v>
      </c>
    </row>
    <row r="5688" spans="7:7" x14ac:dyDescent="0.3">
      <c r="G5688" s="391" t="s">
        <v>9567</v>
      </c>
    </row>
    <row r="5689" spans="7:7" x14ac:dyDescent="0.3">
      <c r="G5689" s="391" t="s">
        <v>9567</v>
      </c>
    </row>
    <row r="5690" spans="7:7" x14ac:dyDescent="0.3">
      <c r="G5690" s="391" t="s">
        <v>9567</v>
      </c>
    </row>
    <row r="5691" spans="7:7" x14ac:dyDescent="0.3">
      <c r="G5691" s="391" t="s">
        <v>9567</v>
      </c>
    </row>
    <row r="5692" spans="7:7" x14ac:dyDescent="0.3">
      <c r="G5692" s="391" t="s">
        <v>9567</v>
      </c>
    </row>
    <row r="5693" spans="7:7" x14ac:dyDescent="0.3">
      <c r="G5693" s="391" t="s">
        <v>9567</v>
      </c>
    </row>
    <row r="5694" spans="7:7" x14ac:dyDescent="0.3">
      <c r="G5694" s="391" t="s">
        <v>9567</v>
      </c>
    </row>
    <row r="5695" spans="7:7" x14ac:dyDescent="0.3">
      <c r="G5695" s="391" t="s">
        <v>9567</v>
      </c>
    </row>
    <row r="5696" spans="7:7" x14ac:dyDescent="0.3">
      <c r="G5696" s="391" t="s">
        <v>9567</v>
      </c>
    </row>
    <row r="5697" spans="7:7" x14ac:dyDescent="0.3">
      <c r="G5697" s="391" t="s">
        <v>9567</v>
      </c>
    </row>
    <row r="5698" spans="7:7" x14ac:dyDescent="0.3">
      <c r="G5698" s="391" t="s">
        <v>9567</v>
      </c>
    </row>
    <row r="5699" spans="7:7" x14ac:dyDescent="0.3">
      <c r="G5699" s="391" t="s">
        <v>9567</v>
      </c>
    </row>
    <row r="5700" spans="7:7" x14ac:dyDescent="0.3">
      <c r="G5700" s="391" t="s">
        <v>9567</v>
      </c>
    </row>
    <row r="5701" spans="7:7" x14ac:dyDescent="0.3">
      <c r="G5701" s="391" t="s">
        <v>9567</v>
      </c>
    </row>
    <row r="5702" spans="7:7" x14ac:dyDescent="0.3">
      <c r="G5702" s="391" t="s">
        <v>9567</v>
      </c>
    </row>
    <row r="5703" spans="7:7" x14ac:dyDescent="0.3">
      <c r="G5703" s="391" t="s">
        <v>9567</v>
      </c>
    </row>
    <row r="5704" spans="7:7" x14ac:dyDescent="0.3">
      <c r="G5704" s="391" t="s">
        <v>9567</v>
      </c>
    </row>
    <row r="5705" spans="7:7" x14ac:dyDescent="0.3">
      <c r="G5705" s="391" t="s">
        <v>9567</v>
      </c>
    </row>
    <row r="5706" spans="7:7" x14ac:dyDescent="0.3">
      <c r="G5706" s="391" t="s">
        <v>9567</v>
      </c>
    </row>
    <row r="5707" spans="7:7" x14ac:dyDescent="0.3">
      <c r="G5707" s="391" t="s">
        <v>9567</v>
      </c>
    </row>
    <row r="5708" spans="7:7" x14ac:dyDescent="0.3">
      <c r="G5708" s="391" t="s">
        <v>9567</v>
      </c>
    </row>
    <row r="5709" spans="7:7" x14ac:dyDescent="0.3">
      <c r="G5709" s="391" t="s">
        <v>9567</v>
      </c>
    </row>
    <row r="5710" spans="7:7" x14ac:dyDescent="0.3">
      <c r="G5710" s="391" t="s">
        <v>9567</v>
      </c>
    </row>
    <row r="5711" spans="7:7" x14ac:dyDescent="0.3">
      <c r="G5711" s="391" t="s">
        <v>9567</v>
      </c>
    </row>
    <row r="5712" spans="7:7" x14ac:dyDescent="0.3">
      <c r="G5712" s="391" t="s">
        <v>9567</v>
      </c>
    </row>
    <row r="5713" spans="7:7" x14ac:dyDescent="0.3">
      <c r="G5713" s="391" t="s">
        <v>9567</v>
      </c>
    </row>
    <row r="5714" spans="7:7" x14ac:dyDescent="0.3">
      <c r="G5714" s="391" t="s">
        <v>9567</v>
      </c>
    </row>
    <row r="5715" spans="7:7" x14ac:dyDescent="0.3">
      <c r="G5715" s="391" t="s">
        <v>9567</v>
      </c>
    </row>
    <row r="5716" spans="7:7" x14ac:dyDescent="0.3">
      <c r="G5716" s="391" t="s">
        <v>9567</v>
      </c>
    </row>
    <row r="5717" spans="7:7" x14ac:dyDescent="0.3">
      <c r="G5717" s="391" t="s">
        <v>9567</v>
      </c>
    </row>
    <row r="5718" spans="7:7" x14ac:dyDescent="0.3">
      <c r="G5718" s="391" t="s">
        <v>9567</v>
      </c>
    </row>
    <row r="5719" spans="7:7" x14ac:dyDescent="0.3">
      <c r="G5719" s="391" t="s">
        <v>9567</v>
      </c>
    </row>
    <row r="5720" spans="7:7" x14ac:dyDescent="0.3">
      <c r="G5720" s="391" t="s">
        <v>9567</v>
      </c>
    </row>
    <row r="5721" spans="7:7" x14ac:dyDescent="0.3">
      <c r="G5721" s="391" t="s">
        <v>9567</v>
      </c>
    </row>
    <row r="5722" spans="7:7" x14ac:dyDescent="0.3">
      <c r="G5722" s="391" t="s">
        <v>9567</v>
      </c>
    </row>
    <row r="5723" spans="7:7" x14ac:dyDescent="0.3">
      <c r="G5723" s="391" t="s">
        <v>9567</v>
      </c>
    </row>
    <row r="5724" spans="7:7" x14ac:dyDescent="0.3">
      <c r="G5724" s="391" t="s">
        <v>9567</v>
      </c>
    </row>
    <row r="5725" spans="7:7" x14ac:dyDescent="0.3">
      <c r="G5725" s="391" t="s">
        <v>9567</v>
      </c>
    </row>
    <row r="5726" spans="7:7" x14ac:dyDescent="0.3">
      <c r="G5726" s="391" t="s">
        <v>9567</v>
      </c>
    </row>
    <row r="5727" spans="7:7" x14ac:dyDescent="0.3">
      <c r="G5727" s="391" t="s">
        <v>9567</v>
      </c>
    </row>
    <row r="5728" spans="7:7" x14ac:dyDescent="0.3">
      <c r="G5728" s="391" t="s">
        <v>9567</v>
      </c>
    </row>
    <row r="5729" spans="7:7" x14ac:dyDescent="0.3">
      <c r="G5729" s="391" t="s">
        <v>9567</v>
      </c>
    </row>
    <row r="5730" spans="7:7" x14ac:dyDescent="0.3">
      <c r="G5730" s="391" t="s">
        <v>9567</v>
      </c>
    </row>
    <row r="5731" spans="7:7" x14ac:dyDescent="0.3">
      <c r="G5731" s="391" t="s">
        <v>9567</v>
      </c>
    </row>
    <row r="5732" spans="7:7" x14ac:dyDescent="0.3">
      <c r="G5732" s="391" t="s">
        <v>9567</v>
      </c>
    </row>
    <row r="5733" spans="7:7" x14ac:dyDescent="0.3">
      <c r="G5733" s="391" t="s">
        <v>9567</v>
      </c>
    </row>
    <row r="5734" spans="7:7" x14ac:dyDescent="0.3">
      <c r="G5734" s="391" t="s">
        <v>9567</v>
      </c>
    </row>
    <row r="5735" spans="7:7" x14ac:dyDescent="0.3">
      <c r="G5735" s="391" t="s">
        <v>9567</v>
      </c>
    </row>
    <row r="5736" spans="7:7" x14ac:dyDescent="0.3">
      <c r="G5736" s="391" t="s">
        <v>9567</v>
      </c>
    </row>
    <row r="5737" spans="7:7" x14ac:dyDescent="0.3">
      <c r="G5737" s="391" t="s">
        <v>9567</v>
      </c>
    </row>
    <row r="5738" spans="7:7" x14ac:dyDescent="0.3">
      <c r="G5738" s="391" t="s">
        <v>9567</v>
      </c>
    </row>
    <row r="5739" spans="7:7" x14ac:dyDescent="0.3">
      <c r="G5739" s="391" t="s">
        <v>9567</v>
      </c>
    </row>
    <row r="5740" spans="7:7" x14ac:dyDescent="0.3">
      <c r="G5740" s="391" t="s">
        <v>9567</v>
      </c>
    </row>
    <row r="5741" spans="7:7" x14ac:dyDescent="0.3">
      <c r="G5741" s="391" t="s">
        <v>9567</v>
      </c>
    </row>
    <row r="5742" spans="7:7" x14ac:dyDescent="0.3">
      <c r="G5742" s="391" t="s">
        <v>9567</v>
      </c>
    </row>
    <row r="5743" spans="7:7" x14ac:dyDescent="0.3">
      <c r="G5743" s="391" t="s">
        <v>9567</v>
      </c>
    </row>
    <row r="5744" spans="7:7" x14ac:dyDescent="0.3">
      <c r="G5744" s="391" t="s">
        <v>9567</v>
      </c>
    </row>
    <row r="5745" spans="7:7" x14ac:dyDescent="0.3">
      <c r="G5745" s="391" t="s">
        <v>9567</v>
      </c>
    </row>
    <row r="5746" spans="7:7" x14ac:dyDescent="0.3">
      <c r="G5746" s="391" t="s">
        <v>9567</v>
      </c>
    </row>
    <row r="5747" spans="7:7" x14ac:dyDescent="0.3">
      <c r="G5747" s="391" t="s">
        <v>9567</v>
      </c>
    </row>
    <row r="5748" spans="7:7" x14ac:dyDescent="0.3">
      <c r="G5748" s="391" t="s">
        <v>9567</v>
      </c>
    </row>
    <row r="5749" spans="7:7" x14ac:dyDescent="0.3">
      <c r="G5749" s="391" t="s">
        <v>9567</v>
      </c>
    </row>
    <row r="5750" spans="7:7" x14ac:dyDescent="0.3">
      <c r="G5750" s="391" t="s">
        <v>9567</v>
      </c>
    </row>
    <row r="5751" spans="7:7" x14ac:dyDescent="0.3">
      <c r="G5751" s="391" t="s">
        <v>9567</v>
      </c>
    </row>
    <row r="5752" spans="7:7" x14ac:dyDescent="0.3">
      <c r="G5752" s="391" t="s">
        <v>9567</v>
      </c>
    </row>
    <row r="5753" spans="7:7" x14ac:dyDescent="0.3">
      <c r="G5753" s="391" t="s">
        <v>9567</v>
      </c>
    </row>
    <row r="5754" spans="7:7" x14ac:dyDescent="0.3">
      <c r="G5754" s="391" t="s">
        <v>9567</v>
      </c>
    </row>
    <row r="5755" spans="7:7" x14ac:dyDescent="0.3">
      <c r="G5755" s="391" t="s">
        <v>9567</v>
      </c>
    </row>
    <row r="5756" spans="7:7" x14ac:dyDescent="0.3">
      <c r="G5756" s="391" t="s">
        <v>9567</v>
      </c>
    </row>
    <row r="5757" spans="7:7" x14ac:dyDescent="0.3">
      <c r="G5757" s="391" t="s">
        <v>9567</v>
      </c>
    </row>
    <row r="5758" spans="7:7" x14ac:dyDescent="0.3">
      <c r="G5758" s="391" t="s">
        <v>9567</v>
      </c>
    </row>
    <row r="5759" spans="7:7" x14ac:dyDescent="0.3">
      <c r="G5759" s="391" t="s">
        <v>9567</v>
      </c>
    </row>
    <row r="5760" spans="7:7" x14ac:dyDescent="0.3">
      <c r="G5760" s="391" t="s">
        <v>9567</v>
      </c>
    </row>
    <row r="5761" spans="7:7" x14ac:dyDescent="0.3">
      <c r="G5761" s="391" t="s">
        <v>9567</v>
      </c>
    </row>
    <row r="5762" spans="7:7" x14ac:dyDescent="0.3">
      <c r="G5762" s="391" t="s">
        <v>9567</v>
      </c>
    </row>
    <row r="5763" spans="7:7" x14ac:dyDescent="0.3">
      <c r="G5763" s="391" t="s">
        <v>9567</v>
      </c>
    </row>
    <row r="5764" spans="7:7" x14ac:dyDescent="0.3">
      <c r="G5764" s="391" t="s">
        <v>9567</v>
      </c>
    </row>
    <row r="5765" spans="7:7" x14ac:dyDescent="0.3">
      <c r="G5765" s="391" t="s">
        <v>9567</v>
      </c>
    </row>
    <row r="5766" spans="7:7" x14ac:dyDescent="0.3">
      <c r="G5766" s="391" t="s">
        <v>9567</v>
      </c>
    </row>
    <row r="5767" spans="7:7" x14ac:dyDescent="0.3">
      <c r="G5767" s="391" t="s">
        <v>9567</v>
      </c>
    </row>
    <row r="5768" spans="7:7" x14ac:dyDescent="0.3">
      <c r="G5768" s="391" t="s">
        <v>9567</v>
      </c>
    </row>
    <row r="5769" spans="7:7" x14ac:dyDescent="0.3">
      <c r="G5769" s="391" t="s">
        <v>9567</v>
      </c>
    </row>
    <row r="5770" spans="7:7" x14ac:dyDescent="0.3">
      <c r="G5770" s="391" t="s">
        <v>9567</v>
      </c>
    </row>
    <row r="5771" spans="7:7" x14ac:dyDescent="0.3">
      <c r="G5771" s="391" t="s">
        <v>9567</v>
      </c>
    </row>
    <row r="5772" spans="7:7" x14ac:dyDescent="0.3">
      <c r="G5772" s="391" t="s">
        <v>9567</v>
      </c>
    </row>
    <row r="5773" spans="7:7" x14ac:dyDescent="0.3">
      <c r="G5773" s="391" t="s">
        <v>9567</v>
      </c>
    </row>
    <row r="5774" spans="7:7" x14ac:dyDescent="0.3">
      <c r="G5774" s="391" t="s">
        <v>9567</v>
      </c>
    </row>
    <row r="5775" spans="7:7" x14ac:dyDescent="0.3">
      <c r="G5775" s="391" t="s">
        <v>9567</v>
      </c>
    </row>
    <row r="5776" spans="7:7" x14ac:dyDescent="0.3">
      <c r="G5776" s="391" t="s">
        <v>9567</v>
      </c>
    </row>
    <row r="5777" spans="7:7" x14ac:dyDescent="0.3">
      <c r="G5777" s="391" t="s">
        <v>9567</v>
      </c>
    </row>
    <row r="5778" spans="7:7" x14ac:dyDescent="0.3">
      <c r="G5778" s="391" t="s">
        <v>9567</v>
      </c>
    </row>
    <row r="5779" spans="7:7" x14ac:dyDescent="0.3">
      <c r="G5779" s="391" t="s">
        <v>9567</v>
      </c>
    </row>
    <row r="5780" spans="7:7" x14ac:dyDescent="0.3">
      <c r="G5780" s="391" t="s">
        <v>9567</v>
      </c>
    </row>
    <row r="5781" spans="7:7" x14ac:dyDescent="0.3">
      <c r="G5781" s="391" t="s">
        <v>9567</v>
      </c>
    </row>
    <row r="5782" spans="7:7" x14ac:dyDescent="0.3">
      <c r="G5782" s="391" t="s">
        <v>9567</v>
      </c>
    </row>
    <row r="5783" spans="7:7" x14ac:dyDescent="0.3">
      <c r="G5783" s="391" t="s">
        <v>9567</v>
      </c>
    </row>
    <row r="5784" spans="7:7" x14ac:dyDescent="0.3">
      <c r="G5784" s="391" t="s">
        <v>9567</v>
      </c>
    </row>
    <row r="5785" spans="7:7" x14ac:dyDescent="0.3">
      <c r="G5785" s="391" t="s">
        <v>9567</v>
      </c>
    </row>
    <row r="5786" spans="7:7" x14ac:dyDescent="0.3">
      <c r="G5786" s="391" t="s">
        <v>9567</v>
      </c>
    </row>
    <row r="5787" spans="7:7" x14ac:dyDescent="0.3">
      <c r="G5787" s="391" t="s">
        <v>9567</v>
      </c>
    </row>
    <row r="5788" spans="7:7" x14ac:dyDescent="0.3">
      <c r="G5788" s="391" t="s">
        <v>9567</v>
      </c>
    </row>
    <row r="5789" spans="7:7" x14ac:dyDescent="0.3">
      <c r="G5789" s="391" t="s">
        <v>9567</v>
      </c>
    </row>
    <row r="5790" spans="7:7" x14ac:dyDescent="0.3">
      <c r="G5790" s="391" t="s">
        <v>9567</v>
      </c>
    </row>
    <row r="5791" spans="7:7" x14ac:dyDescent="0.3">
      <c r="G5791" s="391" t="s">
        <v>9567</v>
      </c>
    </row>
    <row r="5792" spans="7:7" x14ac:dyDescent="0.3">
      <c r="G5792" s="391" t="s">
        <v>9567</v>
      </c>
    </row>
    <row r="5793" spans="7:7" x14ac:dyDescent="0.3">
      <c r="G5793" s="391" t="s">
        <v>9567</v>
      </c>
    </row>
    <row r="5794" spans="7:7" x14ac:dyDescent="0.3">
      <c r="G5794" s="391" t="s">
        <v>9567</v>
      </c>
    </row>
    <row r="5795" spans="7:7" x14ac:dyDescent="0.3">
      <c r="G5795" s="391" t="s">
        <v>9567</v>
      </c>
    </row>
    <row r="5796" spans="7:7" x14ac:dyDescent="0.3">
      <c r="G5796" s="391" t="s">
        <v>9567</v>
      </c>
    </row>
    <row r="5797" spans="7:7" x14ac:dyDescent="0.3">
      <c r="G5797" s="391" t="s">
        <v>9567</v>
      </c>
    </row>
    <row r="5798" spans="7:7" x14ac:dyDescent="0.3">
      <c r="G5798" s="391" t="s">
        <v>9567</v>
      </c>
    </row>
    <row r="5799" spans="7:7" x14ac:dyDescent="0.3">
      <c r="G5799" s="391" t="s">
        <v>9567</v>
      </c>
    </row>
    <row r="5800" spans="7:7" x14ac:dyDescent="0.3">
      <c r="G5800" s="391" t="s">
        <v>9567</v>
      </c>
    </row>
    <row r="5801" spans="7:7" x14ac:dyDescent="0.3">
      <c r="G5801" s="391" t="s">
        <v>9567</v>
      </c>
    </row>
    <row r="5802" spans="7:7" x14ac:dyDescent="0.3">
      <c r="G5802" s="391" t="s">
        <v>9567</v>
      </c>
    </row>
    <row r="5803" spans="7:7" x14ac:dyDescent="0.3">
      <c r="G5803" s="391" t="s">
        <v>9567</v>
      </c>
    </row>
    <row r="5804" spans="7:7" x14ac:dyDescent="0.3">
      <c r="G5804" s="391" t="s">
        <v>9567</v>
      </c>
    </row>
    <row r="5805" spans="7:7" x14ac:dyDescent="0.3">
      <c r="G5805" s="391" t="s">
        <v>9567</v>
      </c>
    </row>
    <row r="5806" spans="7:7" x14ac:dyDescent="0.3">
      <c r="G5806" s="391" t="s">
        <v>9567</v>
      </c>
    </row>
    <row r="5807" spans="7:7" x14ac:dyDescent="0.3">
      <c r="G5807" s="391" t="s">
        <v>9567</v>
      </c>
    </row>
    <row r="5808" spans="7:7" x14ac:dyDescent="0.3">
      <c r="G5808" s="391" t="s">
        <v>9567</v>
      </c>
    </row>
    <row r="5809" spans="7:7" x14ac:dyDescent="0.3">
      <c r="G5809" s="391" t="s">
        <v>9567</v>
      </c>
    </row>
    <row r="5810" spans="7:7" x14ac:dyDescent="0.3">
      <c r="G5810" s="391" t="s">
        <v>9567</v>
      </c>
    </row>
    <row r="5811" spans="7:7" x14ac:dyDescent="0.3">
      <c r="G5811" s="391" t="s">
        <v>9567</v>
      </c>
    </row>
    <row r="5812" spans="7:7" x14ac:dyDescent="0.3">
      <c r="G5812" s="391" t="s">
        <v>9567</v>
      </c>
    </row>
    <row r="5813" spans="7:7" x14ac:dyDescent="0.3">
      <c r="G5813" s="391" t="s">
        <v>9567</v>
      </c>
    </row>
    <row r="5814" spans="7:7" x14ac:dyDescent="0.3">
      <c r="G5814" s="391" t="s">
        <v>9567</v>
      </c>
    </row>
    <row r="5815" spans="7:7" x14ac:dyDescent="0.3">
      <c r="G5815" s="391" t="s">
        <v>9567</v>
      </c>
    </row>
    <row r="5816" spans="7:7" x14ac:dyDescent="0.3">
      <c r="G5816" s="391" t="s">
        <v>9567</v>
      </c>
    </row>
    <row r="5817" spans="7:7" x14ac:dyDescent="0.3">
      <c r="G5817" s="391" t="s">
        <v>9567</v>
      </c>
    </row>
    <row r="5818" spans="7:7" x14ac:dyDescent="0.3">
      <c r="G5818" s="391" t="s">
        <v>9567</v>
      </c>
    </row>
    <row r="5819" spans="7:7" x14ac:dyDescent="0.3">
      <c r="G5819" s="391" t="s">
        <v>9567</v>
      </c>
    </row>
    <row r="5820" spans="7:7" x14ac:dyDescent="0.3">
      <c r="G5820" s="391" t="s">
        <v>9567</v>
      </c>
    </row>
    <row r="5821" spans="7:7" x14ac:dyDescent="0.3">
      <c r="G5821" s="391" t="s">
        <v>9567</v>
      </c>
    </row>
    <row r="5822" spans="7:7" x14ac:dyDescent="0.3">
      <c r="G5822" s="391" t="s">
        <v>9567</v>
      </c>
    </row>
    <row r="5823" spans="7:7" x14ac:dyDescent="0.3">
      <c r="G5823" s="391" t="s">
        <v>9567</v>
      </c>
    </row>
    <row r="5824" spans="7:7" x14ac:dyDescent="0.3">
      <c r="G5824" s="391" t="s">
        <v>9567</v>
      </c>
    </row>
    <row r="5825" spans="7:7" x14ac:dyDescent="0.3">
      <c r="G5825" s="391" t="s">
        <v>9567</v>
      </c>
    </row>
    <row r="5826" spans="7:7" x14ac:dyDescent="0.3">
      <c r="G5826" s="391" t="s">
        <v>9567</v>
      </c>
    </row>
    <row r="5827" spans="7:7" x14ac:dyDescent="0.3">
      <c r="G5827" s="391" t="s">
        <v>9567</v>
      </c>
    </row>
    <row r="5828" spans="7:7" x14ac:dyDescent="0.3">
      <c r="G5828" s="391" t="s">
        <v>9567</v>
      </c>
    </row>
    <row r="5829" spans="7:7" x14ac:dyDescent="0.3">
      <c r="G5829" s="391" t="s">
        <v>9567</v>
      </c>
    </row>
    <row r="5830" spans="7:7" x14ac:dyDescent="0.3">
      <c r="G5830" s="391" t="s">
        <v>9567</v>
      </c>
    </row>
    <row r="5831" spans="7:7" x14ac:dyDescent="0.3">
      <c r="G5831" s="391" t="s">
        <v>9567</v>
      </c>
    </row>
    <row r="5832" spans="7:7" x14ac:dyDescent="0.3">
      <c r="G5832" s="391" t="s">
        <v>9567</v>
      </c>
    </row>
    <row r="5833" spans="7:7" x14ac:dyDescent="0.3">
      <c r="G5833" s="391" t="s">
        <v>9567</v>
      </c>
    </row>
    <row r="5834" spans="7:7" x14ac:dyDescent="0.3">
      <c r="G5834" s="391" t="s">
        <v>9567</v>
      </c>
    </row>
    <row r="5835" spans="7:7" x14ac:dyDescent="0.3">
      <c r="G5835" s="391" t="s">
        <v>9567</v>
      </c>
    </row>
    <row r="5836" spans="7:7" x14ac:dyDescent="0.3">
      <c r="G5836" s="391" t="s">
        <v>9567</v>
      </c>
    </row>
    <row r="5837" spans="7:7" x14ac:dyDescent="0.3">
      <c r="G5837" s="391" t="s">
        <v>9567</v>
      </c>
    </row>
    <row r="5838" spans="7:7" x14ac:dyDescent="0.3">
      <c r="G5838" s="391" t="s">
        <v>9567</v>
      </c>
    </row>
    <row r="5839" spans="7:7" x14ac:dyDescent="0.3">
      <c r="G5839" s="391" t="s">
        <v>9567</v>
      </c>
    </row>
    <row r="5840" spans="7:7" x14ac:dyDescent="0.3">
      <c r="G5840" s="391" t="s">
        <v>9567</v>
      </c>
    </row>
    <row r="5841" spans="7:7" x14ac:dyDescent="0.3">
      <c r="G5841" s="391" t="s">
        <v>9567</v>
      </c>
    </row>
    <row r="5842" spans="7:7" x14ac:dyDescent="0.3">
      <c r="G5842" s="391" t="s">
        <v>9567</v>
      </c>
    </row>
    <row r="5843" spans="7:7" x14ac:dyDescent="0.3">
      <c r="G5843" s="391" t="s">
        <v>9567</v>
      </c>
    </row>
    <row r="5844" spans="7:7" x14ac:dyDescent="0.3">
      <c r="G5844" s="391" t="s">
        <v>9567</v>
      </c>
    </row>
    <row r="5845" spans="7:7" x14ac:dyDescent="0.3">
      <c r="G5845" s="391" t="s">
        <v>9567</v>
      </c>
    </row>
    <row r="5846" spans="7:7" x14ac:dyDescent="0.3">
      <c r="G5846" s="391" t="s">
        <v>9567</v>
      </c>
    </row>
    <row r="5847" spans="7:7" x14ac:dyDescent="0.3">
      <c r="G5847" s="391" t="s">
        <v>9567</v>
      </c>
    </row>
    <row r="5848" spans="7:7" x14ac:dyDescent="0.3">
      <c r="G5848" s="391" t="s">
        <v>9567</v>
      </c>
    </row>
    <row r="5849" spans="7:7" x14ac:dyDescent="0.3">
      <c r="G5849" s="391" t="s">
        <v>9567</v>
      </c>
    </row>
    <row r="5850" spans="7:7" x14ac:dyDescent="0.3">
      <c r="G5850" s="391" t="s">
        <v>9567</v>
      </c>
    </row>
    <row r="5851" spans="7:7" x14ac:dyDescent="0.3">
      <c r="G5851" s="391" t="s">
        <v>9567</v>
      </c>
    </row>
    <row r="5852" spans="7:7" x14ac:dyDescent="0.3">
      <c r="G5852" s="391" t="s">
        <v>9567</v>
      </c>
    </row>
    <row r="5853" spans="7:7" x14ac:dyDescent="0.3">
      <c r="G5853" s="391" t="s">
        <v>9567</v>
      </c>
    </row>
    <row r="5854" spans="7:7" x14ac:dyDescent="0.3">
      <c r="G5854" s="391" t="s">
        <v>9567</v>
      </c>
    </row>
    <row r="5855" spans="7:7" x14ac:dyDescent="0.3">
      <c r="G5855" s="391" t="s">
        <v>9567</v>
      </c>
    </row>
    <row r="5856" spans="7:7" x14ac:dyDescent="0.3">
      <c r="G5856" s="391" t="s">
        <v>9567</v>
      </c>
    </row>
    <row r="5857" spans="7:7" x14ac:dyDescent="0.3">
      <c r="G5857" s="391" t="s">
        <v>9567</v>
      </c>
    </row>
    <row r="5858" spans="7:7" x14ac:dyDescent="0.3">
      <c r="G5858" s="391" t="s">
        <v>9567</v>
      </c>
    </row>
    <row r="5859" spans="7:7" x14ac:dyDescent="0.3">
      <c r="G5859" s="391" t="s">
        <v>9567</v>
      </c>
    </row>
    <row r="5860" spans="7:7" x14ac:dyDescent="0.3">
      <c r="G5860" s="391" t="s">
        <v>9567</v>
      </c>
    </row>
    <row r="5861" spans="7:7" x14ac:dyDescent="0.3">
      <c r="G5861" s="391" t="s">
        <v>9567</v>
      </c>
    </row>
    <row r="5862" spans="7:7" x14ac:dyDescent="0.3">
      <c r="G5862" s="391" t="s">
        <v>9567</v>
      </c>
    </row>
    <row r="5863" spans="7:7" x14ac:dyDescent="0.3">
      <c r="G5863" s="391" t="s">
        <v>9567</v>
      </c>
    </row>
    <row r="5864" spans="7:7" x14ac:dyDescent="0.3">
      <c r="G5864" s="391" t="s">
        <v>9567</v>
      </c>
    </row>
    <row r="5865" spans="7:7" x14ac:dyDescent="0.3">
      <c r="G5865" s="391" t="s">
        <v>9567</v>
      </c>
    </row>
    <row r="5866" spans="7:7" x14ac:dyDescent="0.3">
      <c r="G5866" s="391" t="s">
        <v>9567</v>
      </c>
    </row>
    <row r="5867" spans="7:7" x14ac:dyDescent="0.3">
      <c r="G5867" s="391" t="s">
        <v>9567</v>
      </c>
    </row>
    <row r="5868" spans="7:7" x14ac:dyDescent="0.3">
      <c r="G5868" s="391" t="s">
        <v>9567</v>
      </c>
    </row>
    <row r="5869" spans="7:7" x14ac:dyDescent="0.3">
      <c r="G5869" s="391" t="s">
        <v>9567</v>
      </c>
    </row>
    <row r="5870" spans="7:7" x14ac:dyDescent="0.3">
      <c r="G5870" s="391" t="s">
        <v>9567</v>
      </c>
    </row>
    <row r="5871" spans="7:7" x14ac:dyDescent="0.3">
      <c r="G5871" s="391" t="s">
        <v>9567</v>
      </c>
    </row>
    <row r="5872" spans="7:7" x14ac:dyDescent="0.3">
      <c r="G5872" s="391" t="s">
        <v>9567</v>
      </c>
    </row>
    <row r="5873" spans="7:7" x14ac:dyDescent="0.3">
      <c r="G5873" s="391" t="s">
        <v>9567</v>
      </c>
    </row>
    <row r="5874" spans="7:7" x14ac:dyDescent="0.3">
      <c r="G5874" s="391" t="s">
        <v>9567</v>
      </c>
    </row>
    <row r="5875" spans="7:7" x14ac:dyDescent="0.3">
      <c r="G5875" s="391" t="s">
        <v>9567</v>
      </c>
    </row>
    <row r="5876" spans="7:7" x14ac:dyDescent="0.3">
      <c r="G5876" s="391" t="s">
        <v>9567</v>
      </c>
    </row>
    <row r="5877" spans="7:7" x14ac:dyDescent="0.3">
      <c r="G5877" s="391" t="s">
        <v>9567</v>
      </c>
    </row>
    <row r="5878" spans="7:7" x14ac:dyDescent="0.3">
      <c r="G5878" s="391" t="s">
        <v>9567</v>
      </c>
    </row>
    <row r="5879" spans="7:7" x14ac:dyDescent="0.3">
      <c r="G5879" s="391" t="s">
        <v>9567</v>
      </c>
    </row>
    <row r="5880" spans="7:7" x14ac:dyDescent="0.3">
      <c r="G5880" s="391" t="s">
        <v>9567</v>
      </c>
    </row>
    <row r="5881" spans="7:7" x14ac:dyDescent="0.3">
      <c r="G5881" s="391" t="s">
        <v>9567</v>
      </c>
    </row>
    <row r="5882" spans="7:7" x14ac:dyDescent="0.3">
      <c r="G5882" s="391" t="s">
        <v>9567</v>
      </c>
    </row>
    <row r="5883" spans="7:7" x14ac:dyDescent="0.3">
      <c r="G5883" s="391" t="s">
        <v>9567</v>
      </c>
    </row>
    <row r="5884" spans="7:7" x14ac:dyDescent="0.3">
      <c r="G5884" s="391" t="s">
        <v>9567</v>
      </c>
    </row>
    <row r="5885" spans="7:7" x14ac:dyDescent="0.3">
      <c r="G5885" s="391" t="s">
        <v>9567</v>
      </c>
    </row>
    <row r="5886" spans="7:7" x14ac:dyDescent="0.3">
      <c r="G5886" s="391" t="s">
        <v>9567</v>
      </c>
    </row>
    <row r="5887" spans="7:7" x14ac:dyDescent="0.3">
      <c r="G5887" s="391" t="s">
        <v>9567</v>
      </c>
    </row>
    <row r="5888" spans="7:7" x14ac:dyDescent="0.3">
      <c r="G5888" s="391" t="s">
        <v>9567</v>
      </c>
    </row>
    <row r="5889" spans="7:7" x14ac:dyDescent="0.3">
      <c r="G5889" s="391" t="s">
        <v>9567</v>
      </c>
    </row>
    <row r="5890" spans="7:7" x14ac:dyDescent="0.3">
      <c r="G5890" s="391" t="s">
        <v>9567</v>
      </c>
    </row>
    <row r="5891" spans="7:7" x14ac:dyDescent="0.3">
      <c r="G5891" s="391" t="s">
        <v>9567</v>
      </c>
    </row>
    <row r="5892" spans="7:7" x14ac:dyDescent="0.3">
      <c r="G5892" s="391" t="s">
        <v>9567</v>
      </c>
    </row>
    <row r="5893" spans="7:7" x14ac:dyDescent="0.3">
      <c r="G5893" s="391" t="s">
        <v>9567</v>
      </c>
    </row>
    <row r="5894" spans="7:7" x14ac:dyDescent="0.3">
      <c r="G5894" s="391" t="s">
        <v>9567</v>
      </c>
    </row>
    <row r="5895" spans="7:7" x14ac:dyDescent="0.3">
      <c r="G5895" s="391" t="s">
        <v>9567</v>
      </c>
    </row>
    <row r="5896" spans="7:7" x14ac:dyDescent="0.3">
      <c r="G5896" s="391" t="s">
        <v>9567</v>
      </c>
    </row>
    <row r="5897" spans="7:7" x14ac:dyDescent="0.3">
      <c r="G5897" s="391" t="s">
        <v>9567</v>
      </c>
    </row>
    <row r="5898" spans="7:7" x14ac:dyDescent="0.3">
      <c r="G5898" s="391" t="s">
        <v>9567</v>
      </c>
    </row>
    <row r="5899" spans="7:7" x14ac:dyDescent="0.3">
      <c r="G5899" s="391" t="s">
        <v>9567</v>
      </c>
    </row>
    <row r="5900" spans="7:7" x14ac:dyDescent="0.3">
      <c r="G5900" s="391" t="s">
        <v>9567</v>
      </c>
    </row>
    <row r="5901" spans="7:7" x14ac:dyDescent="0.3">
      <c r="G5901" s="391" t="s">
        <v>9567</v>
      </c>
    </row>
    <row r="5902" spans="7:7" x14ac:dyDescent="0.3">
      <c r="G5902" s="391" t="s">
        <v>9567</v>
      </c>
    </row>
    <row r="5903" spans="7:7" x14ac:dyDescent="0.3">
      <c r="G5903" s="391" t="s">
        <v>9567</v>
      </c>
    </row>
    <row r="5904" spans="7:7" x14ac:dyDescent="0.3">
      <c r="G5904" s="391" t="s">
        <v>9567</v>
      </c>
    </row>
    <row r="5905" spans="7:7" x14ac:dyDescent="0.3">
      <c r="G5905" s="391" t="s">
        <v>9567</v>
      </c>
    </row>
    <row r="5906" spans="7:7" x14ac:dyDescent="0.3">
      <c r="G5906" s="391" t="s">
        <v>9567</v>
      </c>
    </row>
    <row r="5907" spans="7:7" x14ac:dyDescent="0.3">
      <c r="G5907" s="391" t="s">
        <v>9567</v>
      </c>
    </row>
    <row r="5908" spans="7:7" x14ac:dyDescent="0.3">
      <c r="G5908" s="391" t="s">
        <v>9567</v>
      </c>
    </row>
    <row r="5909" spans="7:7" x14ac:dyDescent="0.3">
      <c r="G5909" s="391" t="s">
        <v>9567</v>
      </c>
    </row>
    <row r="5910" spans="7:7" x14ac:dyDescent="0.3">
      <c r="G5910" s="391" t="s">
        <v>9567</v>
      </c>
    </row>
    <row r="5911" spans="7:7" x14ac:dyDescent="0.3">
      <c r="G5911" s="391" t="s">
        <v>9567</v>
      </c>
    </row>
    <row r="5912" spans="7:7" x14ac:dyDescent="0.3">
      <c r="G5912" s="391" t="s">
        <v>9567</v>
      </c>
    </row>
    <row r="5913" spans="7:7" x14ac:dyDescent="0.3">
      <c r="G5913" s="391" t="s">
        <v>9567</v>
      </c>
    </row>
    <row r="5914" spans="7:7" x14ac:dyDescent="0.3">
      <c r="G5914" s="391" t="s">
        <v>9567</v>
      </c>
    </row>
    <row r="5915" spans="7:7" x14ac:dyDescent="0.3">
      <c r="G5915" s="391" t="s">
        <v>9567</v>
      </c>
    </row>
    <row r="5916" spans="7:7" x14ac:dyDescent="0.3">
      <c r="G5916" s="391" t="s">
        <v>9567</v>
      </c>
    </row>
    <row r="5917" spans="7:7" x14ac:dyDescent="0.3">
      <c r="G5917" s="391" t="s">
        <v>9567</v>
      </c>
    </row>
    <row r="5918" spans="7:7" x14ac:dyDescent="0.3">
      <c r="G5918" s="391" t="s">
        <v>9567</v>
      </c>
    </row>
    <row r="5919" spans="7:7" x14ac:dyDescent="0.3">
      <c r="G5919" s="391" t="s">
        <v>9567</v>
      </c>
    </row>
    <row r="5920" spans="7:7" x14ac:dyDescent="0.3">
      <c r="G5920" s="391" t="s">
        <v>9567</v>
      </c>
    </row>
    <row r="5921" spans="7:7" x14ac:dyDescent="0.3">
      <c r="G5921" s="391" t="s">
        <v>9567</v>
      </c>
    </row>
    <row r="5922" spans="7:7" x14ac:dyDescent="0.3">
      <c r="G5922" s="391" t="s">
        <v>9567</v>
      </c>
    </row>
    <row r="5923" spans="7:7" x14ac:dyDescent="0.3">
      <c r="G5923" s="391" t="s">
        <v>9567</v>
      </c>
    </row>
    <row r="5924" spans="7:7" x14ac:dyDescent="0.3">
      <c r="G5924" s="391" t="s">
        <v>9567</v>
      </c>
    </row>
    <row r="5925" spans="7:7" x14ac:dyDescent="0.3">
      <c r="G5925" s="391" t="s">
        <v>9567</v>
      </c>
    </row>
    <row r="5926" spans="7:7" x14ac:dyDescent="0.3">
      <c r="G5926" s="391" t="s">
        <v>9567</v>
      </c>
    </row>
    <row r="5927" spans="7:7" x14ac:dyDescent="0.3">
      <c r="G5927" s="391" t="s">
        <v>9567</v>
      </c>
    </row>
    <row r="5928" spans="7:7" x14ac:dyDescent="0.3">
      <c r="G5928" s="391" t="s">
        <v>9567</v>
      </c>
    </row>
    <row r="5929" spans="7:7" x14ac:dyDescent="0.3">
      <c r="G5929" s="391" t="s">
        <v>9567</v>
      </c>
    </row>
    <row r="5930" spans="7:7" x14ac:dyDescent="0.3">
      <c r="G5930" s="391" t="s">
        <v>9567</v>
      </c>
    </row>
    <row r="5931" spans="7:7" x14ac:dyDescent="0.3">
      <c r="G5931" s="391" t="s">
        <v>9567</v>
      </c>
    </row>
    <row r="5932" spans="7:7" x14ac:dyDescent="0.3">
      <c r="G5932" s="391" t="s">
        <v>9567</v>
      </c>
    </row>
    <row r="5933" spans="7:7" x14ac:dyDescent="0.3">
      <c r="G5933" s="391" t="s">
        <v>9567</v>
      </c>
    </row>
    <row r="5934" spans="7:7" x14ac:dyDescent="0.3">
      <c r="G5934" s="391" t="s">
        <v>9567</v>
      </c>
    </row>
    <row r="5935" spans="7:7" x14ac:dyDescent="0.3">
      <c r="G5935" s="391" t="s">
        <v>9567</v>
      </c>
    </row>
    <row r="5936" spans="7:7" x14ac:dyDescent="0.3">
      <c r="G5936" s="391" t="s">
        <v>9567</v>
      </c>
    </row>
    <row r="5937" spans="7:7" x14ac:dyDescent="0.3">
      <c r="G5937" s="391" t="s">
        <v>9567</v>
      </c>
    </row>
    <row r="5938" spans="7:7" x14ac:dyDescent="0.3">
      <c r="G5938" s="391" t="s">
        <v>9567</v>
      </c>
    </row>
    <row r="5939" spans="7:7" x14ac:dyDescent="0.3">
      <c r="G5939" s="391" t="s">
        <v>9567</v>
      </c>
    </row>
    <row r="5940" spans="7:7" x14ac:dyDescent="0.3">
      <c r="G5940" s="391" t="s">
        <v>9567</v>
      </c>
    </row>
    <row r="5941" spans="7:7" x14ac:dyDescent="0.3">
      <c r="G5941" s="391" t="s">
        <v>9567</v>
      </c>
    </row>
    <row r="5942" spans="7:7" x14ac:dyDescent="0.3">
      <c r="G5942" s="391" t="s">
        <v>9567</v>
      </c>
    </row>
    <row r="5943" spans="7:7" x14ac:dyDescent="0.3">
      <c r="G5943" s="391" t="s">
        <v>9567</v>
      </c>
    </row>
    <row r="5944" spans="7:7" x14ac:dyDescent="0.3">
      <c r="G5944" s="391" t="s">
        <v>9567</v>
      </c>
    </row>
    <row r="5945" spans="7:7" x14ac:dyDescent="0.3">
      <c r="G5945" s="391" t="s">
        <v>9567</v>
      </c>
    </row>
    <row r="5946" spans="7:7" x14ac:dyDescent="0.3">
      <c r="G5946" s="391" t="s">
        <v>9567</v>
      </c>
    </row>
    <row r="5947" spans="7:7" x14ac:dyDescent="0.3">
      <c r="G5947" s="391" t="s">
        <v>9567</v>
      </c>
    </row>
    <row r="5948" spans="7:7" x14ac:dyDescent="0.3">
      <c r="G5948" s="391" t="s">
        <v>9567</v>
      </c>
    </row>
    <row r="5949" spans="7:7" x14ac:dyDescent="0.3">
      <c r="G5949" s="391" t="s">
        <v>9567</v>
      </c>
    </row>
    <row r="5950" spans="7:7" x14ac:dyDescent="0.3">
      <c r="G5950" s="391" t="s">
        <v>9567</v>
      </c>
    </row>
    <row r="5951" spans="7:7" x14ac:dyDescent="0.3">
      <c r="G5951" s="391" t="s">
        <v>9567</v>
      </c>
    </row>
    <row r="5952" spans="7:7" x14ac:dyDescent="0.3">
      <c r="G5952" s="391" t="s">
        <v>9567</v>
      </c>
    </row>
    <row r="5953" spans="7:7" x14ac:dyDescent="0.3">
      <c r="G5953" s="391" t="s">
        <v>9567</v>
      </c>
    </row>
    <row r="5954" spans="7:7" x14ac:dyDescent="0.3">
      <c r="G5954" s="391" t="s">
        <v>9567</v>
      </c>
    </row>
    <row r="5955" spans="7:7" x14ac:dyDescent="0.3">
      <c r="G5955" s="391" t="s">
        <v>9567</v>
      </c>
    </row>
    <row r="5956" spans="7:7" x14ac:dyDescent="0.3">
      <c r="G5956" s="391" t="s">
        <v>9567</v>
      </c>
    </row>
    <row r="5957" spans="7:7" x14ac:dyDescent="0.3">
      <c r="G5957" s="391" t="s">
        <v>9567</v>
      </c>
    </row>
    <row r="5958" spans="7:7" x14ac:dyDescent="0.3">
      <c r="G5958" s="391" t="s">
        <v>9567</v>
      </c>
    </row>
    <row r="5959" spans="7:7" x14ac:dyDescent="0.3">
      <c r="G5959" s="391" t="s">
        <v>9567</v>
      </c>
    </row>
    <row r="5960" spans="7:7" x14ac:dyDescent="0.3">
      <c r="G5960" s="391" t="s">
        <v>9567</v>
      </c>
    </row>
    <row r="5961" spans="7:7" x14ac:dyDescent="0.3">
      <c r="G5961" s="391" t="s">
        <v>9567</v>
      </c>
    </row>
    <row r="5962" spans="7:7" x14ac:dyDescent="0.3">
      <c r="G5962" s="391" t="s">
        <v>9567</v>
      </c>
    </row>
    <row r="5963" spans="7:7" x14ac:dyDescent="0.3">
      <c r="G5963" s="391" t="s">
        <v>9567</v>
      </c>
    </row>
    <row r="5964" spans="7:7" x14ac:dyDescent="0.3">
      <c r="G5964" s="391" t="s">
        <v>9567</v>
      </c>
    </row>
    <row r="5965" spans="7:7" x14ac:dyDescent="0.3">
      <c r="G5965" s="391" t="s">
        <v>9567</v>
      </c>
    </row>
    <row r="5966" spans="7:7" x14ac:dyDescent="0.3">
      <c r="G5966" s="391" t="s">
        <v>9567</v>
      </c>
    </row>
    <row r="5967" spans="7:7" x14ac:dyDescent="0.3">
      <c r="G5967" s="391" t="s">
        <v>9567</v>
      </c>
    </row>
    <row r="5968" spans="7:7" x14ac:dyDescent="0.3">
      <c r="G5968" s="391" t="s">
        <v>9567</v>
      </c>
    </row>
    <row r="5969" spans="7:7" x14ac:dyDescent="0.3">
      <c r="G5969" s="391" t="s">
        <v>9567</v>
      </c>
    </row>
    <row r="5970" spans="7:7" x14ac:dyDescent="0.3">
      <c r="G5970" s="391" t="s">
        <v>9567</v>
      </c>
    </row>
    <row r="5971" spans="7:7" x14ac:dyDescent="0.3">
      <c r="G5971" s="391" t="s">
        <v>9567</v>
      </c>
    </row>
    <row r="5972" spans="7:7" x14ac:dyDescent="0.3">
      <c r="G5972" s="391" t="s">
        <v>9567</v>
      </c>
    </row>
    <row r="5973" spans="7:7" x14ac:dyDescent="0.3">
      <c r="G5973" s="391" t="s">
        <v>9567</v>
      </c>
    </row>
    <row r="5974" spans="7:7" x14ac:dyDescent="0.3">
      <c r="G5974" s="391" t="s">
        <v>9567</v>
      </c>
    </row>
    <row r="5975" spans="7:7" x14ac:dyDescent="0.3">
      <c r="G5975" s="391" t="s">
        <v>9567</v>
      </c>
    </row>
    <row r="5976" spans="7:7" x14ac:dyDescent="0.3">
      <c r="G5976" s="391" t="s">
        <v>9567</v>
      </c>
    </row>
    <row r="5977" spans="7:7" x14ac:dyDescent="0.3">
      <c r="G5977" s="391" t="s">
        <v>9567</v>
      </c>
    </row>
    <row r="5978" spans="7:7" x14ac:dyDescent="0.3">
      <c r="G5978" s="391" t="s">
        <v>9567</v>
      </c>
    </row>
    <row r="5979" spans="7:7" x14ac:dyDescent="0.3">
      <c r="G5979" s="391" t="s">
        <v>9567</v>
      </c>
    </row>
    <row r="5980" spans="7:7" x14ac:dyDescent="0.3">
      <c r="G5980" s="391" t="s">
        <v>9567</v>
      </c>
    </row>
    <row r="5981" spans="7:7" x14ac:dyDescent="0.3">
      <c r="G5981" s="391" t="s">
        <v>9567</v>
      </c>
    </row>
    <row r="5982" spans="7:7" x14ac:dyDescent="0.3">
      <c r="G5982" s="391" t="s">
        <v>9567</v>
      </c>
    </row>
    <row r="5983" spans="7:7" x14ac:dyDescent="0.3">
      <c r="G5983" s="391" t="s">
        <v>9567</v>
      </c>
    </row>
    <row r="5984" spans="7:7" x14ac:dyDescent="0.3">
      <c r="G5984" s="391" t="s">
        <v>9567</v>
      </c>
    </row>
    <row r="5985" spans="7:7" x14ac:dyDescent="0.3">
      <c r="G5985" s="391" t="s">
        <v>9567</v>
      </c>
    </row>
    <row r="5986" spans="7:7" x14ac:dyDescent="0.3">
      <c r="G5986" s="391" t="s">
        <v>9567</v>
      </c>
    </row>
    <row r="5987" spans="7:7" x14ac:dyDescent="0.3">
      <c r="G5987" s="391" t="s">
        <v>9567</v>
      </c>
    </row>
    <row r="5988" spans="7:7" x14ac:dyDescent="0.3">
      <c r="G5988" s="391" t="s">
        <v>9567</v>
      </c>
    </row>
    <row r="5989" spans="7:7" x14ac:dyDescent="0.3">
      <c r="G5989" s="391" t="s">
        <v>9567</v>
      </c>
    </row>
    <row r="5990" spans="7:7" x14ac:dyDescent="0.3">
      <c r="G5990" s="391" t="s">
        <v>9567</v>
      </c>
    </row>
    <row r="5991" spans="7:7" x14ac:dyDescent="0.3">
      <c r="G5991" s="391" t="s">
        <v>9567</v>
      </c>
    </row>
    <row r="5992" spans="7:7" x14ac:dyDescent="0.3">
      <c r="G5992" s="391" t="s">
        <v>9567</v>
      </c>
    </row>
    <row r="5993" spans="7:7" x14ac:dyDescent="0.3">
      <c r="G5993" s="391" t="s">
        <v>9567</v>
      </c>
    </row>
    <row r="5994" spans="7:7" x14ac:dyDescent="0.3">
      <c r="G5994" s="391" t="s">
        <v>9567</v>
      </c>
    </row>
    <row r="5995" spans="7:7" x14ac:dyDescent="0.3">
      <c r="G5995" s="391" t="s">
        <v>9567</v>
      </c>
    </row>
    <row r="5996" spans="7:7" x14ac:dyDescent="0.3">
      <c r="G5996" s="391" t="s">
        <v>9567</v>
      </c>
    </row>
    <row r="5997" spans="7:7" x14ac:dyDescent="0.3">
      <c r="G5997" s="391" t="s">
        <v>9567</v>
      </c>
    </row>
    <row r="5998" spans="7:7" x14ac:dyDescent="0.3">
      <c r="G5998" s="391" t="s">
        <v>9567</v>
      </c>
    </row>
    <row r="5999" spans="7:7" x14ac:dyDescent="0.3">
      <c r="G5999" s="391" t="s">
        <v>9567</v>
      </c>
    </row>
    <row r="6000" spans="7:7" x14ac:dyDescent="0.3">
      <c r="G6000" s="391" t="s">
        <v>9567</v>
      </c>
    </row>
    <row r="6001" spans="7:7" x14ac:dyDescent="0.3">
      <c r="G6001" s="391" t="s">
        <v>9567</v>
      </c>
    </row>
    <row r="6002" spans="7:7" x14ac:dyDescent="0.3">
      <c r="G6002" s="391" t="s">
        <v>9567</v>
      </c>
    </row>
    <row r="6003" spans="7:7" x14ac:dyDescent="0.3">
      <c r="G6003" s="391" t="s">
        <v>9567</v>
      </c>
    </row>
    <row r="6004" spans="7:7" x14ac:dyDescent="0.3">
      <c r="G6004" s="391" t="s">
        <v>9567</v>
      </c>
    </row>
    <row r="6005" spans="7:7" x14ac:dyDescent="0.3">
      <c r="G6005" s="391" t="s">
        <v>9567</v>
      </c>
    </row>
    <row r="6006" spans="7:7" x14ac:dyDescent="0.3">
      <c r="G6006" s="391" t="s">
        <v>9567</v>
      </c>
    </row>
    <row r="6007" spans="7:7" x14ac:dyDescent="0.3">
      <c r="G6007" s="391" t="s">
        <v>9567</v>
      </c>
    </row>
    <row r="6008" spans="7:7" x14ac:dyDescent="0.3">
      <c r="G6008" s="391" t="s">
        <v>9567</v>
      </c>
    </row>
    <row r="6009" spans="7:7" x14ac:dyDescent="0.3">
      <c r="G6009" s="391" t="s">
        <v>9567</v>
      </c>
    </row>
    <row r="6010" spans="7:7" x14ac:dyDescent="0.3">
      <c r="G6010" s="391" t="s">
        <v>9567</v>
      </c>
    </row>
    <row r="6011" spans="7:7" x14ac:dyDescent="0.3">
      <c r="G6011" s="391" t="s">
        <v>9567</v>
      </c>
    </row>
    <row r="6012" spans="7:7" x14ac:dyDescent="0.3">
      <c r="G6012" s="391" t="s">
        <v>9567</v>
      </c>
    </row>
    <row r="6013" spans="7:7" x14ac:dyDescent="0.3">
      <c r="G6013" s="391" t="s">
        <v>9567</v>
      </c>
    </row>
    <row r="6014" spans="7:7" x14ac:dyDescent="0.3">
      <c r="G6014" s="391" t="s">
        <v>9567</v>
      </c>
    </row>
    <row r="6015" spans="7:7" x14ac:dyDescent="0.3">
      <c r="G6015" s="391" t="s">
        <v>9567</v>
      </c>
    </row>
    <row r="6016" spans="7:7" x14ac:dyDescent="0.3">
      <c r="G6016" s="391" t="s">
        <v>9567</v>
      </c>
    </row>
    <row r="6017" spans="7:7" x14ac:dyDescent="0.3">
      <c r="G6017" s="391" t="s">
        <v>9567</v>
      </c>
    </row>
    <row r="6018" spans="7:7" x14ac:dyDescent="0.3">
      <c r="G6018" s="391" t="s">
        <v>9567</v>
      </c>
    </row>
    <row r="6019" spans="7:7" x14ac:dyDescent="0.3">
      <c r="G6019" s="391" t="s">
        <v>9567</v>
      </c>
    </row>
    <row r="6020" spans="7:7" x14ac:dyDescent="0.3">
      <c r="G6020" s="391" t="s">
        <v>9567</v>
      </c>
    </row>
    <row r="6021" spans="7:7" x14ac:dyDescent="0.3">
      <c r="G6021" s="391" t="s">
        <v>9567</v>
      </c>
    </row>
    <row r="6022" spans="7:7" x14ac:dyDescent="0.3">
      <c r="G6022" s="391" t="s">
        <v>9567</v>
      </c>
    </row>
    <row r="6023" spans="7:7" x14ac:dyDescent="0.3">
      <c r="G6023" s="391" t="s">
        <v>9567</v>
      </c>
    </row>
    <row r="6024" spans="7:7" x14ac:dyDescent="0.3">
      <c r="G6024" s="391" t="s">
        <v>9567</v>
      </c>
    </row>
    <row r="6025" spans="7:7" x14ac:dyDescent="0.3">
      <c r="G6025" s="391" t="s">
        <v>9567</v>
      </c>
    </row>
    <row r="6026" spans="7:7" x14ac:dyDescent="0.3">
      <c r="G6026" s="391" t="s">
        <v>9567</v>
      </c>
    </row>
    <row r="6027" spans="7:7" x14ac:dyDescent="0.3">
      <c r="G6027" s="391" t="s">
        <v>9567</v>
      </c>
    </row>
    <row r="6028" spans="7:7" x14ac:dyDescent="0.3">
      <c r="G6028" s="391" t="s">
        <v>9567</v>
      </c>
    </row>
    <row r="6029" spans="7:7" x14ac:dyDescent="0.3">
      <c r="G6029" s="391" t="s">
        <v>9567</v>
      </c>
    </row>
    <row r="6030" spans="7:7" x14ac:dyDescent="0.3">
      <c r="G6030" s="391" t="s">
        <v>9567</v>
      </c>
    </row>
    <row r="6031" spans="7:7" x14ac:dyDescent="0.3">
      <c r="G6031" s="391" t="s">
        <v>9567</v>
      </c>
    </row>
    <row r="6032" spans="7:7" x14ac:dyDescent="0.3">
      <c r="G6032" s="391" t="s">
        <v>9567</v>
      </c>
    </row>
    <row r="6033" spans="7:7" x14ac:dyDescent="0.3">
      <c r="G6033" s="391" t="s">
        <v>9567</v>
      </c>
    </row>
    <row r="6034" spans="7:7" x14ac:dyDescent="0.3">
      <c r="G6034" s="391" t="s">
        <v>9567</v>
      </c>
    </row>
    <row r="6035" spans="7:7" x14ac:dyDescent="0.3">
      <c r="G6035" s="391" t="s">
        <v>9567</v>
      </c>
    </row>
    <row r="6036" spans="7:7" x14ac:dyDescent="0.3">
      <c r="G6036" s="391" t="s">
        <v>9567</v>
      </c>
    </row>
    <row r="6037" spans="7:7" x14ac:dyDescent="0.3">
      <c r="G6037" s="391" t="s">
        <v>9567</v>
      </c>
    </row>
    <row r="6038" spans="7:7" x14ac:dyDescent="0.3">
      <c r="G6038" s="391" t="s">
        <v>9567</v>
      </c>
    </row>
    <row r="6039" spans="7:7" x14ac:dyDescent="0.3">
      <c r="G6039" s="391" t="s">
        <v>9567</v>
      </c>
    </row>
    <row r="6040" spans="7:7" x14ac:dyDescent="0.3">
      <c r="G6040" s="391" t="s">
        <v>9567</v>
      </c>
    </row>
    <row r="6041" spans="7:7" x14ac:dyDescent="0.3">
      <c r="G6041" s="391" t="s">
        <v>9567</v>
      </c>
    </row>
    <row r="6042" spans="7:7" x14ac:dyDescent="0.3">
      <c r="G6042" s="391" t="s">
        <v>9567</v>
      </c>
    </row>
    <row r="6043" spans="7:7" x14ac:dyDescent="0.3">
      <c r="G6043" s="391" t="s">
        <v>9567</v>
      </c>
    </row>
    <row r="6044" spans="7:7" x14ac:dyDescent="0.3">
      <c r="G6044" s="391" t="s">
        <v>9567</v>
      </c>
    </row>
    <row r="6045" spans="7:7" x14ac:dyDescent="0.3">
      <c r="G6045" s="391" t="s">
        <v>9567</v>
      </c>
    </row>
    <row r="6046" spans="7:7" x14ac:dyDescent="0.3">
      <c r="G6046" s="391" t="s">
        <v>9567</v>
      </c>
    </row>
    <row r="6047" spans="7:7" x14ac:dyDescent="0.3">
      <c r="G6047" s="391" t="s">
        <v>9567</v>
      </c>
    </row>
    <row r="6048" spans="7:7" x14ac:dyDescent="0.3">
      <c r="G6048" s="391" t="s">
        <v>9567</v>
      </c>
    </row>
    <row r="6049" spans="7:7" x14ac:dyDescent="0.3">
      <c r="G6049" s="391" t="s">
        <v>9567</v>
      </c>
    </row>
    <row r="6050" spans="7:7" x14ac:dyDescent="0.3">
      <c r="G6050" s="391" t="s">
        <v>9567</v>
      </c>
    </row>
    <row r="6051" spans="7:7" x14ac:dyDescent="0.3">
      <c r="G6051" s="391" t="s">
        <v>9567</v>
      </c>
    </row>
    <row r="6052" spans="7:7" x14ac:dyDescent="0.3">
      <c r="G6052" s="391" t="s">
        <v>9567</v>
      </c>
    </row>
    <row r="6053" spans="7:7" x14ac:dyDescent="0.3">
      <c r="G6053" s="391" t="s">
        <v>9567</v>
      </c>
    </row>
    <row r="6054" spans="7:7" x14ac:dyDescent="0.3">
      <c r="G6054" s="391" t="s">
        <v>9567</v>
      </c>
    </row>
    <row r="6055" spans="7:7" x14ac:dyDescent="0.3">
      <c r="G6055" s="391" t="s">
        <v>9567</v>
      </c>
    </row>
    <row r="6056" spans="7:7" x14ac:dyDescent="0.3">
      <c r="G6056" s="391" t="s">
        <v>9567</v>
      </c>
    </row>
    <row r="6057" spans="7:7" x14ac:dyDescent="0.3">
      <c r="G6057" s="391" t="s">
        <v>9567</v>
      </c>
    </row>
    <row r="6058" spans="7:7" x14ac:dyDescent="0.3">
      <c r="G6058" s="391" t="s">
        <v>9567</v>
      </c>
    </row>
    <row r="6059" spans="7:7" x14ac:dyDescent="0.3">
      <c r="G6059" s="391" t="s">
        <v>9567</v>
      </c>
    </row>
    <row r="6060" spans="7:7" x14ac:dyDescent="0.3">
      <c r="G6060" s="391" t="s">
        <v>9567</v>
      </c>
    </row>
    <row r="6061" spans="7:7" x14ac:dyDescent="0.3">
      <c r="G6061" s="391" t="s">
        <v>9567</v>
      </c>
    </row>
    <row r="6062" spans="7:7" x14ac:dyDescent="0.3">
      <c r="G6062" s="391" t="s">
        <v>9567</v>
      </c>
    </row>
    <row r="6063" spans="7:7" x14ac:dyDescent="0.3">
      <c r="G6063" s="391" t="s">
        <v>9567</v>
      </c>
    </row>
    <row r="6064" spans="7:7" x14ac:dyDescent="0.3">
      <c r="G6064" s="391" t="s">
        <v>9567</v>
      </c>
    </row>
    <row r="6065" spans="7:7" x14ac:dyDescent="0.3">
      <c r="G6065" s="391" t="s">
        <v>9567</v>
      </c>
    </row>
    <row r="6066" spans="7:7" x14ac:dyDescent="0.3">
      <c r="G6066" s="391" t="s">
        <v>9567</v>
      </c>
    </row>
    <row r="6067" spans="7:7" x14ac:dyDescent="0.3">
      <c r="G6067" s="391" t="s">
        <v>9567</v>
      </c>
    </row>
    <row r="6068" spans="7:7" x14ac:dyDescent="0.3">
      <c r="G6068" s="391" t="s">
        <v>9567</v>
      </c>
    </row>
    <row r="6069" spans="7:7" x14ac:dyDescent="0.3">
      <c r="G6069" s="391" t="s">
        <v>9567</v>
      </c>
    </row>
    <row r="6070" spans="7:7" x14ac:dyDescent="0.3">
      <c r="G6070" s="391" t="s">
        <v>9567</v>
      </c>
    </row>
    <row r="6071" spans="7:7" x14ac:dyDescent="0.3">
      <c r="G6071" s="391" t="s">
        <v>9567</v>
      </c>
    </row>
    <row r="6072" spans="7:7" x14ac:dyDescent="0.3">
      <c r="G6072" s="391" t="s">
        <v>9567</v>
      </c>
    </row>
    <row r="6073" spans="7:7" x14ac:dyDescent="0.3">
      <c r="G6073" s="391" t="s">
        <v>9567</v>
      </c>
    </row>
    <row r="6074" spans="7:7" x14ac:dyDescent="0.3">
      <c r="G6074" s="391" t="s">
        <v>9567</v>
      </c>
    </row>
    <row r="6075" spans="7:7" x14ac:dyDescent="0.3">
      <c r="G6075" s="391" t="s">
        <v>9567</v>
      </c>
    </row>
    <row r="6076" spans="7:7" x14ac:dyDescent="0.3">
      <c r="G6076" s="391" t="s">
        <v>9567</v>
      </c>
    </row>
    <row r="6077" spans="7:7" x14ac:dyDescent="0.3">
      <c r="G6077" s="391" t="s">
        <v>9567</v>
      </c>
    </row>
    <row r="6078" spans="7:7" x14ac:dyDescent="0.3">
      <c r="G6078" s="391" t="s">
        <v>9567</v>
      </c>
    </row>
    <row r="6079" spans="7:7" x14ac:dyDescent="0.3">
      <c r="G6079" s="391" t="s">
        <v>9567</v>
      </c>
    </row>
    <row r="6080" spans="7:7" x14ac:dyDescent="0.3">
      <c r="G6080" s="391" t="s">
        <v>9567</v>
      </c>
    </row>
    <row r="6081" spans="7:7" x14ac:dyDescent="0.3">
      <c r="G6081" s="391" t="s">
        <v>9567</v>
      </c>
    </row>
    <row r="6082" spans="7:7" x14ac:dyDescent="0.3">
      <c r="G6082" s="391" t="s">
        <v>9567</v>
      </c>
    </row>
    <row r="6083" spans="7:7" x14ac:dyDescent="0.3">
      <c r="G6083" s="391" t="s">
        <v>9567</v>
      </c>
    </row>
    <row r="6084" spans="7:7" x14ac:dyDescent="0.3">
      <c r="G6084" s="391" t="s">
        <v>9567</v>
      </c>
    </row>
    <row r="6085" spans="7:7" x14ac:dyDescent="0.3">
      <c r="G6085" s="391" t="s">
        <v>9567</v>
      </c>
    </row>
    <row r="6086" spans="7:7" x14ac:dyDescent="0.3">
      <c r="G6086" s="391" t="s">
        <v>9567</v>
      </c>
    </row>
    <row r="6087" spans="7:7" x14ac:dyDescent="0.3">
      <c r="G6087" s="391" t="s">
        <v>9567</v>
      </c>
    </row>
    <row r="6088" spans="7:7" x14ac:dyDescent="0.3">
      <c r="G6088" s="391" t="s">
        <v>9567</v>
      </c>
    </row>
    <row r="6089" spans="7:7" x14ac:dyDescent="0.3">
      <c r="G6089" s="391" t="s">
        <v>9567</v>
      </c>
    </row>
    <row r="6090" spans="7:7" x14ac:dyDescent="0.3">
      <c r="G6090" s="391" t="s">
        <v>9567</v>
      </c>
    </row>
    <row r="6091" spans="7:7" x14ac:dyDescent="0.3">
      <c r="G6091" s="391" t="s">
        <v>9567</v>
      </c>
    </row>
    <row r="6092" spans="7:7" x14ac:dyDescent="0.3">
      <c r="G6092" s="391" t="s">
        <v>9567</v>
      </c>
    </row>
    <row r="6093" spans="7:7" x14ac:dyDescent="0.3">
      <c r="G6093" s="391" t="s">
        <v>9567</v>
      </c>
    </row>
    <row r="6094" spans="7:7" x14ac:dyDescent="0.3">
      <c r="G6094" s="391" t="s">
        <v>9567</v>
      </c>
    </row>
    <row r="6095" spans="7:7" x14ac:dyDescent="0.3">
      <c r="G6095" s="391" t="s">
        <v>9567</v>
      </c>
    </row>
    <row r="6096" spans="7:7" x14ac:dyDescent="0.3">
      <c r="G6096" s="391" t="s">
        <v>9567</v>
      </c>
    </row>
    <row r="6097" spans="7:7" x14ac:dyDescent="0.3">
      <c r="G6097" s="391" t="s">
        <v>9567</v>
      </c>
    </row>
    <row r="6098" spans="7:7" x14ac:dyDescent="0.3">
      <c r="G6098" s="391" t="s">
        <v>9567</v>
      </c>
    </row>
    <row r="6099" spans="7:7" x14ac:dyDescent="0.3">
      <c r="G6099" s="391" t="s">
        <v>9567</v>
      </c>
    </row>
    <row r="6100" spans="7:7" x14ac:dyDescent="0.3">
      <c r="G6100" s="391" t="s">
        <v>9567</v>
      </c>
    </row>
    <row r="6101" spans="7:7" x14ac:dyDescent="0.3">
      <c r="G6101" s="391" t="s">
        <v>9567</v>
      </c>
    </row>
    <row r="6102" spans="7:7" x14ac:dyDescent="0.3">
      <c r="G6102" s="391" t="s">
        <v>9567</v>
      </c>
    </row>
    <row r="6103" spans="7:7" x14ac:dyDescent="0.3">
      <c r="G6103" s="391" t="s">
        <v>9567</v>
      </c>
    </row>
    <row r="6104" spans="7:7" x14ac:dyDescent="0.3">
      <c r="G6104" s="391" t="s">
        <v>9567</v>
      </c>
    </row>
    <row r="6105" spans="7:7" x14ac:dyDescent="0.3">
      <c r="G6105" s="391" t="s">
        <v>9567</v>
      </c>
    </row>
    <row r="6106" spans="7:7" x14ac:dyDescent="0.3">
      <c r="G6106" s="391" t="s">
        <v>9567</v>
      </c>
    </row>
    <row r="6107" spans="7:7" x14ac:dyDescent="0.3">
      <c r="G6107" s="391" t="s">
        <v>9567</v>
      </c>
    </row>
    <row r="6108" spans="7:7" x14ac:dyDescent="0.3">
      <c r="G6108" s="391" t="s">
        <v>9567</v>
      </c>
    </row>
    <row r="6109" spans="7:7" x14ac:dyDescent="0.3">
      <c r="G6109" s="391" t="s">
        <v>9567</v>
      </c>
    </row>
    <row r="6110" spans="7:7" x14ac:dyDescent="0.3">
      <c r="G6110" s="391" t="s">
        <v>9567</v>
      </c>
    </row>
    <row r="6111" spans="7:7" x14ac:dyDescent="0.3">
      <c r="G6111" s="391" t="s">
        <v>9567</v>
      </c>
    </row>
    <row r="6112" spans="7:7" x14ac:dyDescent="0.3">
      <c r="G6112" s="391" t="s">
        <v>9567</v>
      </c>
    </row>
    <row r="6113" spans="7:7" x14ac:dyDescent="0.3">
      <c r="G6113" s="391" t="s">
        <v>9567</v>
      </c>
    </row>
    <row r="6114" spans="7:7" x14ac:dyDescent="0.3">
      <c r="G6114" s="391" t="s">
        <v>9567</v>
      </c>
    </row>
    <row r="6115" spans="7:7" x14ac:dyDescent="0.3">
      <c r="G6115" s="391" t="s">
        <v>9567</v>
      </c>
    </row>
    <row r="6116" spans="7:7" x14ac:dyDescent="0.3">
      <c r="G6116" s="391" t="s">
        <v>9567</v>
      </c>
    </row>
    <row r="6117" spans="7:7" x14ac:dyDescent="0.3">
      <c r="G6117" s="391" t="s">
        <v>9567</v>
      </c>
    </row>
    <row r="6118" spans="7:7" x14ac:dyDescent="0.3">
      <c r="G6118" s="391" t="s">
        <v>9567</v>
      </c>
    </row>
    <row r="6119" spans="7:7" x14ac:dyDescent="0.3">
      <c r="G6119" s="391" t="s">
        <v>9567</v>
      </c>
    </row>
    <row r="6120" spans="7:7" x14ac:dyDescent="0.3">
      <c r="G6120" s="391" t="s">
        <v>9567</v>
      </c>
    </row>
    <row r="6121" spans="7:7" x14ac:dyDescent="0.3">
      <c r="G6121" s="391" t="s">
        <v>9567</v>
      </c>
    </row>
    <row r="6122" spans="7:7" x14ac:dyDescent="0.3">
      <c r="G6122" s="391" t="s">
        <v>9567</v>
      </c>
    </row>
    <row r="6123" spans="7:7" x14ac:dyDescent="0.3">
      <c r="G6123" s="391" t="s">
        <v>9567</v>
      </c>
    </row>
    <row r="6124" spans="7:7" x14ac:dyDescent="0.3">
      <c r="G6124" s="391" t="s">
        <v>9567</v>
      </c>
    </row>
    <row r="6125" spans="7:7" x14ac:dyDescent="0.3">
      <c r="G6125" s="391" t="s">
        <v>9567</v>
      </c>
    </row>
    <row r="6126" spans="7:7" x14ac:dyDescent="0.3">
      <c r="G6126" s="391" t="s">
        <v>9567</v>
      </c>
    </row>
    <row r="6127" spans="7:7" x14ac:dyDescent="0.3">
      <c r="G6127" s="391" t="s">
        <v>9567</v>
      </c>
    </row>
    <row r="6128" spans="7:7" x14ac:dyDescent="0.3">
      <c r="G6128" s="391" t="s">
        <v>9567</v>
      </c>
    </row>
    <row r="6129" spans="7:7" x14ac:dyDescent="0.3">
      <c r="G6129" s="391" t="s">
        <v>9567</v>
      </c>
    </row>
    <row r="6130" spans="7:7" x14ac:dyDescent="0.3">
      <c r="G6130" s="391" t="s">
        <v>9567</v>
      </c>
    </row>
    <row r="6131" spans="7:7" x14ac:dyDescent="0.3">
      <c r="G6131" s="391" t="s">
        <v>9567</v>
      </c>
    </row>
    <row r="6132" spans="7:7" x14ac:dyDescent="0.3">
      <c r="G6132" s="391" t="s">
        <v>9567</v>
      </c>
    </row>
    <row r="6133" spans="7:7" x14ac:dyDescent="0.3">
      <c r="G6133" s="391" t="s">
        <v>9567</v>
      </c>
    </row>
    <row r="6134" spans="7:7" x14ac:dyDescent="0.3">
      <c r="G6134" s="391" t="s">
        <v>9567</v>
      </c>
    </row>
    <row r="6135" spans="7:7" x14ac:dyDescent="0.3">
      <c r="G6135" s="391" t="s">
        <v>9567</v>
      </c>
    </row>
    <row r="6136" spans="7:7" x14ac:dyDescent="0.3">
      <c r="G6136" s="391" t="s">
        <v>9567</v>
      </c>
    </row>
    <row r="6137" spans="7:7" x14ac:dyDescent="0.3">
      <c r="G6137" s="391" t="s">
        <v>9567</v>
      </c>
    </row>
    <row r="6138" spans="7:7" x14ac:dyDescent="0.3">
      <c r="G6138" s="391" t="s">
        <v>9567</v>
      </c>
    </row>
    <row r="6139" spans="7:7" x14ac:dyDescent="0.3">
      <c r="G6139" s="391" t="s">
        <v>9567</v>
      </c>
    </row>
    <row r="6140" spans="7:7" x14ac:dyDescent="0.3">
      <c r="G6140" s="391" t="s">
        <v>9567</v>
      </c>
    </row>
    <row r="6141" spans="7:7" x14ac:dyDescent="0.3">
      <c r="G6141" s="391" t="s">
        <v>9567</v>
      </c>
    </row>
    <row r="6142" spans="7:7" x14ac:dyDescent="0.3">
      <c r="G6142" s="391" t="s">
        <v>9567</v>
      </c>
    </row>
    <row r="6143" spans="7:7" x14ac:dyDescent="0.3">
      <c r="G6143" s="391" t="s">
        <v>9567</v>
      </c>
    </row>
    <row r="6144" spans="7:7" x14ac:dyDescent="0.3">
      <c r="G6144" s="391" t="s">
        <v>9567</v>
      </c>
    </row>
    <row r="6145" spans="7:7" x14ac:dyDescent="0.3">
      <c r="G6145" s="391" t="s">
        <v>9567</v>
      </c>
    </row>
    <row r="6146" spans="7:7" x14ac:dyDescent="0.3">
      <c r="G6146" s="391" t="s">
        <v>9567</v>
      </c>
    </row>
    <row r="6147" spans="7:7" x14ac:dyDescent="0.3">
      <c r="G6147" s="391" t="s">
        <v>9567</v>
      </c>
    </row>
    <row r="6148" spans="7:7" x14ac:dyDescent="0.3">
      <c r="G6148" s="391" t="s">
        <v>9567</v>
      </c>
    </row>
    <row r="6149" spans="7:7" x14ac:dyDescent="0.3">
      <c r="G6149" s="391" t="s">
        <v>9567</v>
      </c>
    </row>
    <row r="6150" spans="7:7" x14ac:dyDescent="0.3">
      <c r="G6150" s="391" t="s">
        <v>9567</v>
      </c>
    </row>
    <row r="6151" spans="7:7" x14ac:dyDescent="0.3">
      <c r="G6151" s="391" t="s">
        <v>9567</v>
      </c>
    </row>
    <row r="6152" spans="7:7" x14ac:dyDescent="0.3">
      <c r="G6152" s="391" t="s">
        <v>9567</v>
      </c>
    </row>
    <row r="6153" spans="7:7" x14ac:dyDescent="0.3">
      <c r="G6153" s="391" t="s">
        <v>9567</v>
      </c>
    </row>
    <row r="6154" spans="7:7" x14ac:dyDescent="0.3">
      <c r="G6154" s="391" t="s">
        <v>9567</v>
      </c>
    </row>
    <row r="6155" spans="7:7" x14ac:dyDescent="0.3">
      <c r="G6155" s="391" t="s">
        <v>9567</v>
      </c>
    </row>
    <row r="6156" spans="7:7" x14ac:dyDescent="0.3">
      <c r="G6156" s="391" t="s">
        <v>9567</v>
      </c>
    </row>
    <row r="6157" spans="7:7" x14ac:dyDescent="0.3">
      <c r="G6157" s="391" t="s">
        <v>9567</v>
      </c>
    </row>
    <row r="6158" spans="7:7" x14ac:dyDescent="0.3">
      <c r="G6158" s="391" t="s">
        <v>9567</v>
      </c>
    </row>
    <row r="6159" spans="7:7" x14ac:dyDescent="0.3">
      <c r="G6159" s="391" t="s">
        <v>9567</v>
      </c>
    </row>
    <row r="6160" spans="7:7" x14ac:dyDescent="0.3">
      <c r="G6160" s="391" t="s">
        <v>9567</v>
      </c>
    </row>
    <row r="6161" spans="7:7" x14ac:dyDescent="0.3">
      <c r="G6161" s="391" t="s">
        <v>9567</v>
      </c>
    </row>
    <row r="6162" spans="7:7" x14ac:dyDescent="0.3">
      <c r="G6162" s="391" t="s">
        <v>9567</v>
      </c>
    </row>
    <row r="6163" spans="7:7" x14ac:dyDescent="0.3">
      <c r="G6163" s="391" t="s">
        <v>9567</v>
      </c>
    </row>
    <row r="6164" spans="7:7" x14ac:dyDescent="0.3">
      <c r="G6164" s="391" t="s">
        <v>9567</v>
      </c>
    </row>
    <row r="6165" spans="7:7" x14ac:dyDescent="0.3">
      <c r="G6165" s="391" t="s">
        <v>9567</v>
      </c>
    </row>
    <row r="6166" spans="7:7" x14ac:dyDescent="0.3">
      <c r="G6166" s="391" t="s">
        <v>9567</v>
      </c>
    </row>
    <row r="6167" spans="7:7" x14ac:dyDescent="0.3">
      <c r="G6167" s="391" t="s">
        <v>9567</v>
      </c>
    </row>
    <row r="6168" spans="7:7" x14ac:dyDescent="0.3">
      <c r="G6168" s="391" t="s">
        <v>9567</v>
      </c>
    </row>
    <row r="6169" spans="7:7" x14ac:dyDescent="0.3">
      <c r="G6169" s="391" t="s">
        <v>9567</v>
      </c>
    </row>
    <row r="6170" spans="7:7" x14ac:dyDescent="0.3">
      <c r="G6170" s="391" t="s">
        <v>9567</v>
      </c>
    </row>
    <row r="6171" spans="7:7" x14ac:dyDescent="0.3">
      <c r="G6171" s="391" t="s">
        <v>9567</v>
      </c>
    </row>
    <row r="6172" spans="7:7" x14ac:dyDescent="0.3">
      <c r="G6172" s="391" t="s">
        <v>9567</v>
      </c>
    </row>
    <row r="6173" spans="7:7" x14ac:dyDescent="0.3">
      <c r="G6173" s="391" t="s">
        <v>9567</v>
      </c>
    </row>
    <row r="6174" spans="7:7" x14ac:dyDescent="0.3">
      <c r="G6174" s="391" t="s">
        <v>9567</v>
      </c>
    </row>
    <row r="6175" spans="7:7" x14ac:dyDescent="0.3">
      <c r="G6175" s="391" t="s">
        <v>9567</v>
      </c>
    </row>
    <row r="6176" spans="7:7" x14ac:dyDescent="0.3">
      <c r="G6176" s="391" t="s">
        <v>9567</v>
      </c>
    </row>
    <row r="6177" spans="7:7" x14ac:dyDescent="0.3">
      <c r="G6177" s="391" t="s">
        <v>9567</v>
      </c>
    </row>
    <row r="6178" spans="7:7" x14ac:dyDescent="0.3">
      <c r="G6178" s="391" t="s">
        <v>9567</v>
      </c>
    </row>
    <row r="6179" spans="7:7" x14ac:dyDescent="0.3">
      <c r="G6179" s="391" t="s">
        <v>9567</v>
      </c>
    </row>
    <row r="6180" spans="7:7" x14ac:dyDescent="0.3">
      <c r="G6180" s="391" t="s">
        <v>9567</v>
      </c>
    </row>
    <row r="6181" spans="7:7" x14ac:dyDescent="0.3">
      <c r="G6181" s="391" t="s">
        <v>9567</v>
      </c>
    </row>
    <row r="6182" spans="7:7" x14ac:dyDescent="0.3">
      <c r="G6182" s="391" t="s">
        <v>9567</v>
      </c>
    </row>
    <row r="6183" spans="7:7" x14ac:dyDescent="0.3">
      <c r="G6183" s="391" t="s">
        <v>9567</v>
      </c>
    </row>
    <row r="6184" spans="7:7" x14ac:dyDescent="0.3">
      <c r="G6184" s="391" t="s">
        <v>9567</v>
      </c>
    </row>
    <row r="6185" spans="7:7" x14ac:dyDescent="0.3">
      <c r="G6185" s="391" t="s">
        <v>9567</v>
      </c>
    </row>
    <row r="6186" spans="7:7" x14ac:dyDescent="0.3">
      <c r="G6186" s="391" t="s">
        <v>9567</v>
      </c>
    </row>
    <row r="6187" spans="7:7" x14ac:dyDescent="0.3">
      <c r="G6187" s="391" t="s">
        <v>9567</v>
      </c>
    </row>
    <row r="6188" spans="7:7" x14ac:dyDescent="0.3">
      <c r="G6188" s="391" t="s">
        <v>9567</v>
      </c>
    </row>
    <row r="6189" spans="7:7" x14ac:dyDescent="0.3">
      <c r="G6189" s="391" t="s">
        <v>9567</v>
      </c>
    </row>
    <row r="6190" spans="7:7" x14ac:dyDescent="0.3">
      <c r="G6190" s="391" t="s">
        <v>9567</v>
      </c>
    </row>
    <row r="6191" spans="7:7" x14ac:dyDescent="0.3">
      <c r="G6191" s="391" t="s">
        <v>9567</v>
      </c>
    </row>
    <row r="6192" spans="7:7" x14ac:dyDescent="0.3">
      <c r="G6192" s="391" t="s">
        <v>9567</v>
      </c>
    </row>
    <row r="6193" spans="7:7" x14ac:dyDescent="0.3">
      <c r="G6193" s="391" t="s">
        <v>9567</v>
      </c>
    </row>
    <row r="6194" spans="7:7" x14ac:dyDescent="0.3">
      <c r="G6194" s="391" t="s">
        <v>9567</v>
      </c>
    </row>
    <row r="6195" spans="7:7" x14ac:dyDescent="0.3">
      <c r="G6195" s="391" t="s">
        <v>9567</v>
      </c>
    </row>
    <row r="6196" spans="7:7" x14ac:dyDescent="0.3">
      <c r="G6196" s="391" t="s">
        <v>9567</v>
      </c>
    </row>
    <row r="6197" spans="7:7" x14ac:dyDescent="0.3">
      <c r="G6197" s="391" t="s">
        <v>9567</v>
      </c>
    </row>
    <row r="6198" spans="7:7" x14ac:dyDescent="0.3">
      <c r="G6198" s="391" t="s">
        <v>9567</v>
      </c>
    </row>
    <row r="6199" spans="7:7" x14ac:dyDescent="0.3">
      <c r="G6199" s="391" t="s">
        <v>9567</v>
      </c>
    </row>
    <row r="6200" spans="7:7" x14ac:dyDescent="0.3">
      <c r="G6200" s="391" t="s">
        <v>9567</v>
      </c>
    </row>
    <row r="6201" spans="7:7" x14ac:dyDescent="0.3">
      <c r="G6201" s="391" t="s">
        <v>9567</v>
      </c>
    </row>
    <row r="6202" spans="7:7" x14ac:dyDescent="0.3">
      <c r="G6202" s="391" t="s">
        <v>9567</v>
      </c>
    </row>
    <row r="6203" spans="7:7" x14ac:dyDescent="0.3">
      <c r="G6203" s="391" t="s">
        <v>9567</v>
      </c>
    </row>
    <row r="6204" spans="7:7" x14ac:dyDescent="0.3">
      <c r="G6204" s="391" t="s">
        <v>9567</v>
      </c>
    </row>
    <row r="6205" spans="7:7" x14ac:dyDescent="0.3">
      <c r="G6205" s="391" t="s">
        <v>9567</v>
      </c>
    </row>
    <row r="6206" spans="7:7" x14ac:dyDescent="0.3">
      <c r="G6206" s="391" t="s">
        <v>9567</v>
      </c>
    </row>
    <row r="6207" spans="7:7" x14ac:dyDescent="0.3">
      <c r="G6207" s="391" t="s">
        <v>9567</v>
      </c>
    </row>
    <row r="6208" spans="7:7" x14ac:dyDescent="0.3">
      <c r="G6208" s="391" t="s">
        <v>9567</v>
      </c>
    </row>
    <row r="6209" spans="7:7" x14ac:dyDescent="0.3">
      <c r="G6209" s="391" t="s">
        <v>9567</v>
      </c>
    </row>
    <row r="6210" spans="7:7" x14ac:dyDescent="0.3">
      <c r="G6210" s="391" t="s">
        <v>9567</v>
      </c>
    </row>
    <row r="6211" spans="7:7" x14ac:dyDescent="0.3">
      <c r="G6211" s="391" t="s">
        <v>9567</v>
      </c>
    </row>
    <row r="6212" spans="7:7" x14ac:dyDescent="0.3">
      <c r="G6212" s="391" t="s">
        <v>9567</v>
      </c>
    </row>
    <row r="6213" spans="7:7" x14ac:dyDescent="0.3">
      <c r="G6213" s="391" t="s">
        <v>9567</v>
      </c>
    </row>
    <row r="6214" spans="7:7" x14ac:dyDescent="0.3">
      <c r="G6214" s="391" t="s">
        <v>9567</v>
      </c>
    </row>
    <row r="6215" spans="7:7" x14ac:dyDescent="0.3">
      <c r="G6215" s="391" t="s">
        <v>9567</v>
      </c>
    </row>
    <row r="6216" spans="7:7" x14ac:dyDescent="0.3">
      <c r="G6216" s="391" t="s">
        <v>9567</v>
      </c>
    </row>
    <row r="6217" spans="7:7" x14ac:dyDescent="0.3">
      <c r="G6217" s="391" t="s">
        <v>9567</v>
      </c>
    </row>
    <row r="6218" spans="7:7" x14ac:dyDescent="0.3">
      <c r="G6218" s="391" t="s">
        <v>9567</v>
      </c>
    </row>
    <row r="6219" spans="7:7" x14ac:dyDescent="0.3">
      <c r="G6219" s="391" t="s">
        <v>9567</v>
      </c>
    </row>
    <row r="6220" spans="7:7" x14ac:dyDescent="0.3">
      <c r="G6220" s="391" t="s">
        <v>9567</v>
      </c>
    </row>
    <row r="6221" spans="7:7" x14ac:dyDescent="0.3">
      <c r="G6221" s="391" t="s">
        <v>9567</v>
      </c>
    </row>
    <row r="6222" spans="7:7" x14ac:dyDescent="0.3">
      <c r="G6222" s="391" t="s">
        <v>9567</v>
      </c>
    </row>
    <row r="6223" spans="7:7" x14ac:dyDescent="0.3">
      <c r="G6223" s="391" t="s">
        <v>9567</v>
      </c>
    </row>
    <row r="6224" spans="7:7" x14ac:dyDescent="0.3">
      <c r="G6224" s="391" t="s">
        <v>9567</v>
      </c>
    </row>
    <row r="6225" spans="7:7" x14ac:dyDescent="0.3">
      <c r="G6225" s="391" t="s">
        <v>9567</v>
      </c>
    </row>
    <row r="6226" spans="7:7" x14ac:dyDescent="0.3">
      <c r="G6226" s="391" t="s">
        <v>9567</v>
      </c>
    </row>
    <row r="6227" spans="7:7" x14ac:dyDescent="0.3">
      <c r="G6227" s="391" t="s">
        <v>9567</v>
      </c>
    </row>
    <row r="6228" spans="7:7" x14ac:dyDescent="0.3">
      <c r="G6228" s="391" t="s">
        <v>9567</v>
      </c>
    </row>
    <row r="6229" spans="7:7" x14ac:dyDescent="0.3">
      <c r="G6229" s="391" t="s">
        <v>9567</v>
      </c>
    </row>
    <row r="6230" spans="7:7" x14ac:dyDescent="0.3">
      <c r="G6230" s="391" t="s">
        <v>9567</v>
      </c>
    </row>
    <row r="6231" spans="7:7" x14ac:dyDescent="0.3">
      <c r="G6231" s="391" t="s">
        <v>9567</v>
      </c>
    </row>
    <row r="6232" spans="7:7" x14ac:dyDescent="0.3">
      <c r="G6232" s="391" t="s">
        <v>9567</v>
      </c>
    </row>
    <row r="6233" spans="7:7" x14ac:dyDescent="0.3">
      <c r="G6233" s="391" t="s">
        <v>9567</v>
      </c>
    </row>
    <row r="6234" spans="7:7" x14ac:dyDescent="0.3">
      <c r="G6234" s="391" t="s">
        <v>9567</v>
      </c>
    </row>
    <row r="6235" spans="7:7" x14ac:dyDescent="0.3">
      <c r="G6235" s="391" t="s">
        <v>9567</v>
      </c>
    </row>
    <row r="6236" spans="7:7" x14ac:dyDescent="0.3">
      <c r="G6236" s="391" t="s">
        <v>9567</v>
      </c>
    </row>
    <row r="6237" spans="7:7" x14ac:dyDescent="0.3">
      <c r="G6237" s="391" t="s">
        <v>9567</v>
      </c>
    </row>
    <row r="6238" spans="7:7" x14ac:dyDescent="0.3">
      <c r="G6238" s="391" t="s">
        <v>9567</v>
      </c>
    </row>
    <row r="6239" spans="7:7" x14ac:dyDescent="0.3">
      <c r="G6239" s="391" t="s">
        <v>9567</v>
      </c>
    </row>
    <row r="6240" spans="7:7" x14ac:dyDescent="0.3">
      <c r="G6240" s="391" t="s">
        <v>9567</v>
      </c>
    </row>
    <row r="6241" spans="7:7" x14ac:dyDescent="0.3">
      <c r="G6241" s="391" t="s">
        <v>9567</v>
      </c>
    </row>
    <row r="6242" spans="7:7" x14ac:dyDescent="0.3">
      <c r="G6242" s="391" t="s">
        <v>9567</v>
      </c>
    </row>
    <row r="6243" spans="7:7" x14ac:dyDescent="0.3">
      <c r="G6243" s="391" t="s">
        <v>9567</v>
      </c>
    </row>
    <row r="6244" spans="7:7" x14ac:dyDescent="0.3">
      <c r="G6244" s="391" t="s">
        <v>9567</v>
      </c>
    </row>
    <row r="6245" spans="7:7" x14ac:dyDescent="0.3">
      <c r="G6245" s="391" t="s">
        <v>9567</v>
      </c>
    </row>
    <row r="6246" spans="7:7" x14ac:dyDescent="0.3">
      <c r="G6246" s="391" t="s">
        <v>9567</v>
      </c>
    </row>
    <row r="6247" spans="7:7" x14ac:dyDescent="0.3">
      <c r="G6247" s="391" t="s">
        <v>9567</v>
      </c>
    </row>
    <row r="6248" spans="7:7" x14ac:dyDescent="0.3">
      <c r="G6248" s="391" t="s">
        <v>9567</v>
      </c>
    </row>
    <row r="6249" spans="7:7" x14ac:dyDescent="0.3">
      <c r="G6249" s="391" t="s">
        <v>9567</v>
      </c>
    </row>
    <row r="6250" spans="7:7" x14ac:dyDescent="0.3">
      <c r="G6250" s="391" t="s">
        <v>9567</v>
      </c>
    </row>
    <row r="6251" spans="7:7" x14ac:dyDescent="0.3">
      <c r="G6251" s="391" t="s">
        <v>9567</v>
      </c>
    </row>
    <row r="6252" spans="7:7" x14ac:dyDescent="0.3">
      <c r="G6252" s="391" t="s">
        <v>9567</v>
      </c>
    </row>
    <row r="6253" spans="7:7" x14ac:dyDescent="0.3">
      <c r="G6253" s="391" t="s">
        <v>9567</v>
      </c>
    </row>
    <row r="6254" spans="7:7" x14ac:dyDescent="0.3">
      <c r="G6254" s="391" t="s">
        <v>9567</v>
      </c>
    </row>
    <row r="6255" spans="7:7" x14ac:dyDescent="0.3">
      <c r="G6255" s="391" t="s">
        <v>9567</v>
      </c>
    </row>
    <row r="6256" spans="7:7" x14ac:dyDescent="0.3">
      <c r="G6256" s="391" t="s">
        <v>9567</v>
      </c>
    </row>
    <row r="6257" spans="7:7" x14ac:dyDescent="0.3">
      <c r="G6257" s="391" t="s">
        <v>9567</v>
      </c>
    </row>
    <row r="6258" spans="7:7" x14ac:dyDescent="0.3">
      <c r="G6258" s="391" t="s">
        <v>9567</v>
      </c>
    </row>
    <row r="6259" spans="7:7" x14ac:dyDescent="0.3">
      <c r="G6259" s="391" t="s">
        <v>9567</v>
      </c>
    </row>
    <row r="6260" spans="7:7" x14ac:dyDescent="0.3">
      <c r="G6260" s="391" t="s">
        <v>9567</v>
      </c>
    </row>
    <row r="6261" spans="7:7" x14ac:dyDescent="0.3">
      <c r="G6261" s="391" t="s">
        <v>9567</v>
      </c>
    </row>
    <row r="6262" spans="7:7" x14ac:dyDescent="0.3">
      <c r="G6262" s="391" t="s">
        <v>9567</v>
      </c>
    </row>
    <row r="6263" spans="7:7" x14ac:dyDescent="0.3">
      <c r="G6263" s="391" t="s">
        <v>9567</v>
      </c>
    </row>
    <row r="6264" spans="7:7" x14ac:dyDescent="0.3">
      <c r="G6264" s="391" t="s">
        <v>9567</v>
      </c>
    </row>
    <row r="6265" spans="7:7" x14ac:dyDescent="0.3">
      <c r="G6265" s="391" t="s">
        <v>9567</v>
      </c>
    </row>
    <row r="6266" spans="7:7" x14ac:dyDescent="0.3">
      <c r="G6266" s="391" t="s">
        <v>9567</v>
      </c>
    </row>
    <row r="6267" spans="7:7" x14ac:dyDescent="0.3">
      <c r="G6267" s="391" t="s">
        <v>9567</v>
      </c>
    </row>
    <row r="6268" spans="7:7" x14ac:dyDescent="0.3">
      <c r="G6268" s="391" t="s">
        <v>9567</v>
      </c>
    </row>
    <row r="6269" spans="7:7" x14ac:dyDescent="0.3">
      <c r="G6269" s="391" t="s">
        <v>9567</v>
      </c>
    </row>
    <row r="6270" spans="7:7" x14ac:dyDescent="0.3">
      <c r="G6270" s="391" t="s">
        <v>9567</v>
      </c>
    </row>
    <row r="6271" spans="7:7" x14ac:dyDescent="0.3">
      <c r="G6271" s="391" t="s">
        <v>9567</v>
      </c>
    </row>
    <row r="6272" spans="7:7" x14ac:dyDescent="0.3">
      <c r="G6272" s="391" t="s">
        <v>9567</v>
      </c>
    </row>
    <row r="6273" spans="7:7" x14ac:dyDescent="0.3">
      <c r="G6273" s="391" t="s">
        <v>9567</v>
      </c>
    </row>
    <row r="6274" spans="7:7" x14ac:dyDescent="0.3">
      <c r="G6274" s="391" t="s">
        <v>9567</v>
      </c>
    </row>
    <row r="6275" spans="7:7" x14ac:dyDescent="0.3">
      <c r="G6275" s="391" t="s">
        <v>9567</v>
      </c>
    </row>
    <row r="6276" spans="7:7" x14ac:dyDescent="0.3">
      <c r="G6276" s="391" t="s">
        <v>9567</v>
      </c>
    </row>
    <row r="6277" spans="7:7" x14ac:dyDescent="0.3">
      <c r="G6277" s="391" t="s">
        <v>9567</v>
      </c>
    </row>
    <row r="6278" spans="7:7" x14ac:dyDescent="0.3">
      <c r="G6278" s="391" t="s">
        <v>9567</v>
      </c>
    </row>
    <row r="6279" spans="7:7" x14ac:dyDescent="0.3">
      <c r="G6279" s="391" t="s">
        <v>9567</v>
      </c>
    </row>
    <row r="6280" spans="7:7" x14ac:dyDescent="0.3">
      <c r="G6280" s="391" t="s">
        <v>9567</v>
      </c>
    </row>
    <row r="6281" spans="7:7" x14ac:dyDescent="0.3">
      <c r="G6281" s="391" t="s">
        <v>9567</v>
      </c>
    </row>
    <row r="6282" spans="7:7" x14ac:dyDescent="0.3">
      <c r="G6282" s="391" t="s">
        <v>9567</v>
      </c>
    </row>
    <row r="6283" spans="7:7" x14ac:dyDescent="0.3">
      <c r="G6283" s="391" t="s">
        <v>9567</v>
      </c>
    </row>
    <row r="6284" spans="7:7" x14ac:dyDescent="0.3">
      <c r="G6284" s="391" t="s">
        <v>9567</v>
      </c>
    </row>
    <row r="6285" spans="7:7" x14ac:dyDescent="0.3">
      <c r="G6285" s="391" t="s">
        <v>9567</v>
      </c>
    </row>
    <row r="6286" spans="7:7" x14ac:dyDescent="0.3">
      <c r="G6286" s="391" t="s">
        <v>9567</v>
      </c>
    </row>
    <row r="6287" spans="7:7" x14ac:dyDescent="0.3">
      <c r="G6287" s="391" t="s">
        <v>9567</v>
      </c>
    </row>
    <row r="6288" spans="7:7" x14ac:dyDescent="0.3">
      <c r="G6288" s="391" t="s">
        <v>9567</v>
      </c>
    </row>
    <row r="6289" spans="7:7" x14ac:dyDescent="0.3">
      <c r="G6289" s="391" t="s">
        <v>9567</v>
      </c>
    </row>
    <row r="6290" spans="7:7" x14ac:dyDescent="0.3">
      <c r="G6290" s="391" t="s">
        <v>9567</v>
      </c>
    </row>
    <row r="6291" spans="7:7" x14ac:dyDescent="0.3">
      <c r="G6291" s="391" t="s">
        <v>9567</v>
      </c>
    </row>
    <row r="6292" spans="7:7" x14ac:dyDescent="0.3">
      <c r="G6292" s="391" t="s">
        <v>9567</v>
      </c>
    </row>
    <row r="6293" spans="7:7" x14ac:dyDescent="0.3">
      <c r="G6293" s="391" t="s">
        <v>9567</v>
      </c>
    </row>
    <row r="6294" spans="7:7" x14ac:dyDescent="0.3">
      <c r="G6294" s="391" t="s">
        <v>9567</v>
      </c>
    </row>
    <row r="6295" spans="7:7" x14ac:dyDescent="0.3">
      <c r="G6295" s="391" t="s">
        <v>9567</v>
      </c>
    </row>
    <row r="6296" spans="7:7" x14ac:dyDescent="0.3">
      <c r="G6296" s="391" t="s">
        <v>9567</v>
      </c>
    </row>
    <row r="6297" spans="7:7" x14ac:dyDescent="0.3">
      <c r="G6297" s="391" t="s">
        <v>9567</v>
      </c>
    </row>
    <row r="6298" spans="7:7" x14ac:dyDescent="0.3">
      <c r="G6298" s="391" t="s">
        <v>9567</v>
      </c>
    </row>
    <row r="6299" spans="7:7" x14ac:dyDescent="0.3">
      <c r="G6299" s="391" t="s">
        <v>9567</v>
      </c>
    </row>
    <row r="6300" spans="7:7" x14ac:dyDescent="0.3">
      <c r="G6300" s="391" t="s">
        <v>9567</v>
      </c>
    </row>
    <row r="6301" spans="7:7" x14ac:dyDescent="0.3">
      <c r="G6301" s="391" t="s">
        <v>9567</v>
      </c>
    </row>
    <row r="6302" spans="7:7" x14ac:dyDescent="0.3">
      <c r="G6302" s="391" t="s">
        <v>9567</v>
      </c>
    </row>
    <row r="6303" spans="7:7" x14ac:dyDescent="0.3">
      <c r="G6303" s="391" t="s">
        <v>9567</v>
      </c>
    </row>
    <row r="6304" spans="7:7" x14ac:dyDescent="0.3">
      <c r="G6304" s="391" t="s">
        <v>9567</v>
      </c>
    </row>
    <row r="6305" spans="7:7" x14ac:dyDescent="0.3">
      <c r="G6305" s="391" t="s">
        <v>9567</v>
      </c>
    </row>
    <row r="6306" spans="7:7" x14ac:dyDescent="0.3">
      <c r="G6306" s="391" t="s">
        <v>9567</v>
      </c>
    </row>
    <row r="6307" spans="7:7" x14ac:dyDescent="0.3">
      <c r="G6307" s="391" t="s">
        <v>9567</v>
      </c>
    </row>
    <row r="6308" spans="7:7" x14ac:dyDescent="0.3">
      <c r="G6308" s="391" t="s">
        <v>9567</v>
      </c>
    </row>
    <row r="6309" spans="7:7" x14ac:dyDescent="0.3">
      <c r="G6309" s="391" t="s">
        <v>9567</v>
      </c>
    </row>
    <row r="6310" spans="7:7" x14ac:dyDescent="0.3">
      <c r="G6310" s="391" t="s">
        <v>9567</v>
      </c>
    </row>
    <row r="6311" spans="7:7" x14ac:dyDescent="0.3">
      <c r="G6311" s="391" t="s">
        <v>9567</v>
      </c>
    </row>
    <row r="6312" spans="7:7" x14ac:dyDescent="0.3">
      <c r="G6312" s="391" t="s">
        <v>9567</v>
      </c>
    </row>
    <row r="6313" spans="7:7" x14ac:dyDescent="0.3">
      <c r="G6313" s="391" t="s">
        <v>9567</v>
      </c>
    </row>
    <row r="6314" spans="7:7" x14ac:dyDescent="0.3">
      <c r="G6314" s="391" t="s">
        <v>9567</v>
      </c>
    </row>
    <row r="6315" spans="7:7" x14ac:dyDescent="0.3">
      <c r="G6315" s="391" t="s">
        <v>9567</v>
      </c>
    </row>
    <row r="6316" spans="7:7" x14ac:dyDescent="0.3">
      <c r="G6316" s="391" t="s">
        <v>9567</v>
      </c>
    </row>
    <row r="6317" spans="7:7" x14ac:dyDescent="0.3">
      <c r="G6317" s="391" t="s">
        <v>9567</v>
      </c>
    </row>
    <row r="6318" spans="7:7" x14ac:dyDescent="0.3">
      <c r="G6318" s="391" t="s">
        <v>9567</v>
      </c>
    </row>
    <row r="6319" spans="7:7" x14ac:dyDescent="0.3">
      <c r="G6319" s="391" t="s">
        <v>9567</v>
      </c>
    </row>
    <row r="6320" spans="7:7" x14ac:dyDescent="0.3">
      <c r="G6320" s="391" t="s">
        <v>9567</v>
      </c>
    </row>
    <row r="6321" spans="7:7" x14ac:dyDescent="0.3">
      <c r="G6321" s="391" t="s">
        <v>9567</v>
      </c>
    </row>
    <row r="6322" spans="7:7" x14ac:dyDescent="0.3">
      <c r="G6322" s="391" t="s">
        <v>9567</v>
      </c>
    </row>
    <row r="6323" spans="7:7" x14ac:dyDescent="0.3">
      <c r="G6323" s="391" t="s">
        <v>9567</v>
      </c>
    </row>
    <row r="6324" spans="7:7" x14ac:dyDescent="0.3">
      <c r="G6324" s="391" t="s">
        <v>9567</v>
      </c>
    </row>
    <row r="6325" spans="7:7" x14ac:dyDescent="0.3">
      <c r="G6325" s="391" t="s">
        <v>9567</v>
      </c>
    </row>
    <row r="6326" spans="7:7" x14ac:dyDescent="0.3">
      <c r="G6326" s="391" t="s">
        <v>9567</v>
      </c>
    </row>
    <row r="6327" spans="7:7" x14ac:dyDescent="0.3">
      <c r="G6327" s="391" t="s">
        <v>9567</v>
      </c>
    </row>
    <row r="6328" spans="7:7" x14ac:dyDescent="0.3">
      <c r="G6328" s="391" t="s">
        <v>9567</v>
      </c>
    </row>
    <row r="6329" spans="7:7" x14ac:dyDescent="0.3">
      <c r="G6329" s="391" t="s">
        <v>9567</v>
      </c>
    </row>
    <row r="6330" spans="7:7" x14ac:dyDescent="0.3">
      <c r="G6330" s="391" t="s">
        <v>9567</v>
      </c>
    </row>
    <row r="6331" spans="7:7" x14ac:dyDescent="0.3">
      <c r="G6331" s="391" t="s">
        <v>9567</v>
      </c>
    </row>
    <row r="6332" spans="7:7" x14ac:dyDescent="0.3">
      <c r="G6332" s="391" t="s">
        <v>9567</v>
      </c>
    </row>
    <row r="6333" spans="7:7" x14ac:dyDescent="0.3">
      <c r="G6333" s="391" t="s">
        <v>9567</v>
      </c>
    </row>
    <row r="6334" spans="7:7" x14ac:dyDescent="0.3">
      <c r="G6334" s="391" t="s">
        <v>9567</v>
      </c>
    </row>
    <row r="6335" spans="7:7" x14ac:dyDescent="0.3">
      <c r="G6335" s="391" t="s">
        <v>9567</v>
      </c>
    </row>
    <row r="6336" spans="7:7" x14ac:dyDescent="0.3">
      <c r="G6336" s="391" t="s">
        <v>9567</v>
      </c>
    </row>
    <row r="6337" spans="7:7" x14ac:dyDescent="0.3">
      <c r="G6337" s="391" t="s">
        <v>9567</v>
      </c>
    </row>
    <row r="6338" spans="7:7" x14ac:dyDescent="0.3">
      <c r="G6338" s="391" t="s">
        <v>9567</v>
      </c>
    </row>
    <row r="6339" spans="7:7" x14ac:dyDescent="0.3">
      <c r="G6339" s="391" t="s">
        <v>9567</v>
      </c>
    </row>
    <row r="6340" spans="7:7" x14ac:dyDescent="0.3">
      <c r="G6340" s="391" t="s">
        <v>9567</v>
      </c>
    </row>
    <row r="6341" spans="7:7" x14ac:dyDescent="0.3">
      <c r="G6341" s="391" t="s">
        <v>9567</v>
      </c>
    </row>
    <row r="6342" spans="7:7" x14ac:dyDescent="0.3">
      <c r="G6342" s="391" t="s">
        <v>9567</v>
      </c>
    </row>
    <row r="6343" spans="7:7" x14ac:dyDescent="0.3">
      <c r="G6343" s="391" t="s">
        <v>9567</v>
      </c>
    </row>
    <row r="6344" spans="7:7" x14ac:dyDescent="0.3">
      <c r="G6344" s="391" t="s">
        <v>9567</v>
      </c>
    </row>
    <row r="6345" spans="7:7" x14ac:dyDescent="0.3">
      <c r="G6345" s="391" t="s">
        <v>9567</v>
      </c>
    </row>
    <row r="6346" spans="7:7" x14ac:dyDescent="0.3">
      <c r="G6346" s="391" t="s">
        <v>9567</v>
      </c>
    </row>
    <row r="6347" spans="7:7" x14ac:dyDescent="0.3">
      <c r="G6347" s="391" t="s">
        <v>9567</v>
      </c>
    </row>
    <row r="6348" spans="7:7" x14ac:dyDescent="0.3">
      <c r="G6348" s="391" t="s">
        <v>9567</v>
      </c>
    </row>
    <row r="6349" spans="7:7" x14ac:dyDescent="0.3">
      <c r="G6349" s="391" t="s">
        <v>9567</v>
      </c>
    </row>
    <row r="6350" spans="7:7" x14ac:dyDescent="0.3">
      <c r="G6350" s="391" t="s">
        <v>9567</v>
      </c>
    </row>
    <row r="6351" spans="7:7" x14ac:dyDescent="0.3">
      <c r="G6351" s="391" t="s">
        <v>9567</v>
      </c>
    </row>
    <row r="6352" spans="7:7" x14ac:dyDescent="0.3">
      <c r="G6352" s="391" t="s">
        <v>9567</v>
      </c>
    </row>
    <row r="6353" spans="7:7" x14ac:dyDescent="0.3">
      <c r="G6353" s="391" t="s">
        <v>9567</v>
      </c>
    </row>
    <row r="6354" spans="7:7" x14ac:dyDescent="0.3">
      <c r="G6354" s="391" t="s">
        <v>9567</v>
      </c>
    </row>
    <row r="6355" spans="7:7" x14ac:dyDescent="0.3">
      <c r="G6355" s="391" t="s">
        <v>9567</v>
      </c>
    </row>
    <row r="6356" spans="7:7" x14ac:dyDescent="0.3">
      <c r="G6356" s="391" t="s">
        <v>9567</v>
      </c>
    </row>
    <row r="6357" spans="7:7" x14ac:dyDescent="0.3">
      <c r="G6357" s="391" t="s">
        <v>9567</v>
      </c>
    </row>
    <row r="6358" spans="7:7" x14ac:dyDescent="0.3">
      <c r="G6358" s="391" t="s">
        <v>9567</v>
      </c>
    </row>
    <row r="6359" spans="7:7" x14ac:dyDescent="0.3">
      <c r="G6359" s="391" t="s">
        <v>9567</v>
      </c>
    </row>
    <row r="6360" spans="7:7" x14ac:dyDescent="0.3">
      <c r="G6360" s="391" t="s">
        <v>9567</v>
      </c>
    </row>
    <row r="6361" spans="7:7" x14ac:dyDescent="0.3">
      <c r="G6361" s="391" t="s">
        <v>9567</v>
      </c>
    </row>
    <row r="6362" spans="7:7" x14ac:dyDescent="0.3">
      <c r="G6362" s="391" t="s">
        <v>9567</v>
      </c>
    </row>
    <row r="6363" spans="7:7" x14ac:dyDescent="0.3">
      <c r="G6363" s="391" t="s">
        <v>9567</v>
      </c>
    </row>
    <row r="6364" spans="7:7" x14ac:dyDescent="0.3">
      <c r="G6364" s="391" t="s">
        <v>9567</v>
      </c>
    </row>
    <row r="6365" spans="7:7" x14ac:dyDescent="0.3">
      <c r="G6365" s="391" t="s">
        <v>9567</v>
      </c>
    </row>
    <row r="6366" spans="7:7" x14ac:dyDescent="0.3">
      <c r="G6366" s="391" t="s">
        <v>9567</v>
      </c>
    </row>
    <row r="6367" spans="7:7" x14ac:dyDescent="0.3">
      <c r="G6367" s="391" t="s">
        <v>9567</v>
      </c>
    </row>
    <row r="6368" spans="7:7" x14ac:dyDescent="0.3">
      <c r="G6368" s="391" t="s">
        <v>9567</v>
      </c>
    </row>
    <row r="6369" spans="7:7" x14ac:dyDescent="0.3">
      <c r="G6369" s="391" t="s">
        <v>9567</v>
      </c>
    </row>
    <row r="6370" spans="7:7" x14ac:dyDescent="0.3">
      <c r="G6370" s="391" t="s">
        <v>9567</v>
      </c>
    </row>
    <row r="6371" spans="7:7" x14ac:dyDescent="0.3">
      <c r="G6371" s="391" t="s">
        <v>9567</v>
      </c>
    </row>
    <row r="6372" spans="7:7" x14ac:dyDescent="0.3">
      <c r="G6372" s="391" t="s">
        <v>9567</v>
      </c>
    </row>
    <row r="6373" spans="7:7" x14ac:dyDescent="0.3">
      <c r="G6373" s="391" t="s">
        <v>9567</v>
      </c>
    </row>
    <row r="6374" spans="7:7" x14ac:dyDescent="0.3">
      <c r="G6374" s="391" t="s">
        <v>9567</v>
      </c>
    </row>
    <row r="6375" spans="7:7" x14ac:dyDescent="0.3">
      <c r="G6375" s="391" t="s">
        <v>9567</v>
      </c>
    </row>
    <row r="6376" spans="7:7" x14ac:dyDescent="0.3">
      <c r="G6376" s="391" t="s">
        <v>9567</v>
      </c>
    </row>
    <row r="6377" spans="7:7" x14ac:dyDescent="0.3">
      <c r="G6377" s="391" t="s">
        <v>9567</v>
      </c>
    </row>
    <row r="6378" spans="7:7" x14ac:dyDescent="0.3">
      <c r="G6378" s="391" t="s">
        <v>9567</v>
      </c>
    </row>
    <row r="6379" spans="7:7" x14ac:dyDescent="0.3">
      <c r="G6379" s="391" t="s">
        <v>9567</v>
      </c>
    </row>
    <row r="6380" spans="7:7" x14ac:dyDescent="0.3">
      <c r="G6380" s="391" t="s">
        <v>9567</v>
      </c>
    </row>
    <row r="6381" spans="7:7" x14ac:dyDescent="0.3">
      <c r="G6381" s="391" t="s">
        <v>9567</v>
      </c>
    </row>
    <row r="6382" spans="7:7" x14ac:dyDescent="0.3">
      <c r="G6382" s="391" t="s">
        <v>9567</v>
      </c>
    </row>
    <row r="6383" spans="7:7" x14ac:dyDescent="0.3">
      <c r="G6383" s="391" t="s">
        <v>9567</v>
      </c>
    </row>
    <row r="6384" spans="7:7" x14ac:dyDescent="0.3">
      <c r="G6384" s="391" t="s">
        <v>9567</v>
      </c>
    </row>
    <row r="6385" spans="7:7" x14ac:dyDescent="0.3">
      <c r="G6385" s="391" t="s">
        <v>9567</v>
      </c>
    </row>
    <row r="6386" spans="7:7" x14ac:dyDescent="0.3">
      <c r="G6386" s="391" t="s">
        <v>9567</v>
      </c>
    </row>
    <row r="6387" spans="7:7" x14ac:dyDescent="0.3">
      <c r="G6387" s="391" t="s">
        <v>9567</v>
      </c>
    </row>
    <row r="6388" spans="7:7" x14ac:dyDescent="0.3">
      <c r="G6388" s="391" t="s">
        <v>9567</v>
      </c>
    </row>
    <row r="6389" spans="7:7" x14ac:dyDescent="0.3">
      <c r="G6389" s="391" t="s">
        <v>9567</v>
      </c>
    </row>
    <row r="6390" spans="7:7" x14ac:dyDescent="0.3">
      <c r="G6390" s="391" t="s">
        <v>9567</v>
      </c>
    </row>
    <row r="6391" spans="7:7" x14ac:dyDescent="0.3">
      <c r="G6391" s="391" t="s">
        <v>9567</v>
      </c>
    </row>
    <row r="6392" spans="7:7" x14ac:dyDescent="0.3">
      <c r="G6392" s="391" t="s">
        <v>9567</v>
      </c>
    </row>
    <row r="6393" spans="7:7" x14ac:dyDescent="0.3">
      <c r="G6393" s="391" t="s">
        <v>9567</v>
      </c>
    </row>
    <row r="6394" spans="7:7" x14ac:dyDescent="0.3">
      <c r="G6394" s="391" t="s">
        <v>9567</v>
      </c>
    </row>
    <row r="6395" spans="7:7" x14ac:dyDescent="0.3">
      <c r="G6395" s="391" t="s">
        <v>9567</v>
      </c>
    </row>
    <row r="6396" spans="7:7" x14ac:dyDescent="0.3">
      <c r="G6396" s="391" t="s">
        <v>9567</v>
      </c>
    </row>
    <row r="6397" spans="7:7" x14ac:dyDescent="0.3">
      <c r="G6397" s="391" t="s">
        <v>9567</v>
      </c>
    </row>
    <row r="6398" spans="7:7" x14ac:dyDescent="0.3">
      <c r="G6398" s="391" t="s">
        <v>9567</v>
      </c>
    </row>
    <row r="6399" spans="7:7" x14ac:dyDescent="0.3">
      <c r="G6399" s="391" t="s">
        <v>9567</v>
      </c>
    </row>
    <row r="6400" spans="7:7" x14ac:dyDescent="0.3">
      <c r="G6400" s="391" t="s">
        <v>9567</v>
      </c>
    </row>
    <row r="6401" spans="7:7" x14ac:dyDescent="0.3">
      <c r="G6401" s="391" t="s">
        <v>9567</v>
      </c>
    </row>
    <row r="6402" spans="7:7" x14ac:dyDescent="0.3">
      <c r="G6402" s="391" t="s">
        <v>9567</v>
      </c>
    </row>
    <row r="6403" spans="7:7" x14ac:dyDescent="0.3">
      <c r="G6403" s="391" t="s">
        <v>9567</v>
      </c>
    </row>
    <row r="6404" spans="7:7" x14ac:dyDescent="0.3">
      <c r="G6404" s="391" t="s">
        <v>9567</v>
      </c>
    </row>
    <row r="6405" spans="7:7" x14ac:dyDescent="0.3">
      <c r="G6405" s="391" t="s">
        <v>9567</v>
      </c>
    </row>
    <row r="6406" spans="7:7" x14ac:dyDescent="0.3">
      <c r="G6406" s="391" t="s">
        <v>9567</v>
      </c>
    </row>
    <row r="6407" spans="7:7" x14ac:dyDescent="0.3">
      <c r="G6407" s="391" t="s">
        <v>9567</v>
      </c>
    </row>
    <row r="6408" spans="7:7" x14ac:dyDescent="0.3">
      <c r="G6408" s="391" t="s">
        <v>9567</v>
      </c>
    </row>
    <row r="6409" spans="7:7" x14ac:dyDescent="0.3">
      <c r="G6409" s="391" t="s">
        <v>9567</v>
      </c>
    </row>
    <row r="6410" spans="7:7" x14ac:dyDescent="0.3">
      <c r="G6410" s="391" t="s">
        <v>9567</v>
      </c>
    </row>
    <row r="6411" spans="7:7" x14ac:dyDescent="0.3">
      <c r="G6411" s="391" t="s">
        <v>9567</v>
      </c>
    </row>
    <row r="6412" spans="7:7" x14ac:dyDescent="0.3">
      <c r="G6412" s="391" t="s">
        <v>9567</v>
      </c>
    </row>
    <row r="6413" spans="7:7" x14ac:dyDescent="0.3">
      <c r="G6413" s="391" t="s">
        <v>9567</v>
      </c>
    </row>
    <row r="6414" spans="7:7" x14ac:dyDescent="0.3">
      <c r="G6414" s="391" t="s">
        <v>9567</v>
      </c>
    </row>
    <row r="6415" spans="7:7" x14ac:dyDescent="0.3">
      <c r="G6415" s="391" t="s">
        <v>9567</v>
      </c>
    </row>
    <row r="6416" spans="7:7" x14ac:dyDescent="0.3">
      <c r="G6416" s="391" t="s">
        <v>9567</v>
      </c>
    </row>
    <row r="6417" spans="7:7" x14ac:dyDescent="0.3">
      <c r="G6417" s="391" t="s">
        <v>9567</v>
      </c>
    </row>
    <row r="6418" spans="7:7" x14ac:dyDescent="0.3">
      <c r="G6418" s="391" t="s">
        <v>9567</v>
      </c>
    </row>
    <row r="6419" spans="7:7" x14ac:dyDescent="0.3">
      <c r="G6419" s="391" t="s">
        <v>9567</v>
      </c>
    </row>
    <row r="6420" spans="7:7" x14ac:dyDescent="0.3">
      <c r="G6420" s="391" t="s">
        <v>9567</v>
      </c>
    </row>
    <row r="6421" spans="7:7" x14ac:dyDescent="0.3">
      <c r="G6421" s="391" t="s">
        <v>9567</v>
      </c>
    </row>
    <row r="6422" spans="7:7" x14ac:dyDescent="0.3">
      <c r="G6422" s="391" t="s">
        <v>9567</v>
      </c>
    </row>
    <row r="6423" spans="7:7" x14ac:dyDescent="0.3">
      <c r="G6423" s="391" t="s">
        <v>9567</v>
      </c>
    </row>
    <row r="6424" spans="7:7" x14ac:dyDescent="0.3">
      <c r="G6424" s="391" t="s">
        <v>9567</v>
      </c>
    </row>
    <row r="6425" spans="7:7" x14ac:dyDescent="0.3">
      <c r="G6425" s="391" t="s">
        <v>9567</v>
      </c>
    </row>
    <row r="6426" spans="7:7" x14ac:dyDescent="0.3">
      <c r="G6426" s="391" t="s">
        <v>9567</v>
      </c>
    </row>
    <row r="6427" spans="7:7" x14ac:dyDescent="0.3">
      <c r="G6427" s="391" t="s">
        <v>9567</v>
      </c>
    </row>
    <row r="6428" spans="7:7" x14ac:dyDescent="0.3">
      <c r="G6428" s="391" t="s">
        <v>9567</v>
      </c>
    </row>
    <row r="6429" spans="7:7" x14ac:dyDescent="0.3">
      <c r="G6429" s="391" t="s">
        <v>9567</v>
      </c>
    </row>
    <row r="6430" spans="7:7" x14ac:dyDescent="0.3">
      <c r="G6430" s="391" t="s">
        <v>9567</v>
      </c>
    </row>
    <row r="6431" spans="7:7" x14ac:dyDescent="0.3">
      <c r="G6431" s="391" t="s">
        <v>9567</v>
      </c>
    </row>
    <row r="6432" spans="7:7" x14ac:dyDescent="0.3">
      <c r="G6432" s="391" t="s">
        <v>9567</v>
      </c>
    </row>
    <row r="6433" spans="7:7" x14ac:dyDescent="0.3">
      <c r="G6433" s="391" t="s">
        <v>9567</v>
      </c>
    </row>
    <row r="6434" spans="7:7" x14ac:dyDescent="0.3">
      <c r="G6434" s="391" t="s">
        <v>9567</v>
      </c>
    </row>
    <row r="6435" spans="7:7" x14ac:dyDescent="0.3">
      <c r="G6435" s="391" t="s">
        <v>9567</v>
      </c>
    </row>
    <row r="6436" spans="7:7" x14ac:dyDescent="0.3">
      <c r="G6436" s="391" t="s">
        <v>9567</v>
      </c>
    </row>
    <row r="6437" spans="7:7" x14ac:dyDescent="0.3">
      <c r="G6437" s="391" t="s">
        <v>9567</v>
      </c>
    </row>
    <row r="6438" spans="7:7" x14ac:dyDescent="0.3">
      <c r="G6438" s="391" t="s">
        <v>9567</v>
      </c>
    </row>
    <row r="6439" spans="7:7" x14ac:dyDescent="0.3">
      <c r="G6439" s="391" t="s">
        <v>9567</v>
      </c>
    </row>
    <row r="6440" spans="7:7" x14ac:dyDescent="0.3">
      <c r="G6440" s="391" t="s">
        <v>9567</v>
      </c>
    </row>
    <row r="6441" spans="7:7" x14ac:dyDescent="0.3">
      <c r="G6441" s="391" t="s">
        <v>9567</v>
      </c>
    </row>
    <row r="6442" spans="7:7" x14ac:dyDescent="0.3">
      <c r="G6442" s="391" t="s">
        <v>9567</v>
      </c>
    </row>
    <row r="6443" spans="7:7" x14ac:dyDescent="0.3">
      <c r="G6443" s="391" t="s">
        <v>9567</v>
      </c>
    </row>
    <row r="6444" spans="7:7" x14ac:dyDescent="0.3">
      <c r="G6444" s="391" t="s">
        <v>9567</v>
      </c>
    </row>
    <row r="6445" spans="7:7" x14ac:dyDescent="0.3">
      <c r="G6445" s="391" t="s">
        <v>9567</v>
      </c>
    </row>
    <row r="6446" spans="7:7" x14ac:dyDescent="0.3">
      <c r="G6446" s="391" t="s">
        <v>9567</v>
      </c>
    </row>
    <row r="6447" spans="7:7" x14ac:dyDescent="0.3">
      <c r="G6447" s="391" t="s">
        <v>9567</v>
      </c>
    </row>
    <row r="6448" spans="7:7" x14ac:dyDescent="0.3">
      <c r="G6448" s="391" t="s">
        <v>9567</v>
      </c>
    </row>
    <row r="6449" spans="7:7" x14ac:dyDescent="0.3">
      <c r="G6449" s="391" t="s">
        <v>9567</v>
      </c>
    </row>
    <row r="6450" spans="7:7" x14ac:dyDescent="0.3">
      <c r="G6450" s="391" t="s">
        <v>9567</v>
      </c>
    </row>
    <row r="6451" spans="7:7" x14ac:dyDescent="0.3">
      <c r="G6451" s="391" t="s">
        <v>9567</v>
      </c>
    </row>
    <row r="6452" spans="7:7" x14ac:dyDescent="0.3">
      <c r="G6452" s="391" t="s">
        <v>9567</v>
      </c>
    </row>
    <row r="6453" spans="7:7" x14ac:dyDescent="0.3">
      <c r="G6453" s="391" t="s">
        <v>9567</v>
      </c>
    </row>
    <row r="6454" spans="7:7" x14ac:dyDescent="0.3">
      <c r="G6454" s="391" t="s">
        <v>9567</v>
      </c>
    </row>
    <row r="6455" spans="7:7" x14ac:dyDescent="0.3">
      <c r="G6455" s="391" t="s">
        <v>9567</v>
      </c>
    </row>
    <row r="6456" spans="7:7" x14ac:dyDescent="0.3">
      <c r="G6456" s="391" t="s">
        <v>9567</v>
      </c>
    </row>
    <row r="6457" spans="7:7" x14ac:dyDescent="0.3">
      <c r="G6457" s="391" t="s">
        <v>9567</v>
      </c>
    </row>
    <row r="6458" spans="7:7" x14ac:dyDescent="0.3">
      <c r="G6458" s="391" t="s">
        <v>9567</v>
      </c>
    </row>
    <row r="6459" spans="7:7" x14ac:dyDescent="0.3">
      <c r="G6459" s="391" t="s">
        <v>9567</v>
      </c>
    </row>
    <row r="6460" spans="7:7" x14ac:dyDescent="0.3">
      <c r="G6460" s="391" t="s">
        <v>9567</v>
      </c>
    </row>
    <row r="6461" spans="7:7" x14ac:dyDescent="0.3">
      <c r="G6461" s="391" t="s">
        <v>9567</v>
      </c>
    </row>
    <row r="6462" spans="7:7" x14ac:dyDescent="0.3">
      <c r="G6462" s="391" t="s">
        <v>9567</v>
      </c>
    </row>
    <row r="6463" spans="7:7" x14ac:dyDescent="0.3">
      <c r="G6463" s="391" t="s">
        <v>9567</v>
      </c>
    </row>
    <row r="6464" spans="7:7" x14ac:dyDescent="0.3">
      <c r="G6464" s="391" t="s">
        <v>9567</v>
      </c>
    </row>
    <row r="6465" spans="7:7" x14ac:dyDescent="0.3">
      <c r="G6465" s="391" t="s">
        <v>9567</v>
      </c>
    </row>
    <row r="6466" spans="7:7" x14ac:dyDescent="0.3">
      <c r="G6466" s="391" t="s">
        <v>9567</v>
      </c>
    </row>
    <row r="6467" spans="7:7" x14ac:dyDescent="0.3">
      <c r="G6467" s="391" t="s">
        <v>9567</v>
      </c>
    </row>
    <row r="6468" spans="7:7" x14ac:dyDescent="0.3">
      <c r="G6468" s="391" t="s">
        <v>9567</v>
      </c>
    </row>
    <row r="6469" spans="7:7" x14ac:dyDescent="0.3">
      <c r="G6469" s="391" t="s">
        <v>9567</v>
      </c>
    </row>
    <row r="6470" spans="7:7" x14ac:dyDescent="0.3">
      <c r="G6470" s="391" t="s">
        <v>9567</v>
      </c>
    </row>
    <row r="6471" spans="7:7" x14ac:dyDescent="0.3">
      <c r="G6471" s="391" t="s">
        <v>9567</v>
      </c>
    </row>
    <row r="6472" spans="7:7" x14ac:dyDescent="0.3">
      <c r="G6472" s="391" t="s">
        <v>9567</v>
      </c>
    </row>
    <row r="6473" spans="7:7" x14ac:dyDescent="0.3">
      <c r="G6473" s="391" t="s">
        <v>9567</v>
      </c>
    </row>
    <row r="6474" spans="7:7" x14ac:dyDescent="0.3">
      <c r="G6474" s="391" t="s">
        <v>9567</v>
      </c>
    </row>
    <row r="6475" spans="7:7" x14ac:dyDescent="0.3">
      <c r="G6475" s="391" t="s">
        <v>9567</v>
      </c>
    </row>
    <row r="6476" spans="7:7" x14ac:dyDescent="0.3">
      <c r="G6476" s="391" t="s">
        <v>9567</v>
      </c>
    </row>
    <row r="6477" spans="7:7" x14ac:dyDescent="0.3">
      <c r="G6477" s="391" t="s">
        <v>9567</v>
      </c>
    </row>
    <row r="6478" spans="7:7" x14ac:dyDescent="0.3">
      <c r="G6478" s="391" t="s">
        <v>9567</v>
      </c>
    </row>
    <row r="6479" spans="7:7" x14ac:dyDescent="0.3">
      <c r="G6479" s="391" t="s">
        <v>9567</v>
      </c>
    </row>
    <row r="6480" spans="7:7" x14ac:dyDescent="0.3">
      <c r="G6480" s="391" t="s">
        <v>9567</v>
      </c>
    </row>
    <row r="6481" spans="7:7" x14ac:dyDescent="0.3">
      <c r="G6481" s="391" t="s">
        <v>9567</v>
      </c>
    </row>
    <row r="6482" spans="7:7" x14ac:dyDescent="0.3">
      <c r="G6482" s="391" t="s">
        <v>9567</v>
      </c>
    </row>
    <row r="6483" spans="7:7" x14ac:dyDescent="0.3">
      <c r="G6483" s="391" t="s">
        <v>9567</v>
      </c>
    </row>
    <row r="6484" spans="7:7" x14ac:dyDescent="0.3">
      <c r="G6484" s="391" t="s">
        <v>9567</v>
      </c>
    </row>
    <row r="6485" spans="7:7" x14ac:dyDescent="0.3">
      <c r="G6485" s="391" t="s">
        <v>9567</v>
      </c>
    </row>
    <row r="6486" spans="7:7" x14ac:dyDescent="0.3">
      <c r="G6486" s="391" t="s">
        <v>9567</v>
      </c>
    </row>
    <row r="6487" spans="7:7" x14ac:dyDescent="0.3">
      <c r="G6487" s="391" t="s">
        <v>9567</v>
      </c>
    </row>
    <row r="6488" spans="7:7" x14ac:dyDescent="0.3">
      <c r="G6488" s="391" t="s">
        <v>9567</v>
      </c>
    </row>
    <row r="6489" spans="7:7" x14ac:dyDescent="0.3">
      <c r="G6489" s="391" t="s">
        <v>9567</v>
      </c>
    </row>
    <row r="6490" spans="7:7" x14ac:dyDescent="0.3">
      <c r="G6490" s="391" t="s">
        <v>9567</v>
      </c>
    </row>
    <row r="6491" spans="7:7" x14ac:dyDescent="0.3">
      <c r="G6491" s="391" t="s">
        <v>9567</v>
      </c>
    </row>
    <row r="6492" spans="7:7" x14ac:dyDescent="0.3">
      <c r="G6492" s="391" t="s">
        <v>9567</v>
      </c>
    </row>
    <row r="6493" spans="7:7" x14ac:dyDescent="0.3">
      <c r="G6493" s="391" t="s">
        <v>9567</v>
      </c>
    </row>
    <row r="6494" spans="7:7" x14ac:dyDescent="0.3">
      <c r="G6494" s="391" t="s">
        <v>9567</v>
      </c>
    </row>
    <row r="6495" spans="7:7" x14ac:dyDescent="0.3">
      <c r="G6495" s="391" t="s">
        <v>9567</v>
      </c>
    </row>
    <row r="6496" spans="7:7" x14ac:dyDescent="0.3">
      <c r="G6496" s="391" t="s">
        <v>9567</v>
      </c>
    </row>
    <row r="6497" spans="7:7" x14ac:dyDescent="0.3">
      <c r="G6497" s="391" t="s">
        <v>9567</v>
      </c>
    </row>
    <row r="6498" spans="7:7" x14ac:dyDescent="0.3">
      <c r="G6498" s="391" t="s">
        <v>9567</v>
      </c>
    </row>
    <row r="6499" spans="7:7" x14ac:dyDescent="0.3">
      <c r="G6499" s="391" t="s">
        <v>9567</v>
      </c>
    </row>
    <row r="6500" spans="7:7" x14ac:dyDescent="0.3">
      <c r="G6500" s="391" t="s">
        <v>9567</v>
      </c>
    </row>
    <row r="6501" spans="7:7" x14ac:dyDescent="0.3">
      <c r="G6501" s="391" t="s">
        <v>9567</v>
      </c>
    </row>
    <row r="6502" spans="7:7" x14ac:dyDescent="0.3">
      <c r="G6502" s="391" t="s">
        <v>9567</v>
      </c>
    </row>
    <row r="6503" spans="7:7" x14ac:dyDescent="0.3">
      <c r="G6503" s="391" t="s">
        <v>9567</v>
      </c>
    </row>
    <row r="6504" spans="7:7" x14ac:dyDescent="0.3">
      <c r="G6504" s="391" t="s">
        <v>9567</v>
      </c>
    </row>
    <row r="6505" spans="7:7" x14ac:dyDescent="0.3">
      <c r="G6505" s="391" t="s">
        <v>9567</v>
      </c>
    </row>
    <row r="6506" spans="7:7" x14ac:dyDescent="0.3">
      <c r="G6506" s="391" t="s">
        <v>9567</v>
      </c>
    </row>
    <row r="6507" spans="7:7" x14ac:dyDescent="0.3">
      <c r="G6507" s="391" t="s">
        <v>9567</v>
      </c>
    </row>
    <row r="6508" spans="7:7" x14ac:dyDescent="0.3">
      <c r="G6508" s="391" t="s">
        <v>9567</v>
      </c>
    </row>
    <row r="6509" spans="7:7" x14ac:dyDescent="0.3">
      <c r="G6509" s="391" t="s">
        <v>9567</v>
      </c>
    </row>
    <row r="6510" spans="7:7" x14ac:dyDescent="0.3">
      <c r="G6510" s="391" t="s">
        <v>9567</v>
      </c>
    </row>
    <row r="6511" spans="7:7" x14ac:dyDescent="0.3">
      <c r="G6511" s="391" t="s">
        <v>9567</v>
      </c>
    </row>
    <row r="6512" spans="7:7" x14ac:dyDescent="0.3">
      <c r="G6512" s="391" t="s">
        <v>9567</v>
      </c>
    </row>
    <row r="6513" spans="7:7" x14ac:dyDescent="0.3">
      <c r="G6513" s="391" t="s">
        <v>9567</v>
      </c>
    </row>
    <row r="6514" spans="7:7" x14ac:dyDescent="0.3">
      <c r="G6514" s="391" t="s">
        <v>9567</v>
      </c>
    </row>
    <row r="6515" spans="7:7" x14ac:dyDescent="0.3">
      <c r="G6515" s="391" t="s">
        <v>9567</v>
      </c>
    </row>
    <row r="6516" spans="7:7" x14ac:dyDescent="0.3">
      <c r="G6516" s="391" t="s">
        <v>9567</v>
      </c>
    </row>
    <row r="6517" spans="7:7" x14ac:dyDescent="0.3">
      <c r="G6517" s="391" t="s">
        <v>9567</v>
      </c>
    </row>
    <row r="6518" spans="7:7" x14ac:dyDescent="0.3">
      <c r="G6518" s="391" t="s">
        <v>9567</v>
      </c>
    </row>
    <row r="6519" spans="7:7" x14ac:dyDescent="0.3">
      <c r="G6519" s="391" t="s">
        <v>9567</v>
      </c>
    </row>
    <row r="6520" spans="7:7" x14ac:dyDescent="0.3">
      <c r="G6520" s="391" t="s">
        <v>9567</v>
      </c>
    </row>
    <row r="6521" spans="7:7" x14ac:dyDescent="0.3">
      <c r="G6521" s="391" t="s">
        <v>9567</v>
      </c>
    </row>
    <row r="6522" spans="7:7" x14ac:dyDescent="0.3">
      <c r="G6522" s="391" t="s">
        <v>9567</v>
      </c>
    </row>
    <row r="6523" spans="7:7" x14ac:dyDescent="0.3">
      <c r="G6523" s="391" t="s">
        <v>9567</v>
      </c>
    </row>
    <row r="6524" spans="7:7" x14ac:dyDescent="0.3">
      <c r="G6524" s="391" t="s">
        <v>9567</v>
      </c>
    </row>
    <row r="6525" spans="7:7" x14ac:dyDescent="0.3">
      <c r="G6525" s="391" t="s">
        <v>9567</v>
      </c>
    </row>
    <row r="6526" spans="7:7" x14ac:dyDescent="0.3">
      <c r="G6526" s="391" t="s">
        <v>9567</v>
      </c>
    </row>
    <row r="6527" spans="7:7" x14ac:dyDescent="0.3">
      <c r="G6527" s="391" t="s">
        <v>9567</v>
      </c>
    </row>
    <row r="6528" spans="7:7" x14ac:dyDescent="0.3">
      <c r="G6528" s="391" t="s">
        <v>9567</v>
      </c>
    </row>
    <row r="6529" spans="7:7" x14ac:dyDescent="0.3">
      <c r="G6529" s="391" t="s">
        <v>9567</v>
      </c>
    </row>
    <row r="6530" spans="7:7" x14ac:dyDescent="0.3">
      <c r="G6530" s="391" t="s">
        <v>9567</v>
      </c>
    </row>
    <row r="6531" spans="7:7" x14ac:dyDescent="0.3">
      <c r="G6531" s="391" t="s">
        <v>9567</v>
      </c>
    </row>
    <row r="6532" spans="7:7" x14ac:dyDescent="0.3">
      <c r="G6532" s="391" t="s">
        <v>9567</v>
      </c>
    </row>
    <row r="6533" spans="7:7" x14ac:dyDescent="0.3">
      <c r="G6533" s="391" t="s">
        <v>9567</v>
      </c>
    </row>
    <row r="6534" spans="7:7" x14ac:dyDescent="0.3">
      <c r="G6534" s="391" t="s">
        <v>9567</v>
      </c>
    </row>
    <row r="6535" spans="7:7" x14ac:dyDescent="0.3">
      <c r="G6535" s="391" t="s">
        <v>9567</v>
      </c>
    </row>
    <row r="6536" spans="7:7" x14ac:dyDescent="0.3">
      <c r="G6536" s="391" t="s">
        <v>9567</v>
      </c>
    </row>
    <row r="6537" spans="7:7" x14ac:dyDescent="0.3">
      <c r="G6537" s="391" t="s">
        <v>9567</v>
      </c>
    </row>
    <row r="6538" spans="7:7" x14ac:dyDescent="0.3">
      <c r="G6538" s="391" t="s">
        <v>9567</v>
      </c>
    </row>
    <row r="6539" spans="7:7" x14ac:dyDescent="0.3">
      <c r="G6539" s="391" t="s">
        <v>9567</v>
      </c>
    </row>
    <row r="6540" spans="7:7" x14ac:dyDescent="0.3">
      <c r="G6540" s="391" t="s">
        <v>9567</v>
      </c>
    </row>
    <row r="6541" spans="7:7" x14ac:dyDescent="0.3">
      <c r="G6541" s="391" t="s">
        <v>9567</v>
      </c>
    </row>
    <row r="6542" spans="7:7" x14ac:dyDescent="0.3">
      <c r="G6542" s="391" t="s">
        <v>9567</v>
      </c>
    </row>
    <row r="6543" spans="7:7" x14ac:dyDescent="0.3">
      <c r="G6543" s="391" t="s">
        <v>9567</v>
      </c>
    </row>
    <row r="6544" spans="7:7" x14ac:dyDescent="0.3">
      <c r="G6544" s="391" t="s">
        <v>9567</v>
      </c>
    </row>
    <row r="6545" spans="7:7" x14ac:dyDescent="0.3">
      <c r="G6545" s="391" t="s">
        <v>9567</v>
      </c>
    </row>
    <row r="6546" spans="7:7" x14ac:dyDescent="0.3">
      <c r="G6546" s="391" t="s">
        <v>9567</v>
      </c>
    </row>
    <row r="6547" spans="7:7" x14ac:dyDescent="0.3">
      <c r="G6547" s="391" t="s">
        <v>9567</v>
      </c>
    </row>
    <row r="6548" spans="7:7" x14ac:dyDescent="0.3">
      <c r="G6548" s="391" t="s">
        <v>9567</v>
      </c>
    </row>
    <row r="6549" spans="7:7" x14ac:dyDescent="0.3">
      <c r="G6549" s="391" t="s">
        <v>9567</v>
      </c>
    </row>
    <row r="6550" spans="7:7" x14ac:dyDescent="0.3">
      <c r="G6550" s="391" t="s">
        <v>9567</v>
      </c>
    </row>
    <row r="6551" spans="7:7" x14ac:dyDescent="0.3">
      <c r="G6551" s="391" t="s">
        <v>9567</v>
      </c>
    </row>
    <row r="6552" spans="7:7" x14ac:dyDescent="0.3">
      <c r="G6552" s="391" t="s">
        <v>9567</v>
      </c>
    </row>
    <row r="6553" spans="7:7" x14ac:dyDescent="0.3">
      <c r="G6553" s="391" t="s">
        <v>9567</v>
      </c>
    </row>
    <row r="6554" spans="7:7" x14ac:dyDescent="0.3">
      <c r="G6554" s="391" t="s">
        <v>9567</v>
      </c>
    </row>
    <row r="6555" spans="7:7" x14ac:dyDescent="0.3">
      <c r="G6555" s="391" t="s">
        <v>9567</v>
      </c>
    </row>
    <row r="6556" spans="7:7" x14ac:dyDescent="0.3">
      <c r="G6556" s="391" t="s">
        <v>9567</v>
      </c>
    </row>
    <row r="6557" spans="7:7" x14ac:dyDescent="0.3">
      <c r="G6557" s="391" t="s">
        <v>9567</v>
      </c>
    </row>
    <row r="6558" spans="7:7" x14ac:dyDescent="0.3">
      <c r="G6558" s="391" t="s">
        <v>9567</v>
      </c>
    </row>
    <row r="6559" spans="7:7" x14ac:dyDescent="0.3">
      <c r="G6559" s="391" t="s">
        <v>9567</v>
      </c>
    </row>
    <row r="6560" spans="7:7" x14ac:dyDescent="0.3">
      <c r="G6560" s="391" t="s">
        <v>9567</v>
      </c>
    </row>
    <row r="6561" spans="7:7" x14ac:dyDescent="0.3">
      <c r="G6561" s="391" t="s">
        <v>9567</v>
      </c>
    </row>
    <row r="6562" spans="7:7" x14ac:dyDescent="0.3">
      <c r="G6562" s="391" t="s">
        <v>9567</v>
      </c>
    </row>
    <row r="6563" spans="7:7" x14ac:dyDescent="0.3">
      <c r="G6563" s="391" t="s">
        <v>9567</v>
      </c>
    </row>
    <row r="6564" spans="7:7" x14ac:dyDescent="0.3">
      <c r="G6564" s="391" t="s">
        <v>9567</v>
      </c>
    </row>
    <row r="6565" spans="7:7" x14ac:dyDescent="0.3">
      <c r="G6565" s="391" t="s">
        <v>9567</v>
      </c>
    </row>
    <row r="6566" spans="7:7" x14ac:dyDescent="0.3">
      <c r="G6566" s="391" t="s">
        <v>9567</v>
      </c>
    </row>
    <row r="6567" spans="7:7" x14ac:dyDescent="0.3">
      <c r="G6567" s="391" t="s">
        <v>9567</v>
      </c>
    </row>
    <row r="6568" spans="7:7" x14ac:dyDescent="0.3">
      <c r="G6568" s="391" t="s">
        <v>9567</v>
      </c>
    </row>
    <row r="6569" spans="7:7" x14ac:dyDescent="0.3">
      <c r="G6569" s="391" t="s">
        <v>9567</v>
      </c>
    </row>
    <row r="6570" spans="7:7" x14ac:dyDescent="0.3">
      <c r="G6570" s="391" t="s">
        <v>9567</v>
      </c>
    </row>
    <row r="6571" spans="7:7" x14ac:dyDescent="0.3">
      <c r="G6571" s="391" t="s">
        <v>9567</v>
      </c>
    </row>
    <row r="6572" spans="7:7" x14ac:dyDescent="0.3">
      <c r="G6572" s="391" t="s">
        <v>9567</v>
      </c>
    </row>
    <row r="6573" spans="7:7" x14ac:dyDescent="0.3">
      <c r="G6573" s="391" t="s">
        <v>9567</v>
      </c>
    </row>
    <row r="6574" spans="7:7" x14ac:dyDescent="0.3">
      <c r="G6574" s="391" t="s">
        <v>9567</v>
      </c>
    </row>
    <row r="6575" spans="7:7" x14ac:dyDescent="0.3">
      <c r="G6575" s="391" t="s">
        <v>9567</v>
      </c>
    </row>
    <row r="6576" spans="7:7" x14ac:dyDescent="0.3">
      <c r="G6576" s="391" t="s">
        <v>9567</v>
      </c>
    </row>
    <row r="6577" spans="7:7" x14ac:dyDescent="0.3">
      <c r="G6577" s="391" t="s">
        <v>9567</v>
      </c>
    </row>
    <row r="6578" spans="7:7" x14ac:dyDescent="0.3">
      <c r="G6578" s="391" t="s">
        <v>9567</v>
      </c>
    </row>
    <row r="6579" spans="7:7" x14ac:dyDescent="0.3">
      <c r="G6579" s="391" t="s">
        <v>9567</v>
      </c>
    </row>
    <row r="6580" spans="7:7" x14ac:dyDescent="0.3">
      <c r="G6580" s="391" t="s">
        <v>9567</v>
      </c>
    </row>
    <row r="6581" spans="7:7" x14ac:dyDescent="0.3">
      <c r="G6581" s="391" t="s">
        <v>9567</v>
      </c>
    </row>
    <row r="6582" spans="7:7" x14ac:dyDescent="0.3">
      <c r="G6582" s="391" t="s">
        <v>9567</v>
      </c>
    </row>
    <row r="6583" spans="7:7" x14ac:dyDescent="0.3">
      <c r="G6583" s="391" t="s">
        <v>9567</v>
      </c>
    </row>
    <row r="6584" spans="7:7" x14ac:dyDescent="0.3">
      <c r="G6584" s="391" t="s">
        <v>9567</v>
      </c>
    </row>
    <row r="6585" spans="7:7" x14ac:dyDescent="0.3">
      <c r="G6585" s="391" t="s">
        <v>9567</v>
      </c>
    </row>
    <row r="6586" spans="7:7" x14ac:dyDescent="0.3">
      <c r="G6586" s="391" t="s">
        <v>9567</v>
      </c>
    </row>
    <row r="6587" spans="7:7" x14ac:dyDescent="0.3">
      <c r="G6587" s="391" t="s">
        <v>9567</v>
      </c>
    </row>
    <row r="6588" spans="7:7" x14ac:dyDescent="0.3">
      <c r="G6588" s="391" t="s">
        <v>9567</v>
      </c>
    </row>
    <row r="6589" spans="7:7" x14ac:dyDescent="0.3">
      <c r="G6589" s="391" t="s">
        <v>9567</v>
      </c>
    </row>
    <row r="6590" spans="7:7" x14ac:dyDescent="0.3">
      <c r="G6590" s="391" t="s">
        <v>9567</v>
      </c>
    </row>
    <row r="6591" spans="7:7" x14ac:dyDescent="0.3">
      <c r="G6591" s="391" t="s">
        <v>9567</v>
      </c>
    </row>
    <row r="6592" spans="7:7" x14ac:dyDescent="0.3">
      <c r="G6592" s="391" t="s">
        <v>9567</v>
      </c>
    </row>
    <row r="6593" spans="7:7" x14ac:dyDescent="0.3">
      <c r="G6593" s="391" t="s">
        <v>9567</v>
      </c>
    </row>
    <row r="6594" spans="7:7" x14ac:dyDescent="0.3">
      <c r="G6594" s="391" t="s">
        <v>9567</v>
      </c>
    </row>
    <row r="6595" spans="7:7" x14ac:dyDescent="0.3">
      <c r="G6595" s="391" t="s">
        <v>9567</v>
      </c>
    </row>
    <row r="6596" spans="7:7" x14ac:dyDescent="0.3">
      <c r="G6596" s="391" t="s">
        <v>9567</v>
      </c>
    </row>
    <row r="6597" spans="7:7" x14ac:dyDescent="0.3">
      <c r="G6597" s="391" t="s">
        <v>9567</v>
      </c>
    </row>
    <row r="6598" spans="7:7" x14ac:dyDescent="0.3">
      <c r="G6598" s="391" t="s">
        <v>9567</v>
      </c>
    </row>
    <row r="6599" spans="7:7" x14ac:dyDescent="0.3">
      <c r="G6599" s="391" t="s">
        <v>9567</v>
      </c>
    </row>
    <row r="6600" spans="7:7" x14ac:dyDescent="0.3">
      <c r="G6600" s="391" t="s">
        <v>9567</v>
      </c>
    </row>
    <row r="6601" spans="7:7" x14ac:dyDescent="0.3">
      <c r="G6601" s="391" t="s">
        <v>9567</v>
      </c>
    </row>
    <row r="6602" spans="7:7" x14ac:dyDescent="0.3">
      <c r="G6602" s="391" t="s">
        <v>9567</v>
      </c>
    </row>
    <row r="6603" spans="7:7" x14ac:dyDescent="0.3">
      <c r="G6603" s="391" t="s">
        <v>9567</v>
      </c>
    </row>
    <row r="6604" spans="7:7" x14ac:dyDescent="0.3">
      <c r="G6604" s="391" t="s">
        <v>9567</v>
      </c>
    </row>
    <row r="6605" spans="7:7" x14ac:dyDescent="0.3">
      <c r="G6605" s="391" t="s">
        <v>9567</v>
      </c>
    </row>
    <row r="6606" spans="7:7" x14ac:dyDescent="0.3">
      <c r="G6606" s="391" t="s">
        <v>9567</v>
      </c>
    </row>
    <row r="6607" spans="7:7" x14ac:dyDescent="0.3">
      <c r="G6607" s="391" t="s">
        <v>9567</v>
      </c>
    </row>
    <row r="6608" spans="7:7" x14ac:dyDescent="0.3">
      <c r="G6608" s="391" t="s">
        <v>9567</v>
      </c>
    </row>
    <row r="6609" spans="7:7" x14ac:dyDescent="0.3">
      <c r="G6609" s="391" t="s">
        <v>9567</v>
      </c>
    </row>
    <row r="6610" spans="7:7" x14ac:dyDescent="0.3">
      <c r="G6610" s="391" t="s">
        <v>9567</v>
      </c>
    </row>
    <row r="6611" spans="7:7" x14ac:dyDescent="0.3">
      <c r="G6611" s="391" t="s">
        <v>9567</v>
      </c>
    </row>
    <row r="6612" spans="7:7" x14ac:dyDescent="0.3">
      <c r="G6612" s="391" t="s">
        <v>9567</v>
      </c>
    </row>
    <row r="6613" spans="7:7" x14ac:dyDescent="0.3">
      <c r="G6613" s="391" t="s">
        <v>9567</v>
      </c>
    </row>
    <row r="6614" spans="7:7" x14ac:dyDescent="0.3">
      <c r="G6614" s="391" t="s">
        <v>9567</v>
      </c>
    </row>
    <row r="6615" spans="7:7" x14ac:dyDescent="0.3">
      <c r="G6615" s="391" t="s">
        <v>9567</v>
      </c>
    </row>
    <row r="6616" spans="7:7" x14ac:dyDescent="0.3">
      <c r="G6616" s="391" t="s">
        <v>9567</v>
      </c>
    </row>
    <row r="6617" spans="7:7" x14ac:dyDescent="0.3">
      <c r="G6617" s="391" t="s">
        <v>9567</v>
      </c>
    </row>
    <row r="6618" spans="7:7" x14ac:dyDescent="0.3">
      <c r="G6618" s="391" t="s">
        <v>9567</v>
      </c>
    </row>
    <row r="6619" spans="7:7" x14ac:dyDescent="0.3">
      <c r="G6619" s="391" t="s">
        <v>9567</v>
      </c>
    </row>
    <row r="6620" spans="7:7" x14ac:dyDescent="0.3">
      <c r="G6620" s="391" t="s">
        <v>9567</v>
      </c>
    </row>
    <row r="6621" spans="7:7" x14ac:dyDescent="0.3">
      <c r="G6621" s="391" t="s">
        <v>9567</v>
      </c>
    </row>
    <row r="6622" spans="7:7" x14ac:dyDescent="0.3">
      <c r="G6622" s="391" t="s">
        <v>9567</v>
      </c>
    </row>
    <row r="6623" spans="7:7" x14ac:dyDescent="0.3">
      <c r="G6623" s="391" t="s">
        <v>9567</v>
      </c>
    </row>
    <row r="6624" spans="7:7" x14ac:dyDescent="0.3">
      <c r="G6624" s="391" t="s">
        <v>9567</v>
      </c>
    </row>
    <row r="6625" spans="7:7" x14ac:dyDescent="0.3">
      <c r="G6625" s="391" t="s">
        <v>9567</v>
      </c>
    </row>
    <row r="6626" spans="7:7" x14ac:dyDescent="0.3">
      <c r="G6626" s="391" t="s">
        <v>9567</v>
      </c>
    </row>
    <row r="6627" spans="7:7" x14ac:dyDescent="0.3">
      <c r="G6627" s="391" t="s">
        <v>9567</v>
      </c>
    </row>
    <row r="6628" spans="7:7" x14ac:dyDescent="0.3">
      <c r="G6628" s="391" t="s">
        <v>9567</v>
      </c>
    </row>
    <row r="6629" spans="7:7" x14ac:dyDescent="0.3">
      <c r="G6629" s="391" t="s">
        <v>9567</v>
      </c>
    </row>
    <row r="6630" spans="7:7" x14ac:dyDescent="0.3">
      <c r="G6630" s="391" t="s">
        <v>9567</v>
      </c>
    </row>
    <row r="6631" spans="7:7" x14ac:dyDescent="0.3">
      <c r="G6631" s="391" t="s">
        <v>9567</v>
      </c>
    </row>
    <row r="6632" spans="7:7" x14ac:dyDescent="0.3">
      <c r="G6632" s="391" t="s">
        <v>9567</v>
      </c>
    </row>
    <row r="6633" spans="7:7" x14ac:dyDescent="0.3">
      <c r="G6633" s="391" t="s">
        <v>9567</v>
      </c>
    </row>
    <row r="6634" spans="7:7" x14ac:dyDescent="0.3">
      <c r="G6634" s="391" t="s">
        <v>9567</v>
      </c>
    </row>
    <row r="6635" spans="7:7" x14ac:dyDescent="0.3">
      <c r="G6635" s="391" t="s">
        <v>9567</v>
      </c>
    </row>
    <row r="6636" spans="7:7" x14ac:dyDescent="0.3">
      <c r="G6636" s="391" t="s">
        <v>9567</v>
      </c>
    </row>
    <row r="6637" spans="7:7" x14ac:dyDescent="0.3">
      <c r="G6637" s="391" t="s">
        <v>9567</v>
      </c>
    </row>
    <row r="6638" spans="7:7" x14ac:dyDescent="0.3">
      <c r="G6638" s="391" t="s">
        <v>9567</v>
      </c>
    </row>
    <row r="6639" spans="7:7" x14ac:dyDescent="0.3">
      <c r="G6639" s="391" t="s">
        <v>9567</v>
      </c>
    </row>
    <row r="6640" spans="7:7" x14ac:dyDescent="0.3">
      <c r="G6640" s="391" t="s">
        <v>9567</v>
      </c>
    </row>
    <row r="6641" spans="7:7" x14ac:dyDescent="0.3">
      <c r="G6641" s="391" t="s">
        <v>9567</v>
      </c>
    </row>
    <row r="6642" spans="7:7" x14ac:dyDescent="0.3">
      <c r="G6642" s="391" t="s">
        <v>9567</v>
      </c>
    </row>
    <row r="6643" spans="7:7" x14ac:dyDescent="0.3">
      <c r="G6643" s="391" t="s">
        <v>9567</v>
      </c>
    </row>
    <row r="6644" spans="7:7" x14ac:dyDescent="0.3">
      <c r="G6644" s="391" t="s">
        <v>9567</v>
      </c>
    </row>
    <row r="6645" spans="7:7" x14ac:dyDescent="0.3">
      <c r="G6645" s="391" t="s">
        <v>9567</v>
      </c>
    </row>
    <row r="6646" spans="7:7" x14ac:dyDescent="0.3">
      <c r="G6646" s="391" t="s">
        <v>9567</v>
      </c>
    </row>
    <row r="6647" spans="7:7" x14ac:dyDescent="0.3">
      <c r="G6647" s="391" t="s">
        <v>9567</v>
      </c>
    </row>
    <row r="6648" spans="7:7" x14ac:dyDescent="0.3">
      <c r="G6648" s="391" t="s">
        <v>9567</v>
      </c>
    </row>
    <row r="6649" spans="7:7" x14ac:dyDescent="0.3">
      <c r="G6649" s="391" t="s">
        <v>9567</v>
      </c>
    </row>
    <row r="6650" spans="7:7" x14ac:dyDescent="0.3">
      <c r="G6650" s="391" t="s">
        <v>9567</v>
      </c>
    </row>
    <row r="6651" spans="7:7" x14ac:dyDescent="0.3">
      <c r="G6651" s="391" t="s">
        <v>9567</v>
      </c>
    </row>
    <row r="6652" spans="7:7" x14ac:dyDescent="0.3">
      <c r="G6652" s="391" t="s">
        <v>9567</v>
      </c>
    </row>
    <row r="6653" spans="7:7" x14ac:dyDescent="0.3">
      <c r="G6653" s="391" t="s">
        <v>9567</v>
      </c>
    </row>
    <row r="6654" spans="7:7" x14ac:dyDescent="0.3">
      <c r="G6654" s="391" t="s">
        <v>9567</v>
      </c>
    </row>
    <row r="6655" spans="7:7" x14ac:dyDescent="0.3">
      <c r="G6655" s="391" t="s">
        <v>9567</v>
      </c>
    </row>
    <row r="6656" spans="7:7" x14ac:dyDescent="0.3">
      <c r="G6656" s="391" t="s">
        <v>9567</v>
      </c>
    </row>
    <row r="6657" spans="7:7" x14ac:dyDescent="0.3">
      <c r="G6657" s="391" t="s">
        <v>9567</v>
      </c>
    </row>
    <row r="6658" spans="7:7" x14ac:dyDescent="0.3">
      <c r="G6658" s="391" t="s">
        <v>9567</v>
      </c>
    </row>
    <row r="6659" spans="7:7" x14ac:dyDescent="0.3">
      <c r="G6659" s="391" t="s">
        <v>9567</v>
      </c>
    </row>
    <row r="6660" spans="7:7" x14ac:dyDescent="0.3">
      <c r="G6660" s="391" t="s">
        <v>9567</v>
      </c>
    </row>
    <row r="6661" spans="7:7" x14ac:dyDescent="0.3">
      <c r="G6661" s="391" t="s">
        <v>9567</v>
      </c>
    </row>
    <row r="6662" spans="7:7" x14ac:dyDescent="0.3">
      <c r="G6662" s="391" t="s">
        <v>9567</v>
      </c>
    </row>
    <row r="6663" spans="7:7" x14ac:dyDescent="0.3">
      <c r="G6663" s="391" t="s">
        <v>9567</v>
      </c>
    </row>
    <row r="6664" spans="7:7" x14ac:dyDescent="0.3">
      <c r="G6664" s="391" t="s">
        <v>9567</v>
      </c>
    </row>
    <row r="6665" spans="7:7" x14ac:dyDescent="0.3">
      <c r="G6665" s="391" t="s">
        <v>9567</v>
      </c>
    </row>
    <row r="6666" spans="7:7" x14ac:dyDescent="0.3">
      <c r="G6666" s="391" t="s">
        <v>9567</v>
      </c>
    </row>
    <row r="6667" spans="7:7" x14ac:dyDescent="0.3">
      <c r="G6667" s="391" t="s">
        <v>9567</v>
      </c>
    </row>
    <row r="6668" spans="7:7" x14ac:dyDescent="0.3">
      <c r="G6668" s="391" t="s">
        <v>9567</v>
      </c>
    </row>
    <row r="6669" spans="7:7" x14ac:dyDescent="0.3">
      <c r="G6669" s="391" t="s">
        <v>9567</v>
      </c>
    </row>
    <row r="6670" spans="7:7" x14ac:dyDescent="0.3">
      <c r="G6670" s="391" t="s">
        <v>9567</v>
      </c>
    </row>
    <row r="6671" spans="7:7" x14ac:dyDescent="0.3">
      <c r="G6671" s="391" t="s">
        <v>9567</v>
      </c>
    </row>
    <row r="6672" spans="7:7" x14ac:dyDescent="0.3">
      <c r="G6672" s="391" t="s">
        <v>9567</v>
      </c>
    </row>
    <row r="6673" spans="7:7" x14ac:dyDescent="0.3">
      <c r="G6673" s="391" t="s">
        <v>9567</v>
      </c>
    </row>
    <row r="6674" spans="7:7" x14ac:dyDescent="0.3">
      <c r="G6674" s="391" t="s">
        <v>9567</v>
      </c>
    </row>
    <row r="6675" spans="7:7" x14ac:dyDescent="0.3">
      <c r="G6675" s="391" t="s">
        <v>9567</v>
      </c>
    </row>
    <row r="6676" spans="7:7" x14ac:dyDescent="0.3">
      <c r="G6676" s="391" t="s">
        <v>9567</v>
      </c>
    </row>
    <row r="6677" spans="7:7" x14ac:dyDescent="0.3">
      <c r="G6677" s="391" t="s">
        <v>9567</v>
      </c>
    </row>
    <row r="6678" spans="7:7" x14ac:dyDescent="0.3">
      <c r="G6678" s="391" t="s">
        <v>9567</v>
      </c>
    </row>
    <row r="6679" spans="7:7" x14ac:dyDescent="0.3">
      <c r="G6679" s="391" t="s">
        <v>9567</v>
      </c>
    </row>
    <row r="6680" spans="7:7" x14ac:dyDescent="0.3">
      <c r="G6680" s="391" t="s">
        <v>9567</v>
      </c>
    </row>
    <row r="6681" spans="7:7" x14ac:dyDescent="0.3">
      <c r="G6681" s="391" t="s">
        <v>9567</v>
      </c>
    </row>
    <row r="6682" spans="7:7" x14ac:dyDescent="0.3">
      <c r="G6682" s="391" t="s">
        <v>9567</v>
      </c>
    </row>
    <row r="6683" spans="7:7" x14ac:dyDescent="0.3">
      <c r="G6683" s="391" t="s">
        <v>9567</v>
      </c>
    </row>
    <row r="6684" spans="7:7" x14ac:dyDescent="0.3">
      <c r="G6684" s="391" t="s">
        <v>9567</v>
      </c>
    </row>
    <row r="6685" spans="7:7" x14ac:dyDescent="0.3">
      <c r="G6685" s="391" t="s">
        <v>9567</v>
      </c>
    </row>
    <row r="6686" spans="7:7" x14ac:dyDescent="0.3">
      <c r="G6686" s="391" t="s">
        <v>9567</v>
      </c>
    </row>
    <row r="6687" spans="7:7" x14ac:dyDescent="0.3">
      <c r="G6687" s="391" t="s">
        <v>9567</v>
      </c>
    </row>
    <row r="6688" spans="7:7" x14ac:dyDescent="0.3">
      <c r="G6688" s="391" t="s">
        <v>9567</v>
      </c>
    </row>
    <row r="6689" spans="7:7" x14ac:dyDescent="0.3">
      <c r="G6689" s="391" t="s">
        <v>9567</v>
      </c>
    </row>
    <row r="6690" spans="7:7" x14ac:dyDescent="0.3">
      <c r="G6690" s="391" t="s">
        <v>9567</v>
      </c>
    </row>
    <row r="6691" spans="7:7" x14ac:dyDescent="0.3">
      <c r="G6691" s="391" t="s">
        <v>9567</v>
      </c>
    </row>
    <row r="6692" spans="7:7" x14ac:dyDescent="0.3">
      <c r="G6692" s="391" t="s">
        <v>9567</v>
      </c>
    </row>
    <row r="6693" spans="7:7" x14ac:dyDescent="0.3">
      <c r="G6693" s="391" t="s">
        <v>9567</v>
      </c>
    </row>
    <row r="6694" spans="7:7" x14ac:dyDescent="0.3">
      <c r="G6694" s="391" t="s">
        <v>9567</v>
      </c>
    </row>
    <row r="6695" spans="7:7" x14ac:dyDescent="0.3">
      <c r="G6695" s="391" t="s">
        <v>9567</v>
      </c>
    </row>
    <row r="6696" spans="7:7" x14ac:dyDescent="0.3">
      <c r="G6696" s="391" t="s">
        <v>9567</v>
      </c>
    </row>
    <row r="6697" spans="7:7" x14ac:dyDescent="0.3">
      <c r="G6697" s="391" t="s">
        <v>9567</v>
      </c>
    </row>
    <row r="6698" spans="7:7" x14ac:dyDescent="0.3">
      <c r="G6698" s="391" t="s">
        <v>9567</v>
      </c>
    </row>
    <row r="6699" spans="7:7" x14ac:dyDescent="0.3">
      <c r="G6699" s="391" t="s">
        <v>9567</v>
      </c>
    </row>
    <row r="6700" spans="7:7" x14ac:dyDescent="0.3">
      <c r="G6700" s="391" t="s">
        <v>9567</v>
      </c>
    </row>
    <row r="6701" spans="7:7" x14ac:dyDescent="0.3">
      <c r="G6701" s="391" t="s">
        <v>9567</v>
      </c>
    </row>
    <row r="6702" spans="7:7" x14ac:dyDescent="0.3">
      <c r="G6702" s="391" t="s">
        <v>9567</v>
      </c>
    </row>
    <row r="6703" spans="7:7" x14ac:dyDescent="0.3">
      <c r="G6703" s="391" t="s">
        <v>9567</v>
      </c>
    </row>
    <row r="6704" spans="7:7" x14ac:dyDescent="0.3">
      <c r="G6704" s="391" t="s">
        <v>9567</v>
      </c>
    </row>
    <row r="6705" spans="7:7" x14ac:dyDescent="0.3">
      <c r="G6705" s="391" t="s">
        <v>9567</v>
      </c>
    </row>
    <row r="6706" spans="7:7" x14ac:dyDescent="0.3">
      <c r="G6706" s="391" t="s">
        <v>9567</v>
      </c>
    </row>
    <row r="6707" spans="7:7" x14ac:dyDescent="0.3">
      <c r="G6707" s="391" t="s">
        <v>9567</v>
      </c>
    </row>
    <row r="6708" spans="7:7" x14ac:dyDescent="0.3">
      <c r="G6708" s="391" t="s">
        <v>9567</v>
      </c>
    </row>
    <row r="6709" spans="7:7" x14ac:dyDescent="0.3">
      <c r="G6709" s="391" t="s">
        <v>9567</v>
      </c>
    </row>
    <row r="6710" spans="7:7" x14ac:dyDescent="0.3">
      <c r="G6710" s="391" t="s">
        <v>9567</v>
      </c>
    </row>
    <row r="6711" spans="7:7" x14ac:dyDescent="0.3">
      <c r="G6711" s="391" t="s">
        <v>9567</v>
      </c>
    </row>
    <row r="6712" spans="7:7" x14ac:dyDescent="0.3">
      <c r="G6712" s="391" t="s">
        <v>9567</v>
      </c>
    </row>
    <row r="6713" spans="7:7" x14ac:dyDescent="0.3">
      <c r="G6713" s="391" t="s">
        <v>9567</v>
      </c>
    </row>
    <row r="6714" spans="7:7" x14ac:dyDescent="0.3">
      <c r="G6714" s="391" t="s">
        <v>9567</v>
      </c>
    </row>
    <row r="6715" spans="7:7" x14ac:dyDescent="0.3">
      <c r="G6715" s="391" t="s">
        <v>9567</v>
      </c>
    </row>
    <row r="6716" spans="7:7" x14ac:dyDescent="0.3">
      <c r="G6716" s="391" t="s">
        <v>9567</v>
      </c>
    </row>
    <row r="6717" spans="7:7" x14ac:dyDescent="0.3">
      <c r="G6717" s="391" t="s">
        <v>9567</v>
      </c>
    </row>
    <row r="6718" spans="7:7" x14ac:dyDescent="0.3">
      <c r="G6718" s="391" t="s">
        <v>9567</v>
      </c>
    </row>
    <row r="6719" spans="7:7" x14ac:dyDescent="0.3">
      <c r="G6719" s="391" t="s">
        <v>9567</v>
      </c>
    </row>
    <row r="6720" spans="7:7" x14ac:dyDescent="0.3">
      <c r="G6720" s="391" t="s">
        <v>9567</v>
      </c>
    </row>
    <row r="6721" spans="7:7" x14ac:dyDescent="0.3">
      <c r="G6721" s="391" t="s">
        <v>9567</v>
      </c>
    </row>
    <row r="6722" spans="7:7" x14ac:dyDescent="0.3">
      <c r="G6722" s="391" t="s">
        <v>9567</v>
      </c>
    </row>
    <row r="6723" spans="7:7" x14ac:dyDescent="0.3">
      <c r="G6723" s="391" t="s">
        <v>9567</v>
      </c>
    </row>
    <row r="6724" spans="7:7" x14ac:dyDescent="0.3">
      <c r="G6724" s="391" t="s">
        <v>9567</v>
      </c>
    </row>
    <row r="6725" spans="7:7" x14ac:dyDescent="0.3">
      <c r="G6725" s="391" t="s">
        <v>9567</v>
      </c>
    </row>
    <row r="6726" spans="7:7" x14ac:dyDescent="0.3">
      <c r="G6726" s="391" t="s">
        <v>9567</v>
      </c>
    </row>
    <row r="6727" spans="7:7" x14ac:dyDescent="0.3">
      <c r="G6727" s="391" t="s">
        <v>9567</v>
      </c>
    </row>
    <row r="6728" spans="7:7" x14ac:dyDescent="0.3">
      <c r="G6728" s="391" t="s">
        <v>9567</v>
      </c>
    </row>
    <row r="6729" spans="7:7" x14ac:dyDescent="0.3">
      <c r="G6729" s="391" t="s">
        <v>9567</v>
      </c>
    </row>
    <row r="6730" spans="7:7" x14ac:dyDescent="0.3">
      <c r="G6730" s="391" t="s">
        <v>9567</v>
      </c>
    </row>
    <row r="6731" spans="7:7" x14ac:dyDescent="0.3">
      <c r="G6731" s="391" t="s">
        <v>9567</v>
      </c>
    </row>
    <row r="6732" spans="7:7" x14ac:dyDescent="0.3">
      <c r="G6732" s="391" t="s">
        <v>9567</v>
      </c>
    </row>
    <row r="6733" spans="7:7" x14ac:dyDescent="0.3">
      <c r="G6733" s="391" t="s">
        <v>9567</v>
      </c>
    </row>
    <row r="6734" spans="7:7" x14ac:dyDescent="0.3">
      <c r="G6734" s="391" t="s">
        <v>9567</v>
      </c>
    </row>
    <row r="6735" spans="7:7" x14ac:dyDescent="0.3">
      <c r="G6735" s="391" t="s">
        <v>9567</v>
      </c>
    </row>
    <row r="6736" spans="7:7" x14ac:dyDescent="0.3">
      <c r="G6736" s="391" t="s">
        <v>9567</v>
      </c>
    </row>
    <row r="6737" spans="7:7" x14ac:dyDescent="0.3">
      <c r="G6737" s="391" t="s">
        <v>9567</v>
      </c>
    </row>
    <row r="6738" spans="7:7" x14ac:dyDescent="0.3">
      <c r="G6738" s="391" t="s">
        <v>9567</v>
      </c>
    </row>
    <row r="6739" spans="7:7" x14ac:dyDescent="0.3">
      <c r="G6739" s="391" t="s">
        <v>9567</v>
      </c>
    </row>
    <row r="6740" spans="7:7" x14ac:dyDescent="0.3">
      <c r="G6740" s="391" t="s">
        <v>9567</v>
      </c>
    </row>
    <row r="6741" spans="7:7" x14ac:dyDescent="0.3">
      <c r="G6741" s="391" t="s">
        <v>9567</v>
      </c>
    </row>
    <row r="6742" spans="7:7" x14ac:dyDescent="0.3">
      <c r="G6742" s="391" t="s">
        <v>9567</v>
      </c>
    </row>
    <row r="6743" spans="7:7" x14ac:dyDescent="0.3">
      <c r="G6743" s="391" t="s">
        <v>9567</v>
      </c>
    </row>
    <row r="6744" spans="7:7" x14ac:dyDescent="0.3">
      <c r="G6744" s="391" t="s">
        <v>9567</v>
      </c>
    </row>
    <row r="6745" spans="7:7" x14ac:dyDescent="0.3">
      <c r="G6745" s="391" t="s">
        <v>9567</v>
      </c>
    </row>
    <row r="6746" spans="7:7" x14ac:dyDescent="0.3">
      <c r="G6746" s="391" t="s">
        <v>9567</v>
      </c>
    </row>
    <row r="6747" spans="7:7" x14ac:dyDescent="0.3">
      <c r="G6747" s="391" t="s">
        <v>9567</v>
      </c>
    </row>
    <row r="6748" spans="7:7" x14ac:dyDescent="0.3">
      <c r="G6748" s="391" t="s">
        <v>9567</v>
      </c>
    </row>
    <row r="6749" spans="7:7" x14ac:dyDescent="0.3">
      <c r="G6749" s="391" t="s">
        <v>9567</v>
      </c>
    </row>
    <row r="6750" spans="7:7" x14ac:dyDescent="0.3">
      <c r="G6750" s="391" t="s">
        <v>9567</v>
      </c>
    </row>
    <row r="6751" spans="7:7" x14ac:dyDescent="0.3">
      <c r="G6751" s="391" t="s">
        <v>9567</v>
      </c>
    </row>
    <row r="6752" spans="7:7" x14ac:dyDescent="0.3">
      <c r="G6752" s="391" t="s">
        <v>9567</v>
      </c>
    </row>
    <row r="6753" spans="7:7" x14ac:dyDescent="0.3">
      <c r="G6753" s="391" t="s">
        <v>9567</v>
      </c>
    </row>
    <row r="6754" spans="7:7" x14ac:dyDescent="0.3">
      <c r="G6754" s="391" t="s">
        <v>9567</v>
      </c>
    </row>
    <row r="6755" spans="7:7" x14ac:dyDescent="0.3">
      <c r="G6755" s="391" t="s">
        <v>9567</v>
      </c>
    </row>
    <row r="6756" spans="7:7" x14ac:dyDescent="0.3">
      <c r="G6756" s="391" t="s">
        <v>9567</v>
      </c>
    </row>
    <row r="6757" spans="7:7" x14ac:dyDescent="0.3">
      <c r="G6757" s="391" t="s">
        <v>9567</v>
      </c>
    </row>
    <row r="6758" spans="7:7" x14ac:dyDescent="0.3">
      <c r="G6758" s="391" t="s">
        <v>9567</v>
      </c>
    </row>
    <row r="6759" spans="7:7" x14ac:dyDescent="0.3">
      <c r="G6759" s="391" t="s">
        <v>9567</v>
      </c>
    </row>
    <row r="6760" spans="7:7" x14ac:dyDescent="0.3">
      <c r="G6760" s="391" t="s">
        <v>9567</v>
      </c>
    </row>
    <row r="6761" spans="7:7" x14ac:dyDescent="0.3">
      <c r="G6761" s="391" t="s">
        <v>9567</v>
      </c>
    </row>
    <row r="6762" spans="7:7" x14ac:dyDescent="0.3">
      <c r="G6762" s="391" t="s">
        <v>9567</v>
      </c>
    </row>
    <row r="6763" spans="7:7" x14ac:dyDescent="0.3">
      <c r="G6763" s="391" t="s">
        <v>9567</v>
      </c>
    </row>
    <row r="6764" spans="7:7" x14ac:dyDescent="0.3">
      <c r="G6764" s="391" t="s">
        <v>9567</v>
      </c>
    </row>
    <row r="6765" spans="7:7" x14ac:dyDescent="0.3">
      <c r="G6765" s="391" t="s">
        <v>9567</v>
      </c>
    </row>
    <row r="6766" spans="7:7" x14ac:dyDescent="0.3">
      <c r="G6766" s="391" t="s">
        <v>9567</v>
      </c>
    </row>
    <row r="6767" spans="7:7" x14ac:dyDescent="0.3">
      <c r="G6767" s="391" t="s">
        <v>9567</v>
      </c>
    </row>
    <row r="6768" spans="7:7" x14ac:dyDescent="0.3">
      <c r="G6768" s="391" t="s">
        <v>9567</v>
      </c>
    </row>
    <row r="6769" spans="7:7" x14ac:dyDescent="0.3">
      <c r="G6769" s="391" t="s">
        <v>9567</v>
      </c>
    </row>
    <row r="6770" spans="7:7" x14ac:dyDescent="0.3">
      <c r="G6770" s="391" t="s">
        <v>9567</v>
      </c>
    </row>
    <row r="6771" spans="7:7" x14ac:dyDescent="0.3">
      <c r="G6771" s="391" t="s">
        <v>9567</v>
      </c>
    </row>
    <row r="6772" spans="7:7" x14ac:dyDescent="0.3">
      <c r="G6772" s="391" t="s">
        <v>9567</v>
      </c>
    </row>
    <row r="6773" spans="7:7" x14ac:dyDescent="0.3">
      <c r="G6773" s="391" t="s">
        <v>9567</v>
      </c>
    </row>
    <row r="6774" spans="7:7" x14ac:dyDescent="0.3">
      <c r="G6774" s="391" t="s">
        <v>9567</v>
      </c>
    </row>
    <row r="6775" spans="7:7" x14ac:dyDescent="0.3">
      <c r="G6775" s="391" t="s">
        <v>9567</v>
      </c>
    </row>
    <row r="6776" spans="7:7" x14ac:dyDescent="0.3">
      <c r="G6776" s="391" t="s">
        <v>9567</v>
      </c>
    </row>
    <row r="6777" spans="7:7" x14ac:dyDescent="0.3">
      <c r="G6777" s="391" t="s">
        <v>9567</v>
      </c>
    </row>
    <row r="6778" spans="7:7" x14ac:dyDescent="0.3">
      <c r="G6778" s="391" t="s">
        <v>9567</v>
      </c>
    </row>
    <row r="6779" spans="7:7" x14ac:dyDescent="0.3">
      <c r="G6779" s="391" t="s">
        <v>9567</v>
      </c>
    </row>
    <row r="6780" spans="7:7" x14ac:dyDescent="0.3">
      <c r="G6780" s="391" t="s">
        <v>9567</v>
      </c>
    </row>
    <row r="6781" spans="7:7" x14ac:dyDescent="0.3">
      <c r="G6781" s="391" t="s">
        <v>9567</v>
      </c>
    </row>
    <row r="6782" spans="7:7" x14ac:dyDescent="0.3">
      <c r="G6782" s="391" t="s">
        <v>9567</v>
      </c>
    </row>
    <row r="6783" spans="7:7" x14ac:dyDescent="0.3">
      <c r="G6783" s="391" t="s">
        <v>9567</v>
      </c>
    </row>
    <row r="6784" spans="7:7" x14ac:dyDescent="0.3">
      <c r="G6784" s="391" t="s">
        <v>9567</v>
      </c>
    </row>
    <row r="6785" spans="7:7" x14ac:dyDescent="0.3">
      <c r="G6785" s="391" t="s">
        <v>9567</v>
      </c>
    </row>
    <row r="6786" spans="7:7" x14ac:dyDescent="0.3">
      <c r="G6786" s="391" t="s">
        <v>9567</v>
      </c>
    </row>
    <row r="6787" spans="7:7" x14ac:dyDescent="0.3">
      <c r="G6787" s="391" t="s">
        <v>9567</v>
      </c>
    </row>
    <row r="6788" spans="7:7" x14ac:dyDescent="0.3">
      <c r="G6788" s="391" t="s">
        <v>9567</v>
      </c>
    </row>
    <row r="6789" spans="7:7" x14ac:dyDescent="0.3">
      <c r="G6789" s="391" t="s">
        <v>9567</v>
      </c>
    </row>
    <row r="6790" spans="7:7" x14ac:dyDescent="0.3">
      <c r="G6790" s="391" t="s">
        <v>9567</v>
      </c>
    </row>
    <row r="6791" spans="7:7" x14ac:dyDescent="0.3">
      <c r="G6791" s="391" t="s">
        <v>9567</v>
      </c>
    </row>
    <row r="6792" spans="7:7" x14ac:dyDescent="0.3">
      <c r="G6792" s="391" t="s">
        <v>9567</v>
      </c>
    </row>
    <row r="6793" spans="7:7" x14ac:dyDescent="0.3">
      <c r="G6793" s="391" t="s">
        <v>9567</v>
      </c>
    </row>
    <row r="6794" spans="7:7" x14ac:dyDescent="0.3">
      <c r="G6794" s="391" t="s">
        <v>9567</v>
      </c>
    </row>
    <row r="6795" spans="7:7" x14ac:dyDescent="0.3">
      <c r="G6795" s="391" t="s">
        <v>9567</v>
      </c>
    </row>
    <row r="6796" spans="7:7" x14ac:dyDescent="0.3">
      <c r="G6796" s="391" t="s">
        <v>9567</v>
      </c>
    </row>
    <row r="6797" spans="7:7" x14ac:dyDescent="0.3">
      <c r="G6797" s="391" t="s">
        <v>9567</v>
      </c>
    </row>
    <row r="6798" spans="7:7" x14ac:dyDescent="0.3">
      <c r="G6798" s="391" t="s">
        <v>9567</v>
      </c>
    </row>
    <row r="6799" spans="7:7" x14ac:dyDescent="0.3">
      <c r="G6799" s="391" t="s">
        <v>9567</v>
      </c>
    </row>
    <row r="6800" spans="7:7" x14ac:dyDescent="0.3">
      <c r="G6800" s="391" t="s">
        <v>9567</v>
      </c>
    </row>
    <row r="6801" spans="7:7" x14ac:dyDescent="0.3">
      <c r="G6801" s="391" t="s">
        <v>9567</v>
      </c>
    </row>
    <row r="6802" spans="7:7" x14ac:dyDescent="0.3">
      <c r="G6802" s="391" t="s">
        <v>9567</v>
      </c>
    </row>
    <row r="6803" spans="7:7" x14ac:dyDescent="0.3">
      <c r="G6803" s="391" t="s">
        <v>9567</v>
      </c>
    </row>
    <row r="6804" spans="7:7" x14ac:dyDescent="0.3">
      <c r="G6804" s="391" t="s">
        <v>9567</v>
      </c>
    </row>
    <row r="6805" spans="7:7" x14ac:dyDescent="0.3">
      <c r="G6805" s="391" t="s">
        <v>9567</v>
      </c>
    </row>
    <row r="6806" spans="7:7" x14ac:dyDescent="0.3">
      <c r="G6806" s="391" t="s">
        <v>9567</v>
      </c>
    </row>
    <row r="6807" spans="7:7" x14ac:dyDescent="0.3">
      <c r="G6807" s="391" t="s">
        <v>9567</v>
      </c>
    </row>
    <row r="6808" spans="7:7" x14ac:dyDescent="0.3">
      <c r="G6808" s="391" t="s">
        <v>9567</v>
      </c>
    </row>
    <row r="6809" spans="7:7" x14ac:dyDescent="0.3">
      <c r="G6809" s="391" t="s">
        <v>9567</v>
      </c>
    </row>
    <row r="6810" spans="7:7" x14ac:dyDescent="0.3">
      <c r="G6810" s="391" t="s">
        <v>9567</v>
      </c>
    </row>
    <row r="6811" spans="7:7" x14ac:dyDescent="0.3">
      <c r="G6811" s="391" t="s">
        <v>9567</v>
      </c>
    </row>
    <row r="6812" spans="7:7" x14ac:dyDescent="0.3">
      <c r="G6812" s="391" t="s">
        <v>9567</v>
      </c>
    </row>
    <row r="6813" spans="7:7" x14ac:dyDescent="0.3">
      <c r="G6813" s="391" t="s">
        <v>9567</v>
      </c>
    </row>
    <row r="6814" spans="7:7" x14ac:dyDescent="0.3">
      <c r="G6814" s="391" t="s">
        <v>9567</v>
      </c>
    </row>
    <row r="6815" spans="7:7" x14ac:dyDescent="0.3">
      <c r="G6815" s="391" t="s">
        <v>9567</v>
      </c>
    </row>
    <row r="6816" spans="7:7" x14ac:dyDescent="0.3">
      <c r="G6816" s="391" t="s">
        <v>9567</v>
      </c>
    </row>
    <row r="6817" spans="7:7" x14ac:dyDescent="0.3">
      <c r="G6817" s="391" t="s">
        <v>9567</v>
      </c>
    </row>
    <row r="6818" spans="7:7" x14ac:dyDescent="0.3">
      <c r="G6818" s="391" t="s">
        <v>9567</v>
      </c>
    </row>
    <row r="6819" spans="7:7" x14ac:dyDescent="0.3">
      <c r="G6819" s="391" t="s">
        <v>9567</v>
      </c>
    </row>
    <row r="6820" spans="7:7" x14ac:dyDescent="0.3">
      <c r="G6820" s="391" t="s">
        <v>9567</v>
      </c>
    </row>
    <row r="6821" spans="7:7" x14ac:dyDescent="0.3">
      <c r="G6821" s="391" t="s">
        <v>9567</v>
      </c>
    </row>
    <row r="6822" spans="7:7" x14ac:dyDescent="0.3">
      <c r="G6822" s="391" t="s">
        <v>9567</v>
      </c>
    </row>
    <row r="6823" spans="7:7" x14ac:dyDescent="0.3">
      <c r="G6823" s="391" t="s">
        <v>9567</v>
      </c>
    </row>
    <row r="6824" spans="7:7" x14ac:dyDescent="0.3">
      <c r="G6824" s="391" t="s">
        <v>9567</v>
      </c>
    </row>
    <row r="6825" spans="7:7" x14ac:dyDescent="0.3">
      <c r="G6825" s="391" t="s">
        <v>9567</v>
      </c>
    </row>
    <row r="6826" spans="7:7" x14ac:dyDescent="0.3">
      <c r="G6826" s="391" t="s">
        <v>9567</v>
      </c>
    </row>
    <row r="6827" spans="7:7" x14ac:dyDescent="0.3">
      <c r="G6827" s="391" t="s">
        <v>9567</v>
      </c>
    </row>
    <row r="6828" spans="7:7" x14ac:dyDescent="0.3">
      <c r="G6828" s="391" t="s">
        <v>9567</v>
      </c>
    </row>
    <row r="6829" spans="7:7" x14ac:dyDescent="0.3">
      <c r="G6829" s="391" t="s">
        <v>9567</v>
      </c>
    </row>
    <row r="6830" spans="7:7" x14ac:dyDescent="0.3">
      <c r="G6830" s="391" t="s">
        <v>9567</v>
      </c>
    </row>
    <row r="6831" spans="7:7" x14ac:dyDescent="0.3">
      <c r="G6831" s="391" t="s">
        <v>9567</v>
      </c>
    </row>
    <row r="6832" spans="7:7" x14ac:dyDescent="0.3">
      <c r="G6832" s="391" t="s">
        <v>9567</v>
      </c>
    </row>
    <row r="6833" spans="7:7" x14ac:dyDescent="0.3">
      <c r="G6833" s="391" t="s">
        <v>9567</v>
      </c>
    </row>
    <row r="6834" spans="7:7" x14ac:dyDescent="0.3">
      <c r="G6834" s="391" t="s">
        <v>9567</v>
      </c>
    </row>
    <row r="6835" spans="7:7" x14ac:dyDescent="0.3">
      <c r="G6835" s="391" t="s">
        <v>9567</v>
      </c>
    </row>
    <row r="6836" spans="7:7" x14ac:dyDescent="0.3">
      <c r="G6836" s="391" t="s">
        <v>9567</v>
      </c>
    </row>
    <row r="6837" spans="7:7" x14ac:dyDescent="0.3">
      <c r="G6837" s="391" t="s">
        <v>9567</v>
      </c>
    </row>
    <row r="6838" spans="7:7" x14ac:dyDescent="0.3">
      <c r="G6838" s="391" t="s">
        <v>9567</v>
      </c>
    </row>
    <row r="6839" spans="7:7" x14ac:dyDescent="0.3">
      <c r="G6839" s="391" t="s">
        <v>9567</v>
      </c>
    </row>
    <row r="6840" spans="7:7" x14ac:dyDescent="0.3">
      <c r="G6840" s="391" t="s">
        <v>9567</v>
      </c>
    </row>
    <row r="6841" spans="7:7" x14ac:dyDescent="0.3">
      <c r="G6841" s="391" t="s">
        <v>9567</v>
      </c>
    </row>
    <row r="6842" spans="7:7" x14ac:dyDescent="0.3">
      <c r="G6842" s="391" t="s">
        <v>9567</v>
      </c>
    </row>
    <row r="6843" spans="7:7" x14ac:dyDescent="0.3">
      <c r="G6843" s="391" t="s">
        <v>9567</v>
      </c>
    </row>
    <row r="6844" spans="7:7" x14ac:dyDescent="0.3">
      <c r="G6844" s="391" t="s">
        <v>9567</v>
      </c>
    </row>
    <row r="6845" spans="7:7" x14ac:dyDescent="0.3">
      <c r="G6845" s="391" t="s">
        <v>9567</v>
      </c>
    </row>
    <row r="6846" spans="7:7" x14ac:dyDescent="0.3">
      <c r="G6846" s="391" t="s">
        <v>9567</v>
      </c>
    </row>
    <row r="6847" spans="7:7" x14ac:dyDescent="0.3">
      <c r="G6847" s="391" t="s">
        <v>9567</v>
      </c>
    </row>
    <row r="6848" spans="7:7" x14ac:dyDescent="0.3">
      <c r="G6848" s="391" t="s">
        <v>9567</v>
      </c>
    </row>
    <row r="6849" spans="7:7" x14ac:dyDescent="0.3">
      <c r="G6849" s="391" t="s">
        <v>9567</v>
      </c>
    </row>
    <row r="6850" spans="7:7" x14ac:dyDescent="0.3">
      <c r="G6850" s="391" t="s">
        <v>9567</v>
      </c>
    </row>
    <row r="6851" spans="7:7" x14ac:dyDescent="0.3">
      <c r="G6851" s="391" t="s">
        <v>9567</v>
      </c>
    </row>
    <row r="6852" spans="7:7" x14ac:dyDescent="0.3">
      <c r="G6852" s="391" t="s">
        <v>9567</v>
      </c>
    </row>
    <row r="6853" spans="7:7" x14ac:dyDescent="0.3">
      <c r="G6853" s="391" t="s">
        <v>9567</v>
      </c>
    </row>
    <row r="6854" spans="7:7" x14ac:dyDescent="0.3">
      <c r="G6854" s="391" t="s">
        <v>9567</v>
      </c>
    </row>
    <row r="6855" spans="7:7" x14ac:dyDescent="0.3">
      <c r="G6855" s="391" t="s">
        <v>9567</v>
      </c>
    </row>
    <row r="6856" spans="7:7" x14ac:dyDescent="0.3">
      <c r="G6856" s="391" t="s">
        <v>9567</v>
      </c>
    </row>
    <row r="6857" spans="7:7" x14ac:dyDescent="0.3">
      <c r="G6857" s="391" t="s">
        <v>9567</v>
      </c>
    </row>
    <row r="6858" spans="7:7" x14ac:dyDescent="0.3">
      <c r="G6858" s="391" t="s">
        <v>9567</v>
      </c>
    </row>
    <row r="6859" spans="7:7" x14ac:dyDescent="0.3">
      <c r="G6859" s="391" t="s">
        <v>9567</v>
      </c>
    </row>
    <row r="6860" spans="7:7" x14ac:dyDescent="0.3">
      <c r="G6860" s="391" t="s">
        <v>9567</v>
      </c>
    </row>
    <row r="6861" spans="7:7" x14ac:dyDescent="0.3">
      <c r="G6861" s="391" t="s">
        <v>9567</v>
      </c>
    </row>
    <row r="6862" spans="7:7" x14ac:dyDescent="0.3">
      <c r="G6862" s="391" t="s">
        <v>9567</v>
      </c>
    </row>
    <row r="6863" spans="7:7" x14ac:dyDescent="0.3">
      <c r="G6863" s="391" t="s">
        <v>9567</v>
      </c>
    </row>
    <row r="6864" spans="7:7" x14ac:dyDescent="0.3">
      <c r="G6864" s="391" t="s">
        <v>9567</v>
      </c>
    </row>
    <row r="6865" spans="7:7" x14ac:dyDescent="0.3">
      <c r="G6865" s="391" t="s">
        <v>9567</v>
      </c>
    </row>
    <row r="6866" spans="7:7" x14ac:dyDescent="0.3">
      <c r="G6866" s="391" t="s">
        <v>9567</v>
      </c>
    </row>
    <row r="6867" spans="7:7" x14ac:dyDescent="0.3">
      <c r="G6867" s="391" t="s">
        <v>9567</v>
      </c>
    </row>
    <row r="6868" spans="7:7" x14ac:dyDescent="0.3">
      <c r="G6868" s="391" t="s">
        <v>9567</v>
      </c>
    </row>
    <row r="6869" spans="7:7" x14ac:dyDescent="0.3">
      <c r="G6869" s="391" t="s">
        <v>9567</v>
      </c>
    </row>
    <row r="6870" spans="7:7" x14ac:dyDescent="0.3">
      <c r="G6870" s="391" t="s">
        <v>9567</v>
      </c>
    </row>
    <row r="6871" spans="7:7" x14ac:dyDescent="0.3">
      <c r="G6871" s="391" t="s">
        <v>9567</v>
      </c>
    </row>
    <row r="6872" spans="7:7" x14ac:dyDescent="0.3">
      <c r="G6872" s="391" t="s">
        <v>9567</v>
      </c>
    </row>
    <row r="6873" spans="7:7" x14ac:dyDescent="0.3">
      <c r="G6873" s="391" t="s">
        <v>9567</v>
      </c>
    </row>
    <row r="6874" spans="7:7" x14ac:dyDescent="0.3">
      <c r="G6874" s="391" t="s">
        <v>9567</v>
      </c>
    </row>
    <row r="6875" spans="7:7" x14ac:dyDescent="0.3">
      <c r="G6875" s="391" t="s">
        <v>9567</v>
      </c>
    </row>
    <row r="6876" spans="7:7" x14ac:dyDescent="0.3">
      <c r="G6876" s="391" t="s">
        <v>9567</v>
      </c>
    </row>
    <row r="6877" spans="7:7" x14ac:dyDescent="0.3">
      <c r="G6877" s="391" t="s">
        <v>9567</v>
      </c>
    </row>
    <row r="6878" spans="7:7" x14ac:dyDescent="0.3">
      <c r="G6878" s="391" t="s">
        <v>9567</v>
      </c>
    </row>
    <row r="6879" spans="7:7" x14ac:dyDescent="0.3">
      <c r="G6879" s="391" t="s">
        <v>9567</v>
      </c>
    </row>
    <row r="6880" spans="7:7" x14ac:dyDescent="0.3">
      <c r="G6880" s="391" t="s">
        <v>9567</v>
      </c>
    </row>
    <row r="6881" spans="7:7" x14ac:dyDescent="0.3">
      <c r="G6881" s="391" t="s">
        <v>9567</v>
      </c>
    </row>
    <row r="6882" spans="7:7" x14ac:dyDescent="0.3">
      <c r="G6882" s="391" t="s">
        <v>9567</v>
      </c>
    </row>
    <row r="6883" spans="7:7" x14ac:dyDescent="0.3">
      <c r="G6883" s="391" t="s">
        <v>9567</v>
      </c>
    </row>
    <row r="6884" spans="7:7" x14ac:dyDescent="0.3">
      <c r="G6884" s="391" t="s">
        <v>9567</v>
      </c>
    </row>
    <row r="6885" spans="7:7" x14ac:dyDescent="0.3">
      <c r="G6885" s="391" t="s">
        <v>9567</v>
      </c>
    </row>
    <row r="6886" spans="7:7" x14ac:dyDescent="0.3">
      <c r="G6886" s="391" t="s">
        <v>9567</v>
      </c>
    </row>
    <row r="6887" spans="7:7" x14ac:dyDescent="0.3">
      <c r="G6887" s="391" t="s">
        <v>9567</v>
      </c>
    </row>
    <row r="6888" spans="7:7" x14ac:dyDescent="0.3">
      <c r="G6888" s="391" t="s">
        <v>9567</v>
      </c>
    </row>
    <row r="6889" spans="7:7" x14ac:dyDescent="0.3">
      <c r="G6889" s="391" t="s">
        <v>9567</v>
      </c>
    </row>
    <row r="6890" spans="7:7" x14ac:dyDescent="0.3">
      <c r="G6890" s="391" t="s">
        <v>9567</v>
      </c>
    </row>
    <row r="6891" spans="7:7" x14ac:dyDescent="0.3">
      <c r="G6891" s="391" t="s">
        <v>9567</v>
      </c>
    </row>
    <row r="6892" spans="7:7" x14ac:dyDescent="0.3">
      <c r="G6892" s="391" t="s">
        <v>9567</v>
      </c>
    </row>
    <row r="6893" spans="7:7" x14ac:dyDescent="0.3">
      <c r="G6893" s="391" t="s">
        <v>9567</v>
      </c>
    </row>
    <row r="6894" spans="7:7" x14ac:dyDescent="0.3">
      <c r="G6894" s="391" t="s">
        <v>9567</v>
      </c>
    </row>
    <row r="6895" spans="7:7" x14ac:dyDescent="0.3">
      <c r="G6895" s="391" t="s">
        <v>9567</v>
      </c>
    </row>
    <row r="6896" spans="7:7" x14ac:dyDescent="0.3">
      <c r="G6896" s="391" t="s">
        <v>9567</v>
      </c>
    </row>
    <row r="6897" spans="7:7" x14ac:dyDescent="0.3">
      <c r="G6897" s="391" t="s">
        <v>9567</v>
      </c>
    </row>
    <row r="6898" spans="7:7" x14ac:dyDescent="0.3">
      <c r="G6898" s="391" t="s">
        <v>9567</v>
      </c>
    </row>
    <row r="6899" spans="7:7" x14ac:dyDescent="0.3">
      <c r="G6899" s="391" t="s">
        <v>9567</v>
      </c>
    </row>
    <row r="6900" spans="7:7" x14ac:dyDescent="0.3">
      <c r="G6900" s="391" t="s">
        <v>9567</v>
      </c>
    </row>
    <row r="6901" spans="7:7" x14ac:dyDescent="0.3">
      <c r="G6901" s="391" t="s">
        <v>9567</v>
      </c>
    </row>
    <row r="6902" spans="7:7" x14ac:dyDescent="0.3">
      <c r="G6902" s="391" t="s">
        <v>9567</v>
      </c>
    </row>
    <row r="6903" spans="7:7" x14ac:dyDescent="0.3">
      <c r="G6903" s="391" t="s">
        <v>9567</v>
      </c>
    </row>
    <row r="6904" spans="7:7" x14ac:dyDescent="0.3">
      <c r="G6904" s="391" t="s">
        <v>9567</v>
      </c>
    </row>
    <row r="6905" spans="7:7" x14ac:dyDescent="0.3">
      <c r="G6905" s="391" t="s">
        <v>9567</v>
      </c>
    </row>
    <row r="6906" spans="7:7" x14ac:dyDescent="0.3">
      <c r="G6906" s="391" t="s">
        <v>9567</v>
      </c>
    </row>
    <row r="6907" spans="7:7" x14ac:dyDescent="0.3">
      <c r="G6907" s="391" t="s">
        <v>9567</v>
      </c>
    </row>
    <row r="6908" spans="7:7" x14ac:dyDescent="0.3">
      <c r="G6908" s="391" t="s">
        <v>9567</v>
      </c>
    </row>
    <row r="6909" spans="7:7" x14ac:dyDescent="0.3">
      <c r="G6909" s="391" t="s">
        <v>9567</v>
      </c>
    </row>
    <row r="6910" spans="7:7" x14ac:dyDescent="0.3">
      <c r="G6910" s="391" t="s">
        <v>9567</v>
      </c>
    </row>
    <row r="6911" spans="7:7" x14ac:dyDescent="0.3">
      <c r="G6911" s="391" t="s">
        <v>9567</v>
      </c>
    </row>
    <row r="6912" spans="7:7" x14ac:dyDescent="0.3">
      <c r="G6912" s="391" t="s">
        <v>9567</v>
      </c>
    </row>
    <row r="6913" spans="7:7" x14ac:dyDescent="0.3">
      <c r="G6913" s="391" t="s">
        <v>9567</v>
      </c>
    </row>
    <row r="6914" spans="7:7" x14ac:dyDescent="0.3">
      <c r="G6914" s="391" t="s">
        <v>9567</v>
      </c>
    </row>
    <row r="6915" spans="7:7" x14ac:dyDescent="0.3">
      <c r="G6915" s="391" t="s">
        <v>9567</v>
      </c>
    </row>
    <row r="6916" spans="7:7" x14ac:dyDescent="0.3">
      <c r="G6916" s="391" t="s">
        <v>9567</v>
      </c>
    </row>
    <row r="6917" spans="7:7" x14ac:dyDescent="0.3">
      <c r="G6917" s="391" t="s">
        <v>9567</v>
      </c>
    </row>
    <row r="6918" spans="7:7" x14ac:dyDescent="0.3">
      <c r="G6918" s="391" t="s">
        <v>9567</v>
      </c>
    </row>
    <row r="6919" spans="7:7" x14ac:dyDescent="0.3">
      <c r="G6919" s="391" t="s">
        <v>9567</v>
      </c>
    </row>
    <row r="6920" spans="7:7" x14ac:dyDescent="0.3">
      <c r="G6920" s="391" t="s">
        <v>9567</v>
      </c>
    </row>
    <row r="6921" spans="7:7" x14ac:dyDescent="0.3">
      <c r="G6921" s="391" t="s">
        <v>9567</v>
      </c>
    </row>
    <row r="6922" spans="7:7" x14ac:dyDescent="0.3">
      <c r="G6922" s="391" t="s">
        <v>9567</v>
      </c>
    </row>
    <row r="6923" spans="7:7" x14ac:dyDescent="0.3">
      <c r="G6923" s="391" t="s">
        <v>9567</v>
      </c>
    </row>
    <row r="6924" spans="7:7" x14ac:dyDescent="0.3">
      <c r="G6924" s="391" t="s">
        <v>9567</v>
      </c>
    </row>
    <row r="6925" spans="7:7" x14ac:dyDescent="0.3">
      <c r="G6925" s="391" t="s">
        <v>9567</v>
      </c>
    </row>
    <row r="6926" spans="7:7" x14ac:dyDescent="0.3">
      <c r="G6926" s="391" t="s">
        <v>9567</v>
      </c>
    </row>
    <row r="6927" spans="7:7" x14ac:dyDescent="0.3">
      <c r="G6927" s="391" t="s">
        <v>9567</v>
      </c>
    </row>
    <row r="6928" spans="7:7" x14ac:dyDescent="0.3">
      <c r="G6928" s="391" t="s">
        <v>9567</v>
      </c>
    </row>
    <row r="6929" spans="7:7" x14ac:dyDescent="0.3">
      <c r="G6929" s="391" t="s">
        <v>9567</v>
      </c>
    </row>
    <row r="6930" spans="7:7" x14ac:dyDescent="0.3">
      <c r="G6930" s="391" t="s">
        <v>9567</v>
      </c>
    </row>
    <row r="6931" spans="7:7" x14ac:dyDescent="0.3">
      <c r="G6931" s="391" t="s">
        <v>9567</v>
      </c>
    </row>
    <row r="6932" spans="7:7" x14ac:dyDescent="0.3">
      <c r="G6932" s="391" t="s">
        <v>9567</v>
      </c>
    </row>
    <row r="6933" spans="7:7" x14ac:dyDescent="0.3">
      <c r="G6933" s="391" t="s">
        <v>9567</v>
      </c>
    </row>
    <row r="6934" spans="7:7" x14ac:dyDescent="0.3">
      <c r="G6934" s="391" t="s">
        <v>9567</v>
      </c>
    </row>
    <row r="6935" spans="7:7" x14ac:dyDescent="0.3">
      <c r="G6935" s="391" t="s">
        <v>9567</v>
      </c>
    </row>
    <row r="6936" spans="7:7" x14ac:dyDescent="0.3">
      <c r="G6936" s="391" t="s">
        <v>9567</v>
      </c>
    </row>
    <row r="6937" spans="7:7" x14ac:dyDescent="0.3">
      <c r="G6937" s="391" t="s">
        <v>9567</v>
      </c>
    </row>
    <row r="6938" spans="7:7" x14ac:dyDescent="0.3">
      <c r="G6938" s="391" t="s">
        <v>9567</v>
      </c>
    </row>
    <row r="6939" spans="7:7" x14ac:dyDescent="0.3">
      <c r="G6939" s="391" t="s">
        <v>9567</v>
      </c>
    </row>
    <row r="6940" spans="7:7" x14ac:dyDescent="0.3">
      <c r="G6940" s="391" t="s">
        <v>9567</v>
      </c>
    </row>
    <row r="6941" spans="7:7" x14ac:dyDescent="0.3">
      <c r="G6941" s="391" t="s">
        <v>9567</v>
      </c>
    </row>
    <row r="6942" spans="7:7" x14ac:dyDescent="0.3">
      <c r="G6942" s="391" t="s">
        <v>9567</v>
      </c>
    </row>
    <row r="6943" spans="7:7" x14ac:dyDescent="0.3">
      <c r="G6943" s="391" t="s">
        <v>9567</v>
      </c>
    </row>
    <row r="6944" spans="7:7" x14ac:dyDescent="0.3">
      <c r="G6944" s="391" t="s">
        <v>9567</v>
      </c>
    </row>
    <row r="6945" spans="7:7" x14ac:dyDescent="0.3">
      <c r="G6945" s="391" t="s">
        <v>9567</v>
      </c>
    </row>
    <row r="6946" spans="7:7" x14ac:dyDescent="0.3">
      <c r="G6946" s="391" t="s">
        <v>9567</v>
      </c>
    </row>
    <row r="6947" spans="7:7" x14ac:dyDescent="0.3">
      <c r="G6947" s="391" t="s">
        <v>9567</v>
      </c>
    </row>
    <row r="6948" spans="7:7" x14ac:dyDescent="0.3">
      <c r="G6948" s="391" t="s">
        <v>9567</v>
      </c>
    </row>
    <row r="6949" spans="7:7" x14ac:dyDescent="0.3">
      <c r="G6949" s="391" t="s">
        <v>9567</v>
      </c>
    </row>
    <row r="6950" spans="7:7" x14ac:dyDescent="0.3">
      <c r="G6950" s="391" t="s">
        <v>9567</v>
      </c>
    </row>
    <row r="6951" spans="7:7" x14ac:dyDescent="0.3">
      <c r="G6951" s="391" t="s">
        <v>9567</v>
      </c>
    </row>
    <row r="6952" spans="7:7" x14ac:dyDescent="0.3">
      <c r="G6952" s="391" t="s">
        <v>9567</v>
      </c>
    </row>
    <row r="6953" spans="7:7" x14ac:dyDescent="0.3">
      <c r="G6953" s="391" t="s">
        <v>9567</v>
      </c>
    </row>
    <row r="6954" spans="7:7" x14ac:dyDescent="0.3">
      <c r="G6954" s="391" t="s">
        <v>9567</v>
      </c>
    </row>
    <row r="6955" spans="7:7" x14ac:dyDescent="0.3">
      <c r="G6955" s="391" t="s">
        <v>9567</v>
      </c>
    </row>
    <row r="6956" spans="7:7" x14ac:dyDescent="0.3">
      <c r="G6956" s="391" t="s">
        <v>9567</v>
      </c>
    </row>
    <row r="6957" spans="7:7" x14ac:dyDescent="0.3">
      <c r="G6957" s="391" t="s">
        <v>9567</v>
      </c>
    </row>
    <row r="6958" spans="7:7" x14ac:dyDescent="0.3">
      <c r="G6958" s="391" t="s">
        <v>9567</v>
      </c>
    </row>
    <row r="6959" spans="7:7" x14ac:dyDescent="0.3">
      <c r="G6959" s="391" t="s">
        <v>9567</v>
      </c>
    </row>
    <row r="6960" spans="7:7" x14ac:dyDescent="0.3">
      <c r="G6960" s="391" t="s">
        <v>9567</v>
      </c>
    </row>
    <row r="6961" spans="7:7" x14ac:dyDescent="0.3">
      <c r="G6961" s="391" t="s">
        <v>9567</v>
      </c>
    </row>
    <row r="6962" spans="7:7" x14ac:dyDescent="0.3">
      <c r="G6962" s="391" t="s">
        <v>9567</v>
      </c>
    </row>
    <row r="6963" spans="7:7" x14ac:dyDescent="0.3">
      <c r="G6963" s="391" t="s">
        <v>9567</v>
      </c>
    </row>
    <row r="6964" spans="7:7" x14ac:dyDescent="0.3">
      <c r="G6964" s="391" t="s">
        <v>9567</v>
      </c>
    </row>
    <row r="6965" spans="7:7" x14ac:dyDescent="0.3">
      <c r="G6965" s="391" t="s">
        <v>9567</v>
      </c>
    </row>
    <row r="6966" spans="7:7" x14ac:dyDescent="0.3">
      <c r="G6966" s="391" t="s">
        <v>9567</v>
      </c>
    </row>
    <row r="6967" spans="7:7" x14ac:dyDescent="0.3">
      <c r="G6967" s="391" t="s">
        <v>9567</v>
      </c>
    </row>
    <row r="6968" spans="7:7" x14ac:dyDescent="0.3">
      <c r="G6968" s="391" t="s">
        <v>9567</v>
      </c>
    </row>
    <row r="6969" spans="7:7" x14ac:dyDescent="0.3">
      <c r="G6969" s="391" t="s">
        <v>9567</v>
      </c>
    </row>
    <row r="6970" spans="7:7" x14ac:dyDescent="0.3">
      <c r="G6970" s="391" t="s">
        <v>9567</v>
      </c>
    </row>
    <row r="6971" spans="7:7" x14ac:dyDescent="0.3">
      <c r="G6971" s="391" t="s">
        <v>9567</v>
      </c>
    </row>
    <row r="6972" spans="7:7" x14ac:dyDescent="0.3">
      <c r="G6972" s="391" t="s">
        <v>9567</v>
      </c>
    </row>
    <row r="6973" spans="7:7" x14ac:dyDescent="0.3">
      <c r="G6973" s="391" t="s">
        <v>9567</v>
      </c>
    </row>
    <row r="6974" spans="7:7" x14ac:dyDescent="0.3">
      <c r="G6974" s="391" t="s">
        <v>9567</v>
      </c>
    </row>
    <row r="6975" spans="7:7" x14ac:dyDescent="0.3">
      <c r="G6975" s="391" t="s">
        <v>9567</v>
      </c>
    </row>
    <row r="6976" spans="7:7" x14ac:dyDescent="0.3">
      <c r="G6976" s="391" t="s">
        <v>9567</v>
      </c>
    </row>
    <row r="6977" spans="7:7" x14ac:dyDescent="0.3">
      <c r="G6977" s="391" t="s">
        <v>9567</v>
      </c>
    </row>
    <row r="6978" spans="7:7" x14ac:dyDescent="0.3">
      <c r="G6978" s="391" t="s">
        <v>9567</v>
      </c>
    </row>
    <row r="6979" spans="7:7" x14ac:dyDescent="0.3">
      <c r="G6979" s="391" t="s">
        <v>9567</v>
      </c>
    </row>
    <row r="6980" spans="7:7" x14ac:dyDescent="0.3">
      <c r="G6980" s="391" t="s">
        <v>9567</v>
      </c>
    </row>
    <row r="6981" spans="7:7" x14ac:dyDescent="0.3">
      <c r="G6981" s="391" t="s">
        <v>9567</v>
      </c>
    </row>
    <row r="6982" spans="7:7" x14ac:dyDescent="0.3">
      <c r="G6982" s="391" t="s">
        <v>9567</v>
      </c>
    </row>
    <row r="6983" spans="7:7" x14ac:dyDescent="0.3">
      <c r="G6983" s="391" t="s">
        <v>9567</v>
      </c>
    </row>
    <row r="6984" spans="7:7" x14ac:dyDescent="0.3">
      <c r="G6984" s="391" t="s">
        <v>9567</v>
      </c>
    </row>
    <row r="6985" spans="7:7" x14ac:dyDescent="0.3">
      <c r="G6985" s="391" t="s">
        <v>9567</v>
      </c>
    </row>
    <row r="6986" spans="7:7" x14ac:dyDescent="0.3">
      <c r="G6986" s="391" t="s">
        <v>9567</v>
      </c>
    </row>
    <row r="6987" spans="7:7" x14ac:dyDescent="0.3">
      <c r="G6987" s="391" t="s">
        <v>9567</v>
      </c>
    </row>
    <row r="6988" spans="7:7" x14ac:dyDescent="0.3">
      <c r="G6988" s="391" t="s">
        <v>9567</v>
      </c>
    </row>
    <row r="6989" spans="7:7" x14ac:dyDescent="0.3">
      <c r="G6989" s="391" t="s">
        <v>9567</v>
      </c>
    </row>
    <row r="6990" spans="7:7" x14ac:dyDescent="0.3">
      <c r="G6990" s="391" t="s">
        <v>9567</v>
      </c>
    </row>
    <row r="6991" spans="7:7" x14ac:dyDescent="0.3">
      <c r="G6991" s="391" t="s">
        <v>9567</v>
      </c>
    </row>
    <row r="6992" spans="7:7" x14ac:dyDescent="0.3">
      <c r="G6992" s="391" t="s">
        <v>9567</v>
      </c>
    </row>
    <row r="6993" spans="7:7" x14ac:dyDescent="0.3">
      <c r="G6993" s="391" t="s">
        <v>9567</v>
      </c>
    </row>
    <row r="6994" spans="7:7" x14ac:dyDescent="0.3">
      <c r="G6994" s="391" t="s">
        <v>9567</v>
      </c>
    </row>
    <row r="6995" spans="7:7" x14ac:dyDescent="0.3">
      <c r="G6995" s="391" t="s">
        <v>9567</v>
      </c>
    </row>
    <row r="6996" spans="7:7" x14ac:dyDescent="0.3">
      <c r="G6996" s="391" t="s">
        <v>9567</v>
      </c>
    </row>
    <row r="6997" spans="7:7" x14ac:dyDescent="0.3">
      <c r="G6997" s="391" t="s">
        <v>9567</v>
      </c>
    </row>
    <row r="6998" spans="7:7" x14ac:dyDescent="0.3">
      <c r="G6998" s="391" t="s">
        <v>9567</v>
      </c>
    </row>
    <row r="6999" spans="7:7" x14ac:dyDescent="0.3">
      <c r="G6999" s="391" t="s">
        <v>9567</v>
      </c>
    </row>
    <row r="7000" spans="7:7" x14ac:dyDescent="0.3">
      <c r="G7000" s="391" t="s">
        <v>9567</v>
      </c>
    </row>
    <row r="7001" spans="7:7" x14ac:dyDescent="0.3">
      <c r="G7001" s="391" t="s">
        <v>9567</v>
      </c>
    </row>
    <row r="7002" spans="7:7" x14ac:dyDescent="0.3">
      <c r="G7002" s="391" t="s">
        <v>9567</v>
      </c>
    </row>
    <row r="7003" spans="7:7" x14ac:dyDescent="0.3">
      <c r="G7003" s="391" t="s">
        <v>9567</v>
      </c>
    </row>
    <row r="7004" spans="7:7" x14ac:dyDescent="0.3">
      <c r="G7004" s="391" t="s">
        <v>9567</v>
      </c>
    </row>
    <row r="7005" spans="7:7" x14ac:dyDescent="0.3">
      <c r="G7005" s="391" t="s">
        <v>9567</v>
      </c>
    </row>
    <row r="7006" spans="7:7" x14ac:dyDescent="0.3">
      <c r="G7006" s="391" t="s">
        <v>9567</v>
      </c>
    </row>
    <row r="7007" spans="7:7" x14ac:dyDescent="0.3">
      <c r="G7007" s="391" t="s">
        <v>9567</v>
      </c>
    </row>
    <row r="7008" spans="7:7" x14ac:dyDescent="0.3">
      <c r="G7008" s="391" t="s">
        <v>9567</v>
      </c>
    </row>
    <row r="7009" spans="7:7" x14ac:dyDescent="0.3">
      <c r="G7009" s="391" t="s">
        <v>9567</v>
      </c>
    </row>
    <row r="7010" spans="7:7" x14ac:dyDescent="0.3">
      <c r="G7010" s="391" t="s">
        <v>9567</v>
      </c>
    </row>
    <row r="7011" spans="7:7" x14ac:dyDescent="0.3">
      <c r="G7011" s="391" t="s">
        <v>9567</v>
      </c>
    </row>
    <row r="7012" spans="7:7" x14ac:dyDescent="0.3">
      <c r="G7012" s="391" t="s">
        <v>9567</v>
      </c>
    </row>
    <row r="7013" spans="7:7" x14ac:dyDescent="0.3">
      <c r="G7013" s="391" t="s">
        <v>9567</v>
      </c>
    </row>
    <row r="7014" spans="7:7" x14ac:dyDescent="0.3">
      <c r="G7014" s="391" t="s">
        <v>9567</v>
      </c>
    </row>
    <row r="7015" spans="7:7" x14ac:dyDescent="0.3">
      <c r="G7015" s="391" t="s">
        <v>9567</v>
      </c>
    </row>
    <row r="7016" spans="7:7" x14ac:dyDescent="0.3">
      <c r="G7016" s="391" t="s">
        <v>9567</v>
      </c>
    </row>
    <row r="7017" spans="7:7" x14ac:dyDescent="0.3">
      <c r="G7017" s="391" t="s">
        <v>9567</v>
      </c>
    </row>
    <row r="7018" spans="7:7" x14ac:dyDescent="0.3">
      <c r="G7018" s="391" t="s">
        <v>9567</v>
      </c>
    </row>
    <row r="7019" spans="7:7" x14ac:dyDescent="0.3">
      <c r="G7019" s="391" t="s">
        <v>9567</v>
      </c>
    </row>
    <row r="7020" spans="7:7" x14ac:dyDescent="0.3">
      <c r="G7020" s="391" t="s">
        <v>9567</v>
      </c>
    </row>
    <row r="7021" spans="7:7" x14ac:dyDescent="0.3">
      <c r="G7021" s="391" t="s">
        <v>9567</v>
      </c>
    </row>
    <row r="7022" spans="7:7" x14ac:dyDescent="0.3">
      <c r="G7022" s="391" t="s">
        <v>9567</v>
      </c>
    </row>
    <row r="7023" spans="7:7" x14ac:dyDescent="0.3">
      <c r="G7023" s="391" t="s">
        <v>9567</v>
      </c>
    </row>
    <row r="7024" spans="7:7" x14ac:dyDescent="0.3">
      <c r="G7024" s="391" t="s">
        <v>9567</v>
      </c>
    </row>
    <row r="7025" spans="7:7" x14ac:dyDescent="0.3">
      <c r="G7025" s="391" t="s">
        <v>9567</v>
      </c>
    </row>
    <row r="7026" spans="7:7" x14ac:dyDescent="0.3">
      <c r="G7026" s="391" t="s">
        <v>9567</v>
      </c>
    </row>
    <row r="7027" spans="7:7" x14ac:dyDescent="0.3">
      <c r="G7027" s="391" t="s">
        <v>9567</v>
      </c>
    </row>
    <row r="7028" spans="7:7" x14ac:dyDescent="0.3">
      <c r="G7028" s="391" t="s">
        <v>9567</v>
      </c>
    </row>
    <row r="7029" spans="7:7" x14ac:dyDescent="0.3">
      <c r="G7029" s="391" t="s">
        <v>9567</v>
      </c>
    </row>
    <row r="7030" spans="7:7" x14ac:dyDescent="0.3">
      <c r="G7030" s="391" t="s">
        <v>9567</v>
      </c>
    </row>
    <row r="7031" spans="7:7" x14ac:dyDescent="0.3">
      <c r="G7031" s="391" t="s">
        <v>9567</v>
      </c>
    </row>
    <row r="7032" spans="7:7" x14ac:dyDescent="0.3">
      <c r="G7032" s="391" t="s">
        <v>9567</v>
      </c>
    </row>
    <row r="7033" spans="7:7" x14ac:dyDescent="0.3">
      <c r="G7033" s="391" t="s">
        <v>9567</v>
      </c>
    </row>
    <row r="7034" spans="7:7" x14ac:dyDescent="0.3">
      <c r="G7034" s="391" t="s">
        <v>9567</v>
      </c>
    </row>
    <row r="7035" spans="7:7" x14ac:dyDescent="0.3">
      <c r="G7035" s="391" t="s">
        <v>9567</v>
      </c>
    </row>
    <row r="7036" spans="7:7" x14ac:dyDescent="0.3">
      <c r="G7036" s="391" t="s">
        <v>9567</v>
      </c>
    </row>
    <row r="7037" spans="7:7" x14ac:dyDescent="0.3">
      <c r="G7037" s="391" t="s">
        <v>9567</v>
      </c>
    </row>
    <row r="7038" spans="7:7" x14ac:dyDescent="0.3">
      <c r="G7038" s="391" t="s">
        <v>9567</v>
      </c>
    </row>
    <row r="7039" spans="7:7" x14ac:dyDescent="0.3">
      <c r="G7039" s="391" t="s">
        <v>9567</v>
      </c>
    </row>
    <row r="7040" spans="7:7" x14ac:dyDescent="0.3">
      <c r="G7040" s="391" t="s">
        <v>9567</v>
      </c>
    </row>
    <row r="7041" spans="7:7" x14ac:dyDescent="0.3">
      <c r="G7041" s="391" t="s">
        <v>9567</v>
      </c>
    </row>
    <row r="7042" spans="7:7" x14ac:dyDescent="0.3">
      <c r="G7042" s="391" t="s">
        <v>9567</v>
      </c>
    </row>
    <row r="7043" spans="7:7" x14ac:dyDescent="0.3">
      <c r="G7043" s="391" t="s">
        <v>9567</v>
      </c>
    </row>
    <row r="7044" spans="7:7" x14ac:dyDescent="0.3">
      <c r="G7044" s="391" t="s">
        <v>9567</v>
      </c>
    </row>
    <row r="7045" spans="7:7" x14ac:dyDescent="0.3">
      <c r="G7045" s="391" t="s">
        <v>9567</v>
      </c>
    </row>
    <row r="7046" spans="7:7" x14ac:dyDescent="0.3">
      <c r="G7046" s="391" t="s">
        <v>9567</v>
      </c>
    </row>
    <row r="7047" spans="7:7" x14ac:dyDescent="0.3">
      <c r="G7047" s="391" t="s">
        <v>9567</v>
      </c>
    </row>
    <row r="7048" spans="7:7" x14ac:dyDescent="0.3">
      <c r="G7048" s="391" t="s">
        <v>9567</v>
      </c>
    </row>
    <row r="7049" spans="7:7" x14ac:dyDescent="0.3">
      <c r="G7049" s="391" t="s">
        <v>9567</v>
      </c>
    </row>
    <row r="7050" spans="7:7" x14ac:dyDescent="0.3">
      <c r="G7050" s="391" t="s">
        <v>9567</v>
      </c>
    </row>
    <row r="7051" spans="7:7" x14ac:dyDescent="0.3">
      <c r="G7051" s="391" t="s">
        <v>9567</v>
      </c>
    </row>
    <row r="7052" spans="7:7" x14ac:dyDescent="0.3">
      <c r="G7052" s="391" t="s">
        <v>9567</v>
      </c>
    </row>
    <row r="7053" spans="7:7" x14ac:dyDescent="0.3">
      <c r="G7053" s="391" t="s">
        <v>9567</v>
      </c>
    </row>
    <row r="7054" spans="7:7" x14ac:dyDescent="0.3">
      <c r="G7054" s="391" t="s">
        <v>9567</v>
      </c>
    </row>
    <row r="7055" spans="7:7" x14ac:dyDescent="0.3">
      <c r="G7055" s="391" t="s">
        <v>9567</v>
      </c>
    </row>
    <row r="7056" spans="7:7" x14ac:dyDescent="0.3">
      <c r="G7056" s="391" t="s">
        <v>9567</v>
      </c>
    </row>
    <row r="7057" spans="7:7" x14ac:dyDescent="0.3">
      <c r="G7057" s="391" t="s">
        <v>9567</v>
      </c>
    </row>
    <row r="7058" spans="7:7" x14ac:dyDescent="0.3">
      <c r="G7058" s="391" t="s">
        <v>9567</v>
      </c>
    </row>
    <row r="7059" spans="7:7" x14ac:dyDescent="0.3">
      <c r="G7059" s="391" t="s">
        <v>9567</v>
      </c>
    </row>
    <row r="7060" spans="7:7" x14ac:dyDescent="0.3">
      <c r="G7060" s="391" t="s">
        <v>9567</v>
      </c>
    </row>
    <row r="7061" spans="7:7" x14ac:dyDescent="0.3">
      <c r="G7061" s="391" t="s">
        <v>9567</v>
      </c>
    </row>
    <row r="7062" spans="7:7" x14ac:dyDescent="0.3">
      <c r="G7062" s="391" t="s">
        <v>9567</v>
      </c>
    </row>
    <row r="7063" spans="7:7" x14ac:dyDescent="0.3">
      <c r="G7063" s="391" t="s">
        <v>9567</v>
      </c>
    </row>
    <row r="7064" spans="7:7" x14ac:dyDescent="0.3">
      <c r="G7064" s="391" t="s">
        <v>9567</v>
      </c>
    </row>
    <row r="7065" spans="7:7" x14ac:dyDescent="0.3">
      <c r="G7065" s="391" t="s">
        <v>9567</v>
      </c>
    </row>
    <row r="7066" spans="7:7" x14ac:dyDescent="0.3">
      <c r="G7066" s="391" t="s">
        <v>9567</v>
      </c>
    </row>
    <row r="7067" spans="7:7" x14ac:dyDescent="0.3">
      <c r="G7067" s="391" t="s">
        <v>9567</v>
      </c>
    </row>
    <row r="7068" spans="7:7" x14ac:dyDescent="0.3">
      <c r="G7068" s="391" t="s">
        <v>9567</v>
      </c>
    </row>
    <row r="7069" spans="7:7" x14ac:dyDescent="0.3">
      <c r="G7069" s="391" t="s">
        <v>9567</v>
      </c>
    </row>
    <row r="7070" spans="7:7" x14ac:dyDescent="0.3">
      <c r="G7070" s="391" t="s">
        <v>9567</v>
      </c>
    </row>
    <row r="7071" spans="7:7" x14ac:dyDescent="0.3">
      <c r="G7071" s="391" t="s">
        <v>9567</v>
      </c>
    </row>
    <row r="7072" spans="7:7" x14ac:dyDescent="0.3">
      <c r="G7072" s="391" t="s">
        <v>9567</v>
      </c>
    </row>
    <row r="7073" spans="7:7" x14ac:dyDescent="0.3">
      <c r="G7073" s="391" t="s">
        <v>9567</v>
      </c>
    </row>
    <row r="7074" spans="7:7" x14ac:dyDescent="0.3">
      <c r="G7074" s="391" t="s">
        <v>9567</v>
      </c>
    </row>
    <row r="7075" spans="7:7" x14ac:dyDescent="0.3">
      <c r="G7075" s="391" t="s">
        <v>9567</v>
      </c>
    </row>
    <row r="7076" spans="7:7" x14ac:dyDescent="0.3">
      <c r="G7076" s="391" t="s">
        <v>9567</v>
      </c>
    </row>
    <row r="7077" spans="7:7" x14ac:dyDescent="0.3">
      <c r="G7077" s="391" t="s">
        <v>9567</v>
      </c>
    </row>
    <row r="7078" spans="7:7" x14ac:dyDescent="0.3">
      <c r="G7078" s="391" t="s">
        <v>9567</v>
      </c>
    </row>
    <row r="7079" spans="7:7" x14ac:dyDescent="0.3">
      <c r="G7079" s="391" t="s">
        <v>9567</v>
      </c>
    </row>
    <row r="7080" spans="7:7" x14ac:dyDescent="0.3">
      <c r="G7080" s="391" t="s">
        <v>9567</v>
      </c>
    </row>
    <row r="7081" spans="7:7" x14ac:dyDescent="0.3">
      <c r="G7081" s="391" t="s">
        <v>9567</v>
      </c>
    </row>
    <row r="7082" spans="7:7" x14ac:dyDescent="0.3">
      <c r="G7082" s="391" t="s">
        <v>9567</v>
      </c>
    </row>
    <row r="7083" spans="7:7" x14ac:dyDescent="0.3">
      <c r="G7083" s="391" t="s">
        <v>9567</v>
      </c>
    </row>
    <row r="7084" spans="7:7" x14ac:dyDescent="0.3">
      <c r="G7084" s="391" t="s">
        <v>9567</v>
      </c>
    </row>
    <row r="7085" spans="7:7" x14ac:dyDescent="0.3">
      <c r="G7085" s="391" t="s">
        <v>9567</v>
      </c>
    </row>
    <row r="7086" spans="7:7" x14ac:dyDescent="0.3">
      <c r="G7086" s="391" t="s">
        <v>9567</v>
      </c>
    </row>
    <row r="7087" spans="7:7" x14ac:dyDescent="0.3">
      <c r="G7087" s="391" t="s">
        <v>9567</v>
      </c>
    </row>
    <row r="7088" spans="7:7" x14ac:dyDescent="0.3">
      <c r="G7088" s="391" t="s">
        <v>9567</v>
      </c>
    </row>
    <row r="7089" spans="7:7" x14ac:dyDescent="0.3">
      <c r="G7089" s="391" t="s">
        <v>9567</v>
      </c>
    </row>
    <row r="7090" spans="7:7" x14ac:dyDescent="0.3">
      <c r="G7090" s="391" t="s">
        <v>9567</v>
      </c>
    </row>
    <row r="7091" spans="7:7" x14ac:dyDescent="0.3">
      <c r="G7091" s="391" t="s">
        <v>9567</v>
      </c>
    </row>
    <row r="7092" spans="7:7" x14ac:dyDescent="0.3">
      <c r="G7092" s="391" t="s">
        <v>9567</v>
      </c>
    </row>
    <row r="7093" spans="7:7" x14ac:dyDescent="0.3">
      <c r="G7093" s="391" t="s">
        <v>9567</v>
      </c>
    </row>
    <row r="7094" spans="7:7" x14ac:dyDescent="0.3">
      <c r="G7094" s="391" t="s">
        <v>9567</v>
      </c>
    </row>
    <row r="7095" spans="7:7" x14ac:dyDescent="0.3">
      <c r="G7095" s="391" t="s">
        <v>9567</v>
      </c>
    </row>
    <row r="7096" spans="7:7" x14ac:dyDescent="0.3">
      <c r="G7096" s="391" t="s">
        <v>9567</v>
      </c>
    </row>
    <row r="7097" spans="7:7" x14ac:dyDescent="0.3">
      <c r="G7097" s="391" t="s">
        <v>9567</v>
      </c>
    </row>
    <row r="7098" spans="7:7" x14ac:dyDescent="0.3">
      <c r="G7098" s="391" t="s">
        <v>9567</v>
      </c>
    </row>
    <row r="7099" spans="7:7" x14ac:dyDescent="0.3">
      <c r="G7099" s="391" t="s">
        <v>9567</v>
      </c>
    </row>
    <row r="7100" spans="7:7" x14ac:dyDescent="0.3">
      <c r="G7100" s="391" t="s">
        <v>9567</v>
      </c>
    </row>
    <row r="7101" spans="7:7" x14ac:dyDescent="0.3">
      <c r="G7101" s="391" t="s">
        <v>9567</v>
      </c>
    </row>
    <row r="7102" spans="7:7" x14ac:dyDescent="0.3">
      <c r="G7102" s="391" t="s">
        <v>9567</v>
      </c>
    </row>
    <row r="7103" spans="7:7" x14ac:dyDescent="0.3">
      <c r="G7103" s="391" t="s">
        <v>9567</v>
      </c>
    </row>
    <row r="7104" spans="7:7" x14ac:dyDescent="0.3">
      <c r="G7104" s="391" t="s">
        <v>9567</v>
      </c>
    </row>
    <row r="7105" spans="7:7" x14ac:dyDescent="0.3">
      <c r="G7105" s="391" t="s">
        <v>9567</v>
      </c>
    </row>
    <row r="7106" spans="7:7" x14ac:dyDescent="0.3">
      <c r="G7106" s="391" t="s">
        <v>9567</v>
      </c>
    </row>
    <row r="7107" spans="7:7" x14ac:dyDescent="0.3">
      <c r="G7107" s="391" t="s">
        <v>9567</v>
      </c>
    </row>
    <row r="7108" spans="7:7" x14ac:dyDescent="0.3">
      <c r="G7108" s="391" t="s">
        <v>9567</v>
      </c>
    </row>
    <row r="7109" spans="7:7" x14ac:dyDescent="0.3">
      <c r="G7109" s="391" t="s">
        <v>9567</v>
      </c>
    </row>
    <row r="7110" spans="7:7" x14ac:dyDescent="0.3">
      <c r="G7110" s="391" t="s">
        <v>9567</v>
      </c>
    </row>
    <row r="7111" spans="7:7" x14ac:dyDescent="0.3">
      <c r="G7111" s="391" t="s">
        <v>9567</v>
      </c>
    </row>
    <row r="7112" spans="7:7" x14ac:dyDescent="0.3">
      <c r="G7112" s="391" t="s">
        <v>9567</v>
      </c>
    </row>
    <row r="7113" spans="7:7" x14ac:dyDescent="0.3">
      <c r="G7113" s="391" t="s">
        <v>9567</v>
      </c>
    </row>
    <row r="7114" spans="7:7" x14ac:dyDescent="0.3">
      <c r="G7114" s="391" t="s">
        <v>9567</v>
      </c>
    </row>
    <row r="7115" spans="7:7" x14ac:dyDescent="0.3">
      <c r="G7115" s="391" t="s">
        <v>9567</v>
      </c>
    </row>
    <row r="7116" spans="7:7" x14ac:dyDescent="0.3">
      <c r="G7116" s="391" t="s">
        <v>9567</v>
      </c>
    </row>
    <row r="7117" spans="7:7" x14ac:dyDescent="0.3">
      <c r="G7117" s="391" t="s">
        <v>9567</v>
      </c>
    </row>
    <row r="7118" spans="7:7" x14ac:dyDescent="0.3">
      <c r="G7118" s="391" t="s">
        <v>9567</v>
      </c>
    </row>
    <row r="7119" spans="7:7" x14ac:dyDescent="0.3">
      <c r="G7119" s="391" t="s">
        <v>9567</v>
      </c>
    </row>
    <row r="7120" spans="7:7" x14ac:dyDescent="0.3">
      <c r="G7120" s="391" t="s">
        <v>9567</v>
      </c>
    </row>
    <row r="7121" spans="7:7" x14ac:dyDescent="0.3">
      <c r="G7121" s="391" t="s">
        <v>9567</v>
      </c>
    </row>
    <row r="7122" spans="7:7" x14ac:dyDescent="0.3">
      <c r="G7122" s="391" t="s">
        <v>9567</v>
      </c>
    </row>
    <row r="7123" spans="7:7" x14ac:dyDescent="0.3">
      <c r="G7123" s="391" t="s">
        <v>9567</v>
      </c>
    </row>
    <row r="7124" spans="7:7" x14ac:dyDescent="0.3">
      <c r="G7124" s="391" t="s">
        <v>9567</v>
      </c>
    </row>
    <row r="7125" spans="7:7" x14ac:dyDescent="0.3">
      <c r="G7125" s="391" t="s">
        <v>9567</v>
      </c>
    </row>
    <row r="7126" spans="7:7" x14ac:dyDescent="0.3">
      <c r="G7126" s="391" t="s">
        <v>9567</v>
      </c>
    </row>
    <row r="7127" spans="7:7" x14ac:dyDescent="0.3">
      <c r="G7127" s="391" t="s">
        <v>9567</v>
      </c>
    </row>
    <row r="7128" spans="7:7" x14ac:dyDescent="0.3">
      <c r="G7128" s="391" t="s">
        <v>9567</v>
      </c>
    </row>
    <row r="7129" spans="7:7" x14ac:dyDescent="0.3">
      <c r="G7129" s="391" t="s">
        <v>9567</v>
      </c>
    </row>
    <row r="7130" spans="7:7" x14ac:dyDescent="0.3">
      <c r="G7130" s="391" t="s">
        <v>9567</v>
      </c>
    </row>
    <row r="7131" spans="7:7" x14ac:dyDescent="0.3">
      <c r="G7131" s="391" t="s">
        <v>9567</v>
      </c>
    </row>
    <row r="7132" spans="7:7" x14ac:dyDescent="0.3">
      <c r="G7132" s="391" t="s">
        <v>9567</v>
      </c>
    </row>
    <row r="7133" spans="7:7" x14ac:dyDescent="0.3">
      <c r="G7133" s="391" t="s">
        <v>9567</v>
      </c>
    </row>
    <row r="7134" spans="7:7" x14ac:dyDescent="0.3">
      <c r="G7134" s="391" t="s">
        <v>9567</v>
      </c>
    </row>
    <row r="7135" spans="7:7" x14ac:dyDescent="0.3">
      <c r="G7135" s="391" t="s">
        <v>9567</v>
      </c>
    </row>
    <row r="7136" spans="7:7" x14ac:dyDescent="0.3">
      <c r="G7136" s="391" t="s">
        <v>9567</v>
      </c>
    </row>
    <row r="7137" spans="7:7" x14ac:dyDescent="0.3">
      <c r="G7137" s="391" t="s">
        <v>9567</v>
      </c>
    </row>
    <row r="7138" spans="7:7" x14ac:dyDescent="0.3">
      <c r="G7138" s="391" t="s">
        <v>9567</v>
      </c>
    </row>
    <row r="7139" spans="7:7" x14ac:dyDescent="0.3">
      <c r="G7139" s="391" t="s">
        <v>9567</v>
      </c>
    </row>
    <row r="7140" spans="7:7" x14ac:dyDescent="0.3">
      <c r="G7140" s="391" t="s">
        <v>9567</v>
      </c>
    </row>
    <row r="7141" spans="7:7" x14ac:dyDescent="0.3">
      <c r="G7141" s="391" t="s">
        <v>9567</v>
      </c>
    </row>
    <row r="7142" spans="7:7" x14ac:dyDescent="0.3">
      <c r="G7142" s="391" t="s">
        <v>9567</v>
      </c>
    </row>
    <row r="7143" spans="7:7" x14ac:dyDescent="0.3">
      <c r="G7143" s="391" t="s">
        <v>9567</v>
      </c>
    </row>
    <row r="7144" spans="7:7" x14ac:dyDescent="0.3">
      <c r="G7144" s="391" t="s">
        <v>9567</v>
      </c>
    </row>
    <row r="7145" spans="7:7" x14ac:dyDescent="0.3">
      <c r="G7145" s="391" t="s">
        <v>9567</v>
      </c>
    </row>
    <row r="7146" spans="7:7" x14ac:dyDescent="0.3">
      <c r="G7146" s="391" t="s">
        <v>9567</v>
      </c>
    </row>
    <row r="7147" spans="7:7" x14ac:dyDescent="0.3">
      <c r="G7147" s="391" t="s">
        <v>9567</v>
      </c>
    </row>
    <row r="7148" spans="7:7" x14ac:dyDescent="0.3">
      <c r="G7148" s="391" t="s">
        <v>9567</v>
      </c>
    </row>
    <row r="7149" spans="7:7" x14ac:dyDescent="0.3">
      <c r="G7149" s="391" t="s">
        <v>9567</v>
      </c>
    </row>
    <row r="7150" spans="7:7" x14ac:dyDescent="0.3">
      <c r="G7150" s="391" t="s">
        <v>9567</v>
      </c>
    </row>
    <row r="7151" spans="7:7" x14ac:dyDescent="0.3">
      <c r="G7151" s="391" t="s">
        <v>9567</v>
      </c>
    </row>
    <row r="7152" spans="7:7" x14ac:dyDescent="0.3">
      <c r="G7152" s="391" t="s">
        <v>9567</v>
      </c>
    </row>
    <row r="7153" spans="7:7" x14ac:dyDescent="0.3">
      <c r="G7153" s="391" t="s">
        <v>9567</v>
      </c>
    </row>
    <row r="7154" spans="7:7" x14ac:dyDescent="0.3">
      <c r="G7154" s="391" t="s">
        <v>9567</v>
      </c>
    </row>
    <row r="7155" spans="7:7" x14ac:dyDescent="0.3">
      <c r="G7155" s="391" t="s">
        <v>9567</v>
      </c>
    </row>
    <row r="7156" spans="7:7" x14ac:dyDescent="0.3">
      <c r="G7156" s="391" t="s">
        <v>9567</v>
      </c>
    </row>
    <row r="7157" spans="7:7" x14ac:dyDescent="0.3">
      <c r="G7157" s="391" t="s">
        <v>9567</v>
      </c>
    </row>
    <row r="7158" spans="7:7" x14ac:dyDescent="0.3">
      <c r="G7158" s="391" t="s">
        <v>9567</v>
      </c>
    </row>
    <row r="7159" spans="7:7" x14ac:dyDescent="0.3">
      <c r="G7159" s="391" t="s">
        <v>9567</v>
      </c>
    </row>
    <row r="7160" spans="7:7" x14ac:dyDescent="0.3">
      <c r="G7160" s="391" t="s">
        <v>9567</v>
      </c>
    </row>
    <row r="7161" spans="7:7" x14ac:dyDescent="0.3">
      <c r="G7161" s="391" t="s">
        <v>9567</v>
      </c>
    </row>
    <row r="7162" spans="7:7" x14ac:dyDescent="0.3">
      <c r="G7162" s="391" t="s">
        <v>9567</v>
      </c>
    </row>
    <row r="7163" spans="7:7" x14ac:dyDescent="0.3">
      <c r="G7163" s="391" t="s">
        <v>9567</v>
      </c>
    </row>
    <row r="7164" spans="7:7" x14ac:dyDescent="0.3">
      <c r="G7164" s="391" t="s">
        <v>9567</v>
      </c>
    </row>
    <row r="7165" spans="7:7" x14ac:dyDescent="0.3">
      <c r="G7165" s="391" t="s">
        <v>9567</v>
      </c>
    </row>
    <row r="7166" spans="7:7" x14ac:dyDescent="0.3">
      <c r="G7166" s="391" t="s">
        <v>9567</v>
      </c>
    </row>
    <row r="7167" spans="7:7" x14ac:dyDescent="0.3">
      <c r="G7167" s="391" t="s">
        <v>9567</v>
      </c>
    </row>
    <row r="7168" spans="7:7" x14ac:dyDescent="0.3">
      <c r="G7168" s="391" t="s">
        <v>9567</v>
      </c>
    </row>
    <row r="7169" spans="7:7" x14ac:dyDescent="0.3">
      <c r="G7169" s="391" t="s">
        <v>9567</v>
      </c>
    </row>
    <row r="7170" spans="7:7" x14ac:dyDescent="0.3">
      <c r="G7170" s="391" t="s">
        <v>9567</v>
      </c>
    </row>
    <row r="7171" spans="7:7" x14ac:dyDescent="0.3">
      <c r="G7171" s="391" t="s">
        <v>9567</v>
      </c>
    </row>
    <row r="7172" spans="7:7" x14ac:dyDescent="0.3">
      <c r="G7172" s="391" t="s">
        <v>9567</v>
      </c>
    </row>
    <row r="7173" spans="7:7" x14ac:dyDescent="0.3">
      <c r="G7173" s="391" t="s">
        <v>9567</v>
      </c>
    </row>
    <row r="7174" spans="7:7" x14ac:dyDescent="0.3">
      <c r="G7174" s="391" t="s">
        <v>9567</v>
      </c>
    </row>
    <row r="7175" spans="7:7" x14ac:dyDescent="0.3">
      <c r="G7175" s="391" t="s">
        <v>9567</v>
      </c>
    </row>
    <row r="7176" spans="7:7" x14ac:dyDescent="0.3">
      <c r="G7176" s="391" t="s">
        <v>9567</v>
      </c>
    </row>
    <row r="7177" spans="7:7" x14ac:dyDescent="0.3">
      <c r="G7177" s="391" t="s">
        <v>9567</v>
      </c>
    </row>
    <row r="7178" spans="7:7" x14ac:dyDescent="0.3">
      <c r="G7178" s="391" t="s">
        <v>9567</v>
      </c>
    </row>
    <row r="7179" spans="7:7" x14ac:dyDescent="0.3">
      <c r="G7179" s="391" t="s">
        <v>9567</v>
      </c>
    </row>
    <row r="7180" spans="7:7" x14ac:dyDescent="0.3">
      <c r="G7180" s="391" t="s">
        <v>9567</v>
      </c>
    </row>
    <row r="7181" spans="7:7" x14ac:dyDescent="0.3">
      <c r="G7181" s="391" t="s">
        <v>9567</v>
      </c>
    </row>
    <row r="7182" spans="7:7" x14ac:dyDescent="0.3">
      <c r="G7182" s="391" t="s">
        <v>9567</v>
      </c>
    </row>
    <row r="7183" spans="7:7" x14ac:dyDescent="0.3">
      <c r="G7183" s="391" t="s">
        <v>9567</v>
      </c>
    </row>
    <row r="7184" spans="7:7" x14ac:dyDescent="0.3">
      <c r="G7184" s="391" t="s">
        <v>9567</v>
      </c>
    </row>
    <row r="7185" spans="7:7" x14ac:dyDescent="0.3">
      <c r="G7185" s="391" t="s">
        <v>9567</v>
      </c>
    </row>
    <row r="7186" spans="7:7" x14ac:dyDescent="0.3">
      <c r="G7186" s="391" t="s">
        <v>9567</v>
      </c>
    </row>
    <row r="7187" spans="7:7" x14ac:dyDescent="0.3">
      <c r="G7187" s="391" t="s">
        <v>9567</v>
      </c>
    </row>
    <row r="7188" spans="7:7" x14ac:dyDescent="0.3">
      <c r="G7188" s="391" t="s">
        <v>9567</v>
      </c>
    </row>
    <row r="7189" spans="7:7" x14ac:dyDescent="0.3">
      <c r="G7189" s="391" t="s">
        <v>9567</v>
      </c>
    </row>
    <row r="7190" spans="7:7" x14ac:dyDescent="0.3">
      <c r="G7190" s="391" t="s">
        <v>9567</v>
      </c>
    </row>
    <row r="7191" spans="7:7" x14ac:dyDescent="0.3">
      <c r="G7191" s="391" t="s">
        <v>9567</v>
      </c>
    </row>
    <row r="7192" spans="7:7" x14ac:dyDescent="0.3">
      <c r="G7192" s="391" t="s">
        <v>9567</v>
      </c>
    </row>
    <row r="7193" spans="7:7" x14ac:dyDescent="0.3">
      <c r="G7193" s="391" t="s">
        <v>9567</v>
      </c>
    </row>
    <row r="7194" spans="7:7" x14ac:dyDescent="0.3">
      <c r="G7194" s="391" t="s">
        <v>9567</v>
      </c>
    </row>
    <row r="7195" spans="7:7" x14ac:dyDescent="0.3">
      <c r="G7195" s="391" t="s">
        <v>9567</v>
      </c>
    </row>
    <row r="7196" spans="7:7" x14ac:dyDescent="0.3">
      <c r="G7196" s="391" t="s">
        <v>9567</v>
      </c>
    </row>
    <row r="7197" spans="7:7" x14ac:dyDescent="0.3">
      <c r="G7197" s="391" t="s">
        <v>9567</v>
      </c>
    </row>
    <row r="7198" spans="7:7" x14ac:dyDescent="0.3">
      <c r="G7198" s="391" t="s">
        <v>9567</v>
      </c>
    </row>
    <row r="7199" spans="7:7" x14ac:dyDescent="0.3">
      <c r="G7199" s="391" t="s">
        <v>9567</v>
      </c>
    </row>
    <row r="7200" spans="7:7" x14ac:dyDescent="0.3">
      <c r="G7200" s="391" t="s">
        <v>9567</v>
      </c>
    </row>
    <row r="7201" spans="7:7" x14ac:dyDescent="0.3">
      <c r="G7201" s="391" t="s">
        <v>9567</v>
      </c>
    </row>
    <row r="7202" spans="7:7" x14ac:dyDescent="0.3">
      <c r="G7202" s="391" t="s">
        <v>9567</v>
      </c>
    </row>
    <row r="7203" spans="7:7" x14ac:dyDescent="0.3">
      <c r="G7203" s="391" t="s">
        <v>9567</v>
      </c>
    </row>
    <row r="7204" spans="7:7" x14ac:dyDescent="0.3">
      <c r="G7204" s="391" t="s">
        <v>9567</v>
      </c>
    </row>
    <row r="7205" spans="7:7" x14ac:dyDescent="0.3">
      <c r="G7205" s="391" t="s">
        <v>9567</v>
      </c>
    </row>
    <row r="7206" spans="7:7" x14ac:dyDescent="0.3">
      <c r="G7206" s="391" t="s">
        <v>9567</v>
      </c>
    </row>
    <row r="7207" spans="7:7" x14ac:dyDescent="0.3">
      <c r="G7207" s="391" t="s">
        <v>9567</v>
      </c>
    </row>
    <row r="7208" spans="7:7" x14ac:dyDescent="0.3">
      <c r="G7208" s="391" t="s">
        <v>9567</v>
      </c>
    </row>
    <row r="7209" spans="7:7" x14ac:dyDescent="0.3">
      <c r="G7209" s="391" t="s">
        <v>9567</v>
      </c>
    </row>
    <row r="7210" spans="7:7" x14ac:dyDescent="0.3">
      <c r="G7210" s="391" t="s">
        <v>9567</v>
      </c>
    </row>
    <row r="7211" spans="7:7" x14ac:dyDescent="0.3">
      <c r="G7211" s="391" t="s">
        <v>9567</v>
      </c>
    </row>
    <row r="7212" spans="7:7" x14ac:dyDescent="0.3">
      <c r="G7212" s="391" t="s">
        <v>9567</v>
      </c>
    </row>
    <row r="7213" spans="7:7" x14ac:dyDescent="0.3">
      <c r="G7213" s="391" t="s">
        <v>9567</v>
      </c>
    </row>
    <row r="7214" spans="7:7" x14ac:dyDescent="0.3">
      <c r="G7214" s="391" t="s">
        <v>9567</v>
      </c>
    </row>
    <row r="7215" spans="7:7" x14ac:dyDescent="0.3">
      <c r="G7215" s="391" t="s">
        <v>9567</v>
      </c>
    </row>
    <row r="7216" spans="7:7" x14ac:dyDescent="0.3">
      <c r="G7216" s="391" t="s">
        <v>9567</v>
      </c>
    </row>
    <row r="7217" spans="7:7" x14ac:dyDescent="0.3">
      <c r="G7217" s="391" t="s">
        <v>9567</v>
      </c>
    </row>
    <row r="7218" spans="7:7" x14ac:dyDescent="0.3">
      <c r="G7218" s="391" t="s">
        <v>9567</v>
      </c>
    </row>
    <row r="7219" spans="7:7" x14ac:dyDescent="0.3">
      <c r="G7219" s="391" t="s">
        <v>9567</v>
      </c>
    </row>
    <row r="7220" spans="7:7" x14ac:dyDescent="0.3">
      <c r="G7220" s="391" t="s">
        <v>9567</v>
      </c>
    </row>
    <row r="7221" spans="7:7" x14ac:dyDescent="0.3">
      <c r="G7221" s="391" t="s">
        <v>9567</v>
      </c>
    </row>
    <row r="7222" spans="7:7" x14ac:dyDescent="0.3">
      <c r="G7222" s="391" t="s">
        <v>9567</v>
      </c>
    </row>
    <row r="7223" spans="7:7" x14ac:dyDescent="0.3">
      <c r="G7223" s="391" t="s">
        <v>9567</v>
      </c>
    </row>
    <row r="7224" spans="7:7" x14ac:dyDescent="0.3">
      <c r="G7224" s="391" t="s">
        <v>9567</v>
      </c>
    </row>
    <row r="7225" spans="7:7" x14ac:dyDescent="0.3">
      <c r="G7225" s="391" t="s">
        <v>9567</v>
      </c>
    </row>
    <row r="7226" spans="7:7" x14ac:dyDescent="0.3">
      <c r="G7226" s="391" t="s">
        <v>9567</v>
      </c>
    </row>
    <row r="7227" spans="7:7" x14ac:dyDescent="0.3">
      <c r="G7227" s="391" t="s">
        <v>9567</v>
      </c>
    </row>
    <row r="7228" spans="7:7" x14ac:dyDescent="0.3">
      <c r="G7228" s="391" t="s">
        <v>9567</v>
      </c>
    </row>
    <row r="7229" spans="7:7" x14ac:dyDescent="0.3">
      <c r="G7229" s="391" t="s">
        <v>9567</v>
      </c>
    </row>
    <row r="7230" spans="7:7" x14ac:dyDescent="0.3">
      <c r="G7230" s="391" t="s">
        <v>9567</v>
      </c>
    </row>
    <row r="7231" spans="7:7" x14ac:dyDescent="0.3">
      <c r="G7231" s="391" t="s">
        <v>9567</v>
      </c>
    </row>
    <row r="7232" spans="7:7" x14ac:dyDescent="0.3">
      <c r="G7232" s="391" t="s">
        <v>9567</v>
      </c>
    </row>
    <row r="7233" spans="7:7" x14ac:dyDescent="0.3">
      <c r="G7233" s="391" t="s">
        <v>9567</v>
      </c>
    </row>
    <row r="7234" spans="7:7" x14ac:dyDescent="0.3">
      <c r="G7234" s="391" t="s">
        <v>9567</v>
      </c>
    </row>
    <row r="7235" spans="7:7" x14ac:dyDescent="0.3">
      <c r="G7235" s="391" t="s">
        <v>9567</v>
      </c>
    </row>
    <row r="7236" spans="7:7" x14ac:dyDescent="0.3">
      <c r="G7236" s="391" t="s">
        <v>9567</v>
      </c>
    </row>
    <row r="7237" spans="7:7" x14ac:dyDescent="0.3">
      <c r="G7237" s="391" t="s">
        <v>9567</v>
      </c>
    </row>
    <row r="7238" spans="7:7" x14ac:dyDescent="0.3">
      <c r="G7238" s="391" t="s">
        <v>9567</v>
      </c>
    </row>
    <row r="7239" spans="7:7" x14ac:dyDescent="0.3">
      <c r="G7239" s="391" t="s">
        <v>9567</v>
      </c>
    </row>
    <row r="7240" spans="7:7" x14ac:dyDescent="0.3">
      <c r="G7240" s="391" t="s">
        <v>9567</v>
      </c>
    </row>
    <row r="7241" spans="7:7" x14ac:dyDescent="0.3">
      <c r="G7241" s="391" t="s">
        <v>9567</v>
      </c>
    </row>
    <row r="7242" spans="7:7" x14ac:dyDescent="0.3">
      <c r="G7242" s="391" t="s">
        <v>9567</v>
      </c>
    </row>
    <row r="7243" spans="7:7" x14ac:dyDescent="0.3">
      <c r="G7243" s="391" t="s">
        <v>9567</v>
      </c>
    </row>
    <row r="7244" spans="7:7" x14ac:dyDescent="0.3">
      <c r="G7244" s="391" t="s">
        <v>9567</v>
      </c>
    </row>
    <row r="7245" spans="7:7" x14ac:dyDescent="0.3">
      <c r="G7245" s="391" t="s">
        <v>9567</v>
      </c>
    </row>
    <row r="7246" spans="7:7" x14ac:dyDescent="0.3">
      <c r="G7246" s="391" t="s">
        <v>9567</v>
      </c>
    </row>
    <row r="7247" spans="7:7" x14ac:dyDescent="0.3">
      <c r="G7247" s="391" t="s">
        <v>9567</v>
      </c>
    </row>
    <row r="7248" spans="7:7" x14ac:dyDescent="0.3">
      <c r="G7248" s="391" t="s">
        <v>9567</v>
      </c>
    </row>
    <row r="7249" spans="7:7" x14ac:dyDescent="0.3">
      <c r="G7249" s="391" t="s">
        <v>9567</v>
      </c>
    </row>
    <row r="7250" spans="7:7" x14ac:dyDescent="0.3">
      <c r="G7250" s="391" t="s">
        <v>9567</v>
      </c>
    </row>
    <row r="7251" spans="7:7" x14ac:dyDescent="0.3">
      <c r="G7251" s="391" t="s">
        <v>9567</v>
      </c>
    </row>
    <row r="7252" spans="7:7" x14ac:dyDescent="0.3">
      <c r="G7252" s="391" t="s">
        <v>9567</v>
      </c>
    </row>
    <row r="7253" spans="7:7" x14ac:dyDescent="0.3">
      <c r="G7253" s="391" t="s">
        <v>9567</v>
      </c>
    </row>
    <row r="7254" spans="7:7" x14ac:dyDescent="0.3">
      <c r="G7254" s="391" t="s">
        <v>9567</v>
      </c>
    </row>
    <row r="7255" spans="7:7" x14ac:dyDescent="0.3">
      <c r="G7255" s="391" t="s">
        <v>9567</v>
      </c>
    </row>
    <row r="7256" spans="7:7" x14ac:dyDescent="0.3">
      <c r="G7256" s="391" t="s">
        <v>9567</v>
      </c>
    </row>
    <row r="7257" spans="7:7" x14ac:dyDescent="0.3">
      <c r="G7257" s="391" t="s">
        <v>9567</v>
      </c>
    </row>
    <row r="7258" spans="7:7" x14ac:dyDescent="0.3">
      <c r="G7258" s="391" t="s">
        <v>9567</v>
      </c>
    </row>
    <row r="7259" spans="7:7" x14ac:dyDescent="0.3">
      <c r="G7259" s="391" t="s">
        <v>9567</v>
      </c>
    </row>
    <row r="7260" spans="7:7" x14ac:dyDescent="0.3">
      <c r="G7260" s="391" t="s">
        <v>9567</v>
      </c>
    </row>
    <row r="7261" spans="7:7" x14ac:dyDescent="0.3">
      <c r="G7261" s="391" t="s">
        <v>9567</v>
      </c>
    </row>
    <row r="7262" spans="7:7" x14ac:dyDescent="0.3">
      <c r="G7262" s="391" t="s">
        <v>9567</v>
      </c>
    </row>
    <row r="7263" spans="7:7" x14ac:dyDescent="0.3">
      <c r="G7263" s="391" t="s">
        <v>9567</v>
      </c>
    </row>
    <row r="7264" spans="7:7" x14ac:dyDescent="0.3">
      <c r="G7264" s="391" t="s">
        <v>9567</v>
      </c>
    </row>
    <row r="7265" spans="7:7" x14ac:dyDescent="0.3">
      <c r="G7265" s="391" t="s">
        <v>9567</v>
      </c>
    </row>
    <row r="7266" spans="7:7" x14ac:dyDescent="0.3">
      <c r="G7266" s="391" t="s">
        <v>9567</v>
      </c>
    </row>
    <row r="7267" spans="7:7" x14ac:dyDescent="0.3">
      <c r="G7267" s="391" t="s">
        <v>9567</v>
      </c>
    </row>
    <row r="7268" spans="7:7" x14ac:dyDescent="0.3">
      <c r="G7268" s="391" t="s">
        <v>9567</v>
      </c>
    </row>
    <row r="7269" spans="7:7" x14ac:dyDescent="0.3">
      <c r="G7269" s="391" t="s">
        <v>9567</v>
      </c>
    </row>
    <row r="7270" spans="7:7" x14ac:dyDescent="0.3">
      <c r="G7270" s="391" t="s">
        <v>9567</v>
      </c>
    </row>
    <row r="7271" spans="7:7" x14ac:dyDescent="0.3">
      <c r="G7271" s="391" t="s">
        <v>9567</v>
      </c>
    </row>
    <row r="7272" spans="7:7" x14ac:dyDescent="0.3">
      <c r="G7272" s="391" t="s">
        <v>9567</v>
      </c>
    </row>
    <row r="7273" spans="7:7" x14ac:dyDescent="0.3">
      <c r="G7273" s="391" t="s">
        <v>9567</v>
      </c>
    </row>
    <row r="7274" spans="7:7" x14ac:dyDescent="0.3">
      <c r="G7274" s="391" t="s">
        <v>9567</v>
      </c>
    </row>
    <row r="7275" spans="7:7" x14ac:dyDescent="0.3">
      <c r="G7275" s="391" t="s">
        <v>9567</v>
      </c>
    </row>
    <row r="7276" spans="7:7" x14ac:dyDescent="0.3">
      <c r="G7276" s="391" t="s">
        <v>9567</v>
      </c>
    </row>
    <row r="7277" spans="7:7" x14ac:dyDescent="0.3">
      <c r="G7277" s="391" t="s">
        <v>9567</v>
      </c>
    </row>
    <row r="7278" spans="7:7" x14ac:dyDescent="0.3">
      <c r="G7278" s="391" t="s">
        <v>9567</v>
      </c>
    </row>
    <row r="7279" spans="7:7" x14ac:dyDescent="0.3">
      <c r="G7279" s="391" t="s">
        <v>9567</v>
      </c>
    </row>
    <row r="7280" spans="7:7" x14ac:dyDescent="0.3">
      <c r="G7280" s="391" t="s">
        <v>9567</v>
      </c>
    </row>
    <row r="7281" spans="7:7" x14ac:dyDescent="0.3">
      <c r="G7281" s="391" t="s">
        <v>9567</v>
      </c>
    </row>
    <row r="7282" spans="7:7" x14ac:dyDescent="0.3">
      <c r="G7282" s="391" t="s">
        <v>9567</v>
      </c>
    </row>
    <row r="7283" spans="7:7" x14ac:dyDescent="0.3">
      <c r="G7283" s="391" t="s">
        <v>9567</v>
      </c>
    </row>
    <row r="7284" spans="7:7" x14ac:dyDescent="0.3">
      <c r="G7284" s="391" t="s">
        <v>9567</v>
      </c>
    </row>
    <row r="7285" spans="7:7" x14ac:dyDescent="0.3">
      <c r="G7285" s="391" t="s">
        <v>9567</v>
      </c>
    </row>
    <row r="7286" spans="7:7" x14ac:dyDescent="0.3">
      <c r="G7286" s="391" t="s">
        <v>9567</v>
      </c>
    </row>
    <row r="7287" spans="7:7" x14ac:dyDescent="0.3">
      <c r="G7287" s="391" t="s">
        <v>9567</v>
      </c>
    </row>
    <row r="7288" spans="7:7" x14ac:dyDescent="0.3">
      <c r="G7288" s="391" t="s">
        <v>9567</v>
      </c>
    </row>
    <row r="7289" spans="7:7" x14ac:dyDescent="0.3">
      <c r="G7289" s="391" t="s">
        <v>9567</v>
      </c>
    </row>
    <row r="7290" spans="7:7" x14ac:dyDescent="0.3">
      <c r="G7290" s="391" t="s">
        <v>9567</v>
      </c>
    </row>
    <row r="7291" spans="7:7" x14ac:dyDescent="0.3">
      <c r="G7291" s="391" t="s">
        <v>9567</v>
      </c>
    </row>
    <row r="7292" spans="7:7" x14ac:dyDescent="0.3">
      <c r="G7292" s="391" t="s">
        <v>9567</v>
      </c>
    </row>
    <row r="7293" spans="7:7" x14ac:dyDescent="0.3">
      <c r="G7293" s="391" t="s">
        <v>9567</v>
      </c>
    </row>
    <row r="7294" spans="7:7" x14ac:dyDescent="0.3">
      <c r="G7294" s="391" t="s">
        <v>9567</v>
      </c>
    </row>
    <row r="7295" spans="7:7" x14ac:dyDescent="0.3">
      <c r="G7295" s="391" t="s">
        <v>9567</v>
      </c>
    </row>
    <row r="7296" spans="7:7" x14ac:dyDescent="0.3">
      <c r="G7296" s="391" t="s">
        <v>9567</v>
      </c>
    </row>
    <row r="7297" spans="7:7" x14ac:dyDescent="0.3">
      <c r="G7297" s="391" t="s">
        <v>9567</v>
      </c>
    </row>
    <row r="7298" spans="7:7" x14ac:dyDescent="0.3">
      <c r="G7298" s="391" t="s">
        <v>9567</v>
      </c>
    </row>
    <row r="7299" spans="7:7" x14ac:dyDescent="0.3">
      <c r="G7299" s="391" t="s">
        <v>9567</v>
      </c>
    </row>
    <row r="7300" spans="7:7" x14ac:dyDescent="0.3">
      <c r="G7300" s="391" t="s">
        <v>9567</v>
      </c>
    </row>
    <row r="7301" spans="7:7" x14ac:dyDescent="0.3">
      <c r="G7301" s="391" t="s">
        <v>9567</v>
      </c>
    </row>
    <row r="7302" spans="7:7" x14ac:dyDescent="0.3">
      <c r="G7302" s="391" t="s">
        <v>9567</v>
      </c>
    </row>
    <row r="7303" spans="7:7" x14ac:dyDescent="0.3">
      <c r="G7303" s="391" t="s">
        <v>9567</v>
      </c>
    </row>
    <row r="7304" spans="7:7" x14ac:dyDescent="0.3">
      <c r="G7304" s="391" t="s">
        <v>9567</v>
      </c>
    </row>
    <row r="7305" spans="7:7" x14ac:dyDescent="0.3">
      <c r="G7305" s="391" t="s">
        <v>9567</v>
      </c>
    </row>
    <row r="7306" spans="7:7" x14ac:dyDescent="0.3">
      <c r="G7306" s="391" t="s">
        <v>9567</v>
      </c>
    </row>
    <row r="7307" spans="7:7" x14ac:dyDescent="0.3">
      <c r="G7307" s="391" t="s">
        <v>9567</v>
      </c>
    </row>
    <row r="7308" spans="7:7" x14ac:dyDescent="0.3">
      <c r="G7308" s="391" t="s">
        <v>9567</v>
      </c>
    </row>
    <row r="7309" spans="7:7" x14ac:dyDescent="0.3">
      <c r="G7309" s="391" t="s">
        <v>9567</v>
      </c>
    </row>
    <row r="7310" spans="7:7" x14ac:dyDescent="0.3">
      <c r="G7310" s="391" t="s">
        <v>9567</v>
      </c>
    </row>
    <row r="7311" spans="7:7" x14ac:dyDescent="0.3">
      <c r="G7311" s="391" t="s">
        <v>9567</v>
      </c>
    </row>
    <row r="7312" spans="7:7" x14ac:dyDescent="0.3">
      <c r="G7312" s="391" t="s">
        <v>9567</v>
      </c>
    </row>
    <row r="7313" spans="7:7" x14ac:dyDescent="0.3">
      <c r="G7313" s="391" t="s">
        <v>9567</v>
      </c>
    </row>
    <row r="7314" spans="7:7" x14ac:dyDescent="0.3">
      <c r="G7314" s="391" t="s">
        <v>9567</v>
      </c>
    </row>
    <row r="7315" spans="7:7" x14ac:dyDescent="0.3">
      <c r="G7315" s="391" t="s">
        <v>9567</v>
      </c>
    </row>
    <row r="7316" spans="7:7" x14ac:dyDescent="0.3">
      <c r="G7316" s="391" t="s">
        <v>9567</v>
      </c>
    </row>
    <row r="7317" spans="7:7" x14ac:dyDescent="0.3">
      <c r="G7317" s="391" t="s">
        <v>9567</v>
      </c>
    </row>
    <row r="7318" spans="7:7" x14ac:dyDescent="0.3">
      <c r="G7318" s="391" t="s">
        <v>9567</v>
      </c>
    </row>
    <row r="7319" spans="7:7" x14ac:dyDescent="0.3">
      <c r="G7319" s="391" t="s">
        <v>9567</v>
      </c>
    </row>
    <row r="7320" spans="7:7" x14ac:dyDescent="0.3">
      <c r="G7320" s="391" t="s">
        <v>9567</v>
      </c>
    </row>
    <row r="7321" spans="7:7" x14ac:dyDescent="0.3">
      <c r="G7321" s="391" t="s">
        <v>9567</v>
      </c>
    </row>
    <row r="7322" spans="7:7" x14ac:dyDescent="0.3">
      <c r="G7322" s="391" t="s">
        <v>9567</v>
      </c>
    </row>
    <row r="7323" spans="7:7" x14ac:dyDescent="0.3">
      <c r="G7323" s="391" t="s">
        <v>9567</v>
      </c>
    </row>
    <row r="7324" spans="7:7" x14ac:dyDescent="0.3">
      <c r="G7324" s="391" t="s">
        <v>9567</v>
      </c>
    </row>
    <row r="7325" spans="7:7" x14ac:dyDescent="0.3">
      <c r="G7325" s="391" t="s">
        <v>9567</v>
      </c>
    </row>
    <row r="7326" spans="7:7" x14ac:dyDescent="0.3">
      <c r="G7326" s="391" t="s">
        <v>9567</v>
      </c>
    </row>
    <row r="7327" spans="7:7" x14ac:dyDescent="0.3">
      <c r="G7327" s="391" t="s">
        <v>9567</v>
      </c>
    </row>
    <row r="7328" spans="7:7" x14ac:dyDescent="0.3">
      <c r="G7328" s="391" t="s">
        <v>9567</v>
      </c>
    </row>
    <row r="7329" spans="7:7" x14ac:dyDescent="0.3">
      <c r="G7329" s="391" t="s">
        <v>9567</v>
      </c>
    </row>
    <row r="7330" spans="7:7" x14ac:dyDescent="0.3">
      <c r="G7330" s="391" t="s">
        <v>9567</v>
      </c>
    </row>
    <row r="7331" spans="7:7" x14ac:dyDescent="0.3">
      <c r="G7331" s="391" t="s">
        <v>9567</v>
      </c>
    </row>
    <row r="7332" spans="7:7" x14ac:dyDescent="0.3">
      <c r="G7332" s="391" t="s">
        <v>9567</v>
      </c>
    </row>
    <row r="7333" spans="7:7" x14ac:dyDescent="0.3">
      <c r="G7333" s="391" t="s">
        <v>9567</v>
      </c>
    </row>
    <row r="7334" spans="7:7" x14ac:dyDescent="0.3">
      <c r="G7334" s="391" t="s">
        <v>9567</v>
      </c>
    </row>
    <row r="7335" spans="7:7" x14ac:dyDescent="0.3">
      <c r="G7335" s="391" t="s">
        <v>9567</v>
      </c>
    </row>
    <row r="7336" spans="7:7" x14ac:dyDescent="0.3">
      <c r="G7336" s="391" t="s">
        <v>9567</v>
      </c>
    </row>
    <row r="7337" spans="7:7" x14ac:dyDescent="0.3">
      <c r="G7337" s="391" t="s">
        <v>9567</v>
      </c>
    </row>
    <row r="7338" spans="7:7" x14ac:dyDescent="0.3">
      <c r="G7338" s="391" t="s">
        <v>9567</v>
      </c>
    </row>
    <row r="7339" spans="7:7" x14ac:dyDescent="0.3">
      <c r="G7339" s="391" t="s">
        <v>9567</v>
      </c>
    </row>
    <row r="7340" spans="7:7" x14ac:dyDescent="0.3">
      <c r="G7340" s="391" t="s">
        <v>9567</v>
      </c>
    </row>
    <row r="7341" spans="7:7" x14ac:dyDescent="0.3">
      <c r="G7341" s="391" t="s">
        <v>9567</v>
      </c>
    </row>
    <row r="7342" spans="7:7" x14ac:dyDescent="0.3">
      <c r="G7342" s="391" t="s">
        <v>9567</v>
      </c>
    </row>
    <row r="7343" spans="7:7" x14ac:dyDescent="0.3">
      <c r="G7343" s="391" t="s">
        <v>9567</v>
      </c>
    </row>
    <row r="7344" spans="7:7" x14ac:dyDescent="0.3">
      <c r="G7344" s="391" t="s">
        <v>9567</v>
      </c>
    </row>
    <row r="7345" spans="7:7" x14ac:dyDescent="0.3">
      <c r="G7345" s="391" t="s">
        <v>9567</v>
      </c>
    </row>
    <row r="7346" spans="7:7" x14ac:dyDescent="0.3">
      <c r="G7346" s="391" t="s">
        <v>9567</v>
      </c>
    </row>
    <row r="7347" spans="7:7" x14ac:dyDescent="0.3">
      <c r="G7347" s="391" t="s">
        <v>9567</v>
      </c>
    </row>
    <row r="7348" spans="7:7" x14ac:dyDescent="0.3">
      <c r="G7348" s="391" t="s">
        <v>9567</v>
      </c>
    </row>
    <row r="7349" spans="7:7" x14ac:dyDescent="0.3">
      <c r="G7349" s="391" t="s">
        <v>9567</v>
      </c>
    </row>
    <row r="7350" spans="7:7" x14ac:dyDescent="0.3">
      <c r="G7350" s="391" t="s">
        <v>9567</v>
      </c>
    </row>
    <row r="7351" spans="7:7" x14ac:dyDescent="0.3">
      <c r="G7351" s="391" t="s">
        <v>9567</v>
      </c>
    </row>
    <row r="7352" spans="7:7" x14ac:dyDescent="0.3">
      <c r="G7352" s="391" t="s">
        <v>9567</v>
      </c>
    </row>
    <row r="7353" spans="7:7" x14ac:dyDescent="0.3">
      <c r="G7353" s="391" t="s">
        <v>9567</v>
      </c>
    </row>
    <row r="7354" spans="7:7" x14ac:dyDescent="0.3">
      <c r="G7354" s="391" t="s">
        <v>9567</v>
      </c>
    </row>
    <row r="7355" spans="7:7" x14ac:dyDescent="0.3">
      <c r="G7355" s="391" t="s">
        <v>9567</v>
      </c>
    </row>
    <row r="7356" spans="7:7" x14ac:dyDescent="0.3">
      <c r="G7356" s="391" t="s">
        <v>9567</v>
      </c>
    </row>
    <row r="7357" spans="7:7" x14ac:dyDescent="0.3">
      <c r="G7357" s="391" t="s">
        <v>9567</v>
      </c>
    </row>
    <row r="7358" spans="7:7" x14ac:dyDescent="0.3">
      <c r="G7358" s="391" t="s">
        <v>9567</v>
      </c>
    </row>
    <row r="7359" spans="7:7" x14ac:dyDescent="0.3">
      <c r="G7359" s="391" t="s">
        <v>9567</v>
      </c>
    </row>
    <row r="7360" spans="7:7" x14ac:dyDescent="0.3">
      <c r="G7360" s="391" t="s">
        <v>9567</v>
      </c>
    </row>
    <row r="7361" spans="7:7" x14ac:dyDescent="0.3">
      <c r="G7361" s="391" t="s">
        <v>9567</v>
      </c>
    </row>
    <row r="7362" spans="7:7" x14ac:dyDescent="0.3">
      <c r="G7362" s="391" t="s">
        <v>9567</v>
      </c>
    </row>
    <row r="7363" spans="7:7" x14ac:dyDescent="0.3">
      <c r="G7363" s="391" t="s">
        <v>9567</v>
      </c>
    </row>
    <row r="7364" spans="7:7" x14ac:dyDescent="0.3">
      <c r="G7364" s="391" t="s">
        <v>9567</v>
      </c>
    </row>
    <row r="7365" spans="7:7" x14ac:dyDescent="0.3">
      <c r="G7365" s="391" t="s">
        <v>9567</v>
      </c>
    </row>
    <row r="7366" spans="7:7" x14ac:dyDescent="0.3">
      <c r="G7366" s="391" t="s">
        <v>9567</v>
      </c>
    </row>
    <row r="7367" spans="7:7" x14ac:dyDescent="0.3">
      <c r="G7367" s="391" t="s">
        <v>9567</v>
      </c>
    </row>
    <row r="7368" spans="7:7" x14ac:dyDescent="0.3">
      <c r="G7368" s="391" t="s">
        <v>9567</v>
      </c>
    </row>
    <row r="7369" spans="7:7" x14ac:dyDescent="0.3">
      <c r="G7369" s="391" t="s">
        <v>9567</v>
      </c>
    </row>
    <row r="7370" spans="7:7" x14ac:dyDescent="0.3">
      <c r="G7370" s="391" t="s">
        <v>9567</v>
      </c>
    </row>
    <row r="7371" spans="7:7" x14ac:dyDescent="0.3">
      <c r="G7371" s="391" t="s">
        <v>9567</v>
      </c>
    </row>
    <row r="7372" spans="7:7" x14ac:dyDescent="0.3">
      <c r="G7372" s="391" t="s">
        <v>9567</v>
      </c>
    </row>
    <row r="7373" spans="7:7" x14ac:dyDescent="0.3">
      <c r="G7373" s="391" t="s">
        <v>9567</v>
      </c>
    </row>
    <row r="7374" spans="7:7" x14ac:dyDescent="0.3">
      <c r="G7374" s="391" t="s">
        <v>9567</v>
      </c>
    </row>
    <row r="7375" spans="7:7" x14ac:dyDescent="0.3">
      <c r="G7375" s="391" t="s">
        <v>9567</v>
      </c>
    </row>
    <row r="7376" spans="7:7" x14ac:dyDescent="0.3">
      <c r="G7376" s="391" t="s">
        <v>9567</v>
      </c>
    </row>
    <row r="7377" spans="7:7" x14ac:dyDescent="0.3">
      <c r="G7377" s="391" t="s">
        <v>9567</v>
      </c>
    </row>
    <row r="7378" spans="7:7" x14ac:dyDescent="0.3">
      <c r="G7378" s="391" t="s">
        <v>9567</v>
      </c>
    </row>
    <row r="7379" spans="7:7" x14ac:dyDescent="0.3">
      <c r="G7379" s="391" t="s">
        <v>9567</v>
      </c>
    </row>
    <row r="7380" spans="7:7" x14ac:dyDescent="0.3">
      <c r="G7380" s="391" t="s">
        <v>9567</v>
      </c>
    </row>
    <row r="7381" spans="7:7" x14ac:dyDescent="0.3">
      <c r="G7381" s="391" t="s">
        <v>9567</v>
      </c>
    </row>
    <row r="7382" spans="7:7" x14ac:dyDescent="0.3">
      <c r="G7382" s="391" t="s">
        <v>9567</v>
      </c>
    </row>
    <row r="7383" spans="7:7" x14ac:dyDescent="0.3">
      <c r="G7383" s="391" t="s">
        <v>9567</v>
      </c>
    </row>
    <row r="7384" spans="7:7" x14ac:dyDescent="0.3">
      <c r="G7384" s="391" t="s">
        <v>9567</v>
      </c>
    </row>
    <row r="7385" spans="7:7" x14ac:dyDescent="0.3">
      <c r="G7385" s="391" t="s">
        <v>9567</v>
      </c>
    </row>
    <row r="7386" spans="7:7" x14ac:dyDescent="0.3">
      <c r="G7386" s="391" t="s">
        <v>9567</v>
      </c>
    </row>
    <row r="7387" spans="7:7" x14ac:dyDescent="0.3">
      <c r="G7387" s="391" t="s">
        <v>9567</v>
      </c>
    </row>
    <row r="7388" spans="7:7" x14ac:dyDescent="0.3">
      <c r="G7388" s="391" t="s">
        <v>9567</v>
      </c>
    </row>
    <row r="7389" spans="7:7" x14ac:dyDescent="0.3">
      <c r="G7389" s="391" t="s">
        <v>9567</v>
      </c>
    </row>
    <row r="7390" spans="7:7" x14ac:dyDescent="0.3">
      <c r="G7390" s="391" t="s">
        <v>9567</v>
      </c>
    </row>
    <row r="7391" spans="7:7" x14ac:dyDescent="0.3">
      <c r="G7391" s="391" t="s">
        <v>9567</v>
      </c>
    </row>
    <row r="7392" spans="7:7" x14ac:dyDescent="0.3">
      <c r="G7392" s="391" t="s">
        <v>9567</v>
      </c>
    </row>
    <row r="7393" spans="7:7" x14ac:dyDescent="0.3">
      <c r="G7393" s="391" t="s">
        <v>9567</v>
      </c>
    </row>
    <row r="7394" spans="7:7" x14ac:dyDescent="0.3">
      <c r="G7394" s="391" t="s">
        <v>9567</v>
      </c>
    </row>
    <row r="7395" spans="7:7" x14ac:dyDescent="0.3">
      <c r="G7395" s="391" t="s">
        <v>9567</v>
      </c>
    </row>
    <row r="7396" spans="7:7" x14ac:dyDescent="0.3">
      <c r="G7396" s="391" t="s">
        <v>9567</v>
      </c>
    </row>
    <row r="7397" spans="7:7" x14ac:dyDescent="0.3">
      <c r="G7397" s="391" t="s">
        <v>9567</v>
      </c>
    </row>
    <row r="7398" spans="7:7" x14ac:dyDescent="0.3">
      <c r="G7398" s="391" t="s">
        <v>9567</v>
      </c>
    </row>
    <row r="7399" spans="7:7" x14ac:dyDescent="0.3">
      <c r="G7399" s="391" t="s">
        <v>9567</v>
      </c>
    </row>
    <row r="7400" spans="7:7" x14ac:dyDescent="0.3">
      <c r="G7400" s="391" t="s">
        <v>9567</v>
      </c>
    </row>
    <row r="7401" spans="7:7" x14ac:dyDescent="0.3">
      <c r="G7401" s="391" t="s">
        <v>9567</v>
      </c>
    </row>
    <row r="7402" spans="7:7" x14ac:dyDescent="0.3">
      <c r="G7402" s="391" t="s">
        <v>9567</v>
      </c>
    </row>
    <row r="7403" spans="7:7" x14ac:dyDescent="0.3">
      <c r="G7403" s="391" t="s">
        <v>9567</v>
      </c>
    </row>
    <row r="7404" spans="7:7" x14ac:dyDescent="0.3">
      <c r="G7404" s="391" t="s">
        <v>9567</v>
      </c>
    </row>
    <row r="7405" spans="7:7" x14ac:dyDescent="0.3">
      <c r="G7405" s="391" t="s">
        <v>9567</v>
      </c>
    </row>
    <row r="7406" spans="7:7" x14ac:dyDescent="0.3">
      <c r="G7406" s="391" t="s">
        <v>9567</v>
      </c>
    </row>
    <row r="7407" spans="7:7" x14ac:dyDescent="0.3">
      <c r="G7407" s="391" t="s">
        <v>9567</v>
      </c>
    </row>
    <row r="7408" spans="7:7" x14ac:dyDescent="0.3">
      <c r="G7408" s="391" t="s">
        <v>9567</v>
      </c>
    </row>
    <row r="7409" spans="7:7" x14ac:dyDescent="0.3">
      <c r="G7409" s="391" t="s">
        <v>9567</v>
      </c>
    </row>
    <row r="7410" spans="7:7" x14ac:dyDescent="0.3">
      <c r="G7410" s="391" t="s">
        <v>9567</v>
      </c>
    </row>
    <row r="7411" spans="7:7" x14ac:dyDescent="0.3">
      <c r="G7411" s="391" t="s">
        <v>9567</v>
      </c>
    </row>
    <row r="7412" spans="7:7" x14ac:dyDescent="0.3">
      <c r="G7412" s="391" t="s">
        <v>9567</v>
      </c>
    </row>
    <row r="7413" spans="7:7" x14ac:dyDescent="0.3">
      <c r="G7413" s="391" t="s">
        <v>9567</v>
      </c>
    </row>
    <row r="7414" spans="7:7" x14ac:dyDescent="0.3">
      <c r="G7414" s="391" t="s">
        <v>9567</v>
      </c>
    </row>
    <row r="7415" spans="7:7" x14ac:dyDescent="0.3">
      <c r="G7415" s="391" t="s">
        <v>9567</v>
      </c>
    </row>
    <row r="7416" spans="7:7" x14ac:dyDescent="0.3">
      <c r="G7416" s="391" t="s">
        <v>9567</v>
      </c>
    </row>
    <row r="7417" spans="7:7" x14ac:dyDescent="0.3">
      <c r="G7417" s="391" t="s">
        <v>9567</v>
      </c>
    </row>
    <row r="7418" spans="7:7" x14ac:dyDescent="0.3">
      <c r="G7418" s="391" t="s">
        <v>9567</v>
      </c>
    </row>
    <row r="7419" spans="7:7" x14ac:dyDescent="0.3">
      <c r="G7419" s="391" t="s">
        <v>9567</v>
      </c>
    </row>
    <row r="7420" spans="7:7" x14ac:dyDescent="0.3">
      <c r="G7420" s="391" t="s">
        <v>9567</v>
      </c>
    </row>
    <row r="7421" spans="7:7" x14ac:dyDescent="0.3">
      <c r="G7421" s="391" t="s">
        <v>9567</v>
      </c>
    </row>
    <row r="7422" spans="7:7" x14ac:dyDescent="0.3">
      <c r="G7422" s="391" t="s">
        <v>9567</v>
      </c>
    </row>
    <row r="7423" spans="7:7" x14ac:dyDescent="0.3">
      <c r="G7423" s="391" t="s">
        <v>9567</v>
      </c>
    </row>
    <row r="7424" spans="7:7" x14ac:dyDescent="0.3">
      <c r="G7424" s="391" t="s">
        <v>9567</v>
      </c>
    </row>
    <row r="7425" spans="7:7" x14ac:dyDescent="0.3">
      <c r="G7425" s="391" t="s">
        <v>9567</v>
      </c>
    </row>
    <row r="7426" spans="7:7" x14ac:dyDescent="0.3">
      <c r="G7426" s="391" t="s">
        <v>9567</v>
      </c>
    </row>
    <row r="7427" spans="7:7" x14ac:dyDescent="0.3">
      <c r="G7427" s="391" t="s">
        <v>9567</v>
      </c>
    </row>
    <row r="7428" spans="7:7" x14ac:dyDescent="0.3">
      <c r="G7428" s="391" t="s">
        <v>9567</v>
      </c>
    </row>
    <row r="7429" spans="7:7" x14ac:dyDescent="0.3">
      <c r="G7429" s="391" t="s">
        <v>9567</v>
      </c>
    </row>
    <row r="7430" spans="7:7" x14ac:dyDescent="0.3">
      <c r="G7430" s="391" t="s">
        <v>9567</v>
      </c>
    </row>
    <row r="7431" spans="7:7" x14ac:dyDescent="0.3">
      <c r="G7431" s="391" t="s">
        <v>9567</v>
      </c>
    </row>
    <row r="7432" spans="7:7" x14ac:dyDescent="0.3">
      <c r="G7432" s="391" t="s">
        <v>9567</v>
      </c>
    </row>
    <row r="7433" spans="7:7" x14ac:dyDescent="0.3">
      <c r="G7433" s="391" t="s">
        <v>9567</v>
      </c>
    </row>
    <row r="7434" spans="7:7" x14ac:dyDescent="0.3">
      <c r="G7434" s="391" t="s">
        <v>9567</v>
      </c>
    </row>
    <row r="7435" spans="7:7" x14ac:dyDescent="0.3">
      <c r="G7435" s="391" t="s">
        <v>9567</v>
      </c>
    </row>
    <row r="7436" spans="7:7" x14ac:dyDescent="0.3">
      <c r="G7436" s="391" t="s">
        <v>9567</v>
      </c>
    </row>
    <row r="7437" spans="7:7" x14ac:dyDescent="0.3">
      <c r="G7437" s="391" t="s">
        <v>9567</v>
      </c>
    </row>
    <row r="7438" spans="7:7" x14ac:dyDescent="0.3">
      <c r="G7438" s="391" t="s">
        <v>9567</v>
      </c>
    </row>
    <row r="7439" spans="7:7" x14ac:dyDescent="0.3">
      <c r="G7439" s="391" t="s">
        <v>9567</v>
      </c>
    </row>
    <row r="7440" spans="7:7" x14ac:dyDescent="0.3">
      <c r="G7440" s="391" t="s">
        <v>9567</v>
      </c>
    </row>
    <row r="7441" spans="7:7" x14ac:dyDescent="0.3">
      <c r="G7441" s="391" t="s">
        <v>9567</v>
      </c>
    </row>
    <row r="7442" spans="7:7" x14ac:dyDescent="0.3">
      <c r="G7442" s="391" t="s">
        <v>9567</v>
      </c>
    </row>
    <row r="7443" spans="7:7" x14ac:dyDescent="0.3">
      <c r="G7443" s="391" t="s">
        <v>9567</v>
      </c>
    </row>
    <row r="7444" spans="7:7" x14ac:dyDescent="0.3">
      <c r="G7444" s="391" t="s">
        <v>9567</v>
      </c>
    </row>
    <row r="7445" spans="7:7" x14ac:dyDescent="0.3">
      <c r="G7445" s="391" t="s">
        <v>9567</v>
      </c>
    </row>
    <row r="7446" spans="7:7" x14ac:dyDescent="0.3">
      <c r="G7446" s="391" t="s">
        <v>9567</v>
      </c>
    </row>
    <row r="7447" spans="7:7" x14ac:dyDescent="0.3">
      <c r="G7447" s="391" t="s">
        <v>9567</v>
      </c>
    </row>
    <row r="7448" spans="7:7" x14ac:dyDescent="0.3">
      <c r="G7448" s="391" t="s">
        <v>9567</v>
      </c>
    </row>
    <row r="7449" spans="7:7" x14ac:dyDescent="0.3">
      <c r="G7449" s="391" t="s">
        <v>9567</v>
      </c>
    </row>
    <row r="7450" spans="7:7" x14ac:dyDescent="0.3">
      <c r="G7450" s="391" t="s">
        <v>9567</v>
      </c>
    </row>
    <row r="7451" spans="7:7" x14ac:dyDescent="0.3">
      <c r="G7451" s="391" t="s">
        <v>9567</v>
      </c>
    </row>
    <row r="7452" spans="7:7" x14ac:dyDescent="0.3">
      <c r="G7452" s="391" t="s">
        <v>9567</v>
      </c>
    </row>
    <row r="7453" spans="7:7" x14ac:dyDescent="0.3">
      <c r="G7453" s="391" t="s">
        <v>9567</v>
      </c>
    </row>
    <row r="7454" spans="7:7" x14ac:dyDescent="0.3">
      <c r="G7454" s="391" t="s">
        <v>9567</v>
      </c>
    </row>
    <row r="7455" spans="7:7" x14ac:dyDescent="0.3">
      <c r="G7455" s="391" t="s">
        <v>9567</v>
      </c>
    </row>
    <row r="7456" spans="7:7" x14ac:dyDescent="0.3">
      <c r="G7456" s="391" t="s">
        <v>9567</v>
      </c>
    </row>
    <row r="7457" spans="7:7" x14ac:dyDescent="0.3">
      <c r="G7457" s="391" t="s">
        <v>9567</v>
      </c>
    </row>
    <row r="7458" spans="7:7" x14ac:dyDescent="0.3">
      <c r="G7458" s="391" t="s">
        <v>9567</v>
      </c>
    </row>
    <row r="7459" spans="7:7" x14ac:dyDescent="0.3">
      <c r="G7459" s="391" t="s">
        <v>9567</v>
      </c>
    </row>
    <row r="7460" spans="7:7" x14ac:dyDescent="0.3">
      <c r="G7460" s="391" t="s">
        <v>9567</v>
      </c>
    </row>
    <row r="7461" spans="7:7" x14ac:dyDescent="0.3">
      <c r="G7461" s="391" t="s">
        <v>9567</v>
      </c>
    </row>
    <row r="7462" spans="7:7" x14ac:dyDescent="0.3">
      <c r="G7462" s="391" t="s">
        <v>9567</v>
      </c>
    </row>
    <row r="7463" spans="7:7" x14ac:dyDescent="0.3">
      <c r="G7463" s="391" t="s">
        <v>9567</v>
      </c>
    </row>
    <row r="7464" spans="7:7" x14ac:dyDescent="0.3">
      <c r="G7464" s="391" t="s">
        <v>9567</v>
      </c>
    </row>
    <row r="7465" spans="7:7" x14ac:dyDescent="0.3">
      <c r="G7465" s="391" t="s">
        <v>9567</v>
      </c>
    </row>
    <row r="7466" spans="7:7" x14ac:dyDescent="0.3">
      <c r="G7466" s="391" t="s">
        <v>9567</v>
      </c>
    </row>
    <row r="7467" spans="7:7" x14ac:dyDescent="0.3">
      <c r="G7467" s="391" t="s">
        <v>9567</v>
      </c>
    </row>
    <row r="7468" spans="7:7" x14ac:dyDescent="0.3">
      <c r="G7468" s="391" t="s">
        <v>9567</v>
      </c>
    </row>
    <row r="7469" spans="7:7" x14ac:dyDescent="0.3">
      <c r="G7469" s="391" t="s">
        <v>9567</v>
      </c>
    </row>
    <row r="7470" spans="7:7" x14ac:dyDescent="0.3">
      <c r="G7470" s="391" t="s">
        <v>9567</v>
      </c>
    </row>
    <row r="7471" spans="7:7" x14ac:dyDescent="0.3">
      <c r="G7471" s="391" t="s">
        <v>9567</v>
      </c>
    </row>
    <row r="7472" spans="7:7" x14ac:dyDescent="0.3">
      <c r="G7472" s="391" t="s">
        <v>9567</v>
      </c>
    </row>
    <row r="7473" spans="7:7" x14ac:dyDescent="0.3">
      <c r="G7473" s="391" t="s">
        <v>9567</v>
      </c>
    </row>
    <row r="7474" spans="7:7" x14ac:dyDescent="0.3">
      <c r="G7474" s="391" t="s">
        <v>9567</v>
      </c>
    </row>
    <row r="7475" spans="7:7" x14ac:dyDescent="0.3">
      <c r="G7475" s="391" t="s">
        <v>9567</v>
      </c>
    </row>
    <row r="7476" spans="7:7" x14ac:dyDescent="0.3">
      <c r="G7476" s="391" t="s">
        <v>9567</v>
      </c>
    </row>
    <row r="7477" spans="7:7" x14ac:dyDescent="0.3">
      <c r="G7477" s="391" t="s">
        <v>9567</v>
      </c>
    </row>
    <row r="7478" spans="7:7" x14ac:dyDescent="0.3">
      <c r="G7478" s="391" t="s">
        <v>9567</v>
      </c>
    </row>
    <row r="7479" spans="7:7" x14ac:dyDescent="0.3">
      <c r="G7479" s="391" t="s">
        <v>9567</v>
      </c>
    </row>
    <row r="7480" spans="7:7" x14ac:dyDescent="0.3">
      <c r="G7480" s="391" t="s">
        <v>9567</v>
      </c>
    </row>
    <row r="7481" spans="7:7" x14ac:dyDescent="0.3">
      <c r="G7481" s="391" t="s">
        <v>9567</v>
      </c>
    </row>
    <row r="7482" spans="7:7" x14ac:dyDescent="0.3">
      <c r="G7482" s="391" t="s">
        <v>9567</v>
      </c>
    </row>
    <row r="7483" spans="7:7" x14ac:dyDescent="0.3">
      <c r="G7483" s="391" t="s">
        <v>9567</v>
      </c>
    </row>
    <row r="7484" spans="7:7" x14ac:dyDescent="0.3">
      <c r="G7484" s="391" t="s">
        <v>9567</v>
      </c>
    </row>
    <row r="7485" spans="7:7" x14ac:dyDescent="0.3">
      <c r="G7485" s="391" t="s">
        <v>9567</v>
      </c>
    </row>
    <row r="7486" spans="7:7" x14ac:dyDescent="0.3">
      <c r="G7486" s="391" t="s">
        <v>9567</v>
      </c>
    </row>
    <row r="7487" spans="7:7" x14ac:dyDescent="0.3">
      <c r="G7487" s="391" t="s">
        <v>9567</v>
      </c>
    </row>
    <row r="7488" spans="7:7" x14ac:dyDescent="0.3">
      <c r="G7488" s="391" t="s">
        <v>9567</v>
      </c>
    </row>
    <row r="7489" spans="7:7" x14ac:dyDescent="0.3">
      <c r="G7489" s="391" t="s">
        <v>9567</v>
      </c>
    </row>
    <row r="7490" spans="7:7" x14ac:dyDescent="0.3">
      <c r="G7490" s="391" t="s">
        <v>9567</v>
      </c>
    </row>
    <row r="7491" spans="7:7" x14ac:dyDescent="0.3">
      <c r="G7491" s="391" t="s">
        <v>9567</v>
      </c>
    </row>
    <row r="7492" spans="7:7" x14ac:dyDescent="0.3">
      <c r="G7492" s="391" t="s">
        <v>9567</v>
      </c>
    </row>
    <row r="7493" spans="7:7" x14ac:dyDescent="0.3">
      <c r="G7493" s="391" t="s">
        <v>9567</v>
      </c>
    </row>
    <row r="7494" spans="7:7" x14ac:dyDescent="0.3">
      <c r="G7494" s="391" t="s">
        <v>9567</v>
      </c>
    </row>
    <row r="7495" spans="7:7" x14ac:dyDescent="0.3">
      <c r="G7495" s="391" t="s">
        <v>9567</v>
      </c>
    </row>
    <row r="7496" spans="7:7" x14ac:dyDescent="0.3">
      <c r="G7496" s="391" t="s">
        <v>9567</v>
      </c>
    </row>
    <row r="7497" spans="7:7" x14ac:dyDescent="0.3">
      <c r="G7497" s="391" t="s">
        <v>9567</v>
      </c>
    </row>
    <row r="7498" spans="7:7" x14ac:dyDescent="0.3">
      <c r="G7498" s="391" t="s">
        <v>9567</v>
      </c>
    </row>
    <row r="7499" spans="7:7" x14ac:dyDescent="0.3">
      <c r="G7499" s="391" t="s">
        <v>9567</v>
      </c>
    </row>
    <row r="7500" spans="7:7" x14ac:dyDescent="0.3">
      <c r="G7500" s="391" t="s">
        <v>9567</v>
      </c>
    </row>
    <row r="7501" spans="7:7" x14ac:dyDescent="0.3">
      <c r="G7501" s="391" t="s">
        <v>9567</v>
      </c>
    </row>
    <row r="7502" spans="7:7" x14ac:dyDescent="0.3">
      <c r="G7502" s="391" t="s">
        <v>9567</v>
      </c>
    </row>
    <row r="7503" spans="7:7" x14ac:dyDescent="0.3">
      <c r="G7503" s="391" t="s">
        <v>9567</v>
      </c>
    </row>
    <row r="7504" spans="7:7" x14ac:dyDescent="0.3">
      <c r="G7504" s="391" t="s">
        <v>9567</v>
      </c>
    </row>
    <row r="7505" spans="7:7" x14ac:dyDescent="0.3">
      <c r="G7505" s="391" t="s">
        <v>9567</v>
      </c>
    </row>
    <row r="7506" spans="7:7" x14ac:dyDescent="0.3">
      <c r="G7506" s="391" t="s">
        <v>9567</v>
      </c>
    </row>
    <row r="7507" spans="7:7" x14ac:dyDescent="0.3">
      <c r="G7507" s="391" t="s">
        <v>9567</v>
      </c>
    </row>
    <row r="7508" spans="7:7" x14ac:dyDescent="0.3">
      <c r="G7508" s="391" t="s">
        <v>9567</v>
      </c>
    </row>
    <row r="7509" spans="7:7" x14ac:dyDescent="0.3">
      <c r="G7509" s="391" t="s">
        <v>9567</v>
      </c>
    </row>
    <row r="7510" spans="7:7" x14ac:dyDescent="0.3">
      <c r="G7510" s="391" t="s">
        <v>9567</v>
      </c>
    </row>
    <row r="7511" spans="7:7" x14ac:dyDescent="0.3">
      <c r="G7511" s="391" t="s">
        <v>9567</v>
      </c>
    </row>
    <row r="7512" spans="7:7" x14ac:dyDescent="0.3">
      <c r="G7512" s="391" t="s">
        <v>9567</v>
      </c>
    </row>
    <row r="7513" spans="7:7" x14ac:dyDescent="0.3">
      <c r="G7513" s="391" t="s">
        <v>9567</v>
      </c>
    </row>
    <row r="7514" spans="7:7" x14ac:dyDescent="0.3">
      <c r="G7514" s="391" t="s">
        <v>9567</v>
      </c>
    </row>
    <row r="7515" spans="7:7" x14ac:dyDescent="0.3">
      <c r="G7515" s="391" t="s">
        <v>9567</v>
      </c>
    </row>
    <row r="7516" spans="7:7" x14ac:dyDescent="0.3">
      <c r="G7516" s="391" t="s">
        <v>9567</v>
      </c>
    </row>
    <row r="7517" spans="7:7" x14ac:dyDescent="0.3">
      <c r="G7517" s="391" t="s">
        <v>9567</v>
      </c>
    </row>
    <row r="7518" spans="7:7" x14ac:dyDescent="0.3">
      <c r="G7518" s="391" t="s">
        <v>9567</v>
      </c>
    </row>
    <row r="7519" spans="7:7" x14ac:dyDescent="0.3">
      <c r="G7519" s="391" t="s">
        <v>9567</v>
      </c>
    </row>
    <row r="7520" spans="7:7" x14ac:dyDescent="0.3">
      <c r="G7520" s="391" t="s">
        <v>9567</v>
      </c>
    </row>
    <row r="7521" spans="7:7" x14ac:dyDescent="0.3">
      <c r="G7521" s="391" t="s">
        <v>9567</v>
      </c>
    </row>
    <row r="7522" spans="7:7" x14ac:dyDescent="0.3">
      <c r="G7522" s="391" t="s">
        <v>9567</v>
      </c>
    </row>
    <row r="7523" spans="7:7" x14ac:dyDescent="0.3">
      <c r="G7523" s="391" t="s">
        <v>9567</v>
      </c>
    </row>
    <row r="7524" spans="7:7" x14ac:dyDescent="0.3">
      <c r="G7524" s="391" t="s">
        <v>9567</v>
      </c>
    </row>
    <row r="7525" spans="7:7" x14ac:dyDescent="0.3">
      <c r="G7525" s="391" t="s">
        <v>9567</v>
      </c>
    </row>
    <row r="7526" spans="7:7" x14ac:dyDescent="0.3">
      <c r="G7526" s="391" t="s">
        <v>9567</v>
      </c>
    </row>
    <row r="7527" spans="7:7" x14ac:dyDescent="0.3">
      <c r="G7527" s="391" t="s">
        <v>9567</v>
      </c>
    </row>
    <row r="7528" spans="7:7" x14ac:dyDescent="0.3">
      <c r="G7528" s="391" t="s">
        <v>9567</v>
      </c>
    </row>
    <row r="7529" spans="7:7" x14ac:dyDescent="0.3">
      <c r="G7529" s="391" t="s">
        <v>9567</v>
      </c>
    </row>
    <row r="7530" spans="7:7" x14ac:dyDescent="0.3">
      <c r="G7530" s="391" t="s">
        <v>9567</v>
      </c>
    </row>
    <row r="7531" spans="7:7" x14ac:dyDescent="0.3">
      <c r="G7531" s="391" t="s">
        <v>9567</v>
      </c>
    </row>
    <row r="7532" spans="7:7" x14ac:dyDescent="0.3">
      <c r="G7532" s="391" t="s">
        <v>9567</v>
      </c>
    </row>
    <row r="7533" spans="7:7" x14ac:dyDescent="0.3">
      <c r="G7533" s="391" t="s">
        <v>9567</v>
      </c>
    </row>
    <row r="7534" spans="7:7" x14ac:dyDescent="0.3">
      <c r="G7534" s="391" t="s">
        <v>9567</v>
      </c>
    </row>
    <row r="7535" spans="7:7" x14ac:dyDescent="0.3">
      <c r="G7535" s="391" t="s">
        <v>9567</v>
      </c>
    </row>
    <row r="7536" spans="7:7" x14ac:dyDescent="0.3">
      <c r="G7536" s="391" t="s">
        <v>9567</v>
      </c>
    </row>
    <row r="7537" spans="7:7" x14ac:dyDescent="0.3">
      <c r="G7537" s="391" t="s">
        <v>9567</v>
      </c>
    </row>
    <row r="7538" spans="7:7" x14ac:dyDescent="0.3">
      <c r="G7538" s="391" t="s">
        <v>9567</v>
      </c>
    </row>
    <row r="7539" spans="7:7" x14ac:dyDescent="0.3">
      <c r="G7539" s="391" t="s">
        <v>9567</v>
      </c>
    </row>
    <row r="7540" spans="7:7" x14ac:dyDescent="0.3">
      <c r="G7540" s="391" t="s">
        <v>9567</v>
      </c>
    </row>
    <row r="7541" spans="7:7" x14ac:dyDescent="0.3">
      <c r="G7541" s="391" t="s">
        <v>9567</v>
      </c>
    </row>
    <row r="7542" spans="7:7" x14ac:dyDescent="0.3">
      <c r="G7542" s="391" t="s">
        <v>9567</v>
      </c>
    </row>
    <row r="7543" spans="7:7" x14ac:dyDescent="0.3">
      <c r="G7543" s="391" t="s">
        <v>9567</v>
      </c>
    </row>
    <row r="7544" spans="7:7" x14ac:dyDescent="0.3">
      <c r="G7544" s="391" t="s">
        <v>9567</v>
      </c>
    </row>
    <row r="7545" spans="7:7" x14ac:dyDescent="0.3">
      <c r="G7545" s="391" t="s">
        <v>9567</v>
      </c>
    </row>
    <row r="7546" spans="7:7" x14ac:dyDescent="0.3">
      <c r="G7546" s="391" t="s">
        <v>9567</v>
      </c>
    </row>
    <row r="7547" spans="7:7" x14ac:dyDescent="0.3">
      <c r="G7547" s="391" t="s">
        <v>9567</v>
      </c>
    </row>
    <row r="7548" spans="7:7" x14ac:dyDescent="0.3">
      <c r="G7548" s="391" t="s">
        <v>9567</v>
      </c>
    </row>
    <row r="7549" spans="7:7" x14ac:dyDescent="0.3">
      <c r="G7549" s="391" t="s">
        <v>9567</v>
      </c>
    </row>
    <row r="7550" spans="7:7" x14ac:dyDescent="0.3">
      <c r="G7550" s="391" t="s">
        <v>9567</v>
      </c>
    </row>
    <row r="7551" spans="7:7" x14ac:dyDescent="0.3">
      <c r="G7551" s="391" t="s">
        <v>9567</v>
      </c>
    </row>
    <row r="7552" spans="7:7" x14ac:dyDescent="0.3">
      <c r="G7552" s="391" t="s">
        <v>9567</v>
      </c>
    </row>
    <row r="7553" spans="7:7" x14ac:dyDescent="0.3">
      <c r="G7553" s="391" t="s">
        <v>9567</v>
      </c>
    </row>
    <row r="7554" spans="7:7" x14ac:dyDescent="0.3">
      <c r="G7554" s="391" t="s">
        <v>9567</v>
      </c>
    </row>
    <row r="7555" spans="7:7" x14ac:dyDescent="0.3">
      <c r="G7555" s="391" t="s">
        <v>9567</v>
      </c>
    </row>
    <row r="7556" spans="7:7" x14ac:dyDescent="0.3">
      <c r="G7556" s="391" t="s">
        <v>9567</v>
      </c>
    </row>
    <row r="7557" spans="7:7" x14ac:dyDescent="0.3">
      <c r="G7557" s="391" t="s">
        <v>9567</v>
      </c>
    </row>
    <row r="7558" spans="7:7" x14ac:dyDescent="0.3">
      <c r="G7558" s="391" t="s">
        <v>9567</v>
      </c>
    </row>
    <row r="7559" spans="7:7" x14ac:dyDescent="0.3">
      <c r="G7559" s="391" t="s">
        <v>9567</v>
      </c>
    </row>
    <row r="7560" spans="7:7" x14ac:dyDescent="0.3">
      <c r="G7560" s="391" t="s">
        <v>9567</v>
      </c>
    </row>
    <row r="7561" spans="7:7" x14ac:dyDescent="0.3">
      <c r="G7561" s="391" t="s">
        <v>9567</v>
      </c>
    </row>
    <row r="7562" spans="7:7" x14ac:dyDescent="0.3">
      <c r="G7562" s="391" t="s">
        <v>9567</v>
      </c>
    </row>
    <row r="7563" spans="7:7" x14ac:dyDescent="0.3">
      <c r="G7563" s="391" t="s">
        <v>9567</v>
      </c>
    </row>
    <row r="7564" spans="7:7" x14ac:dyDescent="0.3">
      <c r="G7564" s="391" t="s">
        <v>9567</v>
      </c>
    </row>
    <row r="7565" spans="7:7" x14ac:dyDescent="0.3">
      <c r="G7565" s="391" t="s">
        <v>9567</v>
      </c>
    </row>
    <row r="7566" spans="7:7" x14ac:dyDescent="0.3">
      <c r="G7566" s="391" t="s">
        <v>9567</v>
      </c>
    </row>
    <row r="7567" spans="7:7" x14ac:dyDescent="0.3">
      <c r="G7567" s="391" t="s">
        <v>9567</v>
      </c>
    </row>
    <row r="7568" spans="7:7" x14ac:dyDescent="0.3">
      <c r="G7568" s="391" t="s">
        <v>9567</v>
      </c>
    </row>
    <row r="7569" spans="7:7" x14ac:dyDescent="0.3">
      <c r="G7569" s="391" t="s">
        <v>9567</v>
      </c>
    </row>
    <row r="7570" spans="7:7" x14ac:dyDescent="0.3">
      <c r="G7570" s="391" t="s">
        <v>9567</v>
      </c>
    </row>
    <row r="7571" spans="7:7" x14ac:dyDescent="0.3">
      <c r="G7571" s="391" t="s">
        <v>9567</v>
      </c>
    </row>
    <row r="7572" spans="7:7" x14ac:dyDescent="0.3">
      <c r="G7572" s="391" t="s">
        <v>9567</v>
      </c>
    </row>
    <row r="7573" spans="7:7" x14ac:dyDescent="0.3">
      <c r="G7573" s="391" t="s">
        <v>9567</v>
      </c>
    </row>
    <row r="7574" spans="7:7" x14ac:dyDescent="0.3">
      <c r="G7574" s="391" t="s">
        <v>9567</v>
      </c>
    </row>
    <row r="7575" spans="7:7" x14ac:dyDescent="0.3">
      <c r="G7575" s="391" t="s">
        <v>9567</v>
      </c>
    </row>
    <row r="7576" spans="7:7" x14ac:dyDescent="0.3">
      <c r="G7576" s="391" t="s">
        <v>9567</v>
      </c>
    </row>
    <row r="7577" spans="7:7" x14ac:dyDescent="0.3">
      <c r="G7577" s="391" t="s">
        <v>9567</v>
      </c>
    </row>
    <row r="7578" spans="7:7" x14ac:dyDescent="0.3">
      <c r="G7578" s="391" t="s">
        <v>9567</v>
      </c>
    </row>
    <row r="7579" spans="7:7" x14ac:dyDescent="0.3">
      <c r="G7579" s="391" t="s">
        <v>9567</v>
      </c>
    </row>
    <row r="7580" spans="7:7" x14ac:dyDescent="0.3">
      <c r="G7580" s="391" t="s">
        <v>9567</v>
      </c>
    </row>
    <row r="7581" spans="7:7" x14ac:dyDescent="0.3">
      <c r="G7581" s="391" t="s">
        <v>9567</v>
      </c>
    </row>
    <row r="7582" spans="7:7" x14ac:dyDescent="0.3">
      <c r="G7582" s="391" t="s">
        <v>9567</v>
      </c>
    </row>
    <row r="7583" spans="7:7" x14ac:dyDescent="0.3">
      <c r="G7583" s="391" t="s">
        <v>9567</v>
      </c>
    </row>
    <row r="7584" spans="7:7" x14ac:dyDescent="0.3">
      <c r="G7584" s="391" t="s">
        <v>9567</v>
      </c>
    </row>
    <row r="7585" spans="7:7" x14ac:dyDescent="0.3">
      <c r="G7585" s="391" t="s">
        <v>9567</v>
      </c>
    </row>
    <row r="7586" spans="7:7" x14ac:dyDescent="0.3">
      <c r="G7586" s="391" t="s">
        <v>9567</v>
      </c>
    </row>
    <row r="7587" spans="7:7" x14ac:dyDescent="0.3">
      <c r="G7587" s="391" t="s">
        <v>9567</v>
      </c>
    </row>
    <row r="7588" spans="7:7" x14ac:dyDescent="0.3">
      <c r="G7588" s="391" t="s">
        <v>9567</v>
      </c>
    </row>
    <row r="7589" spans="7:7" x14ac:dyDescent="0.3">
      <c r="G7589" s="391" t="s">
        <v>9567</v>
      </c>
    </row>
    <row r="7590" spans="7:7" x14ac:dyDescent="0.3">
      <c r="G7590" s="391" t="s">
        <v>9567</v>
      </c>
    </row>
    <row r="7591" spans="7:7" x14ac:dyDescent="0.3">
      <c r="G7591" s="391" t="s">
        <v>9567</v>
      </c>
    </row>
    <row r="7592" spans="7:7" x14ac:dyDescent="0.3">
      <c r="G7592" s="391" t="s">
        <v>9567</v>
      </c>
    </row>
    <row r="7593" spans="7:7" x14ac:dyDescent="0.3">
      <c r="G7593" s="391" t="s">
        <v>9567</v>
      </c>
    </row>
    <row r="7594" spans="7:7" x14ac:dyDescent="0.3">
      <c r="G7594" s="391" t="s">
        <v>9567</v>
      </c>
    </row>
    <row r="7595" spans="7:7" x14ac:dyDescent="0.3">
      <c r="G7595" s="391" t="s">
        <v>9567</v>
      </c>
    </row>
    <row r="7596" spans="7:7" x14ac:dyDescent="0.3">
      <c r="G7596" s="391" t="s">
        <v>9567</v>
      </c>
    </row>
    <row r="7597" spans="7:7" x14ac:dyDescent="0.3">
      <c r="G7597" s="391" t="s">
        <v>9567</v>
      </c>
    </row>
    <row r="7598" spans="7:7" x14ac:dyDescent="0.3">
      <c r="G7598" s="391" t="s">
        <v>9567</v>
      </c>
    </row>
    <row r="7599" spans="7:7" x14ac:dyDescent="0.3">
      <c r="G7599" s="391" t="s">
        <v>9567</v>
      </c>
    </row>
    <row r="7600" spans="7:7" x14ac:dyDescent="0.3">
      <c r="G7600" s="391" t="s">
        <v>9567</v>
      </c>
    </row>
    <row r="7601" spans="7:7" x14ac:dyDescent="0.3">
      <c r="G7601" s="391" t="s">
        <v>9567</v>
      </c>
    </row>
    <row r="7602" spans="7:7" x14ac:dyDescent="0.3">
      <c r="G7602" s="391" t="s">
        <v>9567</v>
      </c>
    </row>
    <row r="7603" spans="7:7" x14ac:dyDescent="0.3">
      <c r="G7603" s="391" t="s">
        <v>9567</v>
      </c>
    </row>
    <row r="7604" spans="7:7" x14ac:dyDescent="0.3">
      <c r="G7604" s="391" t="s">
        <v>9567</v>
      </c>
    </row>
    <row r="7605" spans="7:7" x14ac:dyDescent="0.3">
      <c r="G7605" s="391" t="s">
        <v>9567</v>
      </c>
    </row>
    <row r="7606" spans="7:7" x14ac:dyDescent="0.3">
      <c r="G7606" s="391" t="s">
        <v>9567</v>
      </c>
    </row>
    <row r="7607" spans="7:7" x14ac:dyDescent="0.3">
      <c r="G7607" s="391" t="s">
        <v>9567</v>
      </c>
    </row>
    <row r="7608" spans="7:7" x14ac:dyDescent="0.3">
      <c r="G7608" s="391" t="s">
        <v>9567</v>
      </c>
    </row>
    <row r="7609" spans="7:7" x14ac:dyDescent="0.3">
      <c r="G7609" s="391" t="s">
        <v>9567</v>
      </c>
    </row>
    <row r="7610" spans="7:7" x14ac:dyDescent="0.3">
      <c r="G7610" s="391" t="s">
        <v>9567</v>
      </c>
    </row>
    <row r="7611" spans="7:7" x14ac:dyDescent="0.3">
      <c r="G7611" s="391" t="s">
        <v>9567</v>
      </c>
    </row>
    <row r="7612" spans="7:7" x14ac:dyDescent="0.3">
      <c r="G7612" s="391" t="s">
        <v>9567</v>
      </c>
    </row>
    <row r="7613" spans="7:7" x14ac:dyDescent="0.3">
      <c r="G7613" s="391" t="s">
        <v>9567</v>
      </c>
    </row>
    <row r="7614" spans="7:7" x14ac:dyDescent="0.3">
      <c r="G7614" s="391" t="s">
        <v>9567</v>
      </c>
    </row>
    <row r="7615" spans="7:7" x14ac:dyDescent="0.3">
      <c r="G7615" s="391" t="s">
        <v>9567</v>
      </c>
    </row>
    <row r="7616" spans="7:7" x14ac:dyDescent="0.3">
      <c r="G7616" s="391" t="s">
        <v>9567</v>
      </c>
    </row>
    <row r="7617" spans="7:7" x14ac:dyDescent="0.3">
      <c r="G7617" s="391" t="s">
        <v>9567</v>
      </c>
    </row>
    <row r="7618" spans="7:7" x14ac:dyDescent="0.3">
      <c r="G7618" s="391" t="s">
        <v>9567</v>
      </c>
    </row>
    <row r="7619" spans="7:7" x14ac:dyDescent="0.3">
      <c r="G7619" s="391" t="s">
        <v>9567</v>
      </c>
    </row>
    <row r="7620" spans="7:7" x14ac:dyDescent="0.3">
      <c r="G7620" s="391" t="s">
        <v>9567</v>
      </c>
    </row>
    <row r="7621" spans="7:7" x14ac:dyDescent="0.3">
      <c r="G7621" s="391" t="s">
        <v>9567</v>
      </c>
    </row>
    <row r="7622" spans="7:7" x14ac:dyDescent="0.3">
      <c r="G7622" s="391" t="s">
        <v>9567</v>
      </c>
    </row>
    <row r="7623" spans="7:7" x14ac:dyDescent="0.3">
      <c r="G7623" s="391" t="s">
        <v>9567</v>
      </c>
    </row>
    <row r="7624" spans="7:7" x14ac:dyDescent="0.3">
      <c r="G7624" s="391" t="s">
        <v>9567</v>
      </c>
    </row>
    <row r="7625" spans="7:7" x14ac:dyDescent="0.3">
      <c r="G7625" s="391" t="s">
        <v>9567</v>
      </c>
    </row>
    <row r="7626" spans="7:7" x14ac:dyDescent="0.3">
      <c r="G7626" s="391" t="s">
        <v>9567</v>
      </c>
    </row>
    <row r="7627" spans="7:7" x14ac:dyDescent="0.3">
      <c r="G7627" s="391" t="s">
        <v>9567</v>
      </c>
    </row>
    <row r="7628" spans="7:7" x14ac:dyDescent="0.3">
      <c r="G7628" s="391" t="s">
        <v>9567</v>
      </c>
    </row>
    <row r="7629" spans="7:7" x14ac:dyDescent="0.3">
      <c r="G7629" s="391" t="s">
        <v>9567</v>
      </c>
    </row>
    <row r="7630" spans="7:7" x14ac:dyDescent="0.3">
      <c r="G7630" s="391" t="s">
        <v>9567</v>
      </c>
    </row>
    <row r="7631" spans="7:7" x14ac:dyDescent="0.3">
      <c r="G7631" s="391" t="s">
        <v>9567</v>
      </c>
    </row>
    <row r="7632" spans="7:7" x14ac:dyDescent="0.3">
      <c r="G7632" s="391" t="s">
        <v>9567</v>
      </c>
    </row>
    <row r="7633" spans="7:7" x14ac:dyDescent="0.3">
      <c r="G7633" s="391" t="s">
        <v>9567</v>
      </c>
    </row>
    <row r="7634" spans="7:7" x14ac:dyDescent="0.3">
      <c r="G7634" s="391" t="s">
        <v>9567</v>
      </c>
    </row>
    <row r="7635" spans="7:7" x14ac:dyDescent="0.3">
      <c r="G7635" s="391" t="s">
        <v>9567</v>
      </c>
    </row>
    <row r="7636" spans="7:7" x14ac:dyDescent="0.3">
      <c r="G7636" s="391" t="s">
        <v>9567</v>
      </c>
    </row>
    <row r="7637" spans="7:7" x14ac:dyDescent="0.3">
      <c r="G7637" s="391" t="s">
        <v>9567</v>
      </c>
    </row>
    <row r="7638" spans="7:7" x14ac:dyDescent="0.3">
      <c r="G7638" s="391" t="s">
        <v>9567</v>
      </c>
    </row>
    <row r="7639" spans="7:7" x14ac:dyDescent="0.3">
      <c r="G7639" s="391" t="s">
        <v>9567</v>
      </c>
    </row>
    <row r="7640" spans="7:7" x14ac:dyDescent="0.3">
      <c r="G7640" s="391" t="s">
        <v>9567</v>
      </c>
    </row>
    <row r="7641" spans="7:7" x14ac:dyDescent="0.3">
      <c r="G7641" s="391" t="s">
        <v>9567</v>
      </c>
    </row>
    <row r="7642" spans="7:7" x14ac:dyDescent="0.3">
      <c r="G7642" s="391" t="s">
        <v>9567</v>
      </c>
    </row>
    <row r="7643" spans="7:7" x14ac:dyDescent="0.3">
      <c r="G7643" s="391" t="s">
        <v>9567</v>
      </c>
    </row>
    <row r="7644" spans="7:7" x14ac:dyDescent="0.3">
      <c r="G7644" s="391" t="s">
        <v>9567</v>
      </c>
    </row>
    <row r="7645" spans="7:7" x14ac:dyDescent="0.3">
      <c r="G7645" s="391" t="s">
        <v>9567</v>
      </c>
    </row>
    <row r="7646" spans="7:7" x14ac:dyDescent="0.3">
      <c r="G7646" s="391" t="s">
        <v>9567</v>
      </c>
    </row>
    <row r="7647" spans="7:7" x14ac:dyDescent="0.3">
      <c r="G7647" s="391" t="s">
        <v>9567</v>
      </c>
    </row>
    <row r="7648" spans="7:7" x14ac:dyDescent="0.3">
      <c r="G7648" s="391" t="s">
        <v>9567</v>
      </c>
    </row>
    <row r="7649" spans="7:7" x14ac:dyDescent="0.3">
      <c r="G7649" s="391" t="s">
        <v>9567</v>
      </c>
    </row>
    <row r="7650" spans="7:7" x14ac:dyDescent="0.3">
      <c r="G7650" s="391" t="s">
        <v>9567</v>
      </c>
    </row>
    <row r="7651" spans="7:7" x14ac:dyDescent="0.3">
      <c r="G7651" s="391" t="s">
        <v>9567</v>
      </c>
    </row>
    <row r="7652" spans="7:7" x14ac:dyDescent="0.3">
      <c r="G7652" s="391" t="s">
        <v>9567</v>
      </c>
    </row>
    <row r="7653" spans="7:7" x14ac:dyDescent="0.3">
      <c r="G7653" s="391" t="s">
        <v>9567</v>
      </c>
    </row>
    <row r="7654" spans="7:7" x14ac:dyDescent="0.3">
      <c r="G7654" s="391" t="s">
        <v>9567</v>
      </c>
    </row>
    <row r="7655" spans="7:7" x14ac:dyDescent="0.3">
      <c r="G7655" s="391" t="s">
        <v>9567</v>
      </c>
    </row>
  </sheetData>
  <conditionalFormatting sqref="G1:G1048576">
    <cfRule type="cellIs" dxfId="2" priority="1" operator="equal">
      <formula>"Posted"</formula>
    </cfRule>
  </conditionalFormatting>
  <pageMargins left="0.7" right="0.7" top="0" bottom="0"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R7679"/>
  <sheetViews>
    <sheetView zoomScale="115" zoomScaleNormal="115" workbookViewId="0">
      <pane ySplit="1" topLeftCell="A993" activePane="bottomLeft" state="frozen"/>
      <selection activeCell="D6707" sqref="D6707"/>
      <selection pane="bottomLeft" activeCell="E1013" sqref="E1013"/>
    </sheetView>
  </sheetViews>
  <sheetFormatPr defaultRowHeight="18.75" x14ac:dyDescent="0.3"/>
  <cols>
    <col min="1" max="1" width="11.42578125" customWidth="1"/>
    <col min="2" max="2" width="15.140625" style="292" customWidth="1"/>
    <col min="3" max="3" width="43.42578125" customWidth="1"/>
    <col min="4" max="4" width="15.42578125" customWidth="1"/>
    <col min="5" max="5" width="12.85546875" customWidth="1"/>
    <col min="6" max="6" width="16" style="4" customWidth="1"/>
    <col min="7" max="7" width="16.42578125" style="553" customWidth="1"/>
    <col min="9" max="9" width="12.28515625" bestFit="1" customWidth="1"/>
    <col min="10" max="10" width="13.7109375" customWidth="1"/>
    <col min="11" max="11" width="12.140625" style="2" customWidth="1"/>
    <col min="12" max="12" width="15.140625" customWidth="1"/>
    <col min="13" max="13" width="14" bestFit="1" customWidth="1"/>
    <col min="14" max="14" width="18.42578125" customWidth="1"/>
  </cols>
  <sheetData>
    <row r="1" spans="1:9" ht="37.5" x14ac:dyDescent="0.25">
      <c r="A1" s="53" t="s">
        <v>1</v>
      </c>
      <c r="B1" s="49" t="s">
        <v>7766</v>
      </c>
      <c r="C1" s="49" t="s">
        <v>3</v>
      </c>
      <c r="D1" s="50" t="s">
        <v>4361</v>
      </c>
      <c r="E1" s="50" t="s">
        <v>4360</v>
      </c>
      <c r="F1" s="50" t="s">
        <v>7767</v>
      </c>
      <c r="G1" s="393" t="s">
        <v>9569</v>
      </c>
      <c r="I1" s="2"/>
    </row>
    <row r="2" spans="1:9" x14ac:dyDescent="0.25">
      <c r="A2" s="445">
        <v>44048</v>
      </c>
      <c r="B2" s="394"/>
      <c r="C2" s="305" t="s">
        <v>8294</v>
      </c>
      <c r="D2" s="304"/>
      <c r="E2" s="306">
        <v>900000</v>
      </c>
      <c r="F2" s="48">
        <f>E2</f>
        <v>900000</v>
      </c>
      <c r="G2" s="400" t="s">
        <v>9568</v>
      </c>
    </row>
    <row r="3" spans="1:9" x14ac:dyDescent="0.25">
      <c r="A3" s="445">
        <v>44048</v>
      </c>
      <c r="B3" s="394"/>
      <c r="C3" s="305" t="s">
        <v>8295</v>
      </c>
      <c r="D3" s="304"/>
      <c r="E3" s="306">
        <v>900000</v>
      </c>
      <c r="F3" s="48">
        <f t="shared" ref="F3:F10" si="0">F2+E3</f>
        <v>1800000</v>
      </c>
      <c r="G3" s="400" t="s">
        <v>9568</v>
      </c>
    </row>
    <row r="4" spans="1:9" x14ac:dyDescent="0.25">
      <c r="A4" s="445">
        <v>44048</v>
      </c>
      <c r="B4" s="394"/>
      <c r="C4" s="305" t="s">
        <v>8295</v>
      </c>
      <c r="D4" s="304"/>
      <c r="E4" s="306">
        <v>900000</v>
      </c>
      <c r="F4" s="48">
        <f t="shared" si="0"/>
        <v>2700000</v>
      </c>
      <c r="G4" s="400" t="s">
        <v>9568</v>
      </c>
    </row>
    <row r="5" spans="1:9" x14ac:dyDescent="0.25">
      <c r="A5" s="445">
        <v>44048</v>
      </c>
      <c r="B5" s="394"/>
      <c r="C5" s="305" t="s">
        <v>8295</v>
      </c>
      <c r="D5" s="304"/>
      <c r="E5" s="306">
        <v>900000</v>
      </c>
      <c r="F5" s="48">
        <f t="shared" si="0"/>
        <v>3600000</v>
      </c>
      <c r="G5" s="400" t="s">
        <v>9568</v>
      </c>
    </row>
    <row r="6" spans="1:9" x14ac:dyDescent="0.25">
      <c r="A6" s="445">
        <v>44048</v>
      </c>
      <c r="B6" s="394"/>
      <c r="C6" s="305" t="s">
        <v>8295</v>
      </c>
      <c r="D6" s="304"/>
      <c r="E6" s="306">
        <v>900000</v>
      </c>
      <c r="F6" s="48">
        <f t="shared" si="0"/>
        <v>4500000</v>
      </c>
      <c r="G6" s="400" t="s">
        <v>9568</v>
      </c>
    </row>
    <row r="7" spans="1:9" x14ac:dyDescent="0.25">
      <c r="A7" s="445">
        <v>44048</v>
      </c>
      <c r="B7" s="394"/>
      <c r="C7" s="305" t="s">
        <v>8295</v>
      </c>
      <c r="D7" s="304"/>
      <c r="E7" s="306">
        <v>900000</v>
      </c>
      <c r="F7" s="48">
        <f t="shared" si="0"/>
        <v>5400000</v>
      </c>
      <c r="G7" s="400" t="s">
        <v>9568</v>
      </c>
    </row>
    <row r="8" spans="1:9" x14ac:dyDescent="0.25">
      <c r="A8" s="445">
        <v>44048</v>
      </c>
      <c r="B8" s="394"/>
      <c r="C8" s="305" t="s">
        <v>8295</v>
      </c>
      <c r="D8" s="304"/>
      <c r="E8" s="306">
        <v>900000</v>
      </c>
      <c r="F8" s="48">
        <f t="shared" si="0"/>
        <v>6300000</v>
      </c>
      <c r="G8" s="400" t="s">
        <v>9568</v>
      </c>
    </row>
    <row r="9" spans="1:9" x14ac:dyDescent="0.25">
      <c r="A9" s="445">
        <v>44048</v>
      </c>
      <c r="B9" s="394"/>
      <c r="C9" s="305" t="s">
        <v>8295</v>
      </c>
      <c r="D9" s="304"/>
      <c r="E9" s="306">
        <v>600000</v>
      </c>
      <c r="F9" s="48">
        <f t="shared" si="0"/>
        <v>6900000</v>
      </c>
      <c r="G9" s="400" t="s">
        <v>9568</v>
      </c>
    </row>
    <row r="10" spans="1:9" x14ac:dyDescent="0.25">
      <c r="A10" s="445">
        <v>44048</v>
      </c>
      <c r="B10" s="394"/>
      <c r="C10" s="305" t="s">
        <v>8296</v>
      </c>
      <c r="D10" s="304"/>
      <c r="E10" s="306">
        <v>288750</v>
      </c>
      <c r="F10" s="48">
        <f t="shared" si="0"/>
        <v>7188750</v>
      </c>
      <c r="G10" s="400" t="s">
        <v>9568</v>
      </c>
    </row>
    <row r="11" spans="1:9" x14ac:dyDescent="0.25">
      <c r="A11" s="445">
        <v>44053</v>
      </c>
      <c r="B11" s="394"/>
      <c r="C11" s="305" t="s">
        <v>8297</v>
      </c>
      <c r="D11" s="306">
        <v>288750</v>
      </c>
      <c r="E11" s="306"/>
      <c r="F11" s="48">
        <f t="shared" ref="F11:F74" si="1">F10+E11-D11</f>
        <v>6900000</v>
      </c>
      <c r="G11" s="400" t="s">
        <v>9568</v>
      </c>
    </row>
    <row r="12" spans="1:9" x14ac:dyDescent="0.25">
      <c r="A12" s="445">
        <v>44074</v>
      </c>
      <c r="B12" s="394"/>
      <c r="C12" s="305" t="s">
        <v>8298</v>
      </c>
      <c r="D12" s="304">
        <v>4374135</v>
      </c>
      <c r="E12" s="306"/>
      <c r="F12" s="48">
        <f t="shared" si="1"/>
        <v>2525865</v>
      </c>
      <c r="G12" s="400" t="s">
        <v>9568</v>
      </c>
    </row>
    <row r="13" spans="1:9" x14ac:dyDescent="0.25">
      <c r="A13" s="445" t="s">
        <v>8299</v>
      </c>
      <c r="B13" s="394"/>
      <c r="C13" s="294" t="s">
        <v>8300</v>
      </c>
      <c r="D13" s="304"/>
      <c r="E13" s="306">
        <v>2000000</v>
      </c>
      <c r="F13" s="48">
        <f t="shared" si="1"/>
        <v>4525865</v>
      </c>
      <c r="G13" s="400" t="s">
        <v>9568</v>
      </c>
    </row>
    <row r="14" spans="1:9" x14ac:dyDescent="0.25">
      <c r="A14" s="445" t="s">
        <v>8301</v>
      </c>
      <c r="B14" s="394"/>
      <c r="C14" s="294" t="s">
        <v>8302</v>
      </c>
      <c r="D14" s="304">
        <v>1000000</v>
      </c>
      <c r="E14" s="306"/>
      <c r="F14" s="48">
        <f t="shared" si="1"/>
        <v>3525865</v>
      </c>
      <c r="G14" s="400" t="s">
        <v>9568</v>
      </c>
    </row>
    <row r="15" spans="1:9" x14ac:dyDescent="0.25">
      <c r="A15" s="445" t="s">
        <v>8303</v>
      </c>
      <c r="B15" s="394"/>
      <c r="C15" s="294" t="s">
        <v>8304</v>
      </c>
      <c r="D15" s="304">
        <v>45000</v>
      </c>
      <c r="E15" s="306"/>
      <c r="F15" s="48">
        <f t="shared" si="1"/>
        <v>3480865</v>
      </c>
      <c r="G15" s="400" t="s">
        <v>9568</v>
      </c>
    </row>
    <row r="16" spans="1:9" x14ac:dyDescent="0.25">
      <c r="A16" s="445" t="s">
        <v>8303</v>
      </c>
      <c r="B16" s="394"/>
      <c r="C16" s="294" t="s">
        <v>8305</v>
      </c>
      <c r="D16" s="304">
        <v>45000</v>
      </c>
      <c r="E16" s="306"/>
      <c r="F16" s="48">
        <f t="shared" si="1"/>
        <v>3435865</v>
      </c>
      <c r="G16" s="400" t="s">
        <v>9568</v>
      </c>
    </row>
    <row r="17" spans="1:7" x14ac:dyDescent="0.25">
      <c r="A17" s="445" t="s">
        <v>8303</v>
      </c>
      <c r="B17" s="394"/>
      <c r="C17" s="294" t="s">
        <v>8306</v>
      </c>
      <c r="D17" s="304">
        <v>12000</v>
      </c>
      <c r="E17" s="306"/>
      <c r="F17" s="48">
        <f t="shared" si="1"/>
        <v>3423865</v>
      </c>
      <c r="G17" s="400" t="s">
        <v>9568</v>
      </c>
    </row>
    <row r="18" spans="1:7" x14ac:dyDescent="0.25">
      <c r="A18" s="445" t="s">
        <v>8307</v>
      </c>
      <c r="B18" s="394"/>
      <c r="C18" s="294" t="s">
        <v>8308</v>
      </c>
      <c r="D18" s="304"/>
      <c r="E18" s="306">
        <v>1000000</v>
      </c>
      <c r="F18" s="48">
        <f t="shared" si="1"/>
        <v>4423865</v>
      </c>
      <c r="G18" s="400" t="s">
        <v>9568</v>
      </c>
    </row>
    <row r="19" spans="1:7" x14ac:dyDescent="0.25">
      <c r="A19" s="445" t="s">
        <v>8309</v>
      </c>
      <c r="B19" s="394"/>
      <c r="C19" s="294" t="s">
        <v>7735</v>
      </c>
      <c r="D19" s="307">
        <v>45000</v>
      </c>
      <c r="E19" s="306"/>
      <c r="F19" s="48">
        <f t="shared" si="1"/>
        <v>4378865</v>
      </c>
      <c r="G19" s="400" t="s">
        <v>9568</v>
      </c>
    </row>
    <row r="20" spans="1:7" x14ac:dyDescent="0.25">
      <c r="A20" s="445" t="s">
        <v>8310</v>
      </c>
      <c r="B20" s="394"/>
      <c r="C20" s="294" t="s">
        <v>8311</v>
      </c>
      <c r="D20" s="307">
        <v>18600</v>
      </c>
      <c r="E20" s="306"/>
      <c r="F20" s="48">
        <f t="shared" si="1"/>
        <v>4360265</v>
      </c>
      <c r="G20" s="400" t="s">
        <v>9568</v>
      </c>
    </row>
    <row r="21" spans="1:7" x14ac:dyDescent="0.25">
      <c r="A21" s="445" t="s">
        <v>8312</v>
      </c>
      <c r="B21" s="394"/>
      <c r="C21" s="294" t="s">
        <v>8313</v>
      </c>
      <c r="D21" s="304"/>
      <c r="E21" s="306">
        <v>790558</v>
      </c>
      <c r="F21" s="48">
        <f t="shared" si="1"/>
        <v>5150823</v>
      </c>
      <c r="G21" s="400" t="s">
        <v>9568</v>
      </c>
    </row>
    <row r="22" spans="1:7" x14ac:dyDescent="0.25">
      <c r="A22" s="445" t="s">
        <v>8312</v>
      </c>
      <c r="B22" s="394"/>
      <c r="C22" s="294" t="s">
        <v>8314</v>
      </c>
      <c r="D22" s="304"/>
      <c r="E22" s="306">
        <v>5000</v>
      </c>
      <c r="F22" s="48">
        <f t="shared" si="1"/>
        <v>5155823</v>
      </c>
      <c r="G22" s="400" t="s">
        <v>9568</v>
      </c>
    </row>
    <row r="23" spans="1:7" x14ac:dyDescent="0.25">
      <c r="A23" s="445" t="s">
        <v>8315</v>
      </c>
      <c r="B23" s="394"/>
      <c r="C23" s="294" t="s">
        <v>8316</v>
      </c>
      <c r="D23" s="304">
        <f>90800+18860</f>
        <v>109660</v>
      </c>
      <c r="E23" s="306"/>
      <c r="F23" s="48">
        <f t="shared" si="1"/>
        <v>5046163</v>
      </c>
      <c r="G23" s="400" t="s">
        <v>9568</v>
      </c>
    </row>
    <row r="24" spans="1:7" x14ac:dyDescent="0.25">
      <c r="A24" s="445" t="s">
        <v>8315</v>
      </c>
      <c r="B24" s="394"/>
      <c r="C24" s="294" t="s">
        <v>8317</v>
      </c>
      <c r="D24" s="307">
        <v>122000</v>
      </c>
      <c r="E24" s="306"/>
      <c r="F24" s="48">
        <f t="shared" si="1"/>
        <v>4924163</v>
      </c>
      <c r="G24" s="400" t="s">
        <v>9568</v>
      </c>
    </row>
    <row r="25" spans="1:7" x14ac:dyDescent="0.25">
      <c r="A25" s="445" t="s">
        <v>8318</v>
      </c>
      <c r="B25" s="394"/>
      <c r="C25" s="294" t="s">
        <v>7735</v>
      </c>
      <c r="D25" s="304">
        <v>390560</v>
      </c>
      <c r="E25" s="306"/>
      <c r="F25" s="48">
        <f t="shared" si="1"/>
        <v>4533603</v>
      </c>
      <c r="G25" s="400" t="s">
        <v>9568</v>
      </c>
    </row>
    <row r="26" spans="1:7" x14ac:dyDescent="0.25">
      <c r="A26" s="445" t="s">
        <v>8319</v>
      </c>
      <c r="B26" s="394"/>
      <c r="C26" s="294" t="s">
        <v>8320</v>
      </c>
      <c r="D26" s="304">
        <v>500000</v>
      </c>
      <c r="E26" s="306"/>
      <c r="F26" s="48">
        <f t="shared" si="1"/>
        <v>4033603</v>
      </c>
      <c r="G26" s="400" t="s">
        <v>9568</v>
      </c>
    </row>
    <row r="27" spans="1:7" x14ac:dyDescent="0.25">
      <c r="A27" s="445" t="s">
        <v>8319</v>
      </c>
      <c r="B27" s="394"/>
      <c r="C27" s="294" t="s">
        <v>8321</v>
      </c>
      <c r="D27" s="304"/>
      <c r="E27" s="306">
        <v>20000</v>
      </c>
      <c r="F27" s="48">
        <f t="shared" si="1"/>
        <v>4053603</v>
      </c>
      <c r="G27" s="400" t="s">
        <v>9568</v>
      </c>
    </row>
    <row r="28" spans="1:7" x14ac:dyDescent="0.25">
      <c r="A28" s="445" t="s">
        <v>8319</v>
      </c>
      <c r="B28" s="394"/>
      <c r="C28" s="294" t="s">
        <v>8322</v>
      </c>
      <c r="D28" s="304">
        <v>50000</v>
      </c>
      <c r="E28" s="306"/>
      <c r="F28" s="48">
        <f t="shared" si="1"/>
        <v>4003603</v>
      </c>
      <c r="G28" s="400" t="s">
        <v>9568</v>
      </c>
    </row>
    <row r="29" spans="1:7" x14ac:dyDescent="0.25">
      <c r="A29" s="445" t="s">
        <v>8323</v>
      </c>
      <c r="B29" s="394"/>
      <c r="C29" s="294" t="s">
        <v>8324</v>
      </c>
      <c r="D29" s="304">
        <v>60000</v>
      </c>
      <c r="E29" s="306"/>
      <c r="F29" s="48">
        <f t="shared" si="1"/>
        <v>3943603</v>
      </c>
      <c r="G29" s="400" t="s">
        <v>9568</v>
      </c>
    </row>
    <row r="30" spans="1:7" x14ac:dyDescent="0.25">
      <c r="A30" s="445" t="s">
        <v>8323</v>
      </c>
      <c r="B30" s="394"/>
      <c r="C30" s="294" t="s">
        <v>8320</v>
      </c>
      <c r="D30" s="304">
        <v>200000</v>
      </c>
      <c r="E30" s="306"/>
      <c r="F30" s="48">
        <f t="shared" si="1"/>
        <v>3743603</v>
      </c>
      <c r="G30" s="400" t="s">
        <v>9568</v>
      </c>
    </row>
    <row r="31" spans="1:7" x14ac:dyDescent="0.25">
      <c r="A31" s="445" t="s">
        <v>8325</v>
      </c>
      <c r="B31" s="394"/>
      <c r="C31" s="294" t="s">
        <v>8320</v>
      </c>
      <c r="D31" s="304">
        <v>100000</v>
      </c>
      <c r="E31" s="306"/>
      <c r="F31" s="48">
        <f t="shared" si="1"/>
        <v>3643603</v>
      </c>
      <c r="G31" s="400" t="s">
        <v>9568</v>
      </c>
    </row>
    <row r="32" spans="1:7" x14ac:dyDescent="0.25">
      <c r="A32" s="445" t="s">
        <v>8325</v>
      </c>
      <c r="B32" s="394"/>
      <c r="C32" s="294" t="s">
        <v>8326</v>
      </c>
      <c r="D32" s="304">
        <v>25000</v>
      </c>
      <c r="E32" s="306"/>
      <c r="F32" s="48">
        <f t="shared" si="1"/>
        <v>3618603</v>
      </c>
      <c r="G32" s="400" t="s">
        <v>9568</v>
      </c>
    </row>
    <row r="33" spans="1:7" x14ac:dyDescent="0.25">
      <c r="A33" s="445" t="s">
        <v>8327</v>
      </c>
      <c r="B33" s="394"/>
      <c r="C33" s="294" t="s">
        <v>8328</v>
      </c>
      <c r="D33" s="304">
        <v>5000</v>
      </c>
      <c r="E33" s="306"/>
      <c r="F33" s="48">
        <f t="shared" si="1"/>
        <v>3613603</v>
      </c>
      <c r="G33" s="400" t="s">
        <v>9568</v>
      </c>
    </row>
    <row r="34" spans="1:7" x14ac:dyDescent="0.25">
      <c r="A34" s="445" t="s">
        <v>8327</v>
      </c>
      <c r="B34" s="394"/>
      <c r="C34" s="294" t="s">
        <v>8329</v>
      </c>
      <c r="D34" s="304"/>
      <c r="E34" s="306">
        <v>964000</v>
      </c>
      <c r="F34" s="48">
        <f t="shared" si="1"/>
        <v>4577603</v>
      </c>
      <c r="G34" s="400" t="s">
        <v>9568</v>
      </c>
    </row>
    <row r="35" spans="1:7" x14ac:dyDescent="0.25">
      <c r="A35" s="445" t="s">
        <v>8327</v>
      </c>
      <c r="B35" s="394"/>
      <c r="C35" s="294" t="s">
        <v>7735</v>
      </c>
      <c r="D35" s="304">
        <v>964000</v>
      </c>
      <c r="E35" s="306"/>
      <c r="F35" s="48">
        <f t="shared" si="1"/>
        <v>3613603</v>
      </c>
      <c r="G35" s="400" t="s">
        <v>9568</v>
      </c>
    </row>
    <row r="36" spans="1:7" x14ac:dyDescent="0.25">
      <c r="A36" s="445" t="s">
        <v>8327</v>
      </c>
      <c r="B36" s="394"/>
      <c r="C36" s="294" t="s">
        <v>7735</v>
      </c>
      <c r="D36" s="307">
        <v>100000</v>
      </c>
      <c r="E36" s="306"/>
      <c r="F36" s="48">
        <f t="shared" si="1"/>
        <v>3513603</v>
      </c>
      <c r="G36" s="400" t="s">
        <v>9568</v>
      </c>
    </row>
    <row r="37" spans="1:7" x14ac:dyDescent="0.25">
      <c r="A37" s="445" t="s">
        <v>8330</v>
      </c>
      <c r="B37" s="394"/>
      <c r="C37" s="294" t="s">
        <v>8331</v>
      </c>
      <c r="D37" s="307">
        <v>1000</v>
      </c>
      <c r="E37" s="306"/>
      <c r="F37" s="48">
        <f t="shared" si="1"/>
        <v>3512603</v>
      </c>
      <c r="G37" s="400" t="s">
        <v>9568</v>
      </c>
    </row>
    <row r="38" spans="1:7" x14ac:dyDescent="0.25">
      <c r="A38" s="445" t="s">
        <v>8332</v>
      </c>
      <c r="B38" s="394"/>
      <c r="C38" s="294" t="s">
        <v>8333</v>
      </c>
      <c r="D38" s="307">
        <v>25000</v>
      </c>
      <c r="E38" s="306"/>
      <c r="F38" s="48">
        <f t="shared" si="1"/>
        <v>3487603</v>
      </c>
      <c r="G38" s="400" t="s">
        <v>9568</v>
      </c>
    </row>
    <row r="39" spans="1:7" x14ac:dyDescent="0.25">
      <c r="A39" s="445" t="s">
        <v>8334</v>
      </c>
      <c r="B39" s="394"/>
      <c r="C39" s="294" t="s">
        <v>7735</v>
      </c>
      <c r="D39" s="307">
        <v>50000</v>
      </c>
      <c r="E39" s="306"/>
      <c r="F39" s="48">
        <f t="shared" si="1"/>
        <v>3437603</v>
      </c>
      <c r="G39" s="400" t="s">
        <v>9568</v>
      </c>
    </row>
    <row r="40" spans="1:7" x14ac:dyDescent="0.25">
      <c r="A40" s="445" t="s">
        <v>8335</v>
      </c>
      <c r="B40" s="394"/>
      <c r="C40" s="294" t="s">
        <v>8336</v>
      </c>
      <c r="D40" s="307">
        <v>5000</v>
      </c>
      <c r="E40" s="306"/>
      <c r="F40" s="48">
        <f t="shared" si="1"/>
        <v>3432603</v>
      </c>
      <c r="G40" s="400" t="s">
        <v>9568</v>
      </c>
    </row>
    <row r="41" spans="1:7" x14ac:dyDescent="0.25">
      <c r="A41" s="445" t="s">
        <v>8337</v>
      </c>
      <c r="B41" s="394"/>
      <c r="C41" s="294" t="s">
        <v>7735</v>
      </c>
      <c r="D41" s="307">
        <v>200000</v>
      </c>
      <c r="E41" s="306"/>
      <c r="F41" s="48">
        <f t="shared" si="1"/>
        <v>3232603</v>
      </c>
      <c r="G41" s="400" t="s">
        <v>9568</v>
      </c>
    </row>
    <row r="42" spans="1:7" x14ac:dyDescent="0.25">
      <c r="A42" s="445" t="s">
        <v>8338</v>
      </c>
      <c r="B42" s="394"/>
      <c r="C42" s="294" t="s">
        <v>8339</v>
      </c>
      <c r="D42" s="307">
        <v>1500</v>
      </c>
      <c r="E42" s="306"/>
      <c r="F42" s="48">
        <f t="shared" si="1"/>
        <v>3231103</v>
      </c>
      <c r="G42" s="400" t="s">
        <v>9568</v>
      </c>
    </row>
    <row r="43" spans="1:7" x14ac:dyDescent="0.25">
      <c r="A43" s="445" t="s">
        <v>8340</v>
      </c>
      <c r="B43" s="394"/>
      <c r="C43" s="294" t="s">
        <v>8341</v>
      </c>
      <c r="D43" s="307">
        <v>7475</v>
      </c>
      <c r="E43" s="306"/>
      <c r="F43" s="48">
        <f t="shared" si="1"/>
        <v>3223628</v>
      </c>
      <c r="G43" s="400" t="s">
        <v>9568</v>
      </c>
    </row>
    <row r="44" spans="1:7" x14ac:dyDescent="0.25">
      <c r="A44" s="445" t="s">
        <v>8340</v>
      </c>
      <c r="B44" s="394"/>
      <c r="C44" s="294" t="s">
        <v>7735</v>
      </c>
      <c r="D44" s="307">
        <v>30000</v>
      </c>
      <c r="E44" s="306"/>
      <c r="F44" s="48">
        <f t="shared" si="1"/>
        <v>3193628</v>
      </c>
      <c r="G44" s="400" t="s">
        <v>9568</v>
      </c>
    </row>
    <row r="45" spans="1:7" x14ac:dyDescent="0.25">
      <c r="A45" s="445" t="s">
        <v>8340</v>
      </c>
      <c r="B45" s="394"/>
      <c r="C45" s="294" t="s">
        <v>8342</v>
      </c>
      <c r="D45" s="307">
        <v>12900</v>
      </c>
      <c r="E45" s="306"/>
      <c r="F45" s="48">
        <f t="shared" si="1"/>
        <v>3180728</v>
      </c>
      <c r="G45" s="400" t="s">
        <v>9568</v>
      </c>
    </row>
    <row r="46" spans="1:7" x14ac:dyDescent="0.25">
      <c r="A46" s="445" t="s">
        <v>8343</v>
      </c>
      <c r="B46" s="394"/>
      <c r="C46" s="294" t="s">
        <v>7735</v>
      </c>
      <c r="D46" s="307">
        <v>100000</v>
      </c>
      <c r="E46" s="306"/>
      <c r="F46" s="48">
        <f t="shared" si="1"/>
        <v>3080728</v>
      </c>
      <c r="G46" s="400" t="s">
        <v>9568</v>
      </c>
    </row>
    <row r="47" spans="1:7" x14ac:dyDescent="0.25">
      <c r="A47" s="445" t="s">
        <v>8344</v>
      </c>
      <c r="B47" s="394"/>
      <c r="C47" s="294" t="s">
        <v>7735</v>
      </c>
      <c r="D47" s="307">
        <v>465000</v>
      </c>
      <c r="E47" s="306"/>
      <c r="F47" s="48">
        <f t="shared" si="1"/>
        <v>2615728</v>
      </c>
      <c r="G47" s="400" t="s">
        <v>9568</v>
      </c>
    </row>
    <row r="48" spans="1:7" ht="30" x14ac:dyDescent="0.25">
      <c r="A48" s="445" t="s">
        <v>8344</v>
      </c>
      <c r="B48" s="394"/>
      <c r="C48" s="305" t="s">
        <v>8345</v>
      </c>
      <c r="D48" s="307">
        <v>37500</v>
      </c>
      <c r="E48" s="306"/>
      <c r="F48" s="48">
        <f t="shared" si="1"/>
        <v>2578228</v>
      </c>
      <c r="G48" s="400" t="s">
        <v>9568</v>
      </c>
    </row>
    <row r="49" spans="1:7" x14ac:dyDescent="0.25">
      <c r="A49" s="445" t="s">
        <v>8346</v>
      </c>
      <c r="B49" s="394"/>
      <c r="C49" s="294" t="s">
        <v>8324</v>
      </c>
      <c r="D49" s="307">
        <v>60000</v>
      </c>
      <c r="E49" s="306"/>
      <c r="F49" s="48">
        <f t="shared" si="1"/>
        <v>2518228</v>
      </c>
      <c r="G49" s="400" t="s">
        <v>9568</v>
      </c>
    </row>
    <row r="50" spans="1:7" x14ac:dyDescent="0.25">
      <c r="A50" s="445" t="s">
        <v>8347</v>
      </c>
      <c r="B50" s="394"/>
      <c r="C50" s="294" t="s">
        <v>8348</v>
      </c>
      <c r="D50" s="307">
        <v>56250</v>
      </c>
      <c r="E50" s="306"/>
      <c r="F50" s="48">
        <f t="shared" si="1"/>
        <v>2461978</v>
      </c>
      <c r="G50" s="400" t="s">
        <v>9568</v>
      </c>
    </row>
    <row r="51" spans="1:7" x14ac:dyDescent="0.25">
      <c r="A51" s="445" t="s">
        <v>8347</v>
      </c>
      <c r="B51" s="394"/>
      <c r="C51" s="294" t="s">
        <v>8349</v>
      </c>
      <c r="D51" s="307">
        <v>235000</v>
      </c>
      <c r="E51" s="306"/>
      <c r="F51" s="48">
        <f t="shared" si="1"/>
        <v>2226978</v>
      </c>
      <c r="G51" s="400" t="s">
        <v>9568</v>
      </c>
    </row>
    <row r="52" spans="1:7" x14ac:dyDescent="0.25">
      <c r="A52" s="445" t="s">
        <v>8347</v>
      </c>
      <c r="B52" s="394"/>
      <c r="C52" s="294" t="s">
        <v>8350</v>
      </c>
      <c r="D52" s="307">
        <v>20000</v>
      </c>
      <c r="E52" s="306"/>
      <c r="F52" s="48">
        <f t="shared" si="1"/>
        <v>2206978</v>
      </c>
      <c r="G52" s="400" t="s">
        <v>9568</v>
      </c>
    </row>
    <row r="53" spans="1:7" x14ac:dyDescent="0.25">
      <c r="A53" s="445" t="s">
        <v>8351</v>
      </c>
      <c r="B53" s="394"/>
      <c r="C53" s="294" t="s">
        <v>7735</v>
      </c>
      <c r="D53" s="307">
        <v>30000</v>
      </c>
      <c r="E53" s="306"/>
      <c r="F53" s="48">
        <f t="shared" si="1"/>
        <v>2176978</v>
      </c>
      <c r="G53" s="400" t="s">
        <v>9568</v>
      </c>
    </row>
    <row r="54" spans="1:7" x14ac:dyDescent="0.25">
      <c r="A54" s="445" t="s">
        <v>8352</v>
      </c>
      <c r="B54" s="394"/>
      <c r="C54" s="294" t="s">
        <v>7735</v>
      </c>
      <c r="D54" s="307">
        <v>150000</v>
      </c>
      <c r="E54" s="306"/>
      <c r="F54" s="48">
        <f t="shared" si="1"/>
        <v>2026978</v>
      </c>
      <c r="G54" s="400" t="s">
        <v>9568</v>
      </c>
    </row>
    <row r="55" spans="1:7" x14ac:dyDescent="0.25">
      <c r="A55" s="445" t="s">
        <v>8352</v>
      </c>
      <c r="B55" s="394"/>
      <c r="C55" s="294" t="s">
        <v>8353</v>
      </c>
      <c r="D55" s="304"/>
      <c r="E55" s="306">
        <v>15000</v>
      </c>
      <c r="F55" s="48">
        <f t="shared" si="1"/>
        <v>2041978</v>
      </c>
      <c r="G55" s="400" t="s">
        <v>9568</v>
      </c>
    </row>
    <row r="56" spans="1:7" x14ac:dyDescent="0.25">
      <c r="A56" s="445" t="s">
        <v>8354</v>
      </c>
      <c r="B56" s="394"/>
      <c r="C56" s="294" t="s">
        <v>8355</v>
      </c>
      <c r="D56" s="307">
        <v>5000</v>
      </c>
      <c r="E56" s="306"/>
      <c r="F56" s="48">
        <f t="shared" si="1"/>
        <v>2036978</v>
      </c>
      <c r="G56" s="400" t="s">
        <v>9568</v>
      </c>
    </row>
    <row r="57" spans="1:7" x14ac:dyDescent="0.25">
      <c r="A57" s="445" t="s">
        <v>8356</v>
      </c>
      <c r="B57" s="394"/>
      <c r="C57" s="294" t="s">
        <v>7735</v>
      </c>
      <c r="D57" s="307">
        <v>220000</v>
      </c>
      <c r="E57" s="306"/>
      <c r="F57" s="48">
        <f t="shared" si="1"/>
        <v>1816978</v>
      </c>
      <c r="G57" s="400" t="s">
        <v>9568</v>
      </c>
    </row>
    <row r="58" spans="1:7" x14ac:dyDescent="0.25">
      <c r="A58" s="445" t="s">
        <v>8357</v>
      </c>
      <c r="B58" s="394"/>
      <c r="C58" s="294" t="s">
        <v>8358</v>
      </c>
      <c r="D58" s="304"/>
      <c r="E58" s="306">
        <v>20000</v>
      </c>
      <c r="F58" s="48">
        <f t="shared" si="1"/>
        <v>1836978</v>
      </c>
      <c r="G58" s="400" t="s">
        <v>9568</v>
      </c>
    </row>
    <row r="59" spans="1:7" x14ac:dyDescent="0.25">
      <c r="A59" s="445" t="s">
        <v>8359</v>
      </c>
      <c r="B59" s="394"/>
      <c r="C59" s="294" t="s">
        <v>8360</v>
      </c>
      <c r="D59" s="307">
        <v>30000</v>
      </c>
      <c r="E59" s="306"/>
      <c r="F59" s="48">
        <f t="shared" si="1"/>
        <v>1806978</v>
      </c>
      <c r="G59" s="400" t="s">
        <v>9568</v>
      </c>
    </row>
    <row r="60" spans="1:7" x14ac:dyDescent="0.25">
      <c r="A60" s="445" t="s">
        <v>8361</v>
      </c>
      <c r="B60" s="394"/>
      <c r="C60" s="294" t="s">
        <v>8324</v>
      </c>
      <c r="D60" s="307">
        <v>60000</v>
      </c>
      <c r="E60" s="306"/>
      <c r="F60" s="48">
        <f t="shared" si="1"/>
        <v>1746978</v>
      </c>
      <c r="G60" s="400" t="s">
        <v>9568</v>
      </c>
    </row>
    <row r="61" spans="1:7" x14ac:dyDescent="0.25">
      <c r="A61" s="445" t="s">
        <v>8362</v>
      </c>
      <c r="B61" s="394"/>
      <c r="C61" s="294" t="s">
        <v>8328</v>
      </c>
      <c r="D61" s="307">
        <v>28500</v>
      </c>
      <c r="E61" s="306"/>
      <c r="F61" s="48">
        <f t="shared" si="1"/>
        <v>1718478</v>
      </c>
      <c r="G61" s="400" t="s">
        <v>9568</v>
      </c>
    </row>
    <row r="62" spans="1:7" x14ac:dyDescent="0.25">
      <c r="A62" s="445" t="s">
        <v>8362</v>
      </c>
      <c r="B62" s="394"/>
      <c r="C62" s="294" t="s">
        <v>8363</v>
      </c>
      <c r="D62" s="307">
        <v>100507</v>
      </c>
      <c r="E62" s="306"/>
      <c r="F62" s="48">
        <f t="shared" si="1"/>
        <v>1617971</v>
      </c>
      <c r="G62" s="400" t="s">
        <v>9568</v>
      </c>
    </row>
    <row r="63" spans="1:7" x14ac:dyDescent="0.25">
      <c r="A63" s="445" t="s">
        <v>8364</v>
      </c>
      <c r="B63" s="394"/>
      <c r="C63" s="294" t="s">
        <v>8365</v>
      </c>
      <c r="D63" s="307">
        <v>5000</v>
      </c>
      <c r="E63" s="306"/>
      <c r="F63" s="48">
        <f t="shared" si="1"/>
        <v>1612971</v>
      </c>
      <c r="G63" s="400" t="s">
        <v>9568</v>
      </c>
    </row>
    <row r="64" spans="1:7" x14ac:dyDescent="0.25">
      <c r="A64" s="445" t="s">
        <v>8366</v>
      </c>
      <c r="B64" s="394"/>
      <c r="C64" s="294" t="s">
        <v>8367</v>
      </c>
      <c r="D64" s="307">
        <v>485000</v>
      </c>
      <c r="E64" s="306"/>
      <c r="F64" s="48">
        <f t="shared" si="1"/>
        <v>1127971</v>
      </c>
      <c r="G64" s="400" t="s">
        <v>9568</v>
      </c>
    </row>
    <row r="65" spans="1:7" x14ac:dyDescent="0.25">
      <c r="A65" s="445" t="s">
        <v>8366</v>
      </c>
      <c r="B65" s="394"/>
      <c r="C65" s="294" t="s">
        <v>8368</v>
      </c>
      <c r="D65" s="307">
        <v>6000</v>
      </c>
      <c r="E65" s="306"/>
      <c r="F65" s="48">
        <f t="shared" si="1"/>
        <v>1121971</v>
      </c>
      <c r="G65" s="400" t="s">
        <v>9568</v>
      </c>
    </row>
    <row r="66" spans="1:7" x14ac:dyDescent="0.25">
      <c r="A66" s="445" t="s">
        <v>8369</v>
      </c>
      <c r="B66" s="394"/>
      <c r="C66" s="294" t="s">
        <v>8370</v>
      </c>
      <c r="D66" s="307">
        <v>5000</v>
      </c>
      <c r="E66" s="306"/>
      <c r="F66" s="48">
        <f t="shared" si="1"/>
        <v>1116971</v>
      </c>
      <c r="G66" s="400" t="s">
        <v>9568</v>
      </c>
    </row>
    <row r="67" spans="1:7" x14ac:dyDescent="0.25">
      <c r="A67" s="445" t="s">
        <v>8371</v>
      </c>
      <c r="B67" s="394"/>
      <c r="C67" s="294" t="s">
        <v>7735</v>
      </c>
      <c r="D67" s="307">
        <v>225000</v>
      </c>
      <c r="E67" s="306"/>
      <c r="F67" s="48">
        <f t="shared" si="1"/>
        <v>891971</v>
      </c>
      <c r="G67" s="400" t="s">
        <v>9568</v>
      </c>
    </row>
    <row r="68" spans="1:7" x14ac:dyDescent="0.25">
      <c r="A68" s="445" t="s">
        <v>8372</v>
      </c>
      <c r="B68" s="394"/>
      <c r="C68" s="294" t="s">
        <v>7735</v>
      </c>
      <c r="D68" s="307">
        <v>190000</v>
      </c>
      <c r="E68" s="306"/>
      <c r="F68" s="48">
        <f t="shared" si="1"/>
        <v>701971</v>
      </c>
      <c r="G68" s="400" t="s">
        <v>9568</v>
      </c>
    </row>
    <row r="69" spans="1:7" x14ac:dyDescent="0.25">
      <c r="A69" s="445" t="s">
        <v>8372</v>
      </c>
      <c r="B69" s="394"/>
      <c r="C69" s="294" t="s">
        <v>7735</v>
      </c>
      <c r="D69" s="307">
        <v>250000</v>
      </c>
      <c r="E69" s="306"/>
      <c r="F69" s="48">
        <f t="shared" si="1"/>
        <v>451971</v>
      </c>
      <c r="G69" s="400" t="s">
        <v>9568</v>
      </c>
    </row>
    <row r="70" spans="1:7" ht="60" x14ac:dyDescent="0.25">
      <c r="A70" s="445" t="s">
        <v>8372</v>
      </c>
      <c r="B70" s="394"/>
      <c r="C70" s="305" t="s">
        <v>8373</v>
      </c>
      <c r="D70" s="304"/>
      <c r="E70" s="306">
        <v>102286</v>
      </c>
      <c r="F70" s="48">
        <f t="shared" si="1"/>
        <v>554257</v>
      </c>
      <c r="G70" s="400" t="s">
        <v>9568</v>
      </c>
    </row>
    <row r="71" spans="1:7" ht="45" x14ac:dyDescent="0.25">
      <c r="A71" s="445" t="s">
        <v>8374</v>
      </c>
      <c r="B71" s="394"/>
      <c r="C71" s="305" t="s">
        <v>8375</v>
      </c>
      <c r="D71" s="304"/>
      <c r="E71" s="306">
        <v>165661</v>
      </c>
      <c r="F71" s="48">
        <f t="shared" si="1"/>
        <v>719918</v>
      </c>
      <c r="G71" s="400" t="s">
        <v>9568</v>
      </c>
    </row>
    <row r="72" spans="1:7" x14ac:dyDescent="0.25">
      <c r="A72" s="445" t="s">
        <v>8376</v>
      </c>
      <c r="B72" s="394"/>
      <c r="C72" s="294" t="s">
        <v>8377</v>
      </c>
      <c r="D72" s="307">
        <v>2000</v>
      </c>
      <c r="E72" s="306"/>
      <c r="F72" s="48">
        <f t="shared" si="1"/>
        <v>717918</v>
      </c>
      <c r="G72" s="400" t="s">
        <v>9568</v>
      </c>
    </row>
    <row r="73" spans="1:7" x14ac:dyDescent="0.25">
      <c r="A73" s="445" t="s">
        <v>8378</v>
      </c>
      <c r="B73" s="394"/>
      <c r="C73" s="294" t="s">
        <v>7194</v>
      </c>
      <c r="D73" s="307">
        <v>10000</v>
      </c>
      <c r="E73" s="306"/>
      <c r="F73" s="48">
        <f t="shared" si="1"/>
        <v>707918</v>
      </c>
      <c r="G73" s="400" t="s">
        <v>9568</v>
      </c>
    </row>
    <row r="74" spans="1:7" ht="45" x14ac:dyDescent="0.25">
      <c r="A74" s="445" t="s">
        <v>8379</v>
      </c>
      <c r="B74" s="394"/>
      <c r="C74" s="305" t="s">
        <v>8380</v>
      </c>
      <c r="D74" s="304"/>
      <c r="E74" s="306">
        <v>565356</v>
      </c>
      <c r="F74" s="48">
        <f t="shared" si="1"/>
        <v>1273274</v>
      </c>
      <c r="G74" s="400" t="s">
        <v>9568</v>
      </c>
    </row>
    <row r="75" spans="1:7" ht="30" x14ac:dyDescent="0.25">
      <c r="A75" s="445" t="s">
        <v>8379</v>
      </c>
      <c r="B75" s="394"/>
      <c r="C75" s="305" t="s">
        <v>8381</v>
      </c>
      <c r="D75" s="304"/>
      <c r="E75" s="306">
        <v>500000</v>
      </c>
      <c r="F75" s="48">
        <f t="shared" ref="F75:F138" si="2">F74+E75-D75</f>
        <v>1773274</v>
      </c>
      <c r="G75" s="400" t="s">
        <v>9568</v>
      </c>
    </row>
    <row r="76" spans="1:7" ht="30" x14ac:dyDescent="0.25">
      <c r="A76" s="445" t="s">
        <v>8379</v>
      </c>
      <c r="B76" s="394"/>
      <c r="C76" s="305" t="s">
        <v>8381</v>
      </c>
      <c r="D76" s="304"/>
      <c r="E76" s="306">
        <v>500000</v>
      </c>
      <c r="F76" s="48">
        <f t="shared" si="2"/>
        <v>2273274</v>
      </c>
      <c r="G76" s="400" t="s">
        <v>9568</v>
      </c>
    </row>
    <row r="77" spans="1:7" x14ac:dyDescent="0.25">
      <c r="A77" s="445" t="s">
        <v>8379</v>
      </c>
      <c r="B77" s="394"/>
      <c r="C77" s="305" t="s">
        <v>8382</v>
      </c>
      <c r="D77" s="304">
        <v>20000</v>
      </c>
      <c r="E77" s="306"/>
      <c r="F77" s="48">
        <f t="shared" si="2"/>
        <v>2253274</v>
      </c>
      <c r="G77" s="400" t="s">
        <v>9568</v>
      </c>
    </row>
    <row r="78" spans="1:7" x14ac:dyDescent="0.25">
      <c r="A78" s="445" t="s">
        <v>8379</v>
      </c>
      <c r="B78" s="394"/>
      <c r="C78" s="305" t="s">
        <v>7735</v>
      </c>
      <c r="D78" s="304">
        <v>20000</v>
      </c>
      <c r="E78" s="306"/>
      <c r="F78" s="48">
        <f t="shared" si="2"/>
        <v>2233274</v>
      </c>
      <c r="G78" s="400" t="s">
        <v>9568</v>
      </c>
    </row>
    <row r="79" spans="1:7" x14ac:dyDescent="0.25">
      <c r="A79" s="445" t="s">
        <v>8383</v>
      </c>
      <c r="B79" s="394"/>
      <c r="C79" s="305" t="s">
        <v>7735</v>
      </c>
      <c r="D79" s="304">
        <v>200000</v>
      </c>
      <c r="E79" s="306"/>
      <c r="F79" s="48">
        <f t="shared" si="2"/>
        <v>2033274</v>
      </c>
      <c r="G79" s="400" t="s">
        <v>9568</v>
      </c>
    </row>
    <row r="80" spans="1:7" x14ac:dyDescent="0.25">
      <c r="A80" s="445" t="s">
        <v>8383</v>
      </c>
      <c r="B80" s="394"/>
      <c r="C80" s="305" t="s">
        <v>8384</v>
      </c>
      <c r="D80" s="304">
        <v>5000</v>
      </c>
      <c r="E80" s="306"/>
      <c r="F80" s="48">
        <f t="shared" si="2"/>
        <v>2028274</v>
      </c>
      <c r="G80" s="400" t="s">
        <v>9568</v>
      </c>
    </row>
    <row r="81" spans="1:7" x14ac:dyDescent="0.25">
      <c r="A81" s="445" t="s">
        <v>8385</v>
      </c>
      <c r="B81" s="394"/>
      <c r="C81" s="305" t="s">
        <v>8386</v>
      </c>
      <c r="D81" s="304">
        <v>20000</v>
      </c>
      <c r="E81" s="306"/>
      <c r="F81" s="48">
        <f t="shared" si="2"/>
        <v>2008274</v>
      </c>
      <c r="G81" s="400" t="s">
        <v>9568</v>
      </c>
    </row>
    <row r="82" spans="1:7" x14ac:dyDescent="0.25">
      <c r="A82" s="445" t="s">
        <v>8387</v>
      </c>
      <c r="B82" s="394"/>
      <c r="C82" s="305" t="s">
        <v>8388</v>
      </c>
      <c r="D82" s="304">
        <v>25000</v>
      </c>
      <c r="E82" s="306"/>
      <c r="F82" s="48">
        <f t="shared" si="2"/>
        <v>1983274</v>
      </c>
      <c r="G82" s="400" t="s">
        <v>9568</v>
      </c>
    </row>
    <row r="83" spans="1:7" ht="30" x14ac:dyDescent="0.25">
      <c r="A83" s="445" t="s">
        <v>8387</v>
      </c>
      <c r="B83" s="394"/>
      <c r="C83" s="305" t="s">
        <v>8389</v>
      </c>
      <c r="D83" s="304">
        <v>202000</v>
      </c>
      <c r="E83" s="306"/>
      <c r="F83" s="48">
        <f t="shared" si="2"/>
        <v>1781274</v>
      </c>
      <c r="G83" s="400" t="s">
        <v>9568</v>
      </c>
    </row>
    <row r="84" spans="1:7" x14ac:dyDescent="0.25">
      <c r="A84" s="445" t="s">
        <v>8390</v>
      </c>
      <c r="B84" s="394"/>
      <c r="C84" s="305" t="s">
        <v>8391</v>
      </c>
      <c r="D84" s="304">
        <v>60000</v>
      </c>
      <c r="E84" s="306"/>
      <c r="F84" s="48">
        <f t="shared" si="2"/>
        <v>1721274</v>
      </c>
      <c r="G84" s="400" t="s">
        <v>9568</v>
      </c>
    </row>
    <row r="85" spans="1:7" x14ac:dyDescent="0.25">
      <c r="A85" s="445" t="s">
        <v>8392</v>
      </c>
      <c r="B85" s="394"/>
      <c r="C85" s="294" t="s">
        <v>8393</v>
      </c>
      <c r="D85" s="307">
        <v>62000</v>
      </c>
      <c r="E85" s="306"/>
      <c r="F85" s="48">
        <f t="shared" si="2"/>
        <v>1659274</v>
      </c>
      <c r="G85" s="400" t="s">
        <v>9568</v>
      </c>
    </row>
    <row r="86" spans="1:7" ht="30" x14ac:dyDescent="0.25">
      <c r="A86" s="445" t="s">
        <v>8392</v>
      </c>
      <c r="B86" s="394"/>
      <c r="C86" s="305" t="s">
        <v>8394</v>
      </c>
      <c r="D86" s="307">
        <v>25000</v>
      </c>
      <c r="E86" s="306"/>
      <c r="F86" s="48">
        <f t="shared" si="2"/>
        <v>1634274</v>
      </c>
      <c r="G86" s="400" t="s">
        <v>9568</v>
      </c>
    </row>
    <row r="87" spans="1:7" x14ac:dyDescent="0.25">
      <c r="A87" s="445" t="s">
        <v>8392</v>
      </c>
      <c r="B87" s="394"/>
      <c r="C87" s="305" t="s">
        <v>5525</v>
      </c>
      <c r="D87" s="307">
        <v>5000</v>
      </c>
      <c r="E87" s="306"/>
      <c r="F87" s="48">
        <f t="shared" si="2"/>
        <v>1629274</v>
      </c>
      <c r="G87" s="400" t="s">
        <v>9568</v>
      </c>
    </row>
    <row r="88" spans="1:7" x14ac:dyDescent="0.25">
      <c r="A88" s="445" t="s">
        <v>8395</v>
      </c>
      <c r="B88" s="394"/>
      <c r="C88" s="305" t="s">
        <v>8396</v>
      </c>
      <c r="D88" s="307">
        <v>105300</v>
      </c>
      <c r="E88" s="306"/>
      <c r="F88" s="48">
        <f t="shared" si="2"/>
        <v>1523974</v>
      </c>
      <c r="G88" s="400" t="s">
        <v>9568</v>
      </c>
    </row>
    <row r="89" spans="1:7" x14ac:dyDescent="0.25">
      <c r="A89" s="445" t="s">
        <v>8395</v>
      </c>
      <c r="B89" s="394"/>
      <c r="C89" s="305" t="s">
        <v>7735</v>
      </c>
      <c r="D89" s="307">
        <v>395000</v>
      </c>
      <c r="E89" s="306"/>
      <c r="F89" s="48">
        <f t="shared" si="2"/>
        <v>1128974</v>
      </c>
      <c r="G89" s="400" t="s">
        <v>9568</v>
      </c>
    </row>
    <row r="90" spans="1:7" x14ac:dyDescent="0.25">
      <c r="A90" s="445" t="s">
        <v>8395</v>
      </c>
      <c r="B90" s="394"/>
      <c r="C90" s="305" t="s">
        <v>8397</v>
      </c>
      <c r="D90" s="307">
        <v>10000</v>
      </c>
      <c r="E90" s="306"/>
      <c r="F90" s="48">
        <f t="shared" si="2"/>
        <v>1118974</v>
      </c>
      <c r="G90" s="400" t="s">
        <v>9568</v>
      </c>
    </row>
    <row r="91" spans="1:7" x14ac:dyDescent="0.25">
      <c r="A91" s="446" t="s">
        <v>8395</v>
      </c>
      <c r="B91" s="460"/>
      <c r="C91" s="308" t="s">
        <v>7735</v>
      </c>
      <c r="D91" s="306">
        <v>250000</v>
      </c>
      <c r="E91" s="306"/>
      <c r="F91" s="48">
        <f t="shared" si="2"/>
        <v>868974</v>
      </c>
      <c r="G91" s="400" t="s">
        <v>9568</v>
      </c>
    </row>
    <row r="92" spans="1:7" ht="30" x14ac:dyDescent="0.25">
      <c r="A92" s="446" t="s">
        <v>8395</v>
      </c>
      <c r="B92" s="460"/>
      <c r="C92" s="309" t="s">
        <v>8398</v>
      </c>
      <c r="D92" s="306"/>
      <c r="E92" s="306">
        <v>550000</v>
      </c>
      <c r="F92" s="48">
        <f t="shared" si="2"/>
        <v>1418974</v>
      </c>
      <c r="G92" s="400" t="s">
        <v>9568</v>
      </c>
    </row>
    <row r="93" spans="1:7" x14ac:dyDescent="0.25">
      <c r="A93" s="446" t="s">
        <v>8399</v>
      </c>
      <c r="B93" s="460"/>
      <c r="C93" s="308" t="s">
        <v>6378</v>
      </c>
      <c r="D93" s="306"/>
      <c r="E93" s="306">
        <v>9500</v>
      </c>
      <c r="F93" s="48">
        <f t="shared" si="2"/>
        <v>1428474</v>
      </c>
      <c r="G93" s="400" t="s">
        <v>9568</v>
      </c>
    </row>
    <row r="94" spans="1:7" x14ac:dyDescent="0.25">
      <c r="A94" s="446" t="s">
        <v>8400</v>
      </c>
      <c r="B94" s="460"/>
      <c r="C94" s="308" t="s">
        <v>8401</v>
      </c>
      <c r="D94" s="310">
        <v>30000</v>
      </c>
      <c r="E94" s="306"/>
      <c r="F94" s="48">
        <f t="shared" si="2"/>
        <v>1398474</v>
      </c>
      <c r="G94" s="400" t="s">
        <v>9568</v>
      </c>
    </row>
    <row r="95" spans="1:7" x14ac:dyDescent="0.25">
      <c r="A95" s="446" t="s">
        <v>8400</v>
      </c>
      <c r="B95" s="460"/>
      <c r="C95" s="308" t="s">
        <v>7735</v>
      </c>
      <c r="D95" s="310">
        <v>45000</v>
      </c>
      <c r="E95" s="306"/>
      <c r="F95" s="48">
        <f t="shared" si="2"/>
        <v>1353474</v>
      </c>
      <c r="G95" s="400" t="s">
        <v>9568</v>
      </c>
    </row>
    <row r="96" spans="1:7" x14ac:dyDescent="0.25">
      <c r="A96" s="446" t="s">
        <v>8400</v>
      </c>
      <c r="B96" s="460"/>
      <c r="C96" s="308" t="s">
        <v>7735</v>
      </c>
      <c r="D96" s="310">
        <v>70000</v>
      </c>
      <c r="E96" s="306"/>
      <c r="F96" s="48">
        <f t="shared" si="2"/>
        <v>1283474</v>
      </c>
      <c r="G96" s="400" t="s">
        <v>9568</v>
      </c>
    </row>
    <row r="97" spans="1:7" x14ac:dyDescent="0.25">
      <c r="A97" s="446" t="s">
        <v>8400</v>
      </c>
      <c r="B97" s="460"/>
      <c r="C97" s="308" t="s">
        <v>7735</v>
      </c>
      <c r="D97" s="310">
        <v>50000</v>
      </c>
      <c r="E97" s="306"/>
      <c r="F97" s="48">
        <f t="shared" si="2"/>
        <v>1233474</v>
      </c>
      <c r="G97" s="400" t="s">
        <v>9568</v>
      </c>
    </row>
    <row r="98" spans="1:7" x14ac:dyDescent="0.25">
      <c r="A98" s="446" t="s">
        <v>8400</v>
      </c>
      <c r="B98" s="460"/>
      <c r="C98" s="308" t="s">
        <v>8402</v>
      </c>
      <c r="D98" s="310">
        <v>20000</v>
      </c>
      <c r="E98" s="306"/>
      <c r="F98" s="48">
        <f t="shared" si="2"/>
        <v>1213474</v>
      </c>
      <c r="G98" s="400" t="s">
        <v>9568</v>
      </c>
    </row>
    <row r="99" spans="1:7" x14ac:dyDescent="0.25">
      <c r="A99" s="446" t="s">
        <v>8403</v>
      </c>
      <c r="B99" s="460"/>
      <c r="C99" s="308" t="s">
        <v>7735</v>
      </c>
      <c r="D99" s="310">
        <v>100000</v>
      </c>
      <c r="E99" s="306"/>
      <c r="F99" s="48">
        <f t="shared" si="2"/>
        <v>1113474</v>
      </c>
      <c r="G99" s="400" t="s">
        <v>9568</v>
      </c>
    </row>
    <row r="100" spans="1:7" x14ac:dyDescent="0.25">
      <c r="A100" s="446" t="s">
        <v>8404</v>
      </c>
      <c r="B100" s="460"/>
      <c r="C100" s="308" t="s">
        <v>7735</v>
      </c>
      <c r="D100" s="310">
        <v>100000</v>
      </c>
      <c r="E100" s="306"/>
      <c r="F100" s="48">
        <f t="shared" si="2"/>
        <v>1013474</v>
      </c>
      <c r="G100" s="400" t="s">
        <v>9568</v>
      </c>
    </row>
    <row r="101" spans="1:7" x14ac:dyDescent="0.25">
      <c r="A101" s="446" t="s">
        <v>8405</v>
      </c>
      <c r="B101" s="460"/>
      <c r="C101" s="308" t="s">
        <v>7735</v>
      </c>
      <c r="D101" s="310">
        <v>100000</v>
      </c>
      <c r="E101" s="306"/>
      <c r="F101" s="48">
        <f t="shared" si="2"/>
        <v>913474</v>
      </c>
      <c r="G101" s="400" t="s">
        <v>9568</v>
      </c>
    </row>
    <row r="102" spans="1:7" ht="30" x14ac:dyDescent="0.25">
      <c r="A102" s="446" t="s">
        <v>8405</v>
      </c>
      <c r="B102" s="460"/>
      <c r="C102" s="309" t="s">
        <v>8406</v>
      </c>
      <c r="D102" s="306"/>
      <c r="E102" s="306">
        <v>400000</v>
      </c>
      <c r="F102" s="48">
        <f t="shared" si="2"/>
        <v>1313474</v>
      </c>
      <c r="G102" s="400" t="s">
        <v>9568</v>
      </c>
    </row>
    <row r="103" spans="1:7" ht="30" x14ac:dyDescent="0.25">
      <c r="A103" s="446" t="s">
        <v>8405</v>
      </c>
      <c r="B103" s="460"/>
      <c r="C103" s="309" t="s">
        <v>8406</v>
      </c>
      <c r="D103" s="306"/>
      <c r="E103" s="306">
        <v>450000</v>
      </c>
      <c r="F103" s="48">
        <f t="shared" si="2"/>
        <v>1763474</v>
      </c>
      <c r="G103" s="400" t="s">
        <v>9568</v>
      </c>
    </row>
    <row r="104" spans="1:7" x14ac:dyDescent="0.25">
      <c r="A104" s="446" t="s">
        <v>8407</v>
      </c>
      <c r="B104" s="460"/>
      <c r="C104" s="308" t="s">
        <v>8408</v>
      </c>
      <c r="D104" s="306">
        <v>18800</v>
      </c>
      <c r="E104" s="306"/>
      <c r="F104" s="48">
        <f t="shared" si="2"/>
        <v>1744674</v>
      </c>
      <c r="G104" s="400" t="s">
        <v>9568</v>
      </c>
    </row>
    <row r="105" spans="1:7" x14ac:dyDescent="0.25">
      <c r="A105" s="446" t="s">
        <v>8407</v>
      </c>
      <c r="B105" s="460"/>
      <c r="C105" s="308" t="s">
        <v>7735</v>
      </c>
      <c r="D105" s="306">
        <v>90000</v>
      </c>
      <c r="E105" s="306"/>
      <c r="F105" s="48">
        <f t="shared" si="2"/>
        <v>1654674</v>
      </c>
      <c r="G105" s="400" t="s">
        <v>9568</v>
      </c>
    </row>
    <row r="106" spans="1:7" ht="45" x14ac:dyDescent="0.25">
      <c r="A106" s="446" t="s">
        <v>8409</v>
      </c>
      <c r="B106" s="460"/>
      <c r="C106" s="309" t="s">
        <v>8410</v>
      </c>
      <c r="D106" s="306"/>
      <c r="E106" s="306">
        <v>1000000</v>
      </c>
      <c r="F106" s="48">
        <f t="shared" si="2"/>
        <v>2654674</v>
      </c>
      <c r="G106" s="400" t="s">
        <v>9568</v>
      </c>
    </row>
    <row r="107" spans="1:7" x14ac:dyDescent="0.25">
      <c r="A107" s="446" t="s">
        <v>8411</v>
      </c>
      <c r="B107" s="460"/>
      <c r="C107" s="308" t="s">
        <v>7735</v>
      </c>
      <c r="D107" s="306">
        <v>100000</v>
      </c>
      <c r="E107" s="306"/>
      <c r="F107" s="48">
        <f t="shared" si="2"/>
        <v>2554674</v>
      </c>
      <c r="G107" s="400" t="s">
        <v>9568</v>
      </c>
    </row>
    <row r="108" spans="1:7" x14ac:dyDescent="0.25">
      <c r="A108" s="446" t="s">
        <v>8412</v>
      </c>
      <c r="B108" s="460"/>
      <c r="C108" s="308" t="s">
        <v>8413</v>
      </c>
      <c r="D108" s="306">
        <v>200000</v>
      </c>
      <c r="E108" s="306"/>
      <c r="F108" s="48">
        <f t="shared" si="2"/>
        <v>2354674</v>
      </c>
      <c r="G108" s="400" t="s">
        <v>9568</v>
      </c>
    </row>
    <row r="109" spans="1:7" x14ac:dyDescent="0.25">
      <c r="A109" s="446" t="s">
        <v>8412</v>
      </c>
      <c r="B109" s="460"/>
      <c r="C109" s="308" t="s">
        <v>8414</v>
      </c>
      <c r="D109" s="306">
        <v>50000</v>
      </c>
      <c r="E109" s="306"/>
      <c r="F109" s="48">
        <f t="shared" si="2"/>
        <v>2304674</v>
      </c>
      <c r="G109" s="400" t="s">
        <v>9568</v>
      </c>
    </row>
    <row r="110" spans="1:7" x14ac:dyDescent="0.25">
      <c r="A110" s="446" t="s">
        <v>8412</v>
      </c>
      <c r="B110" s="460"/>
      <c r="C110" s="308" t="s">
        <v>8415</v>
      </c>
      <c r="D110" s="306">
        <v>50000</v>
      </c>
      <c r="E110" s="306"/>
      <c r="F110" s="48">
        <f t="shared" si="2"/>
        <v>2254674</v>
      </c>
      <c r="G110" s="400" t="s">
        <v>9568</v>
      </c>
    </row>
    <row r="111" spans="1:7" ht="45" x14ac:dyDescent="0.25">
      <c r="A111" s="446" t="s">
        <v>8416</v>
      </c>
      <c r="B111" s="460"/>
      <c r="C111" s="309" t="s">
        <v>8410</v>
      </c>
      <c r="D111" s="306"/>
      <c r="E111" s="306">
        <v>1000000</v>
      </c>
      <c r="F111" s="48">
        <f t="shared" si="2"/>
        <v>3254674</v>
      </c>
      <c r="G111" s="400" t="s">
        <v>9568</v>
      </c>
    </row>
    <row r="112" spans="1:7" x14ac:dyDescent="0.25">
      <c r="A112" s="446" t="s">
        <v>8417</v>
      </c>
      <c r="B112" s="460"/>
      <c r="C112" s="308" t="s">
        <v>8418</v>
      </c>
      <c r="D112" s="306">
        <v>50000</v>
      </c>
      <c r="E112" s="306"/>
      <c r="F112" s="48">
        <f t="shared" si="2"/>
        <v>3204674</v>
      </c>
      <c r="G112" s="400" t="s">
        <v>9568</v>
      </c>
    </row>
    <row r="113" spans="1:7" x14ac:dyDescent="0.25">
      <c r="A113" s="446" t="s">
        <v>8419</v>
      </c>
      <c r="B113" s="460"/>
      <c r="C113" s="294" t="s">
        <v>8393</v>
      </c>
      <c r="D113" s="307">
        <v>62000</v>
      </c>
      <c r="E113" s="306"/>
      <c r="F113" s="48">
        <f t="shared" si="2"/>
        <v>3142674</v>
      </c>
      <c r="G113" s="400" t="s">
        <v>9568</v>
      </c>
    </row>
    <row r="114" spans="1:7" x14ac:dyDescent="0.25">
      <c r="A114" s="446" t="s">
        <v>8420</v>
      </c>
      <c r="B114" s="460"/>
      <c r="C114" s="308" t="s">
        <v>8421</v>
      </c>
      <c r="D114" s="306">
        <v>65000</v>
      </c>
      <c r="E114" s="306"/>
      <c r="F114" s="48">
        <f t="shared" si="2"/>
        <v>3077674</v>
      </c>
      <c r="G114" s="400" t="s">
        <v>9568</v>
      </c>
    </row>
    <row r="115" spans="1:7" x14ac:dyDescent="0.25">
      <c r="A115" s="446" t="s">
        <v>8420</v>
      </c>
      <c r="B115" s="394"/>
      <c r="C115" s="311" t="s">
        <v>8422</v>
      </c>
      <c r="D115" s="312">
        <v>100000</v>
      </c>
      <c r="E115" s="306"/>
      <c r="F115" s="48">
        <f t="shared" si="2"/>
        <v>2977674</v>
      </c>
      <c r="G115" s="400" t="s">
        <v>9568</v>
      </c>
    </row>
    <row r="116" spans="1:7" x14ac:dyDescent="0.25">
      <c r="A116" s="446" t="s">
        <v>8423</v>
      </c>
      <c r="B116" s="394"/>
      <c r="C116" s="308" t="s">
        <v>8424</v>
      </c>
      <c r="D116" s="304">
        <v>25000</v>
      </c>
      <c r="E116" s="306"/>
      <c r="F116" s="48">
        <f t="shared" si="2"/>
        <v>2952674</v>
      </c>
      <c r="G116" s="400" t="s">
        <v>9568</v>
      </c>
    </row>
    <row r="117" spans="1:7" ht="45" x14ac:dyDescent="0.25">
      <c r="A117" s="446" t="s">
        <v>8423</v>
      </c>
      <c r="B117" s="394"/>
      <c r="C117" s="309" t="s">
        <v>8425</v>
      </c>
      <c r="D117" s="304"/>
      <c r="E117" s="306">
        <v>1500000</v>
      </c>
      <c r="F117" s="48">
        <f t="shared" si="2"/>
        <v>4452674</v>
      </c>
      <c r="G117" s="400" t="s">
        <v>9568</v>
      </c>
    </row>
    <row r="118" spans="1:7" x14ac:dyDescent="0.25">
      <c r="A118" s="446" t="s">
        <v>8423</v>
      </c>
      <c r="B118" s="394"/>
      <c r="C118" s="308" t="s">
        <v>7735</v>
      </c>
      <c r="D118" s="304">
        <v>750000</v>
      </c>
      <c r="E118" s="306"/>
      <c r="F118" s="48">
        <f t="shared" si="2"/>
        <v>3702674</v>
      </c>
      <c r="G118" s="400" t="s">
        <v>9568</v>
      </c>
    </row>
    <row r="119" spans="1:7" x14ac:dyDescent="0.25">
      <c r="A119" s="446" t="s">
        <v>8423</v>
      </c>
      <c r="B119" s="394"/>
      <c r="C119" s="308" t="s">
        <v>8426</v>
      </c>
      <c r="D119" s="304">
        <v>60000</v>
      </c>
      <c r="E119" s="306"/>
      <c r="F119" s="48">
        <f t="shared" si="2"/>
        <v>3642674</v>
      </c>
      <c r="G119" s="400" t="s">
        <v>9568</v>
      </c>
    </row>
    <row r="120" spans="1:7" x14ac:dyDescent="0.25">
      <c r="A120" s="446" t="s">
        <v>8427</v>
      </c>
      <c r="B120" s="394"/>
      <c r="C120" s="308" t="s">
        <v>7735</v>
      </c>
      <c r="D120" s="304">
        <v>200000</v>
      </c>
      <c r="E120" s="306"/>
      <c r="F120" s="48">
        <f t="shared" si="2"/>
        <v>3442674</v>
      </c>
      <c r="G120" s="400" t="s">
        <v>9568</v>
      </c>
    </row>
    <row r="121" spans="1:7" x14ac:dyDescent="0.25">
      <c r="A121" s="446" t="s">
        <v>8427</v>
      </c>
      <c r="B121" s="394"/>
      <c r="C121" s="294" t="s">
        <v>8428</v>
      </c>
      <c r="D121" s="304">
        <v>74000</v>
      </c>
      <c r="E121" s="306"/>
      <c r="F121" s="48">
        <f t="shared" si="2"/>
        <v>3368674</v>
      </c>
      <c r="G121" s="400" t="s">
        <v>9568</v>
      </c>
    </row>
    <row r="122" spans="1:7" x14ac:dyDescent="0.25">
      <c r="A122" s="446" t="s">
        <v>8427</v>
      </c>
      <c r="B122" s="394"/>
      <c r="C122" s="294" t="s">
        <v>8428</v>
      </c>
      <c r="D122" s="304">
        <v>6500</v>
      </c>
      <c r="E122" s="306"/>
      <c r="F122" s="48">
        <f t="shared" si="2"/>
        <v>3362174</v>
      </c>
      <c r="G122" s="400" t="s">
        <v>9568</v>
      </c>
    </row>
    <row r="123" spans="1:7" x14ac:dyDescent="0.25">
      <c r="A123" s="446" t="s">
        <v>8429</v>
      </c>
      <c r="B123" s="394"/>
      <c r="C123" s="308" t="s">
        <v>8413</v>
      </c>
      <c r="D123" s="304">
        <v>100000</v>
      </c>
      <c r="E123" s="306"/>
      <c r="F123" s="48">
        <f t="shared" si="2"/>
        <v>3262174</v>
      </c>
      <c r="G123" s="400" t="s">
        <v>9568</v>
      </c>
    </row>
    <row r="124" spans="1:7" x14ac:dyDescent="0.25">
      <c r="A124" s="446" t="s">
        <v>8429</v>
      </c>
      <c r="B124" s="394"/>
      <c r="C124" s="311" t="s">
        <v>8430</v>
      </c>
      <c r="D124" s="312">
        <v>200000</v>
      </c>
      <c r="E124" s="306"/>
      <c r="F124" s="48">
        <f t="shared" si="2"/>
        <v>3062174</v>
      </c>
      <c r="G124" s="400" t="s">
        <v>9568</v>
      </c>
    </row>
    <row r="125" spans="1:7" x14ac:dyDescent="0.25">
      <c r="A125" s="446" t="s">
        <v>8429</v>
      </c>
      <c r="B125" s="394"/>
      <c r="C125" s="308" t="s">
        <v>8431</v>
      </c>
      <c r="D125" s="304">
        <v>15000</v>
      </c>
      <c r="E125" s="306"/>
      <c r="F125" s="48">
        <f t="shared" si="2"/>
        <v>3047174</v>
      </c>
      <c r="G125" s="400" t="s">
        <v>9568</v>
      </c>
    </row>
    <row r="126" spans="1:7" x14ac:dyDescent="0.25">
      <c r="A126" s="446" t="s">
        <v>8429</v>
      </c>
      <c r="B126" s="394"/>
      <c r="C126" s="294" t="s">
        <v>8386</v>
      </c>
      <c r="D126" s="304">
        <v>10000</v>
      </c>
      <c r="E126" s="306"/>
      <c r="F126" s="48">
        <f t="shared" si="2"/>
        <v>3037174</v>
      </c>
      <c r="G126" s="400" t="s">
        <v>9568</v>
      </c>
    </row>
    <row r="127" spans="1:7" x14ac:dyDescent="0.25">
      <c r="A127" s="446" t="s">
        <v>8432</v>
      </c>
      <c r="B127" s="394"/>
      <c r="C127" s="294" t="s">
        <v>8433</v>
      </c>
      <c r="D127" s="304">
        <v>10000</v>
      </c>
      <c r="E127" s="306"/>
      <c r="F127" s="48">
        <f t="shared" si="2"/>
        <v>3027174</v>
      </c>
      <c r="G127" s="400" t="s">
        <v>9568</v>
      </c>
    </row>
    <row r="128" spans="1:7" x14ac:dyDescent="0.25">
      <c r="A128" s="446" t="s">
        <v>8432</v>
      </c>
      <c r="B128" s="394"/>
      <c r="C128" s="308" t="s">
        <v>7735</v>
      </c>
      <c r="D128" s="304">
        <v>60000</v>
      </c>
      <c r="E128" s="306"/>
      <c r="F128" s="48">
        <f t="shared" si="2"/>
        <v>2967174</v>
      </c>
      <c r="G128" s="400" t="s">
        <v>9568</v>
      </c>
    </row>
    <row r="129" spans="1:7" x14ac:dyDescent="0.25">
      <c r="A129" s="446" t="s">
        <v>8432</v>
      </c>
      <c r="B129" s="394"/>
      <c r="C129" s="313" t="s">
        <v>4941</v>
      </c>
      <c r="D129" s="314">
        <v>10000</v>
      </c>
      <c r="E129" s="306"/>
      <c r="F129" s="48">
        <f t="shared" si="2"/>
        <v>2957174</v>
      </c>
      <c r="G129" s="400" t="s">
        <v>9568</v>
      </c>
    </row>
    <row r="130" spans="1:7" x14ac:dyDescent="0.25">
      <c r="A130" s="446" t="s">
        <v>8434</v>
      </c>
      <c r="B130" s="394"/>
      <c r="C130" s="294" t="s">
        <v>8360</v>
      </c>
      <c r="D130" s="304">
        <v>100000</v>
      </c>
      <c r="E130" s="306"/>
      <c r="F130" s="48">
        <f t="shared" si="2"/>
        <v>2857174</v>
      </c>
      <c r="G130" s="400" t="s">
        <v>9568</v>
      </c>
    </row>
    <row r="131" spans="1:7" x14ac:dyDescent="0.25">
      <c r="A131" s="446" t="s">
        <v>8435</v>
      </c>
      <c r="B131" s="394"/>
      <c r="C131" s="294" t="s">
        <v>4941</v>
      </c>
      <c r="D131" s="304">
        <v>15000</v>
      </c>
      <c r="E131" s="306"/>
      <c r="F131" s="48">
        <f t="shared" si="2"/>
        <v>2842174</v>
      </c>
      <c r="G131" s="400" t="s">
        <v>9568</v>
      </c>
    </row>
    <row r="132" spans="1:7" x14ac:dyDescent="0.25">
      <c r="A132" s="446" t="s">
        <v>8435</v>
      </c>
      <c r="B132" s="394"/>
      <c r="C132" s="308" t="s">
        <v>7735</v>
      </c>
      <c r="D132" s="304">
        <v>50000</v>
      </c>
      <c r="E132" s="306"/>
      <c r="F132" s="48">
        <f t="shared" si="2"/>
        <v>2792174</v>
      </c>
      <c r="G132" s="400" t="s">
        <v>9568</v>
      </c>
    </row>
    <row r="133" spans="1:7" x14ac:dyDescent="0.25">
      <c r="A133" s="446" t="s">
        <v>8435</v>
      </c>
      <c r="B133" s="394"/>
      <c r="C133" s="308" t="s">
        <v>7735</v>
      </c>
      <c r="D133" s="304">
        <v>50000</v>
      </c>
      <c r="E133" s="306"/>
      <c r="F133" s="48">
        <f t="shared" si="2"/>
        <v>2742174</v>
      </c>
      <c r="G133" s="400" t="s">
        <v>9568</v>
      </c>
    </row>
    <row r="134" spans="1:7" x14ac:dyDescent="0.25">
      <c r="A134" s="446" t="s">
        <v>8436</v>
      </c>
      <c r="B134" s="394"/>
      <c r="C134" s="308" t="s">
        <v>7735</v>
      </c>
      <c r="D134" s="304">
        <v>100000</v>
      </c>
      <c r="E134" s="306"/>
      <c r="F134" s="48">
        <f t="shared" si="2"/>
        <v>2642174</v>
      </c>
      <c r="G134" s="400" t="s">
        <v>9568</v>
      </c>
    </row>
    <row r="135" spans="1:7" x14ac:dyDescent="0.25">
      <c r="A135" s="446" t="s">
        <v>8436</v>
      </c>
      <c r="B135" s="394"/>
      <c r="C135" s="311" t="s">
        <v>8437</v>
      </c>
      <c r="D135" s="312">
        <v>200000</v>
      </c>
      <c r="E135" s="306"/>
      <c r="F135" s="48">
        <f t="shared" si="2"/>
        <v>2442174</v>
      </c>
      <c r="G135" s="400" t="s">
        <v>9568</v>
      </c>
    </row>
    <row r="136" spans="1:7" x14ac:dyDescent="0.25">
      <c r="A136" s="446" t="s">
        <v>8438</v>
      </c>
      <c r="B136" s="394"/>
      <c r="C136" s="308" t="s">
        <v>7735</v>
      </c>
      <c r="D136" s="304">
        <v>100000</v>
      </c>
      <c r="E136" s="306"/>
      <c r="F136" s="48">
        <f t="shared" si="2"/>
        <v>2342174</v>
      </c>
      <c r="G136" s="400" t="s">
        <v>9568</v>
      </c>
    </row>
    <row r="137" spans="1:7" x14ac:dyDescent="0.25">
      <c r="A137" s="446" t="s">
        <v>8439</v>
      </c>
      <c r="B137" s="394"/>
      <c r="C137" s="311" t="s">
        <v>8440</v>
      </c>
      <c r="D137" s="312">
        <v>200000</v>
      </c>
      <c r="E137" s="306"/>
      <c r="F137" s="48">
        <f t="shared" si="2"/>
        <v>2142174</v>
      </c>
      <c r="G137" s="400" t="s">
        <v>9568</v>
      </c>
    </row>
    <row r="138" spans="1:7" x14ac:dyDescent="0.25">
      <c r="A138" s="446" t="s">
        <v>8439</v>
      </c>
      <c r="B138" s="394"/>
      <c r="C138" s="309" t="s">
        <v>8441</v>
      </c>
      <c r="D138" s="304">
        <v>33630</v>
      </c>
      <c r="E138" s="306"/>
      <c r="F138" s="48">
        <f t="shared" si="2"/>
        <v>2108544</v>
      </c>
      <c r="G138" s="400" t="s">
        <v>9568</v>
      </c>
    </row>
    <row r="139" spans="1:7" x14ac:dyDescent="0.25">
      <c r="A139" s="446" t="s">
        <v>8439</v>
      </c>
      <c r="B139" s="394"/>
      <c r="C139" s="309" t="s">
        <v>8442</v>
      </c>
      <c r="D139" s="304"/>
      <c r="E139" s="306">
        <v>500000</v>
      </c>
      <c r="F139" s="48">
        <f t="shared" ref="F139:F202" si="3">F138+E139-D139</f>
        <v>2608544</v>
      </c>
      <c r="G139" s="400" t="s">
        <v>9568</v>
      </c>
    </row>
    <row r="140" spans="1:7" x14ac:dyDescent="0.25">
      <c r="A140" s="446" t="s">
        <v>8439</v>
      </c>
      <c r="B140" s="394"/>
      <c r="C140" s="309" t="s">
        <v>8443</v>
      </c>
      <c r="D140" s="304"/>
      <c r="E140" s="306">
        <v>500000</v>
      </c>
      <c r="F140" s="48">
        <f t="shared" si="3"/>
        <v>3108544</v>
      </c>
      <c r="G140" s="400" t="s">
        <v>9568</v>
      </c>
    </row>
    <row r="141" spans="1:7" x14ac:dyDescent="0.25">
      <c r="A141" s="446" t="s">
        <v>8444</v>
      </c>
      <c r="B141" s="394"/>
      <c r="C141" s="308" t="s">
        <v>7735</v>
      </c>
      <c r="D141" s="304">
        <v>300000</v>
      </c>
      <c r="E141" s="306"/>
      <c r="F141" s="48">
        <f t="shared" si="3"/>
        <v>2808544</v>
      </c>
      <c r="G141" s="400" t="s">
        <v>9568</v>
      </c>
    </row>
    <row r="142" spans="1:7" x14ac:dyDescent="0.25">
      <c r="A142" s="446" t="s">
        <v>8445</v>
      </c>
      <c r="B142" s="394"/>
      <c r="C142" s="294" t="s">
        <v>8446</v>
      </c>
      <c r="D142" s="304">
        <v>86500</v>
      </c>
      <c r="E142" s="306"/>
      <c r="F142" s="48">
        <f t="shared" si="3"/>
        <v>2722044</v>
      </c>
      <c r="G142" s="400" t="s">
        <v>9568</v>
      </c>
    </row>
    <row r="143" spans="1:7" ht="45" x14ac:dyDescent="0.25">
      <c r="A143" s="446" t="s">
        <v>8445</v>
      </c>
      <c r="B143" s="394"/>
      <c r="C143" s="305" t="s">
        <v>8447</v>
      </c>
      <c r="D143" s="304"/>
      <c r="E143" s="306">
        <v>500000</v>
      </c>
      <c r="F143" s="48">
        <f t="shared" si="3"/>
        <v>3222044</v>
      </c>
      <c r="G143" s="400" t="s">
        <v>9568</v>
      </c>
    </row>
    <row r="144" spans="1:7" ht="45" x14ac:dyDescent="0.25">
      <c r="A144" s="446" t="s">
        <v>8445</v>
      </c>
      <c r="B144" s="394"/>
      <c r="C144" s="305" t="s">
        <v>8447</v>
      </c>
      <c r="D144" s="304"/>
      <c r="E144" s="306">
        <v>500000</v>
      </c>
      <c r="F144" s="48">
        <f t="shared" si="3"/>
        <v>3722044</v>
      </c>
      <c r="G144" s="400" t="s">
        <v>9568</v>
      </c>
    </row>
    <row r="145" spans="1:7" ht="45" x14ac:dyDescent="0.25">
      <c r="A145" s="446" t="s">
        <v>8445</v>
      </c>
      <c r="B145" s="394"/>
      <c r="C145" s="305" t="s">
        <v>8447</v>
      </c>
      <c r="D145" s="304"/>
      <c r="E145" s="306">
        <v>500000</v>
      </c>
      <c r="F145" s="48">
        <f t="shared" si="3"/>
        <v>4222044</v>
      </c>
      <c r="G145" s="400" t="s">
        <v>9568</v>
      </c>
    </row>
    <row r="146" spans="1:7" ht="45" x14ac:dyDescent="0.25">
      <c r="A146" s="446" t="s">
        <v>8445</v>
      </c>
      <c r="B146" s="394"/>
      <c r="C146" s="305" t="s">
        <v>8447</v>
      </c>
      <c r="D146" s="304"/>
      <c r="E146" s="306">
        <v>500000</v>
      </c>
      <c r="F146" s="48">
        <f t="shared" si="3"/>
        <v>4722044</v>
      </c>
      <c r="G146" s="400" t="s">
        <v>9568</v>
      </c>
    </row>
    <row r="147" spans="1:7" ht="45" x14ac:dyDescent="0.25">
      <c r="A147" s="446" t="s">
        <v>8445</v>
      </c>
      <c r="B147" s="394"/>
      <c r="C147" s="305" t="s">
        <v>8447</v>
      </c>
      <c r="D147" s="304"/>
      <c r="E147" s="306">
        <v>38585</v>
      </c>
      <c r="F147" s="48">
        <f t="shared" si="3"/>
        <v>4760629</v>
      </c>
      <c r="G147" s="400" t="s">
        <v>9568</v>
      </c>
    </row>
    <row r="148" spans="1:7" x14ac:dyDescent="0.25">
      <c r="A148" s="446" t="s">
        <v>8445</v>
      </c>
      <c r="B148" s="394"/>
      <c r="C148" s="309" t="s">
        <v>8448</v>
      </c>
      <c r="D148" s="304"/>
      <c r="E148" s="306">
        <v>500000</v>
      </c>
      <c r="F148" s="48">
        <f t="shared" si="3"/>
        <v>5260629</v>
      </c>
      <c r="G148" s="400" t="s">
        <v>9568</v>
      </c>
    </row>
    <row r="149" spans="1:7" x14ac:dyDescent="0.25">
      <c r="A149" s="446" t="s">
        <v>8445</v>
      </c>
      <c r="B149" s="394"/>
      <c r="C149" s="309" t="s">
        <v>8449</v>
      </c>
      <c r="D149" s="304"/>
      <c r="E149" s="306">
        <v>500000</v>
      </c>
      <c r="F149" s="48">
        <f t="shared" si="3"/>
        <v>5760629</v>
      </c>
      <c r="G149" s="400" t="s">
        <v>9568</v>
      </c>
    </row>
    <row r="150" spans="1:7" ht="30" x14ac:dyDescent="0.25">
      <c r="A150" s="446" t="s">
        <v>8445</v>
      </c>
      <c r="B150" s="394"/>
      <c r="C150" s="305" t="s">
        <v>8450</v>
      </c>
      <c r="D150" s="306">
        <v>200000</v>
      </c>
      <c r="E150" s="306"/>
      <c r="F150" s="48">
        <f t="shared" si="3"/>
        <v>5560629</v>
      </c>
      <c r="G150" s="400" t="s">
        <v>9568</v>
      </c>
    </row>
    <row r="151" spans="1:7" x14ac:dyDescent="0.25">
      <c r="A151" s="446" t="s">
        <v>8445</v>
      </c>
      <c r="B151" s="394"/>
      <c r="C151" s="305" t="s">
        <v>8451</v>
      </c>
      <c r="D151" s="304">
        <v>25000</v>
      </c>
      <c r="E151" s="306"/>
      <c r="F151" s="48">
        <f t="shared" si="3"/>
        <v>5535629</v>
      </c>
      <c r="G151" s="400" t="s">
        <v>9568</v>
      </c>
    </row>
    <row r="152" spans="1:7" x14ac:dyDescent="0.25">
      <c r="A152" s="446" t="s">
        <v>8452</v>
      </c>
      <c r="B152" s="394"/>
      <c r="C152" s="294" t="s">
        <v>91</v>
      </c>
      <c r="D152" s="304">
        <v>650</v>
      </c>
      <c r="E152" s="306"/>
      <c r="F152" s="48">
        <f t="shared" si="3"/>
        <v>5534979</v>
      </c>
      <c r="G152" s="400" t="s">
        <v>9568</v>
      </c>
    </row>
    <row r="153" spans="1:7" ht="45" x14ac:dyDescent="0.25">
      <c r="A153" s="446" t="s">
        <v>8453</v>
      </c>
      <c r="B153" s="394"/>
      <c r="C153" s="305" t="s">
        <v>8454</v>
      </c>
      <c r="D153" s="304"/>
      <c r="E153" s="306">
        <v>2300000</v>
      </c>
      <c r="F153" s="48">
        <f t="shared" si="3"/>
        <v>7834979</v>
      </c>
      <c r="G153" s="400" t="s">
        <v>9568</v>
      </c>
    </row>
    <row r="154" spans="1:7" ht="30" x14ac:dyDescent="0.25">
      <c r="A154" s="446" t="s">
        <v>8453</v>
      </c>
      <c r="B154" s="394"/>
      <c r="C154" s="305" t="s">
        <v>8455</v>
      </c>
      <c r="D154" s="304"/>
      <c r="E154" s="306">
        <v>500000</v>
      </c>
      <c r="F154" s="48">
        <f t="shared" si="3"/>
        <v>8334979</v>
      </c>
      <c r="G154" s="400" t="s">
        <v>9568</v>
      </c>
    </row>
    <row r="155" spans="1:7" x14ac:dyDescent="0.25">
      <c r="A155" s="446" t="s">
        <v>8453</v>
      </c>
      <c r="B155" s="394"/>
      <c r="C155" s="311" t="s">
        <v>8422</v>
      </c>
      <c r="D155" s="312">
        <v>100000</v>
      </c>
      <c r="E155" s="306"/>
      <c r="F155" s="48">
        <f t="shared" si="3"/>
        <v>8234979</v>
      </c>
      <c r="G155" s="400" t="s">
        <v>9568</v>
      </c>
    </row>
    <row r="156" spans="1:7" x14ac:dyDescent="0.25">
      <c r="A156" s="446" t="s">
        <v>8456</v>
      </c>
      <c r="B156" s="394"/>
      <c r="C156" s="308" t="s">
        <v>7735</v>
      </c>
      <c r="D156" s="304">
        <v>50000</v>
      </c>
      <c r="E156" s="306"/>
      <c r="F156" s="48">
        <f t="shared" si="3"/>
        <v>8184979</v>
      </c>
      <c r="G156" s="400" t="s">
        <v>9568</v>
      </c>
    </row>
    <row r="157" spans="1:7" x14ac:dyDescent="0.25">
      <c r="A157" s="446" t="s">
        <v>8457</v>
      </c>
      <c r="B157" s="394"/>
      <c r="C157" s="308" t="s">
        <v>7735</v>
      </c>
      <c r="D157" s="304">
        <v>720000</v>
      </c>
      <c r="E157" s="306"/>
      <c r="F157" s="48">
        <f t="shared" si="3"/>
        <v>7464979</v>
      </c>
      <c r="G157" s="400" t="s">
        <v>9568</v>
      </c>
    </row>
    <row r="158" spans="1:7" x14ac:dyDescent="0.25">
      <c r="A158" s="446" t="s">
        <v>8457</v>
      </c>
      <c r="B158" s="460"/>
      <c r="C158" s="294" t="s">
        <v>8393</v>
      </c>
      <c r="D158" s="307">
        <v>62000</v>
      </c>
      <c r="E158" s="306"/>
      <c r="F158" s="48">
        <f t="shared" si="3"/>
        <v>7402979</v>
      </c>
      <c r="G158" s="400" t="s">
        <v>9568</v>
      </c>
    </row>
    <row r="159" spans="1:7" x14ac:dyDescent="0.25">
      <c r="A159" s="446" t="s">
        <v>8458</v>
      </c>
      <c r="B159" s="394"/>
      <c r="C159" s="311" t="s">
        <v>8440</v>
      </c>
      <c r="D159" s="312">
        <v>200000</v>
      </c>
      <c r="E159" s="306"/>
      <c r="F159" s="48">
        <f t="shared" si="3"/>
        <v>7202979</v>
      </c>
      <c r="G159" s="400" t="s">
        <v>9568</v>
      </c>
    </row>
    <row r="160" spans="1:7" x14ac:dyDescent="0.25">
      <c r="A160" s="446" t="s">
        <v>8459</v>
      </c>
      <c r="B160" s="394"/>
      <c r="C160" s="294" t="s">
        <v>8460</v>
      </c>
      <c r="D160" s="304">
        <v>40000</v>
      </c>
      <c r="E160" s="306"/>
      <c r="F160" s="48">
        <f t="shared" si="3"/>
        <v>7162979</v>
      </c>
      <c r="G160" s="400" t="s">
        <v>9568</v>
      </c>
    </row>
    <row r="161" spans="1:7" x14ac:dyDescent="0.25">
      <c r="A161" s="446" t="s">
        <v>8459</v>
      </c>
      <c r="B161" s="394"/>
      <c r="C161" s="294" t="s">
        <v>8461</v>
      </c>
      <c r="D161" s="304">
        <v>20000</v>
      </c>
      <c r="E161" s="306"/>
      <c r="F161" s="48">
        <f t="shared" si="3"/>
        <v>7142979</v>
      </c>
      <c r="G161" s="400" t="s">
        <v>9568</v>
      </c>
    </row>
    <row r="162" spans="1:7" x14ac:dyDescent="0.25">
      <c r="A162" s="446" t="s">
        <v>8462</v>
      </c>
      <c r="B162" s="394"/>
      <c r="C162" s="294" t="s">
        <v>7547</v>
      </c>
      <c r="D162" s="304"/>
      <c r="E162" s="306">
        <v>40490</v>
      </c>
      <c r="F162" s="48">
        <f t="shared" si="3"/>
        <v>7183469</v>
      </c>
      <c r="G162" s="400" t="s">
        <v>9568</v>
      </c>
    </row>
    <row r="163" spans="1:7" x14ac:dyDescent="0.25">
      <c r="A163" s="446" t="s">
        <v>8463</v>
      </c>
      <c r="B163" s="394"/>
      <c r="C163" s="311" t="s">
        <v>8464</v>
      </c>
      <c r="D163" s="312">
        <v>200000</v>
      </c>
      <c r="E163" s="306"/>
      <c r="F163" s="48">
        <f t="shared" si="3"/>
        <v>6983469</v>
      </c>
      <c r="G163" s="400" t="s">
        <v>9568</v>
      </c>
    </row>
    <row r="164" spans="1:7" x14ac:dyDescent="0.25">
      <c r="A164" s="446" t="s">
        <v>8463</v>
      </c>
      <c r="B164" s="394"/>
      <c r="C164" s="294" t="s">
        <v>6378</v>
      </c>
      <c r="D164" s="304"/>
      <c r="E164" s="306">
        <v>5000</v>
      </c>
      <c r="F164" s="48">
        <f t="shared" si="3"/>
        <v>6988469</v>
      </c>
      <c r="G164" s="400" t="s">
        <v>9568</v>
      </c>
    </row>
    <row r="165" spans="1:7" x14ac:dyDescent="0.25">
      <c r="A165" s="446" t="s">
        <v>8465</v>
      </c>
      <c r="B165" s="394"/>
      <c r="C165" s="294" t="s">
        <v>8466</v>
      </c>
      <c r="D165" s="304">
        <v>10000</v>
      </c>
      <c r="E165" s="306"/>
      <c r="F165" s="48">
        <f t="shared" si="3"/>
        <v>6978469</v>
      </c>
      <c r="G165" s="400" t="s">
        <v>9568</v>
      </c>
    </row>
    <row r="166" spans="1:7" x14ac:dyDescent="0.25">
      <c r="A166" s="446" t="s">
        <v>8467</v>
      </c>
      <c r="B166" s="394"/>
      <c r="C166" s="294" t="s">
        <v>8468</v>
      </c>
      <c r="D166" s="304">
        <v>50000</v>
      </c>
      <c r="E166" s="306"/>
      <c r="F166" s="48">
        <f t="shared" si="3"/>
        <v>6928469</v>
      </c>
      <c r="G166" s="400" t="s">
        <v>9568</v>
      </c>
    </row>
    <row r="167" spans="1:7" x14ac:dyDescent="0.25">
      <c r="A167" s="446" t="s">
        <v>8467</v>
      </c>
      <c r="B167" s="394"/>
      <c r="C167" s="294" t="s">
        <v>8469</v>
      </c>
      <c r="D167" s="304">
        <v>60000</v>
      </c>
      <c r="E167" s="306"/>
      <c r="F167" s="48">
        <f t="shared" si="3"/>
        <v>6868469</v>
      </c>
      <c r="G167" s="400" t="s">
        <v>9568</v>
      </c>
    </row>
    <row r="168" spans="1:7" x14ac:dyDescent="0.25">
      <c r="A168" s="446" t="s">
        <v>8467</v>
      </c>
      <c r="B168" s="394"/>
      <c r="C168" s="315" t="s">
        <v>8470</v>
      </c>
      <c r="D168" s="312">
        <v>200000</v>
      </c>
      <c r="E168" s="306"/>
      <c r="F168" s="48">
        <f t="shared" si="3"/>
        <v>6668469</v>
      </c>
      <c r="G168" s="400" t="s">
        <v>9568</v>
      </c>
    </row>
    <row r="169" spans="1:7" x14ac:dyDescent="0.25">
      <c r="A169" s="446" t="s">
        <v>8467</v>
      </c>
      <c r="B169" s="394"/>
      <c r="C169" s="294" t="s">
        <v>8471</v>
      </c>
      <c r="D169" s="304">
        <v>30000</v>
      </c>
      <c r="E169" s="306"/>
      <c r="F169" s="48">
        <f t="shared" si="3"/>
        <v>6638469</v>
      </c>
      <c r="G169" s="400" t="s">
        <v>9568</v>
      </c>
    </row>
    <row r="170" spans="1:7" x14ac:dyDescent="0.25">
      <c r="A170" s="446" t="s">
        <v>8472</v>
      </c>
      <c r="B170" s="394"/>
      <c r="C170" s="294" t="s">
        <v>8473</v>
      </c>
      <c r="D170" s="304">
        <v>5000</v>
      </c>
      <c r="E170" s="306"/>
      <c r="F170" s="48">
        <f t="shared" si="3"/>
        <v>6633469</v>
      </c>
      <c r="G170" s="400" t="s">
        <v>9568</v>
      </c>
    </row>
    <row r="171" spans="1:7" x14ac:dyDescent="0.25">
      <c r="A171" s="446" t="s">
        <v>8376</v>
      </c>
      <c r="B171" s="394"/>
      <c r="C171" s="294" t="s">
        <v>8474</v>
      </c>
      <c r="D171" s="304"/>
      <c r="E171" s="306">
        <v>1000000</v>
      </c>
      <c r="F171" s="48">
        <f t="shared" si="3"/>
        <v>7633469</v>
      </c>
      <c r="G171" s="400" t="s">
        <v>9568</v>
      </c>
    </row>
    <row r="172" spans="1:7" x14ac:dyDescent="0.25">
      <c r="A172" s="446" t="s">
        <v>8475</v>
      </c>
      <c r="B172" s="394"/>
      <c r="C172" s="294" t="s">
        <v>8476</v>
      </c>
      <c r="D172" s="304"/>
      <c r="E172" s="306">
        <v>3500000</v>
      </c>
      <c r="F172" s="48">
        <f t="shared" si="3"/>
        <v>11133469</v>
      </c>
      <c r="G172" s="400" t="s">
        <v>9568</v>
      </c>
    </row>
    <row r="173" spans="1:7" x14ac:dyDescent="0.25">
      <c r="A173" s="446" t="s">
        <v>8477</v>
      </c>
      <c r="B173" s="394"/>
      <c r="C173" s="294" t="s">
        <v>8478</v>
      </c>
      <c r="D173" s="304">
        <v>5000</v>
      </c>
      <c r="E173" s="306"/>
      <c r="F173" s="48">
        <f t="shared" si="3"/>
        <v>11128469</v>
      </c>
      <c r="G173" s="400" t="s">
        <v>9568</v>
      </c>
    </row>
    <row r="174" spans="1:7" x14ac:dyDescent="0.25">
      <c r="A174" s="446" t="s">
        <v>8477</v>
      </c>
      <c r="B174" s="394"/>
      <c r="C174" s="294" t="s">
        <v>8479</v>
      </c>
      <c r="D174" s="304">
        <v>5000</v>
      </c>
      <c r="E174" s="306"/>
      <c r="F174" s="48">
        <f t="shared" si="3"/>
        <v>11123469</v>
      </c>
      <c r="G174" s="400" t="s">
        <v>9568</v>
      </c>
    </row>
    <row r="175" spans="1:7" x14ac:dyDescent="0.25">
      <c r="A175" s="446" t="s">
        <v>8480</v>
      </c>
      <c r="B175" s="394"/>
      <c r="C175" s="294" t="s">
        <v>8481</v>
      </c>
      <c r="D175" s="304">
        <v>260000</v>
      </c>
      <c r="E175" s="306"/>
      <c r="F175" s="48">
        <f t="shared" si="3"/>
        <v>10863469</v>
      </c>
      <c r="G175" s="400" t="s">
        <v>9568</v>
      </c>
    </row>
    <row r="176" spans="1:7" x14ac:dyDescent="0.25">
      <c r="A176" s="446" t="s">
        <v>8482</v>
      </c>
      <c r="B176" s="394"/>
      <c r="C176" s="294" t="s">
        <v>294</v>
      </c>
      <c r="D176" s="304"/>
      <c r="E176" s="306">
        <v>10000</v>
      </c>
      <c r="F176" s="48">
        <f t="shared" si="3"/>
        <v>10873469</v>
      </c>
      <c r="G176" s="400" t="s">
        <v>9568</v>
      </c>
    </row>
    <row r="177" spans="1:7" x14ac:dyDescent="0.25">
      <c r="A177" s="446" t="s">
        <v>8483</v>
      </c>
      <c r="B177" s="394"/>
      <c r="C177" s="294" t="s">
        <v>640</v>
      </c>
      <c r="D177" s="304">
        <v>5000</v>
      </c>
      <c r="E177" s="306"/>
      <c r="F177" s="48">
        <f t="shared" si="3"/>
        <v>10868469</v>
      </c>
      <c r="G177" s="400" t="s">
        <v>9568</v>
      </c>
    </row>
    <row r="178" spans="1:7" x14ac:dyDescent="0.25">
      <c r="A178" s="446" t="s">
        <v>8483</v>
      </c>
      <c r="B178" s="394"/>
      <c r="C178" s="294" t="s">
        <v>7593</v>
      </c>
      <c r="D178" s="304">
        <v>10000</v>
      </c>
      <c r="E178" s="306"/>
      <c r="F178" s="48">
        <f t="shared" si="3"/>
        <v>10858469</v>
      </c>
      <c r="G178" s="400" t="s">
        <v>9568</v>
      </c>
    </row>
    <row r="179" spans="1:7" x14ac:dyDescent="0.25">
      <c r="A179" s="446" t="s">
        <v>8483</v>
      </c>
      <c r="B179" s="394"/>
      <c r="C179" s="294" t="s">
        <v>7593</v>
      </c>
      <c r="D179" s="304">
        <v>10000</v>
      </c>
      <c r="E179" s="306"/>
      <c r="F179" s="48">
        <f t="shared" si="3"/>
        <v>10848469</v>
      </c>
      <c r="G179" s="400" t="s">
        <v>9568</v>
      </c>
    </row>
    <row r="180" spans="1:7" x14ac:dyDescent="0.25">
      <c r="A180" s="446" t="s">
        <v>8484</v>
      </c>
      <c r="B180" s="460"/>
      <c r="C180" s="294" t="s">
        <v>8393</v>
      </c>
      <c r="D180" s="307">
        <v>62000</v>
      </c>
      <c r="E180" s="306"/>
      <c r="F180" s="48">
        <f t="shared" si="3"/>
        <v>10786469</v>
      </c>
      <c r="G180" s="400" t="s">
        <v>9568</v>
      </c>
    </row>
    <row r="181" spans="1:7" x14ac:dyDescent="0.25">
      <c r="A181" s="446" t="s">
        <v>8484</v>
      </c>
      <c r="B181" s="394"/>
      <c r="C181" s="294" t="s">
        <v>8485</v>
      </c>
      <c r="D181" s="304">
        <v>40000</v>
      </c>
      <c r="E181" s="306"/>
      <c r="F181" s="48">
        <f t="shared" si="3"/>
        <v>10746469</v>
      </c>
      <c r="G181" s="400" t="s">
        <v>9568</v>
      </c>
    </row>
    <row r="182" spans="1:7" x14ac:dyDescent="0.25">
      <c r="A182" s="446" t="s">
        <v>8484</v>
      </c>
      <c r="B182" s="394"/>
      <c r="C182" s="294" t="s">
        <v>8486</v>
      </c>
      <c r="D182" s="304">
        <v>400000</v>
      </c>
      <c r="E182" s="306"/>
      <c r="F182" s="48">
        <f t="shared" si="3"/>
        <v>10346469</v>
      </c>
      <c r="G182" s="400" t="s">
        <v>9568</v>
      </c>
    </row>
    <row r="183" spans="1:7" x14ac:dyDescent="0.25">
      <c r="A183" s="446" t="s">
        <v>8484</v>
      </c>
      <c r="B183" s="394"/>
      <c r="C183" s="315" t="s">
        <v>8422</v>
      </c>
      <c r="D183" s="312">
        <v>200000</v>
      </c>
      <c r="E183" s="306"/>
      <c r="F183" s="48">
        <f t="shared" si="3"/>
        <v>10146469</v>
      </c>
      <c r="G183" s="400" t="s">
        <v>9568</v>
      </c>
    </row>
    <row r="184" spans="1:7" x14ac:dyDescent="0.25">
      <c r="A184" s="446" t="s">
        <v>8484</v>
      </c>
      <c r="B184" s="394"/>
      <c r="C184" s="294" t="s">
        <v>8487</v>
      </c>
      <c r="D184" s="304">
        <v>20000</v>
      </c>
      <c r="E184" s="306"/>
      <c r="F184" s="48">
        <f t="shared" si="3"/>
        <v>10126469</v>
      </c>
      <c r="G184" s="400" t="s">
        <v>9568</v>
      </c>
    </row>
    <row r="185" spans="1:7" x14ac:dyDescent="0.25">
      <c r="A185" s="446" t="s">
        <v>8484</v>
      </c>
      <c r="B185" s="394"/>
      <c r="C185" s="316" t="s">
        <v>8488</v>
      </c>
      <c r="D185" s="317">
        <v>1000000</v>
      </c>
      <c r="E185" s="306"/>
      <c r="F185" s="48">
        <f t="shared" si="3"/>
        <v>9126469</v>
      </c>
      <c r="G185" s="400" t="s">
        <v>9568</v>
      </c>
    </row>
    <row r="186" spans="1:7" x14ac:dyDescent="0.25">
      <c r="A186" s="446" t="s">
        <v>8484</v>
      </c>
      <c r="B186" s="394"/>
      <c r="C186" s="294" t="s">
        <v>8489</v>
      </c>
      <c r="D186" s="304">
        <v>45000</v>
      </c>
      <c r="E186" s="306"/>
      <c r="F186" s="48">
        <f t="shared" si="3"/>
        <v>9081469</v>
      </c>
      <c r="G186" s="400" t="s">
        <v>9568</v>
      </c>
    </row>
    <row r="187" spans="1:7" x14ac:dyDescent="0.25">
      <c r="A187" s="446" t="s">
        <v>8484</v>
      </c>
      <c r="B187" s="394"/>
      <c r="C187" s="294" t="s">
        <v>8490</v>
      </c>
      <c r="D187" s="304">
        <v>20000</v>
      </c>
      <c r="E187" s="306"/>
      <c r="F187" s="48">
        <f t="shared" si="3"/>
        <v>9061469</v>
      </c>
      <c r="G187" s="400" t="s">
        <v>9568</v>
      </c>
    </row>
    <row r="188" spans="1:7" x14ac:dyDescent="0.25">
      <c r="A188" s="446" t="s">
        <v>8484</v>
      </c>
      <c r="B188" s="394"/>
      <c r="C188" s="294" t="s">
        <v>8491</v>
      </c>
      <c r="D188" s="304">
        <v>10000</v>
      </c>
      <c r="E188" s="306"/>
      <c r="F188" s="48">
        <f t="shared" si="3"/>
        <v>9051469</v>
      </c>
      <c r="G188" s="400" t="s">
        <v>9568</v>
      </c>
    </row>
    <row r="189" spans="1:7" ht="30" x14ac:dyDescent="0.25">
      <c r="A189" s="446" t="s">
        <v>8492</v>
      </c>
      <c r="B189" s="394"/>
      <c r="C189" s="318" t="s">
        <v>8493</v>
      </c>
      <c r="D189" s="312">
        <v>150000</v>
      </c>
      <c r="E189" s="306"/>
      <c r="F189" s="48">
        <f t="shared" si="3"/>
        <v>8901469</v>
      </c>
      <c r="G189" s="400" t="s">
        <v>9568</v>
      </c>
    </row>
    <row r="190" spans="1:7" x14ac:dyDescent="0.25">
      <c r="A190" s="446" t="s">
        <v>8492</v>
      </c>
      <c r="B190" s="394"/>
      <c r="C190" s="294" t="s">
        <v>8494</v>
      </c>
      <c r="D190" s="304">
        <v>50000</v>
      </c>
      <c r="E190" s="306"/>
      <c r="F190" s="48">
        <f t="shared" si="3"/>
        <v>8851469</v>
      </c>
      <c r="G190" s="400" t="s">
        <v>9568</v>
      </c>
    </row>
    <row r="191" spans="1:7" x14ac:dyDescent="0.25">
      <c r="A191" s="446" t="s">
        <v>8495</v>
      </c>
      <c r="B191" s="394"/>
      <c r="C191" s="294" t="s">
        <v>8486</v>
      </c>
      <c r="D191" s="304">
        <v>425000</v>
      </c>
      <c r="E191" s="306"/>
      <c r="F191" s="48">
        <f t="shared" si="3"/>
        <v>8426469</v>
      </c>
      <c r="G191" s="400" t="s">
        <v>9568</v>
      </c>
    </row>
    <row r="192" spans="1:7" x14ac:dyDescent="0.25">
      <c r="A192" s="446" t="s">
        <v>8495</v>
      </c>
      <c r="B192" s="394"/>
      <c r="C192" s="294" t="s">
        <v>8496</v>
      </c>
      <c r="D192" s="304">
        <v>9000</v>
      </c>
      <c r="E192" s="306"/>
      <c r="F192" s="48">
        <f t="shared" si="3"/>
        <v>8417469</v>
      </c>
      <c r="G192" s="400" t="s">
        <v>9568</v>
      </c>
    </row>
    <row r="193" spans="1:11" x14ac:dyDescent="0.25">
      <c r="A193" s="446" t="s">
        <v>8495</v>
      </c>
      <c r="B193" s="394"/>
      <c r="C193" s="294" t="s">
        <v>8497</v>
      </c>
      <c r="D193" s="304">
        <v>82000</v>
      </c>
      <c r="E193" s="306"/>
      <c r="F193" s="48">
        <f t="shared" si="3"/>
        <v>8335469</v>
      </c>
      <c r="G193" s="400" t="s">
        <v>9568</v>
      </c>
    </row>
    <row r="194" spans="1:11" x14ac:dyDescent="0.25">
      <c r="A194" s="446" t="s">
        <v>8495</v>
      </c>
      <c r="B194" s="394"/>
      <c r="C194" s="294" t="s">
        <v>8498</v>
      </c>
      <c r="D194" s="304">
        <v>10100</v>
      </c>
      <c r="E194" s="306"/>
      <c r="F194" s="48">
        <f t="shared" si="3"/>
        <v>8325369</v>
      </c>
      <c r="G194" s="400" t="s">
        <v>9568</v>
      </c>
    </row>
    <row r="195" spans="1:11" ht="30" x14ac:dyDescent="0.25">
      <c r="A195" s="446" t="s">
        <v>8499</v>
      </c>
      <c r="B195" s="394"/>
      <c r="C195" s="305" t="s">
        <v>8500</v>
      </c>
      <c r="D195" s="304">
        <v>60000</v>
      </c>
      <c r="E195" s="306"/>
      <c r="F195" s="48">
        <f t="shared" si="3"/>
        <v>8265369</v>
      </c>
      <c r="G195" s="400" t="s">
        <v>9568</v>
      </c>
    </row>
    <row r="196" spans="1:11" x14ac:dyDescent="0.25">
      <c r="A196" s="446" t="s">
        <v>8499</v>
      </c>
      <c r="B196" s="394"/>
      <c r="C196" s="294" t="s">
        <v>8501</v>
      </c>
      <c r="D196" s="304">
        <v>400000</v>
      </c>
      <c r="E196" s="306"/>
      <c r="F196" s="48">
        <f t="shared" si="3"/>
        <v>7865369</v>
      </c>
      <c r="G196" s="400" t="s">
        <v>9568</v>
      </c>
      <c r="K196" s="2">
        <v>660000</v>
      </c>
    </row>
    <row r="197" spans="1:11" x14ac:dyDescent="0.25">
      <c r="A197" s="446" t="s">
        <v>8502</v>
      </c>
      <c r="B197" s="394"/>
      <c r="C197" s="294" t="s">
        <v>8503</v>
      </c>
      <c r="D197" s="304">
        <v>400000</v>
      </c>
      <c r="E197" s="306"/>
      <c r="F197" s="48">
        <f t="shared" si="3"/>
        <v>7465369</v>
      </c>
      <c r="G197" s="400" t="s">
        <v>9568</v>
      </c>
    </row>
    <row r="198" spans="1:11" x14ac:dyDescent="0.25">
      <c r="A198" s="446" t="s">
        <v>8502</v>
      </c>
      <c r="B198" s="394"/>
      <c r="C198" s="294" t="s">
        <v>8421</v>
      </c>
      <c r="D198" s="304">
        <v>45000</v>
      </c>
      <c r="E198" s="306"/>
      <c r="F198" s="48">
        <f t="shared" si="3"/>
        <v>7420369</v>
      </c>
      <c r="G198" s="400" t="s">
        <v>9568</v>
      </c>
      <c r="K198" s="2">
        <f>K196*3.5%</f>
        <v>23100.000000000004</v>
      </c>
    </row>
    <row r="199" spans="1:11" ht="30" x14ac:dyDescent="0.25">
      <c r="A199" s="446" t="s">
        <v>8504</v>
      </c>
      <c r="B199" s="394"/>
      <c r="C199" s="319" t="s">
        <v>8505</v>
      </c>
      <c r="D199" s="304"/>
      <c r="E199" s="306">
        <v>700000</v>
      </c>
      <c r="F199" s="48">
        <f t="shared" si="3"/>
        <v>8120369</v>
      </c>
      <c r="G199" s="400" t="s">
        <v>9568</v>
      </c>
    </row>
    <row r="200" spans="1:11" x14ac:dyDescent="0.25">
      <c r="A200" s="446" t="s">
        <v>8506</v>
      </c>
      <c r="B200" s="394"/>
      <c r="C200" s="294" t="s">
        <v>8507</v>
      </c>
      <c r="D200" s="304">
        <v>150000</v>
      </c>
      <c r="E200" s="306"/>
      <c r="F200" s="48">
        <f t="shared" si="3"/>
        <v>7970369</v>
      </c>
      <c r="G200" s="400" t="s">
        <v>9568</v>
      </c>
    </row>
    <row r="201" spans="1:11" x14ac:dyDescent="0.25">
      <c r="A201" s="446" t="s">
        <v>8506</v>
      </c>
      <c r="B201" s="394"/>
      <c r="C201" s="294" t="s">
        <v>8508</v>
      </c>
      <c r="D201" s="304">
        <v>100000</v>
      </c>
      <c r="E201" s="306"/>
      <c r="F201" s="48">
        <f t="shared" si="3"/>
        <v>7870369</v>
      </c>
      <c r="G201" s="400" t="s">
        <v>9568</v>
      </c>
    </row>
    <row r="202" spans="1:11" ht="30" x14ac:dyDescent="0.25">
      <c r="A202" s="446" t="s">
        <v>8509</v>
      </c>
      <c r="B202" s="394"/>
      <c r="C202" s="318" t="s">
        <v>8510</v>
      </c>
      <c r="D202" s="304">
        <v>50000</v>
      </c>
      <c r="E202" s="306"/>
      <c r="F202" s="48">
        <f t="shared" si="3"/>
        <v>7820369</v>
      </c>
      <c r="G202" s="400" t="s">
        <v>9568</v>
      </c>
    </row>
    <row r="203" spans="1:11" ht="30" x14ac:dyDescent="0.25">
      <c r="A203" s="446" t="s">
        <v>8509</v>
      </c>
      <c r="B203" s="394"/>
      <c r="C203" s="318" t="s">
        <v>8511</v>
      </c>
      <c r="D203" s="304">
        <v>30000</v>
      </c>
      <c r="E203" s="306"/>
      <c r="F203" s="48">
        <f t="shared" ref="F203:F266" si="4">F202+E203-D203</f>
        <v>7790369</v>
      </c>
      <c r="G203" s="400" t="s">
        <v>9568</v>
      </c>
    </row>
    <row r="204" spans="1:11" x14ac:dyDescent="0.25">
      <c r="A204" s="446" t="s">
        <v>8512</v>
      </c>
      <c r="B204" s="394"/>
      <c r="C204" s="294" t="s">
        <v>7841</v>
      </c>
      <c r="D204" s="304"/>
      <c r="E204" s="306">
        <v>10000</v>
      </c>
      <c r="F204" s="48">
        <f t="shared" si="4"/>
        <v>7800369</v>
      </c>
      <c r="G204" s="400" t="s">
        <v>9568</v>
      </c>
    </row>
    <row r="205" spans="1:11" x14ac:dyDescent="0.25">
      <c r="A205" s="446" t="s">
        <v>8513</v>
      </c>
      <c r="B205" s="394"/>
      <c r="C205" s="294" t="s">
        <v>8481</v>
      </c>
      <c r="D205" s="304">
        <v>100000</v>
      </c>
      <c r="E205" s="306"/>
      <c r="F205" s="48">
        <f t="shared" si="4"/>
        <v>7700369</v>
      </c>
      <c r="G205" s="400" t="s">
        <v>9568</v>
      </c>
    </row>
    <row r="206" spans="1:11" x14ac:dyDescent="0.25">
      <c r="A206" s="446" t="s">
        <v>8514</v>
      </c>
      <c r="B206" s="394"/>
      <c r="C206" s="294" t="s">
        <v>8515</v>
      </c>
      <c r="D206" s="304">
        <v>20000</v>
      </c>
      <c r="E206" s="306"/>
      <c r="F206" s="48">
        <f t="shared" si="4"/>
        <v>7680369</v>
      </c>
      <c r="G206" s="400" t="s">
        <v>9568</v>
      </c>
    </row>
    <row r="207" spans="1:11" x14ac:dyDescent="0.25">
      <c r="A207" s="446" t="s">
        <v>8514</v>
      </c>
      <c r="B207" s="394"/>
      <c r="C207" s="294" t="s">
        <v>8516</v>
      </c>
      <c r="D207" s="304">
        <v>100000</v>
      </c>
      <c r="E207" s="306"/>
      <c r="F207" s="48">
        <f t="shared" si="4"/>
        <v>7580369</v>
      </c>
      <c r="G207" s="400" t="s">
        <v>9568</v>
      </c>
    </row>
    <row r="208" spans="1:11" x14ac:dyDescent="0.25">
      <c r="A208" s="446" t="s">
        <v>8517</v>
      </c>
      <c r="B208" s="394"/>
      <c r="C208" s="294" t="s">
        <v>8516</v>
      </c>
      <c r="D208" s="304">
        <v>100000</v>
      </c>
      <c r="E208" s="306"/>
      <c r="F208" s="48">
        <f t="shared" si="4"/>
        <v>7480369</v>
      </c>
      <c r="G208" s="400" t="s">
        <v>9568</v>
      </c>
    </row>
    <row r="209" spans="1:7" x14ac:dyDescent="0.25">
      <c r="A209" s="446" t="s">
        <v>8517</v>
      </c>
      <c r="B209" s="394"/>
      <c r="C209" s="294" t="s">
        <v>8518</v>
      </c>
      <c r="D209" s="304">
        <v>20000</v>
      </c>
      <c r="E209" s="306"/>
      <c r="F209" s="48">
        <f t="shared" si="4"/>
        <v>7460369</v>
      </c>
      <c r="G209" s="400" t="s">
        <v>9568</v>
      </c>
    </row>
    <row r="210" spans="1:7" x14ac:dyDescent="0.25">
      <c r="A210" s="446" t="s">
        <v>8517</v>
      </c>
      <c r="B210" s="460"/>
      <c r="C210" s="294" t="s">
        <v>8393</v>
      </c>
      <c r="D210" s="307">
        <v>62000</v>
      </c>
      <c r="E210" s="306"/>
      <c r="F210" s="48">
        <f t="shared" si="4"/>
        <v>7398369</v>
      </c>
      <c r="G210" s="400" t="s">
        <v>9568</v>
      </c>
    </row>
    <row r="211" spans="1:7" x14ac:dyDescent="0.25">
      <c r="A211" s="446" t="s">
        <v>8519</v>
      </c>
      <c r="B211" s="394"/>
      <c r="C211" s="294" t="s">
        <v>8360</v>
      </c>
      <c r="D211" s="304">
        <v>8000</v>
      </c>
      <c r="E211" s="306"/>
      <c r="F211" s="48">
        <f t="shared" si="4"/>
        <v>7390369</v>
      </c>
      <c r="G211" s="400" t="s">
        <v>9568</v>
      </c>
    </row>
    <row r="212" spans="1:7" x14ac:dyDescent="0.25">
      <c r="A212" s="446">
        <v>44444</v>
      </c>
      <c r="B212" s="394"/>
      <c r="C212" s="294" t="s">
        <v>8360</v>
      </c>
      <c r="D212" s="304">
        <v>20000</v>
      </c>
      <c r="E212" s="306"/>
      <c r="F212" s="48">
        <f t="shared" si="4"/>
        <v>7370369</v>
      </c>
      <c r="G212" s="400" t="s">
        <v>9568</v>
      </c>
    </row>
    <row r="213" spans="1:7" x14ac:dyDescent="0.25">
      <c r="A213" s="446">
        <v>44444</v>
      </c>
      <c r="B213" s="394"/>
      <c r="C213" s="294" t="s">
        <v>8360</v>
      </c>
      <c r="D213" s="304">
        <v>10000</v>
      </c>
      <c r="E213" s="306"/>
      <c r="F213" s="48">
        <f t="shared" si="4"/>
        <v>7360369</v>
      </c>
      <c r="G213" s="400" t="s">
        <v>9568</v>
      </c>
    </row>
    <row r="214" spans="1:7" x14ac:dyDescent="0.25">
      <c r="A214" s="446">
        <v>44444</v>
      </c>
      <c r="B214" s="394"/>
      <c r="C214" s="294" t="s">
        <v>8360</v>
      </c>
      <c r="D214" s="304">
        <v>400000</v>
      </c>
      <c r="E214" s="306"/>
      <c r="F214" s="48">
        <f t="shared" si="4"/>
        <v>6960369</v>
      </c>
      <c r="G214" s="400" t="s">
        <v>9568</v>
      </c>
    </row>
    <row r="215" spans="1:7" x14ac:dyDescent="0.25">
      <c r="A215" s="446">
        <v>44444</v>
      </c>
      <c r="B215" s="394"/>
      <c r="C215" s="294" t="s">
        <v>8360</v>
      </c>
      <c r="D215" s="304">
        <v>115000</v>
      </c>
      <c r="E215" s="306"/>
      <c r="F215" s="48">
        <f t="shared" si="4"/>
        <v>6845369</v>
      </c>
      <c r="G215" s="400" t="s">
        <v>9568</v>
      </c>
    </row>
    <row r="216" spans="1:7" x14ac:dyDescent="0.25">
      <c r="A216" s="446">
        <v>44444</v>
      </c>
      <c r="B216" s="394"/>
      <c r="C216" s="294" t="s">
        <v>8360</v>
      </c>
      <c r="D216" s="304">
        <v>15000</v>
      </c>
      <c r="E216" s="306"/>
      <c r="F216" s="48">
        <f t="shared" si="4"/>
        <v>6830369</v>
      </c>
      <c r="G216" s="400" t="s">
        <v>9568</v>
      </c>
    </row>
    <row r="217" spans="1:7" x14ac:dyDescent="0.25">
      <c r="A217" s="446">
        <v>44444</v>
      </c>
      <c r="B217" s="394"/>
      <c r="C217" s="294" t="s">
        <v>8360</v>
      </c>
      <c r="D217" s="304">
        <v>100000</v>
      </c>
      <c r="E217" s="306"/>
      <c r="F217" s="48">
        <f t="shared" si="4"/>
        <v>6730369</v>
      </c>
      <c r="G217" s="400" t="s">
        <v>9568</v>
      </c>
    </row>
    <row r="218" spans="1:7" x14ac:dyDescent="0.25">
      <c r="A218" s="446">
        <v>44454</v>
      </c>
      <c r="B218" s="394"/>
      <c r="C218" s="294" t="s">
        <v>8520</v>
      </c>
      <c r="D218" s="304">
        <v>1000000</v>
      </c>
      <c r="E218" s="306"/>
      <c r="F218" s="48">
        <f t="shared" si="4"/>
        <v>5730369</v>
      </c>
      <c r="G218" s="400" t="s">
        <v>9568</v>
      </c>
    </row>
    <row r="219" spans="1:7" x14ac:dyDescent="0.25">
      <c r="A219" s="446">
        <v>37514</v>
      </c>
      <c r="B219" s="394"/>
      <c r="C219" s="294" t="s">
        <v>7959</v>
      </c>
      <c r="D219" s="304"/>
      <c r="E219" s="306">
        <v>30000</v>
      </c>
      <c r="F219" s="48">
        <f t="shared" si="4"/>
        <v>5760369</v>
      </c>
      <c r="G219" s="400" t="s">
        <v>9568</v>
      </c>
    </row>
    <row r="220" spans="1:7" x14ac:dyDescent="0.25">
      <c r="A220" s="446">
        <v>37514</v>
      </c>
      <c r="B220" s="460"/>
      <c r="C220" s="294" t="s">
        <v>8393</v>
      </c>
      <c r="D220" s="307">
        <v>62000</v>
      </c>
      <c r="E220" s="306"/>
      <c r="F220" s="48">
        <f t="shared" si="4"/>
        <v>5698369</v>
      </c>
      <c r="G220" s="400" t="s">
        <v>9568</v>
      </c>
    </row>
    <row r="221" spans="1:7" ht="30" x14ac:dyDescent="0.25">
      <c r="A221" s="446">
        <v>44460</v>
      </c>
      <c r="B221" s="394"/>
      <c r="C221" s="305" t="s">
        <v>8521</v>
      </c>
      <c r="D221" s="304"/>
      <c r="E221" s="306">
        <v>424000</v>
      </c>
      <c r="F221" s="48">
        <f t="shared" si="4"/>
        <v>6122369</v>
      </c>
      <c r="G221" s="400" t="s">
        <v>9568</v>
      </c>
    </row>
    <row r="222" spans="1:7" ht="30" x14ac:dyDescent="0.25">
      <c r="A222" s="446">
        <v>44460</v>
      </c>
      <c r="B222" s="394"/>
      <c r="C222" s="305" t="s">
        <v>8522</v>
      </c>
      <c r="D222" s="304">
        <v>250000</v>
      </c>
      <c r="E222" s="306"/>
      <c r="F222" s="48">
        <f t="shared" si="4"/>
        <v>5872369</v>
      </c>
      <c r="G222" s="400" t="s">
        <v>9568</v>
      </c>
    </row>
    <row r="223" spans="1:7" ht="30" x14ac:dyDescent="0.25">
      <c r="A223" s="446">
        <v>44460</v>
      </c>
      <c r="B223" s="394"/>
      <c r="C223" s="305" t="s">
        <v>8522</v>
      </c>
      <c r="D223" s="304">
        <v>174000</v>
      </c>
      <c r="E223" s="306"/>
      <c r="F223" s="48">
        <f t="shared" si="4"/>
        <v>5698369</v>
      </c>
      <c r="G223" s="400" t="s">
        <v>9568</v>
      </c>
    </row>
    <row r="224" spans="1:7" x14ac:dyDescent="0.25">
      <c r="A224" s="446">
        <v>44466</v>
      </c>
      <c r="B224" s="394"/>
      <c r="C224" s="294" t="s">
        <v>8523</v>
      </c>
      <c r="D224" s="304">
        <v>300000</v>
      </c>
      <c r="E224" s="306"/>
      <c r="F224" s="48">
        <f t="shared" si="4"/>
        <v>5398369</v>
      </c>
      <c r="G224" s="400" t="s">
        <v>9568</v>
      </c>
    </row>
    <row r="225" spans="1:7" x14ac:dyDescent="0.25">
      <c r="A225" s="446">
        <v>44471</v>
      </c>
      <c r="B225" s="394"/>
      <c r="C225" s="294" t="s">
        <v>8524</v>
      </c>
      <c r="D225" s="304">
        <v>100000</v>
      </c>
      <c r="E225" s="306"/>
      <c r="F225" s="48">
        <f t="shared" si="4"/>
        <v>5298369</v>
      </c>
      <c r="G225" s="400" t="s">
        <v>9568</v>
      </c>
    </row>
    <row r="226" spans="1:7" x14ac:dyDescent="0.25">
      <c r="A226" s="446">
        <v>44471</v>
      </c>
      <c r="B226" s="394"/>
      <c r="C226" s="294" t="s">
        <v>8393</v>
      </c>
      <c r="D226" s="307">
        <v>62000</v>
      </c>
      <c r="E226" s="306"/>
      <c r="F226" s="48">
        <f t="shared" si="4"/>
        <v>5236369</v>
      </c>
      <c r="G226" s="400" t="s">
        <v>9568</v>
      </c>
    </row>
    <row r="227" spans="1:7" x14ac:dyDescent="0.25">
      <c r="A227" s="446">
        <v>44474</v>
      </c>
      <c r="B227" s="394"/>
      <c r="C227" s="294" t="s">
        <v>8520</v>
      </c>
      <c r="D227" s="304">
        <v>350000</v>
      </c>
      <c r="E227" s="306"/>
      <c r="F227" s="48">
        <f t="shared" si="4"/>
        <v>4886369</v>
      </c>
      <c r="G227" s="400" t="s">
        <v>9568</v>
      </c>
    </row>
    <row r="228" spans="1:7" x14ac:dyDescent="0.25">
      <c r="A228" s="446">
        <v>44474</v>
      </c>
      <c r="B228" s="394"/>
      <c r="C228" s="294" t="s">
        <v>8520</v>
      </c>
      <c r="D228" s="304">
        <v>300000</v>
      </c>
      <c r="E228" s="306"/>
      <c r="F228" s="48">
        <f t="shared" si="4"/>
        <v>4586369</v>
      </c>
      <c r="G228" s="400" t="s">
        <v>9568</v>
      </c>
    </row>
    <row r="229" spans="1:7" x14ac:dyDescent="0.25">
      <c r="A229" s="446">
        <v>44474</v>
      </c>
      <c r="B229" s="394"/>
      <c r="C229" s="294" t="s">
        <v>8520</v>
      </c>
      <c r="D229" s="304">
        <v>100000</v>
      </c>
      <c r="E229" s="306"/>
      <c r="F229" s="48">
        <f t="shared" si="4"/>
        <v>4486369</v>
      </c>
      <c r="G229" s="400" t="s">
        <v>9568</v>
      </c>
    </row>
    <row r="230" spans="1:7" x14ac:dyDescent="0.25">
      <c r="A230" s="446">
        <v>44478</v>
      </c>
      <c r="B230" s="394"/>
      <c r="C230" s="294" t="s">
        <v>8516</v>
      </c>
      <c r="D230" s="304">
        <v>100000</v>
      </c>
      <c r="E230" s="306"/>
      <c r="F230" s="48">
        <f t="shared" si="4"/>
        <v>4386369</v>
      </c>
      <c r="G230" s="400" t="s">
        <v>9568</v>
      </c>
    </row>
    <row r="231" spans="1:7" ht="30" x14ac:dyDescent="0.25">
      <c r="A231" s="446">
        <v>44478</v>
      </c>
      <c r="B231" s="394"/>
      <c r="C231" s="305" t="s">
        <v>8525</v>
      </c>
      <c r="D231" s="304"/>
      <c r="E231" s="306">
        <v>150000</v>
      </c>
      <c r="F231" s="48">
        <f t="shared" si="4"/>
        <v>4536369</v>
      </c>
      <c r="G231" s="400" t="s">
        <v>9568</v>
      </c>
    </row>
    <row r="232" spans="1:7" ht="30" x14ac:dyDescent="0.25">
      <c r="A232" s="446">
        <v>44478</v>
      </c>
      <c r="B232" s="394"/>
      <c r="C232" s="305" t="s">
        <v>8525</v>
      </c>
      <c r="D232" s="304"/>
      <c r="E232" s="306">
        <v>444000</v>
      </c>
      <c r="F232" s="48">
        <f t="shared" si="4"/>
        <v>4980369</v>
      </c>
      <c r="G232" s="400" t="s">
        <v>9568</v>
      </c>
    </row>
    <row r="233" spans="1:7" x14ac:dyDescent="0.25">
      <c r="A233" s="446">
        <v>44480</v>
      </c>
      <c r="B233" s="394"/>
      <c r="C233" s="294" t="s">
        <v>8526</v>
      </c>
      <c r="D233" s="304">
        <v>120000</v>
      </c>
      <c r="E233" s="306"/>
      <c r="F233" s="48">
        <f t="shared" si="4"/>
        <v>4860369</v>
      </c>
      <c r="G233" s="400" t="s">
        <v>9568</v>
      </c>
    </row>
    <row r="234" spans="1:7" x14ac:dyDescent="0.25">
      <c r="A234" s="446">
        <v>44480</v>
      </c>
      <c r="B234" s="394"/>
      <c r="C234" s="294" t="s">
        <v>8527</v>
      </c>
      <c r="D234" s="304">
        <v>21000</v>
      </c>
      <c r="E234" s="306"/>
      <c r="F234" s="48">
        <f t="shared" si="4"/>
        <v>4839369</v>
      </c>
      <c r="G234" s="400" t="s">
        <v>9568</v>
      </c>
    </row>
    <row r="235" spans="1:7" x14ac:dyDescent="0.25">
      <c r="A235" s="446">
        <v>44481</v>
      </c>
      <c r="B235" s="394"/>
      <c r="C235" s="294" t="s">
        <v>8528</v>
      </c>
      <c r="D235" s="304">
        <v>440000</v>
      </c>
      <c r="E235" s="306"/>
      <c r="F235" s="48">
        <f t="shared" si="4"/>
        <v>4399369</v>
      </c>
      <c r="G235" s="400" t="s">
        <v>9568</v>
      </c>
    </row>
    <row r="236" spans="1:7" x14ac:dyDescent="0.25">
      <c r="A236" s="446">
        <v>44481</v>
      </c>
      <c r="B236" s="394"/>
      <c r="C236" s="294" t="s">
        <v>8529</v>
      </c>
      <c r="D236" s="304">
        <v>25000</v>
      </c>
      <c r="E236" s="306"/>
      <c r="F236" s="48">
        <f t="shared" si="4"/>
        <v>4374369</v>
      </c>
      <c r="G236" s="400" t="s">
        <v>9568</v>
      </c>
    </row>
    <row r="237" spans="1:7" x14ac:dyDescent="0.25">
      <c r="A237" s="446">
        <v>44481</v>
      </c>
      <c r="B237" s="394"/>
      <c r="C237" s="294" t="s">
        <v>8530</v>
      </c>
      <c r="D237" s="304">
        <v>50000</v>
      </c>
      <c r="E237" s="306"/>
      <c r="F237" s="48">
        <f t="shared" si="4"/>
        <v>4324369</v>
      </c>
      <c r="G237" s="400" t="s">
        <v>9568</v>
      </c>
    </row>
    <row r="238" spans="1:7" x14ac:dyDescent="0.25">
      <c r="A238" s="446">
        <v>44482</v>
      </c>
      <c r="B238" s="394"/>
      <c r="C238" s="294" t="s">
        <v>8531</v>
      </c>
      <c r="D238" s="304">
        <v>10000</v>
      </c>
      <c r="E238" s="306"/>
      <c r="F238" s="48">
        <f t="shared" si="4"/>
        <v>4314369</v>
      </c>
      <c r="G238" s="400" t="s">
        <v>9568</v>
      </c>
    </row>
    <row r="239" spans="1:7" x14ac:dyDescent="0.25">
      <c r="A239" s="446">
        <v>44483</v>
      </c>
      <c r="B239" s="394"/>
      <c r="C239" s="294" t="s">
        <v>8532</v>
      </c>
      <c r="D239" s="304">
        <v>85615</v>
      </c>
      <c r="E239" s="306"/>
      <c r="F239" s="48">
        <f t="shared" si="4"/>
        <v>4228754</v>
      </c>
      <c r="G239" s="400" t="s">
        <v>9568</v>
      </c>
    </row>
    <row r="240" spans="1:7" x14ac:dyDescent="0.25">
      <c r="A240" s="446">
        <v>44484</v>
      </c>
      <c r="B240" s="394"/>
      <c r="C240" s="294" t="s">
        <v>8533</v>
      </c>
      <c r="D240" s="304">
        <v>100000</v>
      </c>
      <c r="E240" s="306"/>
      <c r="F240" s="48">
        <f t="shared" si="4"/>
        <v>4128754</v>
      </c>
      <c r="G240" s="400" t="s">
        <v>9568</v>
      </c>
    </row>
    <row r="241" spans="1:7" x14ac:dyDescent="0.25">
      <c r="A241" s="446">
        <v>44489</v>
      </c>
      <c r="B241" s="394"/>
      <c r="C241" s="294" t="s">
        <v>8534</v>
      </c>
      <c r="D241" s="304">
        <v>10000</v>
      </c>
      <c r="E241" s="306"/>
      <c r="F241" s="48">
        <f t="shared" si="4"/>
        <v>4118754</v>
      </c>
      <c r="G241" s="400" t="s">
        <v>9568</v>
      </c>
    </row>
    <row r="242" spans="1:7" x14ac:dyDescent="0.25">
      <c r="A242" s="446">
        <v>44489</v>
      </c>
      <c r="B242" s="394"/>
      <c r="C242" s="294" t="s">
        <v>8535</v>
      </c>
      <c r="D242" s="304">
        <v>25000</v>
      </c>
      <c r="E242" s="306"/>
      <c r="F242" s="48">
        <f t="shared" si="4"/>
        <v>4093754</v>
      </c>
      <c r="G242" s="400" t="s">
        <v>9568</v>
      </c>
    </row>
    <row r="243" spans="1:7" x14ac:dyDescent="0.25">
      <c r="A243" s="446">
        <v>44489</v>
      </c>
      <c r="B243" s="394"/>
      <c r="C243" s="294" t="s">
        <v>4941</v>
      </c>
      <c r="D243" s="304">
        <v>20000</v>
      </c>
      <c r="E243" s="306"/>
      <c r="F243" s="48">
        <f t="shared" si="4"/>
        <v>4073754</v>
      </c>
      <c r="G243" s="400" t="s">
        <v>9568</v>
      </c>
    </row>
    <row r="244" spans="1:7" x14ac:dyDescent="0.25">
      <c r="A244" s="446">
        <v>44490</v>
      </c>
      <c r="B244" s="394"/>
      <c r="C244" s="294" t="s">
        <v>8536</v>
      </c>
      <c r="D244" s="304"/>
      <c r="E244" s="306">
        <v>200000</v>
      </c>
      <c r="F244" s="48">
        <f t="shared" si="4"/>
        <v>4273754</v>
      </c>
      <c r="G244" s="400" t="s">
        <v>9568</v>
      </c>
    </row>
    <row r="245" spans="1:7" x14ac:dyDescent="0.25">
      <c r="A245" s="446">
        <v>44490</v>
      </c>
      <c r="B245" s="394"/>
      <c r="C245" s="294" t="s">
        <v>8537</v>
      </c>
      <c r="D245" s="304">
        <v>145600</v>
      </c>
      <c r="E245" s="306"/>
      <c r="F245" s="48">
        <f t="shared" si="4"/>
        <v>4128154</v>
      </c>
      <c r="G245" s="400" t="s">
        <v>9568</v>
      </c>
    </row>
    <row r="246" spans="1:7" x14ac:dyDescent="0.25">
      <c r="A246" s="446">
        <v>44490</v>
      </c>
      <c r="B246" s="394"/>
      <c r="C246" s="294" t="s">
        <v>8538</v>
      </c>
      <c r="D246" s="304">
        <v>9657</v>
      </c>
      <c r="E246" s="306"/>
      <c r="F246" s="48">
        <f t="shared" si="4"/>
        <v>4118497</v>
      </c>
      <c r="G246" s="400" t="s">
        <v>9568</v>
      </c>
    </row>
    <row r="247" spans="1:7" x14ac:dyDescent="0.25">
      <c r="A247" s="446">
        <v>44492</v>
      </c>
      <c r="B247" s="394"/>
      <c r="C247" s="294" t="s">
        <v>8539</v>
      </c>
      <c r="D247" s="304">
        <v>23000</v>
      </c>
      <c r="E247" s="306"/>
      <c r="F247" s="48">
        <f t="shared" si="4"/>
        <v>4095497</v>
      </c>
      <c r="G247" s="400" t="s">
        <v>9568</v>
      </c>
    </row>
    <row r="248" spans="1:7" x14ac:dyDescent="0.25">
      <c r="A248" s="446">
        <v>44494</v>
      </c>
      <c r="B248" s="394"/>
      <c r="C248" s="294" t="s">
        <v>8540</v>
      </c>
      <c r="D248" s="304"/>
      <c r="E248" s="306">
        <v>200000</v>
      </c>
      <c r="F248" s="48">
        <f t="shared" si="4"/>
        <v>4295497</v>
      </c>
      <c r="G248" s="400" t="s">
        <v>9568</v>
      </c>
    </row>
    <row r="249" spans="1:7" x14ac:dyDescent="0.25">
      <c r="A249" s="446">
        <v>44494</v>
      </c>
      <c r="B249" s="394"/>
      <c r="C249" s="294" t="s">
        <v>8516</v>
      </c>
      <c r="D249" s="304">
        <v>100000</v>
      </c>
      <c r="E249" s="306"/>
      <c r="F249" s="48">
        <f t="shared" si="4"/>
        <v>4195497</v>
      </c>
      <c r="G249" s="400" t="s">
        <v>9568</v>
      </c>
    </row>
    <row r="250" spans="1:7" x14ac:dyDescent="0.25">
      <c r="A250" s="446">
        <v>44494</v>
      </c>
      <c r="B250" s="394"/>
      <c r="C250" s="294" t="s">
        <v>8516</v>
      </c>
      <c r="D250" s="304">
        <v>40000</v>
      </c>
      <c r="E250" s="306"/>
      <c r="F250" s="48">
        <f t="shared" si="4"/>
        <v>4155497</v>
      </c>
      <c r="G250" s="400" t="s">
        <v>9568</v>
      </c>
    </row>
    <row r="251" spans="1:7" x14ac:dyDescent="0.25">
      <c r="A251" s="446">
        <v>44497</v>
      </c>
      <c r="B251" s="394"/>
      <c r="C251" s="294" t="s">
        <v>8541</v>
      </c>
      <c r="D251" s="304">
        <v>70000</v>
      </c>
      <c r="E251" s="306"/>
      <c r="F251" s="48">
        <f t="shared" si="4"/>
        <v>4085497</v>
      </c>
      <c r="G251" s="400" t="s">
        <v>9568</v>
      </c>
    </row>
    <row r="252" spans="1:7" x14ac:dyDescent="0.25">
      <c r="A252" s="446">
        <v>44497</v>
      </c>
      <c r="B252" s="394"/>
      <c r="C252" s="294" t="s">
        <v>8542</v>
      </c>
      <c r="D252" s="304">
        <v>80000</v>
      </c>
      <c r="E252" s="306"/>
      <c r="F252" s="48">
        <f t="shared" si="4"/>
        <v>4005497</v>
      </c>
      <c r="G252" s="400" t="s">
        <v>9568</v>
      </c>
    </row>
    <row r="253" spans="1:7" x14ac:dyDescent="0.25">
      <c r="A253" s="446">
        <v>44498</v>
      </c>
      <c r="B253" s="394"/>
      <c r="C253" s="294" t="s">
        <v>8543</v>
      </c>
      <c r="D253" s="304">
        <v>30000</v>
      </c>
      <c r="E253" s="306"/>
      <c r="F253" s="48">
        <f t="shared" si="4"/>
        <v>3975497</v>
      </c>
      <c r="G253" s="400" t="s">
        <v>9568</v>
      </c>
    </row>
    <row r="254" spans="1:7" x14ac:dyDescent="0.25">
      <c r="A254" s="446">
        <v>44498</v>
      </c>
      <c r="B254" s="394"/>
      <c r="C254" s="294" t="s">
        <v>4941</v>
      </c>
      <c r="D254" s="304">
        <v>40000</v>
      </c>
      <c r="E254" s="306"/>
      <c r="F254" s="48">
        <f t="shared" si="4"/>
        <v>3935497</v>
      </c>
      <c r="G254" s="400" t="s">
        <v>9568</v>
      </c>
    </row>
    <row r="255" spans="1:7" x14ac:dyDescent="0.25">
      <c r="A255" s="446">
        <v>44503</v>
      </c>
      <c r="B255" s="394"/>
      <c r="C255" s="294" t="s">
        <v>8544</v>
      </c>
      <c r="D255" s="304">
        <v>17030</v>
      </c>
      <c r="E255" s="306"/>
      <c r="F255" s="48">
        <f t="shared" si="4"/>
        <v>3918467</v>
      </c>
      <c r="G255" s="400" t="s">
        <v>9568</v>
      </c>
    </row>
    <row r="256" spans="1:7" x14ac:dyDescent="0.25">
      <c r="A256" s="446">
        <v>44503</v>
      </c>
      <c r="B256" s="394"/>
      <c r="C256" s="294" t="s">
        <v>8516</v>
      </c>
      <c r="D256" s="304">
        <v>50000</v>
      </c>
      <c r="E256" s="306"/>
      <c r="F256" s="48">
        <f t="shared" si="4"/>
        <v>3868467</v>
      </c>
      <c r="G256" s="400" t="s">
        <v>9568</v>
      </c>
    </row>
    <row r="257" spans="1:7" x14ac:dyDescent="0.25">
      <c r="A257" s="446">
        <v>44504</v>
      </c>
      <c r="B257" s="394"/>
      <c r="C257" s="294" t="s">
        <v>8533</v>
      </c>
      <c r="D257" s="304">
        <v>100000</v>
      </c>
      <c r="E257" s="306"/>
      <c r="F257" s="48">
        <f t="shared" si="4"/>
        <v>3768467</v>
      </c>
      <c r="G257" s="400" t="s">
        <v>9568</v>
      </c>
    </row>
    <row r="258" spans="1:7" x14ac:dyDescent="0.25">
      <c r="A258" s="446">
        <v>44504</v>
      </c>
      <c r="B258" s="394"/>
      <c r="C258" s="294" t="s">
        <v>8545</v>
      </c>
      <c r="D258" s="304">
        <v>5000</v>
      </c>
      <c r="E258" s="306"/>
      <c r="F258" s="48">
        <f t="shared" si="4"/>
        <v>3763467</v>
      </c>
      <c r="G258" s="400" t="s">
        <v>9568</v>
      </c>
    </row>
    <row r="259" spans="1:7" x14ac:dyDescent="0.25">
      <c r="A259" s="446">
        <v>44508</v>
      </c>
      <c r="B259" s="394"/>
      <c r="C259" s="294" t="s">
        <v>8546</v>
      </c>
      <c r="D259" s="304">
        <v>50000</v>
      </c>
      <c r="E259" s="306"/>
      <c r="F259" s="48">
        <f t="shared" si="4"/>
        <v>3713467</v>
      </c>
      <c r="G259" s="400" t="s">
        <v>9568</v>
      </c>
    </row>
    <row r="260" spans="1:7" x14ac:dyDescent="0.25">
      <c r="A260" s="446">
        <v>44508</v>
      </c>
      <c r="B260" s="394"/>
      <c r="C260" s="294" t="s">
        <v>8393</v>
      </c>
      <c r="D260" s="307">
        <v>62000</v>
      </c>
      <c r="E260" s="306"/>
      <c r="F260" s="48">
        <f t="shared" si="4"/>
        <v>3651467</v>
      </c>
      <c r="G260" s="400" t="s">
        <v>9568</v>
      </c>
    </row>
    <row r="261" spans="1:7" x14ac:dyDescent="0.25">
      <c r="A261" s="446">
        <v>44509</v>
      </c>
      <c r="B261" s="394"/>
      <c r="C261" s="294" t="s">
        <v>8543</v>
      </c>
      <c r="D261" s="304">
        <v>100000</v>
      </c>
      <c r="E261" s="306"/>
      <c r="F261" s="48">
        <f t="shared" si="4"/>
        <v>3551467</v>
      </c>
      <c r="G261" s="400" t="s">
        <v>9568</v>
      </c>
    </row>
    <row r="262" spans="1:7" x14ac:dyDescent="0.25">
      <c r="A262" s="446">
        <v>44510</v>
      </c>
      <c r="B262" s="394"/>
      <c r="C262" s="294" t="s">
        <v>8547</v>
      </c>
      <c r="D262" s="304">
        <v>43000</v>
      </c>
      <c r="E262" s="306"/>
      <c r="F262" s="48">
        <f t="shared" si="4"/>
        <v>3508467</v>
      </c>
      <c r="G262" s="400" t="s">
        <v>9568</v>
      </c>
    </row>
    <row r="263" spans="1:7" x14ac:dyDescent="0.25">
      <c r="A263" s="446">
        <v>44510</v>
      </c>
      <c r="B263" s="394"/>
      <c r="C263" s="294" t="s">
        <v>8548</v>
      </c>
      <c r="D263" s="304"/>
      <c r="E263" s="306">
        <v>200000</v>
      </c>
      <c r="F263" s="48">
        <f t="shared" si="4"/>
        <v>3708467</v>
      </c>
      <c r="G263" s="400" t="s">
        <v>9568</v>
      </c>
    </row>
    <row r="264" spans="1:7" x14ac:dyDescent="0.25">
      <c r="A264" s="446">
        <v>44510</v>
      </c>
      <c r="B264" s="394"/>
      <c r="C264" s="294" t="s">
        <v>8481</v>
      </c>
      <c r="D264" s="304">
        <v>10000</v>
      </c>
      <c r="E264" s="306"/>
      <c r="F264" s="48">
        <f t="shared" si="4"/>
        <v>3698467</v>
      </c>
      <c r="G264" s="400" t="s">
        <v>9568</v>
      </c>
    </row>
    <row r="265" spans="1:7" x14ac:dyDescent="0.25">
      <c r="A265" s="446">
        <v>44511</v>
      </c>
      <c r="B265" s="394"/>
      <c r="C265" s="294" t="s">
        <v>8481</v>
      </c>
      <c r="D265" s="304">
        <v>100000</v>
      </c>
      <c r="E265" s="306"/>
      <c r="F265" s="48">
        <f t="shared" si="4"/>
        <v>3598467</v>
      </c>
      <c r="G265" s="400" t="s">
        <v>9568</v>
      </c>
    </row>
    <row r="266" spans="1:7" x14ac:dyDescent="0.25">
      <c r="A266" s="446">
        <v>44511</v>
      </c>
      <c r="B266" s="394"/>
      <c r="C266" s="294" t="s">
        <v>8481</v>
      </c>
      <c r="D266" s="304">
        <v>200000</v>
      </c>
      <c r="E266" s="306"/>
      <c r="F266" s="48">
        <f t="shared" si="4"/>
        <v>3398467</v>
      </c>
      <c r="G266" s="400" t="s">
        <v>9568</v>
      </c>
    </row>
    <row r="267" spans="1:7" x14ac:dyDescent="0.25">
      <c r="A267" s="446">
        <v>44516</v>
      </c>
      <c r="B267" s="394"/>
      <c r="C267" s="294" t="s">
        <v>8481</v>
      </c>
      <c r="D267" s="304">
        <v>20000</v>
      </c>
      <c r="E267" s="306"/>
      <c r="F267" s="48">
        <f t="shared" ref="F267:F331" si="5">F266+E267-D267</f>
        <v>3378467</v>
      </c>
      <c r="G267" s="400" t="s">
        <v>9568</v>
      </c>
    </row>
    <row r="268" spans="1:7" x14ac:dyDescent="0.25">
      <c r="A268" s="446">
        <v>44517</v>
      </c>
      <c r="B268" s="394"/>
      <c r="C268" s="294" t="s">
        <v>8543</v>
      </c>
      <c r="D268" s="304">
        <v>100000</v>
      </c>
      <c r="E268" s="306"/>
      <c r="F268" s="48">
        <f t="shared" si="5"/>
        <v>3278467</v>
      </c>
      <c r="G268" s="400" t="s">
        <v>9568</v>
      </c>
    </row>
    <row r="269" spans="1:7" x14ac:dyDescent="0.25">
      <c r="A269" s="446">
        <v>44518</v>
      </c>
      <c r="B269" s="394"/>
      <c r="C269" s="294" t="s">
        <v>8481</v>
      </c>
      <c r="D269" s="304">
        <v>100000</v>
      </c>
      <c r="E269" s="306"/>
      <c r="F269" s="48">
        <f t="shared" si="5"/>
        <v>3178467</v>
      </c>
      <c r="G269" s="400" t="s">
        <v>9568</v>
      </c>
    </row>
    <row r="270" spans="1:7" x14ac:dyDescent="0.25">
      <c r="A270" s="446">
        <v>44520</v>
      </c>
      <c r="B270" s="394"/>
      <c r="C270" s="294" t="s">
        <v>8543</v>
      </c>
      <c r="D270" s="304">
        <v>50000</v>
      </c>
      <c r="E270" s="306"/>
      <c r="F270" s="48">
        <f t="shared" si="5"/>
        <v>3128467</v>
      </c>
      <c r="G270" s="400" t="s">
        <v>9568</v>
      </c>
    </row>
    <row r="271" spans="1:7" x14ac:dyDescent="0.25">
      <c r="A271" s="446">
        <v>44522</v>
      </c>
      <c r="B271" s="394"/>
      <c r="C271" s="315" t="s">
        <v>8559</v>
      </c>
      <c r="D271" s="312">
        <v>2700673</v>
      </c>
      <c r="E271" s="306"/>
      <c r="F271" s="48">
        <f t="shared" si="5"/>
        <v>427794</v>
      </c>
      <c r="G271" s="400" t="s">
        <v>9568</v>
      </c>
    </row>
    <row r="272" spans="1:7" x14ac:dyDescent="0.25">
      <c r="A272" s="446">
        <v>44522</v>
      </c>
      <c r="B272" s="394"/>
      <c r="C272" s="294" t="s">
        <v>8481</v>
      </c>
      <c r="D272" s="304">
        <v>100000</v>
      </c>
      <c r="E272" s="306"/>
      <c r="F272" s="48">
        <f t="shared" si="5"/>
        <v>327794</v>
      </c>
      <c r="G272" s="400" t="s">
        <v>9568</v>
      </c>
    </row>
    <row r="273" spans="1:7" ht="30" x14ac:dyDescent="0.25">
      <c r="A273" s="446">
        <v>44522</v>
      </c>
      <c r="B273" s="394"/>
      <c r="C273" s="305" t="s">
        <v>8571</v>
      </c>
      <c r="D273" s="304">
        <v>600000</v>
      </c>
      <c r="E273" s="306"/>
      <c r="F273" s="48">
        <f t="shared" si="5"/>
        <v>-272206</v>
      </c>
      <c r="G273" s="400" t="s">
        <v>9568</v>
      </c>
    </row>
    <row r="274" spans="1:7" x14ac:dyDescent="0.25">
      <c r="A274" s="446">
        <v>44524</v>
      </c>
      <c r="B274" s="394"/>
      <c r="C274" s="294" t="s">
        <v>8481</v>
      </c>
      <c r="D274" s="304">
        <v>30000</v>
      </c>
      <c r="E274" s="306"/>
      <c r="F274" s="48">
        <f t="shared" si="5"/>
        <v>-302206</v>
      </c>
      <c r="G274" s="400" t="s">
        <v>9568</v>
      </c>
    </row>
    <row r="275" spans="1:7" x14ac:dyDescent="0.25">
      <c r="A275" s="446">
        <v>44527</v>
      </c>
      <c r="B275" s="394"/>
      <c r="C275" s="294" t="s">
        <v>8581</v>
      </c>
      <c r="D275" s="304"/>
      <c r="E275" s="306">
        <v>10000</v>
      </c>
      <c r="F275" s="48">
        <f t="shared" si="5"/>
        <v>-292206</v>
      </c>
      <c r="G275" s="400" t="s">
        <v>9568</v>
      </c>
    </row>
    <row r="276" spans="1:7" x14ac:dyDescent="0.25">
      <c r="A276" s="446">
        <v>44529</v>
      </c>
      <c r="B276" s="394"/>
      <c r="C276" s="294" t="s">
        <v>7786</v>
      </c>
      <c r="D276" s="304">
        <v>15960</v>
      </c>
      <c r="E276" s="306"/>
      <c r="F276" s="48">
        <f t="shared" si="5"/>
        <v>-308166</v>
      </c>
      <c r="G276" s="400" t="s">
        <v>9568</v>
      </c>
    </row>
    <row r="277" spans="1:7" x14ac:dyDescent="0.25">
      <c r="A277" s="446">
        <v>44530</v>
      </c>
      <c r="B277" s="394"/>
      <c r="C277" s="294" t="s">
        <v>8481</v>
      </c>
      <c r="D277" s="304">
        <v>100000</v>
      </c>
      <c r="E277" s="306"/>
      <c r="F277" s="48">
        <f t="shared" si="5"/>
        <v>-408166</v>
      </c>
      <c r="G277" s="400" t="s">
        <v>9568</v>
      </c>
    </row>
    <row r="278" spans="1:7" x14ac:dyDescent="0.25">
      <c r="A278" s="446">
        <v>44534</v>
      </c>
      <c r="B278" s="394"/>
      <c r="C278" s="294" t="s">
        <v>8619</v>
      </c>
      <c r="D278" s="304">
        <v>360000</v>
      </c>
      <c r="E278" s="306"/>
      <c r="F278" s="48">
        <f t="shared" si="5"/>
        <v>-768166</v>
      </c>
      <c r="G278" s="400" t="s">
        <v>9568</v>
      </c>
    </row>
    <row r="279" spans="1:7" x14ac:dyDescent="0.25">
      <c r="A279" s="446">
        <v>44534</v>
      </c>
      <c r="B279" s="394"/>
      <c r="C279" s="294" t="s">
        <v>8393</v>
      </c>
      <c r="D279" s="307">
        <v>70000</v>
      </c>
      <c r="E279" s="306"/>
      <c r="F279" s="48">
        <f t="shared" si="5"/>
        <v>-838166</v>
      </c>
      <c r="G279" s="400" t="s">
        <v>9568</v>
      </c>
    </row>
    <row r="280" spans="1:7" x14ac:dyDescent="0.25">
      <c r="A280" s="446">
        <v>44533</v>
      </c>
      <c r="B280" s="394" t="s">
        <v>8573</v>
      </c>
      <c r="C280" s="294" t="s">
        <v>8622</v>
      </c>
      <c r="D280" s="304">
        <v>35000</v>
      </c>
      <c r="E280" s="306"/>
      <c r="F280" s="48">
        <f t="shared" si="5"/>
        <v>-873166</v>
      </c>
      <c r="G280" s="400" t="s">
        <v>9568</v>
      </c>
    </row>
    <row r="281" spans="1:7" x14ac:dyDescent="0.25">
      <c r="A281" s="446">
        <v>44538</v>
      </c>
      <c r="B281" s="394"/>
      <c r="C281" s="294" t="s">
        <v>8644</v>
      </c>
      <c r="D281" s="304"/>
      <c r="E281" s="306">
        <v>150000</v>
      </c>
      <c r="F281" s="48">
        <f t="shared" si="5"/>
        <v>-723166</v>
      </c>
      <c r="G281" s="400" t="s">
        <v>9568</v>
      </c>
    </row>
    <row r="282" spans="1:7" x14ac:dyDescent="0.25">
      <c r="A282" s="446">
        <v>44539</v>
      </c>
      <c r="B282" s="394"/>
      <c r="C282" s="294" t="s">
        <v>8648</v>
      </c>
      <c r="D282" s="304">
        <v>31090</v>
      </c>
      <c r="E282" s="306"/>
      <c r="F282" s="48">
        <f t="shared" si="5"/>
        <v>-754256</v>
      </c>
      <c r="G282" s="400" t="s">
        <v>9568</v>
      </c>
    </row>
    <row r="283" spans="1:7" x14ac:dyDescent="0.25">
      <c r="A283" s="446">
        <v>44539</v>
      </c>
      <c r="B283" s="394"/>
      <c r="C283" s="294" t="s">
        <v>7786</v>
      </c>
      <c r="D283" s="304">
        <v>6340</v>
      </c>
      <c r="E283" s="306"/>
      <c r="F283" s="48">
        <f t="shared" si="5"/>
        <v>-760596</v>
      </c>
      <c r="G283" s="400" t="s">
        <v>9568</v>
      </c>
    </row>
    <row r="284" spans="1:7" x14ac:dyDescent="0.25">
      <c r="A284" s="446">
        <v>44539</v>
      </c>
      <c r="B284" s="394"/>
      <c r="C284" s="294" t="s">
        <v>7786</v>
      </c>
      <c r="D284" s="304">
        <v>19390</v>
      </c>
      <c r="E284" s="306"/>
      <c r="F284" s="48">
        <f t="shared" si="5"/>
        <v>-779986</v>
      </c>
      <c r="G284" s="400" t="s">
        <v>9568</v>
      </c>
    </row>
    <row r="285" spans="1:7" x14ac:dyDescent="0.25">
      <c r="A285" s="446">
        <v>44543</v>
      </c>
      <c r="B285" s="394"/>
      <c r="C285" s="294" t="s">
        <v>8481</v>
      </c>
      <c r="D285" s="304">
        <v>100000</v>
      </c>
      <c r="E285" s="306"/>
      <c r="F285" s="48">
        <f t="shared" si="5"/>
        <v>-879986</v>
      </c>
      <c r="G285" s="400" t="s">
        <v>9568</v>
      </c>
    </row>
    <row r="286" spans="1:7" x14ac:dyDescent="0.25">
      <c r="A286" s="446">
        <v>44543</v>
      </c>
      <c r="B286" s="394"/>
      <c r="C286" s="294" t="s">
        <v>8653</v>
      </c>
      <c r="D286" s="304">
        <v>10000</v>
      </c>
      <c r="E286" s="306"/>
      <c r="F286" s="48">
        <f t="shared" si="5"/>
        <v>-889986</v>
      </c>
      <c r="G286" s="400" t="s">
        <v>9568</v>
      </c>
    </row>
    <row r="287" spans="1:7" ht="30" x14ac:dyDescent="0.25">
      <c r="A287" s="446">
        <v>44544</v>
      </c>
      <c r="B287" s="394"/>
      <c r="C287" s="305" t="s">
        <v>8657</v>
      </c>
      <c r="D287" s="304"/>
      <c r="E287" s="306">
        <v>233439</v>
      </c>
      <c r="F287" s="48">
        <f t="shared" si="5"/>
        <v>-656547</v>
      </c>
      <c r="G287" s="400" t="s">
        <v>9568</v>
      </c>
    </row>
    <row r="288" spans="1:7" ht="45" x14ac:dyDescent="0.25">
      <c r="A288" s="446">
        <v>44545</v>
      </c>
      <c r="B288" s="394"/>
      <c r="C288" s="325" t="s">
        <v>8660</v>
      </c>
      <c r="D288" s="326"/>
      <c r="E288" s="327">
        <v>1000000</v>
      </c>
      <c r="F288" s="48">
        <f t="shared" si="5"/>
        <v>343453</v>
      </c>
      <c r="G288" s="400" t="s">
        <v>9568</v>
      </c>
    </row>
    <row r="289" spans="1:11" ht="45" x14ac:dyDescent="0.25">
      <c r="A289" s="446">
        <v>44545</v>
      </c>
      <c r="B289" s="394"/>
      <c r="C289" s="325" t="s">
        <v>8660</v>
      </c>
      <c r="D289" s="326"/>
      <c r="E289" s="327">
        <v>1000000</v>
      </c>
      <c r="F289" s="48">
        <f t="shared" si="5"/>
        <v>1343453</v>
      </c>
      <c r="G289" s="400" t="s">
        <v>9568</v>
      </c>
    </row>
    <row r="290" spans="1:11" x14ac:dyDescent="0.25">
      <c r="A290" s="446">
        <v>44545</v>
      </c>
      <c r="B290" s="394"/>
      <c r="C290" s="294" t="s">
        <v>8661</v>
      </c>
      <c r="D290" s="304">
        <v>244000</v>
      </c>
      <c r="E290" s="306"/>
      <c r="F290" s="48">
        <f t="shared" si="5"/>
        <v>1099453</v>
      </c>
      <c r="G290" s="400" t="s">
        <v>9568</v>
      </c>
    </row>
    <row r="291" spans="1:11" x14ac:dyDescent="0.25">
      <c r="A291" s="446">
        <v>44554</v>
      </c>
      <c r="B291" s="394"/>
      <c r="C291" s="294" t="s">
        <v>8694</v>
      </c>
      <c r="D291" s="304">
        <v>50000</v>
      </c>
      <c r="E291" s="306"/>
      <c r="F291" s="48">
        <f t="shared" si="5"/>
        <v>1049453</v>
      </c>
      <c r="G291" s="400" t="s">
        <v>9568</v>
      </c>
    </row>
    <row r="292" spans="1:11" x14ac:dyDescent="0.25">
      <c r="A292" s="446">
        <v>44554</v>
      </c>
      <c r="B292" s="394"/>
      <c r="C292" s="294" t="s">
        <v>8695</v>
      </c>
      <c r="D292" s="304">
        <v>100000</v>
      </c>
      <c r="E292" s="306"/>
      <c r="F292" s="48">
        <f t="shared" si="5"/>
        <v>949453</v>
      </c>
      <c r="G292" s="400" t="s">
        <v>9568</v>
      </c>
    </row>
    <row r="293" spans="1:11" x14ac:dyDescent="0.25">
      <c r="A293" s="446">
        <v>44554</v>
      </c>
      <c r="B293" s="394"/>
      <c r="C293" s="294" t="s">
        <v>8696</v>
      </c>
      <c r="D293" s="304">
        <v>100000</v>
      </c>
      <c r="E293" s="306"/>
      <c r="F293" s="48">
        <f t="shared" si="5"/>
        <v>849453</v>
      </c>
      <c r="G293" s="400" t="s">
        <v>9568</v>
      </c>
    </row>
    <row r="294" spans="1:11" x14ac:dyDescent="0.25">
      <c r="A294" s="446">
        <v>44554</v>
      </c>
      <c r="B294" s="394"/>
      <c r="C294" s="294" t="s">
        <v>8701</v>
      </c>
      <c r="D294" s="304"/>
      <c r="E294" s="306">
        <v>120000</v>
      </c>
      <c r="F294" s="48">
        <f t="shared" si="5"/>
        <v>969453</v>
      </c>
      <c r="G294" s="400" t="s">
        <v>9568</v>
      </c>
      <c r="I294">
        <f>67000*2</f>
        <v>134000</v>
      </c>
      <c r="J294">
        <v>20817</v>
      </c>
      <c r="K294" s="2">
        <f>I294-J294</f>
        <v>113183</v>
      </c>
    </row>
    <row r="295" spans="1:11" x14ac:dyDescent="0.25">
      <c r="A295" s="446">
        <v>44556</v>
      </c>
      <c r="B295" s="394" t="s">
        <v>68</v>
      </c>
      <c r="C295" s="294" t="s">
        <v>8706</v>
      </c>
      <c r="D295" s="304">
        <v>82000</v>
      </c>
      <c r="E295" s="306"/>
      <c r="F295" s="48">
        <f t="shared" si="5"/>
        <v>887453</v>
      </c>
      <c r="G295" s="400" t="s">
        <v>9568</v>
      </c>
      <c r="I295">
        <f>62000*2</f>
        <v>124000</v>
      </c>
    </row>
    <row r="296" spans="1:11" x14ac:dyDescent="0.25">
      <c r="A296" s="446">
        <v>44559</v>
      </c>
      <c r="B296" s="394"/>
      <c r="C296" s="294" t="s">
        <v>8710</v>
      </c>
      <c r="D296" s="304">
        <v>40000</v>
      </c>
      <c r="E296" s="306"/>
      <c r="F296" s="48">
        <f t="shared" si="5"/>
        <v>847453</v>
      </c>
      <c r="G296" s="400" t="s">
        <v>9568</v>
      </c>
      <c r="I296">
        <v>20817</v>
      </c>
    </row>
    <row r="297" spans="1:11" x14ac:dyDescent="0.25">
      <c r="A297" s="446">
        <v>44560</v>
      </c>
      <c r="B297" s="394"/>
      <c r="C297" s="1" t="s">
        <v>8714</v>
      </c>
      <c r="D297" s="304"/>
      <c r="E297" s="306">
        <v>5000</v>
      </c>
      <c r="F297" s="48">
        <f t="shared" si="5"/>
        <v>852453</v>
      </c>
      <c r="G297" s="400" t="s">
        <v>9568</v>
      </c>
      <c r="I297">
        <f>I295-I296</f>
        <v>103183</v>
      </c>
    </row>
    <row r="298" spans="1:11" x14ac:dyDescent="0.25">
      <c r="A298" s="446">
        <v>44560</v>
      </c>
      <c r="B298" s="394"/>
      <c r="C298" s="294" t="s">
        <v>3195</v>
      </c>
      <c r="D298" s="304">
        <v>3000</v>
      </c>
      <c r="E298" s="306"/>
      <c r="F298" s="48">
        <f t="shared" si="5"/>
        <v>849453</v>
      </c>
      <c r="G298" s="400" t="s">
        <v>9568</v>
      </c>
    </row>
    <row r="299" spans="1:11" x14ac:dyDescent="0.25">
      <c r="A299" s="446">
        <v>44565</v>
      </c>
      <c r="B299" s="394"/>
      <c r="C299" s="294" t="s">
        <v>8725</v>
      </c>
      <c r="D299" s="304">
        <v>50000</v>
      </c>
      <c r="E299" s="306"/>
      <c r="F299" s="48">
        <f t="shared" si="5"/>
        <v>799453</v>
      </c>
      <c r="G299" s="400" t="s">
        <v>9568</v>
      </c>
    </row>
    <row r="300" spans="1:11" x14ac:dyDescent="0.25">
      <c r="A300" s="446">
        <v>44565</v>
      </c>
      <c r="B300" s="394"/>
      <c r="C300" s="294" t="s">
        <v>8393</v>
      </c>
      <c r="D300" s="307">
        <v>70000</v>
      </c>
      <c r="E300" s="306"/>
      <c r="F300" s="48">
        <f t="shared" si="5"/>
        <v>729453</v>
      </c>
      <c r="G300" s="400" t="s">
        <v>9568</v>
      </c>
    </row>
    <row r="301" spans="1:11" x14ac:dyDescent="0.25">
      <c r="A301" s="446">
        <v>44565</v>
      </c>
      <c r="B301" s="394"/>
      <c r="C301" s="294" t="s">
        <v>8728</v>
      </c>
      <c r="D301" s="304">
        <v>29000</v>
      </c>
      <c r="E301" s="306"/>
      <c r="F301" s="48">
        <f t="shared" si="5"/>
        <v>700453</v>
      </c>
      <c r="G301" s="400" t="s">
        <v>9568</v>
      </c>
    </row>
    <row r="302" spans="1:11" x14ac:dyDescent="0.25">
      <c r="A302" s="446">
        <v>44565</v>
      </c>
      <c r="B302" s="394"/>
      <c r="C302" s="294" t="s">
        <v>294</v>
      </c>
      <c r="D302" s="304"/>
      <c r="E302" s="306">
        <v>30000</v>
      </c>
      <c r="F302" s="48">
        <f t="shared" si="5"/>
        <v>730453</v>
      </c>
      <c r="G302" s="400" t="s">
        <v>9568</v>
      </c>
    </row>
    <row r="303" spans="1:11" x14ac:dyDescent="0.25">
      <c r="A303" s="446">
        <v>44566</v>
      </c>
      <c r="B303" s="394"/>
      <c r="C303" s="294" t="s">
        <v>8729</v>
      </c>
      <c r="D303" s="304"/>
      <c r="E303" s="306">
        <v>290000</v>
      </c>
      <c r="F303" s="48">
        <f t="shared" si="5"/>
        <v>1020453</v>
      </c>
      <c r="G303" s="400" t="s">
        <v>9568</v>
      </c>
    </row>
    <row r="304" spans="1:11" x14ac:dyDescent="0.25">
      <c r="A304" s="446">
        <v>44569</v>
      </c>
      <c r="B304" s="394"/>
      <c r="C304" s="294" t="s">
        <v>8741</v>
      </c>
      <c r="D304" s="304">
        <v>5000</v>
      </c>
      <c r="E304" s="306"/>
      <c r="F304" s="48">
        <f t="shared" si="5"/>
        <v>1015453</v>
      </c>
      <c r="G304" s="400" t="s">
        <v>9568</v>
      </c>
    </row>
    <row r="305" spans="1:7" ht="30" x14ac:dyDescent="0.25">
      <c r="A305" s="446">
        <v>44571</v>
      </c>
      <c r="B305" s="394"/>
      <c r="C305" s="305" t="s">
        <v>8756</v>
      </c>
      <c r="D305" s="304"/>
      <c r="E305" s="306">
        <v>30000</v>
      </c>
      <c r="F305" s="48">
        <f t="shared" si="5"/>
        <v>1045453</v>
      </c>
      <c r="G305" s="400" t="s">
        <v>9568</v>
      </c>
    </row>
    <row r="306" spans="1:7" ht="30" x14ac:dyDescent="0.25">
      <c r="A306" s="446">
        <v>44578</v>
      </c>
      <c r="B306" s="394"/>
      <c r="C306" s="305" t="s">
        <v>8780</v>
      </c>
      <c r="D306" s="304"/>
      <c r="E306" s="306">
        <v>100000</v>
      </c>
      <c r="F306" s="48">
        <f t="shared" si="5"/>
        <v>1145453</v>
      </c>
      <c r="G306" s="400" t="s">
        <v>9568</v>
      </c>
    </row>
    <row r="307" spans="1:7" ht="30" x14ac:dyDescent="0.25">
      <c r="A307" s="446">
        <v>44578</v>
      </c>
      <c r="B307" s="394"/>
      <c r="C307" s="305" t="s">
        <v>8781</v>
      </c>
      <c r="D307" s="304"/>
      <c r="E307" s="306">
        <v>38000</v>
      </c>
      <c r="F307" s="48">
        <f t="shared" si="5"/>
        <v>1183453</v>
      </c>
      <c r="G307" s="400" t="s">
        <v>9568</v>
      </c>
    </row>
    <row r="308" spans="1:7" x14ac:dyDescent="0.3">
      <c r="A308" s="446">
        <v>44586</v>
      </c>
      <c r="B308" s="394"/>
      <c r="C308" s="5" t="s">
        <v>8791</v>
      </c>
      <c r="D308" s="304"/>
      <c r="E308" s="306">
        <v>9000</v>
      </c>
      <c r="F308" s="48">
        <f t="shared" si="5"/>
        <v>1192453</v>
      </c>
      <c r="G308" s="400" t="s">
        <v>9568</v>
      </c>
    </row>
    <row r="309" spans="1:7" ht="45" x14ac:dyDescent="0.25">
      <c r="A309" s="446">
        <v>44587</v>
      </c>
      <c r="B309" s="394"/>
      <c r="C309" s="305" t="s">
        <v>8797</v>
      </c>
      <c r="D309" s="304"/>
      <c r="E309" s="306">
        <v>200000</v>
      </c>
      <c r="F309" s="48">
        <f t="shared" si="5"/>
        <v>1392453</v>
      </c>
      <c r="G309" s="400" t="s">
        <v>9568</v>
      </c>
    </row>
    <row r="310" spans="1:7" x14ac:dyDescent="0.25">
      <c r="A310" s="446">
        <v>44594</v>
      </c>
      <c r="B310" s="394"/>
      <c r="C310" s="294" t="s">
        <v>8809</v>
      </c>
      <c r="D310" s="304">
        <v>500000</v>
      </c>
      <c r="E310" s="306"/>
      <c r="F310" s="48">
        <f t="shared" si="5"/>
        <v>892453</v>
      </c>
      <c r="G310" s="400" t="s">
        <v>9568</v>
      </c>
    </row>
    <row r="311" spans="1:7" x14ac:dyDescent="0.25">
      <c r="A311" s="446">
        <v>44594</v>
      </c>
      <c r="B311" s="394"/>
      <c r="C311" s="294" t="s">
        <v>8393</v>
      </c>
      <c r="D311" s="307">
        <v>70000</v>
      </c>
      <c r="E311" s="306"/>
      <c r="F311" s="48">
        <f t="shared" si="5"/>
        <v>822453</v>
      </c>
      <c r="G311" s="400" t="s">
        <v>9568</v>
      </c>
    </row>
    <row r="312" spans="1:7" x14ac:dyDescent="0.25">
      <c r="A312" s="446">
        <v>44594</v>
      </c>
      <c r="B312" s="394"/>
      <c r="C312" s="294" t="s">
        <v>8812</v>
      </c>
      <c r="D312" s="304"/>
      <c r="E312" s="306">
        <v>5770</v>
      </c>
      <c r="F312" s="48">
        <f t="shared" si="5"/>
        <v>828223</v>
      </c>
      <c r="G312" s="400" t="s">
        <v>9568</v>
      </c>
    </row>
    <row r="313" spans="1:7" x14ac:dyDescent="0.25">
      <c r="A313" s="446">
        <v>44594</v>
      </c>
      <c r="B313" s="394"/>
      <c r="C313" s="294" t="s">
        <v>8816</v>
      </c>
      <c r="D313" s="304"/>
      <c r="E313" s="306">
        <v>20840</v>
      </c>
      <c r="F313" s="48">
        <f t="shared" si="5"/>
        <v>849063</v>
      </c>
      <c r="G313" s="400" t="s">
        <v>9568</v>
      </c>
    </row>
    <row r="314" spans="1:7" x14ac:dyDescent="0.25">
      <c r="A314" s="446">
        <v>44595</v>
      </c>
      <c r="B314" s="394"/>
      <c r="C314" s="294" t="s">
        <v>8809</v>
      </c>
      <c r="D314" s="304">
        <v>250000</v>
      </c>
      <c r="E314" s="306"/>
      <c r="F314" s="48">
        <f t="shared" si="5"/>
        <v>599063</v>
      </c>
      <c r="G314" s="400" t="s">
        <v>9568</v>
      </c>
    </row>
    <row r="315" spans="1:7" x14ac:dyDescent="0.25">
      <c r="A315" s="446">
        <v>44599</v>
      </c>
      <c r="B315" s="394"/>
      <c r="C315" s="294" t="s">
        <v>294</v>
      </c>
      <c r="D315" s="304"/>
      <c r="E315" s="306">
        <v>200000</v>
      </c>
      <c r="F315" s="48">
        <f t="shared" si="5"/>
        <v>799063</v>
      </c>
      <c r="G315" s="400" t="s">
        <v>9568</v>
      </c>
    </row>
    <row r="316" spans="1:7" x14ac:dyDescent="0.25">
      <c r="A316" s="446">
        <v>44606</v>
      </c>
      <c r="B316" s="394"/>
      <c r="C316" s="294" t="s">
        <v>8516</v>
      </c>
      <c r="D316" s="304">
        <v>50000</v>
      </c>
      <c r="E316" s="306"/>
      <c r="F316" s="48">
        <f t="shared" si="5"/>
        <v>749063</v>
      </c>
      <c r="G316" s="400" t="s">
        <v>9568</v>
      </c>
    </row>
    <row r="317" spans="1:7" x14ac:dyDescent="0.25">
      <c r="A317" s="446">
        <v>44610</v>
      </c>
      <c r="B317" s="394"/>
      <c r="C317" s="294" t="s">
        <v>8516</v>
      </c>
      <c r="D317" s="304">
        <v>100000</v>
      </c>
      <c r="E317" s="306"/>
      <c r="F317" s="48">
        <f t="shared" si="5"/>
        <v>649063</v>
      </c>
      <c r="G317" s="400" t="s">
        <v>9568</v>
      </c>
    </row>
    <row r="318" spans="1:7" ht="30" x14ac:dyDescent="0.25">
      <c r="A318" s="446">
        <v>44610</v>
      </c>
      <c r="B318" s="394"/>
      <c r="C318" s="305" t="s">
        <v>9070</v>
      </c>
      <c r="D318" s="304"/>
      <c r="E318" s="306">
        <v>750000</v>
      </c>
      <c r="F318" s="48">
        <f t="shared" si="5"/>
        <v>1399063</v>
      </c>
      <c r="G318" s="400" t="s">
        <v>9568</v>
      </c>
    </row>
    <row r="319" spans="1:7" ht="30" x14ac:dyDescent="0.25">
      <c r="A319" s="446">
        <v>44610</v>
      </c>
      <c r="B319" s="394"/>
      <c r="C319" s="305" t="s">
        <v>9070</v>
      </c>
      <c r="D319" s="304"/>
      <c r="E319" s="306">
        <v>750000</v>
      </c>
      <c r="F319" s="48">
        <f t="shared" si="5"/>
        <v>2149063</v>
      </c>
      <c r="G319" s="400" t="s">
        <v>9568</v>
      </c>
    </row>
    <row r="320" spans="1:7" x14ac:dyDescent="0.25">
      <c r="A320" s="446">
        <v>44627</v>
      </c>
      <c r="B320" s="394"/>
      <c r="C320" s="294" t="s">
        <v>8929</v>
      </c>
      <c r="D320" s="304">
        <v>200000</v>
      </c>
      <c r="E320" s="306"/>
      <c r="F320" s="48">
        <f t="shared" si="5"/>
        <v>1949063</v>
      </c>
      <c r="G320" s="400" t="s">
        <v>9568</v>
      </c>
    </row>
    <row r="321" spans="1:8" x14ac:dyDescent="0.25">
      <c r="A321" s="446">
        <v>44622</v>
      </c>
      <c r="B321" s="394"/>
      <c r="C321" s="294" t="s">
        <v>8393</v>
      </c>
      <c r="D321" s="307">
        <v>70000</v>
      </c>
      <c r="E321" s="306"/>
      <c r="F321" s="48">
        <f t="shared" si="5"/>
        <v>1879063</v>
      </c>
      <c r="G321" s="400" t="s">
        <v>9568</v>
      </c>
    </row>
    <row r="322" spans="1:8" x14ac:dyDescent="0.25">
      <c r="A322" s="446">
        <v>44628</v>
      </c>
      <c r="B322" s="394"/>
      <c r="C322" s="294" t="s">
        <v>8929</v>
      </c>
      <c r="D322" s="304">
        <v>50000</v>
      </c>
      <c r="E322" s="306"/>
      <c r="F322" s="48">
        <f t="shared" si="5"/>
        <v>1829063</v>
      </c>
      <c r="G322" s="400" t="s">
        <v>9568</v>
      </c>
    </row>
    <row r="323" spans="1:8" x14ac:dyDescent="0.25">
      <c r="A323" s="446">
        <v>44627</v>
      </c>
      <c r="B323" s="394"/>
      <c r="C323" s="294" t="s">
        <v>8943</v>
      </c>
      <c r="D323" s="304"/>
      <c r="E323" s="306">
        <v>150000</v>
      </c>
      <c r="F323" s="48">
        <f t="shared" si="5"/>
        <v>1979063</v>
      </c>
      <c r="G323" s="400" t="s">
        <v>9568</v>
      </c>
    </row>
    <row r="324" spans="1:8" ht="30" x14ac:dyDescent="0.25">
      <c r="A324" s="446">
        <v>44634</v>
      </c>
      <c r="B324" s="394"/>
      <c r="C324" s="305" t="s">
        <v>8957</v>
      </c>
      <c r="D324" s="306">
        <v>500000</v>
      </c>
      <c r="E324" s="306"/>
      <c r="F324" s="48">
        <f t="shared" si="5"/>
        <v>1479063</v>
      </c>
      <c r="G324" s="400" t="s">
        <v>9568</v>
      </c>
      <c r="H324">
        <v>111</v>
      </c>
    </row>
    <row r="325" spans="1:8" ht="30" x14ac:dyDescent="0.25">
      <c r="A325" s="446">
        <v>44634</v>
      </c>
      <c r="B325" s="394"/>
      <c r="C325" s="305" t="s">
        <v>8957</v>
      </c>
      <c r="D325" s="306">
        <v>500000</v>
      </c>
      <c r="E325" s="306"/>
      <c r="F325" s="48">
        <f t="shared" si="5"/>
        <v>979063</v>
      </c>
      <c r="G325" s="400" t="s">
        <v>9568</v>
      </c>
    </row>
    <row r="326" spans="1:8" x14ac:dyDescent="0.25">
      <c r="A326" s="446">
        <v>44639</v>
      </c>
      <c r="B326" s="394"/>
      <c r="C326" s="294" t="s">
        <v>8979</v>
      </c>
      <c r="D326" s="304"/>
      <c r="E326" s="306">
        <v>480000</v>
      </c>
      <c r="F326" s="48">
        <f t="shared" si="5"/>
        <v>1459063</v>
      </c>
      <c r="G326" s="400" t="s">
        <v>9568</v>
      </c>
      <c r="H326">
        <v>25</v>
      </c>
    </row>
    <row r="327" spans="1:8" x14ac:dyDescent="0.25">
      <c r="A327" s="446">
        <v>44639</v>
      </c>
      <c r="B327" s="394"/>
      <c r="C327" s="294" t="s">
        <v>8516</v>
      </c>
      <c r="D327" s="304">
        <v>130000</v>
      </c>
      <c r="E327" s="306"/>
      <c r="F327" s="48">
        <f t="shared" si="5"/>
        <v>1329063</v>
      </c>
      <c r="G327" s="400" t="s">
        <v>9568</v>
      </c>
      <c r="H327">
        <f>SUM(H324:H326)</f>
        <v>136</v>
      </c>
    </row>
    <row r="328" spans="1:8" x14ac:dyDescent="0.25">
      <c r="A328" s="446">
        <v>44641</v>
      </c>
      <c r="B328" s="394"/>
      <c r="C328" s="294" t="s">
        <v>8516</v>
      </c>
      <c r="D328" s="304">
        <v>100000</v>
      </c>
      <c r="E328" s="306"/>
      <c r="F328" s="48">
        <f t="shared" si="5"/>
        <v>1229063</v>
      </c>
      <c r="G328" s="400" t="s">
        <v>9568</v>
      </c>
    </row>
    <row r="329" spans="1:8" x14ac:dyDescent="0.25">
      <c r="A329" s="446">
        <v>44641</v>
      </c>
      <c r="B329" s="394"/>
      <c r="C329" s="347" t="s">
        <v>8987</v>
      </c>
      <c r="D329" s="348">
        <v>30000</v>
      </c>
      <c r="E329" s="306"/>
      <c r="F329" s="48">
        <f t="shared" si="5"/>
        <v>1199063</v>
      </c>
      <c r="G329" s="400" t="s">
        <v>9568</v>
      </c>
    </row>
    <row r="330" spans="1:8" x14ac:dyDescent="0.25">
      <c r="A330" s="446">
        <v>44644</v>
      </c>
      <c r="B330" s="394"/>
      <c r="C330" s="294" t="s">
        <v>8997</v>
      </c>
      <c r="D330" s="304"/>
      <c r="E330" s="306">
        <v>500000</v>
      </c>
      <c r="F330" s="48">
        <f t="shared" si="5"/>
        <v>1699063</v>
      </c>
      <c r="G330" s="400" t="s">
        <v>9568</v>
      </c>
    </row>
    <row r="331" spans="1:8" x14ac:dyDescent="0.25">
      <c r="A331" s="446">
        <v>44644</v>
      </c>
      <c r="B331" s="394"/>
      <c r="C331" s="294" t="s">
        <v>8998</v>
      </c>
      <c r="D331" s="304">
        <v>54000</v>
      </c>
      <c r="E331" s="306"/>
      <c r="F331" s="48">
        <f t="shared" si="5"/>
        <v>1645063</v>
      </c>
      <c r="G331" s="400" t="s">
        <v>9568</v>
      </c>
    </row>
    <row r="332" spans="1:8" x14ac:dyDescent="0.25">
      <c r="A332" s="446">
        <v>44644</v>
      </c>
      <c r="B332" s="394"/>
      <c r="C332" s="294" t="s">
        <v>8999</v>
      </c>
      <c r="D332" s="304">
        <v>30000</v>
      </c>
      <c r="E332" s="306"/>
      <c r="F332" s="48">
        <f t="shared" ref="F332:F338" si="6">F331+E332-D332</f>
        <v>1615063</v>
      </c>
      <c r="G332" s="400" t="s">
        <v>9568</v>
      </c>
    </row>
    <row r="333" spans="1:8" x14ac:dyDescent="0.25">
      <c r="A333" s="446">
        <v>44644</v>
      </c>
      <c r="B333" s="394"/>
      <c r="C333" s="294" t="s">
        <v>9000</v>
      </c>
      <c r="D333" s="304">
        <v>4830</v>
      </c>
      <c r="E333" s="306"/>
      <c r="F333" s="48">
        <f t="shared" si="6"/>
        <v>1610233</v>
      </c>
      <c r="G333" s="400" t="s">
        <v>9568</v>
      </c>
    </row>
    <row r="334" spans="1:8" x14ac:dyDescent="0.25">
      <c r="A334" s="446">
        <v>44644</v>
      </c>
      <c r="B334" s="394"/>
      <c r="C334" s="294" t="s">
        <v>9001</v>
      </c>
      <c r="D334" s="304">
        <v>4997</v>
      </c>
      <c r="E334" s="306"/>
      <c r="F334" s="48">
        <f t="shared" si="6"/>
        <v>1605236</v>
      </c>
      <c r="G334" s="400" t="s">
        <v>9568</v>
      </c>
    </row>
    <row r="335" spans="1:8" x14ac:dyDescent="0.25">
      <c r="A335" s="446">
        <v>44644</v>
      </c>
      <c r="B335" s="394"/>
      <c r="C335" s="294" t="s">
        <v>9001</v>
      </c>
      <c r="D335" s="304">
        <v>6510</v>
      </c>
      <c r="E335" s="306"/>
      <c r="F335" s="48">
        <f t="shared" si="6"/>
        <v>1598726</v>
      </c>
      <c r="G335" s="400" t="s">
        <v>9568</v>
      </c>
    </row>
    <row r="336" spans="1:8" x14ac:dyDescent="0.25">
      <c r="A336" s="446">
        <v>44644</v>
      </c>
      <c r="B336" s="394"/>
      <c r="C336" s="294" t="s">
        <v>8516</v>
      </c>
      <c r="D336" s="304">
        <v>100000</v>
      </c>
      <c r="E336" s="306"/>
      <c r="F336" s="48">
        <f t="shared" si="6"/>
        <v>1498726</v>
      </c>
      <c r="G336" s="400" t="s">
        <v>9568</v>
      </c>
    </row>
    <row r="337" spans="1:11" s="357" customFormat="1" x14ac:dyDescent="0.25">
      <c r="A337" s="446">
        <v>44645</v>
      </c>
      <c r="B337" s="460"/>
      <c r="C337" s="308" t="s">
        <v>8516</v>
      </c>
      <c r="D337" s="306">
        <v>100000</v>
      </c>
      <c r="E337" s="306"/>
      <c r="F337" s="48">
        <f t="shared" si="6"/>
        <v>1398726</v>
      </c>
      <c r="G337" s="400" t="s">
        <v>9568</v>
      </c>
      <c r="K337" s="379"/>
    </row>
    <row r="338" spans="1:11" s="357" customFormat="1" x14ac:dyDescent="0.25">
      <c r="A338" s="446">
        <v>44648</v>
      </c>
      <c r="B338" s="460"/>
      <c r="C338" s="308" t="s">
        <v>8516</v>
      </c>
      <c r="D338" s="306">
        <v>100000</v>
      </c>
      <c r="E338" s="306"/>
      <c r="F338" s="48">
        <f t="shared" si="6"/>
        <v>1298726</v>
      </c>
      <c r="G338" s="400" t="s">
        <v>9568</v>
      </c>
      <c r="K338" s="379"/>
    </row>
    <row r="339" spans="1:11" s="357" customFormat="1" x14ac:dyDescent="0.25">
      <c r="A339" s="446">
        <v>44653</v>
      </c>
      <c r="B339" s="460"/>
      <c r="C339" s="308" t="s">
        <v>8516</v>
      </c>
      <c r="D339" s="306">
        <v>25000</v>
      </c>
      <c r="E339" s="306"/>
      <c r="F339" s="48">
        <f t="shared" ref="F339" si="7">F338+E339-D339</f>
        <v>1273726</v>
      </c>
      <c r="G339" s="400" t="s">
        <v>9568</v>
      </c>
      <c r="K339" s="379"/>
    </row>
    <row r="340" spans="1:11" s="357" customFormat="1" x14ac:dyDescent="0.25">
      <c r="A340" s="446">
        <v>44656</v>
      </c>
      <c r="B340" s="460"/>
      <c r="C340" s="308" t="s">
        <v>9051</v>
      </c>
      <c r="D340" s="306">
        <v>13000</v>
      </c>
      <c r="E340" s="306"/>
      <c r="F340" s="48">
        <f t="shared" ref="F340:F395" si="8">F339+E340-D340</f>
        <v>1260726</v>
      </c>
      <c r="G340" s="400" t="s">
        <v>9568</v>
      </c>
      <c r="K340" s="379"/>
    </row>
    <row r="341" spans="1:11" s="357" customFormat="1" x14ac:dyDescent="0.25">
      <c r="A341" s="446">
        <v>44656</v>
      </c>
      <c r="B341" s="460"/>
      <c r="C341" s="308" t="s">
        <v>9053</v>
      </c>
      <c r="D341" s="306">
        <v>5000</v>
      </c>
      <c r="E341" s="306"/>
      <c r="F341" s="48">
        <f t="shared" si="8"/>
        <v>1255726</v>
      </c>
      <c r="G341" s="400" t="s">
        <v>9568</v>
      </c>
      <c r="K341" s="379"/>
    </row>
    <row r="342" spans="1:11" s="357" customFormat="1" x14ac:dyDescent="0.25">
      <c r="A342" s="446">
        <v>44656</v>
      </c>
      <c r="B342" s="460"/>
      <c r="C342" s="308" t="s">
        <v>8516</v>
      </c>
      <c r="D342" s="306">
        <v>187000</v>
      </c>
      <c r="E342" s="306"/>
      <c r="F342" s="48">
        <f t="shared" si="8"/>
        <v>1068726</v>
      </c>
      <c r="G342" s="400" t="s">
        <v>9568</v>
      </c>
      <c r="K342" s="379"/>
    </row>
    <row r="343" spans="1:11" s="357" customFormat="1" x14ac:dyDescent="0.25">
      <c r="A343" s="446">
        <v>44656</v>
      </c>
      <c r="B343" s="460"/>
      <c r="C343" s="308" t="s">
        <v>8393</v>
      </c>
      <c r="D343" s="310">
        <v>62000</v>
      </c>
      <c r="E343" s="306"/>
      <c r="F343" s="48">
        <f t="shared" si="8"/>
        <v>1006726</v>
      </c>
      <c r="G343" s="400" t="s">
        <v>9568</v>
      </c>
      <c r="K343" s="379"/>
    </row>
    <row r="344" spans="1:11" x14ac:dyDescent="0.25">
      <c r="A344" s="446">
        <v>44656</v>
      </c>
      <c r="B344" s="394"/>
      <c r="C344" s="308" t="s">
        <v>9057</v>
      </c>
      <c r="D344" s="304">
        <v>500000</v>
      </c>
      <c r="E344" s="306"/>
      <c r="F344" s="48">
        <f t="shared" si="8"/>
        <v>506726</v>
      </c>
      <c r="G344" s="400" t="s">
        <v>9568</v>
      </c>
    </row>
    <row r="345" spans="1:11" x14ac:dyDescent="0.25">
      <c r="A345" s="446">
        <v>44658</v>
      </c>
      <c r="B345" s="394"/>
      <c r="C345" s="308" t="s">
        <v>9057</v>
      </c>
      <c r="D345" s="304">
        <v>400000</v>
      </c>
      <c r="E345" s="306"/>
      <c r="F345" s="48">
        <f t="shared" ref="F345" si="9">F344+E345-D345</f>
        <v>106726</v>
      </c>
      <c r="G345" s="400" t="s">
        <v>9568</v>
      </c>
    </row>
    <row r="346" spans="1:11" x14ac:dyDescent="0.25">
      <c r="A346" s="446">
        <v>44662</v>
      </c>
      <c r="B346" s="394"/>
      <c r="C346" s="294" t="s">
        <v>9080</v>
      </c>
      <c r="D346" s="304"/>
      <c r="E346" s="306">
        <v>30000</v>
      </c>
      <c r="F346" s="48">
        <f t="shared" si="8"/>
        <v>136726</v>
      </c>
      <c r="G346" s="400" t="s">
        <v>9568</v>
      </c>
    </row>
    <row r="347" spans="1:11" s="357" customFormat="1" x14ac:dyDescent="0.25">
      <c r="A347" s="446">
        <v>44664</v>
      </c>
      <c r="B347" s="460"/>
      <c r="C347" s="308" t="s">
        <v>8516</v>
      </c>
      <c r="D347" s="306">
        <v>49000</v>
      </c>
      <c r="E347" s="306"/>
      <c r="F347" s="48">
        <f t="shared" ref="F347" si="10">F346+E347-D347</f>
        <v>87726</v>
      </c>
      <c r="G347" s="400" t="s">
        <v>9568</v>
      </c>
      <c r="K347" s="379"/>
    </row>
    <row r="348" spans="1:11" x14ac:dyDescent="0.25">
      <c r="A348" s="446">
        <v>44664</v>
      </c>
      <c r="B348" s="394"/>
      <c r="C348" s="308" t="s">
        <v>8516</v>
      </c>
      <c r="D348" s="304">
        <v>50000</v>
      </c>
      <c r="E348" s="306"/>
      <c r="F348" s="48">
        <f t="shared" si="8"/>
        <v>37726</v>
      </c>
      <c r="G348" s="400" t="s">
        <v>9568</v>
      </c>
    </row>
    <row r="349" spans="1:11" x14ac:dyDescent="0.25">
      <c r="A349" s="446">
        <v>44669</v>
      </c>
      <c r="B349" s="394"/>
      <c r="C349" s="294" t="s">
        <v>9106</v>
      </c>
      <c r="D349" s="304"/>
      <c r="E349" s="306">
        <v>300000</v>
      </c>
      <c r="F349" s="48">
        <f t="shared" si="8"/>
        <v>337726</v>
      </c>
      <c r="G349" s="400" t="s">
        <v>9568</v>
      </c>
    </row>
    <row r="350" spans="1:11" x14ac:dyDescent="0.25">
      <c r="A350" s="446">
        <v>44670</v>
      </c>
      <c r="B350" s="394"/>
      <c r="C350" s="294" t="s">
        <v>9119</v>
      </c>
      <c r="D350" s="304">
        <v>80000</v>
      </c>
      <c r="E350" s="306"/>
      <c r="F350" s="48">
        <f t="shared" si="8"/>
        <v>257726</v>
      </c>
      <c r="G350" s="400" t="s">
        <v>9568</v>
      </c>
    </row>
    <row r="351" spans="1:11" x14ac:dyDescent="0.25">
      <c r="A351" s="446">
        <v>44670</v>
      </c>
      <c r="B351" s="394"/>
      <c r="C351" s="294" t="s">
        <v>9120</v>
      </c>
      <c r="D351" s="304">
        <v>15000</v>
      </c>
      <c r="E351" s="306"/>
      <c r="F351" s="48">
        <f t="shared" si="8"/>
        <v>242726</v>
      </c>
      <c r="G351" s="400" t="s">
        <v>9568</v>
      </c>
    </row>
    <row r="352" spans="1:11" ht="41.25" customHeight="1" x14ac:dyDescent="0.25">
      <c r="A352" s="446">
        <v>44670</v>
      </c>
      <c r="B352" s="460"/>
      <c r="C352" s="309" t="s">
        <v>10344</v>
      </c>
      <c r="D352" s="306"/>
      <c r="E352" s="306">
        <v>450000</v>
      </c>
      <c r="F352" s="48">
        <f t="shared" si="8"/>
        <v>692726</v>
      </c>
      <c r="G352" s="400" t="s">
        <v>9568</v>
      </c>
    </row>
    <row r="353" spans="1:11" x14ac:dyDescent="0.25">
      <c r="A353" s="446">
        <v>44671</v>
      </c>
      <c r="B353" s="394"/>
      <c r="C353" s="308" t="s">
        <v>8516</v>
      </c>
      <c r="D353" s="304">
        <v>50000</v>
      </c>
      <c r="E353" s="306"/>
      <c r="F353" s="48">
        <f t="shared" si="8"/>
        <v>642726</v>
      </c>
      <c r="G353" s="400" t="s">
        <v>9568</v>
      </c>
    </row>
    <row r="354" spans="1:11" ht="30" x14ac:dyDescent="0.25">
      <c r="A354" s="446">
        <v>44672</v>
      </c>
      <c r="B354" s="394"/>
      <c r="C354" s="305" t="s">
        <v>9133</v>
      </c>
      <c r="D354" s="304"/>
      <c r="E354" s="306">
        <v>350000</v>
      </c>
      <c r="F354" s="48">
        <f t="shared" si="8"/>
        <v>992726</v>
      </c>
      <c r="G354" s="400" t="s">
        <v>9568</v>
      </c>
    </row>
    <row r="355" spans="1:11" x14ac:dyDescent="0.25">
      <c r="A355" s="446">
        <v>44676</v>
      </c>
      <c r="B355" s="394"/>
      <c r="C355" s="294" t="s">
        <v>9135</v>
      </c>
      <c r="D355" s="304">
        <v>40000</v>
      </c>
      <c r="E355" s="306"/>
      <c r="F355" s="48">
        <f t="shared" si="8"/>
        <v>952726</v>
      </c>
      <c r="G355" s="400" t="s">
        <v>9568</v>
      </c>
    </row>
    <row r="356" spans="1:11" x14ac:dyDescent="0.25">
      <c r="A356" s="446">
        <v>44676</v>
      </c>
      <c r="B356" s="394"/>
      <c r="C356" s="294" t="s">
        <v>9136</v>
      </c>
      <c r="D356" s="304">
        <v>25000</v>
      </c>
      <c r="E356" s="306"/>
      <c r="F356" s="48">
        <f t="shared" si="8"/>
        <v>927726</v>
      </c>
      <c r="G356" s="400" t="s">
        <v>9568</v>
      </c>
    </row>
    <row r="357" spans="1:11" x14ac:dyDescent="0.25">
      <c r="A357" s="446">
        <v>44676</v>
      </c>
      <c r="B357" s="394"/>
      <c r="C357" s="294" t="s">
        <v>9137</v>
      </c>
      <c r="D357" s="304">
        <v>50000</v>
      </c>
      <c r="E357" s="306"/>
      <c r="F357" s="48">
        <f t="shared" si="8"/>
        <v>877726</v>
      </c>
      <c r="G357" s="400" t="s">
        <v>9568</v>
      </c>
    </row>
    <row r="358" spans="1:11" ht="45" x14ac:dyDescent="0.25">
      <c r="A358" s="446">
        <v>44678</v>
      </c>
      <c r="B358" s="394"/>
      <c r="C358" s="305" t="s">
        <v>9141</v>
      </c>
      <c r="D358" s="304">
        <v>100000</v>
      </c>
      <c r="E358" s="306"/>
      <c r="F358" s="48">
        <f t="shared" si="8"/>
        <v>777726</v>
      </c>
      <c r="G358" s="400" t="s">
        <v>9568</v>
      </c>
    </row>
    <row r="359" spans="1:11" ht="30" x14ac:dyDescent="0.25">
      <c r="A359" s="446">
        <v>44679</v>
      </c>
      <c r="B359" s="394"/>
      <c r="C359" s="305" t="s">
        <v>9145</v>
      </c>
      <c r="D359" s="304">
        <v>77000</v>
      </c>
      <c r="E359" s="306"/>
      <c r="F359" s="48">
        <f t="shared" si="8"/>
        <v>700726</v>
      </c>
      <c r="G359" s="400" t="s">
        <v>9568</v>
      </c>
    </row>
    <row r="360" spans="1:11" x14ac:dyDescent="0.25">
      <c r="A360" s="446">
        <v>44679</v>
      </c>
      <c r="B360" s="394"/>
      <c r="C360" s="305" t="s">
        <v>9146</v>
      </c>
      <c r="D360" s="304">
        <v>50000</v>
      </c>
      <c r="E360" s="306"/>
      <c r="F360" s="48">
        <f t="shared" si="8"/>
        <v>650726</v>
      </c>
      <c r="G360" s="400" t="s">
        <v>9568</v>
      </c>
    </row>
    <row r="361" spans="1:11" ht="30" x14ac:dyDescent="0.25">
      <c r="A361" s="446">
        <v>44679</v>
      </c>
      <c r="B361" s="394"/>
      <c r="C361" s="305" t="s">
        <v>9148</v>
      </c>
      <c r="D361" s="304">
        <v>90000</v>
      </c>
      <c r="E361" s="306"/>
      <c r="F361" s="48">
        <f t="shared" si="8"/>
        <v>560726</v>
      </c>
      <c r="G361" s="400" t="s">
        <v>9568</v>
      </c>
    </row>
    <row r="362" spans="1:11" x14ac:dyDescent="0.25">
      <c r="A362" s="446">
        <v>44680</v>
      </c>
      <c r="B362" s="394"/>
      <c r="C362" s="294" t="s">
        <v>9151</v>
      </c>
      <c r="D362" s="304">
        <v>1000000</v>
      </c>
      <c r="E362" s="306"/>
      <c r="F362" s="48">
        <f t="shared" si="8"/>
        <v>-439274</v>
      </c>
      <c r="G362" s="400" t="s">
        <v>9568</v>
      </c>
    </row>
    <row r="363" spans="1:11" x14ac:dyDescent="0.25">
      <c r="A363" s="446">
        <v>44681</v>
      </c>
      <c r="B363" s="394"/>
      <c r="C363" s="294" t="s">
        <v>9166</v>
      </c>
      <c r="D363" s="304"/>
      <c r="E363" s="306">
        <v>400000</v>
      </c>
      <c r="F363" s="48">
        <f t="shared" si="8"/>
        <v>-39274</v>
      </c>
      <c r="G363" s="400" t="s">
        <v>9568</v>
      </c>
    </row>
    <row r="364" spans="1:11" s="357" customFormat="1" x14ac:dyDescent="0.25">
      <c r="A364" s="446">
        <v>44682</v>
      </c>
      <c r="B364" s="460"/>
      <c r="C364" s="308" t="s">
        <v>8393</v>
      </c>
      <c r="D364" s="310">
        <v>70000</v>
      </c>
      <c r="E364" s="306"/>
      <c r="F364" s="48">
        <f t="shared" si="8"/>
        <v>-109274</v>
      </c>
      <c r="G364" s="400" t="s">
        <v>9568</v>
      </c>
      <c r="K364" s="379"/>
    </row>
    <row r="365" spans="1:11" x14ac:dyDescent="0.25">
      <c r="A365" s="446">
        <v>44687</v>
      </c>
      <c r="B365" s="394"/>
      <c r="C365" s="305" t="s">
        <v>9167</v>
      </c>
      <c r="D365" s="304">
        <v>20000</v>
      </c>
      <c r="E365" s="306"/>
      <c r="F365" s="48">
        <f t="shared" si="8"/>
        <v>-129274</v>
      </c>
      <c r="G365" s="400" t="s">
        <v>9568</v>
      </c>
    </row>
    <row r="366" spans="1:11" x14ac:dyDescent="0.25">
      <c r="A366" s="446">
        <v>44689</v>
      </c>
      <c r="B366" s="394"/>
      <c r="C366" s="308" t="s">
        <v>8516</v>
      </c>
      <c r="D366" s="304">
        <v>100000</v>
      </c>
      <c r="E366" s="306"/>
      <c r="F366" s="48">
        <f t="shared" si="8"/>
        <v>-229274</v>
      </c>
      <c r="G366" s="400" t="s">
        <v>9568</v>
      </c>
    </row>
    <row r="367" spans="1:11" x14ac:dyDescent="0.25">
      <c r="A367" s="446">
        <v>44691</v>
      </c>
      <c r="B367" s="394"/>
      <c r="C367" s="294" t="s">
        <v>9171</v>
      </c>
      <c r="D367" s="304">
        <v>200000</v>
      </c>
      <c r="E367" s="306"/>
      <c r="F367" s="48">
        <f t="shared" si="8"/>
        <v>-429274</v>
      </c>
      <c r="G367" s="400" t="s">
        <v>9568</v>
      </c>
    </row>
    <row r="368" spans="1:11" x14ac:dyDescent="0.25">
      <c r="A368" s="446">
        <v>44692</v>
      </c>
      <c r="B368" s="394"/>
      <c r="C368" s="294" t="s">
        <v>9171</v>
      </c>
      <c r="D368" s="304">
        <v>400000</v>
      </c>
      <c r="E368" s="306"/>
      <c r="F368" s="48">
        <f t="shared" ref="F368" si="11">F367+E368-D368</f>
        <v>-829274</v>
      </c>
      <c r="G368" s="400" t="s">
        <v>9568</v>
      </c>
    </row>
    <row r="369" spans="1:9" ht="30" x14ac:dyDescent="0.25">
      <c r="A369" s="446">
        <v>44697</v>
      </c>
      <c r="B369" s="394"/>
      <c r="C369" s="305" t="s">
        <v>9189</v>
      </c>
      <c r="D369" s="304"/>
      <c r="E369" s="306">
        <v>375000</v>
      </c>
      <c r="F369" s="48">
        <f t="shared" si="8"/>
        <v>-454274</v>
      </c>
      <c r="G369" s="400" t="s">
        <v>9568</v>
      </c>
    </row>
    <row r="370" spans="1:9" x14ac:dyDescent="0.25">
      <c r="A370" s="446">
        <v>44698</v>
      </c>
      <c r="B370" s="394"/>
      <c r="C370" s="294" t="s">
        <v>9195</v>
      </c>
      <c r="D370" s="304"/>
      <c r="E370" s="306">
        <v>300000</v>
      </c>
      <c r="F370" s="48">
        <f t="shared" si="8"/>
        <v>-154274</v>
      </c>
      <c r="G370" s="400" t="s">
        <v>9568</v>
      </c>
    </row>
    <row r="371" spans="1:9" ht="30" x14ac:dyDescent="0.25">
      <c r="A371" s="446">
        <v>44699</v>
      </c>
      <c r="B371" s="394"/>
      <c r="C371" s="305" t="s">
        <v>9189</v>
      </c>
      <c r="D371" s="304"/>
      <c r="E371" s="306">
        <v>475000</v>
      </c>
      <c r="F371" s="48">
        <f t="shared" si="8"/>
        <v>320726</v>
      </c>
      <c r="G371" s="400" t="s">
        <v>9568</v>
      </c>
    </row>
    <row r="372" spans="1:9" ht="30" x14ac:dyDescent="0.25">
      <c r="A372" s="446">
        <v>44699</v>
      </c>
      <c r="B372" s="394"/>
      <c r="C372" s="305" t="s">
        <v>9189</v>
      </c>
      <c r="D372" s="304"/>
      <c r="E372" s="306">
        <v>100000</v>
      </c>
      <c r="F372" s="48">
        <f t="shared" si="8"/>
        <v>420726</v>
      </c>
      <c r="G372" s="400" t="s">
        <v>9568</v>
      </c>
    </row>
    <row r="373" spans="1:9" ht="30" x14ac:dyDescent="0.25">
      <c r="A373" s="446">
        <v>44699</v>
      </c>
      <c r="B373" s="394"/>
      <c r="C373" s="305" t="s">
        <v>9189</v>
      </c>
      <c r="D373" s="304"/>
      <c r="E373" s="306">
        <v>125000</v>
      </c>
      <c r="F373" s="48">
        <f t="shared" si="8"/>
        <v>545726</v>
      </c>
      <c r="G373" s="400" t="s">
        <v>9568</v>
      </c>
    </row>
    <row r="374" spans="1:9" x14ac:dyDescent="0.25">
      <c r="A374" s="446">
        <v>44706</v>
      </c>
      <c r="B374" s="394"/>
      <c r="C374" s="294" t="s">
        <v>294</v>
      </c>
      <c r="D374" s="304"/>
      <c r="E374" s="306">
        <v>5000</v>
      </c>
      <c r="F374" s="48">
        <f t="shared" si="8"/>
        <v>550726</v>
      </c>
      <c r="G374" s="400" t="s">
        <v>9568</v>
      </c>
    </row>
    <row r="375" spans="1:9" x14ac:dyDescent="0.25">
      <c r="A375" s="446">
        <v>44707</v>
      </c>
      <c r="B375" s="394"/>
      <c r="C375" s="294" t="s">
        <v>9233</v>
      </c>
      <c r="D375" s="304">
        <v>40000</v>
      </c>
      <c r="E375" s="306"/>
      <c r="F375" s="48">
        <f t="shared" si="8"/>
        <v>510726</v>
      </c>
      <c r="G375" s="400" t="s">
        <v>9568</v>
      </c>
    </row>
    <row r="376" spans="1:9" x14ac:dyDescent="0.25">
      <c r="A376" s="446">
        <v>44707</v>
      </c>
      <c r="B376" s="394"/>
      <c r="C376" s="294" t="s">
        <v>9234</v>
      </c>
      <c r="D376" s="304">
        <v>80000</v>
      </c>
      <c r="E376" s="306"/>
      <c r="F376" s="48">
        <f t="shared" si="8"/>
        <v>430726</v>
      </c>
      <c r="G376" s="400" t="s">
        <v>9568</v>
      </c>
    </row>
    <row r="377" spans="1:9" x14ac:dyDescent="0.25">
      <c r="A377" s="446">
        <v>44707</v>
      </c>
      <c r="B377" s="394"/>
      <c r="C377" s="294" t="s">
        <v>9235</v>
      </c>
      <c r="D377" s="304">
        <v>60000</v>
      </c>
      <c r="E377" s="306"/>
      <c r="F377" s="48">
        <f t="shared" si="8"/>
        <v>370726</v>
      </c>
      <c r="G377" s="400" t="s">
        <v>9568</v>
      </c>
    </row>
    <row r="378" spans="1:9" x14ac:dyDescent="0.25">
      <c r="A378" s="446">
        <v>44707</v>
      </c>
      <c r="B378" s="394"/>
      <c r="C378" s="294" t="s">
        <v>9242</v>
      </c>
      <c r="D378" s="304">
        <v>35000</v>
      </c>
      <c r="E378" s="306"/>
      <c r="F378" s="48">
        <f t="shared" si="8"/>
        <v>335726</v>
      </c>
      <c r="G378" s="400" t="s">
        <v>9568</v>
      </c>
    </row>
    <row r="379" spans="1:9" x14ac:dyDescent="0.25">
      <c r="A379" s="446">
        <v>44711</v>
      </c>
      <c r="B379" s="394"/>
      <c r="C379" s="294" t="s">
        <v>9243</v>
      </c>
      <c r="D379" s="304">
        <v>37100</v>
      </c>
      <c r="E379" s="306"/>
      <c r="F379" s="48">
        <f t="shared" si="8"/>
        <v>298626</v>
      </c>
      <c r="G379" s="400" t="s">
        <v>9568</v>
      </c>
    </row>
    <row r="380" spans="1:9" x14ac:dyDescent="0.25">
      <c r="A380" s="446">
        <v>44716</v>
      </c>
      <c r="B380" s="394"/>
      <c r="C380" s="294" t="s">
        <v>8498</v>
      </c>
      <c r="D380" s="304">
        <v>2000</v>
      </c>
      <c r="E380" s="306"/>
      <c r="F380" s="48">
        <f t="shared" si="8"/>
        <v>296626</v>
      </c>
      <c r="G380" s="400" t="s">
        <v>9568</v>
      </c>
    </row>
    <row r="381" spans="1:9" x14ac:dyDescent="0.25">
      <c r="A381" s="446">
        <v>44716</v>
      </c>
      <c r="B381" s="460"/>
      <c r="C381" s="308" t="s">
        <v>8393</v>
      </c>
      <c r="D381" s="310">
        <v>70000</v>
      </c>
      <c r="E381" s="306"/>
      <c r="F381" s="48">
        <f t="shared" si="8"/>
        <v>226626</v>
      </c>
      <c r="G381" s="400" t="s">
        <v>9568</v>
      </c>
      <c r="I381" s="376">
        <f>EOMONTH(A378,0)</f>
        <v>44712</v>
      </c>
    </row>
    <row r="382" spans="1:9" x14ac:dyDescent="0.25">
      <c r="A382" s="446">
        <v>44720</v>
      </c>
      <c r="B382" s="394"/>
      <c r="C382" s="294" t="s">
        <v>9284</v>
      </c>
      <c r="D382" s="304"/>
      <c r="E382" s="306">
        <v>1300000</v>
      </c>
      <c r="F382" s="48">
        <f t="shared" si="8"/>
        <v>1526626</v>
      </c>
      <c r="G382" s="400" t="s">
        <v>9568</v>
      </c>
    </row>
    <row r="383" spans="1:9" x14ac:dyDescent="0.25">
      <c r="A383" s="446">
        <v>44720</v>
      </c>
      <c r="B383" s="394"/>
      <c r="C383" s="294" t="s">
        <v>7735</v>
      </c>
      <c r="D383" s="304">
        <v>100000</v>
      </c>
      <c r="E383" s="306"/>
      <c r="F383" s="48">
        <f t="shared" si="8"/>
        <v>1426626</v>
      </c>
      <c r="G383" s="400" t="s">
        <v>9568</v>
      </c>
    </row>
    <row r="384" spans="1:9" x14ac:dyDescent="0.25">
      <c r="A384" s="446">
        <v>44720</v>
      </c>
      <c r="B384" s="394"/>
      <c r="C384" s="294" t="s">
        <v>9297</v>
      </c>
      <c r="D384" s="304">
        <v>100000</v>
      </c>
      <c r="E384" s="306"/>
      <c r="F384" s="48">
        <f t="shared" si="8"/>
        <v>1326626</v>
      </c>
      <c r="G384" s="400" t="s">
        <v>9568</v>
      </c>
    </row>
    <row r="385" spans="1:9" x14ac:dyDescent="0.25">
      <c r="A385" s="446">
        <v>44722</v>
      </c>
      <c r="B385" s="394"/>
      <c r="C385" s="294" t="s">
        <v>9301</v>
      </c>
      <c r="D385" s="304">
        <v>750000</v>
      </c>
      <c r="E385" s="306"/>
      <c r="F385" s="48">
        <f t="shared" si="8"/>
        <v>576626</v>
      </c>
      <c r="G385" s="400" t="s">
        <v>9568</v>
      </c>
    </row>
    <row r="386" spans="1:9" x14ac:dyDescent="0.25">
      <c r="A386" s="446">
        <v>44722</v>
      </c>
      <c r="B386" s="394"/>
      <c r="C386" s="294" t="s">
        <v>9300</v>
      </c>
      <c r="D386" s="304">
        <v>1000000</v>
      </c>
      <c r="E386" s="306"/>
      <c r="F386" s="48">
        <f t="shared" si="8"/>
        <v>-423374</v>
      </c>
      <c r="G386" s="400" t="s">
        <v>9568</v>
      </c>
    </row>
    <row r="387" spans="1:9" x14ac:dyDescent="0.25">
      <c r="A387" s="446">
        <v>44727</v>
      </c>
      <c r="B387" s="394"/>
      <c r="C387" s="294" t="s">
        <v>9310</v>
      </c>
      <c r="D387" s="304">
        <v>25000</v>
      </c>
      <c r="E387" s="306"/>
      <c r="F387" s="48">
        <f t="shared" si="8"/>
        <v>-448374</v>
      </c>
      <c r="G387" s="400" t="s">
        <v>9568</v>
      </c>
    </row>
    <row r="388" spans="1:9" x14ac:dyDescent="0.25">
      <c r="A388" s="446">
        <v>44727</v>
      </c>
      <c r="B388" s="394"/>
      <c r="C388" s="294" t="s">
        <v>9311</v>
      </c>
      <c r="D388" s="304"/>
      <c r="E388" s="306">
        <v>400000</v>
      </c>
      <c r="F388" s="48">
        <f t="shared" si="8"/>
        <v>-48374</v>
      </c>
      <c r="G388" s="400" t="s">
        <v>9568</v>
      </c>
    </row>
    <row r="389" spans="1:9" ht="30" x14ac:dyDescent="0.25">
      <c r="A389" s="446">
        <v>44732</v>
      </c>
      <c r="B389" s="394"/>
      <c r="C389" s="305" t="s">
        <v>9338</v>
      </c>
      <c r="D389" s="304">
        <v>70000</v>
      </c>
      <c r="E389" s="306"/>
      <c r="F389" s="48">
        <f t="shared" si="8"/>
        <v>-118374</v>
      </c>
      <c r="G389" s="400" t="s">
        <v>9568</v>
      </c>
    </row>
    <row r="390" spans="1:9" x14ac:dyDescent="0.25">
      <c r="A390" s="446">
        <v>44732</v>
      </c>
      <c r="B390" s="394"/>
      <c r="C390" s="294" t="s">
        <v>9339</v>
      </c>
      <c r="D390" s="304"/>
      <c r="E390" s="306">
        <v>300000</v>
      </c>
      <c r="F390" s="48">
        <f t="shared" si="8"/>
        <v>181626</v>
      </c>
      <c r="G390" s="400" t="s">
        <v>9568</v>
      </c>
    </row>
    <row r="391" spans="1:9" x14ac:dyDescent="0.25">
      <c r="A391" s="446">
        <v>44736</v>
      </c>
      <c r="B391" s="394"/>
      <c r="C391" s="294" t="s">
        <v>8516</v>
      </c>
      <c r="D391" s="304">
        <v>35000</v>
      </c>
      <c r="E391" s="306"/>
      <c r="F391" s="48">
        <f t="shared" si="8"/>
        <v>146626</v>
      </c>
      <c r="G391" s="400" t="s">
        <v>9568</v>
      </c>
    </row>
    <row r="392" spans="1:9" x14ac:dyDescent="0.25">
      <c r="A392" s="446">
        <v>44737</v>
      </c>
      <c r="B392" s="394"/>
      <c r="C392" s="294" t="s">
        <v>8516</v>
      </c>
      <c r="D392" s="304">
        <v>200000</v>
      </c>
      <c r="E392" s="306"/>
      <c r="F392" s="48">
        <f t="shared" si="8"/>
        <v>-53374</v>
      </c>
      <c r="G392" s="400" t="s">
        <v>9568</v>
      </c>
    </row>
    <row r="393" spans="1:9" x14ac:dyDescent="0.25">
      <c r="A393" s="446">
        <v>44741</v>
      </c>
      <c r="B393" s="394"/>
      <c r="C393" s="294" t="s">
        <v>8516</v>
      </c>
      <c r="D393" s="304">
        <v>100000</v>
      </c>
      <c r="E393" s="306"/>
      <c r="F393" s="48">
        <f t="shared" si="8"/>
        <v>-153374</v>
      </c>
      <c r="G393" s="400" t="s">
        <v>9568</v>
      </c>
    </row>
    <row r="394" spans="1:9" x14ac:dyDescent="0.25">
      <c r="A394" s="446">
        <v>44743</v>
      </c>
      <c r="B394" s="460"/>
      <c r="C394" s="308" t="s">
        <v>9386</v>
      </c>
      <c r="D394" s="310">
        <v>70000</v>
      </c>
      <c r="E394" s="310"/>
      <c r="F394" s="48">
        <f t="shared" ref="F394" si="12">F393+E394-D394</f>
        <v>-223374</v>
      </c>
      <c r="G394" s="400" t="s">
        <v>9568</v>
      </c>
      <c r="I394" s="376">
        <f>EOMONTH(A391,0)</f>
        <v>44742</v>
      </c>
    </row>
    <row r="395" spans="1:9" x14ac:dyDescent="0.25">
      <c r="A395" s="446">
        <v>44744</v>
      </c>
      <c r="B395" s="394"/>
      <c r="C395" s="294" t="s">
        <v>8516</v>
      </c>
      <c r="D395" s="304">
        <v>50000</v>
      </c>
      <c r="E395" s="306"/>
      <c r="F395" s="48">
        <f t="shared" si="8"/>
        <v>-273374</v>
      </c>
      <c r="G395" s="400" t="s">
        <v>9568</v>
      </c>
    </row>
    <row r="396" spans="1:9" x14ac:dyDescent="0.25">
      <c r="A396" s="446">
        <v>44744</v>
      </c>
      <c r="B396" s="394"/>
      <c r="C396" s="294" t="s">
        <v>9399</v>
      </c>
      <c r="D396" s="304">
        <v>100000</v>
      </c>
      <c r="E396" s="306"/>
      <c r="F396" s="48">
        <f t="shared" ref="F396:F458" si="13">F395+E396-D396</f>
        <v>-373374</v>
      </c>
      <c r="G396" s="400" t="s">
        <v>9568</v>
      </c>
    </row>
    <row r="397" spans="1:9" x14ac:dyDescent="0.25">
      <c r="A397" s="446">
        <v>44744</v>
      </c>
      <c r="B397" s="394"/>
      <c r="C397" s="294" t="s">
        <v>9405</v>
      </c>
      <c r="D397" s="304">
        <v>900000</v>
      </c>
      <c r="E397" s="306"/>
      <c r="F397" s="48">
        <f t="shared" si="13"/>
        <v>-1273374</v>
      </c>
      <c r="G397" s="400" t="s">
        <v>9568</v>
      </c>
    </row>
    <row r="398" spans="1:9" x14ac:dyDescent="0.25">
      <c r="A398" s="446">
        <v>44744</v>
      </c>
      <c r="B398" s="394"/>
      <c r="C398" s="294" t="s">
        <v>9405</v>
      </c>
      <c r="D398" s="304">
        <v>100000</v>
      </c>
      <c r="E398" s="306"/>
      <c r="F398" s="48">
        <f t="shared" si="13"/>
        <v>-1373374</v>
      </c>
      <c r="G398" s="400" t="s">
        <v>9568</v>
      </c>
    </row>
    <row r="399" spans="1:9" x14ac:dyDescent="0.25">
      <c r="A399" s="446">
        <v>44762</v>
      </c>
      <c r="B399" s="394"/>
      <c r="C399" s="294" t="s">
        <v>8481</v>
      </c>
      <c r="D399" s="307">
        <v>86000</v>
      </c>
      <c r="E399" s="310"/>
      <c r="F399" s="48">
        <f t="shared" si="13"/>
        <v>-1459374</v>
      </c>
      <c r="G399" s="400" t="s">
        <v>9568</v>
      </c>
    </row>
    <row r="400" spans="1:9" x14ac:dyDescent="0.25">
      <c r="A400" s="446">
        <v>44762</v>
      </c>
      <c r="B400" s="394"/>
      <c r="C400" s="294" t="s">
        <v>9418</v>
      </c>
      <c r="D400" s="312">
        <v>250000</v>
      </c>
      <c r="E400" s="310"/>
      <c r="F400" s="48">
        <f t="shared" si="13"/>
        <v>-1709374</v>
      </c>
      <c r="G400" s="400" t="s">
        <v>9568</v>
      </c>
    </row>
    <row r="401" spans="1:7" x14ac:dyDescent="0.25">
      <c r="A401" s="446">
        <v>44762</v>
      </c>
      <c r="B401" s="394"/>
      <c r="C401" s="294" t="s">
        <v>9418</v>
      </c>
      <c r="D401" s="312">
        <v>94000</v>
      </c>
      <c r="E401" s="310"/>
      <c r="F401" s="48">
        <f t="shared" si="13"/>
        <v>-1803374</v>
      </c>
      <c r="G401" s="400" t="s">
        <v>9568</v>
      </c>
    </row>
    <row r="402" spans="1:7" x14ac:dyDescent="0.25">
      <c r="A402" s="446">
        <v>44762</v>
      </c>
      <c r="B402" s="394"/>
      <c r="C402" s="294" t="s">
        <v>9419</v>
      </c>
      <c r="D402" s="307"/>
      <c r="E402" s="310">
        <v>100000</v>
      </c>
      <c r="F402" s="48">
        <f t="shared" si="13"/>
        <v>-1703374</v>
      </c>
      <c r="G402" s="400" t="s">
        <v>9568</v>
      </c>
    </row>
    <row r="403" spans="1:7" x14ac:dyDescent="0.25">
      <c r="A403" s="446">
        <v>44762</v>
      </c>
      <c r="B403" s="394"/>
      <c r="C403" s="294" t="s">
        <v>9420</v>
      </c>
      <c r="D403" s="312">
        <v>25000</v>
      </c>
      <c r="E403" s="310"/>
      <c r="F403" s="48">
        <f t="shared" si="13"/>
        <v>-1728374</v>
      </c>
      <c r="G403" s="400" t="s">
        <v>9568</v>
      </c>
    </row>
    <row r="404" spans="1:7" x14ac:dyDescent="0.25">
      <c r="A404" s="446">
        <v>44762</v>
      </c>
      <c r="B404" s="394"/>
      <c r="C404" s="294" t="s">
        <v>9421</v>
      </c>
      <c r="D404" s="307">
        <v>400000</v>
      </c>
      <c r="E404" s="310"/>
      <c r="F404" s="48">
        <f t="shared" si="13"/>
        <v>-2128374</v>
      </c>
      <c r="G404" s="400" t="s">
        <v>9568</v>
      </c>
    </row>
    <row r="405" spans="1:7" ht="30" x14ac:dyDescent="0.25">
      <c r="A405" s="446">
        <v>44762</v>
      </c>
      <c r="B405" s="394"/>
      <c r="C405" s="381" t="s">
        <v>9422</v>
      </c>
      <c r="D405" s="307">
        <v>250000</v>
      </c>
      <c r="E405" s="310"/>
      <c r="F405" s="48">
        <f t="shared" si="13"/>
        <v>-2378374</v>
      </c>
      <c r="G405" s="400" t="s">
        <v>9568</v>
      </c>
    </row>
    <row r="406" spans="1:7" x14ac:dyDescent="0.25">
      <c r="A406" s="446">
        <v>44762</v>
      </c>
      <c r="B406" s="394"/>
      <c r="C406" s="294" t="s">
        <v>9423</v>
      </c>
      <c r="D406" s="307">
        <v>42515</v>
      </c>
      <c r="E406" s="310"/>
      <c r="F406" s="48">
        <f t="shared" si="13"/>
        <v>-2420889</v>
      </c>
      <c r="G406" s="400" t="s">
        <v>9568</v>
      </c>
    </row>
    <row r="407" spans="1:7" x14ac:dyDescent="0.25">
      <c r="A407" s="446">
        <v>44762</v>
      </c>
      <c r="B407" s="394"/>
      <c r="C407" s="294" t="s">
        <v>9424</v>
      </c>
      <c r="D407" s="307">
        <v>12400</v>
      </c>
      <c r="E407" s="310"/>
      <c r="F407" s="48">
        <f t="shared" si="13"/>
        <v>-2433289</v>
      </c>
      <c r="G407" s="400" t="s">
        <v>9568</v>
      </c>
    </row>
    <row r="408" spans="1:7" x14ac:dyDescent="0.25">
      <c r="A408" s="446">
        <v>44762</v>
      </c>
      <c r="B408" s="394"/>
      <c r="C408" s="294" t="s">
        <v>9425</v>
      </c>
      <c r="D408" s="307">
        <v>30600</v>
      </c>
      <c r="E408" s="310"/>
      <c r="F408" s="48">
        <f t="shared" si="13"/>
        <v>-2463889</v>
      </c>
      <c r="G408" s="400" t="s">
        <v>9568</v>
      </c>
    </row>
    <row r="409" spans="1:7" x14ac:dyDescent="0.25">
      <c r="A409" s="446">
        <v>44762</v>
      </c>
      <c r="B409" s="394"/>
      <c r="C409" s="294" t="s">
        <v>9425</v>
      </c>
      <c r="D409" s="307">
        <v>62010</v>
      </c>
      <c r="E409" s="310"/>
      <c r="F409" s="48">
        <f t="shared" si="13"/>
        <v>-2525899</v>
      </c>
      <c r="G409" s="400" t="s">
        <v>9568</v>
      </c>
    </row>
    <row r="410" spans="1:7" x14ac:dyDescent="0.25">
      <c r="A410" s="446">
        <v>44762</v>
      </c>
      <c r="B410" s="394"/>
      <c r="C410" s="294" t="s">
        <v>9425</v>
      </c>
      <c r="D410" s="307">
        <v>13650</v>
      </c>
      <c r="E410" s="310"/>
      <c r="F410" s="48">
        <f t="shared" si="13"/>
        <v>-2539549</v>
      </c>
      <c r="G410" s="400" t="s">
        <v>9568</v>
      </c>
    </row>
    <row r="411" spans="1:7" x14ac:dyDescent="0.25">
      <c r="A411" s="446">
        <v>44762</v>
      </c>
      <c r="B411" s="394"/>
      <c r="C411" s="294" t="s">
        <v>6115</v>
      </c>
      <c r="D411" s="307">
        <v>10000</v>
      </c>
      <c r="E411" s="310"/>
      <c r="F411" s="48">
        <f t="shared" si="13"/>
        <v>-2549549</v>
      </c>
      <c r="G411" s="400" t="s">
        <v>9568</v>
      </c>
    </row>
    <row r="412" spans="1:7" x14ac:dyDescent="0.25">
      <c r="A412" s="446">
        <v>44762</v>
      </c>
      <c r="B412" s="394"/>
      <c r="C412" s="294" t="s">
        <v>9426</v>
      </c>
      <c r="D412" s="307">
        <v>10000</v>
      </c>
      <c r="E412" s="310"/>
      <c r="F412" s="48">
        <f t="shared" si="13"/>
        <v>-2559549</v>
      </c>
      <c r="G412" s="400" t="s">
        <v>9568</v>
      </c>
    </row>
    <row r="413" spans="1:7" x14ac:dyDescent="0.25">
      <c r="A413" s="446">
        <v>44762</v>
      </c>
      <c r="B413" s="394"/>
      <c r="C413" s="294" t="s">
        <v>9428</v>
      </c>
      <c r="D413" s="307">
        <v>5000</v>
      </c>
      <c r="E413" s="310"/>
      <c r="F413" s="48">
        <f t="shared" si="13"/>
        <v>-2564549</v>
      </c>
      <c r="G413" s="400" t="s">
        <v>9568</v>
      </c>
    </row>
    <row r="414" spans="1:7" x14ac:dyDescent="0.25">
      <c r="A414" s="446">
        <v>44765</v>
      </c>
      <c r="B414" s="394"/>
      <c r="C414" s="386" t="s">
        <v>9472</v>
      </c>
      <c r="D414" s="387">
        <v>100000</v>
      </c>
      <c r="E414" s="310"/>
      <c r="F414" s="48">
        <f t="shared" si="13"/>
        <v>-2664549</v>
      </c>
      <c r="G414" s="400" t="s">
        <v>9568</v>
      </c>
    </row>
    <row r="415" spans="1:7" x14ac:dyDescent="0.25">
      <c r="A415" s="446">
        <v>44765</v>
      </c>
      <c r="B415" s="394"/>
      <c r="C415" s="294" t="s">
        <v>8481</v>
      </c>
      <c r="D415" s="307">
        <v>40000</v>
      </c>
      <c r="E415" s="306"/>
      <c r="F415" s="48">
        <f t="shared" si="13"/>
        <v>-2704549</v>
      </c>
      <c r="G415" s="400" t="s">
        <v>9568</v>
      </c>
    </row>
    <row r="416" spans="1:7" x14ac:dyDescent="0.25">
      <c r="A416" s="446">
        <v>44770</v>
      </c>
      <c r="B416" s="394"/>
      <c r="C416" s="294" t="s">
        <v>8481</v>
      </c>
      <c r="D416" s="307">
        <v>40000</v>
      </c>
      <c r="E416" s="306"/>
      <c r="F416" s="48">
        <f t="shared" si="13"/>
        <v>-2744549</v>
      </c>
      <c r="G416" s="400" t="s">
        <v>9568</v>
      </c>
    </row>
    <row r="417" spans="1:11" x14ac:dyDescent="0.25">
      <c r="A417" s="446">
        <v>44772</v>
      </c>
      <c r="B417" s="394"/>
      <c r="C417" s="294" t="s">
        <v>8481</v>
      </c>
      <c r="D417" s="307">
        <v>40000</v>
      </c>
      <c r="E417" s="306"/>
      <c r="F417" s="48">
        <f t="shared" ref="F417" si="14">F416+E417-D417</f>
        <v>-2784549</v>
      </c>
      <c r="G417" s="400" t="s">
        <v>9568</v>
      </c>
    </row>
    <row r="418" spans="1:11" x14ac:dyDescent="0.25">
      <c r="A418" s="446">
        <v>44772</v>
      </c>
      <c r="B418" s="394"/>
      <c r="C418" s="386" t="s">
        <v>9471</v>
      </c>
      <c r="D418" s="317">
        <v>75000</v>
      </c>
      <c r="E418" s="306"/>
      <c r="F418" s="48">
        <f t="shared" si="13"/>
        <v>-2859549</v>
      </c>
      <c r="G418" s="400" t="s">
        <v>9568</v>
      </c>
    </row>
    <row r="419" spans="1:11" x14ac:dyDescent="0.25">
      <c r="A419" s="446">
        <v>44772</v>
      </c>
      <c r="B419" s="394"/>
      <c r="C419" s="294" t="s">
        <v>8481</v>
      </c>
      <c r="D419" s="307">
        <v>5000</v>
      </c>
      <c r="E419" s="306"/>
      <c r="F419" s="48">
        <f t="shared" si="13"/>
        <v>-2864549</v>
      </c>
      <c r="G419" s="400" t="s">
        <v>9568</v>
      </c>
    </row>
    <row r="420" spans="1:11" x14ac:dyDescent="0.25">
      <c r="A420" s="446">
        <v>44772</v>
      </c>
      <c r="B420" s="394"/>
      <c r="C420" s="386" t="s">
        <v>8529</v>
      </c>
      <c r="D420" s="314">
        <v>5000</v>
      </c>
      <c r="E420" s="306"/>
      <c r="F420" s="48">
        <f t="shared" si="13"/>
        <v>-2869549</v>
      </c>
      <c r="G420" s="400" t="s">
        <v>9568</v>
      </c>
    </row>
    <row r="421" spans="1:11" x14ac:dyDescent="0.25">
      <c r="A421" s="446">
        <v>44777</v>
      </c>
      <c r="B421" s="394"/>
      <c r="C421" s="294" t="s">
        <v>9498</v>
      </c>
      <c r="D421" s="304">
        <v>945000</v>
      </c>
      <c r="E421" s="306"/>
      <c r="F421" s="48">
        <f t="shared" si="13"/>
        <v>-3814549</v>
      </c>
      <c r="G421" s="400" t="s">
        <v>9568</v>
      </c>
    </row>
    <row r="422" spans="1:11" x14ac:dyDescent="0.25">
      <c r="A422" s="446">
        <v>44777</v>
      </c>
      <c r="B422" s="394"/>
      <c r="C422" s="294" t="s">
        <v>9301</v>
      </c>
      <c r="D422" s="312">
        <v>250000</v>
      </c>
      <c r="E422" s="306"/>
      <c r="F422" s="48">
        <f t="shared" si="13"/>
        <v>-4064549</v>
      </c>
      <c r="G422" s="400" t="s">
        <v>9568</v>
      </c>
    </row>
    <row r="423" spans="1:11" x14ac:dyDescent="0.25">
      <c r="A423" s="446">
        <v>44777</v>
      </c>
      <c r="B423" s="394"/>
      <c r="C423" s="294" t="s">
        <v>9499</v>
      </c>
      <c r="D423" s="312">
        <v>110000</v>
      </c>
      <c r="E423" s="306"/>
      <c r="F423" s="48">
        <f t="shared" si="13"/>
        <v>-4174549</v>
      </c>
      <c r="G423" s="400" t="s">
        <v>9568</v>
      </c>
    </row>
    <row r="424" spans="1:11" x14ac:dyDescent="0.25">
      <c r="A424" s="446">
        <v>44777</v>
      </c>
      <c r="B424" s="394"/>
      <c r="C424" s="294" t="s">
        <v>9502</v>
      </c>
      <c r="D424" s="312">
        <v>250000</v>
      </c>
      <c r="E424" s="306"/>
      <c r="F424" s="48">
        <f t="shared" si="13"/>
        <v>-4424549</v>
      </c>
      <c r="G424" s="400" t="s">
        <v>9568</v>
      </c>
    </row>
    <row r="425" spans="1:11" x14ac:dyDescent="0.25">
      <c r="A425" s="446">
        <v>44777</v>
      </c>
      <c r="B425" s="460"/>
      <c r="C425" s="308" t="s">
        <v>9509</v>
      </c>
      <c r="D425" s="310">
        <v>70000</v>
      </c>
      <c r="E425" s="310"/>
      <c r="F425" s="48">
        <f t="shared" si="13"/>
        <v>-4494549</v>
      </c>
      <c r="G425" s="400" t="s">
        <v>9568</v>
      </c>
      <c r="I425" s="376">
        <f>EOMONTH(A422,0)</f>
        <v>44804</v>
      </c>
    </row>
    <row r="426" spans="1:11" s="357" customFormat="1" x14ac:dyDescent="0.25">
      <c r="A426" s="446">
        <v>44785</v>
      </c>
      <c r="B426" s="460"/>
      <c r="C426" s="308" t="s">
        <v>8487</v>
      </c>
      <c r="D426" s="306">
        <v>3000</v>
      </c>
      <c r="E426" s="306"/>
      <c r="F426" s="48">
        <f t="shared" si="13"/>
        <v>-4497549</v>
      </c>
      <c r="G426" s="400" t="s">
        <v>9568</v>
      </c>
      <c r="K426" s="379"/>
    </row>
    <row r="427" spans="1:11" x14ac:dyDescent="0.25">
      <c r="A427" s="446">
        <v>44791</v>
      </c>
      <c r="B427" s="394"/>
      <c r="C427" s="294" t="s">
        <v>9574</v>
      </c>
      <c r="D427" s="304"/>
      <c r="E427" s="306">
        <v>150000</v>
      </c>
      <c r="F427" s="48">
        <f t="shared" si="13"/>
        <v>-4347549</v>
      </c>
      <c r="G427" s="400" t="s">
        <v>9568</v>
      </c>
    </row>
    <row r="428" spans="1:11" x14ac:dyDescent="0.25">
      <c r="A428" s="446">
        <v>44792</v>
      </c>
      <c r="B428" s="394"/>
      <c r="C428" s="294" t="s">
        <v>9575</v>
      </c>
      <c r="D428" s="304">
        <v>139000</v>
      </c>
      <c r="E428" s="306"/>
      <c r="F428" s="48">
        <f t="shared" si="13"/>
        <v>-4486549</v>
      </c>
      <c r="G428" s="400" t="s">
        <v>9568</v>
      </c>
    </row>
    <row r="429" spans="1:11" x14ac:dyDescent="0.25">
      <c r="A429" s="446">
        <v>44792</v>
      </c>
      <c r="B429" s="394"/>
      <c r="C429" s="294" t="s">
        <v>9576</v>
      </c>
      <c r="D429" s="312">
        <v>250000</v>
      </c>
      <c r="E429" s="306"/>
      <c r="F429" s="48">
        <f t="shared" ref="F429:F430" si="15">F428+E429-D429</f>
        <v>-4736549</v>
      </c>
      <c r="G429" s="400" t="s">
        <v>9568</v>
      </c>
    </row>
    <row r="430" spans="1:11" x14ac:dyDescent="0.25">
      <c r="A430" s="446">
        <v>44792</v>
      </c>
      <c r="B430" s="394"/>
      <c r="C430" s="294" t="s">
        <v>9576</v>
      </c>
      <c r="D430" s="312">
        <v>50000</v>
      </c>
      <c r="E430" s="306"/>
      <c r="F430" s="48">
        <f t="shared" si="15"/>
        <v>-4786549</v>
      </c>
      <c r="G430" s="400" t="s">
        <v>9568</v>
      </c>
    </row>
    <row r="431" spans="1:11" x14ac:dyDescent="0.25">
      <c r="A431" s="446">
        <v>44796</v>
      </c>
      <c r="B431" s="394"/>
      <c r="C431" s="386" t="s">
        <v>9471</v>
      </c>
      <c r="D431" s="304">
        <v>35000</v>
      </c>
      <c r="E431" s="306"/>
      <c r="F431" s="48">
        <f t="shared" si="13"/>
        <v>-4821549</v>
      </c>
      <c r="G431" s="400" t="s">
        <v>9568</v>
      </c>
    </row>
    <row r="432" spans="1:11" x14ac:dyDescent="0.25">
      <c r="A432" s="446">
        <v>44796</v>
      </c>
      <c r="B432" s="394"/>
      <c r="C432" s="386" t="s">
        <v>9590</v>
      </c>
      <c r="D432" s="304">
        <v>200000</v>
      </c>
      <c r="E432" s="306"/>
      <c r="F432" s="48">
        <f t="shared" si="13"/>
        <v>-5021549</v>
      </c>
      <c r="G432" s="400" t="s">
        <v>9568</v>
      </c>
    </row>
    <row r="433" spans="1:9" x14ac:dyDescent="0.25">
      <c r="A433" s="446">
        <v>44798</v>
      </c>
      <c r="B433" s="394"/>
      <c r="C433" s="386" t="s">
        <v>9597</v>
      </c>
      <c r="D433" s="304">
        <v>70000</v>
      </c>
      <c r="E433" s="306"/>
      <c r="F433" s="48">
        <f t="shared" si="13"/>
        <v>-5091549</v>
      </c>
      <c r="G433" s="400" t="s">
        <v>9568</v>
      </c>
    </row>
    <row r="434" spans="1:9" x14ac:dyDescent="0.25">
      <c r="A434" s="446">
        <v>44798</v>
      </c>
      <c r="B434" s="394"/>
      <c r="C434" s="386" t="s">
        <v>9596</v>
      </c>
      <c r="D434" s="304">
        <v>50000</v>
      </c>
      <c r="E434" s="306"/>
      <c r="F434" s="48">
        <f t="shared" si="13"/>
        <v>-5141549</v>
      </c>
      <c r="G434" s="400" t="s">
        <v>9568</v>
      </c>
    </row>
    <row r="435" spans="1:9" x14ac:dyDescent="0.25">
      <c r="A435" s="446">
        <v>44798</v>
      </c>
      <c r="B435" s="394"/>
      <c r="C435" s="386" t="s">
        <v>9598</v>
      </c>
      <c r="D435" s="304">
        <v>50000</v>
      </c>
      <c r="E435" s="306"/>
      <c r="F435" s="48">
        <f t="shared" si="13"/>
        <v>-5191549</v>
      </c>
      <c r="G435" s="400" t="s">
        <v>9568</v>
      </c>
    </row>
    <row r="436" spans="1:9" x14ac:dyDescent="0.25">
      <c r="A436" s="446">
        <v>44799</v>
      </c>
      <c r="B436" s="394"/>
      <c r="C436" s="294" t="s">
        <v>9600</v>
      </c>
      <c r="D436" s="304"/>
      <c r="E436" s="306">
        <v>800000</v>
      </c>
      <c r="F436" s="48">
        <f t="shared" si="13"/>
        <v>-4391549</v>
      </c>
      <c r="G436" s="400" t="s">
        <v>9568</v>
      </c>
    </row>
    <row r="437" spans="1:9" x14ac:dyDescent="0.25">
      <c r="A437" s="446">
        <v>44799</v>
      </c>
      <c r="B437" s="394"/>
      <c r="C437" s="294" t="s">
        <v>8481</v>
      </c>
      <c r="D437" s="307">
        <v>100000</v>
      </c>
      <c r="E437" s="306"/>
      <c r="F437" s="48">
        <f t="shared" si="13"/>
        <v>-4491549</v>
      </c>
      <c r="G437" s="400" t="s">
        <v>9568</v>
      </c>
    </row>
    <row r="438" spans="1:9" x14ac:dyDescent="0.25">
      <c r="A438" s="446">
        <v>44802</v>
      </c>
      <c r="B438" s="394"/>
      <c r="C438" s="294" t="s">
        <v>8481</v>
      </c>
      <c r="D438" s="307">
        <v>150000</v>
      </c>
      <c r="E438" s="306"/>
      <c r="F438" s="48">
        <f t="shared" ref="F438:F439" si="16">F437+E438-D438</f>
        <v>-4641549</v>
      </c>
      <c r="G438" s="400" t="s">
        <v>9568</v>
      </c>
    </row>
    <row r="439" spans="1:9" x14ac:dyDescent="0.25">
      <c r="A439" s="446">
        <v>44802</v>
      </c>
      <c r="B439" s="394"/>
      <c r="C439" s="294" t="s">
        <v>9610</v>
      </c>
      <c r="D439" s="307">
        <v>20000</v>
      </c>
      <c r="E439" s="306"/>
      <c r="F439" s="48">
        <f t="shared" si="16"/>
        <v>-4661549</v>
      </c>
      <c r="G439" s="400" t="s">
        <v>9568</v>
      </c>
    </row>
    <row r="440" spans="1:9" x14ac:dyDescent="0.25">
      <c r="A440" s="446">
        <v>44802</v>
      </c>
      <c r="B440" s="394"/>
      <c r="C440" s="294" t="s">
        <v>9612</v>
      </c>
      <c r="D440" s="304">
        <v>17595</v>
      </c>
      <c r="E440" s="306"/>
      <c r="F440" s="48">
        <f t="shared" si="13"/>
        <v>-4679144</v>
      </c>
      <c r="G440" s="400" t="s">
        <v>9568</v>
      </c>
    </row>
    <row r="441" spans="1:9" x14ac:dyDescent="0.25">
      <c r="A441" s="446">
        <v>44802</v>
      </c>
      <c r="B441" s="394"/>
      <c r="C441" s="294" t="s">
        <v>9613</v>
      </c>
      <c r="D441" s="304">
        <v>17595</v>
      </c>
      <c r="E441" s="306"/>
      <c r="F441" s="48">
        <f t="shared" si="13"/>
        <v>-4696739</v>
      </c>
      <c r="G441" s="400" t="s">
        <v>9568</v>
      </c>
    </row>
    <row r="442" spans="1:9" x14ac:dyDescent="0.25">
      <c r="A442" s="446">
        <v>44802</v>
      </c>
      <c r="B442" s="394"/>
      <c r="C442" s="294" t="s">
        <v>9001</v>
      </c>
      <c r="D442" s="304">
        <v>40798</v>
      </c>
      <c r="E442" s="306"/>
      <c r="F442" s="48">
        <f t="shared" si="13"/>
        <v>-4737537</v>
      </c>
      <c r="G442" s="400" t="s">
        <v>9568</v>
      </c>
    </row>
    <row r="443" spans="1:9" x14ac:dyDescent="0.25">
      <c r="A443" s="446">
        <v>44802</v>
      </c>
      <c r="B443" s="394"/>
      <c r="C443" s="294" t="s">
        <v>8481</v>
      </c>
      <c r="D443" s="307">
        <v>500000</v>
      </c>
      <c r="E443" s="306"/>
      <c r="F443" s="48">
        <f t="shared" si="13"/>
        <v>-5237537</v>
      </c>
      <c r="G443" s="400" t="s">
        <v>9568</v>
      </c>
    </row>
    <row r="444" spans="1:9" x14ac:dyDescent="0.25">
      <c r="A444" s="446">
        <v>44804</v>
      </c>
      <c r="B444" s="394"/>
      <c r="C444" s="386" t="s">
        <v>9637</v>
      </c>
      <c r="D444" s="304">
        <v>90000</v>
      </c>
      <c r="E444" s="306"/>
      <c r="F444" s="48">
        <f t="shared" si="13"/>
        <v>-5327537</v>
      </c>
      <c r="G444" s="400" t="s">
        <v>9568</v>
      </c>
    </row>
    <row r="445" spans="1:9" ht="30" x14ac:dyDescent="0.25">
      <c r="A445" s="446">
        <v>44804</v>
      </c>
      <c r="B445" s="394"/>
      <c r="C445" s="305" t="s">
        <v>9639</v>
      </c>
      <c r="D445" s="304"/>
      <c r="E445" s="306">
        <v>2930000</v>
      </c>
      <c r="F445" s="48">
        <f t="shared" si="13"/>
        <v>-2397537</v>
      </c>
      <c r="G445" s="400" t="s">
        <v>9568</v>
      </c>
    </row>
    <row r="446" spans="1:9" x14ac:dyDescent="0.25">
      <c r="A446" s="446">
        <v>44804</v>
      </c>
      <c r="B446" s="394"/>
      <c r="C446" s="386" t="s">
        <v>9641</v>
      </c>
      <c r="D446" s="304">
        <v>50000</v>
      </c>
      <c r="E446" s="306"/>
      <c r="F446" s="48">
        <f t="shared" si="13"/>
        <v>-2447537</v>
      </c>
      <c r="G446" s="400" t="s">
        <v>9568</v>
      </c>
    </row>
    <row r="447" spans="1:9" x14ac:dyDescent="0.25">
      <c r="A447" s="446">
        <v>44807</v>
      </c>
      <c r="B447" s="394"/>
      <c r="C447" s="294" t="s">
        <v>8481</v>
      </c>
      <c r="D447" s="307">
        <v>500000</v>
      </c>
      <c r="E447" s="306"/>
      <c r="F447" s="48">
        <f t="shared" ref="F447:F448" si="17">F446+E447-D447</f>
        <v>-2947537</v>
      </c>
      <c r="G447" s="400" t="s">
        <v>9568</v>
      </c>
    </row>
    <row r="448" spans="1:9" x14ac:dyDescent="0.25">
      <c r="A448" s="446">
        <v>44809</v>
      </c>
      <c r="B448" s="460"/>
      <c r="C448" s="308" t="s">
        <v>9893</v>
      </c>
      <c r="D448" s="310">
        <v>70000</v>
      </c>
      <c r="E448" s="310"/>
      <c r="F448" s="48">
        <f t="shared" si="17"/>
        <v>-3017537</v>
      </c>
      <c r="G448" s="400" t="s">
        <v>9568</v>
      </c>
      <c r="I448" s="376">
        <f>EOMONTH(A445,0)</f>
        <v>44804</v>
      </c>
    </row>
    <row r="449" spans="1:8" x14ac:dyDescent="0.25">
      <c r="A449" s="446">
        <v>44810</v>
      </c>
      <c r="B449" s="394"/>
      <c r="C449" s="294" t="s">
        <v>9666</v>
      </c>
      <c r="D449" s="304">
        <v>5650</v>
      </c>
      <c r="E449" s="306"/>
      <c r="F449" s="48">
        <f t="shared" si="13"/>
        <v>-3023187</v>
      </c>
      <c r="G449" s="400" t="s">
        <v>9568</v>
      </c>
    </row>
    <row r="450" spans="1:8" x14ac:dyDescent="0.25">
      <c r="A450" s="446">
        <v>44810</v>
      </c>
      <c r="B450" s="394"/>
      <c r="C450" s="294" t="s">
        <v>9669</v>
      </c>
      <c r="D450" s="307">
        <v>830000</v>
      </c>
      <c r="E450" s="306"/>
      <c r="F450" s="48">
        <f t="shared" si="13"/>
        <v>-3853187</v>
      </c>
      <c r="G450" s="400" t="s">
        <v>9568</v>
      </c>
    </row>
    <row r="451" spans="1:8" x14ac:dyDescent="0.25">
      <c r="A451" s="446">
        <v>44811</v>
      </c>
      <c r="B451" s="394"/>
      <c r="C451" s="294" t="s">
        <v>9676</v>
      </c>
      <c r="D451" s="304"/>
      <c r="E451" s="306">
        <v>485000</v>
      </c>
      <c r="F451" s="48">
        <f t="shared" si="13"/>
        <v>-3368187</v>
      </c>
      <c r="G451" s="400" t="s">
        <v>9568</v>
      </c>
    </row>
    <row r="452" spans="1:8" x14ac:dyDescent="0.25">
      <c r="A452" s="446">
        <v>44811</v>
      </c>
      <c r="B452" s="394"/>
      <c r="C452" s="294" t="s">
        <v>9676</v>
      </c>
      <c r="D452" s="304"/>
      <c r="E452" s="306">
        <v>300000</v>
      </c>
      <c r="F452" s="48">
        <f t="shared" si="13"/>
        <v>-3068187</v>
      </c>
      <c r="G452" s="400" t="s">
        <v>9568</v>
      </c>
    </row>
    <row r="453" spans="1:8" x14ac:dyDescent="0.25">
      <c r="A453" s="446">
        <v>44811</v>
      </c>
      <c r="B453" s="394"/>
      <c r="C453" s="294" t="s">
        <v>9678</v>
      </c>
      <c r="D453" s="304">
        <v>10000</v>
      </c>
      <c r="E453" s="306"/>
      <c r="F453" s="48">
        <f t="shared" si="13"/>
        <v>-3078187</v>
      </c>
      <c r="G453" s="400" t="s">
        <v>9568</v>
      </c>
    </row>
    <row r="454" spans="1:8" x14ac:dyDescent="0.25">
      <c r="A454" s="446">
        <v>44811</v>
      </c>
      <c r="B454" s="394"/>
      <c r="C454" s="294" t="s">
        <v>9676</v>
      </c>
      <c r="D454" s="304"/>
      <c r="E454" s="306">
        <v>490000</v>
      </c>
      <c r="F454" s="48">
        <f t="shared" si="13"/>
        <v>-2588187</v>
      </c>
      <c r="G454" s="400" t="s">
        <v>9568</v>
      </c>
    </row>
    <row r="455" spans="1:8" x14ac:dyDescent="0.25">
      <c r="A455" s="446">
        <v>44812</v>
      </c>
      <c r="B455" s="394"/>
      <c r="C455" s="294" t="s">
        <v>9683</v>
      </c>
      <c r="D455" s="304">
        <v>4000</v>
      </c>
      <c r="E455" s="306"/>
      <c r="F455" s="48">
        <f t="shared" ref="F455" si="18">F454+E455-D455</f>
        <v>-2592187</v>
      </c>
      <c r="G455" s="400" t="s">
        <v>9568</v>
      </c>
    </row>
    <row r="456" spans="1:8" x14ac:dyDescent="0.25">
      <c r="A456" s="446">
        <v>44812</v>
      </c>
      <c r="B456" s="394"/>
      <c r="C456" s="294" t="s">
        <v>9684</v>
      </c>
      <c r="D456" s="304">
        <v>14500</v>
      </c>
      <c r="E456" s="306"/>
      <c r="F456" s="48">
        <f t="shared" si="13"/>
        <v>-2606687</v>
      </c>
      <c r="G456" s="400" t="s">
        <v>9568</v>
      </c>
    </row>
    <row r="457" spans="1:8" x14ac:dyDescent="0.25">
      <c r="A457" s="446">
        <v>44813</v>
      </c>
      <c r="B457" s="394"/>
      <c r="C457" s="294" t="s">
        <v>9669</v>
      </c>
      <c r="D457" s="307">
        <v>490000</v>
      </c>
      <c r="E457" s="306"/>
      <c r="F457" s="48">
        <f t="shared" si="13"/>
        <v>-3096687</v>
      </c>
      <c r="G457" s="400" t="s">
        <v>9568</v>
      </c>
    </row>
    <row r="458" spans="1:8" x14ac:dyDescent="0.25">
      <c r="A458" s="446">
        <v>44813</v>
      </c>
      <c r="B458" s="394"/>
      <c r="C458" s="294" t="s">
        <v>294</v>
      </c>
      <c r="D458" s="304"/>
      <c r="E458" s="306">
        <v>10000</v>
      </c>
      <c r="F458" s="48">
        <f t="shared" si="13"/>
        <v>-3086687</v>
      </c>
      <c r="G458" s="400" t="s">
        <v>9568</v>
      </c>
    </row>
    <row r="459" spans="1:8" x14ac:dyDescent="0.25">
      <c r="A459" s="446">
        <v>44814</v>
      </c>
      <c r="B459" s="394"/>
      <c r="C459" s="294" t="s">
        <v>9669</v>
      </c>
      <c r="D459" s="307">
        <v>200000</v>
      </c>
      <c r="E459" s="306"/>
      <c r="F459" s="48">
        <f t="shared" ref="F459:F523" si="19">F458+E459-D459</f>
        <v>-3286687</v>
      </c>
      <c r="G459" s="400" t="s">
        <v>9568</v>
      </c>
    </row>
    <row r="460" spans="1:8" x14ac:dyDescent="0.25">
      <c r="A460" s="446">
        <v>44814</v>
      </c>
      <c r="B460" s="394"/>
      <c r="C460" s="294" t="s">
        <v>9709</v>
      </c>
      <c r="D460" s="304">
        <v>12000</v>
      </c>
      <c r="E460" s="306"/>
      <c r="F460" s="48">
        <f t="shared" si="19"/>
        <v>-3298687</v>
      </c>
      <c r="G460" s="400" t="s">
        <v>9568</v>
      </c>
      <c r="H460">
        <v>12000</v>
      </c>
    </row>
    <row r="461" spans="1:8" x14ac:dyDescent="0.25">
      <c r="A461" s="446">
        <v>44814</v>
      </c>
      <c r="B461" s="394"/>
      <c r="C461" s="294" t="s">
        <v>8494</v>
      </c>
      <c r="D461" s="304">
        <v>100000</v>
      </c>
      <c r="E461" s="306"/>
      <c r="F461" s="48">
        <f t="shared" si="19"/>
        <v>-3398687</v>
      </c>
      <c r="G461" s="400" t="s">
        <v>9568</v>
      </c>
      <c r="H461">
        <v>100000</v>
      </c>
    </row>
    <row r="462" spans="1:8" x14ac:dyDescent="0.25">
      <c r="A462" s="446">
        <v>44814</v>
      </c>
      <c r="B462" s="394"/>
      <c r="C462" s="294" t="s">
        <v>9712</v>
      </c>
      <c r="D462" s="304">
        <v>7200</v>
      </c>
      <c r="E462" s="306"/>
      <c r="F462" s="48">
        <f t="shared" si="19"/>
        <v>-3405887</v>
      </c>
      <c r="G462" s="400" t="s">
        <v>9568</v>
      </c>
      <c r="H462">
        <v>7200</v>
      </c>
    </row>
    <row r="463" spans="1:8" x14ac:dyDescent="0.25">
      <c r="A463" s="446">
        <v>44821</v>
      </c>
      <c r="B463" s="394"/>
      <c r="C463" s="294" t="s">
        <v>9752</v>
      </c>
      <c r="D463" s="304">
        <v>36000</v>
      </c>
      <c r="E463" s="306"/>
      <c r="F463" s="48">
        <f t="shared" si="19"/>
        <v>-3441887</v>
      </c>
      <c r="G463" s="400" t="s">
        <v>9568</v>
      </c>
    </row>
    <row r="464" spans="1:8" x14ac:dyDescent="0.25">
      <c r="A464" s="446">
        <v>44823</v>
      </c>
      <c r="B464" s="394"/>
      <c r="C464" s="294" t="s">
        <v>8516</v>
      </c>
      <c r="D464" s="304">
        <v>130000</v>
      </c>
      <c r="E464" s="306"/>
      <c r="F464" s="48">
        <f t="shared" si="19"/>
        <v>-3571887</v>
      </c>
      <c r="G464" s="400" t="s">
        <v>9568</v>
      </c>
    </row>
    <row r="465" spans="1:7" x14ac:dyDescent="0.25">
      <c r="A465" s="446">
        <v>44825</v>
      </c>
      <c r="B465" s="394"/>
      <c r="C465" s="294" t="s">
        <v>9775</v>
      </c>
      <c r="D465" s="304">
        <v>21000</v>
      </c>
      <c r="E465" s="306"/>
      <c r="F465" s="48">
        <f t="shared" si="19"/>
        <v>-3592887</v>
      </c>
      <c r="G465" s="400" t="s">
        <v>9568</v>
      </c>
    </row>
    <row r="466" spans="1:7" x14ac:dyDescent="0.25">
      <c r="A466" s="446">
        <v>44831</v>
      </c>
      <c r="B466" s="394"/>
      <c r="C466" s="294" t="s">
        <v>9810</v>
      </c>
      <c r="D466" s="304">
        <v>2000</v>
      </c>
      <c r="E466" s="306"/>
      <c r="F466" s="48">
        <f t="shared" si="19"/>
        <v>-3594887</v>
      </c>
      <c r="G466" s="400" t="s">
        <v>9568</v>
      </c>
    </row>
    <row r="467" spans="1:7" x14ac:dyDescent="0.25">
      <c r="A467" s="446">
        <v>44832</v>
      </c>
      <c r="B467" s="394"/>
      <c r="C467" s="294" t="s">
        <v>9817</v>
      </c>
      <c r="D467" s="304">
        <v>23000</v>
      </c>
      <c r="E467" s="306"/>
      <c r="F467" s="48">
        <f t="shared" si="19"/>
        <v>-3617887</v>
      </c>
      <c r="G467" s="400" t="s">
        <v>9568</v>
      </c>
    </row>
    <row r="468" spans="1:7" ht="30" x14ac:dyDescent="0.25">
      <c r="A468" s="446">
        <v>44835</v>
      </c>
      <c r="B468" s="394"/>
      <c r="C468" s="305" t="s">
        <v>9828</v>
      </c>
      <c r="D468" s="304"/>
      <c r="E468" s="306">
        <v>835500</v>
      </c>
      <c r="F468" s="48">
        <f t="shared" si="19"/>
        <v>-2782387</v>
      </c>
      <c r="G468" s="400" t="s">
        <v>9568</v>
      </c>
    </row>
    <row r="469" spans="1:7" ht="60" x14ac:dyDescent="0.25">
      <c r="A469" s="446">
        <v>44835</v>
      </c>
      <c r="B469" s="394"/>
      <c r="C469" s="305" t="s">
        <v>9829</v>
      </c>
      <c r="D469" s="304"/>
      <c r="E469" s="306">
        <v>440000</v>
      </c>
      <c r="F469" s="48">
        <f t="shared" si="19"/>
        <v>-2342387</v>
      </c>
      <c r="G469" s="400" t="s">
        <v>9568</v>
      </c>
    </row>
    <row r="470" spans="1:7" ht="60" x14ac:dyDescent="0.25">
      <c r="A470" s="446">
        <v>44835</v>
      </c>
      <c r="B470" s="394"/>
      <c r="C470" s="305" t="s">
        <v>9854</v>
      </c>
      <c r="D470" s="304"/>
      <c r="E470" s="306">
        <v>991042</v>
      </c>
      <c r="F470" s="48">
        <f t="shared" si="19"/>
        <v>-1351345</v>
      </c>
      <c r="G470" s="400" t="s">
        <v>9568</v>
      </c>
    </row>
    <row r="471" spans="1:7" x14ac:dyDescent="0.25">
      <c r="A471" s="446">
        <v>44837</v>
      </c>
      <c r="B471" s="394"/>
      <c r="C471" s="294" t="s">
        <v>9839</v>
      </c>
      <c r="D471" s="304">
        <v>125000</v>
      </c>
      <c r="E471" s="306"/>
      <c r="F471" s="48">
        <f t="shared" si="19"/>
        <v>-1476345</v>
      </c>
      <c r="G471" s="400" t="s">
        <v>9568</v>
      </c>
    </row>
    <row r="472" spans="1:7" x14ac:dyDescent="0.25">
      <c r="A472" s="446">
        <v>44839</v>
      </c>
      <c r="B472" s="394"/>
      <c r="C472" s="294" t="s">
        <v>9855</v>
      </c>
      <c r="D472" s="304">
        <v>500000</v>
      </c>
      <c r="E472" s="306"/>
      <c r="F472" s="48">
        <f t="shared" si="19"/>
        <v>-1976345</v>
      </c>
      <c r="G472" s="400" t="s">
        <v>9568</v>
      </c>
    </row>
    <row r="473" spans="1:7" x14ac:dyDescent="0.25">
      <c r="A473" s="446">
        <v>44840</v>
      </c>
      <c r="B473" s="394"/>
      <c r="C473" s="294" t="s">
        <v>9848</v>
      </c>
      <c r="D473" s="304">
        <v>10000</v>
      </c>
      <c r="E473" s="306"/>
      <c r="F473" s="48">
        <f t="shared" si="19"/>
        <v>-1986345</v>
      </c>
      <c r="G473" s="400" t="s">
        <v>9568</v>
      </c>
    </row>
    <row r="474" spans="1:7" x14ac:dyDescent="0.25">
      <c r="A474" s="446">
        <v>44840</v>
      </c>
      <c r="B474" s="394"/>
      <c r="C474" s="308" t="s">
        <v>9894</v>
      </c>
      <c r="D474" s="304">
        <v>70000</v>
      </c>
      <c r="E474" s="306"/>
      <c r="F474" s="48">
        <f t="shared" si="19"/>
        <v>-2056345</v>
      </c>
      <c r="G474" s="400" t="s">
        <v>9568</v>
      </c>
    </row>
    <row r="475" spans="1:7" x14ac:dyDescent="0.25">
      <c r="A475" s="446">
        <v>44846</v>
      </c>
      <c r="B475" s="394"/>
      <c r="C475" s="313" t="s">
        <v>9598</v>
      </c>
      <c r="D475" s="443">
        <v>50000</v>
      </c>
      <c r="E475" s="306"/>
      <c r="F475" s="48">
        <f t="shared" si="19"/>
        <v>-2106345</v>
      </c>
      <c r="G475" s="400" t="s">
        <v>9568</v>
      </c>
    </row>
    <row r="476" spans="1:7" x14ac:dyDescent="0.25">
      <c r="A476" s="446">
        <v>44847</v>
      </c>
      <c r="B476" s="394"/>
      <c r="C476" s="294" t="s">
        <v>9914</v>
      </c>
      <c r="D476" s="304">
        <v>300000</v>
      </c>
      <c r="E476" s="306"/>
      <c r="F476" s="48">
        <f t="shared" si="19"/>
        <v>-2406345</v>
      </c>
      <c r="G476" s="400" t="s">
        <v>9568</v>
      </c>
    </row>
    <row r="477" spans="1:7" x14ac:dyDescent="0.25">
      <c r="A477" s="446">
        <v>44848</v>
      </c>
      <c r="B477" s="394"/>
      <c r="C477" s="294" t="s">
        <v>9930</v>
      </c>
      <c r="D477" s="304"/>
      <c r="E477" s="306">
        <v>500000</v>
      </c>
      <c r="F477" s="48">
        <f t="shared" si="19"/>
        <v>-1906345</v>
      </c>
      <c r="G477" s="400" t="s">
        <v>9568</v>
      </c>
    </row>
    <row r="478" spans="1:7" x14ac:dyDescent="0.25">
      <c r="A478" s="446">
        <v>44858</v>
      </c>
      <c r="B478" s="394"/>
      <c r="C478" s="294" t="s">
        <v>9973</v>
      </c>
      <c r="D478" s="304"/>
      <c r="E478" s="306">
        <v>3500</v>
      </c>
      <c r="F478" s="48">
        <f t="shared" si="19"/>
        <v>-1902845</v>
      </c>
      <c r="G478" s="400" t="s">
        <v>9568</v>
      </c>
    </row>
    <row r="479" spans="1:7" x14ac:dyDescent="0.25">
      <c r="A479" s="446">
        <v>44859</v>
      </c>
      <c r="B479" s="394"/>
      <c r="C479" s="294" t="s">
        <v>9982</v>
      </c>
      <c r="D479" s="304">
        <v>80000</v>
      </c>
      <c r="E479" s="306"/>
      <c r="F479" s="48">
        <f t="shared" si="19"/>
        <v>-1982845</v>
      </c>
      <c r="G479" s="400" t="s">
        <v>9568</v>
      </c>
    </row>
    <row r="480" spans="1:7" x14ac:dyDescent="0.25">
      <c r="A480" s="446">
        <v>44859</v>
      </c>
      <c r="B480" s="394"/>
      <c r="C480" s="294" t="s">
        <v>9983</v>
      </c>
      <c r="D480" s="304">
        <v>100000</v>
      </c>
      <c r="E480" s="306"/>
      <c r="F480" s="48">
        <f t="shared" si="19"/>
        <v>-2082845</v>
      </c>
      <c r="G480" s="400" t="s">
        <v>9568</v>
      </c>
    </row>
    <row r="481" spans="1:11" x14ac:dyDescent="0.25">
      <c r="A481" s="446">
        <v>44861</v>
      </c>
      <c r="B481" s="394"/>
      <c r="C481" s="294" t="s">
        <v>9995</v>
      </c>
      <c r="D481" s="304"/>
      <c r="E481" s="306">
        <v>500000</v>
      </c>
      <c r="F481" s="48">
        <f t="shared" si="19"/>
        <v>-1582845</v>
      </c>
      <c r="G481" s="400" t="s">
        <v>9568</v>
      </c>
    </row>
    <row r="482" spans="1:11" x14ac:dyDescent="0.25">
      <c r="A482" s="446">
        <v>44861</v>
      </c>
      <c r="B482" s="394"/>
      <c r="C482" s="294" t="s">
        <v>9999</v>
      </c>
      <c r="D482" s="304">
        <v>40000</v>
      </c>
      <c r="E482" s="306"/>
      <c r="F482" s="48">
        <f t="shared" si="19"/>
        <v>-1622845</v>
      </c>
      <c r="G482" s="400" t="s">
        <v>9568</v>
      </c>
    </row>
    <row r="483" spans="1:11" x14ac:dyDescent="0.25">
      <c r="A483" s="446">
        <v>44866</v>
      </c>
      <c r="B483" s="394"/>
      <c r="C483" s="294" t="s">
        <v>10053</v>
      </c>
      <c r="D483" s="304">
        <v>20500</v>
      </c>
      <c r="E483" s="306"/>
      <c r="F483" s="48">
        <f t="shared" si="19"/>
        <v>-1643345</v>
      </c>
      <c r="G483" s="400" t="s">
        <v>9568</v>
      </c>
    </row>
    <row r="484" spans="1:11" x14ac:dyDescent="0.25">
      <c r="A484" s="446">
        <v>44866</v>
      </c>
      <c r="B484" s="394"/>
      <c r="C484" s="294" t="s">
        <v>10041</v>
      </c>
      <c r="D484" s="304">
        <v>45000</v>
      </c>
      <c r="E484" s="306"/>
      <c r="F484" s="48">
        <f t="shared" si="19"/>
        <v>-1688345</v>
      </c>
      <c r="G484" s="400" t="s">
        <v>9568</v>
      </c>
    </row>
    <row r="485" spans="1:11" x14ac:dyDescent="0.25">
      <c r="A485" s="446">
        <v>44867</v>
      </c>
      <c r="B485" s="394"/>
      <c r="C485" s="294" t="s">
        <v>10050</v>
      </c>
      <c r="D485" s="304"/>
      <c r="E485" s="306">
        <v>495000</v>
      </c>
      <c r="F485" s="48">
        <f t="shared" si="19"/>
        <v>-1193345</v>
      </c>
      <c r="G485" s="400" t="s">
        <v>9568</v>
      </c>
    </row>
    <row r="486" spans="1:11" x14ac:dyDescent="0.25">
      <c r="A486" s="446">
        <v>44867</v>
      </c>
      <c r="B486" s="394"/>
      <c r="C486" s="294" t="s">
        <v>10051</v>
      </c>
      <c r="D486" s="304"/>
      <c r="E486" s="306">
        <v>300000</v>
      </c>
      <c r="F486" s="48">
        <f t="shared" si="19"/>
        <v>-893345</v>
      </c>
      <c r="G486" s="400" t="s">
        <v>9568</v>
      </c>
    </row>
    <row r="487" spans="1:11" x14ac:dyDescent="0.25">
      <c r="A487" s="446">
        <v>44869</v>
      </c>
      <c r="B487" s="394"/>
      <c r="C487" s="308" t="s">
        <v>10061</v>
      </c>
      <c r="D487" s="304">
        <v>70000</v>
      </c>
      <c r="E487" s="306"/>
      <c r="F487" s="48">
        <f t="shared" si="19"/>
        <v>-963345</v>
      </c>
      <c r="G487" s="400" t="s">
        <v>9568</v>
      </c>
    </row>
    <row r="488" spans="1:11" s="357" customFormat="1" x14ac:dyDescent="0.25">
      <c r="A488" s="446">
        <v>44869</v>
      </c>
      <c r="B488" s="460" t="s">
        <v>10181</v>
      </c>
      <c r="C488" s="313" t="s">
        <v>10067</v>
      </c>
      <c r="D488" s="306">
        <v>28000</v>
      </c>
      <c r="E488" s="306"/>
      <c r="F488" s="48">
        <f t="shared" si="19"/>
        <v>-991345</v>
      </c>
      <c r="G488" s="400" t="s">
        <v>9568</v>
      </c>
      <c r="K488" s="379"/>
    </row>
    <row r="489" spans="1:11" x14ac:dyDescent="0.25">
      <c r="A489" s="446">
        <v>44872</v>
      </c>
      <c r="B489" s="394" t="s">
        <v>9863</v>
      </c>
      <c r="C489" s="294" t="s">
        <v>10085</v>
      </c>
      <c r="D489" s="304">
        <v>100000</v>
      </c>
      <c r="E489" s="306"/>
      <c r="F489" s="48">
        <f t="shared" si="19"/>
        <v>-1091345</v>
      </c>
      <c r="G489" s="400" t="s">
        <v>9568</v>
      </c>
    </row>
    <row r="490" spans="1:11" x14ac:dyDescent="0.25">
      <c r="A490" s="446">
        <v>44873</v>
      </c>
      <c r="B490" s="394" t="s">
        <v>9552</v>
      </c>
      <c r="C490" s="294" t="s">
        <v>10087</v>
      </c>
      <c r="D490" s="304">
        <v>400000</v>
      </c>
      <c r="E490" s="306"/>
      <c r="F490" s="48">
        <f t="shared" si="19"/>
        <v>-1491345</v>
      </c>
      <c r="G490" s="400" t="s">
        <v>9568</v>
      </c>
    </row>
    <row r="491" spans="1:11" x14ac:dyDescent="0.25">
      <c r="A491" s="446">
        <v>44875</v>
      </c>
      <c r="B491" s="460" t="s">
        <v>9863</v>
      </c>
      <c r="C491" s="308" t="s">
        <v>10102</v>
      </c>
      <c r="D491" s="306">
        <v>95000</v>
      </c>
      <c r="E491" s="306"/>
      <c r="F491" s="48">
        <f t="shared" si="19"/>
        <v>-1586345</v>
      </c>
      <c r="G491" s="400" t="s">
        <v>9568</v>
      </c>
    </row>
    <row r="492" spans="1:11" x14ac:dyDescent="0.25">
      <c r="A492" s="446">
        <v>44875</v>
      </c>
      <c r="B492" s="460" t="s">
        <v>10180</v>
      </c>
      <c r="C492" s="44" t="s">
        <v>10104</v>
      </c>
      <c r="D492" s="306"/>
      <c r="E492" s="306">
        <v>100000</v>
      </c>
      <c r="F492" s="48">
        <f t="shared" si="19"/>
        <v>-1486345</v>
      </c>
      <c r="G492" s="400" t="s">
        <v>9568</v>
      </c>
    </row>
    <row r="493" spans="1:11" x14ac:dyDescent="0.25">
      <c r="A493" s="446">
        <v>44876</v>
      </c>
      <c r="B493" s="460" t="s">
        <v>9768</v>
      </c>
      <c r="C493" s="44" t="s">
        <v>10106</v>
      </c>
      <c r="D493" s="306">
        <v>80000</v>
      </c>
      <c r="E493" s="306"/>
      <c r="F493" s="48">
        <f t="shared" si="19"/>
        <v>-1566345</v>
      </c>
      <c r="G493" s="400" t="s">
        <v>9568</v>
      </c>
    </row>
    <row r="494" spans="1:11" x14ac:dyDescent="0.25">
      <c r="A494" s="446">
        <v>44879</v>
      </c>
      <c r="B494" s="460" t="s">
        <v>10112</v>
      </c>
      <c r="C494" s="308" t="s">
        <v>10107</v>
      </c>
      <c r="D494" s="306">
        <v>7600</v>
      </c>
      <c r="E494" s="306"/>
      <c r="F494" s="48">
        <f t="shared" si="19"/>
        <v>-1573945</v>
      </c>
      <c r="G494" s="400" t="s">
        <v>9568</v>
      </c>
    </row>
    <row r="495" spans="1:11" x14ac:dyDescent="0.25">
      <c r="A495" s="446">
        <v>44879</v>
      </c>
      <c r="B495" s="460" t="s">
        <v>9552</v>
      </c>
      <c r="C495" s="308" t="s">
        <v>10108</v>
      </c>
      <c r="D495" s="306">
        <v>10000</v>
      </c>
      <c r="E495" s="306"/>
      <c r="F495" s="48">
        <f t="shared" si="19"/>
        <v>-1583945</v>
      </c>
      <c r="G495" s="400" t="s">
        <v>9568</v>
      </c>
    </row>
    <row r="496" spans="1:11" x14ac:dyDescent="0.25">
      <c r="A496" s="446">
        <v>44879</v>
      </c>
      <c r="B496" s="460" t="s">
        <v>10112</v>
      </c>
      <c r="C496" s="308" t="s">
        <v>10114</v>
      </c>
      <c r="D496" s="306">
        <v>1200</v>
      </c>
      <c r="E496" s="306"/>
      <c r="F496" s="48">
        <f t="shared" si="19"/>
        <v>-1585145</v>
      </c>
      <c r="G496" s="400" t="s">
        <v>9568</v>
      </c>
    </row>
    <row r="497" spans="1:11" x14ac:dyDescent="0.25">
      <c r="A497" s="446">
        <v>44882</v>
      </c>
      <c r="B497" s="460" t="s">
        <v>9552</v>
      </c>
      <c r="C497" s="308" t="s">
        <v>10135</v>
      </c>
      <c r="D497" s="306">
        <v>20000</v>
      </c>
      <c r="E497" s="306"/>
      <c r="F497" s="48">
        <f t="shared" si="19"/>
        <v>-1605145</v>
      </c>
      <c r="G497" s="400" t="s">
        <v>9568</v>
      </c>
    </row>
    <row r="498" spans="1:11" x14ac:dyDescent="0.25">
      <c r="A498" s="446">
        <v>44883</v>
      </c>
      <c r="B498" s="460" t="s">
        <v>9552</v>
      </c>
      <c r="C498" s="308" t="s">
        <v>10135</v>
      </c>
      <c r="D498" s="306">
        <v>10000</v>
      </c>
      <c r="E498" s="306"/>
      <c r="F498" s="48">
        <f t="shared" si="19"/>
        <v>-1615145</v>
      </c>
      <c r="G498" s="400" t="s">
        <v>9568</v>
      </c>
    </row>
    <row r="499" spans="1:11" x14ac:dyDescent="0.25">
      <c r="A499" s="461">
        <v>44883</v>
      </c>
      <c r="B499" s="462" t="s">
        <v>10179</v>
      </c>
      <c r="C499" s="463" t="s">
        <v>10155</v>
      </c>
      <c r="D499" s="464"/>
      <c r="E499" s="464">
        <v>1000000</v>
      </c>
      <c r="F499" s="48">
        <f t="shared" si="19"/>
        <v>-615145</v>
      </c>
      <c r="G499" s="400" t="s">
        <v>9568</v>
      </c>
      <c r="I499" s="277"/>
      <c r="J499" s="277"/>
    </row>
    <row r="500" spans="1:11" x14ac:dyDescent="0.25">
      <c r="A500" s="446">
        <v>44888</v>
      </c>
      <c r="B500" s="460" t="s">
        <v>9768</v>
      </c>
      <c r="C500" s="313" t="s">
        <v>10176</v>
      </c>
      <c r="D500" s="306">
        <v>200000</v>
      </c>
      <c r="E500" s="306"/>
      <c r="F500" s="48">
        <f t="shared" si="19"/>
        <v>-815145</v>
      </c>
      <c r="G500" s="400" t="s">
        <v>9568</v>
      </c>
    </row>
    <row r="501" spans="1:11" x14ac:dyDescent="0.25">
      <c r="A501" s="446">
        <v>44888</v>
      </c>
      <c r="B501" s="460" t="s">
        <v>10112</v>
      </c>
      <c r="C501" s="308" t="s">
        <v>10183</v>
      </c>
      <c r="D501" s="306">
        <v>1000</v>
      </c>
      <c r="E501" s="306"/>
      <c r="F501" s="48">
        <f t="shared" si="19"/>
        <v>-816145</v>
      </c>
      <c r="G501" s="400" t="s">
        <v>9568</v>
      </c>
    </row>
    <row r="502" spans="1:11" x14ac:dyDescent="0.25">
      <c r="A502" s="461">
        <v>44890</v>
      </c>
      <c r="B502" s="462" t="s">
        <v>10179</v>
      </c>
      <c r="C502" s="463" t="s">
        <v>10155</v>
      </c>
      <c r="D502" s="464"/>
      <c r="E502" s="464">
        <v>500000</v>
      </c>
      <c r="F502" s="48">
        <f t="shared" si="19"/>
        <v>-316145</v>
      </c>
      <c r="G502" s="400" t="s">
        <v>9568</v>
      </c>
    </row>
    <row r="503" spans="1:11" x14ac:dyDescent="0.25">
      <c r="A503" s="446">
        <v>44893</v>
      </c>
      <c r="B503" s="460" t="s">
        <v>9768</v>
      </c>
      <c r="C503" s="308" t="s">
        <v>10205</v>
      </c>
      <c r="D503" s="306">
        <v>10000</v>
      </c>
      <c r="E503" s="306"/>
      <c r="F503" s="48">
        <f t="shared" si="19"/>
        <v>-326145</v>
      </c>
      <c r="G503" s="400" t="s">
        <v>9568</v>
      </c>
    </row>
    <row r="504" spans="1:11" x14ac:dyDescent="0.25">
      <c r="A504" s="446">
        <v>44895</v>
      </c>
      <c r="B504" s="460" t="s">
        <v>10215</v>
      </c>
      <c r="C504" s="313" t="s">
        <v>10216</v>
      </c>
      <c r="D504" s="306">
        <v>100000</v>
      </c>
      <c r="E504" s="306"/>
      <c r="F504" s="48">
        <f t="shared" si="19"/>
        <v>-426145</v>
      </c>
      <c r="G504" s="400" t="s">
        <v>9568</v>
      </c>
      <c r="H504">
        <v>2500000</v>
      </c>
    </row>
    <row r="505" spans="1:11" x14ac:dyDescent="0.25">
      <c r="A505" s="446">
        <v>44895</v>
      </c>
      <c r="B505" s="460" t="s">
        <v>10112</v>
      </c>
      <c r="C505" s="313" t="s">
        <v>10356</v>
      </c>
      <c r="D505" s="306">
        <v>20000</v>
      </c>
      <c r="E505" s="306"/>
      <c r="F505" s="48">
        <f t="shared" si="19"/>
        <v>-446145</v>
      </c>
      <c r="G505" s="400" t="s">
        <v>9568</v>
      </c>
      <c r="H505">
        <f>H504*4%</f>
        <v>100000</v>
      </c>
    </row>
    <row r="506" spans="1:11" x14ac:dyDescent="0.25">
      <c r="A506" s="446">
        <v>44897</v>
      </c>
      <c r="B506" s="460" t="s">
        <v>10230</v>
      </c>
      <c r="C506" s="313" t="s">
        <v>10231</v>
      </c>
      <c r="D506" s="306">
        <v>200000</v>
      </c>
      <c r="E506" s="306"/>
      <c r="F506" s="48">
        <f t="shared" si="19"/>
        <v>-646145</v>
      </c>
      <c r="G506" s="400" t="s">
        <v>9568</v>
      </c>
    </row>
    <row r="507" spans="1:11" s="357" customFormat="1" x14ac:dyDescent="0.25">
      <c r="A507" s="446">
        <v>44901</v>
      </c>
      <c r="B507" s="460" t="s">
        <v>10291</v>
      </c>
      <c r="C507" s="308" t="s">
        <v>10270</v>
      </c>
      <c r="D507" s="306">
        <v>25000</v>
      </c>
      <c r="E507" s="306"/>
      <c r="F507" s="48">
        <f t="shared" si="19"/>
        <v>-671145</v>
      </c>
      <c r="G507" s="400" t="s">
        <v>9568</v>
      </c>
      <c r="K507" s="379"/>
    </row>
    <row r="508" spans="1:11" s="357" customFormat="1" x14ac:dyDescent="0.25">
      <c r="A508" s="446">
        <v>44904</v>
      </c>
      <c r="B508" s="460" t="s">
        <v>9925</v>
      </c>
      <c r="C508" s="313" t="s">
        <v>10285</v>
      </c>
      <c r="D508" s="306">
        <v>6000</v>
      </c>
      <c r="E508" s="306"/>
      <c r="F508" s="48">
        <f t="shared" si="19"/>
        <v>-677145</v>
      </c>
      <c r="G508" s="400" t="s">
        <v>9568</v>
      </c>
      <c r="K508" s="379"/>
    </row>
    <row r="509" spans="1:11" x14ac:dyDescent="0.25">
      <c r="A509" s="446">
        <v>44904</v>
      </c>
      <c r="B509" s="460"/>
      <c r="C509" s="308" t="s">
        <v>10287</v>
      </c>
      <c r="D509" s="306">
        <v>80000</v>
      </c>
      <c r="E509" s="306"/>
      <c r="F509" s="48">
        <f t="shared" si="19"/>
        <v>-757145</v>
      </c>
      <c r="G509" s="400" t="s">
        <v>9568</v>
      </c>
    </row>
    <row r="510" spans="1:11" x14ac:dyDescent="0.25">
      <c r="A510" s="446">
        <v>44907</v>
      </c>
      <c r="B510" s="460" t="s">
        <v>9863</v>
      </c>
      <c r="C510" s="313" t="s">
        <v>10290</v>
      </c>
      <c r="D510" s="306">
        <v>46800</v>
      </c>
      <c r="E510" s="306"/>
      <c r="F510" s="48">
        <f t="shared" si="19"/>
        <v>-803945</v>
      </c>
      <c r="G510" s="400" t="s">
        <v>9568</v>
      </c>
    </row>
    <row r="511" spans="1:11" x14ac:dyDescent="0.25">
      <c r="A511" s="446">
        <v>44911</v>
      </c>
      <c r="B511" s="460" t="s">
        <v>10112</v>
      </c>
      <c r="C511" s="313" t="s">
        <v>10356</v>
      </c>
      <c r="D511" s="306">
        <v>20000</v>
      </c>
      <c r="E511" s="306"/>
      <c r="F511" s="48">
        <f t="shared" si="19"/>
        <v>-823945</v>
      </c>
      <c r="G511" s="400" t="s">
        <v>9568</v>
      </c>
    </row>
    <row r="512" spans="1:11" x14ac:dyDescent="0.25">
      <c r="A512" s="446">
        <v>44914</v>
      </c>
      <c r="B512" s="460" t="s">
        <v>1049</v>
      </c>
      <c r="C512" s="308" t="s">
        <v>294</v>
      </c>
      <c r="D512" s="306"/>
      <c r="E512" s="306">
        <v>15000</v>
      </c>
      <c r="F512" s="48">
        <f t="shared" si="19"/>
        <v>-808945</v>
      </c>
      <c r="G512" s="400" t="s">
        <v>9568</v>
      </c>
    </row>
    <row r="513" spans="1:7" x14ac:dyDescent="0.25">
      <c r="A513" s="446">
        <v>44918</v>
      </c>
      <c r="B513" s="394"/>
      <c r="C513" s="313" t="s">
        <v>10356</v>
      </c>
      <c r="D513" s="306">
        <v>35000</v>
      </c>
      <c r="E513" s="306"/>
      <c r="F513" s="48">
        <f t="shared" si="19"/>
        <v>-843945</v>
      </c>
      <c r="G513" s="400" t="s">
        <v>9568</v>
      </c>
    </row>
    <row r="514" spans="1:7" x14ac:dyDescent="0.25">
      <c r="A514" s="446">
        <v>44921</v>
      </c>
      <c r="B514" s="394" t="s">
        <v>9768</v>
      </c>
      <c r="C514" s="294" t="s">
        <v>10372</v>
      </c>
      <c r="D514" s="304">
        <v>15000</v>
      </c>
      <c r="E514" s="306"/>
      <c r="F514" s="48">
        <f t="shared" si="19"/>
        <v>-858945</v>
      </c>
      <c r="G514" s="400" t="s">
        <v>9568</v>
      </c>
    </row>
    <row r="515" spans="1:7" x14ac:dyDescent="0.25">
      <c r="A515" s="446">
        <v>44921</v>
      </c>
      <c r="B515" s="394" t="s">
        <v>10112</v>
      </c>
      <c r="C515" s="294" t="s">
        <v>10373</v>
      </c>
      <c r="D515" s="304">
        <v>35000</v>
      </c>
      <c r="E515" s="306"/>
      <c r="F515" s="48">
        <f t="shared" si="19"/>
        <v>-893945</v>
      </c>
      <c r="G515" s="400" t="s">
        <v>9568</v>
      </c>
    </row>
    <row r="516" spans="1:7" x14ac:dyDescent="0.25">
      <c r="A516" s="446">
        <v>44921</v>
      </c>
      <c r="B516" s="394" t="s">
        <v>9768</v>
      </c>
      <c r="C516" s="294" t="s">
        <v>10374</v>
      </c>
      <c r="D516" s="304">
        <v>5000</v>
      </c>
      <c r="E516" s="306"/>
      <c r="F516" s="48">
        <f t="shared" si="19"/>
        <v>-898945</v>
      </c>
      <c r="G516" s="400" t="s">
        <v>9568</v>
      </c>
    </row>
    <row r="517" spans="1:7" x14ac:dyDescent="0.25">
      <c r="A517" s="446">
        <v>44924</v>
      </c>
      <c r="B517" s="394" t="s">
        <v>118</v>
      </c>
      <c r="C517" s="315" t="s">
        <v>10398</v>
      </c>
      <c r="D517" s="312">
        <v>5000</v>
      </c>
      <c r="E517" s="306"/>
      <c r="F517" s="48">
        <f t="shared" si="19"/>
        <v>-903945</v>
      </c>
      <c r="G517" s="400" t="s">
        <v>9568</v>
      </c>
    </row>
    <row r="518" spans="1:7" x14ac:dyDescent="0.25">
      <c r="A518" s="446">
        <v>44924</v>
      </c>
      <c r="B518" s="394" t="s">
        <v>118</v>
      </c>
      <c r="C518" s="294" t="s">
        <v>10411</v>
      </c>
      <c r="D518" s="304">
        <v>4000</v>
      </c>
      <c r="E518" s="306"/>
      <c r="F518" s="48">
        <f t="shared" si="19"/>
        <v>-907945</v>
      </c>
      <c r="G518" s="400" t="s">
        <v>9568</v>
      </c>
    </row>
    <row r="519" spans="1:7" x14ac:dyDescent="0.25">
      <c r="A519" s="446">
        <v>44926</v>
      </c>
      <c r="B519" s="394" t="s">
        <v>9768</v>
      </c>
      <c r="C519" s="294" t="s">
        <v>10413</v>
      </c>
      <c r="D519" s="304">
        <v>10000</v>
      </c>
      <c r="E519" s="306"/>
      <c r="F519" s="48">
        <f t="shared" si="19"/>
        <v>-917945</v>
      </c>
      <c r="G519" s="400" t="s">
        <v>9568</v>
      </c>
    </row>
    <row r="520" spans="1:7" x14ac:dyDescent="0.25">
      <c r="A520" s="446">
        <v>44932</v>
      </c>
      <c r="B520" s="460" t="s">
        <v>1049</v>
      </c>
      <c r="C520" s="308" t="s">
        <v>294</v>
      </c>
      <c r="D520" s="306"/>
      <c r="E520" s="306">
        <v>15000</v>
      </c>
      <c r="F520" s="48">
        <f t="shared" si="19"/>
        <v>-902945</v>
      </c>
      <c r="G520" s="400" t="s">
        <v>9568</v>
      </c>
    </row>
    <row r="521" spans="1:7" x14ac:dyDescent="0.25">
      <c r="A521" s="446">
        <v>44933</v>
      </c>
      <c r="B521" s="394" t="s">
        <v>10291</v>
      </c>
      <c r="C521" s="294" t="s">
        <v>10422</v>
      </c>
      <c r="D521" s="304">
        <v>30000</v>
      </c>
      <c r="E521" s="306"/>
      <c r="F521" s="48">
        <f t="shared" si="19"/>
        <v>-932945</v>
      </c>
      <c r="G521" s="400" t="s">
        <v>9568</v>
      </c>
    </row>
    <row r="522" spans="1:7" x14ac:dyDescent="0.25">
      <c r="A522" s="446">
        <v>44937</v>
      </c>
      <c r="B522" s="460"/>
      <c r="C522" s="308" t="s">
        <v>10449</v>
      </c>
      <c r="D522" s="306">
        <v>80000</v>
      </c>
      <c r="E522" s="306"/>
      <c r="F522" s="48">
        <f t="shared" si="19"/>
        <v>-1012945</v>
      </c>
      <c r="G522" s="400" t="s">
        <v>9568</v>
      </c>
    </row>
    <row r="523" spans="1:7" x14ac:dyDescent="0.25">
      <c r="A523" s="446">
        <v>44937</v>
      </c>
      <c r="B523" s="394"/>
      <c r="C523" s="294" t="s">
        <v>10454</v>
      </c>
      <c r="D523" s="304"/>
      <c r="E523" s="306">
        <v>30000</v>
      </c>
      <c r="F523" s="48">
        <f t="shared" si="19"/>
        <v>-982945</v>
      </c>
      <c r="G523" s="400" t="s">
        <v>9568</v>
      </c>
    </row>
    <row r="524" spans="1:7" x14ac:dyDescent="0.25">
      <c r="A524" s="446">
        <v>44939</v>
      </c>
      <c r="B524" s="394"/>
      <c r="C524" s="294" t="s">
        <v>10472</v>
      </c>
      <c r="D524" s="304"/>
      <c r="E524" s="306">
        <v>5000</v>
      </c>
      <c r="F524" s="48">
        <f t="shared" ref="F524:F587" si="20">F523+E524-D524</f>
        <v>-977945</v>
      </c>
      <c r="G524" s="400" t="s">
        <v>9568</v>
      </c>
    </row>
    <row r="525" spans="1:7" x14ac:dyDescent="0.25">
      <c r="A525" s="446">
        <v>44940</v>
      </c>
      <c r="B525" s="460" t="s">
        <v>9552</v>
      </c>
      <c r="C525" s="308" t="s">
        <v>10135</v>
      </c>
      <c r="D525" s="306">
        <v>300000</v>
      </c>
      <c r="E525" s="306"/>
      <c r="F525" s="48">
        <f t="shared" si="20"/>
        <v>-1277945</v>
      </c>
      <c r="G525" s="400" t="s">
        <v>9568</v>
      </c>
    </row>
    <row r="526" spans="1:7" x14ac:dyDescent="0.25">
      <c r="A526" s="446">
        <v>44942</v>
      </c>
      <c r="B526" s="394"/>
      <c r="C526" s="294" t="s">
        <v>10487</v>
      </c>
      <c r="D526" s="304">
        <v>1500</v>
      </c>
      <c r="E526" s="306"/>
      <c r="F526" s="48">
        <f t="shared" si="20"/>
        <v>-1279445</v>
      </c>
      <c r="G526" s="400" t="s">
        <v>9568</v>
      </c>
    </row>
    <row r="527" spans="1:7" x14ac:dyDescent="0.25">
      <c r="A527" s="446">
        <v>44942</v>
      </c>
      <c r="B527" s="460" t="s">
        <v>1049</v>
      </c>
      <c r="C527" s="315" t="s">
        <v>10489</v>
      </c>
      <c r="D527" s="312"/>
      <c r="E527" s="464">
        <v>500000</v>
      </c>
      <c r="F527" s="48">
        <f t="shared" si="20"/>
        <v>-779445</v>
      </c>
      <c r="G527" s="400" t="s">
        <v>9568</v>
      </c>
    </row>
    <row r="528" spans="1:7" x14ac:dyDescent="0.25">
      <c r="A528" s="446">
        <v>44942</v>
      </c>
      <c r="B528" s="394" t="s">
        <v>9768</v>
      </c>
      <c r="C528" s="294" t="s">
        <v>10497</v>
      </c>
      <c r="D528" s="304">
        <v>20000</v>
      </c>
      <c r="E528" s="306"/>
      <c r="F528" s="48">
        <f t="shared" si="20"/>
        <v>-799445</v>
      </c>
      <c r="G528" s="400" t="s">
        <v>9568</v>
      </c>
    </row>
    <row r="529" spans="1:7" x14ac:dyDescent="0.25">
      <c r="A529" s="446">
        <v>44946</v>
      </c>
      <c r="B529" s="460" t="s">
        <v>1049</v>
      </c>
      <c r="C529" s="308" t="s">
        <v>294</v>
      </c>
      <c r="D529" s="306"/>
      <c r="E529" s="306">
        <v>15000</v>
      </c>
      <c r="F529" s="48">
        <f t="shared" si="20"/>
        <v>-784445</v>
      </c>
      <c r="G529" s="400" t="s">
        <v>9568</v>
      </c>
    </row>
    <row r="530" spans="1:7" x14ac:dyDescent="0.25">
      <c r="A530" s="446">
        <v>44950</v>
      </c>
      <c r="B530" s="460" t="s">
        <v>1049</v>
      </c>
      <c r="C530" s="308" t="s">
        <v>294</v>
      </c>
      <c r="D530" s="304"/>
      <c r="E530" s="306">
        <v>6000</v>
      </c>
      <c r="F530" s="48">
        <f t="shared" si="20"/>
        <v>-778445</v>
      </c>
      <c r="G530" s="400" t="s">
        <v>9568</v>
      </c>
    </row>
    <row r="531" spans="1:7" x14ac:dyDescent="0.25">
      <c r="A531" s="446">
        <v>44951</v>
      </c>
      <c r="B531" s="394"/>
      <c r="C531" s="308" t="s">
        <v>10135</v>
      </c>
      <c r="D531" s="306">
        <v>20000</v>
      </c>
      <c r="E531" s="306"/>
      <c r="F531" s="48">
        <f t="shared" si="20"/>
        <v>-798445</v>
      </c>
      <c r="G531" s="400" t="s">
        <v>9568</v>
      </c>
    </row>
    <row r="532" spans="1:7" x14ac:dyDescent="0.25">
      <c r="A532" s="446">
        <v>44956</v>
      </c>
      <c r="B532" s="394"/>
      <c r="C532" s="315" t="s">
        <v>10543</v>
      </c>
      <c r="D532" s="312"/>
      <c r="E532" s="464">
        <v>500000</v>
      </c>
      <c r="F532" s="48">
        <f t="shared" si="20"/>
        <v>-298445</v>
      </c>
      <c r="G532" s="400" t="s">
        <v>9568</v>
      </c>
    </row>
    <row r="533" spans="1:7" x14ac:dyDescent="0.25">
      <c r="A533" s="446">
        <v>44961</v>
      </c>
      <c r="B533" s="460"/>
      <c r="C533" s="308" t="s">
        <v>10584</v>
      </c>
      <c r="D533" s="306">
        <v>80000</v>
      </c>
      <c r="E533" s="306"/>
      <c r="F533" s="48">
        <f t="shared" si="20"/>
        <v>-378445</v>
      </c>
      <c r="G533" s="400" t="s">
        <v>9568</v>
      </c>
    </row>
    <row r="534" spans="1:7" x14ac:dyDescent="0.25">
      <c r="A534" s="446">
        <v>44961</v>
      </c>
      <c r="B534" s="394"/>
      <c r="C534" s="294" t="s">
        <v>10587</v>
      </c>
      <c r="D534" s="304"/>
      <c r="E534" s="306">
        <v>7600</v>
      </c>
      <c r="F534" s="48">
        <f t="shared" si="20"/>
        <v>-370845</v>
      </c>
      <c r="G534" s="400" t="s">
        <v>9568</v>
      </c>
    </row>
    <row r="535" spans="1:7" x14ac:dyDescent="0.3">
      <c r="A535" s="446">
        <v>44963</v>
      </c>
      <c r="B535" s="394"/>
      <c r="C535" s="5" t="s">
        <v>10588</v>
      </c>
      <c r="D535" s="304"/>
      <c r="E535" s="306">
        <v>15000</v>
      </c>
      <c r="F535" s="48">
        <f t="shared" si="20"/>
        <v>-355845</v>
      </c>
      <c r="G535" s="400" t="s">
        <v>9568</v>
      </c>
    </row>
    <row r="536" spans="1:7" x14ac:dyDescent="0.25">
      <c r="A536" s="446">
        <v>44963</v>
      </c>
      <c r="B536" s="394"/>
      <c r="C536" s="294" t="s">
        <v>10589</v>
      </c>
      <c r="D536" s="304">
        <v>38974</v>
      </c>
      <c r="E536" s="306"/>
      <c r="F536" s="48">
        <f t="shared" si="20"/>
        <v>-394819</v>
      </c>
      <c r="G536" s="400" t="s">
        <v>9568</v>
      </c>
    </row>
    <row r="537" spans="1:7" x14ac:dyDescent="0.25">
      <c r="A537" s="446">
        <v>44966</v>
      </c>
      <c r="B537" s="460" t="s">
        <v>1049</v>
      </c>
      <c r="C537" s="308" t="s">
        <v>294</v>
      </c>
      <c r="D537" s="306"/>
      <c r="E537" s="306">
        <v>10000</v>
      </c>
      <c r="F537" s="48">
        <f t="shared" si="20"/>
        <v>-384819</v>
      </c>
      <c r="G537" s="400" t="s">
        <v>9568</v>
      </c>
    </row>
    <row r="538" spans="1:7" x14ac:dyDescent="0.25">
      <c r="A538" s="446">
        <v>44966</v>
      </c>
      <c r="B538" s="394" t="s">
        <v>10603</v>
      </c>
      <c r="C538" s="294" t="s">
        <v>10604</v>
      </c>
      <c r="D538" s="304">
        <v>100000</v>
      </c>
      <c r="E538" s="306"/>
      <c r="F538" s="48">
        <f t="shared" si="20"/>
        <v>-484819</v>
      </c>
      <c r="G538" s="400" t="s">
        <v>9568</v>
      </c>
    </row>
    <row r="539" spans="1:7" x14ac:dyDescent="0.25">
      <c r="A539" s="446">
        <v>44967</v>
      </c>
      <c r="B539" s="460" t="s">
        <v>1049</v>
      </c>
      <c r="C539" s="308" t="s">
        <v>294</v>
      </c>
      <c r="D539" s="306"/>
      <c r="E539" s="306">
        <v>10000</v>
      </c>
      <c r="F539" s="48">
        <f t="shared" si="20"/>
        <v>-474819</v>
      </c>
      <c r="G539" s="400" t="s">
        <v>9568</v>
      </c>
    </row>
    <row r="540" spans="1:7" x14ac:dyDescent="0.25">
      <c r="A540" s="446">
        <v>44967</v>
      </c>
      <c r="B540" s="394" t="s">
        <v>9876</v>
      </c>
      <c r="C540" s="294" t="s">
        <v>10609</v>
      </c>
      <c r="D540" s="304">
        <v>4000</v>
      </c>
      <c r="E540" s="306"/>
      <c r="F540" s="48">
        <f t="shared" si="20"/>
        <v>-478819</v>
      </c>
      <c r="G540" s="400" t="s">
        <v>9568</v>
      </c>
    </row>
    <row r="541" spans="1:7" x14ac:dyDescent="0.25">
      <c r="A541" s="446">
        <v>44968</v>
      </c>
      <c r="B541" s="460" t="s">
        <v>1049</v>
      </c>
      <c r="C541" s="308" t="s">
        <v>294</v>
      </c>
      <c r="D541" s="306"/>
      <c r="E541" s="306">
        <v>500</v>
      </c>
      <c r="F541" s="48">
        <f t="shared" si="20"/>
        <v>-478319</v>
      </c>
      <c r="G541" s="400" t="s">
        <v>9568</v>
      </c>
    </row>
    <row r="542" spans="1:7" x14ac:dyDescent="0.25">
      <c r="A542" s="446">
        <v>44970</v>
      </c>
      <c r="B542" s="394" t="s">
        <v>8573</v>
      </c>
      <c r="C542" s="308" t="s">
        <v>294</v>
      </c>
      <c r="D542" s="304">
        <v>55000</v>
      </c>
      <c r="E542" s="306"/>
      <c r="F542" s="48">
        <f t="shared" si="20"/>
        <v>-533319</v>
      </c>
      <c r="G542" s="400" t="s">
        <v>9568</v>
      </c>
    </row>
    <row r="543" spans="1:7" x14ac:dyDescent="0.25">
      <c r="A543" s="446">
        <v>44974</v>
      </c>
      <c r="B543" s="394" t="s">
        <v>9863</v>
      </c>
      <c r="C543" s="308" t="s">
        <v>10639</v>
      </c>
      <c r="D543" s="304">
        <v>125000</v>
      </c>
      <c r="E543" s="306"/>
      <c r="F543" s="48">
        <f t="shared" si="20"/>
        <v>-658319</v>
      </c>
      <c r="G543" s="400" t="s">
        <v>9568</v>
      </c>
    </row>
    <row r="544" spans="1:7" x14ac:dyDescent="0.25">
      <c r="A544" s="446">
        <v>44974</v>
      </c>
      <c r="B544" s="394" t="s">
        <v>2948</v>
      </c>
      <c r="C544" s="294" t="s">
        <v>10640</v>
      </c>
      <c r="D544" s="304">
        <v>45000</v>
      </c>
      <c r="E544" s="306"/>
      <c r="F544" s="48">
        <f t="shared" si="20"/>
        <v>-703319</v>
      </c>
      <c r="G544" s="400" t="s">
        <v>9568</v>
      </c>
    </row>
    <row r="545" spans="1:7" x14ac:dyDescent="0.25">
      <c r="A545" s="446">
        <v>44974</v>
      </c>
      <c r="B545" s="394" t="s">
        <v>9876</v>
      </c>
      <c r="C545" s="294" t="s">
        <v>10641</v>
      </c>
      <c r="D545" s="304">
        <v>100000</v>
      </c>
      <c r="E545" s="306"/>
      <c r="F545" s="48">
        <f t="shared" si="20"/>
        <v>-803319</v>
      </c>
      <c r="G545" s="400" t="s">
        <v>9568</v>
      </c>
    </row>
    <row r="546" spans="1:7" x14ac:dyDescent="0.25">
      <c r="A546" s="446">
        <v>44974</v>
      </c>
      <c r="B546" s="394" t="s">
        <v>9876</v>
      </c>
      <c r="C546" s="294" t="s">
        <v>10642</v>
      </c>
      <c r="D546" s="304">
        <v>250000</v>
      </c>
      <c r="E546" s="306"/>
      <c r="F546" s="48">
        <f t="shared" si="20"/>
        <v>-1053319</v>
      </c>
      <c r="G546" s="400" t="s">
        <v>9568</v>
      </c>
    </row>
    <row r="547" spans="1:7" x14ac:dyDescent="0.25">
      <c r="A547" s="446">
        <v>44978</v>
      </c>
      <c r="B547" s="394"/>
      <c r="C547" s="315" t="s">
        <v>10661</v>
      </c>
      <c r="D547" s="312"/>
      <c r="E547" s="464">
        <v>98000</v>
      </c>
      <c r="F547" s="48">
        <f t="shared" si="20"/>
        <v>-955319</v>
      </c>
      <c r="G547" s="400" t="s">
        <v>9568</v>
      </c>
    </row>
    <row r="548" spans="1:7" x14ac:dyDescent="0.25">
      <c r="A548" s="446">
        <v>44989</v>
      </c>
      <c r="B548" s="394" t="s">
        <v>10603</v>
      </c>
      <c r="C548" s="294" t="s">
        <v>10704</v>
      </c>
      <c r="D548" s="304">
        <v>66000</v>
      </c>
      <c r="E548" s="306"/>
      <c r="F548" s="48">
        <f t="shared" si="20"/>
        <v>-1021319</v>
      </c>
      <c r="G548" s="400" t="s">
        <v>9568</v>
      </c>
    </row>
    <row r="549" spans="1:7" x14ac:dyDescent="0.25">
      <c r="A549" s="446">
        <v>44992</v>
      </c>
      <c r="B549" s="394"/>
      <c r="C549" s="308" t="s">
        <v>294</v>
      </c>
      <c r="D549" s="306"/>
      <c r="E549" s="306">
        <v>1000</v>
      </c>
      <c r="F549" s="48">
        <f t="shared" si="20"/>
        <v>-1020319</v>
      </c>
      <c r="G549" s="400" t="s">
        <v>9568</v>
      </c>
    </row>
    <row r="550" spans="1:7" x14ac:dyDescent="0.25">
      <c r="A550" s="446">
        <v>44992</v>
      </c>
      <c r="B550" s="394" t="s">
        <v>10732</v>
      </c>
      <c r="C550" s="294" t="s">
        <v>10733</v>
      </c>
      <c r="D550" s="304">
        <v>26800</v>
      </c>
      <c r="E550" s="306"/>
      <c r="F550" s="48">
        <f t="shared" si="20"/>
        <v>-1047119</v>
      </c>
      <c r="G550" s="400" t="s">
        <v>9568</v>
      </c>
    </row>
    <row r="551" spans="1:7" x14ac:dyDescent="0.25">
      <c r="A551" s="446">
        <v>44992</v>
      </c>
      <c r="B551" s="394"/>
      <c r="C551" s="308" t="s">
        <v>10742</v>
      </c>
      <c r="D551" s="306">
        <v>80000</v>
      </c>
      <c r="E551" s="306"/>
      <c r="F551" s="48">
        <f t="shared" si="20"/>
        <v>-1127119</v>
      </c>
      <c r="G551" s="400" t="s">
        <v>9568</v>
      </c>
    </row>
    <row r="552" spans="1:7" x14ac:dyDescent="0.25">
      <c r="A552" s="446">
        <v>44998</v>
      </c>
      <c r="B552" s="394"/>
      <c r="C552" s="315" t="s">
        <v>10748</v>
      </c>
      <c r="D552" s="312"/>
      <c r="E552" s="464">
        <v>480000</v>
      </c>
      <c r="F552" s="48">
        <f t="shared" si="20"/>
        <v>-647119</v>
      </c>
      <c r="G552" s="400" t="s">
        <v>9568</v>
      </c>
    </row>
    <row r="553" spans="1:7" x14ac:dyDescent="0.25">
      <c r="A553" s="446">
        <v>45000</v>
      </c>
      <c r="B553" s="394"/>
      <c r="C553" s="294" t="s">
        <v>9914</v>
      </c>
      <c r="D553" s="304">
        <v>10000</v>
      </c>
      <c r="E553" s="306"/>
      <c r="F553" s="48">
        <f t="shared" si="20"/>
        <v>-657119</v>
      </c>
      <c r="G553" s="400" t="s">
        <v>9568</v>
      </c>
    </row>
    <row r="554" spans="1:7" x14ac:dyDescent="0.25">
      <c r="A554" s="446">
        <v>45001</v>
      </c>
      <c r="B554" s="394" t="s">
        <v>9876</v>
      </c>
      <c r="C554" s="294" t="s">
        <v>10761</v>
      </c>
      <c r="D554" s="304">
        <v>325000</v>
      </c>
      <c r="E554" s="306"/>
      <c r="F554" s="48">
        <f t="shared" si="20"/>
        <v>-982119</v>
      </c>
      <c r="G554" s="400" t="s">
        <v>9568</v>
      </c>
    </row>
    <row r="555" spans="1:7" x14ac:dyDescent="0.25">
      <c r="A555" s="446">
        <v>45001</v>
      </c>
      <c r="B555" s="394" t="s">
        <v>9876</v>
      </c>
      <c r="C555" s="294" t="s">
        <v>10762</v>
      </c>
      <c r="D555" s="304">
        <v>50000</v>
      </c>
      <c r="E555" s="306"/>
      <c r="F555" s="48">
        <f t="shared" si="20"/>
        <v>-1032119</v>
      </c>
      <c r="G555" s="400" t="s">
        <v>9568</v>
      </c>
    </row>
    <row r="556" spans="1:7" x14ac:dyDescent="0.25">
      <c r="A556" s="446">
        <v>45001</v>
      </c>
      <c r="B556" s="394"/>
      <c r="C556" s="294" t="s">
        <v>294</v>
      </c>
      <c r="D556" s="304"/>
      <c r="E556" s="306">
        <v>400000</v>
      </c>
      <c r="F556" s="48">
        <f t="shared" si="20"/>
        <v>-632119</v>
      </c>
      <c r="G556" s="400" t="s">
        <v>9568</v>
      </c>
    </row>
    <row r="557" spans="1:7" x14ac:dyDescent="0.25">
      <c r="A557" s="446">
        <v>45001</v>
      </c>
      <c r="B557" s="394" t="s">
        <v>156</v>
      </c>
      <c r="C557" s="294" t="s">
        <v>8479</v>
      </c>
      <c r="D557" s="304">
        <v>3000</v>
      </c>
      <c r="E557" s="306"/>
      <c r="F557" s="48">
        <f t="shared" si="20"/>
        <v>-635119</v>
      </c>
      <c r="G557" s="400" t="s">
        <v>9568</v>
      </c>
    </row>
    <row r="558" spans="1:7" x14ac:dyDescent="0.25">
      <c r="A558" s="446">
        <v>45010</v>
      </c>
      <c r="B558" s="394" t="s">
        <v>10603</v>
      </c>
      <c r="C558" s="294" t="s">
        <v>10879</v>
      </c>
      <c r="D558" s="304">
        <v>50000</v>
      </c>
      <c r="E558" s="306"/>
      <c r="F558" s="48">
        <f t="shared" si="20"/>
        <v>-685119</v>
      </c>
      <c r="G558" s="400" t="s">
        <v>9568</v>
      </c>
    </row>
    <row r="559" spans="1:7" x14ac:dyDescent="0.25">
      <c r="A559" s="446">
        <v>45015</v>
      </c>
      <c r="B559" s="394" t="s">
        <v>10603</v>
      </c>
      <c r="C559" s="294" t="s">
        <v>10883</v>
      </c>
      <c r="D559" s="304">
        <v>30000</v>
      </c>
      <c r="E559" s="306"/>
      <c r="F559" s="48">
        <f t="shared" si="20"/>
        <v>-715119</v>
      </c>
      <c r="G559" s="400" t="s">
        <v>9568</v>
      </c>
    </row>
    <row r="560" spans="1:7" x14ac:dyDescent="0.3">
      <c r="A560" s="446">
        <v>45017</v>
      </c>
      <c r="B560" s="394"/>
      <c r="C560" s="5" t="s">
        <v>10939</v>
      </c>
      <c r="D560" s="304"/>
      <c r="E560" s="306">
        <v>38500</v>
      </c>
      <c r="F560" s="48">
        <f t="shared" si="20"/>
        <v>-676619</v>
      </c>
      <c r="G560" s="400" t="s">
        <v>9568</v>
      </c>
    </row>
    <row r="561" spans="1:11" x14ac:dyDescent="0.25">
      <c r="A561" s="446">
        <v>45019</v>
      </c>
      <c r="B561" s="394"/>
      <c r="C561" s="308" t="s">
        <v>10906</v>
      </c>
      <c r="D561" s="306">
        <v>80000</v>
      </c>
      <c r="E561" s="306"/>
      <c r="F561" s="48">
        <f t="shared" si="20"/>
        <v>-756619</v>
      </c>
      <c r="G561" s="400" t="s">
        <v>9568</v>
      </c>
    </row>
    <row r="562" spans="1:11" x14ac:dyDescent="0.25">
      <c r="A562" s="446">
        <v>45028</v>
      </c>
      <c r="B562" s="394" t="s">
        <v>10603</v>
      </c>
      <c r="C562" s="294" t="s">
        <v>10951</v>
      </c>
      <c r="D562" s="304">
        <v>50000</v>
      </c>
      <c r="E562" s="306"/>
      <c r="F562" s="48">
        <f t="shared" si="20"/>
        <v>-806619</v>
      </c>
      <c r="G562" s="400" t="s">
        <v>9568</v>
      </c>
    </row>
    <row r="563" spans="1:11" x14ac:dyDescent="0.25">
      <c r="A563" s="446">
        <v>45029</v>
      </c>
      <c r="B563" s="394" t="s">
        <v>10958</v>
      </c>
      <c r="C563" s="294" t="s">
        <v>10609</v>
      </c>
      <c r="D563" s="304">
        <v>35000</v>
      </c>
      <c r="E563" s="306"/>
      <c r="F563" s="48">
        <f t="shared" si="20"/>
        <v>-841619</v>
      </c>
      <c r="G563" s="400" t="s">
        <v>9568</v>
      </c>
    </row>
    <row r="564" spans="1:11" x14ac:dyDescent="0.25">
      <c r="A564" s="446">
        <v>45029</v>
      </c>
      <c r="B564" s="394" t="s">
        <v>9876</v>
      </c>
      <c r="C564" s="294" t="s">
        <v>9982</v>
      </c>
      <c r="D564" s="304">
        <v>40000</v>
      </c>
      <c r="E564" s="306"/>
      <c r="F564" s="48">
        <f t="shared" si="20"/>
        <v>-881619</v>
      </c>
      <c r="G564" s="400" t="s">
        <v>9568</v>
      </c>
    </row>
    <row r="565" spans="1:11" x14ac:dyDescent="0.25">
      <c r="A565" s="446">
        <v>45029</v>
      </c>
      <c r="B565" s="394" t="s">
        <v>9876</v>
      </c>
      <c r="C565" s="294" t="s">
        <v>10959</v>
      </c>
      <c r="D565" s="304">
        <v>50000</v>
      </c>
      <c r="E565" s="306"/>
      <c r="F565" s="48">
        <f t="shared" si="20"/>
        <v>-931619</v>
      </c>
      <c r="G565" s="400" t="s">
        <v>9568</v>
      </c>
    </row>
    <row r="566" spans="1:11" x14ac:dyDescent="0.25">
      <c r="A566" s="446">
        <v>45029</v>
      </c>
      <c r="B566" s="394" t="s">
        <v>1049</v>
      </c>
      <c r="C566" s="294" t="s">
        <v>8581</v>
      </c>
      <c r="D566" s="304"/>
      <c r="E566" s="306">
        <v>200000</v>
      </c>
      <c r="F566" s="48">
        <f t="shared" si="20"/>
        <v>-731619</v>
      </c>
      <c r="G566" s="400" t="s">
        <v>9568</v>
      </c>
    </row>
    <row r="567" spans="1:11" x14ac:dyDescent="0.25">
      <c r="A567" s="446">
        <v>45034</v>
      </c>
      <c r="B567" s="394"/>
      <c r="C567" s="294" t="s">
        <v>11002</v>
      </c>
      <c r="D567" s="304"/>
      <c r="E567" s="306">
        <v>700000</v>
      </c>
      <c r="F567" s="48">
        <f t="shared" si="20"/>
        <v>-31619</v>
      </c>
      <c r="G567" s="400" t="s">
        <v>9568</v>
      </c>
    </row>
    <row r="568" spans="1:11" s="357" customFormat="1" ht="30" x14ac:dyDescent="0.25">
      <c r="A568" s="446">
        <v>45035</v>
      </c>
      <c r="B568" s="460" t="s">
        <v>10603</v>
      </c>
      <c r="C568" s="309" t="s">
        <v>11028</v>
      </c>
      <c r="D568" s="306">
        <v>100000</v>
      </c>
      <c r="E568" s="306"/>
      <c r="F568" s="48">
        <f t="shared" si="20"/>
        <v>-131619</v>
      </c>
      <c r="G568" s="400" t="s">
        <v>9568</v>
      </c>
      <c r="K568" s="379"/>
    </row>
    <row r="569" spans="1:11" s="357" customFormat="1" ht="30" x14ac:dyDescent="0.25">
      <c r="A569" s="446">
        <v>45035</v>
      </c>
      <c r="B569" s="460" t="s">
        <v>10603</v>
      </c>
      <c r="C569" s="309" t="s">
        <v>11029</v>
      </c>
      <c r="D569" s="306">
        <v>45000</v>
      </c>
      <c r="E569" s="306"/>
      <c r="F569" s="48">
        <f t="shared" si="20"/>
        <v>-176619</v>
      </c>
      <c r="G569" s="400" t="s">
        <v>9568</v>
      </c>
      <c r="K569" s="379"/>
    </row>
    <row r="570" spans="1:11" s="357" customFormat="1" ht="30" x14ac:dyDescent="0.25">
      <c r="A570" s="446">
        <v>45035</v>
      </c>
      <c r="B570" s="460" t="s">
        <v>11026</v>
      </c>
      <c r="C570" s="309" t="s">
        <v>11030</v>
      </c>
      <c r="D570" s="306">
        <v>30000</v>
      </c>
      <c r="E570" s="306"/>
      <c r="F570" s="48">
        <f t="shared" si="20"/>
        <v>-206619</v>
      </c>
      <c r="G570" s="400" t="s">
        <v>9568</v>
      </c>
      <c r="K570" s="379"/>
    </row>
    <row r="571" spans="1:11" s="357" customFormat="1" x14ac:dyDescent="0.25">
      <c r="A571" s="446">
        <v>45035</v>
      </c>
      <c r="B571" s="460"/>
      <c r="C571" s="308" t="s">
        <v>11027</v>
      </c>
      <c r="D571" s="306">
        <v>200000</v>
      </c>
      <c r="E571" s="306"/>
      <c r="F571" s="48">
        <f t="shared" si="20"/>
        <v>-406619</v>
      </c>
      <c r="G571" s="400" t="s">
        <v>9568</v>
      </c>
      <c r="K571" s="379"/>
    </row>
    <row r="572" spans="1:11" x14ac:dyDescent="0.25">
      <c r="A572" s="446">
        <v>45036</v>
      </c>
      <c r="B572" s="394"/>
      <c r="C572" s="294" t="s">
        <v>11031</v>
      </c>
      <c r="D572" s="304">
        <v>50000</v>
      </c>
      <c r="E572" s="306"/>
      <c r="F572" s="48">
        <f t="shared" si="20"/>
        <v>-456619</v>
      </c>
      <c r="G572" s="400" t="s">
        <v>9568</v>
      </c>
    </row>
    <row r="573" spans="1:11" x14ac:dyDescent="0.25">
      <c r="A573" s="446">
        <v>45036</v>
      </c>
      <c r="B573" s="394"/>
      <c r="C573" s="294" t="s">
        <v>11038</v>
      </c>
      <c r="D573" s="304">
        <v>25000</v>
      </c>
      <c r="E573" s="306"/>
      <c r="F573" s="48">
        <f t="shared" si="20"/>
        <v>-481619</v>
      </c>
      <c r="G573" s="400" t="s">
        <v>9568</v>
      </c>
    </row>
    <row r="574" spans="1:11" x14ac:dyDescent="0.25">
      <c r="A574" s="446">
        <v>45036</v>
      </c>
      <c r="B574" s="394"/>
      <c r="C574" s="294" t="s">
        <v>11038</v>
      </c>
      <c r="D574" s="304">
        <v>300000</v>
      </c>
      <c r="E574" s="306"/>
      <c r="F574" s="48">
        <f t="shared" si="20"/>
        <v>-781619</v>
      </c>
      <c r="G574" s="400" t="s">
        <v>9568</v>
      </c>
    </row>
    <row r="575" spans="1:11" x14ac:dyDescent="0.25">
      <c r="A575" s="446">
        <v>45036</v>
      </c>
      <c r="B575" s="394" t="s">
        <v>11041</v>
      </c>
      <c r="C575" s="294" t="s">
        <v>11039</v>
      </c>
      <c r="D575" s="304">
        <v>45000</v>
      </c>
      <c r="E575" s="306"/>
      <c r="F575" s="48">
        <f t="shared" si="20"/>
        <v>-826619</v>
      </c>
      <c r="G575" s="400" t="s">
        <v>9568</v>
      </c>
    </row>
    <row r="576" spans="1:11" x14ac:dyDescent="0.25">
      <c r="A576" s="446">
        <v>45036</v>
      </c>
      <c r="B576" s="394"/>
      <c r="C576" s="294" t="s">
        <v>11040</v>
      </c>
      <c r="D576" s="304">
        <v>25000</v>
      </c>
      <c r="E576" s="306"/>
      <c r="F576" s="48">
        <f t="shared" si="20"/>
        <v>-851619</v>
      </c>
      <c r="G576" s="400" t="s">
        <v>9568</v>
      </c>
    </row>
    <row r="577" spans="1:9" ht="30" x14ac:dyDescent="0.25">
      <c r="A577" s="446">
        <v>45049</v>
      </c>
      <c r="B577" s="394"/>
      <c r="C577" s="305" t="s">
        <v>11137</v>
      </c>
      <c r="D577" s="304"/>
      <c r="E577" s="306">
        <v>750000</v>
      </c>
      <c r="F577" s="48">
        <f t="shared" si="20"/>
        <v>-101619</v>
      </c>
      <c r="G577" s="400" t="s">
        <v>9568</v>
      </c>
    </row>
    <row r="578" spans="1:9" ht="30" x14ac:dyDescent="0.25">
      <c r="A578" s="446">
        <v>45049</v>
      </c>
      <c r="B578" s="394"/>
      <c r="C578" s="305" t="s">
        <v>11137</v>
      </c>
      <c r="D578" s="304"/>
      <c r="E578" s="306">
        <v>750000</v>
      </c>
      <c r="F578" s="48">
        <f t="shared" si="20"/>
        <v>648381</v>
      </c>
      <c r="G578" s="400" t="s">
        <v>9568</v>
      </c>
    </row>
    <row r="579" spans="1:9" ht="30" x14ac:dyDescent="0.25">
      <c r="A579" s="446">
        <v>45049</v>
      </c>
      <c r="B579" s="394"/>
      <c r="C579" s="305" t="s">
        <v>11172</v>
      </c>
      <c r="D579" s="304"/>
      <c r="E579" s="306">
        <v>1100000</v>
      </c>
      <c r="F579" s="48">
        <f t="shared" si="20"/>
        <v>1748381</v>
      </c>
      <c r="G579" s="400" t="s">
        <v>9568</v>
      </c>
      <c r="I579" s="277"/>
    </row>
    <row r="580" spans="1:9" ht="45" x14ac:dyDescent="0.25">
      <c r="A580" s="446">
        <v>45049</v>
      </c>
      <c r="B580" s="394"/>
      <c r="C580" s="305" t="s">
        <v>11264</v>
      </c>
      <c r="D580" s="304"/>
      <c r="E580" s="306">
        <v>500000</v>
      </c>
      <c r="F580" s="48">
        <f t="shared" si="20"/>
        <v>2248381</v>
      </c>
      <c r="G580" s="400" t="s">
        <v>9568</v>
      </c>
    </row>
    <row r="581" spans="1:9" ht="30" x14ac:dyDescent="0.25">
      <c r="A581" s="446">
        <v>45049</v>
      </c>
      <c r="B581" s="394"/>
      <c r="C581" s="305" t="s">
        <v>11138</v>
      </c>
      <c r="D581" s="304"/>
      <c r="E581" s="306">
        <v>250000</v>
      </c>
      <c r="F581" s="48">
        <f t="shared" si="20"/>
        <v>2498381</v>
      </c>
      <c r="G581" s="400" t="s">
        <v>9568</v>
      </c>
      <c r="I581" s="277"/>
    </row>
    <row r="582" spans="1:9" x14ac:dyDescent="0.25">
      <c r="A582" s="446">
        <v>45051</v>
      </c>
      <c r="B582" s="394"/>
      <c r="C582" s="308" t="s">
        <v>11436</v>
      </c>
      <c r="D582" s="306">
        <v>80000</v>
      </c>
      <c r="E582" s="306"/>
      <c r="F582" s="48">
        <f t="shared" si="20"/>
        <v>2418381</v>
      </c>
      <c r="G582" s="400" t="s">
        <v>9568</v>
      </c>
    </row>
    <row r="583" spans="1:9" x14ac:dyDescent="0.25">
      <c r="A583" s="446">
        <v>45051</v>
      </c>
      <c r="B583" s="394"/>
      <c r="C583" s="294" t="s">
        <v>9839</v>
      </c>
      <c r="D583" s="304">
        <v>65000</v>
      </c>
      <c r="E583" s="306"/>
      <c r="F583" s="48">
        <f t="shared" si="20"/>
        <v>2353381</v>
      </c>
      <c r="G583" s="400" t="s">
        <v>9568</v>
      </c>
    </row>
    <row r="584" spans="1:9" x14ac:dyDescent="0.25">
      <c r="A584" s="446">
        <v>45051</v>
      </c>
      <c r="B584" s="394"/>
      <c r="C584" s="294" t="s">
        <v>11091</v>
      </c>
      <c r="D584" s="304"/>
      <c r="E584" s="306">
        <v>15000</v>
      </c>
      <c r="F584" s="48">
        <f t="shared" si="20"/>
        <v>2368381</v>
      </c>
      <c r="G584" s="400" t="s">
        <v>9568</v>
      </c>
    </row>
    <row r="585" spans="1:9" x14ac:dyDescent="0.25">
      <c r="A585" s="446">
        <v>45051</v>
      </c>
      <c r="B585" s="394"/>
      <c r="C585" s="294" t="s">
        <v>294</v>
      </c>
      <c r="D585" s="304"/>
      <c r="E585" s="306">
        <v>20000</v>
      </c>
      <c r="F585" s="48">
        <f t="shared" si="20"/>
        <v>2388381</v>
      </c>
      <c r="G585" s="400" t="s">
        <v>9568</v>
      </c>
    </row>
    <row r="586" spans="1:9" ht="52.5" customHeight="1" x14ac:dyDescent="0.25">
      <c r="A586" s="446">
        <v>45051</v>
      </c>
      <c r="B586" s="394"/>
      <c r="C586" s="309" t="s">
        <v>11098</v>
      </c>
      <c r="D586" s="306">
        <v>0</v>
      </c>
      <c r="E586" s="306"/>
      <c r="F586" s="48">
        <f t="shared" si="20"/>
        <v>2388381</v>
      </c>
      <c r="G586" s="400" t="s">
        <v>9568</v>
      </c>
    </row>
    <row r="587" spans="1:9" x14ac:dyDescent="0.25">
      <c r="A587" s="446">
        <v>45055</v>
      </c>
      <c r="B587" s="394"/>
      <c r="C587" s="294" t="s">
        <v>11130</v>
      </c>
      <c r="D587" s="304"/>
      <c r="E587" s="306">
        <v>4500000</v>
      </c>
      <c r="F587" s="48">
        <f t="shared" si="20"/>
        <v>6888381</v>
      </c>
      <c r="G587" s="400" t="s">
        <v>9568</v>
      </c>
    </row>
    <row r="588" spans="1:9" x14ac:dyDescent="0.25">
      <c r="A588" s="446">
        <v>45056</v>
      </c>
      <c r="B588" s="394"/>
      <c r="C588" s="308" t="s">
        <v>11134</v>
      </c>
      <c r="D588" s="304">
        <v>148000</v>
      </c>
      <c r="E588" s="306"/>
      <c r="F588" s="48">
        <f t="shared" ref="F588:F652" si="21">F587+E588-D588</f>
        <v>6740381</v>
      </c>
      <c r="G588" s="400" t="s">
        <v>9568</v>
      </c>
    </row>
    <row r="589" spans="1:9" x14ac:dyDescent="0.25">
      <c r="A589" s="446">
        <v>45056</v>
      </c>
      <c r="B589" s="394"/>
      <c r="C589" s="308" t="s">
        <v>11135</v>
      </c>
      <c r="D589" s="304">
        <v>573000</v>
      </c>
      <c r="E589" s="306"/>
      <c r="F589" s="48">
        <f t="shared" si="21"/>
        <v>6167381</v>
      </c>
      <c r="G589" s="400" t="s">
        <v>9568</v>
      </c>
    </row>
    <row r="590" spans="1:9" x14ac:dyDescent="0.25">
      <c r="A590" s="446">
        <v>45057</v>
      </c>
      <c r="B590" s="394"/>
      <c r="C590" s="294" t="s">
        <v>11171</v>
      </c>
      <c r="D590" s="304"/>
      <c r="E590" s="306">
        <v>135000</v>
      </c>
      <c r="F590" s="48">
        <f t="shared" si="21"/>
        <v>6302381</v>
      </c>
      <c r="G590" s="400" t="s">
        <v>9568</v>
      </c>
    </row>
    <row r="591" spans="1:9" x14ac:dyDescent="0.25">
      <c r="A591" s="446">
        <v>45057</v>
      </c>
      <c r="B591" s="394" t="s">
        <v>10603</v>
      </c>
      <c r="C591" s="294" t="s">
        <v>11147</v>
      </c>
      <c r="D591" s="304">
        <v>66000</v>
      </c>
      <c r="E591" s="306"/>
      <c r="F591" s="48">
        <f t="shared" si="21"/>
        <v>6236381</v>
      </c>
      <c r="G591" s="400" t="s">
        <v>9568</v>
      </c>
    </row>
    <row r="592" spans="1:9" x14ac:dyDescent="0.25">
      <c r="A592" s="446">
        <v>45057</v>
      </c>
      <c r="B592" s="394" t="s">
        <v>11064</v>
      </c>
      <c r="C592" s="308" t="s">
        <v>11150</v>
      </c>
      <c r="D592" s="304">
        <v>50000</v>
      </c>
      <c r="E592" s="306"/>
      <c r="F592" s="48">
        <f t="shared" si="21"/>
        <v>6186381</v>
      </c>
      <c r="G592" s="400" t="s">
        <v>9568</v>
      </c>
    </row>
    <row r="593" spans="1:7" x14ac:dyDescent="0.25">
      <c r="A593" s="446">
        <v>45059</v>
      </c>
      <c r="B593" s="394"/>
      <c r="C593" s="294" t="s">
        <v>8516</v>
      </c>
      <c r="D593" s="304">
        <v>200000</v>
      </c>
      <c r="E593" s="306"/>
      <c r="F593" s="48">
        <f t="shared" si="21"/>
        <v>5986381</v>
      </c>
      <c r="G593" s="400" t="s">
        <v>9568</v>
      </c>
    </row>
    <row r="594" spans="1:7" x14ac:dyDescent="0.25">
      <c r="A594" s="446">
        <v>45059</v>
      </c>
      <c r="B594" s="394"/>
      <c r="C594" s="294" t="s">
        <v>11130</v>
      </c>
      <c r="D594" s="304"/>
      <c r="E594" s="306">
        <v>3000000</v>
      </c>
      <c r="F594" s="48">
        <f t="shared" si="21"/>
        <v>8986381</v>
      </c>
      <c r="G594" s="400" t="s">
        <v>9568</v>
      </c>
    </row>
    <row r="595" spans="1:7" x14ac:dyDescent="0.25">
      <c r="A595" s="446">
        <v>45059</v>
      </c>
      <c r="B595" s="394"/>
      <c r="C595" s="294" t="s">
        <v>11233</v>
      </c>
      <c r="D595" s="304">
        <v>150000</v>
      </c>
      <c r="E595" s="306"/>
      <c r="F595" s="48">
        <f t="shared" si="21"/>
        <v>8836381</v>
      </c>
      <c r="G595" s="400" t="s">
        <v>9568</v>
      </c>
    </row>
    <row r="596" spans="1:7" x14ac:dyDescent="0.25">
      <c r="A596" s="446">
        <v>45059</v>
      </c>
      <c r="B596" s="394"/>
      <c r="C596" s="294" t="s">
        <v>11234</v>
      </c>
      <c r="D596" s="304">
        <v>50000</v>
      </c>
      <c r="E596" s="306"/>
      <c r="F596" s="48">
        <f t="shared" si="21"/>
        <v>8786381</v>
      </c>
      <c r="G596" s="400" t="s">
        <v>9568</v>
      </c>
    </row>
    <row r="597" spans="1:7" x14ac:dyDescent="0.25">
      <c r="A597" s="446">
        <v>45061</v>
      </c>
      <c r="B597" s="394"/>
      <c r="C597" s="294" t="s">
        <v>11168</v>
      </c>
      <c r="D597" s="304">
        <v>20000</v>
      </c>
      <c r="E597" s="306"/>
      <c r="F597" s="48">
        <f t="shared" si="21"/>
        <v>8766381</v>
      </c>
      <c r="G597" s="400" t="s">
        <v>9568</v>
      </c>
    </row>
    <row r="598" spans="1:7" x14ac:dyDescent="0.25">
      <c r="A598" s="446">
        <v>45061</v>
      </c>
      <c r="B598" s="394"/>
      <c r="C598" s="294" t="s">
        <v>11170</v>
      </c>
      <c r="D598" s="304">
        <v>500000</v>
      </c>
      <c r="E598" s="306"/>
      <c r="F598" s="48">
        <f t="shared" si="21"/>
        <v>8266381</v>
      </c>
      <c r="G598" s="400" t="s">
        <v>9568</v>
      </c>
    </row>
    <row r="599" spans="1:7" x14ac:dyDescent="0.25">
      <c r="A599" s="446">
        <v>45061</v>
      </c>
      <c r="B599" s="394"/>
      <c r="C599" s="294" t="s">
        <v>8516</v>
      </c>
      <c r="D599" s="304">
        <v>100000</v>
      </c>
      <c r="E599" s="306"/>
      <c r="F599" s="48">
        <f t="shared" si="21"/>
        <v>8166381</v>
      </c>
      <c r="G599" s="400" t="s">
        <v>9568</v>
      </c>
    </row>
    <row r="600" spans="1:7" x14ac:dyDescent="0.25">
      <c r="A600" s="446">
        <v>45061</v>
      </c>
      <c r="B600" s="394"/>
      <c r="C600" s="294" t="s">
        <v>11173</v>
      </c>
      <c r="D600" s="304">
        <v>25000</v>
      </c>
      <c r="E600" s="306"/>
      <c r="F600" s="48">
        <f t="shared" si="21"/>
        <v>8141381</v>
      </c>
      <c r="G600" s="400" t="s">
        <v>9568</v>
      </c>
    </row>
    <row r="601" spans="1:7" x14ac:dyDescent="0.25">
      <c r="A601" s="446">
        <v>45061</v>
      </c>
      <c r="B601" s="394"/>
      <c r="C601" s="294" t="s">
        <v>11174</v>
      </c>
      <c r="D601" s="304">
        <v>25000</v>
      </c>
      <c r="E601" s="306"/>
      <c r="F601" s="48">
        <f t="shared" si="21"/>
        <v>8116381</v>
      </c>
      <c r="G601" s="400" t="s">
        <v>9568</v>
      </c>
    </row>
    <row r="602" spans="1:7" x14ac:dyDescent="0.25">
      <c r="A602" s="446">
        <v>45062</v>
      </c>
      <c r="B602" s="394" t="s">
        <v>11064</v>
      </c>
      <c r="C602" s="294" t="s">
        <v>11190</v>
      </c>
      <c r="D602" s="304">
        <v>250000</v>
      </c>
      <c r="E602" s="306"/>
      <c r="F602" s="48">
        <f t="shared" si="21"/>
        <v>7866381</v>
      </c>
      <c r="G602" s="400" t="s">
        <v>9568</v>
      </c>
    </row>
    <row r="603" spans="1:7" x14ac:dyDescent="0.25">
      <c r="A603" s="446">
        <v>45062</v>
      </c>
      <c r="B603" s="394" t="s">
        <v>11064</v>
      </c>
      <c r="C603" s="294" t="s">
        <v>11190</v>
      </c>
      <c r="D603" s="304">
        <v>250000</v>
      </c>
      <c r="E603" s="306"/>
      <c r="F603" s="48">
        <f t="shared" si="21"/>
        <v>7616381</v>
      </c>
      <c r="G603" s="400" t="s">
        <v>9568</v>
      </c>
    </row>
    <row r="604" spans="1:7" x14ac:dyDescent="0.25">
      <c r="A604" s="446">
        <v>45062</v>
      </c>
      <c r="B604" s="394" t="s">
        <v>11215</v>
      </c>
      <c r="C604" s="294" t="s">
        <v>11216</v>
      </c>
      <c r="D604" s="304">
        <v>209500</v>
      </c>
      <c r="E604" s="306"/>
      <c r="F604" s="48">
        <f t="shared" si="21"/>
        <v>7406881</v>
      </c>
      <c r="G604" s="400" t="s">
        <v>9568</v>
      </c>
    </row>
    <row r="605" spans="1:7" x14ac:dyDescent="0.25">
      <c r="A605" s="446">
        <v>45062</v>
      </c>
      <c r="B605" s="394"/>
      <c r="C605" s="294" t="s">
        <v>11221</v>
      </c>
      <c r="D605" s="304">
        <v>50000</v>
      </c>
      <c r="E605" s="306"/>
      <c r="F605" s="48">
        <f t="shared" si="21"/>
        <v>7356881</v>
      </c>
      <c r="G605" s="400" t="s">
        <v>9568</v>
      </c>
    </row>
    <row r="606" spans="1:7" x14ac:dyDescent="0.25">
      <c r="A606" s="446">
        <v>45064</v>
      </c>
      <c r="B606" s="394" t="s">
        <v>11064</v>
      </c>
      <c r="C606" s="294" t="s">
        <v>11199</v>
      </c>
      <c r="D606" s="304">
        <v>125000</v>
      </c>
      <c r="E606" s="306"/>
      <c r="F606" s="48">
        <f t="shared" si="21"/>
        <v>7231881</v>
      </c>
      <c r="G606" s="400" t="s">
        <v>9568</v>
      </c>
    </row>
    <row r="607" spans="1:7" x14ac:dyDescent="0.25">
      <c r="A607" s="446">
        <v>45064</v>
      </c>
      <c r="B607" s="394" t="s">
        <v>10112</v>
      </c>
      <c r="C607" s="294" t="s">
        <v>11200</v>
      </c>
      <c r="D607" s="304">
        <v>100000</v>
      </c>
      <c r="E607" s="306"/>
      <c r="F607" s="48">
        <f t="shared" si="21"/>
        <v>7131881</v>
      </c>
      <c r="G607" s="400" t="s">
        <v>9568</v>
      </c>
    </row>
    <row r="608" spans="1:7" x14ac:dyDescent="0.25">
      <c r="A608" s="446">
        <v>45064</v>
      </c>
      <c r="B608" s="394" t="s">
        <v>11064</v>
      </c>
      <c r="C608" s="294" t="s">
        <v>11201</v>
      </c>
      <c r="D608" s="304">
        <v>50000</v>
      </c>
      <c r="E608" s="306"/>
      <c r="F608" s="48">
        <f t="shared" si="21"/>
        <v>7081881</v>
      </c>
      <c r="G608" s="400" t="s">
        <v>9568</v>
      </c>
    </row>
    <row r="609" spans="1:7" x14ac:dyDescent="0.25">
      <c r="A609" s="446">
        <v>45065</v>
      </c>
      <c r="B609" s="394"/>
      <c r="C609" s="294" t="s">
        <v>8481</v>
      </c>
      <c r="D609" s="304">
        <v>900000</v>
      </c>
      <c r="E609" s="306"/>
      <c r="F609" s="48">
        <f t="shared" si="21"/>
        <v>6181881</v>
      </c>
      <c r="G609" s="400" t="s">
        <v>9568</v>
      </c>
    </row>
    <row r="610" spans="1:7" x14ac:dyDescent="0.25">
      <c r="A610" s="446">
        <v>45065</v>
      </c>
      <c r="B610" s="394" t="s">
        <v>10603</v>
      </c>
      <c r="C610" s="294" t="s">
        <v>11220</v>
      </c>
      <c r="D610" s="304">
        <v>100000</v>
      </c>
      <c r="E610" s="306"/>
      <c r="F610" s="48">
        <f t="shared" si="21"/>
        <v>6081881</v>
      </c>
      <c r="G610" s="400" t="s">
        <v>9568</v>
      </c>
    </row>
    <row r="611" spans="1:7" x14ac:dyDescent="0.25">
      <c r="A611" s="446">
        <v>45065</v>
      </c>
      <c r="B611" s="394" t="s">
        <v>11064</v>
      </c>
      <c r="C611" s="294" t="s">
        <v>11229</v>
      </c>
      <c r="D611" s="304">
        <v>75000</v>
      </c>
      <c r="E611" s="306"/>
      <c r="F611" s="48">
        <f t="shared" si="21"/>
        <v>6006881</v>
      </c>
      <c r="G611" s="400" t="s">
        <v>9568</v>
      </c>
    </row>
    <row r="612" spans="1:7" x14ac:dyDescent="0.25">
      <c r="A612" s="446">
        <v>45065</v>
      </c>
      <c r="B612" s="394" t="s">
        <v>11064</v>
      </c>
      <c r="C612" s="294" t="s">
        <v>11230</v>
      </c>
      <c r="D612" s="304">
        <v>130000</v>
      </c>
      <c r="E612" s="306"/>
      <c r="F612" s="48">
        <f t="shared" si="21"/>
        <v>5876881</v>
      </c>
      <c r="G612" s="400" t="s">
        <v>9568</v>
      </c>
    </row>
    <row r="613" spans="1:7" x14ac:dyDescent="0.25">
      <c r="A613" s="446">
        <v>45065</v>
      </c>
      <c r="B613" s="394" t="s">
        <v>11064</v>
      </c>
      <c r="C613" s="294" t="s">
        <v>11231</v>
      </c>
      <c r="D613" s="304">
        <v>280000</v>
      </c>
      <c r="E613" s="306"/>
      <c r="F613" s="48">
        <f t="shared" si="21"/>
        <v>5596881</v>
      </c>
      <c r="G613" s="400" t="s">
        <v>9568</v>
      </c>
    </row>
    <row r="614" spans="1:7" x14ac:dyDescent="0.25">
      <c r="A614" s="446">
        <v>45069</v>
      </c>
      <c r="B614" s="394"/>
      <c r="C614" s="515" t="s">
        <v>8559</v>
      </c>
      <c r="D614" s="516">
        <v>2031779</v>
      </c>
      <c r="E614" s="306"/>
      <c r="F614" s="48">
        <f t="shared" si="21"/>
        <v>3565102</v>
      </c>
      <c r="G614" s="400" t="s">
        <v>9568</v>
      </c>
    </row>
    <row r="615" spans="1:7" x14ac:dyDescent="0.25">
      <c r="A615" s="446">
        <v>45069</v>
      </c>
      <c r="B615" s="394"/>
      <c r="C615" s="294" t="s">
        <v>11238</v>
      </c>
      <c r="D615" s="304">
        <v>100000</v>
      </c>
      <c r="E615" s="306"/>
      <c r="F615" s="48">
        <f t="shared" si="21"/>
        <v>3465102</v>
      </c>
      <c r="G615" s="400" t="s">
        <v>9568</v>
      </c>
    </row>
    <row r="616" spans="1:7" x14ac:dyDescent="0.25">
      <c r="A616" s="446">
        <v>45069</v>
      </c>
      <c r="B616" s="394" t="s">
        <v>10603</v>
      </c>
      <c r="C616" s="294" t="s">
        <v>11239</v>
      </c>
      <c r="D616" s="304">
        <v>5000</v>
      </c>
      <c r="E616" s="306"/>
      <c r="F616" s="48">
        <f t="shared" si="21"/>
        <v>3460102</v>
      </c>
      <c r="G616" s="400" t="s">
        <v>9568</v>
      </c>
    </row>
    <row r="617" spans="1:7" x14ac:dyDescent="0.25">
      <c r="A617" s="446">
        <v>45069</v>
      </c>
      <c r="B617" s="394" t="s">
        <v>9863</v>
      </c>
      <c r="C617" s="294" t="s">
        <v>11240</v>
      </c>
      <c r="D617" s="304">
        <v>975000</v>
      </c>
      <c r="E617" s="306"/>
      <c r="F617" s="48">
        <f t="shared" si="21"/>
        <v>2485102</v>
      </c>
      <c r="G617" s="400" t="s">
        <v>9568</v>
      </c>
    </row>
    <row r="618" spans="1:7" x14ac:dyDescent="0.25">
      <c r="A618" s="446">
        <v>45069</v>
      </c>
      <c r="B618" s="394"/>
      <c r="C618" s="294" t="s">
        <v>8516</v>
      </c>
      <c r="D618" s="304">
        <v>50000</v>
      </c>
      <c r="E618" s="306"/>
      <c r="F618" s="48">
        <f t="shared" si="21"/>
        <v>2435102</v>
      </c>
      <c r="G618" s="400" t="s">
        <v>9568</v>
      </c>
    </row>
    <row r="619" spans="1:7" x14ac:dyDescent="0.25">
      <c r="A619" s="446">
        <v>45069</v>
      </c>
      <c r="B619" s="394" t="s">
        <v>11064</v>
      </c>
      <c r="C619" s="308" t="s">
        <v>11150</v>
      </c>
      <c r="D619" s="304">
        <v>50000</v>
      </c>
      <c r="E619" s="306"/>
      <c r="F619" s="48">
        <f t="shared" si="21"/>
        <v>2385102</v>
      </c>
      <c r="G619" s="400" t="s">
        <v>9568</v>
      </c>
    </row>
    <row r="620" spans="1:7" x14ac:dyDescent="0.25">
      <c r="A620" s="446">
        <v>45070</v>
      </c>
      <c r="B620" s="394"/>
      <c r="C620" s="294" t="s">
        <v>11261</v>
      </c>
      <c r="D620" s="304">
        <v>5000</v>
      </c>
      <c r="E620" s="306"/>
      <c r="F620" s="48">
        <f t="shared" si="21"/>
        <v>2380102</v>
      </c>
      <c r="G620" s="400" t="s">
        <v>9568</v>
      </c>
    </row>
    <row r="621" spans="1:7" x14ac:dyDescent="0.25">
      <c r="A621" s="446">
        <v>45071</v>
      </c>
      <c r="B621" s="394"/>
      <c r="C621" s="294" t="s">
        <v>8516</v>
      </c>
      <c r="D621" s="304">
        <v>470000</v>
      </c>
      <c r="E621" s="306"/>
      <c r="F621" s="48">
        <f t="shared" si="21"/>
        <v>1910102</v>
      </c>
      <c r="G621" s="400" t="s">
        <v>9568</v>
      </c>
    </row>
    <row r="622" spans="1:7" ht="45" x14ac:dyDescent="0.25">
      <c r="A622" s="446">
        <v>45071</v>
      </c>
      <c r="B622" s="394"/>
      <c r="C622" s="305" t="s">
        <v>11264</v>
      </c>
      <c r="D622" s="304"/>
      <c r="E622" s="306">
        <v>1000000</v>
      </c>
      <c r="F622" s="48">
        <f t="shared" si="21"/>
        <v>2910102</v>
      </c>
      <c r="G622" s="400" t="s">
        <v>9568</v>
      </c>
    </row>
    <row r="623" spans="1:7" x14ac:dyDescent="0.25">
      <c r="A623" s="446">
        <v>45072</v>
      </c>
      <c r="B623" s="394"/>
      <c r="C623" s="294" t="s">
        <v>11275</v>
      </c>
      <c r="D623" s="304">
        <v>8000</v>
      </c>
      <c r="E623" s="306"/>
      <c r="F623" s="48">
        <f t="shared" si="21"/>
        <v>2902102</v>
      </c>
      <c r="G623" s="400" t="s">
        <v>9568</v>
      </c>
    </row>
    <row r="624" spans="1:7" x14ac:dyDescent="0.25">
      <c r="A624" s="446">
        <v>45072</v>
      </c>
      <c r="B624" s="394"/>
      <c r="C624" s="308" t="s">
        <v>11281</v>
      </c>
      <c r="D624" s="304">
        <v>100000</v>
      </c>
      <c r="E624" s="306"/>
      <c r="F624" s="48">
        <f t="shared" si="21"/>
        <v>2802102</v>
      </c>
      <c r="G624" s="400" t="s">
        <v>9568</v>
      </c>
    </row>
    <row r="625" spans="1:7" x14ac:dyDescent="0.25">
      <c r="A625" s="446">
        <v>45072</v>
      </c>
      <c r="B625" s="394"/>
      <c r="C625" s="294" t="s">
        <v>11282</v>
      </c>
      <c r="D625" s="304"/>
      <c r="E625" s="306">
        <v>873000</v>
      </c>
      <c r="F625" s="48">
        <f t="shared" si="21"/>
        <v>3675102</v>
      </c>
      <c r="G625" s="400" t="s">
        <v>9568</v>
      </c>
    </row>
    <row r="626" spans="1:7" x14ac:dyDescent="0.25">
      <c r="A626" s="446">
        <v>45073</v>
      </c>
      <c r="B626" s="394"/>
      <c r="C626" s="294" t="s">
        <v>11304</v>
      </c>
      <c r="D626" s="304">
        <v>50000</v>
      </c>
      <c r="E626" s="306"/>
      <c r="F626" s="48">
        <f t="shared" si="21"/>
        <v>3625102</v>
      </c>
      <c r="G626" s="400" t="s">
        <v>9568</v>
      </c>
    </row>
    <row r="627" spans="1:7" x14ac:dyDescent="0.25">
      <c r="A627" s="446">
        <v>45075</v>
      </c>
      <c r="B627" s="394"/>
      <c r="C627" s="294" t="s">
        <v>8516</v>
      </c>
      <c r="D627" s="304">
        <v>100000</v>
      </c>
      <c r="E627" s="306"/>
      <c r="F627" s="48">
        <f t="shared" si="21"/>
        <v>3525102</v>
      </c>
      <c r="G627" s="400" t="s">
        <v>9568</v>
      </c>
    </row>
    <row r="628" spans="1:7" x14ac:dyDescent="0.25">
      <c r="A628" s="446">
        <v>45075</v>
      </c>
      <c r="B628" s="394"/>
      <c r="C628" s="294" t="s">
        <v>11290</v>
      </c>
      <c r="D628" s="307"/>
      <c r="E628" s="310">
        <v>500000</v>
      </c>
      <c r="F628" s="48">
        <f t="shared" si="21"/>
        <v>4025102</v>
      </c>
      <c r="G628" s="400" t="s">
        <v>9568</v>
      </c>
    </row>
    <row r="629" spans="1:7" x14ac:dyDescent="0.25">
      <c r="A629" s="446">
        <v>45075</v>
      </c>
      <c r="B629" s="394"/>
      <c r="C629" s="294" t="s">
        <v>11291</v>
      </c>
      <c r="D629" s="307"/>
      <c r="E629" s="310">
        <v>500000</v>
      </c>
      <c r="F629" s="48">
        <f t="shared" si="21"/>
        <v>4525102</v>
      </c>
      <c r="G629" s="400" t="s">
        <v>9568</v>
      </c>
    </row>
    <row r="630" spans="1:7" x14ac:dyDescent="0.25">
      <c r="A630" s="446">
        <v>45075</v>
      </c>
      <c r="B630" s="394" t="s">
        <v>11298</v>
      </c>
      <c r="C630" s="308" t="s">
        <v>11297</v>
      </c>
      <c r="D630" s="304">
        <v>53899</v>
      </c>
      <c r="E630" s="306"/>
      <c r="F630" s="48">
        <f t="shared" si="21"/>
        <v>4471203</v>
      </c>
      <c r="G630" s="400" t="s">
        <v>9568</v>
      </c>
    </row>
    <row r="631" spans="1:7" x14ac:dyDescent="0.25">
      <c r="A631" s="446">
        <v>45075</v>
      </c>
      <c r="B631" s="394"/>
      <c r="C631" s="308" t="s">
        <v>11296</v>
      </c>
      <c r="D631" s="304">
        <v>133020</v>
      </c>
      <c r="E631" s="306"/>
      <c r="F631" s="48">
        <f t="shared" si="21"/>
        <v>4338183</v>
      </c>
      <c r="G631" s="400" t="s">
        <v>9568</v>
      </c>
    </row>
    <row r="632" spans="1:7" x14ac:dyDescent="0.25">
      <c r="A632" s="446">
        <v>45075</v>
      </c>
      <c r="B632" s="394" t="s">
        <v>2948</v>
      </c>
      <c r="C632" s="308" t="s">
        <v>11295</v>
      </c>
      <c r="D632" s="304">
        <v>30000</v>
      </c>
      <c r="E632" s="306"/>
      <c r="F632" s="48">
        <f t="shared" si="21"/>
        <v>4308183</v>
      </c>
      <c r="G632" s="400" t="s">
        <v>9568</v>
      </c>
    </row>
    <row r="633" spans="1:7" x14ac:dyDescent="0.25">
      <c r="A633" s="446">
        <v>45077</v>
      </c>
      <c r="B633" s="394" t="s">
        <v>11064</v>
      </c>
      <c r="C633" s="294" t="s">
        <v>11337</v>
      </c>
      <c r="D633" s="304">
        <v>98000</v>
      </c>
      <c r="E633" s="306"/>
      <c r="F633" s="48">
        <f t="shared" si="21"/>
        <v>4210183</v>
      </c>
      <c r="G633" s="400" t="s">
        <v>9568</v>
      </c>
    </row>
    <row r="634" spans="1:7" x14ac:dyDescent="0.25">
      <c r="A634" s="446">
        <v>45078</v>
      </c>
      <c r="B634" s="394" t="s">
        <v>11026</v>
      </c>
      <c r="C634" s="294" t="s">
        <v>11335</v>
      </c>
      <c r="D634" s="304">
        <v>50000</v>
      </c>
      <c r="E634" s="306"/>
      <c r="F634" s="48">
        <f t="shared" si="21"/>
        <v>4160183</v>
      </c>
      <c r="G634" s="400" t="s">
        <v>9568</v>
      </c>
    </row>
    <row r="635" spans="1:7" x14ac:dyDescent="0.25">
      <c r="A635" s="446">
        <v>45079</v>
      </c>
      <c r="B635" s="394" t="s">
        <v>11064</v>
      </c>
      <c r="C635" s="294" t="s">
        <v>11338</v>
      </c>
      <c r="D635" s="304">
        <v>140000</v>
      </c>
      <c r="E635" s="306"/>
      <c r="F635" s="48">
        <f t="shared" si="21"/>
        <v>4020183</v>
      </c>
      <c r="G635" s="400" t="s">
        <v>9568</v>
      </c>
    </row>
    <row r="636" spans="1:7" x14ac:dyDescent="0.25">
      <c r="A636" s="446">
        <v>45079</v>
      </c>
      <c r="B636" s="394" t="s">
        <v>11064</v>
      </c>
      <c r="C636" s="294" t="s">
        <v>11339</v>
      </c>
      <c r="D636" s="304">
        <v>44000</v>
      </c>
      <c r="E636" s="306"/>
      <c r="F636" s="48">
        <f t="shared" si="21"/>
        <v>3976183</v>
      </c>
      <c r="G636" s="400" t="s">
        <v>9568</v>
      </c>
    </row>
    <row r="637" spans="1:7" x14ac:dyDescent="0.25">
      <c r="A637" s="446">
        <v>45080</v>
      </c>
      <c r="B637" s="394" t="s">
        <v>11064</v>
      </c>
      <c r="C637" s="308" t="s">
        <v>11150</v>
      </c>
      <c r="D637" s="304">
        <v>175000</v>
      </c>
      <c r="E637" s="306"/>
      <c r="F637" s="48">
        <f t="shared" si="21"/>
        <v>3801183</v>
      </c>
      <c r="G637" s="400" t="s">
        <v>9568</v>
      </c>
    </row>
    <row r="638" spans="1:7" x14ac:dyDescent="0.25">
      <c r="A638" s="446">
        <v>45083</v>
      </c>
      <c r="B638" s="394" t="s">
        <v>11064</v>
      </c>
      <c r="C638" s="294" t="s">
        <v>11354</v>
      </c>
      <c r="D638" s="304"/>
      <c r="E638" s="310">
        <v>6928808</v>
      </c>
      <c r="F638" s="48">
        <f t="shared" si="21"/>
        <v>10729991</v>
      </c>
      <c r="G638" s="400" t="s">
        <v>9568</v>
      </c>
    </row>
    <row r="639" spans="1:7" x14ac:dyDescent="0.25">
      <c r="A639" s="446">
        <v>45083</v>
      </c>
      <c r="B639" s="394"/>
      <c r="C639" s="294" t="s">
        <v>8516</v>
      </c>
      <c r="D639" s="304">
        <v>3000000</v>
      </c>
      <c r="E639" s="306"/>
      <c r="F639" s="48">
        <f t="shared" si="21"/>
        <v>7729991</v>
      </c>
      <c r="G639" s="400" t="s">
        <v>9568</v>
      </c>
    </row>
    <row r="640" spans="1:7" x14ac:dyDescent="0.25">
      <c r="A640" s="446">
        <v>45084</v>
      </c>
      <c r="B640" s="394"/>
      <c r="C640" s="294" t="s">
        <v>8516</v>
      </c>
      <c r="D640" s="304">
        <v>900000</v>
      </c>
      <c r="E640" s="306"/>
      <c r="F640" s="48">
        <f t="shared" si="21"/>
        <v>6829991</v>
      </c>
      <c r="G640" s="400" t="s">
        <v>9568</v>
      </c>
    </row>
    <row r="641" spans="1:11" x14ac:dyDescent="0.25">
      <c r="A641" s="446">
        <v>45084</v>
      </c>
      <c r="B641" s="394"/>
      <c r="C641" s="294" t="s">
        <v>11261</v>
      </c>
      <c r="D641" s="304">
        <v>4000</v>
      </c>
      <c r="E641" s="306"/>
      <c r="F641" s="48">
        <f t="shared" si="21"/>
        <v>6825991</v>
      </c>
      <c r="G641" s="400" t="s">
        <v>9568</v>
      </c>
    </row>
    <row r="642" spans="1:11" x14ac:dyDescent="0.25">
      <c r="A642" s="446">
        <v>45085</v>
      </c>
      <c r="B642" s="394"/>
      <c r="C642" s="294" t="s">
        <v>294</v>
      </c>
      <c r="D642" s="304"/>
      <c r="E642" s="306">
        <v>200000</v>
      </c>
      <c r="F642" s="48">
        <f t="shared" si="21"/>
        <v>7025991</v>
      </c>
      <c r="G642" s="400" t="s">
        <v>9568</v>
      </c>
    </row>
    <row r="643" spans="1:11" ht="30" x14ac:dyDescent="0.25">
      <c r="A643" s="446">
        <v>45086</v>
      </c>
      <c r="B643" s="394" t="s">
        <v>11064</v>
      </c>
      <c r="C643" s="305" t="s">
        <v>11392</v>
      </c>
      <c r="D643" s="304">
        <v>112000</v>
      </c>
      <c r="E643" s="306"/>
      <c r="F643" s="48">
        <f t="shared" si="21"/>
        <v>6913991</v>
      </c>
      <c r="G643" s="400" t="s">
        <v>9568</v>
      </c>
    </row>
    <row r="644" spans="1:11" x14ac:dyDescent="0.25">
      <c r="A644" s="446">
        <v>45086</v>
      </c>
      <c r="B644" s="394" t="s">
        <v>10112</v>
      </c>
      <c r="C644" s="294" t="s">
        <v>11396</v>
      </c>
      <c r="D644" s="304">
        <v>200000</v>
      </c>
      <c r="E644" s="306"/>
      <c r="F644" s="48">
        <f t="shared" si="21"/>
        <v>6713991</v>
      </c>
      <c r="G644" s="400" t="s">
        <v>9568</v>
      </c>
    </row>
    <row r="645" spans="1:11" x14ac:dyDescent="0.25">
      <c r="A645" s="446">
        <v>45089</v>
      </c>
      <c r="B645" s="394" t="s">
        <v>9925</v>
      </c>
      <c r="C645" s="523" t="s">
        <v>11401</v>
      </c>
      <c r="D645" s="524">
        <v>20000</v>
      </c>
      <c r="E645" s="306"/>
      <c r="F645" s="48">
        <f t="shared" si="21"/>
        <v>6693991</v>
      </c>
      <c r="G645" s="400" t="s">
        <v>9568</v>
      </c>
    </row>
    <row r="646" spans="1:11" x14ac:dyDescent="0.25">
      <c r="A646" s="446">
        <v>45089</v>
      </c>
      <c r="B646" s="394"/>
      <c r="C646" s="294" t="s">
        <v>8516</v>
      </c>
      <c r="D646" s="304">
        <v>300000</v>
      </c>
      <c r="E646" s="306"/>
      <c r="F646" s="48">
        <f t="shared" si="21"/>
        <v>6393991</v>
      </c>
      <c r="G646" s="400" t="s">
        <v>9568</v>
      </c>
    </row>
    <row r="647" spans="1:11" x14ac:dyDescent="0.25">
      <c r="A647" s="446">
        <v>45089</v>
      </c>
      <c r="B647" s="394"/>
      <c r="C647" s="294" t="s">
        <v>11611</v>
      </c>
      <c r="D647" s="304">
        <v>20000</v>
      </c>
      <c r="E647" s="306"/>
      <c r="F647" s="48">
        <f t="shared" si="21"/>
        <v>6373991</v>
      </c>
      <c r="G647" s="400" t="s">
        <v>9568</v>
      </c>
    </row>
    <row r="648" spans="1:11" x14ac:dyDescent="0.25">
      <c r="A648" s="446">
        <v>45089</v>
      </c>
      <c r="B648" s="394"/>
      <c r="C648" s="294" t="s">
        <v>11608</v>
      </c>
      <c r="D648" s="304">
        <v>10000</v>
      </c>
      <c r="E648" s="306"/>
      <c r="F648" s="48">
        <f t="shared" si="21"/>
        <v>6363991</v>
      </c>
      <c r="G648" s="400" t="s">
        <v>9568</v>
      </c>
    </row>
    <row r="649" spans="1:11" x14ac:dyDescent="0.25">
      <c r="A649" s="446">
        <v>45089</v>
      </c>
      <c r="B649" s="394"/>
      <c r="C649" s="294" t="s">
        <v>11238</v>
      </c>
      <c r="D649" s="304">
        <v>50000</v>
      </c>
      <c r="E649" s="306"/>
      <c r="F649" s="48">
        <f t="shared" si="21"/>
        <v>6313991</v>
      </c>
      <c r="G649" s="400" t="s">
        <v>9568</v>
      </c>
    </row>
    <row r="650" spans="1:11" s="357" customFormat="1" x14ac:dyDescent="0.25">
      <c r="A650" s="446">
        <v>45089</v>
      </c>
      <c r="B650" s="460"/>
      <c r="C650" s="308" t="s">
        <v>8516</v>
      </c>
      <c r="D650" s="306">
        <v>50000</v>
      </c>
      <c r="E650" s="306"/>
      <c r="F650" s="48">
        <f t="shared" si="21"/>
        <v>6263991</v>
      </c>
      <c r="G650" s="400" t="s">
        <v>9568</v>
      </c>
      <c r="K650" s="379"/>
    </row>
    <row r="651" spans="1:11" s="357" customFormat="1" x14ac:dyDescent="0.25">
      <c r="A651" s="446">
        <v>45091</v>
      </c>
      <c r="B651" s="460" t="s">
        <v>11064</v>
      </c>
      <c r="C651" s="308" t="s">
        <v>11337</v>
      </c>
      <c r="D651" s="306">
        <v>98000</v>
      </c>
      <c r="E651" s="306"/>
      <c r="F651" s="48">
        <f t="shared" si="21"/>
        <v>6165991</v>
      </c>
      <c r="G651" s="400" t="s">
        <v>9568</v>
      </c>
      <c r="K651" s="379"/>
    </row>
    <row r="652" spans="1:11" s="357" customFormat="1" x14ac:dyDescent="0.25">
      <c r="A652" s="446">
        <v>45093</v>
      </c>
      <c r="B652" s="460"/>
      <c r="C652" s="308" t="s">
        <v>11433</v>
      </c>
      <c r="D652" s="306"/>
      <c r="E652" s="306">
        <v>1500000</v>
      </c>
      <c r="F652" s="48">
        <f t="shared" si="21"/>
        <v>7665991</v>
      </c>
      <c r="G652" s="400" t="s">
        <v>9568</v>
      </c>
      <c r="K652" s="379"/>
    </row>
    <row r="653" spans="1:11" s="357" customFormat="1" x14ac:dyDescent="0.25">
      <c r="A653" s="446">
        <v>45093</v>
      </c>
      <c r="B653" s="460"/>
      <c r="C653" s="308" t="s">
        <v>11434</v>
      </c>
      <c r="D653" s="306">
        <v>200000</v>
      </c>
      <c r="E653" s="306"/>
      <c r="F653" s="48">
        <f t="shared" ref="F653:F721" si="22">F652+E653-D653</f>
        <v>7465991</v>
      </c>
      <c r="G653" s="400" t="s">
        <v>9568</v>
      </c>
      <c r="K653" s="379"/>
    </row>
    <row r="654" spans="1:11" s="357" customFormat="1" x14ac:dyDescent="0.25">
      <c r="A654" s="446">
        <v>45093</v>
      </c>
      <c r="B654" s="460"/>
      <c r="C654" s="308" t="s">
        <v>11612</v>
      </c>
      <c r="D654" s="306">
        <v>90000</v>
      </c>
      <c r="E654" s="306"/>
      <c r="F654" s="48">
        <f t="shared" si="22"/>
        <v>7375991</v>
      </c>
      <c r="G654" s="400" t="s">
        <v>9568</v>
      </c>
      <c r="K654" s="379"/>
    </row>
    <row r="655" spans="1:11" s="357" customFormat="1" x14ac:dyDescent="0.25">
      <c r="A655" s="446">
        <v>45093</v>
      </c>
      <c r="B655" s="460"/>
      <c r="C655" s="308" t="s">
        <v>11435</v>
      </c>
      <c r="D655" s="306">
        <v>5400</v>
      </c>
      <c r="E655" s="306"/>
      <c r="F655" s="48">
        <f t="shared" si="22"/>
        <v>7370591</v>
      </c>
      <c r="G655" s="400" t="s">
        <v>9568</v>
      </c>
      <c r="K655" s="379"/>
    </row>
    <row r="656" spans="1:11" s="357" customFormat="1" x14ac:dyDescent="0.25">
      <c r="A656" s="446">
        <v>45093</v>
      </c>
      <c r="B656" s="460"/>
      <c r="C656" s="308" t="s">
        <v>11437</v>
      </c>
      <c r="D656" s="306">
        <v>80000</v>
      </c>
      <c r="E656" s="306"/>
      <c r="F656" s="48">
        <f t="shared" si="22"/>
        <v>7290591</v>
      </c>
      <c r="G656" s="400" t="s">
        <v>9568</v>
      </c>
      <c r="K656" s="379"/>
    </row>
    <row r="657" spans="1:11" s="357" customFormat="1" x14ac:dyDescent="0.25">
      <c r="A657" s="446">
        <v>45094</v>
      </c>
      <c r="B657" s="460"/>
      <c r="C657" s="308" t="s">
        <v>11438</v>
      </c>
      <c r="D657" s="306">
        <v>50000</v>
      </c>
      <c r="E657" s="306"/>
      <c r="F657" s="48">
        <f t="shared" si="22"/>
        <v>7240591</v>
      </c>
      <c r="G657" s="400" t="s">
        <v>9568</v>
      </c>
      <c r="K657" s="379"/>
    </row>
    <row r="658" spans="1:11" s="357" customFormat="1" x14ac:dyDescent="0.25">
      <c r="A658" s="446">
        <v>45094</v>
      </c>
      <c r="B658" s="460"/>
      <c r="C658" s="308" t="s">
        <v>11433</v>
      </c>
      <c r="D658" s="306"/>
      <c r="E658" s="306">
        <v>2000000</v>
      </c>
      <c r="F658" s="48">
        <f t="shared" si="22"/>
        <v>9240591</v>
      </c>
      <c r="G658" s="400" t="s">
        <v>9568</v>
      </c>
      <c r="K658" s="379"/>
    </row>
    <row r="659" spans="1:11" s="357" customFormat="1" x14ac:dyDescent="0.25">
      <c r="A659" s="446">
        <v>45096</v>
      </c>
      <c r="B659" s="460" t="s">
        <v>11215</v>
      </c>
      <c r="C659" s="308" t="s">
        <v>11441</v>
      </c>
      <c r="D659" s="306">
        <v>50000</v>
      </c>
      <c r="E659" s="306"/>
      <c r="F659" s="48">
        <f t="shared" si="22"/>
        <v>9190591</v>
      </c>
      <c r="G659" s="400" t="s">
        <v>9568</v>
      </c>
      <c r="K659" s="379"/>
    </row>
    <row r="660" spans="1:11" s="357" customFormat="1" x14ac:dyDescent="0.25">
      <c r="A660" s="446">
        <v>45096</v>
      </c>
      <c r="B660" s="460"/>
      <c r="C660" s="308" t="s">
        <v>11442</v>
      </c>
      <c r="D660" s="306">
        <v>250000</v>
      </c>
      <c r="E660" s="306"/>
      <c r="F660" s="48">
        <f t="shared" si="22"/>
        <v>8940591</v>
      </c>
      <c r="G660" s="400" t="s">
        <v>9568</v>
      </c>
      <c r="K660" s="379"/>
    </row>
    <row r="661" spans="1:11" s="357" customFormat="1" x14ac:dyDescent="0.25">
      <c r="A661" s="446">
        <v>45096</v>
      </c>
      <c r="B661" s="460"/>
      <c r="C661" s="308" t="s">
        <v>11442</v>
      </c>
      <c r="D661" s="306">
        <v>82400</v>
      </c>
      <c r="E661" s="306"/>
      <c r="F661" s="48">
        <f t="shared" si="22"/>
        <v>8858191</v>
      </c>
      <c r="G661" s="400" t="s">
        <v>9568</v>
      </c>
      <c r="K661" s="379"/>
    </row>
    <row r="662" spans="1:11" s="357" customFormat="1" x14ac:dyDescent="0.25">
      <c r="A662" s="446">
        <v>45096</v>
      </c>
      <c r="B662" s="460"/>
      <c r="C662" s="308" t="s">
        <v>11448</v>
      </c>
      <c r="D662" s="306">
        <v>250000</v>
      </c>
      <c r="E662" s="306"/>
      <c r="F662" s="48">
        <f t="shared" si="22"/>
        <v>8608191</v>
      </c>
      <c r="G662" s="400" t="s">
        <v>9568</v>
      </c>
      <c r="J662" s="525"/>
      <c r="K662" s="379"/>
    </row>
    <row r="663" spans="1:11" s="357" customFormat="1" x14ac:dyDescent="0.25">
      <c r="A663" s="446">
        <v>45096</v>
      </c>
      <c r="B663" s="460"/>
      <c r="C663" s="308" t="s">
        <v>11448</v>
      </c>
      <c r="D663" s="306">
        <v>33400</v>
      </c>
      <c r="E663" s="306"/>
      <c r="F663" s="48">
        <f t="shared" si="22"/>
        <v>8574791</v>
      </c>
      <c r="G663" s="400" t="s">
        <v>9568</v>
      </c>
      <c r="K663" s="379"/>
    </row>
    <row r="664" spans="1:11" s="357" customFormat="1" x14ac:dyDescent="0.25">
      <c r="A664" s="446">
        <v>45096</v>
      </c>
      <c r="B664" s="460"/>
      <c r="C664" s="308" t="s">
        <v>11433</v>
      </c>
      <c r="D664" s="306"/>
      <c r="E664" s="306">
        <v>750000</v>
      </c>
      <c r="F664" s="48">
        <f t="shared" si="22"/>
        <v>9324791</v>
      </c>
      <c r="G664" s="400" t="s">
        <v>9568</v>
      </c>
      <c r="K664" s="379"/>
    </row>
    <row r="665" spans="1:11" s="357" customFormat="1" x14ac:dyDescent="0.25">
      <c r="A665" s="446">
        <v>45097</v>
      </c>
      <c r="B665" s="460"/>
      <c r="C665" s="308" t="s">
        <v>11458</v>
      </c>
      <c r="D665" s="306">
        <v>100000</v>
      </c>
      <c r="E665" s="306"/>
      <c r="F665" s="48">
        <f t="shared" si="22"/>
        <v>9224791</v>
      </c>
      <c r="G665" s="400" t="s">
        <v>9568</v>
      </c>
      <c r="K665" s="379"/>
    </row>
    <row r="666" spans="1:11" s="357" customFormat="1" x14ac:dyDescent="0.25">
      <c r="A666" s="446">
        <v>45097</v>
      </c>
      <c r="B666" s="460"/>
      <c r="C666" s="308" t="s">
        <v>11464</v>
      </c>
      <c r="D666" s="306">
        <v>250000</v>
      </c>
      <c r="E666" s="306"/>
      <c r="F666" s="48">
        <f t="shared" si="22"/>
        <v>8974791</v>
      </c>
      <c r="G666" s="400" t="s">
        <v>9568</v>
      </c>
      <c r="K666" s="379"/>
    </row>
    <row r="667" spans="1:11" s="357" customFormat="1" x14ac:dyDescent="0.25">
      <c r="A667" s="446">
        <v>45097</v>
      </c>
      <c r="B667" s="460"/>
      <c r="C667" s="308" t="s">
        <v>11464</v>
      </c>
      <c r="D667" s="306">
        <v>250000</v>
      </c>
      <c r="E667" s="306"/>
      <c r="F667" s="48">
        <f t="shared" si="22"/>
        <v>8724791</v>
      </c>
      <c r="G667" s="400" t="s">
        <v>9568</v>
      </c>
      <c r="K667" s="379"/>
    </row>
    <row r="668" spans="1:11" s="357" customFormat="1" x14ac:dyDescent="0.25">
      <c r="A668" s="446">
        <v>45097</v>
      </c>
      <c r="B668" s="460"/>
      <c r="C668" s="308" t="s">
        <v>8516</v>
      </c>
      <c r="D668" s="306">
        <v>1000000</v>
      </c>
      <c r="E668" s="306"/>
      <c r="F668" s="48">
        <f t="shared" si="22"/>
        <v>7724791</v>
      </c>
      <c r="G668" s="400" t="s">
        <v>9568</v>
      </c>
      <c r="K668" s="379"/>
    </row>
    <row r="669" spans="1:11" ht="30" x14ac:dyDescent="0.25">
      <c r="A669" s="446">
        <v>45099</v>
      </c>
      <c r="B669" s="394"/>
      <c r="C669" s="305" t="s">
        <v>11487</v>
      </c>
      <c r="D669" s="306">
        <v>150000</v>
      </c>
      <c r="E669" s="306"/>
      <c r="F669" s="48">
        <f t="shared" si="22"/>
        <v>7574791</v>
      </c>
      <c r="G669" s="400" t="s">
        <v>9568</v>
      </c>
    </row>
    <row r="670" spans="1:11" x14ac:dyDescent="0.25">
      <c r="A670" s="446">
        <v>45099</v>
      </c>
      <c r="B670" s="394"/>
      <c r="C670" s="308" t="s">
        <v>11433</v>
      </c>
      <c r="D670" s="306"/>
      <c r="E670" s="306">
        <v>1900000</v>
      </c>
      <c r="F670" s="48">
        <f t="shared" si="22"/>
        <v>9474791</v>
      </c>
      <c r="G670" s="400" t="s">
        <v>9568</v>
      </c>
    </row>
    <row r="671" spans="1:11" ht="30" x14ac:dyDescent="0.25">
      <c r="A671" s="446">
        <v>45099</v>
      </c>
      <c r="B671" s="394"/>
      <c r="C671" s="305" t="s">
        <v>11496</v>
      </c>
      <c r="D671" s="306">
        <v>50000</v>
      </c>
      <c r="E671" s="306"/>
      <c r="F671" s="48">
        <f t="shared" si="22"/>
        <v>9424791</v>
      </c>
      <c r="G671" s="400" t="s">
        <v>9568</v>
      </c>
    </row>
    <row r="672" spans="1:11" ht="30" x14ac:dyDescent="0.25">
      <c r="A672" s="446">
        <v>45101</v>
      </c>
      <c r="B672" s="394"/>
      <c r="C672" s="309" t="s">
        <v>11515</v>
      </c>
      <c r="D672" s="306">
        <v>182700</v>
      </c>
      <c r="E672" s="306"/>
      <c r="F672" s="48">
        <f t="shared" si="22"/>
        <v>9242091</v>
      </c>
      <c r="G672" s="400" t="s">
        <v>9568</v>
      </c>
    </row>
    <row r="673" spans="1:7" x14ac:dyDescent="0.25">
      <c r="A673" s="446">
        <v>45103</v>
      </c>
      <c r="B673" s="394"/>
      <c r="C673" s="308" t="s">
        <v>8516</v>
      </c>
      <c r="D673" s="304">
        <v>500000</v>
      </c>
      <c r="E673" s="306"/>
      <c r="F673" s="48">
        <f t="shared" si="22"/>
        <v>8742091</v>
      </c>
      <c r="G673" s="400" t="s">
        <v>9568</v>
      </c>
    </row>
    <row r="674" spans="1:7" x14ac:dyDescent="0.25">
      <c r="A674" s="446">
        <v>45103</v>
      </c>
      <c r="B674" s="394"/>
      <c r="C674" s="309" t="s">
        <v>11529</v>
      </c>
      <c r="D674" s="304">
        <v>65000</v>
      </c>
      <c r="E674" s="306"/>
      <c r="F674" s="48">
        <f t="shared" si="22"/>
        <v>8677091</v>
      </c>
      <c r="G674" s="400" t="s">
        <v>9568</v>
      </c>
    </row>
    <row r="675" spans="1:7" x14ac:dyDescent="0.25">
      <c r="A675" s="446">
        <v>45103</v>
      </c>
      <c r="B675" s="394"/>
      <c r="C675" s="294" t="s">
        <v>11531</v>
      </c>
      <c r="D675" s="304">
        <v>100000</v>
      </c>
      <c r="E675" s="306"/>
      <c r="F675" s="48">
        <f t="shared" si="22"/>
        <v>8577091</v>
      </c>
      <c r="G675" s="400" t="s">
        <v>9568</v>
      </c>
    </row>
    <row r="676" spans="1:7" x14ac:dyDescent="0.25">
      <c r="A676" s="446">
        <v>45103</v>
      </c>
      <c r="B676" s="394"/>
      <c r="C676" s="308" t="s">
        <v>11433</v>
      </c>
      <c r="D676" s="306"/>
      <c r="E676" s="306">
        <v>1900000</v>
      </c>
      <c r="F676" s="48">
        <f t="shared" si="22"/>
        <v>10477091</v>
      </c>
      <c r="G676" s="400" t="s">
        <v>9568</v>
      </c>
    </row>
    <row r="677" spans="1:7" x14ac:dyDescent="0.25">
      <c r="A677" s="446">
        <v>45103</v>
      </c>
      <c r="B677" s="394"/>
      <c r="C677" s="308" t="s">
        <v>11433</v>
      </c>
      <c r="D677" s="306"/>
      <c r="E677" s="306">
        <v>1500000</v>
      </c>
      <c r="F677" s="48">
        <f t="shared" si="22"/>
        <v>11977091</v>
      </c>
      <c r="G677" s="400" t="s">
        <v>9568</v>
      </c>
    </row>
    <row r="678" spans="1:7" x14ac:dyDescent="0.25">
      <c r="A678" s="446">
        <v>45104</v>
      </c>
      <c r="B678" s="394"/>
      <c r="C678" s="309" t="s">
        <v>11552</v>
      </c>
      <c r="D678" s="304">
        <v>250000</v>
      </c>
      <c r="E678" s="306"/>
      <c r="F678" s="48">
        <f t="shared" si="22"/>
        <v>11727091</v>
      </c>
      <c r="G678" s="400" t="s">
        <v>9568</v>
      </c>
    </row>
    <row r="679" spans="1:7" x14ac:dyDescent="0.25">
      <c r="A679" s="446">
        <v>45104</v>
      </c>
      <c r="B679" s="394"/>
      <c r="C679" s="309" t="s">
        <v>11552</v>
      </c>
      <c r="D679" s="304">
        <v>150000</v>
      </c>
      <c r="E679" s="306"/>
      <c r="F679" s="48">
        <f t="shared" si="22"/>
        <v>11577091</v>
      </c>
      <c r="G679" s="400" t="s">
        <v>9568</v>
      </c>
    </row>
    <row r="680" spans="1:7" x14ac:dyDescent="0.25">
      <c r="A680" s="446">
        <v>45104</v>
      </c>
      <c r="B680" s="394"/>
      <c r="C680" s="309" t="s">
        <v>11438</v>
      </c>
      <c r="D680" s="304">
        <v>150000</v>
      </c>
      <c r="E680" s="306"/>
      <c r="F680" s="48">
        <f t="shared" si="22"/>
        <v>11427091</v>
      </c>
      <c r="G680" s="400" t="s">
        <v>9568</v>
      </c>
    </row>
    <row r="681" spans="1:7" x14ac:dyDescent="0.25">
      <c r="A681" s="446">
        <v>45104</v>
      </c>
      <c r="B681" s="394"/>
      <c r="C681" s="308" t="s">
        <v>11433</v>
      </c>
      <c r="D681" s="306"/>
      <c r="E681" s="306">
        <v>1000000</v>
      </c>
      <c r="F681" s="48">
        <f t="shared" si="22"/>
        <v>12427091</v>
      </c>
      <c r="G681" s="400" t="s">
        <v>9568</v>
      </c>
    </row>
    <row r="682" spans="1:7" x14ac:dyDescent="0.25">
      <c r="A682" s="446">
        <v>45104</v>
      </c>
      <c r="B682" s="394"/>
      <c r="C682" s="308" t="s">
        <v>11433</v>
      </c>
      <c r="D682" s="306"/>
      <c r="E682" s="306">
        <v>700000</v>
      </c>
      <c r="F682" s="48">
        <f t="shared" si="22"/>
        <v>13127091</v>
      </c>
      <c r="G682" s="400" t="s">
        <v>9568</v>
      </c>
    </row>
    <row r="683" spans="1:7" x14ac:dyDescent="0.25">
      <c r="A683" s="446">
        <v>45104</v>
      </c>
      <c r="B683" s="394"/>
      <c r="C683" s="309" t="s">
        <v>11458</v>
      </c>
      <c r="D683" s="304">
        <v>40000</v>
      </c>
      <c r="E683" s="306"/>
      <c r="F683" s="48">
        <f t="shared" si="22"/>
        <v>13087091</v>
      </c>
      <c r="G683" s="400" t="s">
        <v>9568</v>
      </c>
    </row>
    <row r="684" spans="1:7" ht="30" x14ac:dyDescent="0.25">
      <c r="A684" s="446">
        <v>45104</v>
      </c>
      <c r="B684" s="394"/>
      <c r="C684" s="309" t="s">
        <v>11573</v>
      </c>
      <c r="D684" s="304">
        <v>35000</v>
      </c>
      <c r="E684" s="306"/>
      <c r="F684" s="48">
        <f t="shared" si="22"/>
        <v>13052091</v>
      </c>
      <c r="G684" s="400" t="s">
        <v>9568</v>
      </c>
    </row>
    <row r="685" spans="1:7" x14ac:dyDescent="0.25">
      <c r="A685" s="446">
        <v>45104</v>
      </c>
      <c r="B685" s="394"/>
      <c r="C685" s="309" t="s">
        <v>11574</v>
      </c>
      <c r="D685" s="304">
        <v>100000</v>
      </c>
      <c r="E685" s="306"/>
      <c r="F685" s="48">
        <f t="shared" si="22"/>
        <v>12952091</v>
      </c>
      <c r="G685" s="400" t="s">
        <v>9568</v>
      </c>
    </row>
    <row r="686" spans="1:7" x14ac:dyDescent="0.25">
      <c r="A686" s="446">
        <v>45104</v>
      </c>
      <c r="B686" s="394"/>
      <c r="C686" s="309" t="s">
        <v>11574</v>
      </c>
      <c r="D686" s="304">
        <v>100000</v>
      </c>
      <c r="E686" s="306"/>
      <c r="F686" s="48">
        <f t="shared" si="22"/>
        <v>12852091</v>
      </c>
      <c r="G686" s="400" t="s">
        <v>9568</v>
      </c>
    </row>
    <row r="687" spans="1:7" ht="30" x14ac:dyDescent="0.25">
      <c r="A687" s="446">
        <v>45104</v>
      </c>
      <c r="B687" s="394"/>
      <c r="C687" s="309" t="s">
        <v>11575</v>
      </c>
      <c r="D687" s="304">
        <v>100000</v>
      </c>
      <c r="E687" s="306"/>
      <c r="F687" s="48">
        <f t="shared" si="22"/>
        <v>12752091</v>
      </c>
      <c r="G687" s="400" t="s">
        <v>9568</v>
      </c>
    </row>
    <row r="688" spans="1:7" x14ac:dyDescent="0.25">
      <c r="A688" s="446">
        <v>45104</v>
      </c>
      <c r="B688" s="394"/>
      <c r="C688" s="308" t="s">
        <v>11577</v>
      </c>
      <c r="D688" s="304">
        <v>100000</v>
      </c>
      <c r="E688" s="306"/>
      <c r="F688" s="48">
        <f t="shared" si="22"/>
        <v>12652091</v>
      </c>
      <c r="G688" s="400" t="s">
        <v>9568</v>
      </c>
    </row>
    <row r="689" spans="1:9" x14ac:dyDescent="0.25">
      <c r="A689" s="446">
        <v>45112</v>
      </c>
      <c r="B689" s="394"/>
      <c r="C689" s="308" t="s">
        <v>11599</v>
      </c>
      <c r="D689" s="306">
        <v>80000</v>
      </c>
      <c r="E689" s="306"/>
      <c r="F689" s="48">
        <f t="shared" si="22"/>
        <v>12572091</v>
      </c>
      <c r="G689" s="400" t="s">
        <v>9568</v>
      </c>
    </row>
    <row r="690" spans="1:9" x14ac:dyDescent="0.25">
      <c r="A690" s="446">
        <v>45112</v>
      </c>
      <c r="B690" s="394"/>
      <c r="C690" s="308" t="s">
        <v>11601</v>
      </c>
      <c r="D690" s="304">
        <v>95000</v>
      </c>
      <c r="E690" s="306"/>
      <c r="F690" s="48">
        <f t="shared" si="22"/>
        <v>12477091</v>
      </c>
      <c r="G690" s="400" t="s">
        <v>9568</v>
      </c>
    </row>
    <row r="691" spans="1:9" ht="30" x14ac:dyDescent="0.25">
      <c r="A691" s="446">
        <v>45115</v>
      </c>
      <c r="B691" s="394"/>
      <c r="C691" s="309" t="s">
        <v>11573</v>
      </c>
      <c r="D691" s="306">
        <v>50000</v>
      </c>
      <c r="E691" s="306"/>
      <c r="F691" s="48">
        <f t="shared" si="22"/>
        <v>12427091</v>
      </c>
      <c r="G691" s="400" t="s">
        <v>9568</v>
      </c>
    </row>
    <row r="692" spans="1:9" ht="30" x14ac:dyDescent="0.25">
      <c r="A692" s="446">
        <v>45117</v>
      </c>
      <c r="B692" s="394"/>
      <c r="C692" s="309" t="s">
        <v>11638</v>
      </c>
      <c r="D692" s="306">
        <v>25000</v>
      </c>
      <c r="E692" s="306"/>
      <c r="F692" s="48">
        <f t="shared" si="22"/>
        <v>12402091</v>
      </c>
      <c r="G692" s="400" t="s">
        <v>9568</v>
      </c>
    </row>
    <row r="693" spans="1:9" ht="30" x14ac:dyDescent="0.25">
      <c r="A693" s="446">
        <v>45117</v>
      </c>
      <c r="B693" s="394"/>
      <c r="C693" s="309" t="s">
        <v>11642</v>
      </c>
      <c r="D693" s="306">
        <v>25000</v>
      </c>
      <c r="E693" s="306"/>
      <c r="F693" s="48">
        <f t="shared" si="22"/>
        <v>12377091</v>
      </c>
      <c r="G693" s="400" t="s">
        <v>9568</v>
      </c>
    </row>
    <row r="694" spans="1:9" ht="30" x14ac:dyDescent="0.25">
      <c r="A694" s="446">
        <v>45117</v>
      </c>
      <c r="B694" s="394"/>
      <c r="C694" s="309" t="s">
        <v>11640</v>
      </c>
      <c r="D694" s="306">
        <v>43000</v>
      </c>
      <c r="E694" s="306"/>
      <c r="F694" s="48">
        <f t="shared" si="22"/>
        <v>12334091</v>
      </c>
      <c r="G694" s="400" t="s">
        <v>9568</v>
      </c>
    </row>
    <row r="695" spans="1:9" ht="30" x14ac:dyDescent="0.25">
      <c r="A695" s="446">
        <v>45117</v>
      </c>
      <c r="B695" s="394"/>
      <c r="C695" s="309" t="s">
        <v>11641</v>
      </c>
      <c r="D695" s="306">
        <v>100000</v>
      </c>
      <c r="E695" s="306"/>
      <c r="F695" s="48">
        <f t="shared" si="22"/>
        <v>12234091</v>
      </c>
      <c r="G695" s="400" t="s">
        <v>9568</v>
      </c>
    </row>
    <row r="696" spans="1:9" ht="30" x14ac:dyDescent="0.25">
      <c r="A696" s="446">
        <v>45117</v>
      </c>
      <c r="B696" s="394"/>
      <c r="C696" s="309" t="s">
        <v>11646</v>
      </c>
      <c r="D696" s="306">
        <v>250000</v>
      </c>
      <c r="E696" s="306"/>
      <c r="F696" s="48">
        <f t="shared" si="22"/>
        <v>11984091</v>
      </c>
      <c r="G696" s="400" t="s">
        <v>9568</v>
      </c>
    </row>
    <row r="697" spans="1:9" ht="30" x14ac:dyDescent="0.25">
      <c r="A697" s="446">
        <v>45117</v>
      </c>
      <c r="B697" s="394"/>
      <c r="C697" s="309" t="s">
        <v>11646</v>
      </c>
      <c r="D697" s="306">
        <v>169000</v>
      </c>
      <c r="E697" s="306"/>
      <c r="F697" s="48">
        <f t="shared" si="22"/>
        <v>11815091</v>
      </c>
      <c r="G697" s="400" t="s">
        <v>9568</v>
      </c>
      <c r="I697" s="277"/>
    </row>
    <row r="698" spans="1:9" ht="30" x14ac:dyDescent="0.25">
      <c r="A698" s="446">
        <v>45117</v>
      </c>
      <c r="B698" s="394"/>
      <c r="C698" s="309" t="s">
        <v>11647</v>
      </c>
      <c r="D698" s="306">
        <v>100000</v>
      </c>
      <c r="E698" s="306"/>
      <c r="F698" s="48">
        <f t="shared" si="22"/>
        <v>11715091</v>
      </c>
      <c r="G698" s="400" t="s">
        <v>9568</v>
      </c>
    </row>
    <row r="699" spans="1:9" x14ac:dyDescent="0.25">
      <c r="A699" s="446">
        <v>45119</v>
      </c>
      <c r="B699" s="394"/>
      <c r="C699" s="309" t="s">
        <v>11659</v>
      </c>
      <c r="D699" s="304">
        <v>250000</v>
      </c>
      <c r="E699" s="306"/>
      <c r="F699" s="48">
        <f t="shared" si="22"/>
        <v>11465091</v>
      </c>
      <c r="G699" s="400" t="s">
        <v>9568</v>
      </c>
    </row>
    <row r="700" spans="1:9" ht="30" x14ac:dyDescent="0.25">
      <c r="A700" s="446">
        <v>45119</v>
      </c>
      <c r="B700" s="394"/>
      <c r="C700" s="309" t="s">
        <v>11665</v>
      </c>
      <c r="D700" s="304">
        <v>250000</v>
      </c>
      <c r="E700" s="306"/>
      <c r="F700" s="48">
        <f t="shared" si="22"/>
        <v>11215091</v>
      </c>
      <c r="G700" s="400" t="s">
        <v>9568</v>
      </c>
    </row>
    <row r="701" spans="1:9" ht="30" x14ac:dyDescent="0.25">
      <c r="A701" s="446">
        <v>45119</v>
      </c>
      <c r="B701" s="394"/>
      <c r="C701" s="309" t="s">
        <v>11665</v>
      </c>
      <c r="D701" s="304">
        <v>250000</v>
      </c>
      <c r="E701" s="306"/>
      <c r="F701" s="48">
        <f t="shared" si="22"/>
        <v>10965091</v>
      </c>
      <c r="G701" s="400" t="s">
        <v>9568</v>
      </c>
    </row>
    <row r="702" spans="1:9" ht="30" x14ac:dyDescent="0.25">
      <c r="A702" s="446">
        <v>45119</v>
      </c>
      <c r="B702" s="394"/>
      <c r="C702" s="309" t="s">
        <v>11641</v>
      </c>
      <c r="D702" s="306">
        <v>116000</v>
      </c>
      <c r="E702" s="306"/>
      <c r="F702" s="48">
        <f t="shared" si="22"/>
        <v>10849091</v>
      </c>
      <c r="G702" s="400" t="s">
        <v>9568</v>
      </c>
    </row>
    <row r="703" spans="1:9" ht="30" x14ac:dyDescent="0.25">
      <c r="A703" s="446">
        <v>45119</v>
      </c>
      <c r="B703" s="394"/>
      <c r="C703" s="309" t="s">
        <v>11671</v>
      </c>
      <c r="D703" s="306">
        <v>51550</v>
      </c>
      <c r="E703" s="306"/>
      <c r="F703" s="48">
        <f t="shared" si="22"/>
        <v>10797541</v>
      </c>
      <c r="G703" s="400" t="s">
        <v>9568</v>
      </c>
    </row>
    <row r="704" spans="1:9" ht="30" x14ac:dyDescent="0.25">
      <c r="A704" s="446">
        <v>45119</v>
      </c>
      <c r="B704" s="394"/>
      <c r="C704" s="309" t="s">
        <v>11673</v>
      </c>
      <c r="D704" s="306">
        <v>205200</v>
      </c>
      <c r="E704" s="306"/>
      <c r="F704" s="48">
        <f t="shared" si="22"/>
        <v>10592341</v>
      </c>
      <c r="G704" s="400" t="s">
        <v>9568</v>
      </c>
    </row>
    <row r="705" spans="1:11" x14ac:dyDescent="0.25">
      <c r="A705" s="446">
        <v>45120</v>
      </c>
      <c r="B705" s="394"/>
      <c r="C705" s="309" t="s">
        <v>11686</v>
      </c>
      <c r="D705" s="306">
        <v>30000</v>
      </c>
      <c r="E705" s="306"/>
      <c r="F705" s="48">
        <f t="shared" si="22"/>
        <v>10562341</v>
      </c>
      <c r="G705" s="400" t="s">
        <v>9568</v>
      </c>
    </row>
    <row r="706" spans="1:11" ht="30" x14ac:dyDescent="0.25">
      <c r="A706" s="446">
        <v>45120</v>
      </c>
      <c r="B706" s="394"/>
      <c r="C706" s="309" t="s">
        <v>11687</v>
      </c>
      <c r="D706" s="306">
        <v>30000</v>
      </c>
      <c r="E706" s="306"/>
      <c r="F706" s="48">
        <f t="shared" si="22"/>
        <v>10532341</v>
      </c>
      <c r="G706" s="400" t="s">
        <v>9568</v>
      </c>
    </row>
    <row r="707" spans="1:11" x14ac:dyDescent="0.25">
      <c r="A707" s="446">
        <v>45121</v>
      </c>
      <c r="B707" s="394"/>
      <c r="C707" s="308" t="s">
        <v>11601</v>
      </c>
      <c r="D707" s="304">
        <v>900000</v>
      </c>
      <c r="E707" s="306"/>
      <c r="F707" s="48">
        <f t="shared" si="22"/>
        <v>9632341</v>
      </c>
      <c r="G707" s="400" t="s">
        <v>9568</v>
      </c>
    </row>
    <row r="708" spans="1:11" x14ac:dyDescent="0.25">
      <c r="A708" s="446">
        <v>45122</v>
      </c>
      <c r="B708" s="394"/>
      <c r="C708" s="294" t="s">
        <v>11712</v>
      </c>
      <c r="D708" s="304"/>
      <c r="E708" s="306">
        <v>30000</v>
      </c>
      <c r="F708" s="48">
        <f t="shared" si="22"/>
        <v>9662341</v>
      </c>
      <c r="G708" s="400" t="s">
        <v>9568</v>
      </c>
    </row>
    <row r="709" spans="1:11" x14ac:dyDescent="0.25">
      <c r="A709" s="446">
        <v>45124</v>
      </c>
      <c r="B709" s="394"/>
      <c r="C709" s="305" t="s">
        <v>11719</v>
      </c>
      <c r="D709" s="304"/>
      <c r="E709" s="306">
        <v>1000000</v>
      </c>
      <c r="F709" s="48">
        <f t="shared" si="22"/>
        <v>10662341</v>
      </c>
      <c r="G709" s="400" t="s">
        <v>9568</v>
      </c>
    </row>
    <row r="710" spans="1:11" ht="30" x14ac:dyDescent="0.25">
      <c r="A710" s="446">
        <v>45124</v>
      </c>
      <c r="B710" s="394"/>
      <c r="C710" s="305" t="s">
        <v>11722</v>
      </c>
      <c r="D710" s="306">
        <v>82400</v>
      </c>
      <c r="E710" s="306"/>
      <c r="F710" s="48">
        <f t="shared" si="22"/>
        <v>10579941</v>
      </c>
      <c r="G710" s="400" t="s">
        <v>9568</v>
      </c>
    </row>
    <row r="711" spans="1:11" ht="30" x14ac:dyDescent="0.25">
      <c r="A711" s="446">
        <v>45127</v>
      </c>
      <c r="B711" s="394"/>
      <c r="C711" s="309" t="s">
        <v>11755</v>
      </c>
      <c r="D711" s="306">
        <v>100000</v>
      </c>
      <c r="E711" s="306"/>
      <c r="F711" s="48">
        <f t="shared" si="22"/>
        <v>10479941</v>
      </c>
      <c r="G711" s="400" t="s">
        <v>9568</v>
      </c>
    </row>
    <row r="712" spans="1:11" x14ac:dyDescent="0.25">
      <c r="A712" s="446">
        <v>45129</v>
      </c>
      <c r="B712" s="394"/>
      <c r="C712" s="294" t="s">
        <v>11774</v>
      </c>
      <c r="D712" s="304">
        <v>120000</v>
      </c>
      <c r="E712" s="306"/>
      <c r="F712" s="48">
        <f t="shared" si="22"/>
        <v>10359941</v>
      </c>
      <c r="G712" s="400" t="s">
        <v>9568</v>
      </c>
    </row>
    <row r="713" spans="1:11" x14ac:dyDescent="0.25">
      <c r="A713" s="446">
        <v>45131</v>
      </c>
      <c r="B713" s="394"/>
      <c r="C713" s="294" t="s">
        <v>294</v>
      </c>
      <c r="D713" s="304"/>
      <c r="E713" s="306">
        <v>20000</v>
      </c>
      <c r="F713" s="48">
        <f t="shared" si="22"/>
        <v>10379941</v>
      </c>
      <c r="G713" s="400" t="s">
        <v>9568</v>
      </c>
    </row>
    <row r="714" spans="1:11" ht="30" x14ac:dyDescent="0.25">
      <c r="A714" s="446">
        <v>45132</v>
      </c>
      <c r="B714" s="460"/>
      <c r="C714" s="309" t="s">
        <v>11665</v>
      </c>
      <c r="D714" s="306">
        <v>150000</v>
      </c>
      <c r="E714" s="306"/>
      <c r="F714" s="48">
        <f t="shared" si="22"/>
        <v>10229941</v>
      </c>
      <c r="G714" s="400" t="s">
        <v>9568</v>
      </c>
    </row>
    <row r="715" spans="1:11" ht="30" x14ac:dyDescent="0.25">
      <c r="A715" s="446">
        <v>45132</v>
      </c>
      <c r="B715" s="460"/>
      <c r="C715" s="309" t="s">
        <v>11799</v>
      </c>
      <c r="D715" s="306">
        <v>111560</v>
      </c>
      <c r="E715" s="306"/>
      <c r="F715" s="48">
        <f t="shared" si="22"/>
        <v>10118381</v>
      </c>
      <c r="G715" s="400" t="s">
        <v>9568</v>
      </c>
    </row>
    <row r="716" spans="1:11" ht="45" x14ac:dyDescent="0.25">
      <c r="A716" s="446">
        <v>45132</v>
      </c>
      <c r="B716" s="460"/>
      <c r="C716" s="309" t="s">
        <v>11801</v>
      </c>
      <c r="D716" s="306">
        <v>47470</v>
      </c>
      <c r="E716" s="306"/>
      <c r="F716" s="48">
        <f t="shared" si="22"/>
        <v>10070911</v>
      </c>
      <c r="G716" s="400" t="s">
        <v>9568</v>
      </c>
    </row>
    <row r="717" spans="1:11" s="357" customFormat="1" ht="30" x14ac:dyDescent="0.25">
      <c r="A717" s="446">
        <v>45132</v>
      </c>
      <c r="B717" s="460"/>
      <c r="C717" s="309" t="s">
        <v>11802</v>
      </c>
      <c r="D717" s="306">
        <v>229500</v>
      </c>
      <c r="E717" s="306"/>
      <c r="F717" s="48">
        <f t="shared" si="22"/>
        <v>9841411</v>
      </c>
      <c r="G717" s="400" t="s">
        <v>9568</v>
      </c>
      <c r="K717" s="379"/>
    </row>
    <row r="718" spans="1:11" ht="30" x14ac:dyDescent="0.25">
      <c r="A718" s="446">
        <v>45133</v>
      </c>
      <c r="B718" s="394"/>
      <c r="C718" s="309" t="s">
        <v>11809</v>
      </c>
      <c r="D718" s="304">
        <v>250000</v>
      </c>
      <c r="E718" s="306"/>
      <c r="F718" s="48">
        <f t="shared" si="22"/>
        <v>9591411</v>
      </c>
      <c r="G718" s="400" t="s">
        <v>9568</v>
      </c>
    </row>
    <row r="719" spans="1:11" ht="30" x14ac:dyDescent="0.25">
      <c r="A719" s="446">
        <v>45133</v>
      </c>
      <c r="B719" s="394"/>
      <c r="C719" s="309" t="s">
        <v>11809</v>
      </c>
      <c r="D719" s="304">
        <v>100000</v>
      </c>
      <c r="E719" s="306"/>
      <c r="F719" s="48">
        <f t="shared" si="22"/>
        <v>9491411</v>
      </c>
      <c r="G719" s="400" t="s">
        <v>9568</v>
      </c>
    </row>
    <row r="720" spans="1:11" x14ac:dyDescent="0.25">
      <c r="A720" s="446">
        <v>45133</v>
      </c>
      <c r="B720" s="394"/>
      <c r="C720" s="309" t="s">
        <v>11659</v>
      </c>
      <c r="D720" s="304">
        <v>150000</v>
      </c>
      <c r="E720" s="306"/>
      <c r="F720" s="48">
        <f t="shared" si="22"/>
        <v>9341411</v>
      </c>
      <c r="G720" s="400" t="s">
        <v>9568</v>
      </c>
    </row>
    <row r="721" spans="1:11" x14ac:dyDescent="0.25">
      <c r="A721" s="446">
        <v>45134</v>
      </c>
      <c r="B721" s="394"/>
      <c r="C721" s="309" t="s">
        <v>11823</v>
      </c>
      <c r="D721" s="304">
        <v>10000</v>
      </c>
      <c r="E721" s="306"/>
      <c r="F721" s="48">
        <f t="shared" si="22"/>
        <v>9331411</v>
      </c>
      <c r="G721" s="400" t="s">
        <v>9568</v>
      </c>
    </row>
    <row r="722" spans="1:11" x14ac:dyDescent="0.25">
      <c r="A722" s="446">
        <v>45135</v>
      </c>
      <c r="B722" s="394"/>
      <c r="C722" s="309" t="s">
        <v>11828</v>
      </c>
      <c r="D722" s="304">
        <v>30000</v>
      </c>
      <c r="E722" s="306"/>
      <c r="F722" s="48">
        <f t="shared" ref="F722:F783" si="23">F721+E722-D722</f>
        <v>9301411</v>
      </c>
      <c r="G722" s="400" t="s">
        <v>9568</v>
      </c>
    </row>
    <row r="723" spans="1:11" s="357" customFormat="1" ht="30" x14ac:dyDescent="0.25">
      <c r="A723" s="446">
        <v>45136</v>
      </c>
      <c r="B723" s="460"/>
      <c r="C723" s="309" t="s">
        <v>11830</v>
      </c>
      <c r="D723" s="306">
        <v>100000</v>
      </c>
      <c r="E723" s="306"/>
      <c r="F723" s="48">
        <f t="shared" si="23"/>
        <v>9201411</v>
      </c>
      <c r="G723" s="400" t="s">
        <v>9568</v>
      </c>
      <c r="K723" s="379"/>
    </row>
    <row r="724" spans="1:11" x14ac:dyDescent="0.25">
      <c r="A724" s="446">
        <v>45137</v>
      </c>
      <c r="B724" s="394"/>
      <c r="C724" s="309" t="s">
        <v>11828</v>
      </c>
      <c r="D724" s="304">
        <v>10000</v>
      </c>
      <c r="E724" s="306"/>
      <c r="F724" s="48">
        <f t="shared" si="23"/>
        <v>9191411</v>
      </c>
      <c r="G724" s="400" t="s">
        <v>9568</v>
      </c>
    </row>
    <row r="725" spans="1:11" x14ac:dyDescent="0.25">
      <c r="A725" s="446">
        <v>45138</v>
      </c>
      <c r="B725" s="394"/>
      <c r="C725" s="309" t="s">
        <v>11837</v>
      </c>
      <c r="D725" s="306">
        <v>57000</v>
      </c>
      <c r="E725" s="306"/>
      <c r="F725" s="48">
        <f t="shared" si="23"/>
        <v>9134411</v>
      </c>
      <c r="G725" s="400" t="s">
        <v>9568</v>
      </c>
    </row>
    <row r="726" spans="1:11" x14ac:dyDescent="0.25">
      <c r="A726" s="446">
        <v>45139</v>
      </c>
      <c r="B726" s="394"/>
      <c r="C726" s="309" t="s">
        <v>11841</v>
      </c>
      <c r="D726" s="304">
        <v>250000</v>
      </c>
      <c r="E726" s="306"/>
      <c r="F726" s="48">
        <f t="shared" si="23"/>
        <v>8884411</v>
      </c>
      <c r="G726" s="400" t="s">
        <v>9568</v>
      </c>
    </row>
    <row r="727" spans="1:11" x14ac:dyDescent="0.25">
      <c r="A727" s="446">
        <v>45139</v>
      </c>
      <c r="B727" s="394"/>
      <c r="C727" s="309" t="s">
        <v>11841</v>
      </c>
      <c r="D727" s="304">
        <v>250000</v>
      </c>
      <c r="E727" s="306"/>
      <c r="F727" s="48">
        <f t="shared" si="23"/>
        <v>8634411</v>
      </c>
      <c r="G727" s="400" t="s">
        <v>9568</v>
      </c>
    </row>
    <row r="728" spans="1:11" x14ac:dyDescent="0.25">
      <c r="A728" s="446">
        <v>45139</v>
      </c>
      <c r="B728" s="394"/>
      <c r="C728" s="309" t="s">
        <v>11841</v>
      </c>
      <c r="D728" s="304">
        <v>250000</v>
      </c>
      <c r="E728" s="306"/>
      <c r="F728" s="48">
        <f t="shared" si="23"/>
        <v>8384411</v>
      </c>
      <c r="G728" s="400" t="s">
        <v>9568</v>
      </c>
    </row>
    <row r="729" spans="1:11" x14ac:dyDescent="0.25">
      <c r="A729" s="446">
        <v>45139</v>
      </c>
      <c r="B729" s="394"/>
      <c r="C729" s="309" t="s">
        <v>11841</v>
      </c>
      <c r="D729" s="304">
        <v>50000</v>
      </c>
      <c r="E729" s="306"/>
      <c r="F729" s="48">
        <f t="shared" si="23"/>
        <v>8334411</v>
      </c>
      <c r="G729" s="400" t="s">
        <v>9568</v>
      </c>
    </row>
    <row r="730" spans="1:11" s="357" customFormat="1" ht="30" x14ac:dyDescent="0.25">
      <c r="A730" s="446">
        <v>45139</v>
      </c>
      <c r="B730" s="460"/>
      <c r="C730" s="309" t="s">
        <v>11487</v>
      </c>
      <c r="D730" s="306">
        <v>100000</v>
      </c>
      <c r="E730" s="306"/>
      <c r="F730" s="48">
        <f t="shared" si="23"/>
        <v>8234411</v>
      </c>
      <c r="G730" s="400" t="s">
        <v>9568</v>
      </c>
      <c r="K730" s="379"/>
    </row>
    <row r="731" spans="1:11" x14ac:dyDescent="0.25">
      <c r="A731" s="446">
        <v>45140</v>
      </c>
      <c r="B731" s="394"/>
      <c r="C731" s="309" t="s">
        <v>11846</v>
      </c>
      <c r="D731" s="306">
        <v>100000</v>
      </c>
      <c r="E731" s="306"/>
      <c r="F731" s="48">
        <f t="shared" si="23"/>
        <v>8134411</v>
      </c>
      <c r="G731" s="400" t="s">
        <v>9568</v>
      </c>
    </row>
    <row r="732" spans="1:11" ht="30" x14ac:dyDescent="0.25">
      <c r="A732" s="446">
        <v>45142</v>
      </c>
      <c r="B732" s="394"/>
      <c r="C732" s="305" t="s">
        <v>11859</v>
      </c>
      <c r="D732" s="306">
        <v>250000</v>
      </c>
      <c r="E732" s="306"/>
      <c r="F732" s="48">
        <f t="shared" si="23"/>
        <v>7884411</v>
      </c>
      <c r="G732" s="400" t="s">
        <v>9568</v>
      </c>
    </row>
    <row r="733" spans="1:11" ht="30" x14ac:dyDescent="0.25">
      <c r="A733" s="446">
        <v>45142</v>
      </c>
      <c r="B733" s="394"/>
      <c r="C733" s="305" t="s">
        <v>11859</v>
      </c>
      <c r="D733" s="306">
        <v>50000</v>
      </c>
      <c r="E733" s="306"/>
      <c r="F733" s="48">
        <f t="shared" si="23"/>
        <v>7834411</v>
      </c>
      <c r="G733" s="400" t="s">
        <v>9568</v>
      </c>
    </row>
    <row r="734" spans="1:11" ht="30" x14ac:dyDescent="0.25">
      <c r="A734" s="446">
        <v>45143</v>
      </c>
      <c r="B734" s="394"/>
      <c r="C734" s="309" t="s">
        <v>11871</v>
      </c>
      <c r="D734" s="306">
        <v>231000</v>
      </c>
      <c r="E734" s="306"/>
      <c r="F734" s="48">
        <f t="shared" si="23"/>
        <v>7603411</v>
      </c>
      <c r="G734" s="400" t="s">
        <v>9568</v>
      </c>
    </row>
    <row r="735" spans="1:11" x14ac:dyDescent="0.25">
      <c r="A735" s="446">
        <v>45143</v>
      </c>
      <c r="B735" s="394"/>
      <c r="C735" s="309" t="s">
        <v>11823</v>
      </c>
      <c r="D735" s="306">
        <v>20000</v>
      </c>
      <c r="E735" s="306"/>
      <c r="F735" s="48">
        <f t="shared" si="23"/>
        <v>7583411</v>
      </c>
      <c r="G735" s="400" t="s">
        <v>9568</v>
      </c>
    </row>
    <row r="736" spans="1:11" ht="30" x14ac:dyDescent="0.25">
      <c r="A736" s="446">
        <v>45145</v>
      </c>
      <c r="B736" s="394"/>
      <c r="C736" s="309" t="s">
        <v>11890</v>
      </c>
      <c r="D736" s="304">
        <v>88000</v>
      </c>
      <c r="E736" s="306"/>
      <c r="F736" s="48">
        <f t="shared" si="23"/>
        <v>7495411</v>
      </c>
      <c r="G736" s="400" t="s">
        <v>9568</v>
      </c>
    </row>
    <row r="737" spans="1:11" ht="30" x14ac:dyDescent="0.25">
      <c r="A737" s="446">
        <v>45146</v>
      </c>
      <c r="B737" s="394"/>
      <c r="C737" s="309" t="s">
        <v>11902</v>
      </c>
      <c r="D737" s="304">
        <v>50000</v>
      </c>
      <c r="E737" s="306"/>
      <c r="F737" s="48">
        <f t="shared" si="23"/>
        <v>7445411</v>
      </c>
      <c r="G737" s="400" t="s">
        <v>9568</v>
      </c>
    </row>
    <row r="738" spans="1:11" ht="30" x14ac:dyDescent="0.25">
      <c r="A738" s="446">
        <v>45146</v>
      </c>
      <c r="B738" s="394"/>
      <c r="C738" s="309" t="s">
        <v>11903</v>
      </c>
      <c r="D738" s="304">
        <v>27000</v>
      </c>
      <c r="E738" s="306"/>
      <c r="F738" s="48">
        <f t="shared" si="23"/>
        <v>7418411</v>
      </c>
      <c r="G738" s="400" t="s">
        <v>9568</v>
      </c>
    </row>
    <row r="739" spans="1:11" ht="30" x14ac:dyDescent="0.25">
      <c r="A739" s="446">
        <v>45147</v>
      </c>
      <c r="B739" s="394"/>
      <c r="C739" s="309" t="s">
        <v>11911</v>
      </c>
      <c r="D739" s="304">
        <v>200000</v>
      </c>
      <c r="E739" s="306"/>
      <c r="F739" s="48">
        <f t="shared" si="23"/>
        <v>7218411</v>
      </c>
      <c r="G739" s="400" t="s">
        <v>9568</v>
      </c>
    </row>
    <row r="740" spans="1:11" ht="30" x14ac:dyDescent="0.25">
      <c r="A740" s="446">
        <v>45147</v>
      </c>
      <c r="B740" s="394"/>
      <c r="C740" s="309" t="s">
        <v>11755</v>
      </c>
      <c r="D740" s="304">
        <v>100000</v>
      </c>
      <c r="E740" s="306"/>
      <c r="F740" s="48">
        <f t="shared" si="23"/>
        <v>7118411</v>
      </c>
      <c r="G740" s="400" t="s">
        <v>9568</v>
      </c>
    </row>
    <row r="741" spans="1:11" x14ac:dyDescent="0.25">
      <c r="A741" s="446">
        <v>45147</v>
      </c>
      <c r="B741" s="394"/>
      <c r="C741" s="309" t="s">
        <v>11933</v>
      </c>
      <c r="D741" s="304">
        <v>250000</v>
      </c>
      <c r="E741" s="306"/>
      <c r="F741" s="48">
        <f t="shared" si="23"/>
        <v>6868411</v>
      </c>
      <c r="G741" s="400" t="s">
        <v>9568</v>
      </c>
    </row>
    <row r="742" spans="1:11" x14ac:dyDescent="0.25">
      <c r="A742" s="446">
        <v>45147</v>
      </c>
      <c r="B742" s="394"/>
      <c r="C742" s="308" t="s">
        <v>11952</v>
      </c>
      <c r="D742" s="306">
        <v>80000</v>
      </c>
      <c r="E742" s="306"/>
      <c r="F742" s="48">
        <f t="shared" si="23"/>
        <v>6788411</v>
      </c>
      <c r="G742" s="400" t="s">
        <v>9568</v>
      </c>
    </row>
    <row r="743" spans="1:11" x14ac:dyDescent="0.25">
      <c r="A743" s="446">
        <v>45147</v>
      </c>
      <c r="B743" s="394"/>
      <c r="C743" s="309" t="s">
        <v>11969</v>
      </c>
      <c r="D743" s="306">
        <v>100000</v>
      </c>
      <c r="E743" s="306"/>
      <c r="F743" s="48">
        <f t="shared" si="23"/>
        <v>6688411</v>
      </c>
      <c r="G743" s="400" t="s">
        <v>9568</v>
      </c>
    </row>
    <row r="744" spans="1:11" x14ac:dyDescent="0.25">
      <c r="A744" s="446">
        <v>45150</v>
      </c>
      <c r="B744" s="460"/>
      <c r="C744" s="551" t="s">
        <v>11955</v>
      </c>
      <c r="D744" s="552">
        <v>30000</v>
      </c>
      <c r="E744" s="306"/>
      <c r="F744" s="48">
        <f t="shared" si="23"/>
        <v>6658411</v>
      </c>
      <c r="G744" s="400" t="s">
        <v>9568</v>
      </c>
    </row>
    <row r="745" spans="1:11" x14ac:dyDescent="0.25">
      <c r="A745" s="446">
        <v>45153</v>
      </c>
      <c r="B745" s="460"/>
      <c r="C745" s="308" t="s">
        <v>11959</v>
      </c>
      <c r="D745" s="306"/>
      <c r="E745" s="306">
        <v>35000</v>
      </c>
      <c r="F745" s="48">
        <f t="shared" si="23"/>
        <v>6693411</v>
      </c>
      <c r="G745" s="400" t="s">
        <v>9568</v>
      </c>
    </row>
    <row r="746" spans="1:11" x14ac:dyDescent="0.25">
      <c r="A746" s="446">
        <v>45153</v>
      </c>
      <c r="B746" s="460"/>
      <c r="C746" s="309" t="s">
        <v>11963</v>
      </c>
      <c r="D746" s="306">
        <v>205000</v>
      </c>
      <c r="E746" s="306"/>
      <c r="F746" s="48">
        <f t="shared" si="23"/>
        <v>6488411</v>
      </c>
      <c r="G746" s="400" t="s">
        <v>9568</v>
      </c>
    </row>
    <row r="747" spans="1:11" ht="30" x14ac:dyDescent="0.25">
      <c r="A747" s="446">
        <v>45153</v>
      </c>
      <c r="B747" s="460"/>
      <c r="C747" s="309" t="s">
        <v>11968</v>
      </c>
      <c r="D747" s="306">
        <v>139000</v>
      </c>
      <c r="E747" s="306"/>
      <c r="F747" s="48">
        <f t="shared" si="23"/>
        <v>6349411</v>
      </c>
      <c r="G747" s="400" t="s">
        <v>9568</v>
      </c>
    </row>
    <row r="748" spans="1:11" s="357" customFormat="1" ht="30" x14ac:dyDescent="0.25">
      <c r="A748" s="446">
        <v>45155</v>
      </c>
      <c r="B748" s="460"/>
      <c r="C748" s="309" t="s">
        <v>11487</v>
      </c>
      <c r="D748" s="306">
        <v>100000</v>
      </c>
      <c r="E748" s="306"/>
      <c r="F748" s="48">
        <f t="shared" si="23"/>
        <v>6249411</v>
      </c>
      <c r="G748" s="400" t="s">
        <v>9568</v>
      </c>
      <c r="K748" s="379"/>
    </row>
    <row r="749" spans="1:11" ht="30" x14ac:dyDescent="0.25">
      <c r="A749" s="446">
        <v>45157</v>
      </c>
      <c r="B749" s="460"/>
      <c r="C749" s="309" t="s">
        <v>12001</v>
      </c>
      <c r="D749" s="306">
        <v>139500</v>
      </c>
      <c r="E749" s="306"/>
      <c r="F749" s="48">
        <f t="shared" si="23"/>
        <v>6109911</v>
      </c>
      <c r="G749" s="400" t="s">
        <v>9568</v>
      </c>
    </row>
    <row r="750" spans="1:11" x14ac:dyDescent="0.25">
      <c r="A750" s="446">
        <v>45161</v>
      </c>
      <c r="B750" s="460"/>
      <c r="C750" s="308" t="s">
        <v>12024</v>
      </c>
      <c r="D750" s="306"/>
      <c r="E750" s="306">
        <v>343000</v>
      </c>
      <c r="F750" s="48">
        <f t="shared" si="23"/>
        <v>6452911</v>
      </c>
      <c r="G750" s="400" t="s">
        <v>9568</v>
      </c>
    </row>
    <row r="751" spans="1:11" x14ac:dyDescent="0.25">
      <c r="A751" s="446">
        <v>45161</v>
      </c>
      <c r="B751" s="460"/>
      <c r="C751" s="308" t="s">
        <v>12025</v>
      </c>
      <c r="D751" s="306">
        <v>200000</v>
      </c>
      <c r="E751" s="306"/>
      <c r="F751" s="48">
        <f t="shared" si="23"/>
        <v>6252911</v>
      </c>
      <c r="G751" s="400" t="s">
        <v>9568</v>
      </c>
    </row>
    <row r="752" spans="1:11" ht="30" x14ac:dyDescent="0.25">
      <c r="A752" s="446">
        <v>45161</v>
      </c>
      <c r="B752" s="460"/>
      <c r="C752" s="309" t="s">
        <v>12028</v>
      </c>
      <c r="D752" s="306">
        <v>203000</v>
      </c>
      <c r="E752" s="306"/>
      <c r="F752" s="48">
        <f t="shared" si="23"/>
        <v>6049911</v>
      </c>
      <c r="G752" s="400" t="s">
        <v>9568</v>
      </c>
    </row>
    <row r="753" spans="1:9" ht="30" x14ac:dyDescent="0.25">
      <c r="A753" s="446">
        <v>45162</v>
      </c>
      <c r="B753" s="460"/>
      <c r="C753" s="309" t="s">
        <v>11665</v>
      </c>
      <c r="D753" s="306">
        <v>200000</v>
      </c>
      <c r="E753" s="306"/>
      <c r="F753" s="48">
        <f t="shared" si="23"/>
        <v>5849911</v>
      </c>
      <c r="G753" s="400" t="s">
        <v>9568</v>
      </c>
    </row>
    <row r="754" spans="1:9" x14ac:dyDescent="0.25">
      <c r="A754" s="446">
        <v>45164</v>
      </c>
      <c r="B754" s="460"/>
      <c r="C754" s="308" t="s">
        <v>12025</v>
      </c>
      <c r="D754" s="306">
        <v>398500</v>
      </c>
      <c r="E754" s="306"/>
      <c r="F754" s="48">
        <f t="shared" si="23"/>
        <v>5451411</v>
      </c>
      <c r="G754" s="400" t="s">
        <v>9568</v>
      </c>
    </row>
    <row r="755" spans="1:9" x14ac:dyDescent="0.25">
      <c r="A755" s="446">
        <v>45164</v>
      </c>
      <c r="B755" s="460"/>
      <c r="C755" s="308" t="s">
        <v>12048</v>
      </c>
      <c r="D755" s="306"/>
      <c r="E755" s="306">
        <v>4000</v>
      </c>
      <c r="F755" s="48">
        <f t="shared" si="23"/>
        <v>5455411</v>
      </c>
      <c r="G755" s="400" t="s">
        <v>9568</v>
      </c>
    </row>
    <row r="756" spans="1:9" x14ac:dyDescent="0.25">
      <c r="A756" s="446">
        <v>45164</v>
      </c>
      <c r="B756" s="460"/>
      <c r="C756" s="308" t="s">
        <v>12049</v>
      </c>
      <c r="D756" s="306">
        <v>153000</v>
      </c>
      <c r="E756" s="306"/>
      <c r="F756" s="48">
        <f t="shared" si="23"/>
        <v>5302411</v>
      </c>
      <c r="G756" s="400" t="s">
        <v>9568</v>
      </c>
    </row>
    <row r="757" spans="1:9" ht="30" x14ac:dyDescent="0.25">
      <c r="A757" s="446">
        <v>45164</v>
      </c>
      <c r="B757" s="460"/>
      <c r="C757" s="309" t="s">
        <v>12051</v>
      </c>
      <c r="D757" s="306">
        <v>53000</v>
      </c>
      <c r="E757" s="306"/>
      <c r="F757" s="48">
        <f t="shared" si="23"/>
        <v>5249411</v>
      </c>
      <c r="G757" s="400" t="s">
        <v>9568</v>
      </c>
    </row>
    <row r="758" spans="1:9" ht="30" x14ac:dyDescent="0.25">
      <c r="A758" s="446">
        <v>45164</v>
      </c>
      <c r="B758" s="460"/>
      <c r="C758" s="309" t="s">
        <v>12050</v>
      </c>
      <c r="D758" s="306">
        <v>30000</v>
      </c>
      <c r="E758" s="306"/>
      <c r="F758" s="48">
        <f t="shared" si="23"/>
        <v>5219411</v>
      </c>
      <c r="G758" s="400" t="s">
        <v>9568</v>
      </c>
    </row>
    <row r="759" spans="1:9" x14ac:dyDescent="0.25">
      <c r="A759" s="446">
        <v>45164</v>
      </c>
      <c r="B759" s="394"/>
      <c r="C759" s="294" t="s">
        <v>12057</v>
      </c>
      <c r="D759" s="306">
        <v>30000</v>
      </c>
      <c r="E759" s="306"/>
      <c r="F759" s="48">
        <f t="shared" si="23"/>
        <v>5189411</v>
      </c>
      <c r="G759" s="400" t="s">
        <v>9568</v>
      </c>
    </row>
    <row r="760" spans="1:9" x14ac:dyDescent="0.25">
      <c r="A760" s="446">
        <v>45167</v>
      </c>
      <c r="B760" s="394"/>
      <c r="C760" s="294" t="s">
        <v>12061</v>
      </c>
      <c r="D760" s="306">
        <v>200000</v>
      </c>
      <c r="E760" s="306"/>
      <c r="F760" s="48">
        <f t="shared" si="23"/>
        <v>4989411</v>
      </c>
      <c r="G760" s="400" t="s">
        <v>9568</v>
      </c>
    </row>
    <row r="761" spans="1:9" ht="30" x14ac:dyDescent="0.25">
      <c r="A761" s="446">
        <v>45167</v>
      </c>
      <c r="B761" s="394"/>
      <c r="C761" s="305" t="s">
        <v>12063</v>
      </c>
      <c r="D761" s="304"/>
      <c r="E761" s="306">
        <v>2000000</v>
      </c>
      <c r="F761" s="48">
        <f t="shared" si="23"/>
        <v>6989411</v>
      </c>
      <c r="G761" s="400" t="s">
        <v>9568</v>
      </c>
    </row>
    <row r="762" spans="1:9" x14ac:dyDescent="0.25">
      <c r="A762" s="446">
        <v>45167</v>
      </c>
      <c r="B762" s="394"/>
      <c r="C762" s="305" t="s">
        <v>12062</v>
      </c>
      <c r="D762" s="304"/>
      <c r="E762" s="306">
        <v>3500000</v>
      </c>
      <c r="F762" s="48">
        <f t="shared" si="23"/>
        <v>10489411</v>
      </c>
      <c r="G762" s="400" t="s">
        <v>9568</v>
      </c>
    </row>
    <row r="763" spans="1:9" x14ac:dyDescent="0.25">
      <c r="A763" s="446">
        <v>45167</v>
      </c>
      <c r="B763" s="394"/>
      <c r="C763" s="294" t="s">
        <v>12064</v>
      </c>
      <c r="D763" s="304">
        <v>3500000</v>
      </c>
      <c r="E763" s="306"/>
      <c r="F763" s="48">
        <f t="shared" si="23"/>
        <v>6989411</v>
      </c>
      <c r="G763" s="400" t="s">
        <v>9568</v>
      </c>
    </row>
    <row r="764" spans="1:9" x14ac:dyDescent="0.25">
      <c r="A764" s="446">
        <v>45167</v>
      </c>
      <c r="B764" s="394"/>
      <c r="C764" s="308" t="s">
        <v>12025</v>
      </c>
      <c r="D764" s="306">
        <v>100000</v>
      </c>
      <c r="E764" s="306"/>
      <c r="F764" s="48">
        <f t="shared" si="23"/>
        <v>6889411</v>
      </c>
      <c r="G764" s="400" t="s">
        <v>9568</v>
      </c>
    </row>
    <row r="765" spans="1:9" ht="30" x14ac:dyDescent="0.25">
      <c r="A765" s="446">
        <v>45167</v>
      </c>
      <c r="B765" s="394"/>
      <c r="C765" s="309" t="s">
        <v>11799</v>
      </c>
      <c r="D765" s="306">
        <v>250000</v>
      </c>
      <c r="E765" s="306"/>
      <c r="F765" s="48">
        <f t="shared" si="23"/>
        <v>6639411</v>
      </c>
      <c r="G765" s="400" t="s">
        <v>9568</v>
      </c>
    </row>
    <row r="766" spans="1:9" ht="30" x14ac:dyDescent="0.25">
      <c r="A766" s="446">
        <v>45167</v>
      </c>
      <c r="B766" s="394"/>
      <c r="C766" s="309" t="s">
        <v>11799</v>
      </c>
      <c r="D766" s="306">
        <v>93000</v>
      </c>
      <c r="E766" s="306"/>
      <c r="F766" s="48">
        <f t="shared" si="23"/>
        <v>6546411</v>
      </c>
      <c r="G766" s="400" t="s">
        <v>9568</v>
      </c>
    </row>
    <row r="767" spans="1:9" ht="30" x14ac:dyDescent="0.25">
      <c r="A767" s="446">
        <v>45167</v>
      </c>
      <c r="B767" s="394"/>
      <c r="C767" s="309" t="s">
        <v>11802</v>
      </c>
      <c r="D767" s="306">
        <v>250000</v>
      </c>
      <c r="E767" s="306"/>
      <c r="F767" s="48">
        <f t="shared" si="23"/>
        <v>6296411</v>
      </c>
      <c r="G767" s="400" t="s">
        <v>9568</v>
      </c>
    </row>
    <row r="768" spans="1:9" ht="30" x14ac:dyDescent="0.25">
      <c r="A768" s="446">
        <v>45167</v>
      </c>
      <c r="B768" s="394"/>
      <c r="C768" s="309" t="s">
        <v>11802</v>
      </c>
      <c r="D768" s="306">
        <v>82800</v>
      </c>
      <c r="E768" s="306"/>
      <c r="F768" s="48">
        <f t="shared" si="23"/>
        <v>6213611</v>
      </c>
      <c r="G768" s="400" t="s">
        <v>9568</v>
      </c>
      <c r="I768" s="277"/>
    </row>
    <row r="769" spans="1:11" x14ac:dyDescent="0.25">
      <c r="A769" s="446">
        <v>45167</v>
      </c>
      <c r="B769" s="394"/>
      <c r="C769" s="294" t="s">
        <v>12075</v>
      </c>
      <c r="D769" s="306">
        <v>20000</v>
      </c>
      <c r="E769" s="306"/>
      <c r="F769" s="48">
        <f t="shared" si="23"/>
        <v>6193611</v>
      </c>
      <c r="G769" s="400" t="s">
        <v>9568</v>
      </c>
      <c r="I769" s="277"/>
    </row>
    <row r="770" spans="1:11" ht="30" x14ac:dyDescent="0.25">
      <c r="A770" s="446">
        <v>45168</v>
      </c>
      <c r="B770" s="394"/>
      <c r="C770" s="309" t="s">
        <v>12077</v>
      </c>
      <c r="D770" s="306">
        <v>250000</v>
      </c>
      <c r="E770" s="306"/>
      <c r="F770" s="48">
        <f t="shared" si="23"/>
        <v>5943611</v>
      </c>
      <c r="G770" s="400" t="s">
        <v>9568</v>
      </c>
    </row>
    <row r="771" spans="1:11" ht="30" x14ac:dyDescent="0.25">
      <c r="A771" s="446">
        <v>45168</v>
      </c>
      <c r="B771" s="394"/>
      <c r="C771" s="309" t="s">
        <v>12077</v>
      </c>
      <c r="D771" s="306">
        <v>150000</v>
      </c>
      <c r="E771" s="306"/>
      <c r="F771" s="48">
        <f t="shared" si="23"/>
        <v>5793611</v>
      </c>
      <c r="G771" s="400" t="s">
        <v>9568</v>
      </c>
    </row>
    <row r="772" spans="1:11" ht="30" x14ac:dyDescent="0.25">
      <c r="A772" s="446">
        <v>45168</v>
      </c>
      <c r="B772" s="394"/>
      <c r="C772" s="309" t="s">
        <v>12077</v>
      </c>
      <c r="D772" s="306">
        <v>250000</v>
      </c>
      <c r="E772" s="306"/>
      <c r="F772" s="48">
        <f t="shared" si="23"/>
        <v>5543611</v>
      </c>
      <c r="G772" s="400" t="s">
        <v>9568</v>
      </c>
    </row>
    <row r="773" spans="1:11" ht="30" x14ac:dyDescent="0.25">
      <c r="A773" s="446">
        <v>45168</v>
      </c>
      <c r="B773" s="394"/>
      <c r="C773" s="309" t="s">
        <v>12077</v>
      </c>
      <c r="D773" s="306">
        <v>150000</v>
      </c>
      <c r="E773" s="306"/>
      <c r="F773" s="48">
        <f t="shared" si="23"/>
        <v>5393611</v>
      </c>
      <c r="G773" s="400" t="s">
        <v>9568</v>
      </c>
    </row>
    <row r="774" spans="1:11" x14ac:dyDescent="0.25">
      <c r="A774" s="446">
        <v>45168</v>
      </c>
      <c r="B774" s="394"/>
      <c r="C774" s="309" t="s">
        <v>12078</v>
      </c>
      <c r="D774" s="306">
        <v>100000</v>
      </c>
      <c r="E774" s="306"/>
      <c r="F774" s="48">
        <f t="shared" si="23"/>
        <v>5293611</v>
      </c>
      <c r="G774" s="400" t="s">
        <v>9568</v>
      </c>
    </row>
    <row r="775" spans="1:11" ht="30" x14ac:dyDescent="0.25">
      <c r="A775" s="446">
        <v>45169</v>
      </c>
      <c r="B775" s="460"/>
      <c r="C775" s="309" t="s">
        <v>12082</v>
      </c>
      <c r="D775" s="306">
        <v>228400</v>
      </c>
      <c r="E775" s="306"/>
      <c r="F775" s="48">
        <f t="shared" si="23"/>
        <v>5065211</v>
      </c>
      <c r="G775" s="400" t="s">
        <v>9568</v>
      </c>
      <c r="I775" s="277"/>
    </row>
    <row r="776" spans="1:11" ht="30" x14ac:dyDescent="0.25">
      <c r="A776" s="446">
        <v>45174</v>
      </c>
      <c r="B776" s="394"/>
      <c r="C776" s="305" t="s">
        <v>12117</v>
      </c>
      <c r="D776" s="304"/>
      <c r="E776" s="306">
        <v>2000000</v>
      </c>
      <c r="F776" s="48">
        <f t="shared" si="23"/>
        <v>7065211</v>
      </c>
      <c r="G776" s="400" t="s">
        <v>9568</v>
      </c>
    </row>
    <row r="777" spans="1:11" s="357" customFormat="1" ht="30" x14ac:dyDescent="0.25">
      <c r="A777" s="446">
        <v>45174</v>
      </c>
      <c r="B777" s="460"/>
      <c r="C777" s="309" t="s">
        <v>12118</v>
      </c>
      <c r="D777" s="306">
        <v>250000</v>
      </c>
      <c r="E777" s="306"/>
      <c r="F777" s="48">
        <f t="shared" si="23"/>
        <v>6815211</v>
      </c>
      <c r="G777" s="400" t="s">
        <v>9568</v>
      </c>
      <c r="K777" s="379"/>
    </row>
    <row r="778" spans="1:11" s="357" customFormat="1" ht="30" x14ac:dyDescent="0.25">
      <c r="A778" s="446">
        <v>45174</v>
      </c>
      <c r="B778" s="460"/>
      <c r="C778" s="309" t="s">
        <v>12118</v>
      </c>
      <c r="D778" s="306">
        <v>70000</v>
      </c>
      <c r="E778" s="306"/>
      <c r="F778" s="48">
        <f t="shared" si="23"/>
        <v>6745211</v>
      </c>
      <c r="G778" s="400" t="s">
        <v>9568</v>
      </c>
      <c r="K778" s="379"/>
    </row>
    <row r="779" spans="1:11" x14ac:dyDescent="0.25">
      <c r="A779" s="446">
        <v>45174</v>
      </c>
      <c r="B779" s="394"/>
      <c r="C779" s="294" t="s">
        <v>12119</v>
      </c>
      <c r="D779" s="304">
        <v>100000</v>
      </c>
      <c r="E779" s="306"/>
      <c r="F779" s="48">
        <f t="shared" si="23"/>
        <v>6645211</v>
      </c>
      <c r="G779" s="400" t="s">
        <v>9568</v>
      </c>
    </row>
    <row r="780" spans="1:11" x14ac:dyDescent="0.25">
      <c r="A780" s="446">
        <v>45174</v>
      </c>
      <c r="B780" s="394"/>
      <c r="C780" s="315" t="s">
        <v>12122</v>
      </c>
      <c r="D780" s="312">
        <v>40000</v>
      </c>
      <c r="E780" s="306"/>
      <c r="F780" s="48">
        <f t="shared" si="23"/>
        <v>6605211</v>
      </c>
      <c r="G780" s="400" t="s">
        <v>9568</v>
      </c>
    </row>
    <row r="781" spans="1:11" x14ac:dyDescent="0.25">
      <c r="A781" s="446">
        <v>45175</v>
      </c>
      <c r="B781" s="394"/>
      <c r="C781" s="294" t="s">
        <v>12123</v>
      </c>
      <c r="D781" s="304">
        <v>1300000</v>
      </c>
      <c r="E781" s="306"/>
      <c r="F781" s="48">
        <f t="shared" si="23"/>
        <v>5305211</v>
      </c>
      <c r="G781" s="400" t="s">
        <v>9568</v>
      </c>
    </row>
    <row r="782" spans="1:11" x14ac:dyDescent="0.25">
      <c r="A782" s="446">
        <v>45175</v>
      </c>
      <c r="B782" s="394"/>
      <c r="C782" s="308" t="s">
        <v>12124</v>
      </c>
      <c r="D782" s="306">
        <v>80000</v>
      </c>
      <c r="E782" s="306"/>
      <c r="F782" s="48">
        <f t="shared" si="23"/>
        <v>5225211</v>
      </c>
      <c r="G782" s="400" t="s">
        <v>9568</v>
      </c>
    </row>
    <row r="783" spans="1:11" ht="30" x14ac:dyDescent="0.25">
      <c r="A783" s="446">
        <v>45175</v>
      </c>
      <c r="B783" s="394"/>
      <c r="C783" s="305" t="s">
        <v>12142</v>
      </c>
      <c r="D783" s="304"/>
      <c r="E783" s="306">
        <v>1000000</v>
      </c>
      <c r="F783" s="48">
        <f t="shared" si="23"/>
        <v>6225211</v>
      </c>
      <c r="G783" s="400" t="s">
        <v>9568</v>
      </c>
    </row>
    <row r="784" spans="1:11" ht="30" x14ac:dyDescent="0.25">
      <c r="A784" s="446">
        <v>45175</v>
      </c>
      <c r="B784" s="394"/>
      <c r="C784" s="305" t="s">
        <v>12143</v>
      </c>
      <c r="D784" s="304"/>
      <c r="E784" s="306">
        <v>1000000</v>
      </c>
      <c r="F784" s="48">
        <f t="shared" ref="F784:F845" si="24">F783+E784-D784</f>
        <v>7225211</v>
      </c>
      <c r="G784" s="400" t="s">
        <v>9568</v>
      </c>
    </row>
    <row r="785" spans="1:11" ht="30" x14ac:dyDescent="0.25">
      <c r="A785" s="446">
        <v>45176</v>
      </c>
      <c r="B785" s="394"/>
      <c r="C785" s="309" t="s">
        <v>12149</v>
      </c>
      <c r="D785" s="306">
        <v>250000</v>
      </c>
      <c r="E785" s="306"/>
      <c r="F785" s="48">
        <f t="shared" si="24"/>
        <v>6975211</v>
      </c>
      <c r="G785" s="400" t="s">
        <v>9568</v>
      </c>
    </row>
    <row r="786" spans="1:11" ht="30" x14ac:dyDescent="0.25">
      <c r="A786" s="446">
        <v>45176</v>
      </c>
      <c r="B786" s="394"/>
      <c r="C786" s="309" t="s">
        <v>12149</v>
      </c>
      <c r="D786" s="306">
        <v>250000</v>
      </c>
      <c r="E786" s="306"/>
      <c r="F786" s="48">
        <f t="shared" si="24"/>
        <v>6725211</v>
      </c>
      <c r="G786" s="400" t="s">
        <v>9568</v>
      </c>
    </row>
    <row r="787" spans="1:11" ht="30" x14ac:dyDescent="0.25">
      <c r="A787" s="446">
        <v>45176</v>
      </c>
      <c r="B787" s="394"/>
      <c r="C787" s="309" t="s">
        <v>12149</v>
      </c>
      <c r="D787" s="306">
        <v>3600</v>
      </c>
      <c r="E787" s="306"/>
      <c r="F787" s="48">
        <f t="shared" si="24"/>
        <v>6721611</v>
      </c>
      <c r="G787" s="400" t="s">
        <v>9568</v>
      </c>
    </row>
    <row r="788" spans="1:11" ht="30" x14ac:dyDescent="0.25">
      <c r="A788" s="446">
        <v>45176</v>
      </c>
      <c r="B788" s="394"/>
      <c r="C788" s="309" t="s">
        <v>12150</v>
      </c>
      <c r="D788" s="306">
        <v>40000</v>
      </c>
      <c r="E788" s="306"/>
      <c r="F788" s="48">
        <f t="shared" si="24"/>
        <v>6681611</v>
      </c>
      <c r="G788" s="400" t="s">
        <v>9568</v>
      </c>
    </row>
    <row r="789" spans="1:11" x14ac:dyDescent="0.25">
      <c r="A789" s="446">
        <v>45178</v>
      </c>
      <c r="B789" s="394"/>
      <c r="C789" s="294" t="s">
        <v>12123</v>
      </c>
      <c r="D789" s="304">
        <v>500000</v>
      </c>
      <c r="E789" s="306"/>
      <c r="F789" s="48">
        <f t="shared" si="24"/>
        <v>6181611</v>
      </c>
      <c r="G789" s="400" t="s">
        <v>9568</v>
      </c>
    </row>
    <row r="790" spans="1:11" x14ac:dyDescent="0.25">
      <c r="A790" s="446">
        <v>45178</v>
      </c>
      <c r="B790" s="394"/>
      <c r="C790" s="309" t="s">
        <v>11837</v>
      </c>
      <c r="D790" s="306">
        <v>174000</v>
      </c>
      <c r="E790" s="306"/>
      <c r="F790" s="48">
        <f t="shared" si="24"/>
        <v>6007611</v>
      </c>
      <c r="G790" s="400" t="s">
        <v>9568</v>
      </c>
    </row>
    <row r="791" spans="1:11" x14ac:dyDescent="0.25">
      <c r="A791" s="446">
        <v>45178</v>
      </c>
      <c r="B791" s="394"/>
      <c r="C791" s="309" t="s">
        <v>12160</v>
      </c>
      <c r="D791" s="304">
        <v>100000</v>
      </c>
      <c r="E791" s="306"/>
      <c r="F791" s="48">
        <f t="shared" si="24"/>
        <v>5907611</v>
      </c>
      <c r="G791" s="400" t="s">
        <v>9568</v>
      </c>
    </row>
    <row r="792" spans="1:11" x14ac:dyDescent="0.25">
      <c r="A792" s="446">
        <v>45178</v>
      </c>
      <c r="B792" s="394"/>
      <c r="C792" s="294" t="s">
        <v>12167</v>
      </c>
      <c r="D792" s="304">
        <v>5000</v>
      </c>
      <c r="E792" s="306"/>
      <c r="F792" s="48">
        <f t="shared" si="24"/>
        <v>5902611</v>
      </c>
      <c r="G792" s="400" t="s">
        <v>9568</v>
      </c>
    </row>
    <row r="793" spans="1:11" x14ac:dyDescent="0.25">
      <c r="A793" s="446">
        <v>45178</v>
      </c>
      <c r="B793" s="394"/>
      <c r="C793" s="294" t="s">
        <v>12167</v>
      </c>
      <c r="D793" s="304">
        <v>5000</v>
      </c>
      <c r="E793" s="306"/>
      <c r="F793" s="48">
        <f t="shared" si="24"/>
        <v>5897611</v>
      </c>
      <c r="G793" s="400" t="s">
        <v>9568</v>
      </c>
    </row>
    <row r="794" spans="1:11" ht="30" x14ac:dyDescent="0.25">
      <c r="A794" s="446">
        <v>45180</v>
      </c>
      <c r="B794" s="394"/>
      <c r="C794" s="305" t="s">
        <v>12170</v>
      </c>
      <c r="D794" s="306">
        <v>90000</v>
      </c>
      <c r="E794" s="306"/>
      <c r="F794" s="48">
        <f t="shared" si="24"/>
        <v>5807611</v>
      </c>
      <c r="G794" s="400" t="s">
        <v>9568</v>
      </c>
    </row>
    <row r="795" spans="1:11" x14ac:dyDescent="0.25">
      <c r="A795" s="446">
        <v>45181</v>
      </c>
      <c r="B795" s="394"/>
      <c r="C795" s="294" t="s">
        <v>8516</v>
      </c>
      <c r="D795" s="304">
        <v>148000</v>
      </c>
      <c r="E795" s="306"/>
      <c r="F795" s="48">
        <f t="shared" si="24"/>
        <v>5659611</v>
      </c>
      <c r="G795" s="400" t="s">
        <v>9568</v>
      </c>
    </row>
    <row r="796" spans="1:11" ht="30" x14ac:dyDescent="0.25">
      <c r="A796" s="446">
        <v>45181</v>
      </c>
      <c r="B796" s="394"/>
      <c r="C796" s="305" t="s">
        <v>12176</v>
      </c>
      <c r="D796" s="304">
        <v>200000</v>
      </c>
      <c r="E796" s="306"/>
      <c r="F796" s="48">
        <f t="shared" si="24"/>
        <v>5459611</v>
      </c>
      <c r="G796" s="400" t="s">
        <v>9568</v>
      </c>
    </row>
    <row r="797" spans="1:11" ht="30" x14ac:dyDescent="0.25">
      <c r="A797" s="446">
        <v>45181</v>
      </c>
      <c r="B797" s="394"/>
      <c r="C797" s="305" t="s">
        <v>12177</v>
      </c>
      <c r="D797" s="304">
        <v>85250</v>
      </c>
      <c r="E797" s="306"/>
      <c r="F797" s="48">
        <f t="shared" si="24"/>
        <v>5374361</v>
      </c>
      <c r="G797" s="400" t="s">
        <v>9568</v>
      </c>
    </row>
    <row r="798" spans="1:11" s="357" customFormat="1" x14ac:dyDescent="0.25">
      <c r="A798" s="446">
        <v>45181</v>
      </c>
      <c r="B798" s="460"/>
      <c r="C798" s="308" t="s">
        <v>12025</v>
      </c>
      <c r="D798" s="306">
        <v>1500000</v>
      </c>
      <c r="E798" s="306"/>
      <c r="F798" s="48">
        <f t="shared" si="24"/>
        <v>3874361</v>
      </c>
      <c r="G798" s="400" t="s">
        <v>9568</v>
      </c>
      <c r="K798" s="379"/>
    </row>
    <row r="799" spans="1:11" s="357" customFormat="1" ht="30" x14ac:dyDescent="0.25">
      <c r="A799" s="446">
        <v>45182</v>
      </c>
      <c r="B799" s="460"/>
      <c r="C799" s="309" t="s">
        <v>12181</v>
      </c>
      <c r="D799" s="306">
        <v>50000</v>
      </c>
      <c r="E799" s="306"/>
      <c r="F799" s="48">
        <f t="shared" si="24"/>
        <v>3824361</v>
      </c>
      <c r="G799" s="400" t="s">
        <v>9568</v>
      </c>
      <c r="K799" s="379"/>
    </row>
    <row r="800" spans="1:11" s="357" customFormat="1" x14ac:dyDescent="0.25">
      <c r="A800" s="446">
        <v>45182</v>
      </c>
      <c r="B800" s="460"/>
      <c r="C800" s="309" t="s">
        <v>12199</v>
      </c>
      <c r="D800" s="306">
        <v>50000</v>
      </c>
      <c r="E800" s="306"/>
      <c r="F800" s="48">
        <f t="shared" si="24"/>
        <v>3774361</v>
      </c>
      <c r="G800" s="400" t="s">
        <v>9568</v>
      </c>
      <c r="K800" s="379"/>
    </row>
    <row r="801" spans="1:11" s="357" customFormat="1" ht="30" x14ac:dyDescent="0.25">
      <c r="A801" s="446">
        <v>45184</v>
      </c>
      <c r="B801" s="460"/>
      <c r="C801" s="309" t="s">
        <v>12200</v>
      </c>
      <c r="D801" s="306">
        <v>80000</v>
      </c>
      <c r="E801" s="306"/>
      <c r="F801" s="48">
        <f t="shared" si="24"/>
        <v>3694361</v>
      </c>
      <c r="G801" s="400" t="s">
        <v>9568</v>
      </c>
      <c r="K801" s="379"/>
    </row>
    <row r="802" spans="1:11" s="357" customFormat="1" ht="30" x14ac:dyDescent="0.25">
      <c r="A802" s="446">
        <v>45184</v>
      </c>
      <c r="B802" s="460"/>
      <c r="C802" s="309" t="s">
        <v>12207</v>
      </c>
      <c r="D802" s="306"/>
      <c r="E802" s="306">
        <v>3426842</v>
      </c>
      <c r="F802" s="48">
        <f t="shared" si="24"/>
        <v>7121203</v>
      </c>
      <c r="G802" s="400" t="s">
        <v>9568</v>
      </c>
      <c r="K802" s="379"/>
    </row>
    <row r="803" spans="1:11" s="357" customFormat="1" x14ac:dyDescent="0.25">
      <c r="A803" s="446">
        <v>45184</v>
      </c>
      <c r="B803" s="460"/>
      <c r="C803" s="308" t="s">
        <v>12209</v>
      </c>
      <c r="D803" s="306">
        <v>20000</v>
      </c>
      <c r="E803" s="306"/>
      <c r="F803" s="48">
        <f t="shared" si="24"/>
        <v>7101203</v>
      </c>
      <c r="G803" s="400" t="s">
        <v>9568</v>
      </c>
      <c r="K803" s="379"/>
    </row>
    <row r="804" spans="1:11" s="357" customFormat="1" ht="30" x14ac:dyDescent="0.25">
      <c r="A804" s="446">
        <v>45184</v>
      </c>
      <c r="B804" s="460"/>
      <c r="C804" s="309" t="s">
        <v>12217</v>
      </c>
      <c r="D804" s="306">
        <v>35000</v>
      </c>
      <c r="E804" s="306"/>
      <c r="F804" s="48">
        <f t="shared" si="24"/>
        <v>7066203</v>
      </c>
      <c r="G804" s="400" t="s">
        <v>9568</v>
      </c>
      <c r="K804" s="379"/>
    </row>
    <row r="805" spans="1:11" s="357" customFormat="1" ht="30" x14ac:dyDescent="0.25">
      <c r="A805" s="446">
        <v>45184</v>
      </c>
      <c r="B805" s="460"/>
      <c r="C805" s="309" t="s">
        <v>12216</v>
      </c>
      <c r="D805" s="306">
        <v>100000</v>
      </c>
      <c r="E805" s="306"/>
      <c r="F805" s="48">
        <f t="shared" si="24"/>
        <v>6966203</v>
      </c>
      <c r="G805" s="400" t="s">
        <v>9568</v>
      </c>
      <c r="K805" s="379"/>
    </row>
    <row r="806" spans="1:11" s="357" customFormat="1" x14ac:dyDescent="0.25">
      <c r="A806" s="446">
        <v>45188</v>
      </c>
      <c r="B806" s="460"/>
      <c r="C806" s="308" t="s">
        <v>12233</v>
      </c>
      <c r="D806" s="306"/>
      <c r="E806" s="306">
        <v>60000</v>
      </c>
      <c r="F806" s="48">
        <f t="shared" si="24"/>
        <v>7026203</v>
      </c>
      <c r="G806" s="400" t="s">
        <v>9568</v>
      </c>
      <c r="K806" s="379"/>
    </row>
    <row r="807" spans="1:11" s="357" customFormat="1" x14ac:dyDescent="0.25">
      <c r="A807" s="446">
        <v>45188</v>
      </c>
      <c r="B807" s="460"/>
      <c r="C807" s="308" t="s">
        <v>12235</v>
      </c>
      <c r="D807" s="306"/>
      <c r="E807" s="306">
        <v>250000</v>
      </c>
      <c r="F807" s="48">
        <f t="shared" si="24"/>
        <v>7276203</v>
      </c>
      <c r="G807" s="400" t="s">
        <v>9568</v>
      </c>
      <c r="K807" s="379"/>
    </row>
    <row r="808" spans="1:11" s="357" customFormat="1" x14ac:dyDescent="0.25">
      <c r="A808" s="446">
        <v>45188</v>
      </c>
      <c r="B808" s="460"/>
      <c r="C808" s="308" t="s">
        <v>12236</v>
      </c>
      <c r="D808" s="306">
        <v>500000</v>
      </c>
      <c r="E808" s="306"/>
      <c r="F808" s="48">
        <f t="shared" si="24"/>
        <v>6776203</v>
      </c>
      <c r="G808" s="400" t="s">
        <v>9568</v>
      </c>
      <c r="K808" s="379"/>
    </row>
    <row r="809" spans="1:11" s="357" customFormat="1" x14ac:dyDescent="0.25">
      <c r="A809" s="446">
        <v>45188</v>
      </c>
      <c r="B809" s="460"/>
      <c r="C809" s="308" t="s">
        <v>12238</v>
      </c>
      <c r="D809" s="306">
        <v>50000</v>
      </c>
      <c r="E809" s="306"/>
      <c r="F809" s="48">
        <f t="shared" si="24"/>
        <v>6726203</v>
      </c>
      <c r="G809" s="400" t="s">
        <v>9568</v>
      </c>
      <c r="K809" s="379"/>
    </row>
    <row r="810" spans="1:11" s="357" customFormat="1" x14ac:dyDescent="0.25">
      <c r="A810" s="446">
        <v>45191</v>
      </c>
      <c r="B810" s="460"/>
      <c r="C810" s="308" t="s">
        <v>12025</v>
      </c>
      <c r="D810" s="306">
        <v>100000</v>
      </c>
      <c r="E810" s="306"/>
      <c r="F810" s="48">
        <f t="shared" si="24"/>
        <v>6626203</v>
      </c>
      <c r="G810" s="400" t="s">
        <v>9568</v>
      </c>
      <c r="K810" s="379"/>
    </row>
    <row r="811" spans="1:11" s="357" customFormat="1" x14ac:dyDescent="0.25">
      <c r="A811" s="446">
        <v>45191</v>
      </c>
      <c r="B811" s="460"/>
      <c r="C811" s="308" t="s">
        <v>12271</v>
      </c>
      <c r="D811" s="306">
        <v>69000</v>
      </c>
      <c r="E811" s="306"/>
      <c r="F811" s="48">
        <f t="shared" si="24"/>
        <v>6557203</v>
      </c>
      <c r="G811" s="400" t="s">
        <v>9568</v>
      </c>
      <c r="K811" s="379"/>
    </row>
    <row r="812" spans="1:11" s="357" customFormat="1" x14ac:dyDescent="0.25">
      <c r="A812" s="446">
        <v>45192</v>
      </c>
      <c r="B812" s="460"/>
      <c r="C812" s="308" t="s">
        <v>12025</v>
      </c>
      <c r="D812" s="306">
        <v>50000</v>
      </c>
      <c r="E812" s="306"/>
      <c r="F812" s="48">
        <f t="shared" si="24"/>
        <v>6507203</v>
      </c>
      <c r="G812" s="400" t="s">
        <v>9568</v>
      </c>
      <c r="K812" s="379"/>
    </row>
    <row r="813" spans="1:11" s="357" customFormat="1" ht="30" x14ac:dyDescent="0.25">
      <c r="A813" s="446">
        <v>45195</v>
      </c>
      <c r="B813" s="460"/>
      <c r="C813" s="309" t="s">
        <v>12276</v>
      </c>
      <c r="D813" s="306">
        <v>37000</v>
      </c>
      <c r="E813" s="306"/>
      <c r="F813" s="48">
        <f t="shared" si="24"/>
        <v>6470203</v>
      </c>
      <c r="G813" s="400" t="s">
        <v>9568</v>
      </c>
      <c r="K813" s="379"/>
    </row>
    <row r="814" spans="1:11" s="357" customFormat="1" ht="30" x14ac:dyDescent="0.25">
      <c r="A814" s="446">
        <v>45195</v>
      </c>
      <c r="B814" s="460"/>
      <c r="C814" s="309" t="s">
        <v>12277</v>
      </c>
      <c r="D814" s="306">
        <v>143450</v>
      </c>
      <c r="E814" s="306"/>
      <c r="F814" s="48">
        <f t="shared" si="24"/>
        <v>6326753</v>
      </c>
      <c r="G814" s="400" t="s">
        <v>9568</v>
      </c>
      <c r="K814" s="379"/>
    </row>
    <row r="815" spans="1:11" s="357" customFormat="1" x14ac:dyDescent="0.25">
      <c r="A815" s="446">
        <v>45197</v>
      </c>
      <c r="B815" s="460"/>
      <c r="C815" s="308" t="s">
        <v>12025</v>
      </c>
      <c r="D815" s="306">
        <v>100000</v>
      </c>
      <c r="E815" s="306"/>
      <c r="F815" s="48">
        <f t="shared" si="24"/>
        <v>6226753</v>
      </c>
      <c r="G815" s="400" t="s">
        <v>9568</v>
      </c>
      <c r="K815" s="379"/>
    </row>
    <row r="816" spans="1:11" s="357" customFormat="1" x14ac:dyDescent="0.25">
      <c r="A816" s="446">
        <v>45198</v>
      </c>
      <c r="B816" s="460"/>
      <c r="C816" s="308" t="s">
        <v>12317</v>
      </c>
      <c r="D816" s="306">
        <v>132000</v>
      </c>
      <c r="E816" s="306"/>
      <c r="F816" s="48">
        <f t="shared" si="24"/>
        <v>6094753</v>
      </c>
      <c r="G816" s="400" t="s">
        <v>9568</v>
      </c>
      <c r="K816" s="379"/>
    </row>
    <row r="817" spans="1:11" s="357" customFormat="1" x14ac:dyDescent="0.25">
      <c r="A817" s="446">
        <v>45201</v>
      </c>
      <c r="B817" s="460"/>
      <c r="C817" s="308" t="s">
        <v>12025</v>
      </c>
      <c r="D817" s="306">
        <v>100000</v>
      </c>
      <c r="E817" s="306"/>
      <c r="F817" s="48">
        <f t="shared" si="24"/>
        <v>5994753</v>
      </c>
      <c r="G817" s="400" t="s">
        <v>9568</v>
      </c>
      <c r="K817" s="379"/>
    </row>
    <row r="818" spans="1:11" s="357" customFormat="1" x14ac:dyDescent="0.25">
      <c r="A818" s="446">
        <v>45201</v>
      </c>
      <c r="B818" s="460"/>
      <c r="C818" s="308" t="s">
        <v>12339</v>
      </c>
      <c r="D818" s="306"/>
      <c r="E818" s="306">
        <v>25000</v>
      </c>
      <c r="F818" s="48">
        <f t="shared" si="24"/>
        <v>6019753</v>
      </c>
      <c r="G818" s="400" t="s">
        <v>9568</v>
      </c>
      <c r="K818" s="379"/>
    </row>
    <row r="819" spans="1:11" s="357" customFormat="1" x14ac:dyDescent="0.25">
      <c r="A819" s="446">
        <v>45202</v>
      </c>
      <c r="B819" s="460"/>
      <c r="C819" s="308" t="s">
        <v>12025</v>
      </c>
      <c r="D819" s="306">
        <v>100000</v>
      </c>
      <c r="E819" s="306"/>
      <c r="F819" s="48">
        <f t="shared" si="24"/>
        <v>5919753</v>
      </c>
      <c r="G819" s="400" t="s">
        <v>9568</v>
      </c>
      <c r="K819" s="379"/>
    </row>
    <row r="820" spans="1:11" x14ac:dyDescent="0.25">
      <c r="A820" s="446">
        <v>45203</v>
      </c>
      <c r="B820" s="394"/>
      <c r="C820" s="294" t="s">
        <v>12340</v>
      </c>
      <c r="D820" s="304">
        <v>5000</v>
      </c>
      <c r="E820" s="306"/>
      <c r="F820" s="48">
        <f t="shared" si="24"/>
        <v>5914753</v>
      </c>
      <c r="G820" s="400" t="s">
        <v>9568</v>
      </c>
    </row>
    <row r="821" spans="1:11" x14ac:dyDescent="0.25">
      <c r="A821" s="446">
        <v>45203</v>
      </c>
      <c r="B821" s="394"/>
      <c r="C821" s="294" t="s">
        <v>12341</v>
      </c>
      <c r="D821" s="304">
        <v>10000</v>
      </c>
      <c r="E821" s="306"/>
      <c r="F821" s="48">
        <f t="shared" si="24"/>
        <v>5904753</v>
      </c>
      <c r="G821" s="400" t="s">
        <v>9568</v>
      </c>
    </row>
    <row r="822" spans="1:11" x14ac:dyDescent="0.25">
      <c r="A822" s="446">
        <v>45208</v>
      </c>
      <c r="B822" s="394"/>
      <c r="C822" s="294" t="s">
        <v>12366</v>
      </c>
      <c r="D822" s="304">
        <v>72000</v>
      </c>
      <c r="E822" s="306"/>
      <c r="F822" s="48">
        <f t="shared" si="24"/>
        <v>5832753</v>
      </c>
      <c r="G822" s="400" t="s">
        <v>9568</v>
      </c>
    </row>
    <row r="823" spans="1:11" x14ac:dyDescent="0.25">
      <c r="A823" s="446">
        <v>45208</v>
      </c>
      <c r="B823" s="394"/>
      <c r="C823" s="308" t="s">
        <v>12380</v>
      </c>
      <c r="D823" s="443">
        <v>105000</v>
      </c>
      <c r="E823" s="306"/>
      <c r="F823" s="48">
        <f t="shared" si="24"/>
        <v>5727753</v>
      </c>
      <c r="G823" s="400" t="s">
        <v>9568</v>
      </c>
    </row>
    <row r="824" spans="1:11" x14ac:dyDescent="0.25">
      <c r="A824" s="446">
        <v>45208</v>
      </c>
      <c r="B824" s="394"/>
      <c r="C824" s="294" t="s">
        <v>12384</v>
      </c>
      <c r="D824" s="304">
        <v>50000</v>
      </c>
      <c r="E824" s="306"/>
      <c r="F824" s="48">
        <f t="shared" si="24"/>
        <v>5677753</v>
      </c>
      <c r="G824" s="400" t="s">
        <v>9568</v>
      </c>
    </row>
    <row r="825" spans="1:11" ht="30" x14ac:dyDescent="0.25">
      <c r="A825" s="446">
        <v>45210</v>
      </c>
      <c r="B825" s="394"/>
      <c r="C825" s="309" t="s">
        <v>12216</v>
      </c>
      <c r="D825" s="306">
        <v>300000</v>
      </c>
      <c r="E825" s="306"/>
      <c r="F825" s="48">
        <f t="shared" si="24"/>
        <v>5377753</v>
      </c>
      <c r="G825" s="400" t="s">
        <v>9568</v>
      </c>
    </row>
    <row r="826" spans="1:11" x14ac:dyDescent="0.25">
      <c r="A826" s="446">
        <v>45212</v>
      </c>
      <c r="B826" s="394"/>
      <c r="C826" s="294" t="s">
        <v>12403</v>
      </c>
      <c r="D826" s="304">
        <v>100000</v>
      </c>
      <c r="E826" s="306"/>
      <c r="F826" s="48">
        <f t="shared" si="24"/>
        <v>5277753</v>
      </c>
      <c r="G826" s="400" t="s">
        <v>9568</v>
      </c>
    </row>
    <row r="827" spans="1:11" x14ac:dyDescent="0.25">
      <c r="A827" s="446">
        <v>45212</v>
      </c>
      <c r="B827" s="460"/>
      <c r="C827" s="308" t="s">
        <v>12404</v>
      </c>
      <c r="D827" s="306">
        <v>100000</v>
      </c>
      <c r="E827" s="306"/>
      <c r="F827" s="48">
        <f t="shared" si="24"/>
        <v>5177753</v>
      </c>
      <c r="G827" s="400" t="s">
        <v>9568</v>
      </c>
    </row>
    <row r="828" spans="1:11" x14ac:dyDescent="0.25">
      <c r="A828" s="446">
        <v>45213</v>
      </c>
      <c r="B828" s="460"/>
      <c r="C828" s="308" t="s">
        <v>12404</v>
      </c>
      <c r="D828" s="306">
        <v>100000</v>
      </c>
      <c r="E828" s="306"/>
      <c r="F828" s="48">
        <f t="shared" si="24"/>
        <v>5077753</v>
      </c>
      <c r="G828" s="400" t="s">
        <v>9568</v>
      </c>
    </row>
    <row r="829" spans="1:11" x14ac:dyDescent="0.25">
      <c r="A829" s="446">
        <v>45213</v>
      </c>
      <c r="B829" s="460"/>
      <c r="C829" s="308" t="s">
        <v>12424</v>
      </c>
      <c r="D829" s="306">
        <v>15000</v>
      </c>
      <c r="E829" s="306"/>
      <c r="F829" s="48">
        <f t="shared" si="24"/>
        <v>5062753</v>
      </c>
      <c r="G829" s="400" t="s">
        <v>9568</v>
      </c>
    </row>
    <row r="830" spans="1:11" x14ac:dyDescent="0.25">
      <c r="A830" s="446">
        <v>45217</v>
      </c>
      <c r="B830" s="460"/>
      <c r="C830" s="308" t="s">
        <v>12434</v>
      </c>
      <c r="D830" s="306">
        <v>150000</v>
      </c>
      <c r="E830" s="306"/>
      <c r="F830" s="48">
        <f t="shared" si="24"/>
        <v>4912753</v>
      </c>
      <c r="G830" s="400" t="s">
        <v>9568</v>
      </c>
    </row>
    <row r="831" spans="1:11" x14ac:dyDescent="0.25">
      <c r="A831" s="446">
        <v>45217</v>
      </c>
      <c r="B831" s="460"/>
      <c r="C831" s="308" t="s">
        <v>12447</v>
      </c>
      <c r="D831" s="306">
        <v>69120</v>
      </c>
      <c r="E831" s="306"/>
      <c r="F831" s="48">
        <f t="shared" si="24"/>
        <v>4843633</v>
      </c>
      <c r="G831" s="400" t="s">
        <v>9568</v>
      </c>
    </row>
    <row r="832" spans="1:11" ht="18" customHeight="1" x14ac:dyDescent="0.25">
      <c r="A832" s="446">
        <v>45218</v>
      </c>
      <c r="B832" s="460"/>
      <c r="C832" s="309" t="s">
        <v>12464</v>
      </c>
      <c r="D832" s="306">
        <v>25000</v>
      </c>
      <c r="E832" s="306"/>
      <c r="F832" s="48">
        <f t="shared" si="24"/>
        <v>4818633</v>
      </c>
      <c r="G832" s="400" t="s">
        <v>9568</v>
      </c>
    </row>
    <row r="833" spans="1:11" ht="18" customHeight="1" x14ac:dyDescent="0.25">
      <c r="A833" s="446">
        <v>45218</v>
      </c>
      <c r="B833" s="460"/>
      <c r="C833" s="309" t="s">
        <v>12519</v>
      </c>
      <c r="D833" s="306"/>
      <c r="E833" s="306">
        <v>500000</v>
      </c>
      <c r="F833" s="48">
        <f t="shared" si="24"/>
        <v>5318633</v>
      </c>
      <c r="G833" s="400" t="s">
        <v>9568</v>
      </c>
    </row>
    <row r="834" spans="1:11" ht="18" customHeight="1" x14ac:dyDescent="0.25">
      <c r="A834" s="446">
        <v>45218</v>
      </c>
      <c r="B834" s="460"/>
      <c r="C834" s="309" t="s">
        <v>1805</v>
      </c>
      <c r="D834" s="306">
        <v>60000</v>
      </c>
      <c r="E834" s="306"/>
      <c r="F834" s="48">
        <f t="shared" si="24"/>
        <v>5258633</v>
      </c>
      <c r="G834" s="400" t="s">
        <v>9568</v>
      </c>
      <c r="I834" s="277"/>
    </row>
    <row r="835" spans="1:11" x14ac:dyDescent="0.25">
      <c r="A835" s="446">
        <v>45218</v>
      </c>
      <c r="B835" s="460"/>
      <c r="C835" s="309" t="s">
        <v>8516</v>
      </c>
      <c r="D835" s="306">
        <v>390000</v>
      </c>
      <c r="E835" s="306"/>
      <c r="F835" s="48">
        <f t="shared" si="24"/>
        <v>4868633</v>
      </c>
      <c r="G835" s="400" t="s">
        <v>9568</v>
      </c>
    </row>
    <row r="836" spans="1:11" s="357" customFormat="1" ht="30" x14ac:dyDescent="0.25">
      <c r="A836" s="446">
        <v>45221</v>
      </c>
      <c r="B836" s="460"/>
      <c r="C836" s="309" t="s">
        <v>12492</v>
      </c>
      <c r="D836" s="306">
        <v>254000</v>
      </c>
      <c r="E836" s="306"/>
      <c r="F836" s="48">
        <f t="shared" si="24"/>
        <v>4614633</v>
      </c>
      <c r="G836" s="400" t="s">
        <v>9568</v>
      </c>
      <c r="K836" s="379"/>
    </row>
    <row r="837" spans="1:11" x14ac:dyDescent="0.25">
      <c r="A837" s="446">
        <v>45224</v>
      </c>
      <c r="B837" s="460"/>
      <c r="C837" s="309" t="s">
        <v>12075</v>
      </c>
      <c r="D837" s="306">
        <v>30000</v>
      </c>
      <c r="E837" s="306"/>
      <c r="F837" s="48">
        <f t="shared" si="24"/>
        <v>4584633</v>
      </c>
      <c r="G837" s="400" t="s">
        <v>9568</v>
      </c>
    </row>
    <row r="838" spans="1:11" x14ac:dyDescent="0.25">
      <c r="A838" s="446">
        <v>45225</v>
      </c>
      <c r="B838" s="460"/>
      <c r="C838" s="309" t="s">
        <v>12516</v>
      </c>
      <c r="D838" s="306">
        <v>120000</v>
      </c>
      <c r="E838" s="306"/>
      <c r="F838" s="48">
        <f t="shared" si="24"/>
        <v>4464633</v>
      </c>
      <c r="G838" s="400" t="s">
        <v>9568</v>
      </c>
    </row>
    <row r="839" spans="1:11" x14ac:dyDescent="0.25">
      <c r="A839" s="446">
        <v>45226</v>
      </c>
      <c r="B839" s="460"/>
      <c r="C839" s="308" t="s">
        <v>12531</v>
      </c>
      <c r="D839" s="306">
        <v>100000</v>
      </c>
      <c r="E839" s="306"/>
      <c r="F839" s="48">
        <f t="shared" si="24"/>
        <v>4364633</v>
      </c>
      <c r="G839" s="400" t="s">
        <v>9568</v>
      </c>
    </row>
    <row r="840" spans="1:11" x14ac:dyDescent="0.25">
      <c r="A840" s="446">
        <v>45227</v>
      </c>
      <c r="B840" s="460"/>
      <c r="C840" s="309" t="s">
        <v>12532</v>
      </c>
      <c r="D840" s="306">
        <v>200000</v>
      </c>
      <c r="E840" s="306"/>
      <c r="F840" s="48">
        <f t="shared" si="24"/>
        <v>4164633</v>
      </c>
      <c r="G840" s="400" t="s">
        <v>9568</v>
      </c>
    </row>
    <row r="841" spans="1:11" x14ac:dyDescent="0.25">
      <c r="A841" s="446">
        <v>45231</v>
      </c>
      <c r="B841" s="460"/>
      <c r="C841" s="308" t="s">
        <v>12558</v>
      </c>
      <c r="D841" s="306"/>
      <c r="E841" s="306">
        <v>2000000</v>
      </c>
      <c r="F841" s="48">
        <f t="shared" si="24"/>
        <v>6164633</v>
      </c>
      <c r="G841" s="400" t="s">
        <v>9568</v>
      </c>
    </row>
    <row r="842" spans="1:11" x14ac:dyDescent="0.25">
      <c r="A842" s="446">
        <v>45232</v>
      </c>
      <c r="B842" s="460"/>
      <c r="C842" s="309" t="s">
        <v>12562</v>
      </c>
      <c r="D842" s="306">
        <v>199000</v>
      </c>
      <c r="E842" s="306"/>
      <c r="F842" s="48">
        <f t="shared" si="24"/>
        <v>5965633</v>
      </c>
      <c r="G842" s="400" t="s">
        <v>9568</v>
      </c>
    </row>
    <row r="843" spans="1:11" ht="30" x14ac:dyDescent="0.25">
      <c r="A843" s="446">
        <v>45232</v>
      </c>
      <c r="B843" s="460"/>
      <c r="C843" s="309" t="s">
        <v>12563</v>
      </c>
      <c r="D843" s="306">
        <v>147310</v>
      </c>
      <c r="E843" s="306"/>
      <c r="F843" s="48">
        <f t="shared" si="24"/>
        <v>5818323</v>
      </c>
      <c r="G843" s="400" t="s">
        <v>9568</v>
      </c>
    </row>
    <row r="844" spans="1:11" ht="30" x14ac:dyDescent="0.25">
      <c r="A844" s="446">
        <v>45232</v>
      </c>
      <c r="B844" s="460"/>
      <c r="C844" s="309" t="s">
        <v>12564</v>
      </c>
      <c r="D844" s="306">
        <v>100000</v>
      </c>
      <c r="E844" s="306"/>
      <c r="F844" s="48">
        <f t="shared" si="24"/>
        <v>5718323</v>
      </c>
      <c r="G844" s="400" t="s">
        <v>9568</v>
      </c>
    </row>
    <row r="845" spans="1:11" x14ac:dyDescent="0.25">
      <c r="A845" s="446">
        <v>45236</v>
      </c>
      <c r="B845" s="394"/>
      <c r="C845" s="308" t="s">
        <v>12605</v>
      </c>
      <c r="D845" s="443">
        <v>105000</v>
      </c>
      <c r="E845" s="306"/>
      <c r="F845" s="48">
        <f t="shared" si="24"/>
        <v>5613323</v>
      </c>
      <c r="G845" s="400" t="s">
        <v>9568</v>
      </c>
    </row>
    <row r="846" spans="1:11" x14ac:dyDescent="0.25">
      <c r="A846" s="446">
        <v>45237</v>
      </c>
      <c r="B846" s="394"/>
      <c r="C846" s="294" t="s">
        <v>12614</v>
      </c>
      <c r="D846" s="304"/>
      <c r="E846" s="306">
        <v>5000</v>
      </c>
      <c r="F846" s="48">
        <f t="shared" ref="F846:F864" si="25">F845+E846-D846</f>
        <v>5618323</v>
      </c>
      <c r="G846" s="400" t="s">
        <v>9568</v>
      </c>
    </row>
    <row r="847" spans="1:11" x14ac:dyDescent="0.25">
      <c r="A847" s="446">
        <v>45239</v>
      </c>
      <c r="B847" s="394"/>
      <c r="C847" s="294" t="s">
        <v>12625</v>
      </c>
      <c r="D847" s="304">
        <v>170000</v>
      </c>
      <c r="E847" s="306"/>
      <c r="F847" s="48">
        <f t="shared" si="25"/>
        <v>5448323</v>
      </c>
      <c r="G847" s="400" t="s">
        <v>9568</v>
      </c>
    </row>
    <row r="848" spans="1:11" x14ac:dyDescent="0.25">
      <c r="A848" s="446">
        <v>45240</v>
      </c>
      <c r="B848" s="394"/>
      <c r="C848" s="294" t="s">
        <v>12626</v>
      </c>
      <c r="D848" s="304">
        <v>100000</v>
      </c>
      <c r="E848" s="306"/>
      <c r="F848" s="48">
        <f t="shared" si="25"/>
        <v>5348323</v>
      </c>
      <c r="G848" s="400" t="s">
        <v>9568</v>
      </c>
    </row>
    <row r="849" spans="1:11" x14ac:dyDescent="0.25">
      <c r="A849" s="446">
        <v>45241</v>
      </c>
      <c r="B849" s="394"/>
      <c r="C849" s="294" t="s">
        <v>12676</v>
      </c>
      <c r="D849" s="304">
        <v>100000</v>
      </c>
      <c r="E849" s="306"/>
      <c r="F849" s="48">
        <f t="shared" si="25"/>
        <v>5248323</v>
      </c>
      <c r="G849" s="400" t="s">
        <v>9568</v>
      </c>
    </row>
    <row r="850" spans="1:11" x14ac:dyDescent="0.25">
      <c r="A850" s="446">
        <v>45243</v>
      </c>
      <c r="B850" s="394"/>
      <c r="C850" s="294" t="s">
        <v>12668</v>
      </c>
      <c r="D850" s="304">
        <v>25000</v>
      </c>
      <c r="E850" s="306"/>
      <c r="F850" s="48">
        <f t="shared" si="25"/>
        <v>5223323</v>
      </c>
      <c r="G850" s="400" t="s">
        <v>9568</v>
      </c>
    </row>
    <row r="851" spans="1:11" x14ac:dyDescent="0.25">
      <c r="A851" s="446">
        <v>45243</v>
      </c>
      <c r="B851" s="394"/>
      <c r="C851" s="294" t="s">
        <v>12662</v>
      </c>
      <c r="D851" s="304">
        <v>80000</v>
      </c>
      <c r="E851" s="306"/>
      <c r="F851" s="48">
        <f t="shared" si="25"/>
        <v>5143323</v>
      </c>
      <c r="G851" s="400" t="s">
        <v>9568</v>
      </c>
    </row>
    <row r="852" spans="1:11" ht="30" x14ac:dyDescent="0.25">
      <c r="A852" s="446">
        <v>45244</v>
      </c>
      <c r="B852" s="394"/>
      <c r="C852" s="305" t="s">
        <v>12666</v>
      </c>
      <c r="D852" s="306">
        <v>100000</v>
      </c>
      <c r="E852" s="306"/>
      <c r="F852" s="48">
        <f t="shared" si="25"/>
        <v>5043323</v>
      </c>
      <c r="G852" s="400" t="s">
        <v>9568</v>
      </c>
    </row>
    <row r="853" spans="1:11" x14ac:dyDescent="0.25">
      <c r="A853" s="446">
        <v>45244</v>
      </c>
      <c r="B853" s="394"/>
      <c r="C853" s="294" t="s">
        <v>12676</v>
      </c>
      <c r="D853" s="304">
        <v>100000</v>
      </c>
      <c r="E853" s="306"/>
      <c r="F853" s="48">
        <f t="shared" si="25"/>
        <v>4943323</v>
      </c>
      <c r="G853" s="400" t="s">
        <v>9568</v>
      </c>
    </row>
    <row r="854" spans="1:11" x14ac:dyDescent="0.25">
      <c r="A854" s="446">
        <v>45245</v>
      </c>
      <c r="B854" s="394"/>
      <c r="C854" s="294" t="s">
        <v>12682</v>
      </c>
      <c r="D854" s="304">
        <v>150000</v>
      </c>
      <c r="E854" s="306"/>
      <c r="F854" s="48">
        <f t="shared" si="25"/>
        <v>4793323</v>
      </c>
      <c r="G854" s="400" t="s">
        <v>9568</v>
      </c>
    </row>
    <row r="855" spans="1:11" ht="45" x14ac:dyDescent="0.25">
      <c r="A855" s="446">
        <v>45245</v>
      </c>
      <c r="B855" s="394"/>
      <c r="C855" s="305" t="s">
        <v>12691</v>
      </c>
      <c r="D855" s="306">
        <v>288788</v>
      </c>
      <c r="E855" s="306"/>
      <c r="F855" s="48">
        <f t="shared" si="25"/>
        <v>4504535</v>
      </c>
      <c r="G855" s="400" t="s">
        <v>9568</v>
      </c>
    </row>
    <row r="856" spans="1:11" ht="45" x14ac:dyDescent="0.25">
      <c r="A856" s="446">
        <v>45245</v>
      </c>
      <c r="B856" s="394"/>
      <c r="C856" s="305" t="s">
        <v>12691</v>
      </c>
      <c r="D856" s="306">
        <v>203128</v>
      </c>
      <c r="E856" s="306"/>
      <c r="F856" s="48">
        <f t="shared" si="25"/>
        <v>4301407</v>
      </c>
      <c r="G856" s="400" t="s">
        <v>9568</v>
      </c>
    </row>
    <row r="857" spans="1:11" x14ac:dyDescent="0.25">
      <c r="A857" s="446">
        <v>45245</v>
      </c>
      <c r="B857" s="394"/>
      <c r="C857" s="294" t="s">
        <v>12676</v>
      </c>
      <c r="D857" s="304">
        <v>100000</v>
      </c>
      <c r="E857" s="306"/>
      <c r="F857" s="48">
        <f t="shared" si="25"/>
        <v>4201407</v>
      </c>
      <c r="G857" s="400" t="s">
        <v>9568</v>
      </c>
      <c r="I857" s="277"/>
    </row>
    <row r="858" spans="1:11" x14ac:dyDescent="0.25">
      <c r="A858" s="446">
        <v>45246</v>
      </c>
      <c r="B858" s="394"/>
      <c r="C858" s="294" t="s">
        <v>12676</v>
      </c>
      <c r="D858" s="304">
        <v>100000</v>
      </c>
      <c r="E858" s="306"/>
      <c r="F858" s="48">
        <f t="shared" si="25"/>
        <v>4101407</v>
      </c>
      <c r="G858" s="400" t="s">
        <v>9568</v>
      </c>
    </row>
    <row r="859" spans="1:11" x14ac:dyDescent="0.25">
      <c r="A859" s="446">
        <v>45247</v>
      </c>
      <c r="B859" s="394"/>
      <c r="C859" s="294" t="s">
        <v>12676</v>
      </c>
      <c r="D859" s="304">
        <v>200000</v>
      </c>
      <c r="E859" s="306"/>
      <c r="F859" s="48">
        <f t="shared" si="25"/>
        <v>3901407</v>
      </c>
      <c r="G859" s="400" t="s">
        <v>9568</v>
      </c>
    </row>
    <row r="860" spans="1:11" s="357" customFormat="1" ht="30" x14ac:dyDescent="0.25">
      <c r="A860" s="446">
        <v>45247</v>
      </c>
      <c r="B860" s="460"/>
      <c r="C860" s="309" t="s">
        <v>12692</v>
      </c>
      <c r="D860" s="306">
        <v>200000</v>
      </c>
      <c r="E860" s="306"/>
      <c r="F860" s="48">
        <f t="shared" si="25"/>
        <v>3701407</v>
      </c>
      <c r="G860" s="400" t="s">
        <v>9568</v>
      </c>
      <c r="K860" s="379"/>
    </row>
    <row r="861" spans="1:11" x14ac:dyDescent="0.25">
      <c r="A861" s="446">
        <v>45248</v>
      </c>
      <c r="B861" s="394"/>
      <c r="C861" s="294" t="s">
        <v>12717</v>
      </c>
      <c r="D861" s="304"/>
      <c r="E861" s="306">
        <v>3800000</v>
      </c>
      <c r="F861" s="48">
        <f t="shared" si="25"/>
        <v>7501407</v>
      </c>
      <c r="G861" s="400" t="s">
        <v>9568</v>
      </c>
    </row>
    <row r="862" spans="1:11" x14ac:dyDescent="0.25">
      <c r="A862" s="446">
        <v>45248</v>
      </c>
      <c r="B862" s="394"/>
      <c r="C862" s="294" t="s">
        <v>12718</v>
      </c>
      <c r="D862" s="304">
        <v>735690</v>
      </c>
      <c r="E862" s="306"/>
      <c r="F862" s="48">
        <f t="shared" si="25"/>
        <v>6765717</v>
      </c>
      <c r="G862" s="400" t="s">
        <v>9568</v>
      </c>
    </row>
    <row r="863" spans="1:11" x14ac:dyDescent="0.25">
      <c r="A863" s="446">
        <v>45248</v>
      </c>
      <c r="B863" s="394"/>
      <c r="C863" s="294" t="s">
        <v>12719</v>
      </c>
      <c r="D863" s="304">
        <v>249000</v>
      </c>
      <c r="E863" s="306"/>
      <c r="F863" s="48">
        <f t="shared" si="25"/>
        <v>6516717</v>
      </c>
      <c r="G863" s="400" t="s">
        <v>9568</v>
      </c>
    </row>
    <row r="864" spans="1:11" x14ac:dyDescent="0.25">
      <c r="A864" s="446">
        <v>45248</v>
      </c>
      <c r="B864" s="394"/>
      <c r="C864" s="294" t="s">
        <v>12720</v>
      </c>
      <c r="D864" s="304">
        <v>16000</v>
      </c>
      <c r="E864" s="306"/>
      <c r="F864" s="48">
        <f t="shared" si="25"/>
        <v>6500717</v>
      </c>
      <c r="G864" s="400" t="s">
        <v>9568</v>
      </c>
    </row>
    <row r="865" spans="1:12" x14ac:dyDescent="0.25">
      <c r="A865" s="446">
        <v>45248</v>
      </c>
      <c r="B865" s="394"/>
      <c r="C865" s="294" t="s">
        <v>12721</v>
      </c>
      <c r="D865" s="304">
        <v>184000</v>
      </c>
      <c r="E865" s="306"/>
      <c r="F865" s="48">
        <f t="shared" ref="F865:F928" si="26">F864+E865-D865</f>
        <v>6316717</v>
      </c>
      <c r="G865" s="400" t="s">
        <v>9568</v>
      </c>
    </row>
    <row r="866" spans="1:12" x14ac:dyDescent="0.25">
      <c r="A866" s="446">
        <v>45248</v>
      </c>
      <c r="B866" s="394"/>
      <c r="C866" s="294" t="s">
        <v>12722</v>
      </c>
      <c r="D866" s="304">
        <v>6000</v>
      </c>
      <c r="E866" s="306"/>
      <c r="F866" s="48">
        <f t="shared" si="26"/>
        <v>6310717</v>
      </c>
      <c r="G866" s="400" t="s">
        <v>9568</v>
      </c>
    </row>
    <row r="867" spans="1:12" x14ac:dyDescent="0.25">
      <c r="A867" s="446">
        <v>45248</v>
      </c>
      <c r="B867" s="394"/>
      <c r="C867" s="294" t="s">
        <v>12723</v>
      </c>
      <c r="D867" s="304">
        <v>59000</v>
      </c>
      <c r="E867" s="306"/>
      <c r="F867" s="48">
        <f t="shared" si="26"/>
        <v>6251717</v>
      </c>
      <c r="G867" s="400" t="s">
        <v>9568</v>
      </c>
    </row>
    <row r="868" spans="1:12" x14ac:dyDescent="0.25">
      <c r="A868" s="446">
        <v>45248</v>
      </c>
      <c r="B868" s="394"/>
      <c r="C868" s="294" t="s">
        <v>12724</v>
      </c>
      <c r="D868" s="304">
        <v>1000000</v>
      </c>
      <c r="E868" s="306"/>
      <c r="F868" s="48">
        <f t="shared" si="26"/>
        <v>5251717</v>
      </c>
      <c r="G868" s="400" t="s">
        <v>9568</v>
      </c>
      <c r="I868">
        <v>237616</v>
      </c>
      <c r="J868">
        <v>941759</v>
      </c>
      <c r="L868" s="2"/>
    </row>
    <row r="869" spans="1:12" s="357" customFormat="1" x14ac:dyDescent="0.25">
      <c r="A869" s="446">
        <v>45250</v>
      </c>
      <c r="B869" s="460"/>
      <c r="C869" s="308" t="s">
        <v>12734</v>
      </c>
      <c r="D869" s="306">
        <v>760000</v>
      </c>
      <c r="E869" s="306"/>
      <c r="F869" s="48">
        <f t="shared" si="26"/>
        <v>4491717</v>
      </c>
      <c r="G869" s="400" t="s">
        <v>9568</v>
      </c>
      <c r="I869" s="357">
        <f>I868*10%</f>
        <v>23761.600000000002</v>
      </c>
      <c r="J869" s="357">
        <f>J868*8%</f>
        <v>75340.72</v>
      </c>
      <c r="K869" s="379"/>
      <c r="L869" s="379"/>
    </row>
    <row r="870" spans="1:12" s="357" customFormat="1" x14ac:dyDescent="0.25">
      <c r="A870" s="446">
        <v>45250</v>
      </c>
      <c r="B870" s="460"/>
      <c r="C870" s="308" t="s">
        <v>12735</v>
      </c>
      <c r="D870" s="306">
        <v>390000</v>
      </c>
      <c r="E870" s="306"/>
      <c r="F870" s="48">
        <f t="shared" si="26"/>
        <v>4101717</v>
      </c>
      <c r="G870" s="400" t="s">
        <v>9568</v>
      </c>
      <c r="I870" s="357">
        <f>I868-I869</f>
        <v>213854.4</v>
      </c>
      <c r="K870" s="379"/>
      <c r="L870" s="379"/>
    </row>
    <row r="871" spans="1:12" s="357" customFormat="1" x14ac:dyDescent="0.25">
      <c r="A871" s="446">
        <v>45250</v>
      </c>
      <c r="B871" s="460"/>
      <c r="C871" s="308" t="s">
        <v>12738</v>
      </c>
      <c r="D871" s="306">
        <v>50000</v>
      </c>
      <c r="E871" s="306"/>
      <c r="F871" s="48">
        <f t="shared" si="26"/>
        <v>4051717</v>
      </c>
      <c r="G871" s="400" t="s">
        <v>9568</v>
      </c>
      <c r="K871" s="379"/>
      <c r="L871" s="379"/>
    </row>
    <row r="872" spans="1:12" s="357" customFormat="1" x14ac:dyDescent="0.25">
      <c r="A872" s="446">
        <v>45250</v>
      </c>
      <c r="B872" s="460"/>
      <c r="C872" s="308" t="s">
        <v>12740</v>
      </c>
      <c r="D872" s="306">
        <v>50000</v>
      </c>
      <c r="E872" s="306"/>
      <c r="F872" s="48">
        <f t="shared" si="26"/>
        <v>4001717</v>
      </c>
      <c r="G872" s="400" t="s">
        <v>9568</v>
      </c>
      <c r="K872" s="379"/>
      <c r="L872" s="379"/>
    </row>
    <row r="873" spans="1:12" s="357" customFormat="1" x14ac:dyDescent="0.25">
      <c r="A873" s="446">
        <v>45250</v>
      </c>
      <c r="B873" s="460"/>
      <c r="C873" s="308" t="s">
        <v>12741</v>
      </c>
      <c r="D873" s="306">
        <v>50000</v>
      </c>
      <c r="E873" s="306"/>
      <c r="F873" s="48">
        <f t="shared" si="26"/>
        <v>3951717</v>
      </c>
      <c r="G873" s="400" t="s">
        <v>9568</v>
      </c>
      <c r="K873" s="379"/>
    </row>
    <row r="874" spans="1:12" s="357" customFormat="1" x14ac:dyDescent="0.25">
      <c r="A874" s="446">
        <v>45251</v>
      </c>
      <c r="B874" s="460"/>
      <c r="C874" s="308" t="s">
        <v>12742</v>
      </c>
      <c r="D874" s="306">
        <v>50000</v>
      </c>
      <c r="E874" s="306"/>
      <c r="F874" s="48">
        <f t="shared" si="26"/>
        <v>3901717</v>
      </c>
      <c r="G874" s="400" t="s">
        <v>9568</v>
      </c>
      <c r="K874" s="379"/>
    </row>
    <row r="875" spans="1:12" s="357" customFormat="1" x14ac:dyDescent="0.25">
      <c r="A875" s="446">
        <v>45251</v>
      </c>
      <c r="B875" s="460"/>
      <c r="C875" s="308" t="s">
        <v>12743</v>
      </c>
      <c r="D875" s="306">
        <v>45000</v>
      </c>
      <c r="E875" s="306"/>
      <c r="F875" s="48">
        <f t="shared" si="26"/>
        <v>3856717</v>
      </c>
      <c r="G875" s="400" t="s">
        <v>9568</v>
      </c>
      <c r="K875" s="379"/>
    </row>
    <row r="876" spans="1:12" s="357" customFormat="1" x14ac:dyDescent="0.25">
      <c r="A876" s="446">
        <v>45251</v>
      </c>
      <c r="B876" s="460"/>
      <c r="C876" s="308" t="s">
        <v>12744</v>
      </c>
      <c r="D876" s="306">
        <v>15000</v>
      </c>
      <c r="E876" s="306"/>
      <c r="F876" s="48">
        <f t="shared" si="26"/>
        <v>3841717</v>
      </c>
      <c r="G876" s="400" t="s">
        <v>9568</v>
      </c>
      <c r="K876" s="379"/>
    </row>
    <row r="877" spans="1:12" s="357" customFormat="1" x14ac:dyDescent="0.25">
      <c r="A877" s="446">
        <v>45251</v>
      </c>
      <c r="B877" s="460"/>
      <c r="C877" s="308" t="s">
        <v>12717</v>
      </c>
      <c r="D877" s="306"/>
      <c r="E877" s="306">
        <v>800000</v>
      </c>
      <c r="F877" s="48">
        <f t="shared" si="26"/>
        <v>4641717</v>
      </c>
      <c r="G877" s="400" t="s">
        <v>9568</v>
      </c>
      <c r="J877" s="357" t="s">
        <v>12801</v>
      </c>
      <c r="K877" s="379"/>
    </row>
    <row r="878" spans="1:12" s="357" customFormat="1" x14ac:dyDescent="0.25">
      <c r="A878" s="446">
        <v>45251</v>
      </c>
      <c r="B878" s="460"/>
      <c r="C878" s="308" t="s">
        <v>12717</v>
      </c>
      <c r="D878" s="306"/>
      <c r="E878" s="306">
        <v>260000</v>
      </c>
      <c r="F878" s="48">
        <f t="shared" si="26"/>
        <v>4901717</v>
      </c>
      <c r="G878" s="400" t="s">
        <v>9568</v>
      </c>
      <c r="K878" s="379"/>
    </row>
    <row r="879" spans="1:12" s="357" customFormat="1" x14ac:dyDescent="0.25">
      <c r="A879" s="446">
        <v>45252</v>
      </c>
      <c r="B879" s="460"/>
      <c r="C879" s="308" t="s">
        <v>12762</v>
      </c>
      <c r="D879" s="306">
        <v>20000</v>
      </c>
      <c r="E879" s="306"/>
      <c r="F879" s="48">
        <f t="shared" si="26"/>
        <v>4881717</v>
      </c>
      <c r="G879" s="400" t="s">
        <v>9568</v>
      </c>
      <c r="J879" s="379">
        <v>800000</v>
      </c>
      <c r="K879" s="379">
        <v>267000</v>
      </c>
    </row>
    <row r="880" spans="1:12" s="357" customFormat="1" x14ac:dyDescent="0.25">
      <c r="A880" s="446">
        <v>45252</v>
      </c>
      <c r="B880" s="460"/>
      <c r="C880" s="308" t="s">
        <v>12763</v>
      </c>
      <c r="D880" s="306">
        <v>21000</v>
      </c>
      <c r="E880" s="306"/>
      <c r="F880" s="48">
        <f t="shared" si="26"/>
        <v>4860717</v>
      </c>
      <c r="G880" s="400" t="s">
        <v>9568</v>
      </c>
      <c r="J880" s="379">
        <v>260000</v>
      </c>
      <c r="K880" s="379">
        <v>50000</v>
      </c>
    </row>
    <row r="881" spans="1:18" s="357" customFormat="1" x14ac:dyDescent="0.25">
      <c r="A881" s="446">
        <v>45253</v>
      </c>
      <c r="B881" s="460"/>
      <c r="C881" s="308" t="s">
        <v>12676</v>
      </c>
      <c r="D881" s="306">
        <v>20000</v>
      </c>
      <c r="E881" s="306"/>
      <c r="F881" s="48">
        <f t="shared" si="26"/>
        <v>4840717</v>
      </c>
      <c r="G881" s="400" t="s">
        <v>9568</v>
      </c>
      <c r="J881" s="379">
        <f>SUM(J879:J880)</f>
        <v>1060000</v>
      </c>
      <c r="K881" s="379">
        <v>18000</v>
      </c>
      <c r="L881" s="357" t="s">
        <v>2128</v>
      </c>
    </row>
    <row r="882" spans="1:18" s="357" customFormat="1" x14ac:dyDescent="0.25">
      <c r="A882" s="446">
        <v>45253</v>
      </c>
      <c r="B882" s="460"/>
      <c r="C882" s="308" t="s">
        <v>12773</v>
      </c>
      <c r="D882" s="306">
        <v>267000</v>
      </c>
      <c r="E882" s="306"/>
      <c r="F882" s="48">
        <f t="shared" si="26"/>
        <v>4573717</v>
      </c>
      <c r="G882" s="400" t="s">
        <v>9568</v>
      </c>
      <c r="J882" s="379"/>
      <c r="K882" s="379">
        <v>397000</v>
      </c>
    </row>
    <row r="883" spans="1:18" s="357" customFormat="1" x14ac:dyDescent="0.25">
      <c r="A883" s="446">
        <v>45254</v>
      </c>
      <c r="B883" s="460"/>
      <c r="C883" s="308" t="s">
        <v>12676</v>
      </c>
      <c r="D883" s="306">
        <v>80000</v>
      </c>
      <c r="E883" s="306"/>
      <c r="F883" s="48">
        <f t="shared" si="26"/>
        <v>4493717</v>
      </c>
      <c r="G883" s="400" t="s">
        <v>9568</v>
      </c>
      <c r="J883" s="379"/>
      <c r="K883" s="379">
        <v>68000</v>
      </c>
    </row>
    <row r="884" spans="1:18" s="357" customFormat="1" x14ac:dyDescent="0.25">
      <c r="A884" s="446">
        <v>45254</v>
      </c>
      <c r="B884" s="460"/>
      <c r="C884" s="308" t="s">
        <v>12774</v>
      </c>
      <c r="D884" s="306">
        <v>4000000</v>
      </c>
      <c r="E884" s="306"/>
      <c r="F884" s="48">
        <f t="shared" si="26"/>
        <v>493717</v>
      </c>
      <c r="G884" s="400" t="s">
        <v>9568</v>
      </c>
      <c r="J884" s="379"/>
      <c r="K884" s="379">
        <f>SUM(K879:K883)</f>
        <v>800000</v>
      </c>
    </row>
    <row r="885" spans="1:18" x14ac:dyDescent="0.25">
      <c r="A885" s="446">
        <v>45259</v>
      </c>
      <c r="B885" s="394"/>
      <c r="C885" s="294" t="s">
        <v>5328</v>
      </c>
      <c r="D885" s="304">
        <v>20000</v>
      </c>
      <c r="E885" s="306"/>
      <c r="F885" s="48">
        <f t="shared" si="26"/>
        <v>473717</v>
      </c>
      <c r="G885" s="400" t="s">
        <v>9568</v>
      </c>
      <c r="K885" s="379"/>
      <c r="L885" s="357"/>
      <c r="M885" s="357"/>
      <c r="N885" s="357"/>
      <c r="O885" s="357"/>
      <c r="P885" s="357"/>
      <c r="Q885" s="357"/>
      <c r="R885" s="357"/>
    </row>
    <row r="886" spans="1:18" x14ac:dyDescent="0.25">
      <c r="A886" s="446">
        <v>45261</v>
      </c>
      <c r="B886" s="394"/>
      <c r="C886" s="294" t="s">
        <v>5328</v>
      </c>
      <c r="D886" s="304">
        <v>100000</v>
      </c>
      <c r="E886" s="306"/>
      <c r="F886" s="48">
        <f t="shared" si="26"/>
        <v>373717</v>
      </c>
      <c r="G886" s="400" t="s">
        <v>9568</v>
      </c>
      <c r="K886" s="379"/>
      <c r="L886" s="357"/>
      <c r="M886" s="357"/>
      <c r="N886" s="357"/>
      <c r="O886" s="357"/>
      <c r="P886" s="357"/>
      <c r="Q886" s="357"/>
      <c r="R886" s="357"/>
    </row>
    <row r="887" spans="1:18" x14ac:dyDescent="0.25">
      <c r="A887" s="446">
        <v>45261</v>
      </c>
      <c r="B887" s="394"/>
      <c r="C887" s="294" t="s">
        <v>12564</v>
      </c>
      <c r="D887" s="304">
        <v>50000</v>
      </c>
      <c r="E887" s="306"/>
      <c r="F887" s="48">
        <f t="shared" si="26"/>
        <v>323717</v>
      </c>
      <c r="G887" s="400" t="s">
        <v>9568</v>
      </c>
    </row>
    <row r="888" spans="1:18" x14ac:dyDescent="0.25">
      <c r="A888" s="446">
        <v>45261</v>
      </c>
      <c r="B888" s="394"/>
      <c r="C888" s="294" t="s">
        <v>12808</v>
      </c>
      <c r="D888" s="304">
        <v>50000</v>
      </c>
      <c r="E888" s="306"/>
      <c r="F888" s="48">
        <f t="shared" si="26"/>
        <v>273717</v>
      </c>
      <c r="G888" s="400" t="s">
        <v>9568</v>
      </c>
    </row>
    <row r="889" spans="1:18" x14ac:dyDescent="0.25">
      <c r="A889" s="446">
        <v>45261</v>
      </c>
      <c r="B889" s="394"/>
      <c r="C889" s="294" t="s">
        <v>12809</v>
      </c>
      <c r="D889" s="304">
        <v>50000</v>
      </c>
      <c r="E889" s="306"/>
      <c r="F889" s="48">
        <f t="shared" si="26"/>
        <v>223717</v>
      </c>
      <c r="G889" s="400" t="s">
        <v>9568</v>
      </c>
    </row>
    <row r="890" spans="1:18" x14ac:dyDescent="0.25">
      <c r="A890" s="446">
        <v>45263</v>
      </c>
      <c r="B890" s="394"/>
      <c r="C890" s="294" t="s">
        <v>12810</v>
      </c>
      <c r="D890" s="304">
        <v>100000</v>
      </c>
      <c r="E890" s="306"/>
      <c r="F890" s="48">
        <f t="shared" si="26"/>
        <v>123717</v>
      </c>
      <c r="G890" s="400" t="s">
        <v>9568</v>
      </c>
    </row>
    <row r="891" spans="1:18" x14ac:dyDescent="0.25">
      <c r="A891" s="446">
        <v>45264</v>
      </c>
      <c r="B891" s="394"/>
      <c r="C891" s="294" t="s">
        <v>12810</v>
      </c>
      <c r="D891" s="304">
        <v>30000</v>
      </c>
      <c r="E891" s="306"/>
      <c r="F891" s="48">
        <f t="shared" si="26"/>
        <v>93717</v>
      </c>
      <c r="G891" s="400" t="s">
        <v>9568</v>
      </c>
    </row>
    <row r="892" spans="1:18" s="357" customFormat="1" x14ac:dyDescent="0.25">
      <c r="A892" s="446">
        <v>45266</v>
      </c>
      <c r="B892" s="460"/>
      <c r="C892" s="308" t="s">
        <v>12816</v>
      </c>
      <c r="D892" s="443">
        <v>105000</v>
      </c>
      <c r="E892" s="306"/>
      <c r="F892" s="48">
        <f t="shared" si="26"/>
        <v>-11283</v>
      </c>
      <c r="G892" s="400" t="s">
        <v>9568</v>
      </c>
      <c r="K892" s="379"/>
    </row>
    <row r="893" spans="1:18" s="357" customFormat="1" ht="30" x14ac:dyDescent="0.25">
      <c r="A893" s="446">
        <v>45266</v>
      </c>
      <c r="B893" s="460"/>
      <c r="C893" s="309" t="s">
        <v>12819</v>
      </c>
      <c r="D893" s="306">
        <v>100000</v>
      </c>
      <c r="E893" s="306"/>
      <c r="F893" s="48">
        <f t="shared" si="26"/>
        <v>-111283</v>
      </c>
      <c r="G893" s="400" t="s">
        <v>9568</v>
      </c>
      <c r="K893" s="379"/>
      <c r="L893" s="378" t="s">
        <v>11331</v>
      </c>
      <c r="M893" s="378" t="s">
        <v>2053</v>
      </c>
      <c r="N893" s="378" t="s">
        <v>9753</v>
      </c>
      <c r="O893" s="378"/>
    </row>
    <row r="894" spans="1:18" s="357" customFormat="1" x14ac:dyDescent="0.25">
      <c r="A894" s="446">
        <v>45267</v>
      </c>
      <c r="B894" s="460"/>
      <c r="C894" s="308" t="s">
        <v>12826</v>
      </c>
      <c r="D894" s="306"/>
      <c r="E894" s="306">
        <v>1000000</v>
      </c>
      <c r="F894" s="48">
        <f t="shared" si="26"/>
        <v>888717</v>
      </c>
      <c r="G894" s="400" t="s">
        <v>9568</v>
      </c>
      <c r="K894" s="379" t="s">
        <v>12764</v>
      </c>
      <c r="L894" s="379">
        <v>18039638</v>
      </c>
      <c r="M894" s="379">
        <f>L894*13%</f>
        <v>2345152.94</v>
      </c>
      <c r="N894" s="379">
        <f>M894+L894</f>
        <v>20384790.940000001</v>
      </c>
    </row>
    <row r="895" spans="1:18" s="357" customFormat="1" x14ac:dyDescent="0.25">
      <c r="A895" s="446">
        <v>45267</v>
      </c>
      <c r="B895" s="460"/>
      <c r="C895" s="308" t="s">
        <v>12820</v>
      </c>
      <c r="D895" s="306">
        <v>850000</v>
      </c>
      <c r="E895" s="306"/>
      <c r="F895" s="48">
        <f t="shared" si="26"/>
        <v>38717</v>
      </c>
      <c r="G895" s="400" t="s">
        <v>9568</v>
      </c>
      <c r="K895" s="379" t="s">
        <v>12765</v>
      </c>
      <c r="L895" s="379">
        <v>1459032</v>
      </c>
      <c r="M895" s="379">
        <f>L895*13%</f>
        <v>189674.16</v>
      </c>
      <c r="N895" s="379">
        <f>M895+L895</f>
        <v>1648706.16</v>
      </c>
    </row>
    <row r="896" spans="1:18" s="357" customFormat="1" ht="45" x14ac:dyDescent="0.25">
      <c r="A896" s="446">
        <v>45267</v>
      </c>
      <c r="B896" s="460"/>
      <c r="C896" s="309" t="s">
        <v>12825</v>
      </c>
      <c r="D896" s="306"/>
      <c r="E896" s="306">
        <v>520000</v>
      </c>
      <c r="F896" s="48">
        <f t="shared" si="26"/>
        <v>558717</v>
      </c>
      <c r="G896" s="400" t="s">
        <v>9568</v>
      </c>
      <c r="K896" s="379" t="s">
        <v>12767</v>
      </c>
      <c r="L896" s="379">
        <v>6295230</v>
      </c>
      <c r="M896" s="379">
        <f>L896*13%</f>
        <v>818379.9</v>
      </c>
      <c r="N896" s="379">
        <f>M896+L896</f>
        <v>7113609.9000000004</v>
      </c>
    </row>
    <row r="897" spans="1:14" s="357" customFormat="1" x14ac:dyDescent="0.25">
      <c r="A897" s="446">
        <v>45267</v>
      </c>
      <c r="B897" s="460"/>
      <c r="C897" s="308" t="s">
        <v>12850</v>
      </c>
      <c r="D897" s="306">
        <v>500000</v>
      </c>
      <c r="E897" s="306"/>
      <c r="F897" s="48">
        <f t="shared" si="26"/>
        <v>58717</v>
      </c>
      <c r="G897" s="400" t="s">
        <v>9568</v>
      </c>
      <c r="K897" s="379" t="s">
        <v>12766</v>
      </c>
      <c r="L897" s="379">
        <v>2728770</v>
      </c>
      <c r="M897" s="379">
        <f>L897*13%</f>
        <v>354740.10000000003</v>
      </c>
      <c r="N897" s="379">
        <f>M897+L897</f>
        <v>3083510.1</v>
      </c>
    </row>
    <row r="898" spans="1:14" s="357" customFormat="1" x14ac:dyDescent="0.25">
      <c r="A898" s="446">
        <v>45279</v>
      </c>
      <c r="B898" s="460"/>
      <c r="C898" s="308" t="s">
        <v>12911</v>
      </c>
      <c r="D898" s="306">
        <v>150000</v>
      </c>
      <c r="E898" s="306"/>
      <c r="F898" s="48">
        <f t="shared" si="26"/>
        <v>-91283</v>
      </c>
      <c r="G898" s="400" t="s">
        <v>9568</v>
      </c>
      <c r="K898" s="379" t="s">
        <v>12768</v>
      </c>
      <c r="L898" s="379">
        <v>445900</v>
      </c>
      <c r="M898" s="379">
        <f>L898*13%</f>
        <v>57967</v>
      </c>
      <c r="N898" s="379">
        <f>M898+L898</f>
        <v>503867</v>
      </c>
    </row>
    <row r="899" spans="1:14" s="357" customFormat="1" x14ac:dyDescent="0.25">
      <c r="A899" s="446">
        <v>45280</v>
      </c>
      <c r="B899" s="460"/>
      <c r="C899" s="308" t="s">
        <v>12915</v>
      </c>
      <c r="D899" s="306"/>
      <c r="E899" s="306">
        <v>100000</v>
      </c>
      <c r="F899" s="48">
        <f t="shared" si="26"/>
        <v>8717</v>
      </c>
      <c r="G899" s="400" t="s">
        <v>9568</v>
      </c>
      <c r="K899" s="379"/>
      <c r="L899" s="525">
        <f>SUM(L894:L898)</f>
        <v>28968570</v>
      </c>
      <c r="M899" s="525">
        <f t="shared" ref="M899:N899" si="27">SUM(M894:M898)</f>
        <v>3765914.1</v>
      </c>
      <c r="N899" s="525">
        <f t="shared" si="27"/>
        <v>32734484.100000001</v>
      </c>
    </row>
    <row r="900" spans="1:14" s="357" customFormat="1" x14ac:dyDescent="0.25">
      <c r="A900" s="446">
        <v>45280</v>
      </c>
      <c r="B900" s="460"/>
      <c r="C900" s="308" t="s">
        <v>12916</v>
      </c>
      <c r="D900" s="306">
        <v>16000</v>
      </c>
      <c r="E900" s="306"/>
      <c r="F900" s="48">
        <f t="shared" si="26"/>
        <v>-7283</v>
      </c>
      <c r="G900" s="400" t="s">
        <v>9568</v>
      </c>
      <c r="K900" s="379"/>
    </row>
    <row r="901" spans="1:14" s="357" customFormat="1" x14ac:dyDescent="0.25">
      <c r="A901" s="446">
        <v>45280</v>
      </c>
      <c r="B901" s="460"/>
      <c r="C901" s="308" t="s">
        <v>12917</v>
      </c>
      <c r="D901" s="306">
        <v>1000</v>
      </c>
      <c r="E901" s="306"/>
      <c r="F901" s="48">
        <f t="shared" si="26"/>
        <v>-8283</v>
      </c>
      <c r="G901" s="400" t="s">
        <v>9568</v>
      </c>
      <c r="K901" s="624" t="s">
        <v>8193</v>
      </c>
      <c r="L901" s="379">
        <v>25868184.940000001</v>
      </c>
      <c r="N901" s="379">
        <v>25868184.940000001</v>
      </c>
    </row>
    <row r="902" spans="1:14" s="357" customFormat="1" x14ac:dyDescent="0.25">
      <c r="A902" s="446">
        <v>45281</v>
      </c>
      <c r="B902" s="460"/>
      <c r="C902" s="308" t="s">
        <v>12948</v>
      </c>
      <c r="D902" s="306">
        <v>50000</v>
      </c>
      <c r="E902" s="306"/>
      <c r="F902" s="48">
        <f t="shared" si="26"/>
        <v>-58283</v>
      </c>
      <c r="G902" s="400" t="s">
        <v>9568</v>
      </c>
      <c r="K902" s="624" t="s">
        <v>12294</v>
      </c>
      <c r="L902" s="525">
        <f>L899-L901</f>
        <v>3100385.0599999987</v>
      </c>
      <c r="N902" s="525">
        <f>N899-N901</f>
        <v>6866299.1600000001</v>
      </c>
    </row>
    <row r="903" spans="1:14" s="357" customFormat="1" x14ac:dyDescent="0.25">
      <c r="A903" s="446">
        <v>45288</v>
      </c>
      <c r="B903" s="460"/>
      <c r="C903" s="308" t="s">
        <v>12012</v>
      </c>
      <c r="D903" s="306">
        <v>300000</v>
      </c>
      <c r="E903" s="306"/>
      <c r="F903" s="48">
        <f t="shared" si="26"/>
        <v>-358283</v>
      </c>
      <c r="G903" s="400" t="s">
        <v>9568</v>
      </c>
      <c r="K903" s="624" t="s">
        <v>12769</v>
      </c>
      <c r="L903" s="379">
        <f>L902*7%</f>
        <v>217026.95419999992</v>
      </c>
      <c r="M903" s="379"/>
      <c r="N903" s="379">
        <f>N902*7%</f>
        <v>480640.94120000006</v>
      </c>
    </row>
    <row r="904" spans="1:14" s="357" customFormat="1" x14ac:dyDescent="0.25">
      <c r="A904" s="446">
        <v>45289</v>
      </c>
      <c r="B904" s="460"/>
      <c r="C904" s="308" t="s">
        <v>12964</v>
      </c>
      <c r="D904" s="306">
        <v>100000</v>
      </c>
      <c r="E904" s="306"/>
      <c r="F904" s="48">
        <f t="shared" si="26"/>
        <v>-458283</v>
      </c>
      <c r="G904" s="400" t="s">
        <v>9568</v>
      </c>
      <c r="K904" s="379"/>
      <c r="L904" s="525">
        <f>L902-L903</f>
        <v>2883358.1057999986</v>
      </c>
      <c r="N904" s="525">
        <f>N902-N903</f>
        <v>6385658.2187999999</v>
      </c>
    </row>
    <row r="905" spans="1:14" s="357" customFormat="1" x14ac:dyDescent="0.25">
      <c r="A905" s="446">
        <v>45289</v>
      </c>
      <c r="B905" s="460"/>
      <c r="C905" s="308" t="s">
        <v>12965</v>
      </c>
      <c r="D905" s="306">
        <v>14780</v>
      </c>
      <c r="E905" s="306"/>
      <c r="F905" s="48">
        <f t="shared" si="26"/>
        <v>-473063</v>
      </c>
      <c r="G905" s="400" t="s">
        <v>9568</v>
      </c>
      <c r="K905" s="379"/>
    </row>
    <row r="906" spans="1:14" ht="45" x14ac:dyDescent="0.25">
      <c r="A906" s="446">
        <v>45289</v>
      </c>
      <c r="B906" s="394"/>
      <c r="C906" s="305" t="s">
        <v>13001</v>
      </c>
      <c r="D906" s="306">
        <v>132000</v>
      </c>
      <c r="E906" s="306"/>
      <c r="F906" s="48">
        <f t="shared" si="26"/>
        <v>-605063</v>
      </c>
      <c r="G906" s="400" t="s">
        <v>9568</v>
      </c>
      <c r="L906" s="617"/>
    </row>
    <row r="907" spans="1:14" x14ac:dyDescent="0.25">
      <c r="A907" s="446">
        <v>44927</v>
      </c>
      <c r="B907" s="394"/>
      <c r="C907" s="308" t="s">
        <v>12012</v>
      </c>
      <c r="D907" s="306">
        <v>197000</v>
      </c>
      <c r="E907" s="306"/>
      <c r="F907" s="48">
        <f t="shared" si="26"/>
        <v>-802063</v>
      </c>
      <c r="G907" s="400" t="s">
        <v>9568</v>
      </c>
      <c r="K907" s="379"/>
      <c r="L907" s="379"/>
      <c r="M907" s="2"/>
    </row>
    <row r="908" spans="1:14" x14ac:dyDescent="0.25">
      <c r="A908" s="446">
        <v>44927</v>
      </c>
      <c r="B908" s="394"/>
      <c r="C908" s="294" t="s">
        <v>13005</v>
      </c>
      <c r="D908" s="304">
        <v>80000</v>
      </c>
      <c r="E908" s="306"/>
      <c r="F908" s="48">
        <f t="shared" si="26"/>
        <v>-882063</v>
      </c>
      <c r="G908" s="400" t="s">
        <v>9568</v>
      </c>
      <c r="K908" s="379"/>
      <c r="L908" s="379"/>
      <c r="M908" s="379"/>
    </row>
    <row r="909" spans="1:14" x14ac:dyDescent="0.25">
      <c r="A909" s="446">
        <v>44929</v>
      </c>
      <c r="B909" s="394"/>
      <c r="C909" s="294" t="s">
        <v>13028</v>
      </c>
      <c r="D909" s="304">
        <v>50000</v>
      </c>
      <c r="E909" s="306"/>
      <c r="F909" s="48">
        <f t="shared" si="26"/>
        <v>-932063</v>
      </c>
      <c r="G909" s="400" t="s">
        <v>9568</v>
      </c>
      <c r="K909" s="379"/>
      <c r="L909" s="379"/>
      <c r="M909" s="379"/>
    </row>
    <row r="910" spans="1:14" x14ac:dyDescent="0.25">
      <c r="A910" s="446">
        <v>44929</v>
      </c>
      <c r="B910" s="394"/>
      <c r="C910" s="294" t="s">
        <v>13029</v>
      </c>
      <c r="D910" s="304">
        <v>30000</v>
      </c>
      <c r="E910" s="306"/>
      <c r="F910" s="48">
        <f t="shared" si="26"/>
        <v>-962063</v>
      </c>
      <c r="G910" s="400" t="s">
        <v>9568</v>
      </c>
    </row>
    <row r="911" spans="1:14" x14ac:dyDescent="0.25">
      <c r="A911" s="446">
        <v>44930</v>
      </c>
      <c r="B911" s="394"/>
      <c r="C911" s="308" t="s">
        <v>13043</v>
      </c>
      <c r="D911" s="304">
        <v>1400000</v>
      </c>
      <c r="E911" s="306"/>
      <c r="F911" s="48">
        <f t="shared" si="26"/>
        <v>-2362063</v>
      </c>
      <c r="G911" s="400" t="s">
        <v>9568</v>
      </c>
      <c r="M911" s="277"/>
    </row>
    <row r="912" spans="1:14" x14ac:dyDescent="0.25">
      <c r="A912" s="446">
        <v>44930</v>
      </c>
      <c r="B912" s="394"/>
      <c r="C912" s="294" t="s">
        <v>13031</v>
      </c>
      <c r="D912" s="304"/>
      <c r="E912" s="306">
        <v>2920000</v>
      </c>
      <c r="F912" s="48">
        <f t="shared" si="26"/>
        <v>557937</v>
      </c>
      <c r="G912" s="400" t="s">
        <v>9568</v>
      </c>
    </row>
    <row r="913" spans="1:7" x14ac:dyDescent="0.25">
      <c r="A913" s="446">
        <v>44930</v>
      </c>
      <c r="B913" s="394"/>
      <c r="C913" s="308" t="s">
        <v>13042</v>
      </c>
      <c r="D913" s="443">
        <v>105000</v>
      </c>
      <c r="E913" s="306"/>
      <c r="F913" s="48">
        <f t="shared" si="26"/>
        <v>452937</v>
      </c>
      <c r="G913" s="400" t="s">
        <v>9568</v>
      </c>
    </row>
    <row r="914" spans="1:7" x14ac:dyDescent="0.25">
      <c r="A914" s="446">
        <v>44931</v>
      </c>
      <c r="B914" s="394"/>
      <c r="C914" s="294" t="s">
        <v>13046</v>
      </c>
      <c r="D914" s="304">
        <v>1282120</v>
      </c>
      <c r="E914" s="306"/>
      <c r="F914" s="48">
        <f t="shared" si="26"/>
        <v>-829183</v>
      </c>
      <c r="G914" s="400" t="s">
        <v>9568</v>
      </c>
    </row>
    <row r="915" spans="1:7" x14ac:dyDescent="0.25">
      <c r="A915" s="446">
        <v>44931</v>
      </c>
      <c r="B915" s="394"/>
      <c r="C915" s="294" t="s">
        <v>13047</v>
      </c>
      <c r="D915" s="304">
        <v>5000</v>
      </c>
      <c r="E915" s="306"/>
      <c r="F915" s="48">
        <f t="shared" si="26"/>
        <v>-834183</v>
      </c>
      <c r="G915" s="400" t="s">
        <v>9568</v>
      </c>
    </row>
    <row r="916" spans="1:7" x14ac:dyDescent="0.25">
      <c r="A916" s="446">
        <v>45301</v>
      </c>
      <c r="B916" s="394"/>
      <c r="C916" s="294" t="s">
        <v>13100</v>
      </c>
      <c r="D916" s="304">
        <v>750000</v>
      </c>
      <c r="E916" s="306"/>
      <c r="F916" s="48">
        <f t="shared" si="26"/>
        <v>-1584183</v>
      </c>
      <c r="G916" s="400" t="s">
        <v>9568</v>
      </c>
    </row>
    <row r="917" spans="1:7" x14ac:dyDescent="0.25">
      <c r="A917" s="446">
        <v>45303</v>
      </c>
      <c r="B917" s="394"/>
      <c r="C917" s="294" t="s">
        <v>13101</v>
      </c>
      <c r="D917" s="304">
        <v>700000</v>
      </c>
      <c r="E917" s="306"/>
      <c r="F917" s="48">
        <f t="shared" si="26"/>
        <v>-2284183</v>
      </c>
      <c r="G917" s="400" t="s">
        <v>9568</v>
      </c>
    </row>
    <row r="918" spans="1:7" x14ac:dyDescent="0.25">
      <c r="A918" s="446">
        <v>45303</v>
      </c>
      <c r="B918" s="394"/>
      <c r="C918" s="294" t="s">
        <v>12464</v>
      </c>
      <c r="D918" s="304">
        <v>25000</v>
      </c>
      <c r="E918" s="306"/>
      <c r="F918" s="48">
        <f t="shared" si="26"/>
        <v>-2309183</v>
      </c>
      <c r="G918" s="400" t="s">
        <v>9568</v>
      </c>
    </row>
    <row r="919" spans="1:7" x14ac:dyDescent="0.25">
      <c r="A919" s="446">
        <v>45303</v>
      </c>
      <c r="B919" s="394"/>
      <c r="C919" s="294" t="s">
        <v>13102</v>
      </c>
      <c r="D919" s="304"/>
      <c r="E919" s="306">
        <v>100000</v>
      </c>
      <c r="F919" s="48">
        <f t="shared" si="26"/>
        <v>-2209183</v>
      </c>
      <c r="G919" s="400" t="s">
        <v>9568</v>
      </c>
    </row>
    <row r="920" spans="1:7" x14ac:dyDescent="0.25">
      <c r="A920" s="446">
        <v>45303</v>
      </c>
      <c r="B920" s="394"/>
      <c r="C920" s="315" t="s">
        <v>13103</v>
      </c>
      <c r="D920" s="304">
        <v>7000</v>
      </c>
      <c r="E920" s="306"/>
      <c r="F920" s="48">
        <f t="shared" si="26"/>
        <v>-2216183</v>
      </c>
      <c r="G920" s="400" t="s">
        <v>9568</v>
      </c>
    </row>
    <row r="921" spans="1:7" x14ac:dyDescent="0.25">
      <c r="A921" s="446">
        <v>45303</v>
      </c>
      <c r="B921" s="394"/>
      <c r="C921" s="294" t="s">
        <v>13104</v>
      </c>
      <c r="D921" s="304">
        <v>11000</v>
      </c>
      <c r="E921" s="306"/>
      <c r="F921" s="48">
        <f t="shared" si="26"/>
        <v>-2227183</v>
      </c>
      <c r="G921" s="400" t="s">
        <v>9568</v>
      </c>
    </row>
    <row r="922" spans="1:7" x14ac:dyDescent="0.25">
      <c r="A922" s="446">
        <v>45303</v>
      </c>
      <c r="B922" s="394"/>
      <c r="C922" s="294" t="s">
        <v>13105</v>
      </c>
      <c r="D922" s="304">
        <v>600000</v>
      </c>
      <c r="E922" s="306"/>
      <c r="F922" s="48">
        <f t="shared" si="26"/>
        <v>-2827183</v>
      </c>
      <c r="G922" s="400" t="s">
        <v>9568</v>
      </c>
    </row>
    <row r="923" spans="1:7" x14ac:dyDescent="0.25">
      <c r="A923" s="446">
        <v>45303</v>
      </c>
      <c r="B923" s="394"/>
      <c r="C923" s="294" t="s">
        <v>13107</v>
      </c>
      <c r="D923" s="304">
        <v>500000</v>
      </c>
      <c r="E923" s="306"/>
      <c r="F923" s="48">
        <f t="shared" si="26"/>
        <v>-3327183</v>
      </c>
      <c r="G923" s="400" t="s">
        <v>9568</v>
      </c>
    </row>
    <row r="924" spans="1:7" x14ac:dyDescent="0.25">
      <c r="A924" s="446">
        <v>45303</v>
      </c>
      <c r="B924" s="394"/>
      <c r="C924" s="294" t="s">
        <v>13106</v>
      </c>
      <c r="D924" s="304">
        <v>250000</v>
      </c>
      <c r="E924" s="306"/>
      <c r="F924" s="48">
        <f t="shared" si="26"/>
        <v>-3577183</v>
      </c>
      <c r="G924" s="400" t="s">
        <v>9568</v>
      </c>
    </row>
    <row r="925" spans="1:7" x14ac:dyDescent="0.25">
      <c r="A925" s="446">
        <v>45310</v>
      </c>
      <c r="B925" s="394"/>
      <c r="C925" s="294" t="s">
        <v>13108</v>
      </c>
      <c r="D925" s="304">
        <v>80000</v>
      </c>
      <c r="E925" s="306"/>
      <c r="F925" s="48">
        <f t="shared" si="26"/>
        <v>-3657183</v>
      </c>
      <c r="G925" s="400" t="s">
        <v>9568</v>
      </c>
    </row>
    <row r="926" spans="1:7" x14ac:dyDescent="0.25">
      <c r="A926" s="446">
        <v>45310</v>
      </c>
      <c r="B926" s="394"/>
      <c r="C926" s="294" t="s">
        <v>13109</v>
      </c>
      <c r="D926" s="304"/>
      <c r="E926" s="306">
        <v>700000</v>
      </c>
      <c r="F926" s="48">
        <f t="shared" si="26"/>
        <v>-2957183</v>
      </c>
      <c r="G926" s="400" t="s">
        <v>9568</v>
      </c>
    </row>
    <row r="927" spans="1:7" x14ac:dyDescent="0.25">
      <c r="A927" s="446">
        <v>45310</v>
      </c>
      <c r="B927" s="394"/>
      <c r="C927" s="294" t="s">
        <v>13109</v>
      </c>
      <c r="D927" s="304"/>
      <c r="E927" s="306">
        <v>700000</v>
      </c>
      <c r="F927" s="48">
        <f t="shared" si="26"/>
        <v>-2257183</v>
      </c>
      <c r="G927" s="400" t="s">
        <v>9568</v>
      </c>
    </row>
    <row r="928" spans="1:7" x14ac:dyDescent="0.25">
      <c r="A928" s="446">
        <v>45310</v>
      </c>
      <c r="B928" s="394"/>
      <c r="C928" s="294" t="s">
        <v>8999</v>
      </c>
      <c r="D928" s="304">
        <v>10000</v>
      </c>
      <c r="E928" s="306"/>
      <c r="F928" s="48">
        <f t="shared" si="26"/>
        <v>-2267183</v>
      </c>
      <c r="G928" s="400" t="s">
        <v>9568</v>
      </c>
    </row>
    <row r="929" spans="1:11" x14ac:dyDescent="0.25">
      <c r="A929" s="446">
        <v>45311</v>
      </c>
      <c r="B929" s="394"/>
      <c r="C929" s="308" t="s">
        <v>13168</v>
      </c>
      <c r="D929" s="304">
        <v>400000</v>
      </c>
      <c r="E929" s="306"/>
      <c r="F929" s="48">
        <f t="shared" ref="F929:F991" si="28">F928+E929-D929</f>
        <v>-2667183</v>
      </c>
      <c r="G929" s="400" t="s">
        <v>9568</v>
      </c>
    </row>
    <row r="930" spans="1:11" x14ac:dyDescent="0.25">
      <c r="A930" s="446">
        <v>45311</v>
      </c>
      <c r="B930" s="394"/>
      <c r="C930" s="636" t="s">
        <v>13172</v>
      </c>
      <c r="D930" s="637"/>
      <c r="E930" s="638">
        <v>9316872</v>
      </c>
      <c r="F930" s="48">
        <f t="shared" si="28"/>
        <v>6649689</v>
      </c>
      <c r="G930" s="400" t="s">
        <v>9568</v>
      </c>
    </row>
    <row r="931" spans="1:11" x14ac:dyDescent="0.25">
      <c r="A931" s="446">
        <v>45311</v>
      </c>
      <c r="B931" s="394"/>
      <c r="C931" s="294" t="s">
        <v>13175</v>
      </c>
      <c r="D931" s="304">
        <v>32000</v>
      </c>
      <c r="E931" s="306"/>
      <c r="F931" s="48">
        <f t="shared" si="28"/>
        <v>6617689</v>
      </c>
      <c r="G931" s="400" t="s">
        <v>9568</v>
      </c>
    </row>
    <row r="932" spans="1:11" x14ac:dyDescent="0.25">
      <c r="A932" s="446">
        <v>45311</v>
      </c>
      <c r="B932" s="394"/>
      <c r="C932" s="294" t="s">
        <v>13182</v>
      </c>
      <c r="D932" s="304">
        <v>100000</v>
      </c>
      <c r="E932" s="306"/>
      <c r="F932" s="48">
        <f t="shared" si="28"/>
        <v>6517689</v>
      </c>
      <c r="G932" s="400" t="s">
        <v>9568</v>
      </c>
    </row>
    <row r="933" spans="1:11" x14ac:dyDescent="0.25">
      <c r="A933" s="446">
        <v>45316</v>
      </c>
      <c r="B933" s="394"/>
      <c r="C933" s="315" t="s">
        <v>13103</v>
      </c>
      <c r="D933" s="304">
        <v>7000</v>
      </c>
      <c r="E933" s="306"/>
      <c r="F933" s="48">
        <f t="shared" si="28"/>
        <v>6510689</v>
      </c>
      <c r="G933" s="400" t="s">
        <v>9568</v>
      </c>
    </row>
    <row r="934" spans="1:11" s="357" customFormat="1" x14ac:dyDescent="0.25">
      <c r="A934" s="446">
        <v>45317</v>
      </c>
      <c r="B934" s="460"/>
      <c r="C934" s="308" t="s">
        <v>13260</v>
      </c>
      <c r="D934" s="306">
        <v>10000</v>
      </c>
      <c r="E934" s="306"/>
      <c r="F934" s="48">
        <f t="shared" si="28"/>
        <v>6500689</v>
      </c>
      <c r="G934" s="400" t="s">
        <v>9568</v>
      </c>
      <c r="K934" s="379"/>
    </row>
    <row r="935" spans="1:11" s="357" customFormat="1" x14ac:dyDescent="0.25">
      <c r="A935" s="446">
        <v>45317</v>
      </c>
      <c r="B935" s="460"/>
      <c r="C935" s="308" t="s">
        <v>13168</v>
      </c>
      <c r="D935" s="306">
        <v>100000</v>
      </c>
      <c r="E935" s="306"/>
      <c r="F935" s="48">
        <f t="shared" si="28"/>
        <v>6400689</v>
      </c>
      <c r="G935" s="400" t="s">
        <v>9568</v>
      </c>
      <c r="K935" s="379"/>
    </row>
    <row r="936" spans="1:11" s="357" customFormat="1" x14ac:dyDescent="0.25">
      <c r="A936" s="446">
        <v>45318</v>
      </c>
      <c r="B936" s="460"/>
      <c r="C936" s="308" t="s">
        <v>13168</v>
      </c>
      <c r="D936" s="306">
        <v>500000</v>
      </c>
      <c r="E936" s="306"/>
      <c r="F936" s="48">
        <f t="shared" si="28"/>
        <v>5900689</v>
      </c>
      <c r="G936" s="400" t="s">
        <v>9568</v>
      </c>
      <c r="K936" s="379"/>
    </row>
    <row r="937" spans="1:11" s="357" customFormat="1" x14ac:dyDescent="0.25">
      <c r="A937" s="446">
        <v>45320</v>
      </c>
      <c r="B937" s="460"/>
      <c r="C937" s="308" t="s">
        <v>13168</v>
      </c>
      <c r="D937" s="306">
        <v>200000</v>
      </c>
      <c r="E937" s="306"/>
      <c r="F937" s="48">
        <f t="shared" si="28"/>
        <v>5700689</v>
      </c>
      <c r="G937" s="400" t="s">
        <v>9568</v>
      </c>
      <c r="K937" s="379"/>
    </row>
    <row r="938" spans="1:11" s="357" customFormat="1" x14ac:dyDescent="0.25">
      <c r="A938" s="446">
        <v>45320</v>
      </c>
      <c r="B938" s="460"/>
      <c r="C938" s="308" t="s">
        <v>13274</v>
      </c>
      <c r="D938" s="306">
        <v>5000</v>
      </c>
      <c r="E938" s="306"/>
      <c r="F938" s="48">
        <f t="shared" si="28"/>
        <v>5695689</v>
      </c>
      <c r="G938" s="400" t="s">
        <v>9568</v>
      </c>
      <c r="K938" s="379"/>
    </row>
    <row r="939" spans="1:11" s="357" customFormat="1" x14ac:dyDescent="0.25">
      <c r="A939" s="446">
        <v>45320</v>
      </c>
      <c r="B939" s="460"/>
      <c r="C939" s="308" t="s">
        <v>13275</v>
      </c>
      <c r="D939" s="306">
        <v>20000</v>
      </c>
      <c r="E939" s="306"/>
      <c r="F939" s="48">
        <f t="shared" si="28"/>
        <v>5675689</v>
      </c>
      <c r="G939" s="400" t="s">
        <v>9568</v>
      </c>
      <c r="K939" s="379"/>
    </row>
    <row r="940" spans="1:11" s="357" customFormat="1" x14ac:dyDescent="0.25">
      <c r="A940" s="446">
        <v>45320</v>
      </c>
      <c r="B940" s="460"/>
      <c r="C940" s="308" t="s">
        <v>13276</v>
      </c>
      <c r="D940" s="306">
        <v>20000</v>
      </c>
      <c r="E940" s="306"/>
      <c r="F940" s="48">
        <f t="shared" si="28"/>
        <v>5655689</v>
      </c>
      <c r="G940" s="400" t="s">
        <v>9568</v>
      </c>
      <c r="K940" s="379"/>
    </row>
    <row r="941" spans="1:11" s="357" customFormat="1" ht="30" x14ac:dyDescent="0.25">
      <c r="A941" s="446">
        <v>45320</v>
      </c>
      <c r="B941" s="460"/>
      <c r="C941" s="309" t="s">
        <v>13278</v>
      </c>
      <c r="D941" s="306">
        <v>950000</v>
      </c>
      <c r="E941" s="306"/>
      <c r="F941" s="48">
        <f t="shared" si="28"/>
        <v>4705689</v>
      </c>
      <c r="G941" s="400" t="s">
        <v>9568</v>
      </c>
      <c r="K941" s="379"/>
    </row>
    <row r="942" spans="1:11" s="357" customFormat="1" ht="21" customHeight="1" x14ac:dyDescent="0.25">
      <c r="A942" s="446">
        <v>45320</v>
      </c>
      <c r="B942" s="460"/>
      <c r="C942" s="308" t="s">
        <v>13279</v>
      </c>
      <c r="D942" s="306">
        <v>47000</v>
      </c>
      <c r="E942" s="306"/>
      <c r="F942" s="48">
        <f t="shared" si="28"/>
        <v>4658689</v>
      </c>
      <c r="G942" s="400" t="s">
        <v>9568</v>
      </c>
      <c r="K942" s="379"/>
    </row>
    <row r="943" spans="1:11" s="357" customFormat="1" x14ac:dyDescent="0.25">
      <c r="A943" s="446">
        <v>45325</v>
      </c>
      <c r="B943" s="460"/>
      <c r="C943" s="308" t="s">
        <v>13323</v>
      </c>
      <c r="D943" s="306">
        <v>100000</v>
      </c>
      <c r="E943" s="306"/>
      <c r="F943" s="48">
        <f t="shared" si="28"/>
        <v>4558689</v>
      </c>
      <c r="G943" s="400" t="s">
        <v>9568</v>
      </c>
      <c r="K943" s="379"/>
    </row>
    <row r="944" spans="1:11" s="357" customFormat="1" x14ac:dyDescent="0.25">
      <c r="A944" s="446">
        <v>45329</v>
      </c>
      <c r="B944" s="460"/>
      <c r="C944" s="308" t="s">
        <v>13340</v>
      </c>
      <c r="D944" s="443">
        <v>105000</v>
      </c>
      <c r="E944" s="306"/>
      <c r="F944" s="48">
        <f t="shared" si="28"/>
        <v>4453689</v>
      </c>
      <c r="G944" s="400" t="s">
        <v>9568</v>
      </c>
      <c r="K944" s="379"/>
    </row>
    <row r="945" spans="1:11" x14ac:dyDescent="0.25">
      <c r="A945" s="446">
        <v>45331</v>
      </c>
      <c r="B945" s="394"/>
      <c r="C945" s="294" t="s">
        <v>13346</v>
      </c>
      <c r="D945" s="304">
        <v>25000</v>
      </c>
      <c r="E945" s="306"/>
      <c r="F945" s="48">
        <f t="shared" si="28"/>
        <v>4428689</v>
      </c>
      <c r="G945" s="400" t="s">
        <v>9568</v>
      </c>
    </row>
    <row r="946" spans="1:11" x14ac:dyDescent="0.25">
      <c r="A946" s="446">
        <v>45332</v>
      </c>
      <c r="B946" s="394"/>
      <c r="C946" s="294" t="s">
        <v>13375</v>
      </c>
      <c r="D946" s="304"/>
      <c r="E946" s="306">
        <v>85000</v>
      </c>
      <c r="F946" s="48">
        <f t="shared" si="28"/>
        <v>4513689</v>
      </c>
      <c r="G946" s="400" t="s">
        <v>9568</v>
      </c>
    </row>
    <row r="947" spans="1:11" x14ac:dyDescent="0.25">
      <c r="A947" s="446">
        <v>45335</v>
      </c>
      <c r="B947" s="394"/>
      <c r="C947" s="294" t="s">
        <v>13401</v>
      </c>
      <c r="D947" s="304">
        <v>25000</v>
      </c>
      <c r="E947" s="306"/>
      <c r="F947" s="48">
        <f t="shared" si="28"/>
        <v>4488689</v>
      </c>
      <c r="G947" s="400" t="s">
        <v>9568</v>
      </c>
    </row>
    <row r="948" spans="1:11" x14ac:dyDescent="0.25">
      <c r="A948" s="446">
        <v>45337</v>
      </c>
      <c r="B948" s="394"/>
      <c r="C948" s="294" t="s">
        <v>13413</v>
      </c>
      <c r="D948" s="304">
        <v>15000</v>
      </c>
      <c r="E948" s="306"/>
      <c r="F948" s="48">
        <f t="shared" si="28"/>
        <v>4473689</v>
      </c>
      <c r="G948" s="400" t="s">
        <v>9568</v>
      </c>
    </row>
    <row r="949" spans="1:11" x14ac:dyDescent="0.25">
      <c r="A949" s="446">
        <v>45339</v>
      </c>
      <c r="B949" s="394"/>
      <c r="C949" s="294" t="s">
        <v>12025</v>
      </c>
      <c r="D949" s="304">
        <v>50000</v>
      </c>
      <c r="E949" s="306"/>
      <c r="F949" s="48">
        <f t="shared" si="28"/>
        <v>4423689</v>
      </c>
      <c r="G949" s="400" t="s">
        <v>9568</v>
      </c>
    </row>
    <row r="950" spans="1:11" ht="30" x14ac:dyDescent="0.25">
      <c r="A950" s="446">
        <v>45340</v>
      </c>
      <c r="B950" s="394"/>
      <c r="C950" s="305" t="s">
        <v>13429</v>
      </c>
      <c r="D950" s="304"/>
      <c r="E950" s="306">
        <v>250000</v>
      </c>
      <c r="F950" s="48">
        <f>F949+E950-D950</f>
        <v>4673689</v>
      </c>
      <c r="G950" s="400" t="s">
        <v>9568</v>
      </c>
    </row>
    <row r="951" spans="1:11" x14ac:dyDescent="0.25">
      <c r="A951" s="446">
        <v>45341</v>
      </c>
      <c r="B951" s="394"/>
      <c r="C951" s="294" t="s">
        <v>13430</v>
      </c>
      <c r="D951" s="304">
        <v>300000</v>
      </c>
      <c r="E951" s="306"/>
      <c r="F951" s="48">
        <f t="shared" si="28"/>
        <v>4373689</v>
      </c>
      <c r="G951" s="400" t="s">
        <v>9568</v>
      </c>
    </row>
    <row r="952" spans="1:11" ht="30" x14ac:dyDescent="0.25">
      <c r="A952" s="446">
        <v>45344</v>
      </c>
      <c r="B952" s="394"/>
      <c r="C952" s="305" t="s">
        <v>13444</v>
      </c>
      <c r="D952" s="304"/>
      <c r="E952" s="306">
        <v>1800000</v>
      </c>
      <c r="F952" s="48">
        <f t="shared" si="28"/>
        <v>6173689</v>
      </c>
      <c r="G952" s="400" t="s">
        <v>9568</v>
      </c>
    </row>
    <row r="953" spans="1:11" x14ac:dyDescent="0.25">
      <c r="A953" s="446">
        <v>45344</v>
      </c>
      <c r="B953" s="394"/>
      <c r="C953" s="308" t="s">
        <v>13168</v>
      </c>
      <c r="D953" s="306">
        <v>100000</v>
      </c>
      <c r="E953" s="306"/>
      <c r="F953" s="48">
        <f t="shared" si="28"/>
        <v>6073689</v>
      </c>
      <c r="G953" s="400" t="s">
        <v>9568</v>
      </c>
    </row>
    <row r="954" spans="1:11" ht="30" x14ac:dyDescent="0.25">
      <c r="A954" s="446">
        <v>45345</v>
      </c>
      <c r="B954" s="394"/>
      <c r="C954" s="305" t="s">
        <v>13444</v>
      </c>
      <c r="D954" s="304"/>
      <c r="E954" s="306">
        <v>900000</v>
      </c>
      <c r="F954" s="48">
        <f t="shared" si="28"/>
        <v>6973689</v>
      </c>
      <c r="G954" s="400" t="s">
        <v>9568</v>
      </c>
    </row>
    <row r="955" spans="1:11" ht="30" x14ac:dyDescent="0.25">
      <c r="A955" s="446">
        <v>45345</v>
      </c>
      <c r="B955" s="394"/>
      <c r="C955" s="305" t="s">
        <v>13444</v>
      </c>
      <c r="D955" s="304"/>
      <c r="E955" s="306">
        <v>900000</v>
      </c>
      <c r="F955" s="48">
        <f t="shared" si="28"/>
        <v>7873689</v>
      </c>
      <c r="G955" s="400" t="s">
        <v>9568</v>
      </c>
    </row>
    <row r="956" spans="1:11" x14ac:dyDescent="0.25">
      <c r="A956" s="446">
        <v>45345</v>
      </c>
      <c r="B956" s="394"/>
      <c r="C956" s="294" t="s">
        <v>13447</v>
      </c>
      <c r="D956" s="304"/>
      <c r="E956" s="306">
        <v>1460000</v>
      </c>
      <c r="F956" s="48">
        <f t="shared" si="28"/>
        <v>9333689</v>
      </c>
      <c r="G956" s="400" t="s">
        <v>9568</v>
      </c>
    </row>
    <row r="957" spans="1:11" s="357" customFormat="1" x14ac:dyDescent="0.25">
      <c r="A957" s="446">
        <v>45345</v>
      </c>
      <c r="B957" s="460"/>
      <c r="C957" s="308" t="s">
        <v>13448</v>
      </c>
      <c r="D957" s="306">
        <v>20000</v>
      </c>
      <c r="E957" s="306"/>
      <c r="F957" s="48">
        <f t="shared" si="28"/>
        <v>9313689</v>
      </c>
      <c r="G957" s="400" t="s">
        <v>9568</v>
      </c>
      <c r="K957" s="379"/>
    </row>
    <row r="958" spans="1:11" x14ac:dyDescent="0.25">
      <c r="A958" s="446">
        <v>45348</v>
      </c>
      <c r="B958" s="394"/>
      <c r="C958" s="294" t="s">
        <v>12025</v>
      </c>
      <c r="D958" s="304">
        <v>50000</v>
      </c>
      <c r="E958" s="306"/>
      <c r="F958" s="48">
        <f t="shared" si="28"/>
        <v>9263689</v>
      </c>
      <c r="G958" s="400" t="s">
        <v>9568</v>
      </c>
    </row>
    <row r="959" spans="1:11" x14ac:dyDescent="0.25">
      <c r="A959" s="446">
        <v>45349</v>
      </c>
      <c r="B959" s="394"/>
      <c r="C959" s="294" t="s">
        <v>13467</v>
      </c>
      <c r="D959" s="304">
        <v>50000</v>
      </c>
      <c r="E959" s="306"/>
      <c r="F959" s="48">
        <f t="shared" si="28"/>
        <v>9213689</v>
      </c>
      <c r="G959" s="400" t="s">
        <v>9568</v>
      </c>
    </row>
    <row r="960" spans="1:11" x14ac:dyDescent="0.25">
      <c r="A960" s="446">
        <v>45350</v>
      </c>
      <c r="B960" s="394"/>
      <c r="C960" s="294" t="s">
        <v>13468</v>
      </c>
      <c r="D960" s="304">
        <v>70000</v>
      </c>
      <c r="E960" s="306"/>
      <c r="F960" s="48">
        <f t="shared" si="28"/>
        <v>9143689</v>
      </c>
      <c r="G960" s="400" t="s">
        <v>9568</v>
      </c>
    </row>
    <row r="961" spans="1:11" x14ac:dyDescent="0.25">
      <c r="A961" s="446">
        <v>45350</v>
      </c>
      <c r="B961" s="394"/>
      <c r="C961" s="294" t="s">
        <v>13468</v>
      </c>
      <c r="D961" s="304">
        <v>130000</v>
      </c>
      <c r="E961" s="306"/>
      <c r="F961" s="48">
        <f t="shared" si="28"/>
        <v>9013689</v>
      </c>
      <c r="G961" s="400" t="s">
        <v>9568</v>
      </c>
    </row>
    <row r="962" spans="1:11" x14ac:dyDescent="0.25">
      <c r="A962" s="446">
        <v>45351</v>
      </c>
      <c r="B962" s="394"/>
      <c r="C962" s="294" t="s">
        <v>13486</v>
      </c>
      <c r="D962" s="304">
        <v>100000</v>
      </c>
      <c r="E962" s="306"/>
      <c r="F962" s="48">
        <f t="shared" si="28"/>
        <v>8913689</v>
      </c>
      <c r="G962" s="400" t="s">
        <v>9568</v>
      </c>
    </row>
    <row r="963" spans="1:11" x14ac:dyDescent="0.25">
      <c r="A963" s="446">
        <v>45356</v>
      </c>
      <c r="B963" s="394"/>
      <c r="C963" s="294" t="s">
        <v>13501</v>
      </c>
      <c r="D963" s="304">
        <v>100000</v>
      </c>
      <c r="E963" s="306"/>
      <c r="F963" s="48">
        <f t="shared" si="28"/>
        <v>8813689</v>
      </c>
      <c r="G963" s="400" t="s">
        <v>9568</v>
      </c>
    </row>
    <row r="964" spans="1:11" x14ac:dyDescent="0.25">
      <c r="A964" s="446">
        <v>45357</v>
      </c>
      <c r="B964" s="394"/>
      <c r="C964" s="294" t="s">
        <v>13511</v>
      </c>
      <c r="D964" s="304">
        <v>40000</v>
      </c>
      <c r="E964" s="306"/>
      <c r="F964" s="48">
        <f t="shared" si="28"/>
        <v>8773689</v>
      </c>
      <c r="G964" s="400" t="s">
        <v>9568</v>
      </c>
    </row>
    <row r="965" spans="1:11" x14ac:dyDescent="0.25">
      <c r="A965" s="446">
        <v>45360</v>
      </c>
      <c r="B965" s="394"/>
      <c r="C965" s="294" t="s">
        <v>13523</v>
      </c>
      <c r="D965" s="304">
        <v>200000</v>
      </c>
      <c r="E965" s="306"/>
      <c r="F965" s="48">
        <f t="shared" si="28"/>
        <v>8573689</v>
      </c>
      <c r="G965" s="400" t="s">
        <v>9568</v>
      </c>
    </row>
    <row r="966" spans="1:11" x14ac:dyDescent="0.25">
      <c r="A966" s="446">
        <v>45360</v>
      </c>
      <c r="B966" s="394"/>
      <c r="C966" s="308" t="s">
        <v>13527</v>
      </c>
      <c r="D966" s="443">
        <v>105000</v>
      </c>
      <c r="E966" s="306"/>
      <c r="F966" s="48">
        <f t="shared" si="28"/>
        <v>8468689</v>
      </c>
      <c r="G966" s="400" t="s">
        <v>9568</v>
      </c>
    </row>
    <row r="967" spans="1:11" x14ac:dyDescent="0.25">
      <c r="A967" s="446">
        <v>45361</v>
      </c>
      <c r="B967" s="394"/>
      <c r="C967" s="294" t="s">
        <v>13528</v>
      </c>
      <c r="D967" s="304">
        <v>100000</v>
      </c>
      <c r="E967" s="306"/>
      <c r="F967" s="48">
        <f t="shared" si="28"/>
        <v>8368689</v>
      </c>
      <c r="G967" s="400" t="s">
        <v>9568</v>
      </c>
    </row>
    <row r="968" spans="1:11" x14ac:dyDescent="0.25">
      <c r="A968" s="446">
        <v>45362</v>
      </c>
      <c r="B968" s="394"/>
      <c r="C968" s="636" t="s">
        <v>13172</v>
      </c>
      <c r="D968" s="637"/>
      <c r="E968" s="638">
        <v>4658436</v>
      </c>
      <c r="F968" s="48">
        <f t="shared" si="28"/>
        <v>13027125</v>
      </c>
      <c r="G968" s="400" t="s">
        <v>9568</v>
      </c>
    </row>
    <row r="969" spans="1:11" s="357" customFormat="1" x14ac:dyDescent="0.25">
      <c r="A969" s="446">
        <v>45362</v>
      </c>
      <c r="B969" s="460"/>
      <c r="C969" s="308" t="s">
        <v>12025</v>
      </c>
      <c r="D969" s="306">
        <v>150000</v>
      </c>
      <c r="E969" s="306"/>
      <c r="F969" s="48">
        <f t="shared" si="28"/>
        <v>12877125</v>
      </c>
      <c r="G969" s="400" t="s">
        <v>9568</v>
      </c>
      <c r="K969" s="379"/>
    </row>
    <row r="970" spans="1:11" s="357" customFormat="1" x14ac:dyDescent="0.25">
      <c r="A970" s="446">
        <v>45364</v>
      </c>
      <c r="B970" s="460"/>
      <c r="C970" s="663" t="s">
        <v>13556</v>
      </c>
      <c r="D970" s="306"/>
      <c r="E970" s="306">
        <v>5060000</v>
      </c>
      <c r="F970" s="48">
        <f t="shared" si="28"/>
        <v>17937125</v>
      </c>
      <c r="G970" s="400" t="s">
        <v>9568</v>
      </c>
      <c r="K970" s="379"/>
    </row>
    <row r="971" spans="1:11" s="357" customFormat="1" x14ac:dyDescent="0.25">
      <c r="A971" s="446">
        <v>45365</v>
      </c>
      <c r="B971" s="460"/>
      <c r="C971" s="308" t="s">
        <v>12025</v>
      </c>
      <c r="D971" s="306">
        <v>160000</v>
      </c>
      <c r="E971" s="306"/>
      <c r="F971" s="48">
        <f t="shared" si="28"/>
        <v>17777125</v>
      </c>
      <c r="G971" s="400" t="s">
        <v>9568</v>
      </c>
      <c r="K971" s="379"/>
    </row>
    <row r="972" spans="1:11" s="357" customFormat="1" x14ac:dyDescent="0.25">
      <c r="A972" s="446">
        <v>45365</v>
      </c>
      <c r="B972" s="460"/>
      <c r="C972" s="308" t="s">
        <v>13567</v>
      </c>
      <c r="D972" s="306">
        <v>75000</v>
      </c>
      <c r="E972" s="306"/>
      <c r="F972" s="48">
        <f t="shared" si="28"/>
        <v>17702125</v>
      </c>
      <c r="G972" s="400" t="s">
        <v>9568</v>
      </c>
      <c r="K972" s="379"/>
    </row>
    <row r="973" spans="1:11" s="357" customFormat="1" x14ac:dyDescent="0.25">
      <c r="A973" s="446">
        <v>45365</v>
      </c>
      <c r="B973" s="460"/>
      <c r="C973" s="308" t="s">
        <v>13568</v>
      </c>
      <c r="D973" s="306">
        <v>85000</v>
      </c>
      <c r="E973" s="306"/>
      <c r="F973" s="48">
        <f t="shared" si="28"/>
        <v>17617125</v>
      </c>
      <c r="G973" s="400" t="s">
        <v>9568</v>
      </c>
      <c r="K973" s="379"/>
    </row>
    <row r="974" spans="1:11" s="357" customFormat="1" x14ac:dyDescent="0.25">
      <c r="A974" s="446">
        <v>45373</v>
      </c>
      <c r="B974" s="460"/>
      <c r="C974" s="308" t="s">
        <v>12025</v>
      </c>
      <c r="D974" s="306">
        <v>45000</v>
      </c>
      <c r="E974" s="306"/>
      <c r="F974" s="48">
        <f t="shared" si="28"/>
        <v>17572125</v>
      </c>
      <c r="G974" s="400" t="s">
        <v>9568</v>
      </c>
      <c r="K974" s="379"/>
    </row>
    <row r="975" spans="1:11" s="357" customFormat="1" x14ac:dyDescent="0.25">
      <c r="A975" s="446">
        <v>45373</v>
      </c>
      <c r="B975" s="460"/>
      <c r="C975" s="308" t="s">
        <v>13596</v>
      </c>
      <c r="D975" s="306"/>
      <c r="E975" s="306">
        <v>500000</v>
      </c>
      <c r="F975" s="48">
        <f t="shared" si="28"/>
        <v>18072125</v>
      </c>
      <c r="G975" s="400" t="s">
        <v>9568</v>
      </c>
      <c r="K975" s="379"/>
    </row>
    <row r="976" spans="1:11" s="357" customFormat="1" x14ac:dyDescent="0.25">
      <c r="A976" s="446">
        <v>45379</v>
      </c>
      <c r="B976" s="460"/>
      <c r="C976" s="308" t="s">
        <v>13606</v>
      </c>
      <c r="D976" s="306">
        <v>34000</v>
      </c>
      <c r="E976" s="306"/>
      <c r="F976" s="48">
        <f t="shared" si="28"/>
        <v>18038125</v>
      </c>
      <c r="G976" s="400" t="s">
        <v>9568</v>
      </c>
      <c r="K976" s="379"/>
    </row>
    <row r="977" spans="1:11" s="357" customFormat="1" x14ac:dyDescent="0.25">
      <c r="A977" s="446">
        <v>45379</v>
      </c>
      <c r="B977" s="460"/>
      <c r="C977" s="308" t="s">
        <v>13592</v>
      </c>
      <c r="D977" s="306">
        <v>225000</v>
      </c>
      <c r="E977" s="306"/>
      <c r="F977" s="48">
        <f t="shared" si="28"/>
        <v>17813125</v>
      </c>
      <c r="G977" s="400" t="s">
        <v>9568</v>
      </c>
      <c r="K977" s="379"/>
    </row>
    <row r="978" spans="1:11" s="357" customFormat="1" x14ac:dyDescent="0.25">
      <c r="A978" s="446">
        <v>45380</v>
      </c>
      <c r="B978" s="460"/>
      <c r="C978" s="308" t="s">
        <v>13593</v>
      </c>
      <c r="D978" s="306">
        <v>50000</v>
      </c>
      <c r="E978" s="306"/>
      <c r="F978" s="48">
        <f t="shared" si="28"/>
        <v>17763125</v>
      </c>
      <c r="G978" s="400" t="s">
        <v>9568</v>
      </c>
      <c r="K978" s="379"/>
    </row>
    <row r="979" spans="1:11" s="357" customFormat="1" x14ac:dyDescent="0.25">
      <c r="A979" s="446">
        <v>45380</v>
      </c>
      <c r="B979" s="460"/>
      <c r="C979" s="308" t="s">
        <v>13594</v>
      </c>
      <c r="D979" s="306">
        <v>35000</v>
      </c>
      <c r="E979" s="306"/>
      <c r="F979" s="48">
        <f t="shared" si="28"/>
        <v>17728125</v>
      </c>
      <c r="G979" s="400" t="s">
        <v>9568</v>
      </c>
      <c r="K979" s="379"/>
    </row>
    <row r="980" spans="1:11" s="357" customFormat="1" x14ac:dyDescent="0.25">
      <c r="A980" s="446">
        <v>45380</v>
      </c>
      <c r="B980" s="460"/>
      <c r="C980" s="308" t="s">
        <v>13593</v>
      </c>
      <c r="D980" s="306">
        <v>15500</v>
      </c>
      <c r="E980" s="306"/>
      <c r="F980" s="48">
        <f t="shared" si="28"/>
        <v>17712625</v>
      </c>
      <c r="G980" s="400" t="s">
        <v>9568</v>
      </c>
      <c r="I980" s="525"/>
      <c r="K980" s="379"/>
    </row>
    <row r="981" spans="1:11" s="357" customFormat="1" x14ac:dyDescent="0.25">
      <c r="A981" s="446">
        <v>45380</v>
      </c>
      <c r="B981" s="460"/>
      <c r="C981" s="308" t="s">
        <v>13595</v>
      </c>
      <c r="D981" s="306">
        <v>9500</v>
      </c>
      <c r="E981" s="306"/>
      <c r="F981" s="48">
        <f t="shared" si="28"/>
        <v>17703125</v>
      </c>
      <c r="G981" s="400" t="s">
        <v>9568</v>
      </c>
      <c r="K981" s="379"/>
    </row>
    <row r="982" spans="1:11" s="357" customFormat="1" x14ac:dyDescent="0.25">
      <c r="A982" s="446">
        <v>45383</v>
      </c>
      <c r="B982" s="460"/>
      <c r="C982" s="308" t="s">
        <v>13611</v>
      </c>
      <c r="D982" s="306"/>
      <c r="E982" s="306">
        <v>223000</v>
      </c>
      <c r="F982" s="48">
        <f t="shared" si="28"/>
        <v>17926125</v>
      </c>
      <c r="G982" s="400" t="s">
        <v>9568</v>
      </c>
      <c r="K982" s="379"/>
    </row>
    <row r="983" spans="1:11" s="357" customFormat="1" ht="30" x14ac:dyDescent="0.25">
      <c r="A983" s="446">
        <v>45384</v>
      </c>
      <c r="B983" s="460"/>
      <c r="C983" s="309" t="s">
        <v>13623</v>
      </c>
      <c r="D983" s="306"/>
      <c r="E983" s="306">
        <v>1000000</v>
      </c>
      <c r="F983" s="48">
        <f t="shared" si="28"/>
        <v>18926125</v>
      </c>
      <c r="G983" s="400" t="s">
        <v>9568</v>
      </c>
      <c r="K983" s="379"/>
    </row>
    <row r="984" spans="1:11" s="357" customFormat="1" ht="30" x14ac:dyDescent="0.25">
      <c r="A984" s="446">
        <v>45384</v>
      </c>
      <c r="B984" s="460"/>
      <c r="C984" s="309" t="s">
        <v>13623</v>
      </c>
      <c r="D984" s="306"/>
      <c r="E984" s="306">
        <v>1000000</v>
      </c>
      <c r="F984" s="48">
        <f t="shared" si="28"/>
        <v>19926125</v>
      </c>
      <c r="G984" s="400" t="s">
        <v>9568</v>
      </c>
      <c r="K984" s="379"/>
    </row>
    <row r="985" spans="1:11" s="357" customFormat="1" x14ac:dyDescent="0.25">
      <c r="A985" s="446">
        <v>45384</v>
      </c>
      <c r="B985" s="460"/>
      <c r="C985" s="308" t="s">
        <v>13629</v>
      </c>
      <c r="D985" s="443">
        <v>105000</v>
      </c>
      <c r="E985" s="306"/>
      <c r="F985" s="48">
        <f t="shared" si="28"/>
        <v>19821125</v>
      </c>
      <c r="G985" s="400" t="s">
        <v>9568</v>
      </c>
      <c r="K985" s="379"/>
    </row>
    <row r="986" spans="1:11" s="357" customFormat="1" x14ac:dyDescent="0.25">
      <c r="A986" s="446">
        <v>45385</v>
      </c>
      <c r="B986" s="460"/>
      <c r="C986" s="308" t="s">
        <v>13637</v>
      </c>
      <c r="D986" s="306">
        <v>500000</v>
      </c>
      <c r="E986" s="306"/>
      <c r="F986" s="48">
        <f t="shared" si="28"/>
        <v>19321125</v>
      </c>
      <c r="G986" s="400" t="s">
        <v>9568</v>
      </c>
      <c r="K986" s="379"/>
    </row>
    <row r="987" spans="1:11" s="357" customFormat="1" x14ac:dyDescent="0.25">
      <c r="A987" s="446">
        <v>45385</v>
      </c>
      <c r="B987" s="460"/>
      <c r="C987" s="308" t="s">
        <v>13638</v>
      </c>
      <c r="D987" s="306">
        <v>30000</v>
      </c>
      <c r="E987" s="306"/>
      <c r="F987" s="48">
        <f t="shared" si="28"/>
        <v>19291125</v>
      </c>
      <c r="G987" s="400" t="s">
        <v>9568</v>
      </c>
      <c r="K987" s="379"/>
    </row>
    <row r="988" spans="1:11" x14ac:dyDescent="0.25">
      <c r="A988" s="446">
        <v>45385</v>
      </c>
      <c r="B988" s="394"/>
      <c r="C988" s="294" t="s">
        <v>13639</v>
      </c>
      <c r="D988" s="304">
        <v>15000</v>
      </c>
      <c r="E988" s="306"/>
      <c r="F988" s="48">
        <f t="shared" si="28"/>
        <v>19276125</v>
      </c>
      <c r="G988" s="400" t="s">
        <v>9568</v>
      </c>
    </row>
    <row r="989" spans="1:11" x14ac:dyDescent="0.25">
      <c r="A989" s="446">
        <v>45386</v>
      </c>
      <c r="B989" s="460"/>
      <c r="C989" s="308" t="s">
        <v>13637</v>
      </c>
      <c r="D989" s="306">
        <v>425000</v>
      </c>
      <c r="E989" s="306"/>
      <c r="F989" s="48">
        <f t="shared" si="28"/>
        <v>18851125</v>
      </c>
      <c r="G989" s="400" t="s">
        <v>9568</v>
      </c>
    </row>
    <row r="990" spans="1:11" x14ac:dyDescent="0.25">
      <c r="A990" s="446">
        <v>45386</v>
      </c>
      <c r="B990" s="394"/>
      <c r="C990" s="294" t="s">
        <v>13649</v>
      </c>
      <c r="D990" s="304">
        <v>50000</v>
      </c>
      <c r="E990" s="306"/>
      <c r="F990" s="48">
        <f t="shared" si="28"/>
        <v>18801125</v>
      </c>
      <c r="G990" s="400" t="s">
        <v>9568</v>
      </c>
    </row>
    <row r="991" spans="1:11" x14ac:dyDescent="0.25">
      <c r="A991" s="446">
        <v>45386</v>
      </c>
      <c r="B991" s="394"/>
      <c r="C991" s="294" t="s">
        <v>13650</v>
      </c>
      <c r="D991" s="304">
        <v>200000</v>
      </c>
      <c r="E991" s="306"/>
      <c r="F991" s="48">
        <f t="shared" si="28"/>
        <v>18601125</v>
      </c>
      <c r="G991" s="400" t="s">
        <v>9568</v>
      </c>
    </row>
    <row r="992" spans="1:11" x14ac:dyDescent="0.25">
      <c r="A992" s="446">
        <v>45386</v>
      </c>
      <c r="B992" s="394"/>
      <c r="C992" s="294" t="s">
        <v>13651</v>
      </c>
      <c r="D992" s="304">
        <v>100000</v>
      </c>
      <c r="E992" s="306"/>
      <c r="F992" s="48">
        <f t="shared" ref="F992:F1024" si="29">F991+E992-D992</f>
        <v>18501125</v>
      </c>
      <c r="G992" s="400" t="s">
        <v>9568</v>
      </c>
    </row>
    <row r="993" spans="1:7" x14ac:dyDescent="0.25">
      <c r="A993" s="446">
        <v>45386</v>
      </c>
      <c r="B993" s="394"/>
      <c r="C993" s="294" t="s">
        <v>13653</v>
      </c>
      <c r="D993" s="304"/>
      <c r="E993" s="306">
        <v>999000</v>
      </c>
      <c r="F993" s="48">
        <f t="shared" si="29"/>
        <v>19500125</v>
      </c>
      <c r="G993" s="400" t="s">
        <v>9568</v>
      </c>
    </row>
    <row r="994" spans="1:7" x14ac:dyDescent="0.25">
      <c r="A994" s="446">
        <v>45386</v>
      </c>
      <c r="B994" s="394"/>
      <c r="C994" s="294" t="s">
        <v>13653</v>
      </c>
      <c r="D994" s="304"/>
      <c r="E994" s="306">
        <v>999000</v>
      </c>
      <c r="F994" s="48">
        <f t="shared" si="29"/>
        <v>20499125</v>
      </c>
      <c r="G994" s="400" t="s">
        <v>9568</v>
      </c>
    </row>
    <row r="995" spans="1:7" x14ac:dyDescent="0.25">
      <c r="A995" s="446">
        <v>45386</v>
      </c>
      <c r="B995" s="394"/>
      <c r="C995" s="294" t="s">
        <v>13653</v>
      </c>
      <c r="D995" s="304"/>
      <c r="E995" s="306">
        <v>999000</v>
      </c>
      <c r="F995" s="48">
        <f t="shared" si="29"/>
        <v>21498125</v>
      </c>
      <c r="G995" s="400" t="s">
        <v>9568</v>
      </c>
    </row>
    <row r="996" spans="1:7" x14ac:dyDescent="0.25">
      <c r="A996" s="446">
        <v>45386</v>
      </c>
      <c r="B996" s="394"/>
      <c r="C996" s="294" t="s">
        <v>13653</v>
      </c>
      <c r="D996" s="304"/>
      <c r="E996" s="306">
        <v>999000</v>
      </c>
      <c r="F996" s="48">
        <f t="shared" si="29"/>
        <v>22497125</v>
      </c>
      <c r="G996" s="400" t="s">
        <v>9568</v>
      </c>
    </row>
    <row r="997" spans="1:7" x14ac:dyDescent="0.25">
      <c r="A997" s="446">
        <v>45387</v>
      </c>
      <c r="B997" s="394"/>
      <c r="C997" s="294" t="s">
        <v>13661</v>
      </c>
      <c r="D997" s="304"/>
      <c r="E997" s="306">
        <v>310000</v>
      </c>
      <c r="F997" s="48">
        <f t="shared" si="29"/>
        <v>22807125</v>
      </c>
      <c r="G997" s="400" t="s">
        <v>9568</v>
      </c>
    </row>
    <row r="998" spans="1:7" x14ac:dyDescent="0.25">
      <c r="A998" s="446">
        <v>45387</v>
      </c>
      <c r="B998" s="394"/>
      <c r="C998" s="294" t="s">
        <v>13655</v>
      </c>
      <c r="D998" s="304">
        <v>50000</v>
      </c>
      <c r="E998" s="306"/>
      <c r="F998" s="48">
        <f t="shared" si="29"/>
        <v>22757125</v>
      </c>
      <c r="G998" s="400" t="s">
        <v>9568</v>
      </c>
    </row>
    <row r="999" spans="1:7" x14ac:dyDescent="0.25">
      <c r="A999" s="446">
        <v>45387</v>
      </c>
      <c r="B999" s="394"/>
      <c r="C999" s="294" t="s">
        <v>13682</v>
      </c>
      <c r="D999" s="304"/>
      <c r="E999" s="306">
        <v>995000</v>
      </c>
      <c r="F999" s="48">
        <f t="shared" si="29"/>
        <v>23752125</v>
      </c>
      <c r="G999" s="400" t="s">
        <v>9568</v>
      </c>
    </row>
    <row r="1000" spans="1:7" x14ac:dyDescent="0.25">
      <c r="A1000" s="446">
        <v>45387</v>
      </c>
      <c r="B1000" s="394"/>
      <c r="C1000" s="294" t="s">
        <v>13682</v>
      </c>
      <c r="D1000" s="304"/>
      <c r="E1000" s="306">
        <v>995000</v>
      </c>
      <c r="F1000" s="48">
        <f t="shared" si="29"/>
        <v>24747125</v>
      </c>
      <c r="G1000" s="400" t="s">
        <v>9568</v>
      </c>
    </row>
    <row r="1001" spans="1:7" x14ac:dyDescent="0.25">
      <c r="A1001" s="446">
        <v>45388</v>
      </c>
      <c r="B1001" s="394"/>
      <c r="C1001" s="294" t="s">
        <v>13664</v>
      </c>
      <c r="D1001" s="304">
        <v>130000</v>
      </c>
      <c r="E1001" s="306"/>
      <c r="F1001" s="48">
        <f t="shared" si="29"/>
        <v>24617125</v>
      </c>
      <c r="G1001" s="400" t="s">
        <v>9568</v>
      </c>
    </row>
    <row r="1002" spans="1:7" x14ac:dyDescent="0.25">
      <c r="A1002" s="446">
        <v>45389</v>
      </c>
      <c r="B1002" s="394"/>
      <c r="C1002" s="294" t="s">
        <v>13674</v>
      </c>
      <c r="D1002" s="304">
        <v>20000</v>
      </c>
      <c r="E1002" s="306"/>
      <c r="F1002" s="48">
        <f t="shared" si="29"/>
        <v>24597125</v>
      </c>
      <c r="G1002" s="400" t="s">
        <v>9568</v>
      </c>
    </row>
    <row r="1003" spans="1:7" x14ac:dyDescent="0.25">
      <c r="A1003" s="446">
        <v>45389</v>
      </c>
      <c r="B1003" s="394"/>
      <c r="C1003" s="294" t="s">
        <v>13675</v>
      </c>
      <c r="D1003" s="304">
        <v>30000</v>
      </c>
      <c r="E1003" s="306"/>
      <c r="F1003" s="48">
        <f t="shared" si="29"/>
        <v>24567125</v>
      </c>
      <c r="G1003" s="400" t="s">
        <v>9568</v>
      </c>
    </row>
    <row r="1004" spans="1:7" x14ac:dyDescent="0.25">
      <c r="A1004" s="446">
        <v>45390</v>
      </c>
      <c r="B1004" s="394"/>
      <c r="C1004" s="294" t="s">
        <v>13676</v>
      </c>
      <c r="D1004" s="304">
        <v>200000</v>
      </c>
      <c r="E1004" s="306"/>
      <c r="F1004" s="48">
        <f t="shared" si="29"/>
        <v>24367125</v>
      </c>
      <c r="G1004" s="400" t="s">
        <v>9568</v>
      </c>
    </row>
    <row r="1005" spans="1:7" x14ac:dyDescent="0.25">
      <c r="A1005" s="446">
        <v>45390</v>
      </c>
      <c r="B1005" s="394"/>
      <c r="C1005" s="294" t="s">
        <v>13664</v>
      </c>
      <c r="D1005" s="304">
        <v>40000</v>
      </c>
      <c r="E1005" s="306"/>
      <c r="F1005" s="48">
        <f t="shared" si="29"/>
        <v>24327125</v>
      </c>
      <c r="G1005" s="400" t="s">
        <v>9568</v>
      </c>
    </row>
    <row r="1006" spans="1:7" x14ac:dyDescent="0.25">
      <c r="A1006" s="446">
        <v>45390</v>
      </c>
      <c r="B1006" s="394"/>
      <c r="C1006" s="294" t="s">
        <v>13677</v>
      </c>
      <c r="D1006" s="304">
        <v>100000</v>
      </c>
      <c r="E1006" s="306"/>
      <c r="F1006" s="48">
        <f t="shared" si="29"/>
        <v>24227125</v>
      </c>
      <c r="G1006" s="400" t="s">
        <v>9568</v>
      </c>
    </row>
    <row r="1007" spans="1:7" x14ac:dyDescent="0.25">
      <c r="A1007" s="446">
        <v>45390</v>
      </c>
      <c r="B1007" s="394"/>
      <c r="C1007" s="294" t="s">
        <v>13678</v>
      </c>
      <c r="D1007" s="304">
        <v>200000</v>
      </c>
      <c r="E1007" s="306"/>
      <c r="F1007" s="48">
        <f t="shared" si="29"/>
        <v>24027125</v>
      </c>
      <c r="G1007" s="400" t="s">
        <v>9568</v>
      </c>
    </row>
    <row r="1008" spans="1:7" x14ac:dyDescent="0.25">
      <c r="A1008" s="446">
        <v>45391</v>
      </c>
      <c r="B1008" s="394"/>
      <c r="C1008" s="294" t="s">
        <v>13679</v>
      </c>
      <c r="D1008" s="304">
        <v>20000</v>
      </c>
      <c r="E1008" s="306"/>
      <c r="F1008" s="48">
        <f t="shared" si="29"/>
        <v>24007125</v>
      </c>
      <c r="G1008" s="400" t="s">
        <v>9568</v>
      </c>
    </row>
    <row r="1009" spans="1:11" x14ac:dyDescent="0.25">
      <c r="A1009" s="446">
        <v>45391</v>
      </c>
      <c r="B1009" s="394"/>
      <c r="C1009" s="294" t="s">
        <v>13686</v>
      </c>
      <c r="D1009" s="304">
        <v>60000</v>
      </c>
      <c r="E1009" s="306"/>
      <c r="F1009" s="48">
        <f t="shared" si="29"/>
        <v>23947125</v>
      </c>
      <c r="G1009" s="400" t="s">
        <v>9568</v>
      </c>
    </row>
    <row r="1010" spans="1:11" x14ac:dyDescent="0.25">
      <c r="A1010" s="446">
        <v>45400</v>
      </c>
      <c r="B1010" s="394"/>
      <c r="C1010" s="294" t="s">
        <v>13681</v>
      </c>
      <c r="D1010" s="304">
        <v>3600</v>
      </c>
      <c r="E1010" s="306"/>
      <c r="F1010" s="48">
        <f t="shared" si="29"/>
        <v>23943525</v>
      </c>
      <c r="G1010" s="400" t="s">
        <v>9568</v>
      </c>
    </row>
    <row r="1011" spans="1:11" x14ac:dyDescent="0.25">
      <c r="A1011" s="446">
        <v>45402</v>
      </c>
      <c r="B1011" s="394"/>
      <c r="C1011" s="294" t="s">
        <v>8516</v>
      </c>
      <c r="D1011" s="304">
        <v>50000</v>
      </c>
      <c r="E1011" s="306"/>
      <c r="F1011" s="48">
        <f t="shared" si="29"/>
        <v>23893525</v>
      </c>
      <c r="G1011" s="400" t="s">
        <v>9568</v>
      </c>
    </row>
    <row r="1012" spans="1:11" s="357" customFormat="1" ht="30" x14ac:dyDescent="0.25">
      <c r="A1012" s="446">
        <v>45402</v>
      </c>
      <c r="B1012" s="460"/>
      <c r="C1012" s="784" t="s">
        <v>13700</v>
      </c>
      <c r="D1012" s="306">
        <v>15000</v>
      </c>
      <c r="E1012" s="306"/>
      <c r="F1012" s="48">
        <f t="shared" si="29"/>
        <v>23878525</v>
      </c>
      <c r="G1012" s="400" t="s">
        <v>10772</v>
      </c>
      <c r="K1012" s="379"/>
    </row>
    <row r="1013" spans="1:11" x14ac:dyDescent="0.25">
      <c r="A1013" s="294"/>
      <c r="B1013" s="394"/>
      <c r="C1013" s="294"/>
      <c r="D1013" s="304"/>
      <c r="E1013" s="306"/>
      <c r="F1013" s="48">
        <f t="shared" si="29"/>
        <v>23878525</v>
      </c>
      <c r="G1013" s="400" t="s">
        <v>10772</v>
      </c>
    </row>
    <row r="1014" spans="1:11" x14ac:dyDescent="0.25">
      <c r="A1014" s="294"/>
      <c r="B1014" s="394"/>
      <c r="C1014" s="294"/>
      <c r="D1014" s="304"/>
      <c r="E1014" s="306"/>
      <c r="F1014" s="48">
        <f t="shared" si="29"/>
        <v>23878525</v>
      </c>
      <c r="G1014" s="400" t="s">
        <v>10772</v>
      </c>
    </row>
    <row r="1015" spans="1:11" x14ac:dyDescent="0.25">
      <c r="A1015" s="294"/>
      <c r="B1015" s="394"/>
      <c r="C1015" s="294"/>
      <c r="D1015" s="304"/>
      <c r="E1015" s="306"/>
      <c r="F1015" s="48">
        <f t="shared" si="29"/>
        <v>23878525</v>
      </c>
      <c r="G1015" s="400" t="s">
        <v>10772</v>
      </c>
    </row>
    <row r="1016" spans="1:11" x14ac:dyDescent="0.25">
      <c r="A1016" s="294"/>
      <c r="B1016" s="394"/>
      <c r="C1016" s="294"/>
      <c r="D1016" s="304"/>
      <c r="E1016" s="306"/>
      <c r="F1016" s="48">
        <f t="shared" si="29"/>
        <v>23878525</v>
      </c>
      <c r="G1016" s="400" t="s">
        <v>10772</v>
      </c>
    </row>
    <row r="1017" spans="1:11" x14ac:dyDescent="0.25">
      <c r="A1017" s="294"/>
      <c r="B1017" s="394"/>
      <c r="C1017" s="294"/>
      <c r="D1017" s="304"/>
      <c r="E1017" s="306"/>
      <c r="F1017" s="48">
        <f t="shared" si="29"/>
        <v>23878525</v>
      </c>
      <c r="G1017" s="400" t="s">
        <v>10772</v>
      </c>
    </row>
    <row r="1018" spans="1:11" x14ac:dyDescent="0.25">
      <c r="A1018" s="294"/>
      <c r="B1018" s="394"/>
      <c r="C1018" s="294"/>
      <c r="D1018" s="304"/>
      <c r="E1018" s="306"/>
      <c r="F1018" s="48">
        <f t="shared" si="29"/>
        <v>23878525</v>
      </c>
      <c r="G1018" s="400" t="s">
        <v>10772</v>
      </c>
    </row>
    <row r="1019" spans="1:11" x14ac:dyDescent="0.25">
      <c r="A1019" s="294"/>
      <c r="B1019" s="394"/>
      <c r="C1019" s="294"/>
      <c r="D1019" s="304"/>
      <c r="E1019" s="306"/>
      <c r="F1019" s="48">
        <f t="shared" si="29"/>
        <v>23878525</v>
      </c>
      <c r="G1019" s="400" t="s">
        <v>10772</v>
      </c>
    </row>
    <row r="1020" spans="1:11" x14ac:dyDescent="0.25">
      <c r="A1020" s="294"/>
      <c r="B1020" s="394"/>
      <c r="C1020" s="294"/>
      <c r="D1020" s="304"/>
      <c r="E1020" s="306"/>
      <c r="F1020" s="48">
        <f t="shared" si="29"/>
        <v>23878525</v>
      </c>
      <c r="G1020" s="400" t="s">
        <v>10772</v>
      </c>
    </row>
    <row r="1021" spans="1:11" x14ac:dyDescent="0.25">
      <c r="A1021" s="294"/>
      <c r="B1021" s="394"/>
      <c r="C1021" s="294"/>
      <c r="D1021" s="304"/>
      <c r="E1021" s="306"/>
      <c r="F1021" s="48">
        <f t="shared" si="29"/>
        <v>23878525</v>
      </c>
      <c r="G1021" s="400" t="s">
        <v>10772</v>
      </c>
    </row>
    <row r="1022" spans="1:11" x14ac:dyDescent="0.25">
      <c r="A1022" s="294"/>
      <c r="B1022" s="394"/>
      <c r="C1022" s="294"/>
      <c r="D1022" s="304"/>
      <c r="E1022" s="306"/>
      <c r="F1022" s="48">
        <f t="shared" si="29"/>
        <v>23878525</v>
      </c>
      <c r="G1022" s="400" t="s">
        <v>10772</v>
      </c>
    </row>
    <row r="1023" spans="1:11" x14ac:dyDescent="0.25">
      <c r="A1023" s="294"/>
      <c r="B1023" s="394"/>
      <c r="C1023" s="294"/>
      <c r="D1023" s="304"/>
      <c r="E1023" s="306"/>
      <c r="F1023" s="48">
        <f t="shared" si="29"/>
        <v>23878525</v>
      </c>
      <c r="G1023" s="400" t="s">
        <v>10772</v>
      </c>
    </row>
    <row r="1024" spans="1:11" x14ac:dyDescent="0.25">
      <c r="A1024" s="294"/>
      <c r="B1024" s="394"/>
      <c r="C1024" s="294"/>
      <c r="D1024" s="304"/>
      <c r="E1024" s="306"/>
      <c r="F1024" s="48">
        <f t="shared" si="29"/>
        <v>23878525</v>
      </c>
      <c r="G1024" s="400" t="s">
        <v>10772</v>
      </c>
    </row>
    <row r="1025" spans="7:7" x14ac:dyDescent="0.3">
      <c r="G1025" s="400" t="s">
        <v>10772</v>
      </c>
    </row>
    <row r="1026" spans="7:7" x14ac:dyDescent="0.3">
      <c r="G1026" s="400" t="s">
        <v>10772</v>
      </c>
    </row>
    <row r="1027" spans="7:7" x14ac:dyDescent="0.3">
      <c r="G1027" s="400" t="s">
        <v>10772</v>
      </c>
    </row>
    <row r="1028" spans="7:7" x14ac:dyDescent="0.3">
      <c r="G1028" s="400" t="s">
        <v>10772</v>
      </c>
    </row>
    <row r="1029" spans="7:7" x14ac:dyDescent="0.3">
      <c r="G1029" s="400" t="s">
        <v>10772</v>
      </c>
    </row>
    <row r="1030" spans="7:7" x14ac:dyDescent="0.3">
      <c r="G1030" s="400" t="s">
        <v>10772</v>
      </c>
    </row>
    <row r="1031" spans="7:7" x14ac:dyDescent="0.3">
      <c r="G1031" s="400" t="s">
        <v>10772</v>
      </c>
    </row>
    <row r="1032" spans="7:7" x14ac:dyDescent="0.3">
      <c r="G1032" s="400" t="s">
        <v>10772</v>
      </c>
    </row>
    <row r="1033" spans="7:7" x14ac:dyDescent="0.3">
      <c r="G1033" s="400" t="s">
        <v>10772</v>
      </c>
    </row>
    <row r="1034" spans="7:7" x14ac:dyDescent="0.3">
      <c r="G1034" s="400" t="s">
        <v>10772</v>
      </c>
    </row>
    <row r="1035" spans="7:7" x14ac:dyDescent="0.3">
      <c r="G1035" s="400" t="s">
        <v>10772</v>
      </c>
    </row>
    <row r="1036" spans="7:7" x14ac:dyDescent="0.3">
      <c r="G1036" s="400" t="s">
        <v>10772</v>
      </c>
    </row>
    <row r="1037" spans="7:7" x14ac:dyDescent="0.3">
      <c r="G1037" s="400" t="s">
        <v>10772</v>
      </c>
    </row>
    <row r="1038" spans="7:7" x14ac:dyDescent="0.3">
      <c r="G1038" s="400" t="s">
        <v>10772</v>
      </c>
    </row>
    <row r="1039" spans="7:7" x14ac:dyDescent="0.3">
      <c r="G1039" s="400" t="s">
        <v>10772</v>
      </c>
    </row>
    <row r="1040" spans="7:7" x14ac:dyDescent="0.3">
      <c r="G1040" s="400" t="s">
        <v>10772</v>
      </c>
    </row>
    <row r="1041" spans="7:7" x14ac:dyDescent="0.3">
      <c r="G1041" s="400" t="s">
        <v>10772</v>
      </c>
    </row>
    <row r="1042" spans="7:7" x14ac:dyDescent="0.3">
      <c r="G1042" s="400" t="s">
        <v>10772</v>
      </c>
    </row>
    <row r="1043" spans="7:7" x14ac:dyDescent="0.3">
      <c r="G1043" s="400" t="s">
        <v>10772</v>
      </c>
    </row>
    <row r="1044" spans="7:7" x14ac:dyDescent="0.3">
      <c r="G1044" s="400" t="s">
        <v>10772</v>
      </c>
    </row>
    <row r="1045" spans="7:7" x14ac:dyDescent="0.3">
      <c r="G1045" s="400" t="s">
        <v>10772</v>
      </c>
    </row>
    <row r="1046" spans="7:7" x14ac:dyDescent="0.3">
      <c r="G1046" s="400" t="s">
        <v>10772</v>
      </c>
    </row>
    <row r="1047" spans="7:7" x14ac:dyDescent="0.3">
      <c r="G1047" s="400" t="s">
        <v>10772</v>
      </c>
    </row>
    <row r="1048" spans="7:7" x14ac:dyDescent="0.3">
      <c r="G1048" s="400" t="s">
        <v>10772</v>
      </c>
    </row>
    <row r="1049" spans="7:7" x14ac:dyDescent="0.3">
      <c r="G1049" s="400" t="s">
        <v>10772</v>
      </c>
    </row>
    <row r="1050" spans="7:7" x14ac:dyDescent="0.3">
      <c r="G1050" s="400" t="s">
        <v>10772</v>
      </c>
    </row>
    <row r="1051" spans="7:7" x14ac:dyDescent="0.3">
      <c r="G1051" s="400" t="s">
        <v>10772</v>
      </c>
    </row>
    <row r="1052" spans="7:7" x14ac:dyDescent="0.3">
      <c r="G1052" s="400" t="s">
        <v>10772</v>
      </c>
    </row>
    <row r="1053" spans="7:7" x14ac:dyDescent="0.3">
      <c r="G1053" s="400" t="s">
        <v>10772</v>
      </c>
    </row>
    <row r="1054" spans="7:7" x14ac:dyDescent="0.3">
      <c r="G1054" s="400" t="s">
        <v>10772</v>
      </c>
    </row>
    <row r="1055" spans="7:7" x14ac:dyDescent="0.3">
      <c r="G1055" s="400" t="s">
        <v>10772</v>
      </c>
    </row>
    <row r="1056" spans="7:7" x14ac:dyDescent="0.3">
      <c r="G1056" s="400" t="s">
        <v>10772</v>
      </c>
    </row>
    <row r="1057" spans="7:7" x14ac:dyDescent="0.3">
      <c r="G1057" s="400" t="s">
        <v>10772</v>
      </c>
    </row>
    <row r="1058" spans="7:7" x14ac:dyDescent="0.3">
      <c r="G1058" s="400" t="s">
        <v>10772</v>
      </c>
    </row>
    <row r="1059" spans="7:7" x14ac:dyDescent="0.3">
      <c r="G1059" s="400" t="s">
        <v>10772</v>
      </c>
    </row>
    <row r="1060" spans="7:7" x14ac:dyDescent="0.3">
      <c r="G1060" s="400" t="s">
        <v>10772</v>
      </c>
    </row>
    <row r="1061" spans="7:7" x14ac:dyDescent="0.3">
      <c r="G1061" s="400" t="s">
        <v>10772</v>
      </c>
    </row>
    <row r="1062" spans="7:7" x14ac:dyDescent="0.3">
      <c r="G1062" s="400" t="s">
        <v>10772</v>
      </c>
    </row>
    <row r="1063" spans="7:7" x14ac:dyDescent="0.3">
      <c r="G1063" s="400" t="s">
        <v>10772</v>
      </c>
    </row>
    <row r="1064" spans="7:7" x14ac:dyDescent="0.3">
      <c r="G1064" s="400" t="s">
        <v>10772</v>
      </c>
    </row>
    <row r="1065" spans="7:7" x14ac:dyDescent="0.3">
      <c r="G1065" s="400" t="s">
        <v>10772</v>
      </c>
    </row>
    <row r="1066" spans="7:7" x14ac:dyDescent="0.3">
      <c r="G1066" s="400" t="s">
        <v>10772</v>
      </c>
    </row>
    <row r="1067" spans="7:7" x14ac:dyDescent="0.3">
      <c r="G1067" s="400" t="s">
        <v>10772</v>
      </c>
    </row>
    <row r="1068" spans="7:7" x14ac:dyDescent="0.3">
      <c r="G1068" s="400" t="s">
        <v>10772</v>
      </c>
    </row>
    <row r="1069" spans="7:7" x14ac:dyDescent="0.3">
      <c r="G1069" s="400" t="s">
        <v>10772</v>
      </c>
    </row>
    <row r="1070" spans="7:7" x14ac:dyDescent="0.3">
      <c r="G1070" s="400" t="s">
        <v>10772</v>
      </c>
    </row>
    <row r="1071" spans="7:7" x14ac:dyDescent="0.3">
      <c r="G1071" s="400" t="s">
        <v>10772</v>
      </c>
    </row>
    <row r="1072" spans="7:7" x14ac:dyDescent="0.3">
      <c r="G1072" s="400" t="s">
        <v>10772</v>
      </c>
    </row>
    <row r="1073" spans="7:7" x14ac:dyDescent="0.3">
      <c r="G1073" s="400" t="s">
        <v>10772</v>
      </c>
    </row>
    <row r="1074" spans="7:7" x14ac:dyDescent="0.3">
      <c r="G1074" s="400" t="s">
        <v>10772</v>
      </c>
    </row>
    <row r="1075" spans="7:7" x14ac:dyDescent="0.3">
      <c r="G1075" s="400" t="s">
        <v>10772</v>
      </c>
    </row>
    <row r="1076" spans="7:7" x14ac:dyDescent="0.3">
      <c r="G1076" s="400" t="s">
        <v>10772</v>
      </c>
    </row>
    <row r="1077" spans="7:7" x14ac:dyDescent="0.3">
      <c r="G1077" s="400" t="s">
        <v>10772</v>
      </c>
    </row>
    <row r="1078" spans="7:7" x14ac:dyDescent="0.3">
      <c r="G1078" s="400" t="s">
        <v>10772</v>
      </c>
    </row>
    <row r="1079" spans="7:7" x14ac:dyDescent="0.3">
      <c r="G1079" s="400" t="s">
        <v>10772</v>
      </c>
    </row>
    <row r="1080" spans="7:7" x14ac:dyDescent="0.3">
      <c r="G1080" s="400" t="s">
        <v>10772</v>
      </c>
    </row>
    <row r="1081" spans="7:7" x14ac:dyDescent="0.3">
      <c r="G1081" s="400" t="s">
        <v>10772</v>
      </c>
    </row>
    <row r="1082" spans="7:7" x14ac:dyDescent="0.3">
      <c r="G1082" s="400" t="s">
        <v>10772</v>
      </c>
    </row>
    <row r="1083" spans="7:7" x14ac:dyDescent="0.3">
      <c r="G1083" s="400" t="s">
        <v>10772</v>
      </c>
    </row>
    <row r="1084" spans="7:7" x14ac:dyDescent="0.3">
      <c r="G1084" s="400" t="s">
        <v>10772</v>
      </c>
    </row>
    <row r="1085" spans="7:7" x14ac:dyDescent="0.3">
      <c r="G1085" s="400" t="s">
        <v>10772</v>
      </c>
    </row>
    <row r="1086" spans="7:7" x14ac:dyDescent="0.3">
      <c r="G1086" s="400" t="s">
        <v>10772</v>
      </c>
    </row>
    <row r="1087" spans="7:7" x14ac:dyDescent="0.3">
      <c r="G1087" s="400" t="s">
        <v>10772</v>
      </c>
    </row>
    <row r="1088" spans="7:7" x14ac:dyDescent="0.3">
      <c r="G1088" s="400" t="s">
        <v>10772</v>
      </c>
    </row>
    <row r="1089" spans="7:7" x14ac:dyDescent="0.3">
      <c r="G1089" s="400" t="s">
        <v>10772</v>
      </c>
    </row>
    <row r="1090" spans="7:7" x14ac:dyDescent="0.3">
      <c r="G1090" s="400" t="s">
        <v>10772</v>
      </c>
    </row>
    <row r="1091" spans="7:7" x14ac:dyDescent="0.3">
      <c r="G1091" s="400" t="s">
        <v>10772</v>
      </c>
    </row>
    <row r="1092" spans="7:7" x14ac:dyDescent="0.3">
      <c r="G1092" s="400" t="s">
        <v>10772</v>
      </c>
    </row>
    <row r="1093" spans="7:7" x14ac:dyDescent="0.3">
      <c r="G1093" s="400" t="s">
        <v>10772</v>
      </c>
    </row>
    <row r="1094" spans="7:7" x14ac:dyDescent="0.3">
      <c r="G1094" s="400" t="s">
        <v>10772</v>
      </c>
    </row>
    <row r="1095" spans="7:7" x14ac:dyDescent="0.3">
      <c r="G1095" s="400" t="s">
        <v>10772</v>
      </c>
    </row>
    <row r="1096" spans="7:7" x14ac:dyDescent="0.3">
      <c r="G1096" s="400" t="s">
        <v>10772</v>
      </c>
    </row>
    <row r="1097" spans="7:7" x14ac:dyDescent="0.3">
      <c r="G1097" s="400" t="s">
        <v>10772</v>
      </c>
    </row>
    <row r="1098" spans="7:7" x14ac:dyDescent="0.3">
      <c r="G1098" s="400" t="s">
        <v>10772</v>
      </c>
    </row>
    <row r="1099" spans="7:7" x14ac:dyDescent="0.3">
      <c r="G1099" s="400" t="s">
        <v>10772</v>
      </c>
    </row>
    <row r="1100" spans="7:7" x14ac:dyDescent="0.3">
      <c r="G1100" s="400" t="s">
        <v>10772</v>
      </c>
    </row>
    <row r="1101" spans="7:7" x14ac:dyDescent="0.3">
      <c r="G1101" s="400" t="s">
        <v>10772</v>
      </c>
    </row>
    <row r="1102" spans="7:7" x14ac:dyDescent="0.3">
      <c r="G1102" s="400" t="s">
        <v>10772</v>
      </c>
    </row>
    <row r="1103" spans="7:7" x14ac:dyDescent="0.3">
      <c r="G1103" s="400" t="s">
        <v>10772</v>
      </c>
    </row>
    <row r="1104" spans="7:7" x14ac:dyDescent="0.3">
      <c r="G1104" s="400" t="s">
        <v>10772</v>
      </c>
    </row>
    <row r="1105" spans="7:7" x14ac:dyDescent="0.3">
      <c r="G1105" s="400" t="s">
        <v>10772</v>
      </c>
    </row>
    <row r="1106" spans="7:7" x14ac:dyDescent="0.3">
      <c r="G1106" s="400" t="s">
        <v>10772</v>
      </c>
    </row>
    <row r="1107" spans="7:7" x14ac:dyDescent="0.3">
      <c r="G1107" s="400" t="s">
        <v>10772</v>
      </c>
    </row>
    <row r="1108" spans="7:7" x14ac:dyDescent="0.3">
      <c r="G1108" s="400" t="s">
        <v>10772</v>
      </c>
    </row>
    <row r="1109" spans="7:7" x14ac:dyDescent="0.3">
      <c r="G1109" s="400" t="s">
        <v>10772</v>
      </c>
    </row>
    <row r="1110" spans="7:7" x14ac:dyDescent="0.3">
      <c r="G1110" s="400" t="s">
        <v>10772</v>
      </c>
    </row>
    <row r="1111" spans="7:7" x14ac:dyDescent="0.3">
      <c r="G1111" s="400" t="s">
        <v>10772</v>
      </c>
    </row>
    <row r="1112" spans="7:7" x14ac:dyDescent="0.3">
      <c r="G1112" s="400" t="s">
        <v>10772</v>
      </c>
    </row>
    <row r="1113" spans="7:7" x14ac:dyDescent="0.3">
      <c r="G1113" s="400" t="s">
        <v>10772</v>
      </c>
    </row>
    <row r="1114" spans="7:7" x14ac:dyDescent="0.3">
      <c r="G1114" s="400" t="s">
        <v>10772</v>
      </c>
    </row>
    <row r="1115" spans="7:7" x14ac:dyDescent="0.3">
      <c r="G1115" s="400" t="s">
        <v>10772</v>
      </c>
    </row>
    <row r="1116" spans="7:7" x14ac:dyDescent="0.3">
      <c r="G1116" s="400" t="s">
        <v>10772</v>
      </c>
    </row>
    <row r="1117" spans="7:7" x14ac:dyDescent="0.3">
      <c r="G1117" s="400" t="s">
        <v>10772</v>
      </c>
    </row>
    <row r="1118" spans="7:7" x14ac:dyDescent="0.3">
      <c r="G1118" s="400" t="s">
        <v>10772</v>
      </c>
    </row>
    <row r="1119" spans="7:7" x14ac:dyDescent="0.3">
      <c r="G1119" s="400" t="s">
        <v>10772</v>
      </c>
    </row>
    <row r="1120" spans="7:7" x14ac:dyDescent="0.3">
      <c r="G1120" s="400" t="s">
        <v>10772</v>
      </c>
    </row>
    <row r="1121" spans="7:7" x14ac:dyDescent="0.3">
      <c r="G1121" s="400" t="s">
        <v>10772</v>
      </c>
    </row>
    <row r="1122" spans="7:7" x14ac:dyDescent="0.3">
      <c r="G1122" s="400" t="s">
        <v>10772</v>
      </c>
    </row>
    <row r="1123" spans="7:7" x14ac:dyDescent="0.3">
      <c r="G1123" s="400" t="s">
        <v>10772</v>
      </c>
    </row>
    <row r="1124" spans="7:7" x14ac:dyDescent="0.3">
      <c r="G1124" s="400" t="s">
        <v>10772</v>
      </c>
    </row>
    <row r="1125" spans="7:7" x14ac:dyDescent="0.3">
      <c r="G1125" s="400" t="s">
        <v>10772</v>
      </c>
    </row>
    <row r="1126" spans="7:7" x14ac:dyDescent="0.3">
      <c r="G1126" s="400" t="s">
        <v>10772</v>
      </c>
    </row>
    <row r="1127" spans="7:7" x14ac:dyDescent="0.3">
      <c r="G1127" s="400" t="s">
        <v>10772</v>
      </c>
    </row>
    <row r="1128" spans="7:7" x14ac:dyDescent="0.3">
      <c r="G1128" s="400" t="s">
        <v>10772</v>
      </c>
    </row>
    <row r="1129" spans="7:7" x14ac:dyDescent="0.3">
      <c r="G1129" s="400" t="s">
        <v>10772</v>
      </c>
    </row>
    <row r="1130" spans="7:7" x14ac:dyDescent="0.3">
      <c r="G1130" s="400" t="s">
        <v>10772</v>
      </c>
    </row>
    <row r="1131" spans="7:7" x14ac:dyDescent="0.3">
      <c r="G1131" s="400" t="s">
        <v>10772</v>
      </c>
    </row>
    <row r="1132" spans="7:7" x14ac:dyDescent="0.3">
      <c r="G1132" s="400" t="s">
        <v>10772</v>
      </c>
    </row>
    <row r="1133" spans="7:7" x14ac:dyDescent="0.3">
      <c r="G1133" s="400" t="s">
        <v>10772</v>
      </c>
    </row>
    <row r="1134" spans="7:7" x14ac:dyDescent="0.3">
      <c r="G1134" s="400" t="s">
        <v>10772</v>
      </c>
    </row>
    <row r="1135" spans="7:7" x14ac:dyDescent="0.3">
      <c r="G1135" s="400" t="s">
        <v>10772</v>
      </c>
    </row>
    <row r="1136" spans="7:7" x14ac:dyDescent="0.3">
      <c r="G1136" s="400" t="s">
        <v>10772</v>
      </c>
    </row>
    <row r="1137" spans="7:7" x14ac:dyDescent="0.3">
      <c r="G1137" s="400" t="s">
        <v>10772</v>
      </c>
    </row>
    <row r="1138" spans="7:7" x14ac:dyDescent="0.3">
      <c r="G1138" s="400" t="s">
        <v>10772</v>
      </c>
    </row>
    <row r="1139" spans="7:7" x14ac:dyDescent="0.3">
      <c r="G1139" s="400" t="s">
        <v>10772</v>
      </c>
    </row>
    <row r="1140" spans="7:7" x14ac:dyDescent="0.3">
      <c r="G1140" s="400" t="s">
        <v>10772</v>
      </c>
    </row>
    <row r="1141" spans="7:7" x14ac:dyDescent="0.3">
      <c r="G1141" s="400" t="s">
        <v>10772</v>
      </c>
    </row>
    <row r="1142" spans="7:7" x14ac:dyDescent="0.3">
      <c r="G1142" s="400" t="s">
        <v>10772</v>
      </c>
    </row>
    <row r="1143" spans="7:7" x14ac:dyDescent="0.3">
      <c r="G1143" s="400" t="s">
        <v>10772</v>
      </c>
    </row>
    <row r="1144" spans="7:7" x14ac:dyDescent="0.3">
      <c r="G1144" s="400" t="s">
        <v>10772</v>
      </c>
    </row>
    <row r="1145" spans="7:7" x14ac:dyDescent="0.3">
      <c r="G1145" s="400" t="s">
        <v>10772</v>
      </c>
    </row>
    <row r="1146" spans="7:7" x14ac:dyDescent="0.3">
      <c r="G1146" s="400" t="s">
        <v>10772</v>
      </c>
    </row>
    <row r="1147" spans="7:7" x14ac:dyDescent="0.3">
      <c r="G1147" s="400" t="s">
        <v>10772</v>
      </c>
    </row>
    <row r="1148" spans="7:7" x14ac:dyDescent="0.3">
      <c r="G1148" s="400" t="s">
        <v>10772</v>
      </c>
    </row>
    <row r="1149" spans="7:7" x14ac:dyDescent="0.3">
      <c r="G1149" s="400" t="s">
        <v>10772</v>
      </c>
    </row>
    <row r="1150" spans="7:7" x14ac:dyDescent="0.3">
      <c r="G1150" s="400" t="s">
        <v>10772</v>
      </c>
    </row>
    <row r="1151" spans="7:7" x14ac:dyDescent="0.3">
      <c r="G1151" s="400" t="s">
        <v>10772</v>
      </c>
    </row>
    <row r="1152" spans="7:7" x14ac:dyDescent="0.3">
      <c r="G1152" s="400" t="s">
        <v>10772</v>
      </c>
    </row>
    <row r="1153" spans="7:7" x14ac:dyDescent="0.3">
      <c r="G1153" s="400" t="s">
        <v>10772</v>
      </c>
    </row>
    <row r="1154" spans="7:7" x14ac:dyDescent="0.3">
      <c r="G1154" s="400" t="s">
        <v>10772</v>
      </c>
    </row>
    <row r="1155" spans="7:7" x14ac:dyDescent="0.3">
      <c r="G1155" s="400" t="s">
        <v>10772</v>
      </c>
    </row>
    <row r="1156" spans="7:7" x14ac:dyDescent="0.3">
      <c r="G1156" s="400" t="s">
        <v>10772</v>
      </c>
    </row>
    <row r="1157" spans="7:7" x14ac:dyDescent="0.3">
      <c r="G1157" s="400" t="s">
        <v>10772</v>
      </c>
    </row>
    <row r="1158" spans="7:7" x14ac:dyDescent="0.3">
      <c r="G1158" s="400" t="s">
        <v>10772</v>
      </c>
    </row>
    <row r="1159" spans="7:7" x14ac:dyDescent="0.3">
      <c r="G1159" s="400" t="s">
        <v>10772</v>
      </c>
    </row>
    <row r="1160" spans="7:7" x14ac:dyDescent="0.3">
      <c r="G1160" s="400" t="s">
        <v>10772</v>
      </c>
    </row>
    <row r="1161" spans="7:7" x14ac:dyDescent="0.3">
      <c r="G1161" s="400" t="s">
        <v>10772</v>
      </c>
    </row>
    <row r="1162" spans="7:7" x14ac:dyDescent="0.3">
      <c r="G1162" s="400" t="s">
        <v>10772</v>
      </c>
    </row>
    <row r="1163" spans="7:7" x14ac:dyDescent="0.3">
      <c r="G1163" s="400" t="s">
        <v>10772</v>
      </c>
    </row>
    <row r="1164" spans="7:7" x14ac:dyDescent="0.3">
      <c r="G1164" s="400" t="s">
        <v>10772</v>
      </c>
    </row>
    <row r="1165" spans="7:7" x14ac:dyDescent="0.3">
      <c r="G1165" s="400" t="s">
        <v>10772</v>
      </c>
    </row>
    <row r="1166" spans="7:7" x14ac:dyDescent="0.3">
      <c r="G1166" s="400" t="s">
        <v>10772</v>
      </c>
    </row>
    <row r="1167" spans="7:7" x14ac:dyDescent="0.3">
      <c r="G1167" s="400" t="s">
        <v>10772</v>
      </c>
    </row>
    <row r="1168" spans="7:7" x14ac:dyDescent="0.3">
      <c r="G1168" s="400" t="s">
        <v>10772</v>
      </c>
    </row>
    <row r="1169" spans="7:7" x14ac:dyDescent="0.3">
      <c r="G1169" s="400" t="s">
        <v>10772</v>
      </c>
    </row>
    <row r="1170" spans="7:7" x14ac:dyDescent="0.3">
      <c r="G1170" s="400" t="s">
        <v>10772</v>
      </c>
    </row>
    <row r="1171" spans="7:7" x14ac:dyDescent="0.3">
      <c r="G1171" s="400" t="s">
        <v>10772</v>
      </c>
    </row>
    <row r="1172" spans="7:7" x14ac:dyDescent="0.3">
      <c r="G1172" s="400" t="s">
        <v>10772</v>
      </c>
    </row>
    <row r="1173" spans="7:7" x14ac:dyDescent="0.3">
      <c r="G1173" s="400" t="s">
        <v>10772</v>
      </c>
    </row>
    <row r="1174" spans="7:7" x14ac:dyDescent="0.3">
      <c r="G1174" s="400" t="s">
        <v>10772</v>
      </c>
    </row>
    <row r="1175" spans="7:7" x14ac:dyDescent="0.3">
      <c r="G1175" s="400" t="s">
        <v>10772</v>
      </c>
    </row>
    <row r="1176" spans="7:7" x14ac:dyDescent="0.3">
      <c r="G1176" s="400" t="s">
        <v>10772</v>
      </c>
    </row>
    <row r="1177" spans="7:7" x14ac:dyDescent="0.3">
      <c r="G1177" s="400" t="s">
        <v>10772</v>
      </c>
    </row>
    <row r="1178" spans="7:7" x14ac:dyDescent="0.3">
      <c r="G1178" s="400" t="s">
        <v>10772</v>
      </c>
    </row>
    <row r="1179" spans="7:7" x14ac:dyDescent="0.3">
      <c r="G1179" s="400" t="s">
        <v>10772</v>
      </c>
    </row>
    <row r="1180" spans="7:7" x14ac:dyDescent="0.3">
      <c r="G1180" s="400" t="s">
        <v>10772</v>
      </c>
    </row>
    <row r="1181" spans="7:7" x14ac:dyDescent="0.3">
      <c r="G1181" s="400" t="s">
        <v>10772</v>
      </c>
    </row>
    <row r="1182" spans="7:7" x14ac:dyDescent="0.3">
      <c r="G1182" s="400" t="s">
        <v>10772</v>
      </c>
    </row>
    <row r="1183" spans="7:7" x14ac:dyDescent="0.3">
      <c r="G1183" s="400" t="s">
        <v>10772</v>
      </c>
    </row>
    <row r="1184" spans="7:7" x14ac:dyDescent="0.3">
      <c r="G1184" s="400" t="s">
        <v>10772</v>
      </c>
    </row>
    <row r="1185" spans="7:7" x14ac:dyDescent="0.3">
      <c r="G1185" s="400" t="s">
        <v>10772</v>
      </c>
    </row>
    <row r="1186" spans="7:7" x14ac:dyDescent="0.3">
      <c r="G1186" s="400" t="s">
        <v>10772</v>
      </c>
    </row>
    <row r="1187" spans="7:7" x14ac:dyDescent="0.3">
      <c r="G1187" s="400" t="s">
        <v>10772</v>
      </c>
    </row>
    <row r="1188" spans="7:7" x14ac:dyDescent="0.3">
      <c r="G1188" s="400" t="s">
        <v>10772</v>
      </c>
    </row>
    <row r="1189" spans="7:7" x14ac:dyDescent="0.3">
      <c r="G1189" s="400" t="s">
        <v>10772</v>
      </c>
    </row>
    <row r="1190" spans="7:7" x14ac:dyDescent="0.3">
      <c r="G1190" s="400" t="s">
        <v>10772</v>
      </c>
    </row>
    <row r="1191" spans="7:7" x14ac:dyDescent="0.3">
      <c r="G1191" s="400" t="s">
        <v>10772</v>
      </c>
    </row>
    <row r="1192" spans="7:7" x14ac:dyDescent="0.3">
      <c r="G1192" s="400" t="s">
        <v>10772</v>
      </c>
    </row>
    <row r="1193" spans="7:7" x14ac:dyDescent="0.3">
      <c r="G1193" s="400" t="s">
        <v>10772</v>
      </c>
    </row>
    <row r="1194" spans="7:7" x14ac:dyDescent="0.3">
      <c r="G1194" s="400" t="s">
        <v>10772</v>
      </c>
    </row>
    <row r="1195" spans="7:7" x14ac:dyDescent="0.3">
      <c r="G1195" s="400" t="s">
        <v>10772</v>
      </c>
    </row>
    <row r="1196" spans="7:7" x14ac:dyDescent="0.3">
      <c r="G1196" s="400" t="s">
        <v>10772</v>
      </c>
    </row>
    <row r="1197" spans="7:7" x14ac:dyDescent="0.3">
      <c r="G1197" s="400" t="s">
        <v>10772</v>
      </c>
    </row>
    <row r="1198" spans="7:7" x14ac:dyDescent="0.3">
      <c r="G1198" s="400" t="s">
        <v>10772</v>
      </c>
    </row>
    <row r="1199" spans="7:7" x14ac:dyDescent="0.3">
      <c r="G1199" s="400" t="s">
        <v>10772</v>
      </c>
    </row>
    <row r="1200" spans="7:7" x14ac:dyDescent="0.3">
      <c r="G1200" s="400" t="s">
        <v>10772</v>
      </c>
    </row>
    <row r="1201" spans="7:7" x14ac:dyDescent="0.3">
      <c r="G1201" s="400" t="s">
        <v>10772</v>
      </c>
    </row>
    <row r="1202" spans="7:7" x14ac:dyDescent="0.3">
      <c r="G1202" s="400" t="s">
        <v>10772</v>
      </c>
    </row>
    <row r="1203" spans="7:7" x14ac:dyDescent="0.3">
      <c r="G1203" s="400" t="s">
        <v>10772</v>
      </c>
    </row>
    <row r="1204" spans="7:7" x14ac:dyDescent="0.3">
      <c r="G1204" s="400" t="s">
        <v>10772</v>
      </c>
    </row>
    <row r="1205" spans="7:7" x14ac:dyDescent="0.3">
      <c r="G1205" s="400" t="s">
        <v>10772</v>
      </c>
    </row>
    <row r="1206" spans="7:7" x14ac:dyDescent="0.3">
      <c r="G1206" s="400" t="s">
        <v>10772</v>
      </c>
    </row>
    <row r="1207" spans="7:7" x14ac:dyDescent="0.3">
      <c r="G1207" s="400" t="s">
        <v>10772</v>
      </c>
    </row>
    <row r="1208" spans="7:7" x14ac:dyDescent="0.3">
      <c r="G1208" s="400" t="s">
        <v>10772</v>
      </c>
    </row>
    <row r="1209" spans="7:7" x14ac:dyDescent="0.3">
      <c r="G1209" s="400" t="s">
        <v>10772</v>
      </c>
    </row>
    <row r="1210" spans="7:7" x14ac:dyDescent="0.3">
      <c r="G1210" s="400" t="s">
        <v>10772</v>
      </c>
    </row>
    <row r="1211" spans="7:7" x14ac:dyDescent="0.3">
      <c r="G1211" s="400" t="s">
        <v>10772</v>
      </c>
    </row>
    <row r="1212" spans="7:7" x14ac:dyDescent="0.3">
      <c r="G1212" s="400" t="s">
        <v>10772</v>
      </c>
    </row>
    <row r="1213" spans="7:7" x14ac:dyDescent="0.3">
      <c r="G1213" s="400" t="s">
        <v>10772</v>
      </c>
    </row>
    <row r="1214" spans="7:7" x14ac:dyDescent="0.3">
      <c r="G1214" s="400" t="s">
        <v>10772</v>
      </c>
    </row>
    <row r="1215" spans="7:7" x14ac:dyDescent="0.3">
      <c r="G1215" s="400" t="s">
        <v>10772</v>
      </c>
    </row>
    <row r="1216" spans="7:7" x14ac:dyDescent="0.3">
      <c r="G1216" s="400" t="s">
        <v>10772</v>
      </c>
    </row>
    <row r="1217" spans="7:7" x14ac:dyDescent="0.3">
      <c r="G1217" s="400" t="s">
        <v>10772</v>
      </c>
    </row>
    <row r="1218" spans="7:7" x14ac:dyDescent="0.3">
      <c r="G1218" s="400" t="s">
        <v>10772</v>
      </c>
    </row>
    <row r="1219" spans="7:7" x14ac:dyDescent="0.3">
      <c r="G1219" s="400" t="s">
        <v>10772</v>
      </c>
    </row>
    <row r="1220" spans="7:7" x14ac:dyDescent="0.3">
      <c r="G1220" s="400" t="s">
        <v>10772</v>
      </c>
    </row>
    <row r="1221" spans="7:7" x14ac:dyDescent="0.3">
      <c r="G1221" s="400" t="s">
        <v>10772</v>
      </c>
    </row>
    <row r="1222" spans="7:7" x14ac:dyDescent="0.3">
      <c r="G1222" s="400" t="s">
        <v>10772</v>
      </c>
    </row>
    <row r="1223" spans="7:7" x14ac:dyDescent="0.3">
      <c r="G1223" s="400" t="s">
        <v>10772</v>
      </c>
    </row>
    <row r="1224" spans="7:7" x14ac:dyDescent="0.3">
      <c r="G1224" s="400" t="s">
        <v>10772</v>
      </c>
    </row>
    <row r="1225" spans="7:7" x14ac:dyDescent="0.3">
      <c r="G1225" s="400" t="s">
        <v>10772</v>
      </c>
    </row>
    <row r="1226" spans="7:7" x14ac:dyDescent="0.3">
      <c r="G1226" s="400" t="s">
        <v>10772</v>
      </c>
    </row>
    <row r="1227" spans="7:7" x14ac:dyDescent="0.3">
      <c r="G1227" s="400" t="s">
        <v>10772</v>
      </c>
    </row>
    <row r="1228" spans="7:7" x14ac:dyDescent="0.3">
      <c r="G1228" s="400" t="s">
        <v>10772</v>
      </c>
    </row>
    <row r="1229" spans="7:7" x14ac:dyDescent="0.3">
      <c r="G1229" s="400" t="s">
        <v>10772</v>
      </c>
    </row>
    <row r="1230" spans="7:7" x14ac:dyDescent="0.3">
      <c r="G1230" s="400" t="s">
        <v>10772</v>
      </c>
    </row>
    <row r="1231" spans="7:7" x14ac:dyDescent="0.3">
      <c r="G1231" s="400" t="s">
        <v>10772</v>
      </c>
    </row>
    <row r="1232" spans="7:7" x14ac:dyDescent="0.3">
      <c r="G1232" s="400" t="s">
        <v>10772</v>
      </c>
    </row>
    <row r="1233" spans="7:7" x14ac:dyDescent="0.3">
      <c r="G1233" s="400" t="s">
        <v>10772</v>
      </c>
    </row>
    <row r="1234" spans="7:7" x14ac:dyDescent="0.3">
      <c r="G1234" s="400" t="s">
        <v>10772</v>
      </c>
    </row>
    <row r="1235" spans="7:7" x14ac:dyDescent="0.3">
      <c r="G1235" s="400" t="s">
        <v>10772</v>
      </c>
    </row>
    <row r="1236" spans="7:7" x14ac:dyDescent="0.3">
      <c r="G1236" s="400" t="s">
        <v>10772</v>
      </c>
    </row>
    <row r="1237" spans="7:7" x14ac:dyDescent="0.3">
      <c r="G1237" s="400" t="s">
        <v>10772</v>
      </c>
    </row>
    <row r="1238" spans="7:7" x14ac:dyDescent="0.3">
      <c r="G1238" s="400" t="s">
        <v>10772</v>
      </c>
    </row>
    <row r="1239" spans="7:7" x14ac:dyDescent="0.3">
      <c r="G1239" s="400" t="s">
        <v>10772</v>
      </c>
    </row>
    <row r="1240" spans="7:7" x14ac:dyDescent="0.3">
      <c r="G1240" s="400" t="s">
        <v>10772</v>
      </c>
    </row>
    <row r="1241" spans="7:7" x14ac:dyDescent="0.3">
      <c r="G1241" s="400" t="s">
        <v>10772</v>
      </c>
    </row>
    <row r="1242" spans="7:7" x14ac:dyDescent="0.3">
      <c r="G1242" s="400" t="s">
        <v>10772</v>
      </c>
    </row>
    <row r="1243" spans="7:7" x14ac:dyDescent="0.3">
      <c r="G1243" s="400" t="s">
        <v>10772</v>
      </c>
    </row>
    <row r="1244" spans="7:7" x14ac:dyDescent="0.3">
      <c r="G1244" s="400" t="s">
        <v>10772</v>
      </c>
    </row>
    <row r="1245" spans="7:7" x14ac:dyDescent="0.3">
      <c r="G1245" s="400" t="s">
        <v>10772</v>
      </c>
    </row>
    <row r="1246" spans="7:7" x14ac:dyDescent="0.3">
      <c r="G1246" s="400" t="s">
        <v>10772</v>
      </c>
    </row>
    <row r="1247" spans="7:7" x14ac:dyDescent="0.3">
      <c r="G1247" s="400" t="s">
        <v>10772</v>
      </c>
    </row>
    <row r="1248" spans="7:7" x14ac:dyDescent="0.3">
      <c r="G1248" s="400" t="s">
        <v>10772</v>
      </c>
    </row>
    <row r="1249" spans="7:7" x14ac:dyDescent="0.3">
      <c r="G1249" s="400" t="s">
        <v>10772</v>
      </c>
    </row>
    <row r="1250" spans="7:7" x14ac:dyDescent="0.3">
      <c r="G1250" s="400" t="s">
        <v>10772</v>
      </c>
    </row>
    <row r="1251" spans="7:7" x14ac:dyDescent="0.3">
      <c r="G1251" s="400" t="s">
        <v>10772</v>
      </c>
    </row>
    <row r="1252" spans="7:7" x14ac:dyDescent="0.3">
      <c r="G1252" s="400" t="s">
        <v>10772</v>
      </c>
    </row>
    <row r="1253" spans="7:7" x14ac:dyDescent="0.3">
      <c r="G1253" s="400" t="s">
        <v>10772</v>
      </c>
    </row>
    <row r="1254" spans="7:7" x14ac:dyDescent="0.3">
      <c r="G1254" s="400" t="s">
        <v>10772</v>
      </c>
    </row>
    <row r="1255" spans="7:7" x14ac:dyDescent="0.3">
      <c r="G1255" s="400" t="s">
        <v>10772</v>
      </c>
    </row>
    <row r="1256" spans="7:7" x14ac:dyDescent="0.3">
      <c r="G1256" s="400" t="s">
        <v>10772</v>
      </c>
    </row>
    <row r="1257" spans="7:7" x14ac:dyDescent="0.3">
      <c r="G1257" s="400" t="s">
        <v>10772</v>
      </c>
    </row>
    <row r="1258" spans="7:7" x14ac:dyDescent="0.3">
      <c r="G1258" s="400" t="s">
        <v>10772</v>
      </c>
    </row>
    <row r="1259" spans="7:7" x14ac:dyDescent="0.3">
      <c r="G1259" s="400" t="s">
        <v>10772</v>
      </c>
    </row>
    <row r="1260" spans="7:7" x14ac:dyDescent="0.3">
      <c r="G1260" s="400" t="s">
        <v>10772</v>
      </c>
    </row>
    <row r="1261" spans="7:7" x14ac:dyDescent="0.3">
      <c r="G1261" s="400" t="s">
        <v>10772</v>
      </c>
    </row>
    <row r="1262" spans="7:7" x14ac:dyDescent="0.3">
      <c r="G1262" s="400" t="s">
        <v>10772</v>
      </c>
    </row>
    <row r="1263" spans="7:7" x14ac:dyDescent="0.3">
      <c r="G1263" s="400" t="s">
        <v>10772</v>
      </c>
    </row>
    <row r="1264" spans="7:7" x14ac:dyDescent="0.3">
      <c r="G1264" s="400" t="s">
        <v>10772</v>
      </c>
    </row>
    <row r="1265" spans="7:7" x14ac:dyDescent="0.3">
      <c r="G1265" s="400" t="s">
        <v>10772</v>
      </c>
    </row>
    <row r="1266" spans="7:7" x14ac:dyDescent="0.3">
      <c r="G1266" s="400" t="s">
        <v>10772</v>
      </c>
    </row>
    <row r="1267" spans="7:7" x14ac:dyDescent="0.3">
      <c r="G1267" s="400" t="s">
        <v>10772</v>
      </c>
    </row>
    <row r="1268" spans="7:7" x14ac:dyDescent="0.3">
      <c r="G1268" s="400" t="s">
        <v>10772</v>
      </c>
    </row>
    <row r="1269" spans="7:7" x14ac:dyDescent="0.3">
      <c r="G1269" s="400" t="s">
        <v>10772</v>
      </c>
    </row>
    <row r="1270" spans="7:7" x14ac:dyDescent="0.3">
      <c r="G1270" s="400" t="s">
        <v>10772</v>
      </c>
    </row>
    <row r="1271" spans="7:7" x14ac:dyDescent="0.3">
      <c r="G1271" s="400" t="s">
        <v>10772</v>
      </c>
    </row>
    <row r="1272" spans="7:7" x14ac:dyDescent="0.3">
      <c r="G1272" s="400" t="s">
        <v>10772</v>
      </c>
    </row>
    <row r="1273" spans="7:7" x14ac:dyDescent="0.3">
      <c r="G1273" s="400" t="s">
        <v>10772</v>
      </c>
    </row>
    <row r="1274" spans="7:7" x14ac:dyDescent="0.3">
      <c r="G1274" s="400" t="s">
        <v>10772</v>
      </c>
    </row>
    <row r="1275" spans="7:7" x14ac:dyDescent="0.3">
      <c r="G1275" s="400" t="s">
        <v>10772</v>
      </c>
    </row>
    <row r="1276" spans="7:7" x14ac:dyDescent="0.3">
      <c r="G1276" s="400" t="s">
        <v>10772</v>
      </c>
    </row>
    <row r="1277" spans="7:7" x14ac:dyDescent="0.3">
      <c r="G1277" s="400" t="s">
        <v>10772</v>
      </c>
    </row>
    <row r="1278" spans="7:7" x14ac:dyDescent="0.3">
      <c r="G1278" s="400" t="s">
        <v>10772</v>
      </c>
    </row>
    <row r="1279" spans="7:7" x14ac:dyDescent="0.3">
      <c r="G1279" s="400" t="s">
        <v>10772</v>
      </c>
    </row>
    <row r="1280" spans="7:7" x14ac:dyDescent="0.3">
      <c r="G1280" s="400" t="s">
        <v>10772</v>
      </c>
    </row>
    <row r="1281" spans="7:7" x14ac:dyDescent="0.3">
      <c r="G1281" s="400" t="s">
        <v>10772</v>
      </c>
    </row>
    <row r="1282" spans="7:7" x14ac:dyDescent="0.3">
      <c r="G1282" s="400" t="s">
        <v>10772</v>
      </c>
    </row>
    <row r="1283" spans="7:7" x14ac:dyDescent="0.3">
      <c r="G1283" s="400" t="s">
        <v>10772</v>
      </c>
    </row>
    <row r="1284" spans="7:7" x14ac:dyDescent="0.3">
      <c r="G1284" s="400" t="s">
        <v>10772</v>
      </c>
    </row>
    <row r="1285" spans="7:7" x14ac:dyDescent="0.3">
      <c r="G1285" s="400" t="s">
        <v>10772</v>
      </c>
    </row>
    <row r="1286" spans="7:7" x14ac:dyDescent="0.3">
      <c r="G1286" s="400" t="s">
        <v>10772</v>
      </c>
    </row>
    <row r="1287" spans="7:7" x14ac:dyDescent="0.3">
      <c r="G1287" s="400" t="s">
        <v>10772</v>
      </c>
    </row>
    <row r="1288" spans="7:7" x14ac:dyDescent="0.3">
      <c r="G1288" s="400" t="s">
        <v>10772</v>
      </c>
    </row>
    <row r="1289" spans="7:7" x14ac:dyDescent="0.3">
      <c r="G1289" s="400" t="s">
        <v>10772</v>
      </c>
    </row>
    <row r="1290" spans="7:7" x14ac:dyDescent="0.3">
      <c r="G1290" s="400" t="s">
        <v>10772</v>
      </c>
    </row>
    <row r="1291" spans="7:7" x14ac:dyDescent="0.3">
      <c r="G1291" s="400" t="s">
        <v>10772</v>
      </c>
    </row>
    <row r="1292" spans="7:7" x14ac:dyDescent="0.3">
      <c r="G1292" s="400" t="s">
        <v>10772</v>
      </c>
    </row>
    <row r="1293" spans="7:7" x14ac:dyDescent="0.3">
      <c r="G1293" s="400" t="s">
        <v>10772</v>
      </c>
    </row>
    <row r="1294" spans="7:7" x14ac:dyDescent="0.3">
      <c r="G1294" s="400" t="s">
        <v>10772</v>
      </c>
    </row>
    <row r="1295" spans="7:7" x14ac:dyDescent="0.3">
      <c r="G1295" s="400" t="s">
        <v>10772</v>
      </c>
    </row>
    <row r="1296" spans="7:7" x14ac:dyDescent="0.3">
      <c r="G1296" s="400" t="s">
        <v>10772</v>
      </c>
    </row>
    <row r="1297" spans="7:7" x14ac:dyDescent="0.3">
      <c r="G1297" s="400" t="s">
        <v>10772</v>
      </c>
    </row>
    <row r="1298" spans="7:7" x14ac:dyDescent="0.3">
      <c r="G1298" s="400" t="s">
        <v>10772</v>
      </c>
    </row>
    <row r="1299" spans="7:7" x14ac:dyDescent="0.3">
      <c r="G1299" s="400" t="s">
        <v>10772</v>
      </c>
    </row>
    <row r="1300" spans="7:7" x14ac:dyDescent="0.3">
      <c r="G1300" s="400" t="s">
        <v>10772</v>
      </c>
    </row>
    <row r="1301" spans="7:7" x14ac:dyDescent="0.3">
      <c r="G1301" s="400" t="s">
        <v>10772</v>
      </c>
    </row>
    <row r="1302" spans="7:7" x14ac:dyDescent="0.3">
      <c r="G1302" s="400" t="s">
        <v>10772</v>
      </c>
    </row>
    <row r="1303" spans="7:7" x14ac:dyDescent="0.3">
      <c r="G1303" s="400" t="s">
        <v>10772</v>
      </c>
    </row>
    <row r="1304" spans="7:7" x14ac:dyDescent="0.3">
      <c r="G1304" s="400" t="s">
        <v>10772</v>
      </c>
    </row>
    <row r="1305" spans="7:7" x14ac:dyDescent="0.3">
      <c r="G1305" s="400" t="s">
        <v>10772</v>
      </c>
    </row>
    <row r="1306" spans="7:7" x14ac:dyDescent="0.3">
      <c r="G1306" s="400" t="s">
        <v>10772</v>
      </c>
    </row>
    <row r="1307" spans="7:7" x14ac:dyDescent="0.3">
      <c r="G1307" s="400" t="s">
        <v>10772</v>
      </c>
    </row>
    <row r="1308" spans="7:7" x14ac:dyDescent="0.3">
      <c r="G1308" s="400" t="s">
        <v>10772</v>
      </c>
    </row>
    <row r="1309" spans="7:7" x14ac:dyDescent="0.3">
      <c r="G1309" s="400" t="s">
        <v>10772</v>
      </c>
    </row>
    <row r="1310" spans="7:7" x14ac:dyDescent="0.3">
      <c r="G1310" s="400" t="s">
        <v>10772</v>
      </c>
    </row>
    <row r="1311" spans="7:7" x14ac:dyDescent="0.3">
      <c r="G1311" s="400" t="s">
        <v>10772</v>
      </c>
    </row>
    <row r="1312" spans="7:7" x14ac:dyDescent="0.3">
      <c r="G1312" s="400" t="s">
        <v>10772</v>
      </c>
    </row>
    <row r="1313" spans="7:7" x14ac:dyDescent="0.3">
      <c r="G1313" s="400" t="s">
        <v>10772</v>
      </c>
    </row>
    <row r="1314" spans="7:7" x14ac:dyDescent="0.3">
      <c r="G1314" s="400" t="s">
        <v>10772</v>
      </c>
    </row>
    <row r="1315" spans="7:7" x14ac:dyDescent="0.3">
      <c r="G1315" s="400" t="s">
        <v>10772</v>
      </c>
    </row>
    <row r="1316" spans="7:7" x14ac:dyDescent="0.3">
      <c r="G1316" s="400" t="s">
        <v>10772</v>
      </c>
    </row>
    <row r="1317" spans="7:7" x14ac:dyDescent="0.3">
      <c r="G1317" s="400" t="s">
        <v>10772</v>
      </c>
    </row>
    <row r="1318" spans="7:7" x14ac:dyDescent="0.3">
      <c r="G1318" s="400" t="s">
        <v>10772</v>
      </c>
    </row>
    <row r="1319" spans="7:7" x14ac:dyDescent="0.3">
      <c r="G1319" s="400" t="s">
        <v>10772</v>
      </c>
    </row>
    <row r="1320" spans="7:7" x14ac:dyDescent="0.3">
      <c r="G1320" s="400" t="s">
        <v>10772</v>
      </c>
    </row>
    <row r="1321" spans="7:7" x14ac:dyDescent="0.3">
      <c r="G1321" s="400" t="s">
        <v>10772</v>
      </c>
    </row>
    <row r="1322" spans="7:7" x14ac:dyDescent="0.3">
      <c r="G1322" s="400" t="s">
        <v>10772</v>
      </c>
    </row>
    <row r="1323" spans="7:7" x14ac:dyDescent="0.3">
      <c r="G1323" s="400" t="s">
        <v>10772</v>
      </c>
    </row>
    <row r="1324" spans="7:7" x14ac:dyDescent="0.3">
      <c r="G1324" s="400" t="s">
        <v>10772</v>
      </c>
    </row>
    <row r="1325" spans="7:7" x14ac:dyDescent="0.3">
      <c r="G1325" s="400" t="s">
        <v>10772</v>
      </c>
    </row>
    <row r="1326" spans="7:7" x14ac:dyDescent="0.3">
      <c r="G1326" s="400" t="s">
        <v>10772</v>
      </c>
    </row>
    <row r="1327" spans="7:7" x14ac:dyDescent="0.3">
      <c r="G1327" s="400" t="s">
        <v>10772</v>
      </c>
    </row>
    <row r="1328" spans="7:7" x14ac:dyDescent="0.3">
      <c r="G1328" s="400" t="s">
        <v>10772</v>
      </c>
    </row>
    <row r="1329" spans="7:7" x14ac:dyDescent="0.3">
      <c r="G1329" s="400" t="s">
        <v>10772</v>
      </c>
    </row>
    <row r="1330" spans="7:7" x14ac:dyDescent="0.3">
      <c r="G1330" s="400" t="s">
        <v>10772</v>
      </c>
    </row>
    <row r="1331" spans="7:7" x14ac:dyDescent="0.3">
      <c r="G1331" s="400" t="s">
        <v>10772</v>
      </c>
    </row>
    <row r="1332" spans="7:7" x14ac:dyDescent="0.3">
      <c r="G1332" s="400" t="s">
        <v>10772</v>
      </c>
    </row>
    <row r="1333" spans="7:7" x14ac:dyDescent="0.3">
      <c r="G1333" s="400" t="s">
        <v>10772</v>
      </c>
    </row>
    <row r="1334" spans="7:7" x14ac:dyDescent="0.3">
      <c r="G1334" s="400" t="s">
        <v>10772</v>
      </c>
    </row>
    <row r="1335" spans="7:7" x14ac:dyDescent="0.3">
      <c r="G1335" s="400" t="s">
        <v>10772</v>
      </c>
    </row>
    <row r="1336" spans="7:7" x14ac:dyDescent="0.3">
      <c r="G1336" s="400" t="s">
        <v>10772</v>
      </c>
    </row>
    <row r="1337" spans="7:7" x14ac:dyDescent="0.3">
      <c r="G1337" s="400" t="s">
        <v>10772</v>
      </c>
    </row>
    <row r="1338" spans="7:7" x14ac:dyDescent="0.3">
      <c r="G1338" s="400" t="s">
        <v>10772</v>
      </c>
    </row>
    <row r="1339" spans="7:7" x14ac:dyDescent="0.3">
      <c r="G1339" s="400" t="s">
        <v>10772</v>
      </c>
    </row>
    <row r="1340" spans="7:7" x14ac:dyDescent="0.3">
      <c r="G1340" s="400" t="s">
        <v>10772</v>
      </c>
    </row>
    <row r="1341" spans="7:7" x14ac:dyDescent="0.3">
      <c r="G1341" s="400" t="s">
        <v>10772</v>
      </c>
    </row>
    <row r="1342" spans="7:7" x14ac:dyDescent="0.3">
      <c r="G1342" s="400" t="s">
        <v>10772</v>
      </c>
    </row>
    <row r="1343" spans="7:7" x14ac:dyDescent="0.3">
      <c r="G1343" s="400" t="s">
        <v>10772</v>
      </c>
    </row>
    <row r="1344" spans="7:7" x14ac:dyDescent="0.3">
      <c r="G1344" s="400" t="s">
        <v>10772</v>
      </c>
    </row>
    <row r="1345" spans="7:7" x14ac:dyDescent="0.3">
      <c r="G1345" s="400" t="s">
        <v>10772</v>
      </c>
    </row>
    <row r="1346" spans="7:7" x14ac:dyDescent="0.3">
      <c r="G1346" s="400" t="s">
        <v>10772</v>
      </c>
    </row>
    <row r="1347" spans="7:7" x14ac:dyDescent="0.3">
      <c r="G1347" s="400" t="s">
        <v>10772</v>
      </c>
    </row>
    <row r="1348" spans="7:7" x14ac:dyDescent="0.3">
      <c r="G1348" s="400" t="s">
        <v>10772</v>
      </c>
    </row>
    <row r="1349" spans="7:7" x14ac:dyDescent="0.3">
      <c r="G1349" s="400" t="s">
        <v>10772</v>
      </c>
    </row>
    <row r="1350" spans="7:7" x14ac:dyDescent="0.3">
      <c r="G1350" s="400" t="s">
        <v>10772</v>
      </c>
    </row>
    <row r="1351" spans="7:7" x14ac:dyDescent="0.3">
      <c r="G1351" s="400" t="s">
        <v>10772</v>
      </c>
    </row>
    <row r="1352" spans="7:7" x14ac:dyDescent="0.3">
      <c r="G1352" s="400" t="s">
        <v>10772</v>
      </c>
    </row>
    <row r="1353" spans="7:7" x14ac:dyDescent="0.3">
      <c r="G1353" s="400" t="s">
        <v>10772</v>
      </c>
    </row>
    <row r="1354" spans="7:7" x14ac:dyDescent="0.3">
      <c r="G1354" s="400" t="s">
        <v>10772</v>
      </c>
    </row>
    <row r="1355" spans="7:7" x14ac:dyDescent="0.3">
      <c r="G1355" s="400" t="s">
        <v>10772</v>
      </c>
    </row>
    <row r="1356" spans="7:7" x14ac:dyDescent="0.3">
      <c r="G1356" s="400" t="s">
        <v>10772</v>
      </c>
    </row>
    <row r="1357" spans="7:7" x14ac:dyDescent="0.3">
      <c r="G1357" s="400" t="s">
        <v>10772</v>
      </c>
    </row>
    <row r="1358" spans="7:7" x14ac:dyDescent="0.3">
      <c r="G1358" s="400" t="s">
        <v>10772</v>
      </c>
    </row>
    <row r="1359" spans="7:7" x14ac:dyDescent="0.3">
      <c r="G1359" s="400" t="s">
        <v>10772</v>
      </c>
    </row>
    <row r="1360" spans="7:7" x14ac:dyDescent="0.3">
      <c r="G1360" s="400" t="s">
        <v>10772</v>
      </c>
    </row>
    <row r="1361" spans="7:7" x14ac:dyDescent="0.3">
      <c r="G1361" s="400" t="s">
        <v>10772</v>
      </c>
    </row>
    <row r="1362" spans="7:7" x14ac:dyDescent="0.3">
      <c r="G1362" s="400" t="s">
        <v>10772</v>
      </c>
    </row>
    <row r="1363" spans="7:7" x14ac:dyDescent="0.3">
      <c r="G1363" s="400" t="s">
        <v>10772</v>
      </c>
    </row>
    <row r="1364" spans="7:7" x14ac:dyDescent="0.3">
      <c r="G1364" s="400" t="s">
        <v>10772</v>
      </c>
    </row>
    <row r="1365" spans="7:7" x14ac:dyDescent="0.3">
      <c r="G1365" s="400" t="s">
        <v>10772</v>
      </c>
    </row>
    <row r="1366" spans="7:7" x14ac:dyDescent="0.3">
      <c r="G1366" s="400" t="s">
        <v>10772</v>
      </c>
    </row>
    <row r="1367" spans="7:7" x14ac:dyDescent="0.3">
      <c r="G1367" s="400" t="s">
        <v>10772</v>
      </c>
    </row>
    <row r="1368" spans="7:7" x14ac:dyDescent="0.3">
      <c r="G1368" s="400" t="s">
        <v>10772</v>
      </c>
    </row>
    <row r="1369" spans="7:7" x14ac:dyDescent="0.3">
      <c r="G1369" s="400" t="s">
        <v>10772</v>
      </c>
    </row>
    <row r="1370" spans="7:7" x14ac:dyDescent="0.3">
      <c r="G1370" s="400" t="s">
        <v>10772</v>
      </c>
    </row>
    <row r="1371" spans="7:7" x14ac:dyDescent="0.3">
      <c r="G1371" s="400" t="s">
        <v>10772</v>
      </c>
    </row>
    <row r="1372" spans="7:7" x14ac:dyDescent="0.3">
      <c r="G1372" s="400" t="s">
        <v>10772</v>
      </c>
    </row>
    <row r="1373" spans="7:7" x14ac:dyDescent="0.3">
      <c r="G1373" s="400" t="s">
        <v>10772</v>
      </c>
    </row>
    <row r="1374" spans="7:7" x14ac:dyDescent="0.3">
      <c r="G1374" s="400" t="s">
        <v>10772</v>
      </c>
    </row>
    <row r="1375" spans="7:7" x14ac:dyDescent="0.3">
      <c r="G1375" s="400" t="s">
        <v>10772</v>
      </c>
    </row>
    <row r="1376" spans="7:7" x14ac:dyDescent="0.3">
      <c r="G1376" s="400" t="s">
        <v>10772</v>
      </c>
    </row>
    <row r="1377" spans="7:7" x14ac:dyDescent="0.3">
      <c r="G1377" s="400" t="s">
        <v>10772</v>
      </c>
    </row>
    <row r="1378" spans="7:7" x14ac:dyDescent="0.3">
      <c r="G1378" s="400" t="s">
        <v>10772</v>
      </c>
    </row>
    <row r="1379" spans="7:7" x14ac:dyDescent="0.3">
      <c r="G1379" s="400" t="s">
        <v>10772</v>
      </c>
    </row>
    <row r="1380" spans="7:7" x14ac:dyDescent="0.3">
      <c r="G1380" s="400" t="s">
        <v>10772</v>
      </c>
    </row>
    <row r="1381" spans="7:7" x14ac:dyDescent="0.3">
      <c r="G1381" s="400" t="s">
        <v>10772</v>
      </c>
    </row>
    <row r="1382" spans="7:7" x14ac:dyDescent="0.3">
      <c r="G1382" s="400" t="s">
        <v>10772</v>
      </c>
    </row>
    <row r="1383" spans="7:7" x14ac:dyDescent="0.3">
      <c r="G1383" s="400" t="s">
        <v>10772</v>
      </c>
    </row>
    <row r="1384" spans="7:7" x14ac:dyDescent="0.3">
      <c r="G1384" s="400" t="s">
        <v>10772</v>
      </c>
    </row>
    <row r="1385" spans="7:7" x14ac:dyDescent="0.3">
      <c r="G1385" s="400" t="s">
        <v>10772</v>
      </c>
    </row>
    <row r="1386" spans="7:7" x14ac:dyDescent="0.3">
      <c r="G1386" s="400" t="s">
        <v>10772</v>
      </c>
    </row>
    <row r="1387" spans="7:7" x14ac:dyDescent="0.3">
      <c r="G1387" s="400" t="s">
        <v>10772</v>
      </c>
    </row>
    <row r="1388" spans="7:7" x14ac:dyDescent="0.3">
      <c r="G1388" s="400" t="s">
        <v>10772</v>
      </c>
    </row>
    <row r="1389" spans="7:7" x14ac:dyDescent="0.3">
      <c r="G1389" s="400" t="s">
        <v>10772</v>
      </c>
    </row>
    <row r="1390" spans="7:7" x14ac:dyDescent="0.3">
      <c r="G1390" s="400" t="s">
        <v>10772</v>
      </c>
    </row>
    <row r="1391" spans="7:7" x14ac:dyDescent="0.3">
      <c r="G1391" s="400" t="s">
        <v>10772</v>
      </c>
    </row>
    <row r="1392" spans="7:7" x14ac:dyDescent="0.3">
      <c r="G1392" s="400" t="s">
        <v>10772</v>
      </c>
    </row>
    <row r="1393" spans="7:7" x14ac:dyDescent="0.3">
      <c r="G1393" s="400" t="s">
        <v>10772</v>
      </c>
    </row>
    <row r="1394" spans="7:7" x14ac:dyDescent="0.3">
      <c r="G1394" s="400" t="s">
        <v>10772</v>
      </c>
    </row>
    <row r="1395" spans="7:7" x14ac:dyDescent="0.3">
      <c r="G1395" s="400" t="s">
        <v>10772</v>
      </c>
    </row>
    <row r="1396" spans="7:7" x14ac:dyDescent="0.3">
      <c r="G1396" s="400" t="s">
        <v>10772</v>
      </c>
    </row>
    <row r="1397" spans="7:7" x14ac:dyDescent="0.3">
      <c r="G1397" s="400" t="s">
        <v>10772</v>
      </c>
    </row>
    <row r="1398" spans="7:7" x14ac:dyDescent="0.3">
      <c r="G1398" s="400" t="s">
        <v>10772</v>
      </c>
    </row>
    <row r="1399" spans="7:7" x14ac:dyDescent="0.3">
      <c r="G1399" s="400" t="s">
        <v>10772</v>
      </c>
    </row>
    <row r="1400" spans="7:7" x14ac:dyDescent="0.3">
      <c r="G1400" s="400" t="s">
        <v>10772</v>
      </c>
    </row>
    <row r="1401" spans="7:7" x14ac:dyDescent="0.3">
      <c r="G1401" s="400" t="s">
        <v>10772</v>
      </c>
    </row>
    <row r="1402" spans="7:7" x14ac:dyDescent="0.3">
      <c r="G1402" s="400" t="s">
        <v>10772</v>
      </c>
    </row>
    <row r="1403" spans="7:7" x14ac:dyDescent="0.3">
      <c r="G1403" s="400" t="s">
        <v>10772</v>
      </c>
    </row>
    <row r="1404" spans="7:7" x14ac:dyDescent="0.3">
      <c r="G1404" s="400" t="s">
        <v>10772</v>
      </c>
    </row>
    <row r="1405" spans="7:7" x14ac:dyDescent="0.3">
      <c r="G1405" s="400" t="s">
        <v>10772</v>
      </c>
    </row>
    <row r="1406" spans="7:7" x14ac:dyDescent="0.3">
      <c r="G1406" s="400" t="s">
        <v>10772</v>
      </c>
    </row>
    <row r="1407" spans="7:7" x14ac:dyDescent="0.3">
      <c r="G1407" s="400" t="s">
        <v>10772</v>
      </c>
    </row>
    <row r="1408" spans="7:7" x14ac:dyDescent="0.3">
      <c r="G1408" s="400" t="s">
        <v>10772</v>
      </c>
    </row>
    <row r="1409" spans="7:7" x14ac:dyDescent="0.3">
      <c r="G1409" s="400" t="s">
        <v>10772</v>
      </c>
    </row>
    <row r="1410" spans="7:7" x14ac:dyDescent="0.3">
      <c r="G1410" s="400" t="s">
        <v>10772</v>
      </c>
    </row>
    <row r="1411" spans="7:7" x14ac:dyDescent="0.3">
      <c r="G1411" s="400" t="s">
        <v>10772</v>
      </c>
    </row>
    <row r="1412" spans="7:7" x14ac:dyDescent="0.3">
      <c r="G1412" s="400" t="s">
        <v>10772</v>
      </c>
    </row>
    <row r="1413" spans="7:7" x14ac:dyDescent="0.3">
      <c r="G1413" s="400" t="s">
        <v>10772</v>
      </c>
    </row>
    <row r="1414" spans="7:7" x14ac:dyDescent="0.3">
      <c r="G1414" s="400" t="s">
        <v>10772</v>
      </c>
    </row>
    <row r="1415" spans="7:7" x14ac:dyDescent="0.3">
      <c r="G1415" s="400" t="s">
        <v>10772</v>
      </c>
    </row>
    <row r="1416" spans="7:7" x14ac:dyDescent="0.3">
      <c r="G1416" s="400" t="s">
        <v>10772</v>
      </c>
    </row>
    <row r="1417" spans="7:7" x14ac:dyDescent="0.3">
      <c r="G1417" s="400" t="s">
        <v>10772</v>
      </c>
    </row>
    <row r="1418" spans="7:7" x14ac:dyDescent="0.3">
      <c r="G1418" s="400" t="s">
        <v>10772</v>
      </c>
    </row>
    <row r="1419" spans="7:7" x14ac:dyDescent="0.3">
      <c r="G1419" s="400" t="s">
        <v>10772</v>
      </c>
    </row>
    <row r="1420" spans="7:7" x14ac:dyDescent="0.3">
      <c r="G1420" s="400" t="s">
        <v>10772</v>
      </c>
    </row>
    <row r="1421" spans="7:7" x14ac:dyDescent="0.3">
      <c r="G1421" s="400" t="s">
        <v>10772</v>
      </c>
    </row>
    <row r="1422" spans="7:7" x14ac:dyDescent="0.3">
      <c r="G1422" s="400" t="s">
        <v>10772</v>
      </c>
    </row>
    <row r="1423" spans="7:7" x14ac:dyDescent="0.3">
      <c r="G1423" s="400" t="s">
        <v>10772</v>
      </c>
    </row>
    <row r="1424" spans="7:7" x14ac:dyDescent="0.3">
      <c r="G1424" s="400" t="s">
        <v>10772</v>
      </c>
    </row>
    <row r="1425" spans="7:7" x14ac:dyDescent="0.3">
      <c r="G1425" s="400" t="s">
        <v>10772</v>
      </c>
    </row>
    <row r="1426" spans="7:7" x14ac:dyDescent="0.3">
      <c r="G1426" s="400" t="s">
        <v>10772</v>
      </c>
    </row>
    <row r="1427" spans="7:7" x14ac:dyDescent="0.3">
      <c r="G1427" s="400" t="s">
        <v>10772</v>
      </c>
    </row>
    <row r="1428" spans="7:7" x14ac:dyDescent="0.3">
      <c r="G1428" s="400" t="s">
        <v>10772</v>
      </c>
    </row>
    <row r="1429" spans="7:7" x14ac:dyDescent="0.3">
      <c r="G1429" s="400" t="s">
        <v>10772</v>
      </c>
    </row>
    <row r="1430" spans="7:7" x14ac:dyDescent="0.3">
      <c r="G1430" s="400" t="s">
        <v>10772</v>
      </c>
    </row>
    <row r="1431" spans="7:7" x14ac:dyDescent="0.3">
      <c r="G1431" s="400" t="s">
        <v>10772</v>
      </c>
    </row>
    <row r="1432" spans="7:7" x14ac:dyDescent="0.3">
      <c r="G1432" s="400" t="s">
        <v>10772</v>
      </c>
    </row>
    <row r="1433" spans="7:7" x14ac:dyDescent="0.3">
      <c r="G1433" s="400" t="s">
        <v>10772</v>
      </c>
    </row>
    <row r="1434" spans="7:7" x14ac:dyDescent="0.3">
      <c r="G1434" s="400" t="s">
        <v>10772</v>
      </c>
    </row>
    <row r="1435" spans="7:7" x14ac:dyDescent="0.3">
      <c r="G1435" s="400" t="s">
        <v>10772</v>
      </c>
    </row>
    <row r="1436" spans="7:7" x14ac:dyDescent="0.3">
      <c r="G1436" s="400" t="s">
        <v>10772</v>
      </c>
    </row>
    <row r="1437" spans="7:7" x14ac:dyDescent="0.3">
      <c r="G1437" s="400" t="s">
        <v>10772</v>
      </c>
    </row>
    <row r="1438" spans="7:7" x14ac:dyDescent="0.3">
      <c r="G1438" s="400" t="s">
        <v>10772</v>
      </c>
    </row>
    <row r="1439" spans="7:7" x14ac:dyDescent="0.3">
      <c r="G1439" s="400" t="s">
        <v>10772</v>
      </c>
    </row>
    <row r="1440" spans="7:7" x14ac:dyDescent="0.3">
      <c r="G1440" s="400" t="s">
        <v>10772</v>
      </c>
    </row>
    <row r="1441" spans="7:7" x14ac:dyDescent="0.3">
      <c r="G1441" s="400" t="s">
        <v>10772</v>
      </c>
    </row>
    <row r="1442" spans="7:7" x14ac:dyDescent="0.3">
      <c r="G1442" s="400" t="s">
        <v>10772</v>
      </c>
    </row>
    <row r="1443" spans="7:7" x14ac:dyDescent="0.3">
      <c r="G1443" s="400" t="s">
        <v>10772</v>
      </c>
    </row>
    <row r="1444" spans="7:7" x14ac:dyDescent="0.3">
      <c r="G1444" s="400" t="s">
        <v>10772</v>
      </c>
    </row>
    <row r="1445" spans="7:7" x14ac:dyDescent="0.3">
      <c r="G1445" s="400" t="s">
        <v>10772</v>
      </c>
    </row>
    <row r="1446" spans="7:7" x14ac:dyDescent="0.3">
      <c r="G1446" s="400" t="s">
        <v>10772</v>
      </c>
    </row>
    <row r="1447" spans="7:7" x14ac:dyDescent="0.3">
      <c r="G1447" s="400" t="s">
        <v>10772</v>
      </c>
    </row>
    <row r="1448" spans="7:7" x14ac:dyDescent="0.3">
      <c r="G1448" s="400" t="s">
        <v>10772</v>
      </c>
    </row>
    <row r="1449" spans="7:7" x14ac:dyDescent="0.3">
      <c r="G1449" s="400" t="s">
        <v>10772</v>
      </c>
    </row>
    <row r="1450" spans="7:7" x14ac:dyDescent="0.3">
      <c r="G1450" s="400" t="s">
        <v>10772</v>
      </c>
    </row>
    <row r="1451" spans="7:7" x14ac:dyDescent="0.3">
      <c r="G1451" s="400" t="s">
        <v>10772</v>
      </c>
    </row>
    <row r="1452" spans="7:7" x14ac:dyDescent="0.3">
      <c r="G1452" s="400" t="s">
        <v>10772</v>
      </c>
    </row>
    <row r="1453" spans="7:7" x14ac:dyDescent="0.3">
      <c r="G1453" s="400" t="s">
        <v>10772</v>
      </c>
    </row>
    <row r="1454" spans="7:7" x14ac:dyDescent="0.3">
      <c r="G1454" s="400" t="s">
        <v>10772</v>
      </c>
    </row>
    <row r="1455" spans="7:7" x14ac:dyDescent="0.3">
      <c r="G1455" s="400" t="s">
        <v>10772</v>
      </c>
    </row>
    <row r="1456" spans="7:7" x14ac:dyDescent="0.3">
      <c r="G1456" s="400" t="s">
        <v>10772</v>
      </c>
    </row>
    <row r="1457" spans="7:7" x14ac:dyDescent="0.3">
      <c r="G1457" s="400" t="s">
        <v>10772</v>
      </c>
    </row>
    <row r="1458" spans="7:7" x14ac:dyDescent="0.3">
      <c r="G1458" s="400" t="s">
        <v>10772</v>
      </c>
    </row>
    <row r="1459" spans="7:7" x14ac:dyDescent="0.3">
      <c r="G1459" s="400" t="s">
        <v>10772</v>
      </c>
    </row>
    <row r="1460" spans="7:7" x14ac:dyDescent="0.3">
      <c r="G1460" s="400" t="s">
        <v>10772</v>
      </c>
    </row>
    <row r="1461" spans="7:7" x14ac:dyDescent="0.3">
      <c r="G1461" s="400" t="s">
        <v>10772</v>
      </c>
    </row>
    <row r="1462" spans="7:7" x14ac:dyDescent="0.3">
      <c r="G1462" s="400" t="s">
        <v>10772</v>
      </c>
    </row>
    <row r="1463" spans="7:7" x14ac:dyDescent="0.3">
      <c r="G1463" s="400" t="s">
        <v>10772</v>
      </c>
    </row>
    <row r="1464" spans="7:7" x14ac:dyDescent="0.3">
      <c r="G1464" s="400" t="s">
        <v>10772</v>
      </c>
    </row>
    <row r="1465" spans="7:7" x14ac:dyDescent="0.3">
      <c r="G1465" s="400" t="s">
        <v>10772</v>
      </c>
    </row>
    <row r="1466" spans="7:7" x14ac:dyDescent="0.3">
      <c r="G1466" s="400" t="s">
        <v>10772</v>
      </c>
    </row>
    <row r="1467" spans="7:7" x14ac:dyDescent="0.3">
      <c r="G1467" s="400" t="s">
        <v>10772</v>
      </c>
    </row>
    <row r="1468" spans="7:7" x14ac:dyDescent="0.3">
      <c r="G1468" s="400" t="s">
        <v>10772</v>
      </c>
    </row>
    <row r="1469" spans="7:7" x14ac:dyDescent="0.3">
      <c r="G1469" s="400" t="s">
        <v>10772</v>
      </c>
    </row>
    <row r="1470" spans="7:7" x14ac:dyDescent="0.3">
      <c r="G1470" s="400" t="s">
        <v>10772</v>
      </c>
    </row>
    <row r="1471" spans="7:7" x14ac:dyDescent="0.3">
      <c r="G1471" s="400" t="s">
        <v>10772</v>
      </c>
    </row>
    <row r="1472" spans="7:7" x14ac:dyDescent="0.3">
      <c r="G1472" s="400" t="s">
        <v>10772</v>
      </c>
    </row>
    <row r="1473" spans="7:7" x14ac:dyDescent="0.3">
      <c r="G1473" s="400" t="s">
        <v>10772</v>
      </c>
    </row>
    <row r="1474" spans="7:7" x14ac:dyDescent="0.3">
      <c r="G1474" s="400" t="s">
        <v>10772</v>
      </c>
    </row>
    <row r="1475" spans="7:7" x14ac:dyDescent="0.3">
      <c r="G1475" s="400" t="s">
        <v>10772</v>
      </c>
    </row>
    <row r="1476" spans="7:7" x14ac:dyDescent="0.3">
      <c r="G1476" s="400" t="s">
        <v>10772</v>
      </c>
    </row>
    <row r="1477" spans="7:7" x14ac:dyDescent="0.3">
      <c r="G1477" s="400" t="s">
        <v>10772</v>
      </c>
    </row>
    <row r="1478" spans="7:7" x14ac:dyDescent="0.3">
      <c r="G1478" s="400" t="s">
        <v>10772</v>
      </c>
    </row>
    <row r="1479" spans="7:7" x14ac:dyDescent="0.3">
      <c r="G1479" s="400" t="s">
        <v>10772</v>
      </c>
    </row>
    <row r="1480" spans="7:7" x14ac:dyDescent="0.3">
      <c r="G1480" s="400" t="s">
        <v>10772</v>
      </c>
    </row>
    <row r="1481" spans="7:7" x14ac:dyDescent="0.3">
      <c r="G1481" s="400" t="s">
        <v>10772</v>
      </c>
    </row>
    <row r="1482" spans="7:7" x14ac:dyDescent="0.3">
      <c r="G1482" s="400" t="s">
        <v>10772</v>
      </c>
    </row>
    <row r="1483" spans="7:7" x14ac:dyDescent="0.3">
      <c r="G1483" s="400" t="s">
        <v>10772</v>
      </c>
    </row>
    <row r="1484" spans="7:7" x14ac:dyDescent="0.3">
      <c r="G1484" s="400" t="s">
        <v>10772</v>
      </c>
    </row>
    <row r="1485" spans="7:7" x14ac:dyDescent="0.3">
      <c r="G1485" s="400" t="s">
        <v>10772</v>
      </c>
    </row>
    <row r="1486" spans="7:7" x14ac:dyDescent="0.3">
      <c r="G1486" s="400" t="s">
        <v>10772</v>
      </c>
    </row>
    <row r="1487" spans="7:7" x14ac:dyDescent="0.3">
      <c r="G1487" s="400" t="s">
        <v>10772</v>
      </c>
    </row>
    <row r="1488" spans="7:7" x14ac:dyDescent="0.3">
      <c r="G1488" s="400" t="s">
        <v>10772</v>
      </c>
    </row>
    <row r="1489" spans="7:7" x14ac:dyDescent="0.3">
      <c r="G1489" s="400" t="s">
        <v>10772</v>
      </c>
    </row>
    <row r="1490" spans="7:7" x14ac:dyDescent="0.3">
      <c r="G1490" s="400" t="s">
        <v>10772</v>
      </c>
    </row>
    <row r="1491" spans="7:7" x14ac:dyDescent="0.3">
      <c r="G1491" s="400" t="s">
        <v>10772</v>
      </c>
    </row>
    <row r="1492" spans="7:7" x14ac:dyDescent="0.3">
      <c r="G1492" s="400" t="s">
        <v>10772</v>
      </c>
    </row>
    <row r="1493" spans="7:7" x14ac:dyDescent="0.3">
      <c r="G1493" s="400" t="s">
        <v>10772</v>
      </c>
    </row>
    <row r="1494" spans="7:7" x14ac:dyDescent="0.3">
      <c r="G1494" s="400" t="s">
        <v>10772</v>
      </c>
    </row>
    <row r="1495" spans="7:7" x14ac:dyDescent="0.3">
      <c r="G1495" s="400" t="s">
        <v>10772</v>
      </c>
    </row>
    <row r="1496" spans="7:7" x14ac:dyDescent="0.3">
      <c r="G1496" s="400" t="s">
        <v>10772</v>
      </c>
    </row>
    <row r="1497" spans="7:7" x14ac:dyDescent="0.3">
      <c r="G1497" s="400" t="s">
        <v>10772</v>
      </c>
    </row>
    <row r="1498" spans="7:7" x14ac:dyDescent="0.3">
      <c r="G1498" s="400" t="s">
        <v>10772</v>
      </c>
    </row>
    <row r="1499" spans="7:7" x14ac:dyDescent="0.3">
      <c r="G1499" s="400" t="s">
        <v>10772</v>
      </c>
    </row>
    <row r="1500" spans="7:7" x14ac:dyDescent="0.3">
      <c r="G1500" s="400" t="s">
        <v>10772</v>
      </c>
    </row>
    <row r="1501" spans="7:7" x14ac:dyDescent="0.3">
      <c r="G1501" s="400" t="s">
        <v>10772</v>
      </c>
    </row>
    <row r="1502" spans="7:7" x14ac:dyDescent="0.3">
      <c r="G1502" s="400" t="s">
        <v>10772</v>
      </c>
    </row>
    <row r="1503" spans="7:7" x14ac:dyDescent="0.3">
      <c r="G1503" s="400" t="s">
        <v>10772</v>
      </c>
    </row>
    <row r="1504" spans="7:7" x14ac:dyDescent="0.3">
      <c r="G1504" s="400" t="s">
        <v>10772</v>
      </c>
    </row>
    <row r="1505" spans="7:7" x14ac:dyDescent="0.3">
      <c r="G1505" s="400" t="s">
        <v>10772</v>
      </c>
    </row>
    <row r="1506" spans="7:7" x14ac:dyDescent="0.3">
      <c r="G1506" s="400" t="s">
        <v>10772</v>
      </c>
    </row>
    <row r="1507" spans="7:7" x14ac:dyDescent="0.3">
      <c r="G1507" s="400" t="s">
        <v>10772</v>
      </c>
    </row>
    <row r="1508" spans="7:7" x14ac:dyDescent="0.3">
      <c r="G1508" s="400" t="s">
        <v>10772</v>
      </c>
    </row>
    <row r="1509" spans="7:7" x14ac:dyDescent="0.3">
      <c r="G1509" s="400" t="s">
        <v>10772</v>
      </c>
    </row>
    <row r="1510" spans="7:7" x14ac:dyDescent="0.3">
      <c r="G1510" s="400" t="s">
        <v>10772</v>
      </c>
    </row>
    <row r="1511" spans="7:7" x14ac:dyDescent="0.3">
      <c r="G1511" s="400" t="s">
        <v>10772</v>
      </c>
    </row>
    <row r="1512" spans="7:7" x14ac:dyDescent="0.3">
      <c r="G1512" s="400" t="s">
        <v>10772</v>
      </c>
    </row>
    <row r="1513" spans="7:7" x14ac:dyDescent="0.3">
      <c r="G1513" s="400" t="s">
        <v>10772</v>
      </c>
    </row>
    <row r="1514" spans="7:7" x14ac:dyDescent="0.3">
      <c r="G1514" s="400" t="s">
        <v>10772</v>
      </c>
    </row>
    <row r="1515" spans="7:7" x14ac:dyDescent="0.3">
      <c r="G1515" s="400" t="s">
        <v>10772</v>
      </c>
    </row>
    <row r="1516" spans="7:7" x14ac:dyDescent="0.3">
      <c r="G1516" s="400" t="s">
        <v>10772</v>
      </c>
    </row>
    <row r="1517" spans="7:7" x14ac:dyDescent="0.3">
      <c r="G1517" s="400" t="s">
        <v>10772</v>
      </c>
    </row>
    <row r="1518" spans="7:7" x14ac:dyDescent="0.3">
      <c r="G1518" s="400" t="s">
        <v>10772</v>
      </c>
    </row>
    <row r="1519" spans="7:7" x14ac:dyDescent="0.3">
      <c r="G1519" s="400" t="s">
        <v>10772</v>
      </c>
    </row>
    <row r="1520" spans="7:7" x14ac:dyDescent="0.3">
      <c r="G1520" s="400" t="s">
        <v>10772</v>
      </c>
    </row>
    <row r="1521" spans="7:7" x14ac:dyDescent="0.3">
      <c r="G1521" s="400" t="s">
        <v>10772</v>
      </c>
    </row>
    <row r="1522" spans="7:7" x14ac:dyDescent="0.3">
      <c r="G1522" s="400" t="s">
        <v>10772</v>
      </c>
    </row>
    <row r="1523" spans="7:7" x14ac:dyDescent="0.3">
      <c r="G1523" s="400" t="s">
        <v>10772</v>
      </c>
    </row>
    <row r="1524" spans="7:7" x14ac:dyDescent="0.3">
      <c r="G1524" s="400" t="s">
        <v>10772</v>
      </c>
    </row>
    <row r="1525" spans="7:7" x14ac:dyDescent="0.3">
      <c r="G1525" s="400" t="s">
        <v>10772</v>
      </c>
    </row>
    <row r="1526" spans="7:7" x14ac:dyDescent="0.3">
      <c r="G1526" s="400" t="s">
        <v>10772</v>
      </c>
    </row>
    <row r="1527" spans="7:7" x14ac:dyDescent="0.3">
      <c r="G1527" s="400" t="s">
        <v>10772</v>
      </c>
    </row>
    <row r="1528" spans="7:7" x14ac:dyDescent="0.3">
      <c r="G1528" s="400" t="s">
        <v>10772</v>
      </c>
    </row>
    <row r="1529" spans="7:7" x14ac:dyDescent="0.3">
      <c r="G1529" s="400" t="s">
        <v>10772</v>
      </c>
    </row>
    <row r="1530" spans="7:7" x14ac:dyDescent="0.3">
      <c r="G1530" s="400" t="s">
        <v>10772</v>
      </c>
    </row>
    <row r="1531" spans="7:7" x14ac:dyDescent="0.3">
      <c r="G1531" s="400" t="s">
        <v>10772</v>
      </c>
    </row>
    <row r="1532" spans="7:7" x14ac:dyDescent="0.3">
      <c r="G1532" s="400" t="s">
        <v>10772</v>
      </c>
    </row>
    <row r="1533" spans="7:7" x14ac:dyDescent="0.3">
      <c r="G1533" s="400" t="s">
        <v>10772</v>
      </c>
    </row>
    <row r="1534" spans="7:7" x14ac:dyDescent="0.3">
      <c r="G1534" s="400" t="s">
        <v>10772</v>
      </c>
    </row>
    <row r="1535" spans="7:7" x14ac:dyDescent="0.3">
      <c r="G1535" s="400" t="s">
        <v>10772</v>
      </c>
    </row>
    <row r="1536" spans="7:7" x14ac:dyDescent="0.3">
      <c r="G1536" s="400" t="s">
        <v>10772</v>
      </c>
    </row>
    <row r="1537" spans="7:7" x14ac:dyDescent="0.3">
      <c r="G1537" s="400" t="s">
        <v>10772</v>
      </c>
    </row>
    <row r="1538" spans="7:7" x14ac:dyDescent="0.3">
      <c r="G1538" s="400" t="s">
        <v>10772</v>
      </c>
    </row>
    <row r="1539" spans="7:7" x14ac:dyDescent="0.3">
      <c r="G1539" s="400" t="s">
        <v>10772</v>
      </c>
    </row>
    <row r="1540" spans="7:7" x14ac:dyDescent="0.3">
      <c r="G1540" s="400" t="s">
        <v>10772</v>
      </c>
    </row>
    <row r="1541" spans="7:7" x14ac:dyDescent="0.3">
      <c r="G1541" s="400" t="s">
        <v>10772</v>
      </c>
    </row>
    <row r="1542" spans="7:7" x14ac:dyDescent="0.3">
      <c r="G1542" s="400" t="s">
        <v>10772</v>
      </c>
    </row>
    <row r="1543" spans="7:7" x14ac:dyDescent="0.3">
      <c r="G1543" s="400" t="s">
        <v>10772</v>
      </c>
    </row>
    <row r="1544" spans="7:7" x14ac:dyDescent="0.3">
      <c r="G1544" s="400" t="s">
        <v>10772</v>
      </c>
    </row>
    <row r="1545" spans="7:7" x14ac:dyDescent="0.3">
      <c r="G1545" s="400" t="s">
        <v>10772</v>
      </c>
    </row>
    <row r="1546" spans="7:7" x14ac:dyDescent="0.3">
      <c r="G1546" s="400" t="s">
        <v>10772</v>
      </c>
    </row>
    <row r="1547" spans="7:7" x14ac:dyDescent="0.3">
      <c r="G1547" s="400" t="s">
        <v>10772</v>
      </c>
    </row>
    <row r="1548" spans="7:7" x14ac:dyDescent="0.3">
      <c r="G1548" s="400" t="s">
        <v>10772</v>
      </c>
    </row>
    <row r="1549" spans="7:7" x14ac:dyDescent="0.3">
      <c r="G1549" s="400" t="s">
        <v>10772</v>
      </c>
    </row>
    <row r="1550" spans="7:7" x14ac:dyDescent="0.3">
      <c r="G1550" s="400" t="s">
        <v>10772</v>
      </c>
    </row>
    <row r="1551" spans="7:7" x14ac:dyDescent="0.3">
      <c r="G1551" s="400" t="s">
        <v>10772</v>
      </c>
    </row>
    <row r="1552" spans="7:7" x14ac:dyDescent="0.3">
      <c r="G1552" s="400" t="s">
        <v>10772</v>
      </c>
    </row>
    <row r="1553" spans="7:7" x14ac:dyDescent="0.3">
      <c r="G1553" s="400" t="s">
        <v>10772</v>
      </c>
    </row>
    <row r="1554" spans="7:7" x14ac:dyDescent="0.3">
      <c r="G1554" s="400" t="s">
        <v>10772</v>
      </c>
    </row>
    <row r="1555" spans="7:7" x14ac:dyDescent="0.3">
      <c r="G1555" s="400" t="s">
        <v>10772</v>
      </c>
    </row>
    <row r="1556" spans="7:7" x14ac:dyDescent="0.3">
      <c r="G1556" s="400" t="s">
        <v>10772</v>
      </c>
    </row>
    <row r="1557" spans="7:7" x14ac:dyDescent="0.3">
      <c r="G1557" s="400" t="s">
        <v>10772</v>
      </c>
    </row>
    <row r="1558" spans="7:7" x14ac:dyDescent="0.3">
      <c r="G1558" s="400" t="s">
        <v>10772</v>
      </c>
    </row>
    <row r="1559" spans="7:7" x14ac:dyDescent="0.3">
      <c r="G1559" s="400" t="s">
        <v>10772</v>
      </c>
    </row>
    <row r="1560" spans="7:7" x14ac:dyDescent="0.3">
      <c r="G1560" s="400" t="s">
        <v>10772</v>
      </c>
    </row>
    <row r="1561" spans="7:7" x14ac:dyDescent="0.3">
      <c r="G1561" s="400" t="s">
        <v>10772</v>
      </c>
    </row>
    <row r="1562" spans="7:7" x14ac:dyDescent="0.3">
      <c r="G1562" s="400" t="s">
        <v>10772</v>
      </c>
    </row>
    <row r="1563" spans="7:7" x14ac:dyDescent="0.3">
      <c r="G1563" s="400" t="s">
        <v>10772</v>
      </c>
    </row>
    <row r="1564" spans="7:7" x14ac:dyDescent="0.3">
      <c r="G1564" s="400" t="s">
        <v>10772</v>
      </c>
    </row>
    <row r="1565" spans="7:7" x14ac:dyDescent="0.3">
      <c r="G1565" s="400" t="s">
        <v>10772</v>
      </c>
    </row>
    <row r="1566" spans="7:7" x14ac:dyDescent="0.3">
      <c r="G1566" s="400" t="s">
        <v>10772</v>
      </c>
    </row>
    <row r="1567" spans="7:7" x14ac:dyDescent="0.3">
      <c r="G1567" s="400" t="s">
        <v>10772</v>
      </c>
    </row>
    <row r="1568" spans="7:7" x14ac:dyDescent="0.3">
      <c r="G1568" s="400" t="s">
        <v>10772</v>
      </c>
    </row>
    <row r="1569" spans="7:7" x14ac:dyDescent="0.3">
      <c r="G1569" s="400" t="s">
        <v>10772</v>
      </c>
    </row>
    <row r="1570" spans="7:7" x14ac:dyDescent="0.3">
      <c r="G1570" s="400" t="s">
        <v>10772</v>
      </c>
    </row>
    <row r="1571" spans="7:7" x14ac:dyDescent="0.3">
      <c r="G1571" s="400" t="s">
        <v>10772</v>
      </c>
    </row>
    <row r="1572" spans="7:7" x14ac:dyDescent="0.3">
      <c r="G1572" s="400" t="s">
        <v>10772</v>
      </c>
    </row>
    <row r="1573" spans="7:7" x14ac:dyDescent="0.3">
      <c r="G1573" s="400" t="s">
        <v>10772</v>
      </c>
    </row>
    <row r="1574" spans="7:7" x14ac:dyDescent="0.3">
      <c r="G1574" s="400" t="s">
        <v>10772</v>
      </c>
    </row>
    <row r="1575" spans="7:7" x14ac:dyDescent="0.3">
      <c r="G1575" s="400" t="s">
        <v>10772</v>
      </c>
    </row>
    <row r="1576" spans="7:7" x14ac:dyDescent="0.3">
      <c r="G1576" s="400" t="s">
        <v>10772</v>
      </c>
    </row>
    <row r="1577" spans="7:7" x14ac:dyDescent="0.3">
      <c r="G1577" s="400" t="s">
        <v>10772</v>
      </c>
    </row>
    <row r="1578" spans="7:7" x14ac:dyDescent="0.3">
      <c r="G1578" s="400" t="s">
        <v>10772</v>
      </c>
    </row>
    <row r="1579" spans="7:7" x14ac:dyDescent="0.3">
      <c r="G1579" s="400" t="s">
        <v>10772</v>
      </c>
    </row>
    <row r="1580" spans="7:7" x14ac:dyDescent="0.3">
      <c r="G1580" s="400" t="s">
        <v>10772</v>
      </c>
    </row>
    <row r="1581" spans="7:7" x14ac:dyDescent="0.3">
      <c r="G1581" s="400" t="s">
        <v>10772</v>
      </c>
    </row>
    <row r="1582" spans="7:7" x14ac:dyDescent="0.3">
      <c r="G1582" s="400" t="s">
        <v>10772</v>
      </c>
    </row>
    <row r="1583" spans="7:7" x14ac:dyDescent="0.3">
      <c r="G1583" s="400" t="s">
        <v>10772</v>
      </c>
    </row>
    <row r="1584" spans="7:7" x14ac:dyDescent="0.3">
      <c r="G1584" s="400" t="s">
        <v>10772</v>
      </c>
    </row>
    <row r="1585" spans="7:7" x14ac:dyDescent="0.3">
      <c r="G1585" s="400" t="s">
        <v>10772</v>
      </c>
    </row>
    <row r="1586" spans="7:7" x14ac:dyDescent="0.3">
      <c r="G1586" s="400" t="s">
        <v>10772</v>
      </c>
    </row>
    <row r="1587" spans="7:7" x14ac:dyDescent="0.3">
      <c r="G1587" s="400" t="s">
        <v>10772</v>
      </c>
    </row>
    <row r="1588" spans="7:7" x14ac:dyDescent="0.3">
      <c r="G1588" s="400" t="s">
        <v>10772</v>
      </c>
    </row>
    <row r="1589" spans="7:7" x14ac:dyDescent="0.3">
      <c r="G1589" s="400" t="s">
        <v>10772</v>
      </c>
    </row>
    <row r="1590" spans="7:7" x14ac:dyDescent="0.3">
      <c r="G1590" s="400" t="s">
        <v>10772</v>
      </c>
    </row>
    <row r="1591" spans="7:7" x14ac:dyDescent="0.3">
      <c r="G1591" s="400" t="s">
        <v>10772</v>
      </c>
    </row>
    <row r="1592" spans="7:7" x14ac:dyDescent="0.3">
      <c r="G1592" s="400" t="s">
        <v>10772</v>
      </c>
    </row>
    <row r="1593" spans="7:7" x14ac:dyDescent="0.3">
      <c r="G1593" s="400" t="s">
        <v>10772</v>
      </c>
    </row>
    <row r="1594" spans="7:7" x14ac:dyDescent="0.3">
      <c r="G1594" s="400" t="s">
        <v>10772</v>
      </c>
    </row>
    <row r="1595" spans="7:7" x14ac:dyDescent="0.3">
      <c r="G1595" s="400" t="s">
        <v>10772</v>
      </c>
    </row>
    <row r="1596" spans="7:7" x14ac:dyDescent="0.3">
      <c r="G1596" s="400" t="s">
        <v>10772</v>
      </c>
    </row>
    <row r="1597" spans="7:7" x14ac:dyDescent="0.3">
      <c r="G1597" s="400" t="s">
        <v>10772</v>
      </c>
    </row>
    <row r="1598" spans="7:7" x14ac:dyDescent="0.3">
      <c r="G1598" s="400" t="s">
        <v>10772</v>
      </c>
    </row>
    <row r="1599" spans="7:7" x14ac:dyDescent="0.3">
      <c r="G1599" s="400" t="s">
        <v>10772</v>
      </c>
    </row>
    <row r="1600" spans="7:7" x14ac:dyDescent="0.3">
      <c r="G1600" s="400" t="s">
        <v>10772</v>
      </c>
    </row>
    <row r="1601" spans="7:7" x14ac:dyDescent="0.3">
      <c r="G1601" s="400" t="s">
        <v>10772</v>
      </c>
    </row>
    <row r="1602" spans="7:7" x14ac:dyDescent="0.3">
      <c r="G1602" s="400" t="s">
        <v>10772</v>
      </c>
    </row>
    <row r="1603" spans="7:7" x14ac:dyDescent="0.3">
      <c r="G1603" s="400" t="s">
        <v>10772</v>
      </c>
    </row>
    <row r="1604" spans="7:7" x14ac:dyDescent="0.3">
      <c r="G1604" s="400" t="s">
        <v>10772</v>
      </c>
    </row>
    <row r="1605" spans="7:7" x14ac:dyDescent="0.3">
      <c r="G1605" s="400" t="s">
        <v>10772</v>
      </c>
    </row>
    <row r="1606" spans="7:7" x14ac:dyDescent="0.3">
      <c r="G1606" s="400" t="s">
        <v>10772</v>
      </c>
    </row>
    <row r="1607" spans="7:7" x14ac:dyDescent="0.3">
      <c r="G1607" s="400" t="s">
        <v>10772</v>
      </c>
    </row>
    <row r="1608" spans="7:7" x14ac:dyDescent="0.3">
      <c r="G1608" s="400" t="s">
        <v>10772</v>
      </c>
    </row>
    <row r="1609" spans="7:7" x14ac:dyDescent="0.3">
      <c r="G1609" s="400" t="s">
        <v>10772</v>
      </c>
    </row>
    <row r="1610" spans="7:7" x14ac:dyDescent="0.3">
      <c r="G1610" s="400" t="s">
        <v>10772</v>
      </c>
    </row>
    <row r="1611" spans="7:7" x14ac:dyDescent="0.3">
      <c r="G1611" s="400" t="s">
        <v>10772</v>
      </c>
    </row>
    <row r="1612" spans="7:7" x14ac:dyDescent="0.3">
      <c r="G1612" s="400" t="s">
        <v>10772</v>
      </c>
    </row>
    <row r="1613" spans="7:7" x14ac:dyDescent="0.3">
      <c r="G1613" s="400" t="s">
        <v>10772</v>
      </c>
    </row>
    <row r="1614" spans="7:7" x14ac:dyDescent="0.3">
      <c r="G1614" s="400" t="s">
        <v>10772</v>
      </c>
    </row>
    <row r="1615" spans="7:7" x14ac:dyDescent="0.3">
      <c r="G1615" s="400" t="s">
        <v>10772</v>
      </c>
    </row>
    <row r="1616" spans="7:7" x14ac:dyDescent="0.3">
      <c r="G1616" s="400" t="s">
        <v>10772</v>
      </c>
    </row>
    <row r="1617" spans="7:7" x14ac:dyDescent="0.3">
      <c r="G1617" s="400" t="s">
        <v>10772</v>
      </c>
    </row>
    <row r="1618" spans="7:7" x14ac:dyDescent="0.3">
      <c r="G1618" s="400" t="s">
        <v>10772</v>
      </c>
    </row>
    <row r="1619" spans="7:7" x14ac:dyDescent="0.3">
      <c r="G1619" s="400" t="s">
        <v>10772</v>
      </c>
    </row>
    <row r="1620" spans="7:7" x14ac:dyDescent="0.3">
      <c r="G1620" s="400" t="s">
        <v>10772</v>
      </c>
    </row>
    <row r="1621" spans="7:7" x14ac:dyDescent="0.3">
      <c r="G1621" s="400" t="s">
        <v>10772</v>
      </c>
    </row>
    <row r="1622" spans="7:7" x14ac:dyDescent="0.3">
      <c r="G1622" s="400" t="s">
        <v>10772</v>
      </c>
    </row>
    <row r="1623" spans="7:7" x14ac:dyDescent="0.3">
      <c r="G1623" s="400" t="s">
        <v>10772</v>
      </c>
    </row>
    <row r="1624" spans="7:7" x14ac:dyDescent="0.3">
      <c r="G1624" s="400" t="s">
        <v>10772</v>
      </c>
    </row>
    <row r="1625" spans="7:7" x14ac:dyDescent="0.3">
      <c r="G1625" s="400" t="s">
        <v>10772</v>
      </c>
    </row>
    <row r="1626" spans="7:7" x14ac:dyDescent="0.3">
      <c r="G1626" s="400" t="s">
        <v>10772</v>
      </c>
    </row>
    <row r="1627" spans="7:7" x14ac:dyDescent="0.3">
      <c r="G1627" s="400" t="s">
        <v>10772</v>
      </c>
    </row>
    <row r="1628" spans="7:7" x14ac:dyDescent="0.3">
      <c r="G1628" s="400" t="s">
        <v>10772</v>
      </c>
    </row>
    <row r="1629" spans="7:7" x14ac:dyDescent="0.3">
      <c r="G1629" s="400" t="s">
        <v>10772</v>
      </c>
    </row>
    <row r="1630" spans="7:7" x14ac:dyDescent="0.3">
      <c r="G1630" s="400" t="s">
        <v>10772</v>
      </c>
    </row>
    <row r="1631" spans="7:7" x14ac:dyDescent="0.3">
      <c r="G1631" s="400" t="s">
        <v>10772</v>
      </c>
    </row>
    <row r="1632" spans="7:7" x14ac:dyDescent="0.3">
      <c r="G1632" s="400" t="s">
        <v>10772</v>
      </c>
    </row>
    <row r="1633" spans="7:7" x14ac:dyDescent="0.3">
      <c r="G1633" s="400" t="s">
        <v>10772</v>
      </c>
    </row>
    <row r="1634" spans="7:7" x14ac:dyDescent="0.3">
      <c r="G1634" s="400" t="s">
        <v>10772</v>
      </c>
    </row>
    <row r="1635" spans="7:7" x14ac:dyDescent="0.3">
      <c r="G1635" s="400" t="s">
        <v>10772</v>
      </c>
    </row>
    <row r="1636" spans="7:7" x14ac:dyDescent="0.3">
      <c r="G1636" s="400" t="s">
        <v>10772</v>
      </c>
    </row>
    <row r="1637" spans="7:7" x14ac:dyDescent="0.3">
      <c r="G1637" s="400" t="s">
        <v>10772</v>
      </c>
    </row>
    <row r="1638" spans="7:7" x14ac:dyDescent="0.3">
      <c r="G1638" s="400" t="s">
        <v>10772</v>
      </c>
    </row>
    <row r="1639" spans="7:7" x14ac:dyDescent="0.3">
      <c r="G1639" s="400" t="s">
        <v>10772</v>
      </c>
    </row>
    <row r="1640" spans="7:7" x14ac:dyDescent="0.3">
      <c r="G1640" s="400" t="s">
        <v>10772</v>
      </c>
    </row>
    <row r="1641" spans="7:7" x14ac:dyDescent="0.3">
      <c r="G1641" s="400" t="s">
        <v>10772</v>
      </c>
    </row>
    <row r="1642" spans="7:7" x14ac:dyDescent="0.3">
      <c r="G1642" s="400" t="s">
        <v>10772</v>
      </c>
    </row>
    <row r="1643" spans="7:7" x14ac:dyDescent="0.3">
      <c r="G1643" s="400" t="s">
        <v>10772</v>
      </c>
    </row>
    <row r="1644" spans="7:7" x14ac:dyDescent="0.3">
      <c r="G1644" s="400" t="s">
        <v>10772</v>
      </c>
    </row>
    <row r="1645" spans="7:7" x14ac:dyDescent="0.3">
      <c r="G1645" s="400" t="s">
        <v>10772</v>
      </c>
    </row>
    <row r="1646" spans="7:7" x14ac:dyDescent="0.3">
      <c r="G1646" s="400" t="s">
        <v>10772</v>
      </c>
    </row>
    <row r="1647" spans="7:7" x14ac:dyDescent="0.3">
      <c r="G1647" s="400" t="s">
        <v>10772</v>
      </c>
    </row>
    <row r="1648" spans="7:7" x14ac:dyDescent="0.3">
      <c r="G1648" s="400" t="s">
        <v>10772</v>
      </c>
    </row>
    <row r="1649" spans="7:7" x14ac:dyDescent="0.3">
      <c r="G1649" s="400" t="s">
        <v>10772</v>
      </c>
    </row>
    <row r="1650" spans="7:7" x14ac:dyDescent="0.3">
      <c r="G1650" s="400" t="s">
        <v>10772</v>
      </c>
    </row>
    <row r="1651" spans="7:7" x14ac:dyDescent="0.3">
      <c r="G1651" s="400" t="s">
        <v>10772</v>
      </c>
    </row>
    <row r="1652" spans="7:7" x14ac:dyDescent="0.3">
      <c r="G1652" s="400" t="s">
        <v>10772</v>
      </c>
    </row>
    <row r="1653" spans="7:7" x14ac:dyDescent="0.3">
      <c r="G1653" s="400" t="s">
        <v>10772</v>
      </c>
    </row>
    <row r="1654" spans="7:7" x14ac:dyDescent="0.3">
      <c r="G1654" s="400" t="s">
        <v>10772</v>
      </c>
    </row>
    <row r="1655" spans="7:7" x14ac:dyDescent="0.3">
      <c r="G1655" s="400" t="s">
        <v>10772</v>
      </c>
    </row>
    <row r="1656" spans="7:7" x14ac:dyDescent="0.3">
      <c r="G1656" s="400" t="s">
        <v>10772</v>
      </c>
    </row>
    <row r="1657" spans="7:7" x14ac:dyDescent="0.3">
      <c r="G1657" s="400" t="s">
        <v>10772</v>
      </c>
    </row>
    <row r="1658" spans="7:7" x14ac:dyDescent="0.3">
      <c r="G1658" s="400" t="s">
        <v>10772</v>
      </c>
    </row>
    <row r="1659" spans="7:7" x14ac:dyDescent="0.3">
      <c r="G1659" s="400" t="s">
        <v>10772</v>
      </c>
    </row>
    <row r="1660" spans="7:7" x14ac:dyDescent="0.3">
      <c r="G1660" s="400" t="s">
        <v>10772</v>
      </c>
    </row>
    <row r="1661" spans="7:7" x14ac:dyDescent="0.3">
      <c r="G1661" s="400" t="s">
        <v>10772</v>
      </c>
    </row>
    <row r="1662" spans="7:7" x14ac:dyDescent="0.3">
      <c r="G1662" s="400" t="s">
        <v>10772</v>
      </c>
    </row>
    <row r="1663" spans="7:7" x14ac:dyDescent="0.3">
      <c r="G1663" s="400" t="s">
        <v>10772</v>
      </c>
    </row>
    <row r="1664" spans="7:7" x14ac:dyDescent="0.3">
      <c r="G1664" s="400" t="s">
        <v>10772</v>
      </c>
    </row>
    <row r="1665" spans="7:7" x14ac:dyDescent="0.3">
      <c r="G1665" s="400" t="s">
        <v>10772</v>
      </c>
    </row>
    <row r="1666" spans="7:7" x14ac:dyDescent="0.3">
      <c r="G1666" s="400" t="s">
        <v>10772</v>
      </c>
    </row>
    <row r="1667" spans="7:7" x14ac:dyDescent="0.3">
      <c r="G1667" s="400" t="s">
        <v>10772</v>
      </c>
    </row>
    <row r="1668" spans="7:7" x14ac:dyDescent="0.3">
      <c r="G1668" s="400" t="s">
        <v>10772</v>
      </c>
    </row>
    <row r="1669" spans="7:7" x14ac:dyDescent="0.3">
      <c r="G1669" s="400" t="s">
        <v>10772</v>
      </c>
    </row>
    <row r="1670" spans="7:7" x14ac:dyDescent="0.3">
      <c r="G1670" s="400" t="s">
        <v>10772</v>
      </c>
    </row>
    <row r="1671" spans="7:7" x14ac:dyDescent="0.3">
      <c r="G1671" s="400" t="s">
        <v>10772</v>
      </c>
    </row>
    <row r="1672" spans="7:7" x14ac:dyDescent="0.3">
      <c r="G1672" s="400" t="s">
        <v>10772</v>
      </c>
    </row>
    <row r="1673" spans="7:7" x14ac:dyDescent="0.3">
      <c r="G1673" s="400" t="s">
        <v>10772</v>
      </c>
    </row>
    <row r="1674" spans="7:7" x14ac:dyDescent="0.3">
      <c r="G1674" s="400" t="s">
        <v>10772</v>
      </c>
    </row>
    <row r="1675" spans="7:7" x14ac:dyDescent="0.3">
      <c r="G1675" s="400" t="s">
        <v>10772</v>
      </c>
    </row>
    <row r="1676" spans="7:7" x14ac:dyDescent="0.3">
      <c r="G1676" s="400" t="s">
        <v>10772</v>
      </c>
    </row>
    <row r="1677" spans="7:7" x14ac:dyDescent="0.3">
      <c r="G1677" s="400" t="s">
        <v>10772</v>
      </c>
    </row>
    <row r="1678" spans="7:7" x14ac:dyDescent="0.3">
      <c r="G1678" s="400" t="s">
        <v>10772</v>
      </c>
    </row>
    <row r="1679" spans="7:7" x14ac:dyDescent="0.3">
      <c r="G1679" s="400" t="s">
        <v>10772</v>
      </c>
    </row>
    <row r="1680" spans="7:7" x14ac:dyDescent="0.3">
      <c r="G1680" s="400" t="s">
        <v>10772</v>
      </c>
    </row>
    <row r="1681" spans="7:7" x14ac:dyDescent="0.3">
      <c r="G1681" s="400" t="s">
        <v>10772</v>
      </c>
    </row>
    <row r="1682" spans="7:7" x14ac:dyDescent="0.3">
      <c r="G1682" s="400" t="s">
        <v>10772</v>
      </c>
    </row>
    <row r="1683" spans="7:7" x14ac:dyDescent="0.3">
      <c r="G1683" s="400" t="s">
        <v>10772</v>
      </c>
    </row>
    <row r="1684" spans="7:7" x14ac:dyDescent="0.3">
      <c r="G1684" s="400" t="s">
        <v>10772</v>
      </c>
    </row>
    <row r="1685" spans="7:7" x14ac:dyDescent="0.3">
      <c r="G1685" s="400" t="s">
        <v>10772</v>
      </c>
    </row>
    <row r="1686" spans="7:7" x14ac:dyDescent="0.3">
      <c r="G1686" s="400" t="s">
        <v>10772</v>
      </c>
    </row>
    <row r="1687" spans="7:7" x14ac:dyDescent="0.3">
      <c r="G1687" s="400" t="s">
        <v>10772</v>
      </c>
    </row>
    <row r="1688" spans="7:7" x14ac:dyDescent="0.3">
      <c r="G1688" s="400" t="s">
        <v>10772</v>
      </c>
    </row>
    <row r="1689" spans="7:7" x14ac:dyDescent="0.3">
      <c r="G1689" s="400" t="s">
        <v>10772</v>
      </c>
    </row>
    <row r="1690" spans="7:7" x14ac:dyDescent="0.3">
      <c r="G1690" s="400" t="s">
        <v>10772</v>
      </c>
    </row>
    <row r="1691" spans="7:7" x14ac:dyDescent="0.3">
      <c r="G1691" s="400" t="s">
        <v>10772</v>
      </c>
    </row>
    <row r="1692" spans="7:7" x14ac:dyDescent="0.3">
      <c r="G1692" s="400" t="s">
        <v>10772</v>
      </c>
    </row>
    <row r="1693" spans="7:7" x14ac:dyDescent="0.3">
      <c r="G1693" s="400" t="s">
        <v>10772</v>
      </c>
    </row>
    <row r="1694" spans="7:7" x14ac:dyDescent="0.3">
      <c r="G1694" s="400" t="s">
        <v>10772</v>
      </c>
    </row>
    <row r="1695" spans="7:7" x14ac:dyDescent="0.3">
      <c r="G1695" s="400" t="s">
        <v>10772</v>
      </c>
    </row>
    <row r="1696" spans="7:7" x14ac:dyDescent="0.3">
      <c r="G1696" s="400" t="s">
        <v>10772</v>
      </c>
    </row>
    <row r="1697" spans="7:7" x14ac:dyDescent="0.3">
      <c r="G1697" s="400" t="s">
        <v>10772</v>
      </c>
    </row>
    <row r="1698" spans="7:7" x14ac:dyDescent="0.3">
      <c r="G1698" s="400" t="s">
        <v>10772</v>
      </c>
    </row>
    <row r="1699" spans="7:7" x14ac:dyDescent="0.3">
      <c r="G1699" s="400" t="s">
        <v>10772</v>
      </c>
    </row>
    <row r="1700" spans="7:7" x14ac:dyDescent="0.3">
      <c r="G1700" s="400" t="s">
        <v>10772</v>
      </c>
    </row>
    <row r="1701" spans="7:7" x14ac:dyDescent="0.3">
      <c r="G1701" s="400" t="s">
        <v>10772</v>
      </c>
    </row>
    <row r="1702" spans="7:7" x14ac:dyDescent="0.3">
      <c r="G1702" s="400" t="s">
        <v>10772</v>
      </c>
    </row>
    <row r="1703" spans="7:7" x14ac:dyDescent="0.3">
      <c r="G1703" s="400" t="s">
        <v>10772</v>
      </c>
    </row>
    <row r="1704" spans="7:7" x14ac:dyDescent="0.3">
      <c r="G1704" s="400" t="s">
        <v>10772</v>
      </c>
    </row>
    <row r="1705" spans="7:7" x14ac:dyDescent="0.3">
      <c r="G1705" s="400" t="s">
        <v>10772</v>
      </c>
    </row>
    <row r="1706" spans="7:7" x14ac:dyDescent="0.3">
      <c r="G1706" s="400" t="s">
        <v>10772</v>
      </c>
    </row>
    <row r="1707" spans="7:7" x14ac:dyDescent="0.3">
      <c r="G1707" s="400" t="s">
        <v>10772</v>
      </c>
    </row>
    <row r="1708" spans="7:7" x14ac:dyDescent="0.3">
      <c r="G1708" s="400" t="s">
        <v>10772</v>
      </c>
    </row>
    <row r="1709" spans="7:7" x14ac:dyDescent="0.3">
      <c r="G1709" s="400" t="s">
        <v>10772</v>
      </c>
    </row>
    <row r="1710" spans="7:7" x14ac:dyDescent="0.3">
      <c r="G1710" s="400" t="s">
        <v>10772</v>
      </c>
    </row>
    <row r="1711" spans="7:7" x14ac:dyDescent="0.3">
      <c r="G1711" s="400" t="s">
        <v>10772</v>
      </c>
    </row>
    <row r="1712" spans="7:7" x14ac:dyDescent="0.3">
      <c r="G1712" s="400" t="s">
        <v>10772</v>
      </c>
    </row>
    <row r="1713" spans="7:7" x14ac:dyDescent="0.3">
      <c r="G1713" s="400" t="s">
        <v>10772</v>
      </c>
    </row>
    <row r="1714" spans="7:7" x14ac:dyDescent="0.3">
      <c r="G1714" s="400" t="s">
        <v>10772</v>
      </c>
    </row>
    <row r="1715" spans="7:7" x14ac:dyDescent="0.3">
      <c r="G1715" s="400" t="s">
        <v>10772</v>
      </c>
    </row>
    <row r="1716" spans="7:7" x14ac:dyDescent="0.3">
      <c r="G1716" s="400" t="s">
        <v>10772</v>
      </c>
    </row>
    <row r="1717" spans="7:7" x14ac:dyDescent="0.3">
      <c r="G1717" s="400" t="s">
        <v>10772</v>
      </c>
    </row>
    <row r="1718" spans="7:7" x14ac:dyDescent="0.3">
      <c r="G1718" s="400" t="s">
        <v>10772</v>
      </c>
    </row>
    <row r="1719" spans="7:7" x14ac:dyDescent="0.3">
      <c r="G1719" s="400" t="s">
        <v>10772</v>
      </c>
    </row>
    <row r="1720" spans="7:7" x14ac:dyDescent="0.3">
      <c r="G1720" s="400" t="s">
        <v>10772</v>
      </c>
    </row>
    <row r="1721" spans="7:7" x14ac:dyDescent="0.3">
      <c r="G1721" s="400" t="s">
        <v>10772</v>
      </c>
    </row>
    <row r="1722" spans="7:7" x14ac:dyDescent="0.3">
      <c r="G1722" s="400" t="s">
        <v>10772</v>
      </c>
    </row>
    <row r="1723" spans="7:7" x14ac:dyDescent="0.3">
      <c r="G1723" s="400" t="s">
        <v>10772</v>
      </c>
    </row>
    <row r="1724" spans="7:7" x14ac:dyDescent="0.3">
      <c r="G1724" s="400" t="s">
        <v>10772</v>
      </c>
    </row>
    <row r="1725" spans="7:7" x14ac:dyDescent="0.3">
      <c r="G1725" s="400" t="s">
        <v>10772</v>
      </c>
    </row>
    <row r="1726" spans="7:7" x14ac:dyDescent="0.3">
      <c r="G1726" s="400" t="s">
        <v>10772</v>
      </c>
    </row>
    <row r="1727" spans="7:7" x14ac:dyDescent="0.3">
      <c r="G1727" s="400" t="s">
        <v>10772</v>
      </c>
    </row>
    <row r="1728" spans="7:7" x14ac:dyDescent="0.3">
      <c r="G1728" s="400" t="s">
        <v>10772</v>
      </c>
    </row>
    <row r="1729" spans="7:7" x14ac:dyDescent="0.3">
      <c r="G1729" s="400" t="s">
        <v>10772</v>
      </c>
    </row>
    <row r="1730" spans="7:7" x14ac:dyDescent="0.3">
      <c r="G1730" s="400" t="s">
        <v>10772</v>
      </c>
    </row>
    <row r="1731" spans="7:7" x14ac:dyDescent="0.3">
      <c r="G1731" s="400" t="s">
        <v>10772</v>
      </c>
    </row>
    <row r="1732" spans="7:7" x14ac:dyDescent="0.3">
      <c r="G1732" s="400" t="s">
        <v>10772</v>
      </c>
    </row>
    <row r="1733" spans="7:7" x14ac:dyDescent="0.3">
      <c r="G1733" s="400" t="s">
        <v>10772</v>
      </c>
    </row>
    <row r="1734" spans="7:7" x14ac:dyDescent="0.3">
      <c r="G1734" s="400" t="s">
        <v>10772</v>
      </c>
    </row>
    <row r="1735" spans="7:7" x14ac:dyDescent="0.3">
      <c r="G1735" s="400" t="s">
        <v>10772</v>
      </c>
    </row>
    <row r="1736" spans="7:7" x14ac:dyDescent="0.3">
      <c r="G1736" s="400" t="s">
        <v>10772</v>
      </c>
    </row>
    <row r="1737" spans="7:7" x14ac:dyDescent="0.3">
      <c r="G1737" s="400" t="s">
        <v>10772</v>
      </c>
    </row>
    <row r="1738" spans="7:7" x14ac:dyDescent="0.3">
      <c r="G1738" s="400" t="s">
        <v>10772</v>
      </c>
    </row>
    <row r="1739" spans="7:7" x14ac:dyDescent="0.3">
      <c r="G1739" s="400" t="s">
        <v>10772</v>
      </c>
    </row>
    <row r="1740" spans="7:7" x14ac:dyDescent="0.3">
      <c r="G1740" s="400" t="s">
        <v>10772</v>
      </c>
    </row>
    <row r="1741" spans="7:7" x14ac:dyDescent="0.3">
      <c r="G1741" s="400" t="s">
        <v>10772</v>
      </c>
    </row>
    <row r="1742" spans="7:7" x14ac:dyDescent="0.3">
      <c r="G1742" s="400" t="s">
        <v>10772</v>
      </c>
    </row>
    <row r="1743" spans="7:7" x14ac:dyDescent="0.3">
      <c r="G1743" s="400" t="s">
        <v>10772</v>
      </c>
    </row>
    <row r="1744" spans="7:7" x14ac:dyDescent="0.3">
      <c r="G1744" s="400" t="s">
        <v>10772</v>
      </c>
    </row>
    <row r="1745" spans="7:7" x14ac:dyDescent="0.3">
      <c r="G1745" s="400" t="s">
        <v>10772</v>
      </c>
    </row>
    <row r="1746" spans="7:7" x14ac:dyDescent="0.3">
      <c r="G1746" s="400" t="s">
        <v>10772</v>
      </c>
    </row>
    <row r="1747" spans="7:7" x14ac:dyDescent="0.3">
      <c r="G1747" s="400" t="s">
        <v>10772</v>
      </c>
    </row>
    <row r="1748" spans="7:7" x14ac:dyDescent="0.3">
      <c r="G1748" s="400" t="s">
        <v>10772</v>
      </c>
    </row>
    <row r="1749" spans="7:7" x14ac:dyDescent="0.3">
      <c r="G1749" s="400" t="s">
        <v>10772</v>
      </c>
    </row>
    <row r="1750" spans="7:7" x14ac:dyDescent="0.3">
      <c r="G1750" s="400" t="s">
        <v>10772</v>
      </c>
    </row>
    <row r="1751" spans="7:7" x14ac:dyDescent="0.3">
      <c r="G1751" s="400" t="s">
        <v>10772</v>
      </c>
    </row>
    <row r="1752" spans="7:7" x14ac:dyDescent="0.3">
      <c r="G1752" s="400" t="s">
        <v>10772</v>
      </c>
    </row>
    <row r="1753" spans="7:7" x14ac:dyDescent="0.3">
      <c r="G1753" s="400" t="s">
        <v>10772</v>
      </c>
    </row>
    <row r="1754" spans="7:7" x14ac:dyDescent="0.3">
      <c r="G1754" s="400" t="s">
        <v>10772</v>
      </c>
    </row>
    <row r="1755" spans="7:7" x14ac:dyDescent="0.3">
      <c r="G1755" s="400" t="s">
        <v>10772</v>
      </c>
    </row>
    <row r="1756" spans="7:7" x14ac:dyDescent="0.3">
      <c r="G1756" s="400" t="s">
        <v>10772</v>
      </c>
    </row>
    <row r="1757" spans="7:7" x14ac:dyDescent="0.3">
      <c r="G1757" s="400" t="s">
        <v>10772</v>
      </c>
    </row>
    <row r="1758" spans="7:7" x14ac:dyDescent="0.3">
      <c r="G1758" s="400" t="s">
        <v>10772</v>
      </c>
    </row>
    <row r="1759" spans="7:7" x14ac:dyDescent="0.3">
      <c r="G1759" s="400" t="s">
        <v>10772</v>
      </c>
    </row>
    <row r="1760" spans="7:7" x14ac:dyDescent="0.3">
      <c r="G1760" s="400" t="s">
        <v>10772</v>
      </c>
    </row>
    <row r="1761" spans="7:7" x14ac:dyDescent="0.3">
      <c r="G1761" s="400" t="s">
        <v>10772</v>
      </c>
    </row>
    <row r="1762" spans="7:7" x14ac:dyDescent="0.3">
      <c r="G1762" s="400" t="s">
        <v>10772</v>
      </c>
    </row>
    <row r="1763" spans="7:7" x14ac:dyDescent="0.3">
      <c r="G1763" s="400" t="s">
        <v>10772</v>
      </c>
    </row>
    <row r="1764" spans="7:7" x14ac:dyDescent="0.3">
      <c r="G1764" s="400" t="s">
        <v>10772</v>
      </c>
    </row>
    <row r="1765" spans="7:7" x14ac:dyDescent="0.3">
      <c r="G1765" s="400" t="s">
        <v>10772</v>
      </c>
    </row>
    <row r="1766" spans="7:7" x14ac:dyDescent="0.3">
      <c r="G1766" s="400" t="s">
        <v>10772</v>
      </c>
    </row>
    <row r="1767" spans="7:7" x14ac:dyDescent="0.3">
      <c r="G1767" s="400" t="s">
        <v>10772</v>
      </c>
    </row>
    <row r="1768" spans="7:7" x14ac:dyDescent="0.3">
      <c r="G1768" s="400" t="s">
        <v>10772</v>
      </c>
    </row>
    <row r="1769" spans="7:7" x14ac:dyDescent="0.3">
      <c r="G1769" s="400" t="s">
        <v>10772</v>
      </c>
    </row>
    <row r="1770" spans="7:7" x14ac:dyDescent="0.3">
      <c r="G1770" s="400" t="s">
        <v>10772</v>
      </c>
    </row>
    <row r="1771" spans="7:7" x14ac:dyDescent="0.3">
      <c r="G1771" s="400" t="s">
        <v>10772</v>
      </c>
    </row>
    <row r="1772" spans="7:7" x14ac:dyDescent="0.3">
      <c r="G1772" s="400" t="s">
        <v>10772</v>
      </c>
    </row>
    <row r="1773" spans="7:7" x14ac:dyDescent="0.3">
      <c r="G1773" s="400" t="s">
        <v>10772</v>
      </c>
    </row>
    <row r="1774" spans="7:7" x14ac:dyDescent="0.3">
      <c r="G1774" s="400" t="s">
        <v>10772</v>
      </c>
    </row>
    <row r="1775" spans="7:7" x14ac:dyDescent="0.3">
      <c r="G1775" s="400" t="s">
        <v>10772</v>
      </c>
    </row>
    <row r="1776" spans="7:7" x14ac:dyDescent="0.3">
      <c r="G1776" s="400" t="s">
        <v>10772</v>
      </c>
    </row>
    <row r="1777" spans="7:7" x14ac:dyDescent="0.3">
      <c r="G1777" s="400" t="s">
        <v>10772</v>
      </c>
    </row>
    <row r="1778" spans="7:7" x14ac:dyDescent="0.3">
      <c r="G1778" s="400" t="s">
        <v>10772</v>
      </c>
    </row>
    <row r="1779" spans="7:7" x14ac:dyDescent="0.3">
      <c r="G1779" s="400" t="s">
        <v>10772</v>
      </c>
    </row>
    <row r="1780" spans="7:7" x14ac:dyDescent="0.3">
      <c r="G1780" s="400" t="s">
        <v>10772</v>
      </c>
    </row>
    <row r="1781" spans="7:7" x14ac:dyDescent="0.3">
      <c r="G1781" s="400" t="s">
        <v>10772</v>
      </c>
    </row>
    <row r="1782" spans="7:7" x14ac:dyDescent="0.3">
      <c r="G1782" s="400" t="s">
        <v>10772</v>
      </c>
    </row>
    <row r="1783" spans="7:7" x14ac:dyDescent="0.3">
      <c r="G1783" s="400" t="s">
        <v>10772</v>
      </c>
    </row>
    <row r="1784" spans="7:7" x14ac:dyDescent="0.3">
      <c r="G1784" s="400" t="s">
        <v>10772</v>
      </c>
    </row>
    <row r="1785" spans="7:7" x14ac:dyDescent="0.3">
      <c r="G1785" s="400" t="s">
        <v>10772</v>
      </c>
    </row>
    <row r="1786" spans="7:7" x14ac:dyDescent="0.3">
      <c r="G1786" s="400" t="s">
        <v>10772</v>
      </c>
    </row>
    <row r="1787" spans="7:7" x14ac:dyDescent="0.3">
      <c r="G1787" s="400" t="s">
        <v>10772</v>
      </c>
    </row>
    <row r="1788" spans="7:7" x14ac:dyDescent="0.3">
      <c r="G1788" s="400" t="s">
        <v>10772</v>
      </c>
    </row>
    <row r="1789" spans="7:7" x14ac:dyDescent="0.3">
      <c r="G1789" s="400" t="s">
        <v>10772</v>
      </c>
    </row>
    <row r="1790" spans="7:7" x14ac:dyDescent="0.3">
      <c r="G1790" s="400" t="s">
        <v>10772</v>
      </c>
    </row>
    <row r="1791" spans="7:7" x14ac:dyDescent="0.3">
      <c r="G1791" s="400" t="s">
        <v>10772</v>
      </c>
    </row>
    <row r="1792" spans="7:7" x14ac:dyDescent="0.3">
      <c r="G1792" s="400" t="s">
        <v>10772</v>
      </c>
    </row>
    <row r="1793" spans="7:7" x14ac:dyDescent="0.3">
      <c r="G1793" s="400" t="s">
        <v>10772</v>
      </c>
    </row>
    <row r="1794" spans="7:7" x14ac:dyDescent="0.3">
      <c r="G1794" s="400" t="s">
        <v>10772</v>
      </c>
    </row>
    <row r="1795" spans="7:7" x14ac:dyDescent="0.3">
      <c r="G1795" s="400" t="s">
        <v>10772</v>
      </c>
    </row>
    <row r="1796" spans="7:7" x14ac:dyDescent="0.3">
      <c r="G1796" s="400" t="s">
        <v>10772</v>
      </c>
    </row>
    <row r="1797" spans="7:7" x14ac:dyDescent="0.3">
      <c r="G1797" s="400" t="s">
        <v>10772</v>
      </c>
    </row>
    <row r="1798" spans="7:7" x14ac:dyDescent="0.3">
      <c r="G1798" s="400" t="s">
        <v>10772</v>
      </c>
    </row>
    <row r="1799" spans="7:7" x14ac:dyDescent="0.3">
      <c r="G1799" s="400" t="s">
        <v>10772</v>
      </c>
    </row>
    <row r="1800" spans="7:7" x14ac:dyDescent="0.3">
      <c r="G1800" s="400" t="s">
        <v>10772</v>
      </c>
    </row>
    <row r="1801" spans="7:7" x14ac:dyDescent="0.3">
      <c r="G1801" s="400" t="s">
        <v>10772</v>
      </c>
    </row>
    <row r="1802" spans="7:7" x14ac:dyDescent="0.3">
      <c r="G1802" s="400" t="s">
        <v>10772</v>
      </c>
    </row>
    <row r="1803" spans="7:7" x14ac:dyDescent="0.3">
      <c r="G1803" s="400" t="s">
        <v>10772</v>
      </c>
    </row>
    <row r="1804" spans="7:7" x14ac:dyDescent="0.3">
      <c r="G1804" s="400" t="s">
        <v>10772</v>
      </c>
    </row>
    <row r="1805" spans="7:7" x14ac:dyDescent="0.3">
      <c r="G1805" s="400" t="s">
        <v>10772</v>
      </c>
    </row>
    <row r="1806" spans="7:7" x14ac:dyDescent="0.3">
      <c r="G1806" s="400" t="s">
        <v>10772</v>
      </c>
    </row>
    <row r="1807" spans="7:7" x14ac:dyDescent="0.3">
      <c r="G1807" s="400" t="s">
        <v>10772</v>
      </c>
    </row>
    <row r="1808" spans="7:7" x14ac:dyDescent="0.3">
      <c r="G1808" s="400" t="s">
        <v>10772</v>
      </c>
    </row>
    <row r="1809" spans="7:7" x14ac:dyDescent="0.3">
      <c r="G1809" s="400" t="s">
        <v>10772</v>
      </c>
    </row>
    <row r="1810" spans="7:7" x14ac:dyDescent="0.3">
      <c r="G1810" s="400" t="s">
        <v>10772</v>
      </c>
    </row>
    <row r="1811" spans="7:7" x14ac:dyDescent="0.3">
      <c r="G1811" s="400" t="s">
        <v>10772</v>
      </c>
    </row>
    <row r="1812" spans="7:7" x14ac:dyDescent="0.3">
      <c r="G1812" s="400" t="s">
        <v>10772</v>
      </c>
    </row>
    <row r="1813" spans="7:7" x14ac:dyDescent="0.3">
      <c r="G1813" s="400" t="s">
        <v>10772</v>
      </c>
    </row>
    <row r="1814" spans="7:7" x14ac:dyDescent="0.3">
      <c r="G1814" s="400" t="s">
        <v>10772</v>
      </c>
    </row>
    <row r="1815" spans="7:7" x14ac:dyDescent="0.3">
      <c r="G1815" s="400" t="s">
        <v>10772</v>
      </c>
    </row>
    <row r="1816" spans="7:7" x14ac:dyDescent="0.3">
      <c r="G1816" s="400" t="s">
        <v>10772</v>
      </c>
    </row>
    <row r="1817" spans="7:7" x14ac:dyDescent="0.3">
      <c r="G1817" s="400" t="s">
        <v>10772</v>
      </c>
    </row>
    <row r="1818" spans="7:7" x14ac:dyDescent="0.3">
      <c r="G1818" s="400" t="s">
        <v>10772</v>
      </c>
    </row>
    <row r="1819" spans="7:7" x14ac:dyDescent="0.3">
      <c r="G1819" s="400" t="s">
        <v>10772</v>
      </c>
    </row>
    <row r="1820" spans="7:7" x14ac:dyDescent="0.3">
      <c r="G1820" s="400" t="s">
        <v>10772</v>
      </c>
    </row>
    <row r="1821" spans="7:7" x14ac:dyDescent="0.3">
      <c r="G1821" s="400" t="s">
        <v>10772</v>
      </c>
    </row>
    <row r="1822" spans="7:7" x14ac:dyDescent="0.3">
      <c r="G1822" s="400" t="s">
        <v>10772</v>
      </c>
    </row>
    <row r="1823" spans="7:7" x14ac:dyDescent="0.3">
      <c r="G1823" s="400" t="s">
        <v>10772</v>
      </c>
    </row>
    <row r="1824" spans="7:7" x14ac:dyDescent="0.3">
      <c r="G1824" s="400" t="s">
        <v>10772</v>
      </c>
    </row>
    <row r="1825" spans="7:7" x14ac:dyDescent="0.3">
      <c r="G1825" s="400" t="s">
        <v>10772</v>
      </c>
    </row>
    <row r="1826" spans="7:7" x14ac:dyDescent="0.3">
      <c r="G1826" s="400" t="s">
        <v>10772</v>
      </c>
    </row>
    <row r="1827" spans="7:7" x14ac:dyDescent="0.3">
      <c r="G1827" s="400" t="s">
        <v>10772</v>
      </c>
    </row>
    <row r="1828" spans="7:7" x14ac:dyDescent="0.3">
      <c r="G1828" s="400" t="s">
        <v>10772</v>
      </c>
    </row>
    <row r="1829" spans="7:7" x14ac:dyDescent="0.3">
      <c r="G1829" s="400" t="s">
        <v>10772</v>
      </c>
    </row>
    <row r="1830" spans="7:7" x14ac:dyDescent="0.3">
      <c r="G1830" s="400" t="s">
        <v>10772</v>
      </c>
    </row>
    <row r="1831" spans="7:7" x14ac:dyDescent="0.3">
      <c r="G1831" s="400" t="s">
        <v>10772</v>
      </c>
    </row>
    <row r="1832" spans="7:7" x14ac:dyDescent="0.3">
      <c r="G1832" s="400" t="s">
        <v>10772</v>
      </c>
    </row>
    <row r="1833" spans="7:7" x14ac:dyDescent="0.3">
      <c r="G1833" s="400" t="s">
        <v>10772</v>
      </c>
    </row>
    <row r="1834" spans="7:7" x14ac:dyDescent="0.3">
      <c r="G1834" s="400" t="s">
        <v>10772</v>
      </c>
    </row>
    <row r="1835" spans="7:7" x14ac:dyDescent="0.3">
      <c r="G1835" s="400" t="s">
        <v>10772</v>
      </c>
    </row>
    <row r="1836" spans="7:7" x14ac:dyDescent="0.3">
      <c r="G1836" s="400" t="s">
        <v>10772</v>
      </c>
    </row>
    <row r="1837" spans="7:7" x14ac:dyDescent="0.3">
      <c r="G1837" s="400" t="s">
        <v>10772</v>
      </c>
    </row>
    <row r="1838" spans="7:7" x14ac:dyDescent="0.3">
      <c r="G1838" s="400" t="s">
        <v>10772</v>
      </c>
    </row>
    <row r="1839" spans="7:7" x14ac:dyDescent="0.3">
      <c r="G1839" s="400" t="s">
        <v>10772</v>
      </c>
    </row>
    <row r="1840" spans="7:7" x14ac:dyDescent="0.3">
      <c r="G1840" s="400" t="s">
        <v>10772</v>
      </c>
    </row>
    <row r="1841" spans="7:7" x14ac:dyDescent="0.3">
      <c r="G1841" s="400" t="s">
        <v>10772</v>
      </c>
    </row>
    <row r="1842" spans="7:7" x14ac:dyDescent="0.3">
      <c r="G1842" s="400" t="s">
        <v>10772</v>
      </c>
    </row>
    <row r="1843" spans="7:7" x14ac:dyDescent="0.3">
      <c r="G1843" s="400" t="s">
        <v>10772</v>
      </c>
    </row>
    <row r="1844" spans="7:7" x14ac:dyDescent="0.3">
      <c r="G1844" s="400" t="s">
        <v>10772</v>
      </c>
    </row>
    <row r="1845" spans="7:7" x14ac:dyDescent="0.3">
      <c r="G1845" s="400" t="s">
        <v>10772</v>
      </c>
    </row>
    <row r="1846" spans="7:7" x14ac:dyDescent="0.3">
      <c r="G1846" s="400" t="s">
        <v>10772</v>
      </c>
    </row>
    <row r="1847" spans="7:7" x14ac:dyDescent="0.3">
      <c r="G1847" s="400" t="s">
        <v>10772</v>
      </c>
    </row>
    <row r="1848" spans="7:7" x14ac:dyDescent="0.3">
      <c r="G1848" s="400" t="s">
        <v>10772</v>
      </c>
    </row>
    <row r="1849" spans="7:7" x14ac:dyDescent="0.3">
      <c r="G1849" s="400" t="s">
        <v>10772</v>
      </c>
    </row>
    <row r="1850" spans="7:7" x14ac:dyDescent="0.3">
      <c r="G1850" s="400" t="s">
        <v>10772</v>
      </c>
    </row>
    <row r="1851" spans="7:7" x14ac:dyDescent="0.3">
      <c r="G1851" s="400" t="s">
        <v>10772</v>
      </c>
    </row>
    <row r="1852" spans="7:7" x14ac:dyDescent="0.3">
      <c r="G1852" s="400" t="s">
        <v>10772</v>
      </c>
    </row>
    <row r="1853" spans="7:7" x14ac:dyDescent="0.3">
      <c r="G1853" s="400" t="s">
        <v>10772</v>
      </c>
    </row>
    <row r="1854" spans="7:7" x14ac:dyDescent="0.3">
      <c r="G1854" s="400" t="s">
        <v>10772</v>
      </c>
    </row>
    <row r="1855" spans="7:7" x14ac:dyDescent="0.3">
      <c r="G1855" s="400" t="s">
        <v>10772</v>
      </c>
    </row>
    <row r="1856" spans="7:7" x14ac:dyDescent="0.3">
      <c r="G1856" s="400" t="s">
        <v>10772</v>
      </c>
    </row>
    <row r="1857" spans="7:7" x14ac:dyDescent="0.3">
      <c r="G1857" s="400" t="s">
        <v>10772</v>
      </c>
    </row>
    <row r="1858" spans="7:7" x14ac:dyDescent="0.3">
      <c r="G1858" s="400" t="s">
        <v>10772</v>
      </c>
    </row>
    <row r="1859" spans="7:7" x14ac:dyDescent="0.3">
      <c r="G1859" s="400" t="s">
        <v>10772</v>
      </c>
    </row>
    <row r="1860" spans="7:7" x14ac:dyDescent="0.3">
      <c r="G1860" s="400" t="s">
        <v>10772</v>
      </c>
    </row>
    <row r="1861" spans="7:7" x14ac:dyDescent="0.3">
      <c r="G1861" s="400" t="s">
        <v>10772</v>
      </c>
    </row>
    <row r="1862" spans="7:7" x14ac:dyDescent="0.3">
      <c r="G1862" s="400" t="s">
        <v>10772</v>
      </c>
    </row>
    <row r="1863" spans="7:7" x14ac:dyDescent="0.3">
      <c r="G1863" s="400" t="s">
        <v>10772</v>
      </c>
    </row>
    <row r="1864" spans="7:7" x14ac:dyDescent="0.3">
      <c r="G1864" s="400" t="s">
        <v>10772</v>
      </c>
    </row>
    <row r="1865" spans="7:7" x14ac:dyDescent="0.3">
      <c r="G1865" s="400" t="s">
        <v>10772</v>
      </c>
    </row>
    <row r="1866" spans="7:7" x14ac:dyDescent="0.3">
      <c r="G1866" s="400" t="s">
        <v>10772</v>
      </c>
    </row>
    <row r="1867" spans="7:7" x14ac:dyDescent="0.3">
      <c r="G1867" s="400" t="s">
        <v>10772</v>
      </c>
    </row>
    <row r="1868" spans="7:7" x14ac:dyDescent="0.3">
      <c r="G1868" s="400" t="s">
        <v>10772</v>
      </c>
    </row>
    <row r="1869" spans="7:7" x14ac:dyDescent="0.3">
      <c r="G1869" s="400" t="s">
        <v>10772</v>
      </c>
    </row>
    <row r="1870" spans="7:7" x14ac:dyDescent="0.3">
      <c r="G1870" s="400" t="s">
        <v>10772</v>
      </c>
    </row>
    <row r="1871" spans="7:7" x14ac:dyDescent="0.3">
      <c r="G1871" s="400" t="s">
        <v>10772</v>
      </c>
    </row>
    <row r="1872" spans="7:7" x14ac:dyDescent="0.3">
      <c r="G1872" s="400" t="s">
        <v>10772</v>
      </c>
    </row>
    <row r="1873" spans="7:7" x14ac:dyDescent="0.3">
      <c r="G1873" s="400" t="s">
        <v>10772</v>
      </c>
    </row>
    <row r="1874" spans="7:7" x14ac:dyDescent="0.3">
      <c r="G1874" s="400" t="s">
        <v>10772</v>
      </c>
    </row>
    <row r="1875" spans="7:7" x14ac:dyDescent="0.3">
      <c r="G1875" s="400" t="s">
        <v>10772</v>
      </c>
    </row>
    <row r="1876" spans="7:7" x14ac:dyDescent="0.3">
      <c r="G1876" s="400" t="s">
        <v>10772</v>
      </c>
    </row>
    <row r="1877" spans="7:7" x14ac:dyDescent="0.3">
      <c r="G1877" s="400" t="s">
        <v>10772</v>
      </c>
    </row>
    <row r="1878" spans="7:7" x14ac:dyDescent="0.3">
      <c r="G1878" s="400" t="s">
        <v>10772</v>
      </c>
    </row>
    <row r="1879" spans="7:7" x14ac:dyDescent="0.3">
      <c r="G1879" s="400" t="s">
        <v>10772</v>
      </c>
    </row>
    <row r="1880" spans="7:7" x14ac:dyDescent="0.3">
      <c r="G1880" s="400" t="s">
        <v>10772</v>
      </c>
    </row>
    <row r="1881" spans="7:7" x14ac:dyDescent="0.3">
      <c r="G1881" s="400" t="s">
        <v>10772</v>
      </c>
    </row>
    <row r="1882" spans="7:7" x14ac:dyDescent="0.3">
      <c r="G1882" s="400" t="s">
        <v>10772</v>
      </c>
    </row>
    <row r="1883" spans="7:7" x14ac:dyDescent="0.3">
      <c r="G1883" s="400" t="s">
        <v>10772</v>
      </c>
    </row>
    <row r="1884" spans="7:7" x14ac:dyDescent="0.3">
      <c r="G1884" s="400" t="s">
        <v>10772</v>
      </c>
    </row>
    <row r="1885" spans="7:7" x14ac:dyDescent="0.3">
      <c r="G1885" s="400" t="s">
        <v>10772</v>
      </c>
    </row>
    <row r="1886" spans="7:7" x14ac:dyDescent="0.3">
      <c r="G1886" s="400" t="s">
        <v>10772</v>
      </c>
    </row>
    <row r="1887" spans="7:7" x14ac:dyDescent="0.3">
      <c r="G1887" s="400" t="s">
        <v>10772</v>
      </c>
    </row>
    <row r="1888" spans="7:7" x14ac:dyDescent="0.3">
      <c r="G1888" s="400" t="s">
        <v>10772</v>
      </c>
    </row>
    <row r="1889" spans="7:7" x14ac:dyDescent="0.3">
      <c r="G1889" s="400" t="s">
        <v>10772</v>
      </c>
    </row>
    <row r="1890" spans="7:7" x14ac:dyDescent="0.3">
      <c r="G1890" s="400" t="s">
        <v>10772</v>
      </c>
    </row>
    <row r="1891" spans="7:7" x14ac:dyDescent="0.3">
      <c r="G1891" s="400" t="s">
        <v>10772</v>
      </c>
    </row>
    <row r="1892" spans="7:7" x14ac:dyDescent="0.3">
      <c r="G1892" s="400" t="s">
        <v>10772</v>
      </c>
    </row>
    <row r="1893" spans="7:7" x14ac:dyDescent="0.3">
      <c r="G1893" s="400" t="s">
        <v>10772</v>
      </c>
    </row>
    <row r="1894" spans="7:7" x14ac:dyDescent="0.3">
      <c r="G1894" s="400" t="s">
        <v>10772</v>
      </c>
    </row>
    <row r="1895" spans="7:7" x14ac:dyDescent="0.3">
      <c r="G1895" s="400" t="s">
        <v>10772</v>
      </c>
    </row>
    <row r="1896" spans="7:7" x14ac:dyDescent="0.3">
      <c r="G1896" s="400" t="s">
        <v>10772</v>
      </c>
    </row>
    <row r="1897" spans="7:7" x14ac:dyDescent="0.3">
      <c r="G1897" s="400" t="s">
        <v>10772</v>
      </c>
    </row>
    <row r="1898" spans="7:7" x14ac:dyDescent="0.3">
      <c r="G1898" s="400" t="s">
        <v>10772</v>
      </c>
    </row>
    <row r="1899" spans="7:7" x14ac:dyDescent="0.3">
      <c r="G1899" s="400" t="s">
        <v>10772</v>
      </c>
    </row>
    <row r="1900" spans="7:7" x14ac:dyDescent="0.3">
      <c r="G1900" s="400" t="s">
        <v>10772</v>
      </c>
    </row>
    <row r="1901" spans="7:7" x14ac:dyDescent="0.3">
      <c r="G1901" s="400" t="s">
        <v>10772</v>
      </c>
    </row>
    <row r="1902" spans="7:7" x14ac:dyDescent="0.3">
      <c r="G1902" s="400" t="s">
        <v>10772</v>
      </c>
    </row>
    <row r="1903" spans="7:7" x14ac:dyDescent="0.3">
      <c r="G1903" s="400" t="s">
        <v>10772</v>
      </c>
    </row>
    <row r="1904" spans="7:7" x14ac:dyDescent="0.3">
      <c r="G1904" s="400" t="s">
        <v>10772</v>
      </c>
    </row>
    <row r="1905" spans="7:7" x14ac:dyDescent="0.3">
      <c r="G1905" s="400" t="s">
        <v>10772</v>
      </c>
    </row>
    <row r="1906" spans="7:7" x14ac:dyDescent="0.3">
      <c r="G1906" s="400" t="s">
        <v>10772</v>
      </c>
    </row>
    <row r="1907" spans="7:7" x14ac:dyDescent="0.3">
      <c r="G1907" s="400" t="s">
        <v>10772</v>
      </c>
    </row>
    <row r="1908" spans="7:7" x14ac:dyDescent="0.3">
      <c r="G1908" s="400" t="s">
        <v>10772</v>
      </c>
    </row>
    <row r="1909" spans="7:7" x14ac:dyDescent="0.3">
      <c r="G1909" s="400" t="s">
        <v>10772</v>
      </c>
    </row>
    <row r="1910" spans="7:7" x14ac:dyDescent="0.3">
      <c r="G1910" s="400" t="s">
        <v>10772</v>
      </c>
    </row>
    <row r="1911" spans="7:7" x14ac:dyDescent="0.3">
      <c r="G1911" s="400" t="s">
        <v>10772</v>
      </c>
    </row>
    <row r="1912" spans="7:7" x14ac:dyDescent="0.3">
      <c r="G1912" s="400" t="s">
        <v>10772</v>
      </c>
    </row>
    <row r="1913" spans="7:7" x14ac:dyDescent="0.3">
      <c r="G1913" s="400" t="s">
        <v>10772</v>
      </c>
    </row>
    <row r="1914" spans="7:7" x14ac:dyDescent="0.3">
      <c r="G1914" s="400" t="s">
        <v>10772</v>
      </c>
    </row>
    <row r="1915" spans="7:7" x14ac:dyDescent="0.3">
      <c r="G1915" s="400" t="s">
        <v>10772</v>
      </c>
    </row>
    <row r="1916" spans="7:7" x14ac:dyDescent="0.3">
      <c r="G1916" s="400" t="s">
        <v>10772</v>
      </c>
    </row>
    <row r="1917" spans="7:7" x14ac:dyDescent="0.3">
      <c r="G1917" s="400" t="s">
        <v>10772</v>
      </c>
    </row>
    <row r="1918" spans="7:7" x14ac:dyDescent="0.3">
      <c r="G1918" s="400" t="s">
        <v>10772</v>
      </c>
    </row>
    <row r="1919" spans="7:7" x14ac:dyDescent="0.3">
      <c r="G1919" s="400" t="s">
        <v>10772</v>
      </c>
    </row>
    <row r="1920" spans="7:7" x14ac:dyDescent="0.3">
      <c r="G1920" s="400" t="s">
        <v>10772</v>
      </c>
    </row>
    <row r="1921" spans="7:7" x14ac:dyDescent="0.3">
      <c r="G1921" s="400" t="s">
        <v>10772</v>
      </c>
    </row>
    <row r="1922" spans="7:7" x14ac:dyDescent="0.3">
      <c r="G1922" s="400" t="s">
        <v>10772</v>
      </c>
    </row>
    <row r="1923" spans="7:7" x14ac:dyDescent="0.3">
      <c r="G1923" s="400" t="s">
        <v>10772</v>
      </c>
    </row>
    <row r="1924" spans="7:7" x14ac:dyDescent="0.3">
      <c r="G1924" s="400" t="s">
        <v>10772</v>
      </c>
    </row>
    <row r="1925" spans="7:7" x14ac:dyDescent="0.3">
      <c r="G1925" s="400" t="s">
        <v>10772</v>
      </c>
    </row>
    <row r="1926" spans="7:7" x14ac:dyDescent="0.3">
      <c r="G1926" s="400" t="s">
        <v>10772</v>
      </c>
    </row>
    <row r="1927" spans="7:7" x14ac:dyDescent="0.3">
      <c r="G1927" s="400" t="s">
        <v>10772</v>
      </c>
    </row>
    <row r="1928" spans="7:7" x14ac:dyDescent="0.3">
      <c r="G1928" s="400" t="s">
        <v>10772</v>
      </c>
    </row>
    <row r="1929" spans="7:7" x14ac:dyDescent="0.3">
      <c r="G1929" s="400" t="s">
        <v>10772</v>
      </c>
    </row>
    <row r="1930" spans="7:7" x14ac:dyDescent="0.3">
      <c r="G1930" s="400" t="s">
        <v>10772</v>
      </c>
    </row>
    <row r="1931" spans="7:7" x14ac:dyDescent="0.3">
      <c r="G1931" s="400" t="s">
        <v>10772</v>
      </c>
    </row>
    <row r="1932" spans="7:7" x14ac:dyDescent="0.3">
      <c r="G1932" s="400" t="s">
        <v>10772</v>
      </c>
    </row>
    <row r="1933" spans="7:7" x14ac:dyDescent="0.3">
      <c r="G1933" s="400" t="s">
        <v>10772</v>
      </c>
    </row>
    <row r="1934" spans="7:7" x14ac:dyDescent="0.3">
      <c r="G1934" s="400" t="s">
        <v>10772</v>
      </c>
    </row>
    <row r="1935" spans="7:7" x14ac:dyDescent="0.3">
      <c r="G1935" s="400" t="s">
        <v>10772</v>
      </c>
    </row>
    <row r="1936" spans="7:7" x14ac:dyDescent="0.3">
      <c r="G1936" s="400" t="s">
        <v>10772</v>
      </c>
    </row>
    <row r="1937" spans="7:7" x14ac:dyDescent="0.3">
      <c r="G1937" s="400" t="s">
        <v>10772</v>
      </c>
    </row>
    <row r="1938" spans="7:7" x14ac:dyDescent="0.3">
      <c r="G1938" s="400" t="s">
        <v>10772</v>
      </c>
    </row>
    <row r="1939" spans="7:7" x14ac:dyDescent="0.3">
      <c r="G1939" s="400" t="s">
        <v>10772</v>
      </c>
    </row>
    <row r="1940" spans="7:7" x14ac:dyDescent="0.3">
      <c r="G1940" s="400" t="s">
        <v>10772</v>
      </c>
    </row>
    <row r="1941" spans="7:7" x14ac:dyDescent="0.3">
      <c r="G1941" s="400" t="s">
        <v>10772</v>
      </c>
    </row>
    <row r="1942" spans="7:7" x14ac:dyDescent="0.3">
      <c r="G1942" s="400" t="s">
        <v>10772</v>
      </c>
    </row>
    <row r="1943" spans="7:7" x14ac:dyDescent="0.3">
      <c r="G1943" s="400" t="s">
        <v>10772</v>
      </c>
    </row>
    <row r="1944" spans="7:7" x14ac:dyDescent="0.3">
      <c r="G1944" s="400" t="s">
        <v>10772</v>
      </c>
    </row>
    <row r="1945" spans="7:7" x14ac:dyDescent="0.3">
      <c r="G1945" s="400" t="s">
        <v>10772</v>
      </c>
    </row>
    <row r="1946" spans="7:7" x14ac:dyDescent="0.3">
      <c r="G1946" s="400" t="s">
        <v>10772</v>
      </c>
    </row>
    <row r="1947" spans="7:7" x14ac:dyDescent="0.3">
      <c r="G1947" s="400" t="s">
        <v>10772</v>
      </c>
    </row>
    <row r="1948" spans="7:7" x14ac:dyDescent="0.3">
      <c r="G1948" s="400" t="s">
        <v>10772</v>
      </c>
    </row>
    <row r="1949" spans="7:7" x14ac:dyDescent="0.3">
      <c r="G1949" s="400" t="s">
        <v>10772</v>
      </c>
    </row>
    <row r="1950" spans="7:7" x14ac:dyDescent="0.3">
      <c r="G1950" s="400" t="s">
        <v>10772</v>
      </c>
    </row>
    <row r="1951" spans="7:7" x14ac:dyDescent="0.3">
      <c r="G1951" s="400" t="s">
        <v>10772</v>
      </c>
    </row>
    <row r="1952" spans="7:7" x14ac:dyDescent="0.3">
      <c r="G1952" s="400" t="s">
        <v>10772</v>
      </c>
    </row>
    <row r="1953" spans="7:7" x14ac:dyDescent="0.3">
      <c r="G1953" s="400" t="s">
        <v>10772</v>
      </c>
    </row>
    <row r="1954" spans="7:7" x14ac:dyDescent="0.3">
      <c r="G1954" s="400" t="s">
        <v>10772</v>
      </c>
    </row>
    <row r="1955" spans="7:7" x14ac:dyDescent="0.3">
      <c r="G1955" s="400" t="s">
        <v>10772</v>
      </c>
    </row>
    <row r="1956" spans="7:7" x14ac:dyDescent="0.3">
      <c r="G1956" s="400" t="s">
        <v>10772</v>
      </c>
    </row>
    <row r="1957" spans="7:7" x14ac:dyDescent="0.3">
      <c r="G1957" s="400" t="s">
        <v>10772</v>
      </c>
    </row>
    <row r="1958" spans="7:7" x14ac:dyDescent="0.3">
      <c r="G1958" s="400" t="s">
        <v>10772</v>
      </c>
    </row>
    <row r="1959" spans="7:7" x14ac:dyDescent="0.3">
      <c r="G1959" s="400" t="s">
        <v>10772</v>
      </c>
    </row>
    <row r="1960" spans="7:7" x14ac:dyDescent="0.3">
      <c r="G1960" s="400" t="s">
        <v>10772</v>
      </c>
    </row>
    <row r="1961" spans="7:7" x14ac:dyDescent="0.3">
      <c r="G1961" s="400" t="s">
        <v>10772</v>
      </c>
    </row>
    <row r="1962" spans="7:7" x14ac:dyDescent="0.3">
      <c r="G1962" s="400" t="s">
        <v>10772</v>
      </c>
    </row>
    <row r="1963" spans="7:7" x14ac:dyDescent="0.3">
      <c r="G1963" s="400" t="s">
        <v>10772</v>
      </c>
    </row>
    <row r="1964" spans="7:7" x14ac:dyDescent="0.3">
      <c r="G1964" s="400" t="s">
        <v>10772</v>
      </c>
    </row>
    <row r="1965" spans="7:7" x14ac:dyDescent="0.3">
      <c r="G1965" s="400" t="s">
        <v>10772</v>
      </c>
    </row>
    <row r="1966" spans="7:7" x14ac:dyDescent="0.3">
      <c r="G1966" s="400" t="s">
        <v>10772</v>
      </c>
    </row>
    <row r="1967" spans="7:7" x14ac:dyDescent="0.3">
      <c r="G1967" s="400" t="s">
        <v>10772</v>
      </c>
    </row>
    <row r="1968" spans="7:7" x14ac:dyDescent="0.3">
      <c r="G1968" s="400" t="s">
        <v>10772</v>
      </c>
    </row>
    <row r="1969" spans="7:7" x14ac:dyDescent="0.3">
      <c r="G1969" s="400" t="s">
        <v>10772</v>
      </c>
    </row>
    <row r="1970" spans="7:7" x14ac:dyDescent="0.3">
      <c r="G1970" s="400" t="s">
        <v>10772</v>
      </c>
    </row>
    <row r="1971" spans="7:7" x14ac:dyDescent="0.3">
      <c r="G1971" s="400" t="s">
        <v>10772</v>
      </c>
    </row>
    <row r="1972" spans="7:7" x14ac:dyDescent="0.3">
      <c r="G1972" s="400" t="s">
        <v>10772</v>
      </c>
    </row>
    <row r="1973" spans="7:7" x14ac:dyDescent="0.3">
      <c r="G1973" s="400" t="s">
        <v>10772</v>
      </c>
    </row>
    <row r="1974" spans="7:7" x14ac:dyDescent="0.3">
      <c r="G1974" s="400" t="s">
        <v>10772</v>
      </c>
    </row>
    <row r="1975" spans="7:7" x14ac:dyDescent="0.3">
      <c r="G1975" s="400" t="s">
        <v>10772</v>
      </c>
    </row>
    <row r="1976" spans="7:7" x14ac:dyDescent="0.3">
      <c r="G1976" s="400" t="s">
        <v>10772</v>
      </c>
    </row>
    <row r="1977" spans="7:7" x14ac:dyDescent="0.3">
      <c r="G1977" s="400" t="s">
        <v>10772</v>
      </c>
    </row>
    <row r="1978" spans="7:7" x14ac:dyDescent="0.3">
      <c r="G1978" s="400" t="s">
        <v>10772</v>
      </c>
    </row>
    <row r="1979" spans="7:7" x14ac:dyDescent="0.3">
      <c r="G1979" s="400" t="s">
        <v>10772</v>
      </c>
    </row>
    <row r="1980" spans="7:7" x14ac:dyDescent="0.3">
      <c r="G1980" s="400" t="s">
        <v>10772</v>
      </c>
    </row>
    <row r="1981" spans="7:7" x14ac:dyDescent="0.3">
      <c r="G1981" s="400" t="s">
        <v>10772</v>
      </c>
    </row>
    <row r="1982" spans="7:7" x14ac:dyDescent="0.3">
      <c r="G1982" s="400" t="s">
        <v>10772</v>
      </c>
    </row>
    <row r="1983" spans="7:7" x14ac:dyDescent="0.3">
      <c r="G1983" s="400" t="s">
        <v>10772</v>
      </c>
    </row>
    <row r="1984" spans="7:7" x14ac:dyDescent="0.3">
      <c r="G1984" s="400" t="s">
        <v>10772</v>
      </c>
    </row>
    <row r="1985" spans="7:7" x14ac:dyDescent="0.3">
      <c r="G1985" s="400" t="s">
        <v>10772</v>
      </c>
    </row>
    <row r="1986" spans="7:7" x14ac:dyDescent="0.3">
      <c r="G1986" s="400" t="s">
        <v>10772</v>
      </c>
    </row>
    <row r="1987" spans="7:7" x14ac:dyDescent="0.3">
      <c r="G1987" s="400" t="s">
        <v>10772</v>
      </c>
    </row>
    <row r="1988" spans="7:7" x14ac:dyDescent="0.3">
      <c r="G1988" s="400" t="s">
        <v>10772</v>
      </c>
    </row>
    <row r="1989" spans="7:7" x14ac:dyDescent="0.3">
      <c r="G1989" s="400" t="s">
        <v>10772</v>
      </c>
    </row>
    <row r="1990" spans="7:7" x14ac:dyDescent="0.3">
      <c r="G1990" s="400" t="s">
        <v>10772</v>
      </c>
    </row>
    <row r="1991" spans="7:7" x14ac:dyDescent="0.3">
      <c r="G1991" s="400" t="s">
        <v>10772</v>
      </c>
    </row>
    <row r="1992" spans="7:7" x14ac:dyDescent="0.3">
      <c r="G1992" s="400" t="s">
        <v>10772</v>
      </c>
    </row>
    <row r="1993" spans="7:7" x14ac:dyDescent="0.3">
      <c r="G1993" s="400" t="s">
        <v>10772</v>
      </c>
    </row>
    <row r="1994" spans="7:7" x14ac:dyDescent="0.3">
      <c r="G1994" s="400" t="s">
        <v>10772</v>
      </c>
    </row>
    <row r="1995" spans="7:7" x14ac:dyDescent="0.3">
      <c r="G1995" s="400" t="s">
        <v>10772</v>
      </c>
    </row>
    <row r="1996" spans="7:7" x14ac:dyDescent="0.3">
      <c r="G1996" s="400" t="s">
        <v>10772</v>
      </c>
    </row>
    <row r="1997" spans="7:7" x14ac:dyDescent="0.3">
      <c r="G1997" s="400" t="s">
        <v>10772</v>
      </c>
    </row>
    <row r="1998" spans="7:7" x14ac:dyDescent="0.3">
      <c r="G1998" s="400" t="s">
        <v>10772</v>
      </c>
    </row>
    <row r="1999" spans="7:7" x14ac:dyDescent="0.3">
      <c r="G1999" s="400" t="s">
        <v>10772</v>
      </c>
    </row>
    <row r="2000" spans="7:7" x14ac:dyDescent="0.3">
      <c r="G2000" s="400" t="s">
        <v>10772</v>
      </c>
    </row>
    <row r="2001" spans="7:7" x14ac:dyDescent="0.3">
      <c r="G2001" s="400" t="s">
        <v>10772</v>
      </c>
    </row>
    <row r="2002" spans="7:7" x14ac:dyDescent="0.3">
      <c r="G2002" s="400" t="s">
        <v>10772</v>
      </c>
    </row>
    <row r="2003" spans="7:7" x14ac:dyDescent="0.3">
      <c r="G2003" s="400" t="s">
        <v>10772</v>
      </c>
    </row>
    <row r="2004" spans="7:7" x14ac:dyDescent="0.3">
      <c r="G2004" s="400" t="s">
        <v>10772</v>
      </c>
    </row>
    <row r="2005" spans="7:7" x14ac:dyDescent="0.3">
      <c r="G2005" s="400" t="s">
        <v>10772</v>
      </c>
    </row>
    <row r="2006" spans="7:7" x14ac:dyDescent="0.3">
      <c r="G2006" s="400" t="s">
        <v>10772</v>
      </c>
    </row>
    <row r="2007" spans="7:7" x14ac:dyDescent="0.3">
      <c r="G2007" s="400" t="s">
        <v>10772</v>
      </c>
    </row>
    <row r="2008" spans="7:7" x14ac:dyDescent="0.3">
      <c r="G2008" s="400" t="s">
        <v>10772</v>
      </c>
    </row>
    <row r="2009" spans="7:7" x14ac:dyDescent="0.3">
      <c r="G2009" s="400" t="s">
        <v>10772</v>
      </c>
    </row>
    <row r="2010" spans="7:7" x14ac:dyDescent="0.3">
      <c r="G2010" s="400" t="s">
        <v>10772</v>
      </c>
    </row>
    <row r="2011" spans="7:7" x14ac:dyDescent="0.3">
      <c r="G2011" s="400" t="s">
        <v>10772</v>
      </c>
    </row>
    <row r="2012" spans="7:7" x14ac:dyDescent="0.3">
      <c r="G2012" s="400" t="s">
        <v>10772</v>
      </c>
    </row>
    <row r="2013" spans="7:7" x14ac:dyDescent="0.3">
      <c r="G2013" s="400" t="s">
        <v>10772</v>
      </c>
    </row>
    <row r="2014" spans="7:7" x14ac:dyDescent="0.3">
      <c r="G2014" s="400" t="s">
        <v>10772</v>
      </c>
    </row>
    <row r="2015" spans="7:7" x14ac:dyDescent="0.3">
      <c r="G2015" s="400" t="s">
        <v>10772</v>
      </c>
    </row>
    <row r="2016" spans="7:7" x14ac:dyDescent="0.3">
      <c r="G2016" s="400" t="s">
        <v>10772</v>
      </c>
    </row>
    <row r="2017" spans="7:7" x14ac:dyDescent="0.3">
      <c r="G2017" s="400" t="s">
        <v>10772</v>
      </c>
    </row>
    <row r="2018" spans="7:7" x14ac:dyDescent="0.3">
      <c r="G2018" s="400" t="s">
        <v>10772</v>
      </c>
    </row>
    <row r="2019" spans="7:7" x14ac:dyDescent="0.3">
      <c r="G2019" s="400" t="s">
        <v>10772</v>
      </c>
    </row>
    <row r="2020" spans="7:7" x14ac:dyDescent="0.3">
      <c r="G2020" s="400" t="s">
        <v>10772</v>
      </c>
    </row>
    <row r="2021" spans="7:7" x14ac:dyDescent="0.3">
      <c r="G2021" s="400" t="s">
        <v>10772</v>
      </c>
    </row>
    <row r="2022" spans="7:7" x14ac:dyDescent="0.3">
      <c r="G2022" s="400" t="s">
        <v>10772</v>
      </c>
    </row>
    <row r="2023" spans="7:7" x14ac:dyDescent="0.3">
      <c r="G2023" s="400" t="s">
        <v>10772</v>
      </c>
    </row>
    <row r="2024" spans="7:7" x14ac:dyDescent="0.3">
      <c r="G2024" s="400" t="s">
        <v>10772</v>
      </c>
    </row>
    <row r="2025" spans="7:7" x14ac:dyDescent="0.3">
      <c r="G2025" s="400" t="s">
        <v>10772</v>
      </c>
    </row>
    <row r="2026" spans="7:7" x14ac:dyDescent="0.3">
      <c r="G2026" s="400" t="s">
        <v>10772</v>
      </c>
    </row>
    <row r="2027" spans="7:7" x14ac:dyDescent="0.3">
      <c r="G2027" s="400" t="s">
        <v>10772</v>
      </c>
    </row>
    <row r="2028" spans="7:7" x14ac:dyDescent="0.3">
      <c r="G2028" s="400" t="s">
        <v>10772</v>
      </c>
    </row>
    <row r="2029" spans="7:7" x14ac:dyDescent="0.3">
      <c r="G2029" s="400" t="s">
        <v>10772</v>
      </c>
    </row>
    <row r="2030" spans="7:7" x14ac:dyDescent="0.3">
      <c r="G2030" s="400" t="s">
        <v>10772</v>
      </c>
    </row>
    <row r="2031" spans="7:7" x14ac:dyDescent="0.3">
      <c r="G2031" s="400" t="s">
        <v>10772</v>
      </c>
    </row>
    <row r="2032" spans="7:7" x14ac:dyDescent="0.3">
      <c r="G2032" s="400" t="s">
        <v>10772</v>
      </c>
    </row>
    <row r="2033" spans="7:7" x14ac:dyDescent="0.3">
      <c r="G2033" s="400" t="s">
        <v>9567</v>
      </c>
    </row>
    <row r="2034" spans="7:7" x14ac:dyDescent="0.3">
      <c r="G2034" s="400" t="s">
        <v>9567</v>
      </c>
    </row>
    <row r="2035" spans="7:7" x14ac:dyDescent="0.3">
      <c r="G2035" s="400" t="s">
        <v>9567</v>
      </c>
    </row>
    <row r="2036" spans="7:7" x14ac:dyDescent="0.3">
      <c r="G2036" s="400" t="s">
        <v>9567</v>
      </c>
    </row>
    <row r="2037" spans="7:7" x14ac:dyDescent="0.3">
      <c r="G2037" s="400" t="s">
        <v>9567</v>
      </c>
    </row>
    <row r="2038" spans="7:7" x14ac:dyDescent="0.3">
      <c r="G2038" s="400" t="s">
        <v>9567</v>
      </c>
    </row>
    <row r="2039" spans="7:7" x14ac:dyDescent="0.3">
      <c r="G2039" s="400" t="s">
        <v>9567</v>
      </c>
    </row>
    <row r="2040" spans="7:7" x14ac:dyDescent="0.3">
      <c r="G2040" s="400" t="s">
        <v>9567</v>
      </c>
    </row>
    <row r="2041" spans="7:7" x14ac:dyDescent="0.3">
      <c r="G2041" s="400" t="s">
        <v>9567</v>
      </c>
    </row>
    <row r="2042" spans="7:7" x14ac:dyDescent="0.3">
      <c r="G2042" s="400" t="s">
        <v>9567</v>
      </c>
    </row>
    <row r="2043" spans="7:7" x14ac:dyDescent="0.3">
      <c r="G2043" s="400" t="s">
        <v>9567</v>
      </c>
    </row>
    <row r="2044" spans="7:7" x14ac:dyDescent="0.3">
      <c r="G2044" s="400" t="s">
        <v>9567</v>
      </c>
    </row>
    <row r="2045" spans="7:7" x14ac:dyDescent="0.3">
      <c r="G2045" s="400" t="s">
        <v>9567</v>
      </c>
    </row>
    <row r="2046" spans="7:7" x14ac:dyDescent="0.3">
      <c r="G2046" s="400" t="s">
        <v>9567</v>
      </c>
    </row>
    <row r="2047" spans="7:7" x14ac:dyDescent="0.3">
      <c r="G2047" s="400" t="s">
        <v>9567</v>
      </c>
    </row>
    <row r="2048" spans="7:7" x14ac:dyDescent="0.3">
      <c r="G2048" s="400" t="s">
        <v>9567</v>
      </c>
    </row>
    <row r="2049" spans="7:7" x14ac:dyDescent="0.3">
      <c r="G2049" s="400" t="s">
        <v>9567</v>
      </c>
    </row>
    <row r="2050" spans="7:7" x14ac:dyDescent="0.3">
      <c r="G2050" s="400" t="s">
        <v>9567</v>
      </c>
    </row>
    <row r="2051" spans="7:7" x14ac:dyDescent="0.3">
      <c r="G2051" s="400" t="s">
        <v>9567</v>
      </c>
    </row>
    <row r="2052" spans="7:7" x14ac:dyDescent="0.3">
      <c r="G2052" s="400" t="s">
        <v>9567</v>
      </c>
    </row>
    <row r="2053" spans="7:7" x14ac:dyDescent="0.3">
      <c r="G2053" s="400" t="s">
        <v>9567</v>
      </c>
    </row>
    <row r="2054" spans="7:7" x14ac:dyDescent="0.3">
      <c r="G2054" s="400" t="s">
        <v>9567</v>
      </c>
    </row>
    <row r="2055" spans="7:7" x14ac:dyDescent="0.3">
      <c r="G2055" s="400" t="s">
        <v>9567</v>
      </c>
    </row>
    <row r="2056" spans="7:7" x14ac:dyDescent="0.3">
      <c r="G2056" s="400" t="s">
        <v>9567</v>
      </c>
    </row>
    <row r="2057" spans="7:7" x14ac:dyDescent="0.3">
      <c r="G2057" s="400" t="s">
        <v>9567</v>
      </c>
    </row>
    <row r="2058" spans="7:7" x14ac:dyDescent="0.3">
      <c r="G2058" s="400" t="s">
        <v>9567</v>
      </c>
    </row>
    <row r="2059" spans="7:7" x14ac:dyDescent="0.3">
      <c r="G2059" s="400" t="s">
        <v>9567</v>
      </c>
    </row>
    <row r="2060" spans="7:7" x14ac:dyDescent="0.3">
      <c r="G2060" s="400" t="s">
        <v>9567</v>
      </c>
    </row>
    <row r="2061" spans="7:7" x14ac:dyDescent="0.3">
      <c r="G2061" s="400" t="s">
        <v>9567</v>
      </c>
    </row>
    <row r="2062" spans="7:7" x14ac:dyDescent="0.3">
      <c r="G2062" s="400" t="s">
        <v>9567</v>
      </c>
    </row>
    <row r="2063" spans="7:7" x14ac:dyDescent="0.3">
      <c r="G2063" s="400" t="s">
        <v>9567</v>
      </c>
    </row>
    <row r="2064" spans="7:7" x14ac:dyDescent="0.3">
      <c r="G2064" s="400" t="s">
        <v>9567</v>
      </c>
    </row>
    <row r="2065" spans="7:7" x14ac:dyDescent="0.3">
      <c r="G2065" s="400" t="s">
        <v>9567</v>
      </c>
    </row>
    <row r="2066" spans="7:7" x14ac:dyDescent="0.3">
      <c r="G2066" s="400" t="s">
        <v>9567</v>
      </c>
    </row>
    <row r="2067" spans="7:7" x14ac:dyDescent="0.3">
      <c r="G2067" s="400" t="s">
        <v>9567</v>
      </c>
    </row>
    <row r="2068" spans="7:7" x14ac:dyDescent="0.3">
      <c r="G2068" s="400" t="s">
        <v>9567</v>
      </c>
    </row>
    <row r="2069" spans="7:7" x14ac:dyDescent="0.3">
      <c r="G2069" s="400" t="s">
        <v>9567</v>
      </c>
    </row>
    <row r="2070" spans="7:7" x14ac:dyDescent="0.3">
      <c r="G2070" s="400" t="s">
        <v>9567</v>
      </c>
    </row>
    <row r="2071" spans="7:7" x14ac:dyDescent="0.3">
      <c r="G2071" s="400" t="s">
        <v>9567</v>
      </c>
    </row>
    <row r="2072" spans="7:7" x14ac:dyDescent="0.3">
      <c r="G2072" s="400" t="s">
        <v>9567</v>
      </c>
    </row>
    <row r="2073" spans="7:7" x14ac:dyDescent="0.3">
      <c r="G2073" s="400" t="s">
        <v>9567</v>
      </c>
    </row>
    <row r="2074" spans="7:7" x14ac:dyDescent="0.3">
      <c r="G2074" s="400" t="s">
        <v>9567</v>
      </c>
    </row>
    <row r="2075" spans="7:7" x14ac:dyDescent="0.3">
      <c r="G2075" s="400" t="s">
        <v>9567</v>
      </c>
    </row>
    <row r="2076" spans="7:7" x14ac:dyDescent="0.3">
      <c r="G2076" s="400" t="s">
        <v>9567</v>
      </c>
    </row>
    <row r="2077" spans="7:7" x14ac:dyDescent="0.3">
      <c r="G2077" s="400" t="s">
        <v>9567</v>
      </c>
    </row>
    <row r="2078" spans="7:7" x14ac:dyDescent="0.3">
      <c r="G2078" s="400" t="s">
        <v>9567</v>
      </c>
    </row>
    <row r="2079" spans="7:7" x14ac:dyDescent="0.3">
      <c r="G2079" s="400" t="s">
        <v>9567</v>
      </c>
    </row>
    <row r="2080" spans="7:7" x14ac:dyDescent="0.3">
      <c r="G2080" s="400" t="s">
        <v>9567</v>
      </c>
    </row>
    <row r="2081" spans="7:7" x14ac:dyDescent="0.3">
      <c r="G2081" s="400" t="s">
        <v>9567</v>
      </c>
    </row>
    <row r="2082" spans="7:7" x14ac:dyDescent="0.3">
      <c r="G2082" s="400" t="s">
        <v>9567</v>
      </c>
    </row>
    <row r="2083" spans="7:7" x14ac:dyDescent="0.3">
      <c r="G2083" s="400" t="s">
        <v>9567</v>
      </c>
    </row>
    <row r="2084" spans="7:7" x14ac:dyDescent="0.3">
      <c r="G2084" s="400" t="s">
        <v>9567</v>
      </c>
    </row>
    <row r="2085" spans="7:7" x14ac:dyDescent="0.3">
      <c r="G2085" s="400" t="s">
        <v>9567</v>
      </c>
    </row>
    <row r="2086" spans="7:7" x14ac:dyDescent="0.3">
      <c r="G2086" s="400" t="s">
        <v>9567</v>
      </c>
    </row>
    <row r="2087" spans="7:7" x14ac:dyDescent="0.3">
      <c r="G2087" s="400" t="s">
        <v>9567</v>
      </c>
    </row>
    <row r="2088" spans="7:7" x14ac:dyDescent="0.3">
      <c r="G2088" s="400" t="s">
        <v>9567</v>
      </c>
    </row>
    <row r="2089" spans="7:7" x14ac:dyDescent="0.3">
      <c r="G2089" s="400" t="s">
        <v>9567</v>
      </c>
    </row>
    <row r="2090" spans="7:7" x14ac:dyDescent="0.3">
      <c r="G2090" s="400" t="s">
        <v>9567</v>
      </c>
    </row>
    <row r="2091" spans="7:7" x14ac:dyDescent="0.3">
      <c r="G2091" s="400" t="s">
        <v>9567</v>
      </c>
    </row>
    <row r="2092" spans="7:7" x14ac:dyDescent="0.3">
      <c r="G2092" s="400" t="s">
        <v>9567</v>
      </c>
    </row>
    <row r="2093" spans="7:7" x14ac:dyDescent="0.3">
      <c r="G2093" s="400" t="s">
        <v>9567</v>
      </c>
    </row>
    <row r="2094" spans="7:7" x14ac:dyDescent="0.3">
      <c r="G2094" s="400" t="s">
        <v>9567</v>
      </c>
    </row>
    <row r="2095" spans="7:7" x14ac:dyDescent="0.3">
      <c r="G2095" s="400" t="s">
        <v>9567</v>
      </c>
    </row>
    <row r="2096" spans="7:7" x14ac:dyDescent="0.3">
      <c r="G2096" s="400" t="s">
        <v>9567</v>
      </c>
    </row>
    <row r="2097" spans="7:7" x14ac:dyDescent="0.3">
      <c r="G2097" s="400" t="s">
        <v>9567</v>
      </c>
    </row>
    <row r="2098" spans="7:7" x14ac:dyDescent="0.3">
      <c r="G2098" s="400" t="s">
        <v>9567</v>
      </c>
    </row>
    <row r="2099" spans="7:7" x14ac:dyDescent="0.3">
      <c r="G2099" s="400" t="s">
        <v>9567</v>
      </c>
    </row>
    <row r="2100" spans="7:7" x14ac:dyDescent="0.3">
      <c r="G2100" s="400" t="s">
        <v>9567</v>
      </c>
    </row>
    <row r="2101" spans="7:7" x14ac:dyDescent="0.3">
      <c r="G2101" s="400" t="s">
        <v>9567</v>
      </c>
    </row>
    <row r="2102" spans="7:7" x14ac:dyDescent="0.3">
      <c r="G2102" s="400" t="s">
        <v>9567</v>
      </c>
    </row>
    <row r="2103" spans="7:7" x14ac:dyDescent="0.3">
      <c r="G2103" s="400" t="s">
        <v>9567</v>
      </c>
    </row>
    <row r="2104" spans="7:7" x14ac:dyDescent="0.3">
      <c r="G2104" s="400" t="s">
        <v>9567</v>
      </c>
    </row>
    <row r="2105" spans="7:7" x14ac:dyDescent="0.3">
      <c r="G2105" s="400" t="s">
        <v>9567</v>
      </c>
    </row>
    <row r="2106" spans="7:7" x14ac:dyDescent="0.3">
      <c r="G2106" s="400" t="s">
        <v>9567</v>
      </c>
    </row>
    <row r="2107" spans="7:7" x14ac:dyDescent="0.3">
      <c r="G2107" s="400" t="s">
        <v>9567</v>
      </c>
    </row>
    <row r="2108" spans="7:7" x14ac:dyDescent="0.3">
      <c r="G2108" s="400" t="s">
        <v>9567</v>
      </c>
    </row>
    <row r="2109" spans="7:7" x14ac:dyDescent="0.3">
      <c r="G2109" s="400" t="s">
        <v>9567</v>
      </c>
    </row>
    <row r="2110" spans="7:7" x14ac:dyDescent="0.3">
      <c r="G2110" s="400" t="s">
        <v>9567</v>
      </c>
    </row>
    <row r="2111" spans="7:7" x14ac:dyDescent="0.3">
      <c r="G2111" s="400" t="s">
        <v>9567</v>
      </c>
    </row>
    <row r="2112" spans="7:7" x14ac:dyDescent="0.3">
      <c r="G2112" s="400" t="s">
        <v>9567</v>
      </c>
    </row>
    <row r="2113" spans="7:7" x14ac:dyDescent="0.3">
      <c r="G2113" s="400" t="s">
        <v>9567</v>
      </c>
    </row>
    <row r="2114" spans="7:7" x14ac:dyDescent="0.3">
      <c r="G2114" s="400" t="s">
        <v>9567</v>
      </c>
    </row>
    <row r="2115" spans="7:7" x14ac:dyDescent="0.3">
      <c r="G2115" s="400" t="s">
        <v>9567</v>
      </c>
    </row>
    <row r="2116" spans="7:7" x14ac:dyDescent="0.3">
      <c r="G2116" s="400" t="s">
        <v>9567</v>
      </c>
    </row>
    <row r="2117" spans="7:7" x14ac:dyDescent="0.3">
      <c r="G2117" s="400" t="s">
        <v>9567</v>
      </c>
    </row>
    <row r="2118" spans="7:7" x14ac:dyDescent="0.3">
      <c r="G2118" s="400" t="s">
        <v>9567</v>
      </c>
    </row>
    <row r="2119" spans="7:7" x14ac:dyDescent="0.3">
      <c r="G2119" s="400" t="s">
        <v>9567</v>
      </c>
    </row>
    <row r="2120" spans="7:7" x14ac:dyDescent="0.3">
      <c r="G2120" s="400" t="s">
        <v>9567</v>
      </c>
    </row>
    <row r="2121" spans="7:7" x14ac:dyDescent="0.3">
      <c r="G2121" s="400" t="s">
        <v>9567</v>
      </c>
    </row>
    <row r="2122" spans="7:7" x14ac:dyDescent="0.3">
      <c r="G2122" s="400" t="s">
        <v>9567</v>
      </c>
    </row>
    <row r="2123" spans="7:7" x14ac:dyDescent="0.3">
      <c r="G2123" s="400" t="s">
        <v>9567</v>
      </c>
    </row>
    <row r="2124" spans="7:7" x14ac:dyDescent="0.3">
      <c r="G2124" s="400" t="s">
        <v>9567</v>
      </c>
    </row>
    <row r="2125" spans="7:7" x14ac:dyDescent="0.3">
      <c r="G2125" s="400" t="s">
        <v>9567</v>
      </c>
    </row>
    <row r="2126" spans="7:7" x14ac:dyDescent="0.3">
      <c r="G2126" s="400" t="s">
        <v>9567</v>
      </c>
    </row>
    <row r="2127" spans="7:7" x14ac:dyDescent="0.3">
      <c r="G2127" s="400" t="s">
        <v>9567</v>
      </c>
    </row>
    <row r="2128" spans="7:7" x14ac:dyDescent="0.3">
      <c r="G2128" s="400" t="s">
        <v>9567</v>
      </c>
    </row>
    <row r="2129" spans="7:7" x14ac:dyDescent="0.3">
      <c r="G2129" s="400" t="s">
        <v>9567</v>
      </c>
    </row>
    <row r="2130" spans="7:7" x14ac:dyDescent="0.3">
      <c r="G2130" s="400" t="s">
        <v>9567</v>
      </c>
    </row>
    <row r="2131" spans="7:7" x14ac:dyDescent="0.3">
      <c r="G2131" s="400" t="s">
        <v>9567</v>
      </c>
    </row>
    <row r="2132" spans="7:7" x14ac:dyDescent="0.3">
      <c r="G2132" s="400" t="s">
        <v>9567</v>
      </c>
    </row>
    <row r="2133" spans="7:7" x14ac:dyDescent="0.3">
      <c r="G2133" s="400" t="s">
        <v>9567</v>
      </c>
    </row>
    <row r="2134" spans="7:7" x14ac:dyDescent="0.3">
      <c r="G2134" s="400" t="s">
        <v>9567</v>
      </c>
    </row>
    <row r="2135" spans="7:7" x14ac:dyDescent="0.3">
      <c r="G2135" s="400" t="s">
        <v>9567</v>
      </c>
    </row>
    <row r="2136" spans="7:7" x14ac:dyDescent="0.3">
      <c r="G2136" s="400" t="s">
        <v>9567</v>
      </c>
    </row>
    <row r="2137" spans="7:7" x14ac:dyDescent="0.3">
      <c r="G2137" s="400" t="s">
        <v>9567</v>
      </c>
    </row>
    <row r="2138" spans="7:7" x14ac:dyDescent="0.3">
      <c r="G2138" s="400" t="s">
        <v>9567</v>
      </c>
    </row>
    <row r="2139" spans="7:7" x14ac:dyDescent="0.3">
      <c r="G2139" s="400" t="s">
        <v>9567</v>
      </c>
    </row>
    <row r="2140" spans="7:7" x14ac:dyDescent="0.3">
      <c r="G2140" s="400" t="s">
        <v>9567</v>
      </c>
    </row>
    <row r="2141" spans="7:7" x14ac:dyDescent="0.3">
      <c r="G2141" s="400" t="s">
        <v>9567</v>
      </c>
    </row>
    <row r="2142" spans="7:7" x14ac:dyDescent="0.3">
      <c r="G2142" s="400" t="s">
        <v>9567</v>
      </c>
    </row>
    <row r="2143" spans="7:7" x14ac:dyDescent="0.3">
      <c r="G2143" s="400" t="s">
        <v>9567</v>
      </c>
    </row>
    <row r="2144" spans="7:7" x14ac:dyDescent="0.3">
      <c r="G2144" s="400" t="s">
        <v>9567</v>
      </c>
    </row>
    <row r="2145" spans="7:7" x14ac:dyDescent="0.3">
      <c r="G2145" s="400" t="s">
        <v>9567</v>
      </c>
    </row>
    <row r="2146" spans="7:7" x14ac:dyDescent="0.3">
      <c r="G2146" s="400" t="s">
        <v>9567</v>
      </c>
    </row>
    <row r="2147" spans="7:7" x14ac:dyDescent="0.3">
      <c r="G2147" s="400" t="s">
        <v>9567</v>
      </c>
    </row>
    <row r="2148" spans="7:7" x14ac:dyDescent="0.3">
      <c r="G2148" s="400" t="s">
        <v>9567</v>
      </c>
    </row>
    <row r="2149" spans="7:7" x14ac:dyDescent="0.3">
      <c r="G2149" s="400" t="s">
        <v>9567</v>
      </c>
    </row>
    <row r="2150" spans="7:7" x14ac:dyDescent="0.3">
      <c r="G2150" s="400" t="s">
        <v>9567</v>
      </c>
    </row>
    <row r="2151" spans="7:7" x14ac:dyDescent="0.3">
      <c r="G2151" s="400" t="s">
        <v>9567</v>
      </c>
    </row>
    <row r="2152" spans="7:7" x14ac:dyDescent="0.3">
      <c r="G2152" s="400" t="s">
        <v>9567</v>
      </c>
    </row>
    <row r="2153" spans="7:7" x14ac:dyDescent="0.3">
      <c r="G2153" s="400" t="s">
        <v>9567</v>
      </c>
    </row>
    <row r="2154" spans="7:7" x14ac:dyDescent="0.3">
      <c r="G2154" s="400" t="s">
        <v>9567</v>
      </c>
    </row>
    <row r="2155" spans="7:7" x14ac:dyDescent="0.3">
      <c r="G2155" s="400" t="s">
        <v>9567</v>
      </c>
    </row>
    <row r="2156" spans="7:7" x14ac:dyDescent="0.3">
      <c r="G2156" s="400" t="s">
        <v>9567</v>
      </c>
    </row>
    <row r="2157" spans="7:7" x14ac:dyDescent="0.3">
      <c r="G2157" s="400" t="s">
        <v>9567</v>
      </c>
    </row>
    <row r="2158" spans="7:7" x14ac:dyDescent="0.3">
      <c r="G2158" s="400" t="s">
        <v>9567</v>
      </c>
    </row>
    <row r="2159" spans="7:7" x14ac:dyDescent="0.3">
      <c r="G2159" s="400" t="s">
        <v>9567</v>
      </c>
    </row>
    <row r="2160" spans="7:7" x14ac:dyDescent="0.3">
      <c r="G2160" s="400" t="s">
        <v>9567</v>
      </c>
    </row>
    <row r="2161" spans="7:7" x14ac:dyDescent="0.3">
      <c r="G2161" s="400" t="s">
        <v>9567</v>
      </c>
    </row>
    <row r="2162" spans="7:7" x14ac:dyDescent="0.3">
      <c r="G2162" s="400" t="s">
        <v>9567</v>
      </c>
    </row>
    <row r="2163" spans="7:7" x14ac:dyDescent="0.3">
      <c r="G2163" s="400" t="s">
        <v>9567</v>
      </c>
    </row>
    <row r="2164" spans="7:7" x14ac:dyDescent="0.3">
      <c r="G2164" s="400" t="s">
        <v>9567</v>
      </c>
    </row>
    <row r="2165" spans="7:7" x14ac:dyDescent="0.3">
      <c r="G2165" s="400" t="s">
        <v>9567</v>
      </c>
    </row>
    <row r="2166" spans="7:7" x14ac:dyDescent="0.3">
      <c r="G2166" s="400" t="s">
        <v>9567</v>
      </c>
    </row>
    <row r="2167" spans="7:7" x14ac:dyDescent="0.3">
      <c r="G2167" s="400" t="s">
        <v>9567</v>
      </c>
    </row>
    <row r="2168" spans="7:7" x14ac:dyDescent="0.3">
      <c r="G2168" s="400" t="s">
        <v>9567</v>
      </c>
    </row>
    <row r="2169" spans="7:7" x14ac:dyDescent="0.3">
      <c r="G2169" s="400" t="s">
        <v>9567</v>
      </c>
    </row>
    <row r="2170" spans="7:7" x14ac:dyDescent="0.3">
      <c r="G2170" s="400" t="s">
        <v>9567</v>
      </c>
    </row>
    <row r="2171" spans="7:7" x14ac:dyDescent="0.3">
      <c r="G2171" s="400" t="s">
        <v>9567</v>
      </c>
    </row>
    <row r="2172" spans="7:7" x14ac:dyDescent="0.3">
      <c r="G2172" s="400" t="s">
        <v>9567</v>
      </c>
    </row>
    <row r="2173" spans="7:7" x14ac:dyDescent="0.3">
      <c r="G2173" s="400" t="s">
        <v>9567</v>
      </c>
    </row>
    <row r="2174" spans="7:7" x14ac:dyDescent="0.3">
      <c r="G2174" s="400" t="s">
        <v>9567</v>
      </c>
    </row>
    <row r="2175" spans="7:7" x14ac:dyDescent="0.3">
      <c r="G2175" s="400" t="s">
        <v>9567</v>
      </c>
    </row>
    <row r="2176" spans="7:7" x14ac:dyDescent="0.3">
      <c r="G2176" s="400" t="s">
        <v>9567</v>
      </c>
    </row>
    <row r="2177" spans="7:7" x14ac:dyDescent="0.3">
      <c r="G2177" s="400" t="s">
        <v>9567</v>
      </c>
    </row>
    <row r="2178" spans="7:7" x14ac:dyDescent="0.3">
      <c r="G2178" s="400" t="s">
        <v>9567</v>
      </c>
    </row>
    <row r="2179" spans="7:7" x14ac:dyDescent="0.3">
      <c r="G2179" s="400" t="s">
        <v>9567</v>
      </c>
    </row>
    <row r="2180" spans="7:7" x14ac:dyDescent="0.3">
      <c r="G2180" s="400" t="s">
        <v>9567</v>
      </c>
    </row>
    <row r="2181" spans="7:7" x14ac:dyDescent="0.3">
      <c r="G2181" s="400" t="s">
        <v>9567</v>
      </c>
    </row>
    <row r="2182" spans="7:7" x14ac:dyDescent="0.3">
      <c r="G2182" s="400" t="s">
        <v>9567</v>
      </c>
    </row>
    <row r="2183" spans="7:7" x14ac:dyDescent="0.3">
      <c r="G2183" s="400" t="s">
        <v>9567</v>
      </c>
    </row>
    <row r="2184" spans="7:7" x14ac:dyDescent="0.3">
      <c r="G2184" s="400" t="s">
        <v>9567</v>
      </c>
    </row>
    <row r="2185" spans="7:7" x14ac:dyDescent="0.3">
      <c r="G2185" s="400" t="s">
        <v>9567</v>
      </c>
    </row>
    <row r="2186" spans="7:7" x14ac:dyDescent="0.3">
      <c r="G2186" s="400" t="s">
        <v>9567</v>
      </c>
    </row>
    <row r="2187" spans="7:7" x14ac:dyDescent="0.3">
      <c r="G2187" s="400" t="s">
        <v>9567</v>
      </c>
    </row>
    <row r="2188" spans="7:7" x14ac:dyDescent="0.3">
      <c r="G2188" s="400" t="s">
        <v>9567</v>
      </c>
    </row>
    <row r="2189" spans="7:7" x14ac:dyDescent="0.3">
      <c r="G2189" s="400" t="s">
        <v>9567</v>
      </c>
    </row>
    <row r="2190" spans="7:7" x14ac:dyDescent="0.3">
      <c r="G2190" s="400" t="s">
        <v>9567</v>
      </c>
    </row>
    <row r="2191" spans="7:7" x14ac:dyDescent="0.3">
      <c r="G2191" s="400" t="s">
        <v>9567</v>
      </c>
    </row>
    <row r="2192" spans="7:7" x14ac:dyDescent="0.3">
      <c r="G2192" s="400" t="s">
        <v>9567</v>
      </c>
    </row>
    <row r="2193" spans="7:7" x14ac:dyDescent="0.3">
      <c r="G2193" s="400" t="s">
        <v>9567</v>
      </c>
    </row>
    <row r="2194" spans="7:7" x14ac:dyDescent="0.3">
      <c r="G2194" s="400" t="s">
        <v>9567</v>
      </c>
    </row>
    <row r="2195" spans="7:7" x14ac:dyDescent="0.3">
      <c r="G2195" s="400" t="s">
        <v>9567</v>
      </c>
    </row>
    <row r="2196" spans="7:7" x14ac:dyDescent="0.3">
      <c r="G2196" s="400" t="s">
        <v>9567</v>
      </c>
    </row>
    <row r="2197" spans="7:7" x14ac:dyDescent="0.3">
      <c r="G2197" s="400" t="s">
        <v>9567</v>
      </c>
    </row>
    <row r="2198" spans="7:7" x14ac:dyDescent="0.3">
      <c r="G2198" s="400" t="s">
        <v>9567</v>
      </c>
    </row>
    <row r="2199" spans="7:7" x14ac:dyDescent="0.3">
      <c r="G2199" s="400" t="s">
        <v>9567</v>
      </c>
    </row>
    <row r="2200" spans="7:7" x14ac:dyDescent="0.3">
      <c r="G2200" s="400" t="s">
        <v>9567</v>
      </c>
    </row>
    <row r="2201" spans="7:7" x14ac:dyDescent="0.3">
      <c r="G2201" s="400" t="s">
        <v>9567</v>
      </c>
    </row>
    <row r="2202" spans="7:7" x14ac:dyDescent="0.3">
      <c r="G2202" s="400" t="s">
        <v>9567</v>
      </c>
    </row>
    <row r="2203" spans="7:7" x14ac:dyDescent="0.3">
      <c r="G2203" s="400" t="s">
        <v>9567</v>
      </c>
    </row>
    <row r="2204" spans="7:7" x14ac:dyDescent="0.3">
      <c r="G2204" s="400" t="s">
        <v>9567</v>
      </c>
    </row>
    <row r="2205" spans="7:7" x14ac:dyDescent="0.3">
      <c r="G2205" s="400" t="s">
        <v>9567</v>
      </c>
    </row>
    <row r="2206" spans="7:7" x14ac:dyDescent="0.3">
      <c r="G2206" s="400" t="s">
        <v>9567</v>
      </c>
    </row>
    <row r="2207" spans="7:7" x14ac:dyDescent="0.3">
      <c r="G2207" s="400" t="s">
        <v>9567</v>
      </c>
    </row>
    <row r="2208" spans="7:7" x14ac:dyDescent="0.3">
      <c r="G2208" s="400" t="s">
        <v>9567</v>
      </c>
    </row>
    <row r="2209" spans="7:7" x14ac:dyDescent="0.3">
      <c r="G2209" s="400" t="s">
        <v>9567</v>
      </c>
    </row>
    <row r="2210" spans="7:7" x14ac:dyDescent="0.3">
      <c r="G2210" s="400" t="s">
        <v>9567</v>
      </c>
    </row>
    <row r="2211" spans="7:7" x14ac:dyDescent="0.3">
      <c r="G2211" s="400" t="s">
        <v>9567</v>
      </c>
    </row>
    <row r="2212" spans="7:7" x14ac:dyDescent="0.3">
      <c r="G2212" s="400" t="s">
        <v>9567</v>
      </c>
    </row>
    <row r="2213" spans="7:7" x14ac:dyDescent="0.3">
      <c r="G2213" s="400" t="s">
        <v>9567</v>
      </c>
    </row>
    <row r="2214" spans="7:7" x14ac:dyDescent="0.3">
      <c r="G2214" s="400" t="s">
        <v>9567</v>
      </c>
    </row>
    <row r="2215" spans="7:7" x14ac:dyDescent="0.3">
      <c r="G2215" s="400" t="s">
        <v>9567</v>
      </c>
    </row>
    <row r="2216" spans="7:7" x14ac:dyDescent="0.3">
      <c r="G2216" s="400" t="s">
        <v>9567</v>
      </c>
    </row>
    <row r="2217" spans="7:7" x14ac:dyDescent="0.3">
      <c r="G2217" s="400" t="s">
        <v>9567</v>
      </c>
    </row>
    <row r="2218" spans="7:7" x14ac:dyDescent="0.3">
      <c r="G2218" s="400" t="s">
        <v>9567</v>
      </c>
    </row>
    <row r="2219" spans="7:7" x14ac:dyDescent="0.3">
      <c r="G2219" s="400" t="s">
        <v>9567</v>
      </c>
    </row>
    <row r="2220" spans="7:7" x14ac:dyDescent="0.3">
      <c r="G2220" s="400" t="s">
        <v>9567</v>
      </c>
    </row>
    <row r="2221" spans="7:7" x14ac:dyDescent="0.3">
      <c r="G2221" s="400" t="s">
        <v>9567</v>
      </c>
    </row>
    <row r="2222" spans="7:7" x14ac:dyDescent="0.3">
      <c r="G2222" s="400" t="s">
        <v>9567</v>
      </c>
    </row>
    <row r="2223" spans="7:7" x14ac:dyDescent="0.3">
      <c r="G2223" s="400" t="s">
        <v>9567</v>
      </c>
    </row>
    <row r="2224" spans="7:7" x14ac:dyDescent="0.3">
      <c r="G2224" s="400" t="s">
        <v>9567</v>
      </c>
    </row>
    <row r="2225" spans="7:7" x14ac:dyDescent="0.3">
      <c r="G2225" s="400" t="s">
        <v>9567</v>
      </c>
    </row>
    <row r="2226" spans="7:7" x14ac:dyDescent="0.3">
      <c r="G2226" s="400" t="s">
        <v>9567</v>
      </c>
    </row>
    <row r="2227" spans="7:7" x14ac:dyDescent="0.3">
      <c r="G2227" s="400" t="s">
        <v>9567</v>
      </c>
    </row>
    <row r="2228" spans="7:7" x14ac:dyDescent="0.3">
      <c r="G2228" s="400" t="s">
        <v>9567</v>
      </c>
    </row>
    <row r="2229" spans="7:7" x14ac:dyDescent="0.3">
      <c r="G2229" s="400" t="s">
        <v>9567</v>
      </c>
    </row>
    <row r="2230" spans="7:7" x14ac:dyDescent="0.3">
      <c r="G2230" s="400" t="s">
        <v>9567</v>
      </c>
    </row>
    <row r="2231" spans="7:7" x14ac:dyDescent="0.3">
      <c r="G2231" s="400" t="s">
        <v>9567</v>
      </c>
    </row>
    <row r="2232" spans="7:7" x14ac:dyDescent="0.3">
      <c r="G2232" s="400" t="s">
        <v>9567</v>
      </c>
    </row>
    <row r="2233" spans="7:7" x14ac:dyDescent="0.3">
      <c r="G2233" s="400" t="s">
        <v>9567</v>
      </c>
    </row>
    <row r="2234" spans="7:7" x14ac:dyDescent="0.3">
      <c r="G2234" s="400" t="s">
        <v>9567</v>
      </c>
    </row>
    <row r="2235" spans="7:7" x14ac:dyDescent="0.3">
      <c r="G2235" s="400" t="s">
        <v>9567</v>
      </c>
    </row>
    <row r="2236" spans="7:7" x14ac:dyDescent="0.3">
      <c r="G2236" s="400" t="s">
        <v>9567</v>
      </c>
    </row>
    <row r="2237" spans="7:7" x14ac:dyDescent="0.3">
      <c r="G2237" s="400" t="s">
        <v>9567</v>
      </c>
    </row>
    <row r="2238" spans="7:7" x14ac:dyDescent="0.3">
      <c r="G2238" s="400" t="s">
        <v>9567</v>
      </c>
    </row>
    <row r="2239" spans="7:7" x14ac:dyDescent="0.3">
      <c r="G2239" s="400" t="s">
        <v>9567</v>
      </c>
    </row>
    <row r="2240" spans="7:7" x14ac:dyDescent="0.3">
      <c r="G2240" s="400" t="s">
        <v>9567</v>
      </c>
    </row>
    <row r="2241" spans="7:7" x14ac:dyDescent="0.3">
      <c r="G2241" s="400" t="s">
        <v>9567</v>
      </c>
    </row>
    <row r="2242" spans="7:7" x14ac:dyDescent="0.3">
      <c r="G2242" s="400" t="s">
        <v>9567</v>
      </c>
    </row>
    <row r="2243" spans="7:7" x14ac:dyDescent="0.3">
      <c r="G2243" s="400" t="s">
        <v>9567</v>
      </c>
    </row>
    <row r="2244" spans="7:7" x14ac:dyDescent="0.3">
      <c r="G2244" s="400" t="s">
        <v>9567</v>
      </c>
    </row>
    <row r="2245" spans="7:7" x14ac:dyDescent="0.3">
      <c r="G2245" s="400" t="s">
        <v>9567</v>
      </c>
    </row>
    <row r="2246" spans="7:7" x14ac:dyDescent="0.3">
      <c r="G2246" s="400" t="s">
        <v>9567</v>
      </c>
    </row>
    <row r="2247" spans="7:7" x14ac:dyDescent="0.3">
      <c r="G2247" s="400" t="s">
        <v>9567</v>
      </c>
    </row>
    <row r="2248" spans="7:7" x14ac:dyDescent="0.3">
      <c r="G2248" s="400" t="s">
        <v>9567</v>
      </c>
    </row>
    <row r="2249" spans="7:7" x14ac:dyDescent="0.3">
      <c r="G2249" s="400" t="s">
        <v>9567</v>
      </c>
    </row>
    <row r="2250" spans="7:7" x14ac:dyDescent="0.3">
      <c r="G2250" s="400" t="s">
        <v>9567</v>
      </c>
    </row>
    <row r="2251" spans="7:7" x14ac:dyDescent="0.3">
      <c r="G2251" s="400" t="s">
        <v>9567</v>
      </c>
    </row>
    <row r="2252" spans="7:7" x14ac:dyDescent="0.3">
      <c r="G2252" s="400" t="s">
        <v>9567</v>
      </c>
    </row>
    <row r="2253" spans="7:7" x14ac:dyDescent="0.3">
      <c r="G2253" s="400" t="s">
        <v>9567</v>
      </c>
    </row>
    <row r="2254" spans="7:7" x14ac:dyDescent="0.3">
      <c r="G2254" s="400" t="s">
        <v>9567</v>
      </c>
    </row>
    <row r="2255" spans="7:7" x14ac:dyDescent="0.3">
      <c r="G2255" s="400" t="s">
        <v>9567</v>
      </c>
    </row>
    <row r="2256" spans="7:7" x14ac:dyDescent="0.3">
      <c r="G2256" s="400" t="s">
        <v>9567</v>
      </c>
    </row>
    <row r="2257" spans="7:7" x14ac:dyDescent="0.3">
      <c r="G2257" s="400" t="s">
        <v>9567</v>
      </c>
    </row>
    <row r="2258" spans="7:7" x14ac:dyDescent="0.3">
      <c r="G2258" s="400" t="s">
        <v>9567</v>
      </c>
    </row>
    <row r="2259" spans="7:7" x14ac:dyDescent="0.3">
      <c r="G2259" s="400" t="s">
        <v>9567</v>
      </c>
    </row>
    <row r="2260" spans="7:7" x14ac:dyDescent="0.3">
      <c r="G2260" s="400" t="s">
        <v>9567</v>
      </c>
    </row>
    <row r="2261" spans="7:7" x14ac:dyDescent="0.3">
      <c r="G2261" s="400" t="s">
        <v>9567</v>
      </c>
    </row>
    <row r="2262" spans="7:7" x14ac:dyDescent="0.3">
      <c r="G2262" s="400" t="s">
        <v>9567</v>
      </c>
    </row>
    <row r="2263" spans="7:7" x14ac:dyDescent="0.3">
      <c r="G2263" s="400" t="s">
        <v>9567</v>
      </c>
    </row>
    <row r="2264" spans="7:7" x14ac:dyDescent="0.3">
      <c r="G2264" s="400" t="s">
        <v>9567</v>
      </c>
    </row>
    <row r="2265" spans="7:7" x14ac:dyDescent="0.3">
      <c r="G2265" s="400" t="s">
        <v>9567</v>
      </c>
    </row>
    <row r="2266" spans="7:7" x14ac:dyDescent="0.3">
      <c r="G2266" s="400" t="s">
        <v>9567</v>
      </c>
    </row>
    <row r="2267" spans="7:7" x14ac:dyDescent="0.3">
      <c r="G2267" s="400" t="s">
        <v>9567</v>
      </c>
    </row>
    <row r="2268" spans="7:7" x14ac:dyDescent="0.3">
      <c r="G2268" s="400" t="s">
        <v>9567</v>
      </c>
    </row>
    <row r="2269" spans="7:7" x14ac:dyDescent="0.3">
      <c r="G2269" s="400" t="s">
        <v>9567</v>
      </c>
    </row>
    <row r="2270" spans="7:7" x14ac:dyDescent="0.3">
      <c r="G2270" s="400" t="s">
        <v>9567</v>
      </c>
    </row>
    <row r="2271" spans="7:7" x14ac:dyDescent="0.3">
      <c r="G2271" s="400" t="s">
        <v>9567</v>
      </c>
    </row>
    <row r="2272" spans="7:7" x14ac:dyDescent="0.3">
      <c r="G2272" s="400" t="s">
        <v>9567</v>
      </c>
    </row>
    <row r="2273" spans="7:7" x14ac:dyDescent="0.3">
      <c r="G2273" s="400" t="s">
        <v>9567</v>
      </c>
    </row>
    <row r="2274" spans="7:7" x14ac:dyDescent="0.3">
      <c r="G2274" s="400" t="s">
        <v>9567</v>
      </c>
    </row>
    <row r="2275" spans="7:7" x14ac:dyDescent="0.3">
      <c r="G2275" s="400" t="s">
        <v>9567</v>
      </c>
    </row>
    <row r="2276" spans="7:7" x14ac:dyDescent="0.3">
      <c r="G2276" s="400" t="s">
        <v>9567</v>
      </c>
    </row>
    <row r="2277" spans="7:7" x14ac:dyDescent="0.3">
      <c r="G2277" s="400" t="s">
        <v>9567</v>
      </c>
    </row>
    <row r="2278" spans="7:7" x14ac:dyDescent="0.3">
      <c r="G2278" s="400" t="s">
        <v>9567</v>
      </c>
    </row>
    <row r="2279" spans="7:7" x14ac:dyDescent="0.3">
      <c r="G2279" s="400" t="s">
        <v>9567</v>
      </c>
    </row>
    <row r="2280" spans="7:7" x14ac:dyDescent="0.3">
      <c r="G2280" s="400" t="s">
        <v>9567</v>
      </c>
    </row>
    <row r="2281" spans="7:7" x14ac:dyDescent="0.3">
      <c r="G2281" s="400" t="s">
        <v>9567</v>
      </c>
    </row>
    <row r="2282" spans="7:7" x14ac:dyDescent="0.3">
      <c r="G2282" s="400" t="s">
        <v>9567</v>
      </c>
    </row>
    <row r="2283" spans="7:7" x14ac:dyDescent="0.3">
      <c r="G2283" s="400" t="s">
        <v>9567</v>
      </c>
    </row>
    <row r="2284" spans="7:7" x14ac:dyDescent="0.3">
      <c r="G2284" s="400" t="s">
        <v>9567</v>
      </c>
    </row>
    <row r="2285" spans="7:7" x14ac:dyDescent="0.3">
      <c r="G2285" s="400" t="s">
        <v>9567</v>
      </c>
    </row>
    <row r="2286" spans="7:7" x14ac:dyDescent="0.3">
      <c r="G2286" s="400" t="s">
        <v>9567</v>
      </c>
    </row>
    <row r="2287" spans="7:7" x14ac:dyDescent="0.3">
      <c r="G2287" s="400" t="s">
        <v>9567</v>
      </c>
    </row>
    <row r="2288" spans="7:7" x14ac:dyDescent="0.3">
      <c r="G2288" s="400" t="s">
        <v>9567</v>
      </c>
    </row>
    <row r="2289" spans="7:7" x14ac:dyDescent="0.3">
      <c r="G2289" s="400" t="s">
        <v>9567</v>
      </c>
    </row>
    <row r="2290" spans="7:7" x14ac:dyDescent="0.3">
      <c r="G2290" s="400" t="s">
        <v>9567</v>
      </c>
    </row>
    <row r="2291" spans="7:7" x14ac:dyDescent="0.3">
      <c r="G2291" s="400" t="s">
        <v>9567</v>
      </c>
    </row>
    <row r="2292" spans="7:7" x14ac:dyDescent="0.3">
      <c r="G2292" s="400" t="s">
        <v>9567</v>
      </c>
    </row>
    <row r="2293" spans="7:7" x14ac:dyDescent="0.3">
      <c r="G2293" s="400" t="s">
        <v>9567</v>
      </c>
    </row>
    <row r="2294" spans="7:7" x14ac:dyDescent="0.3">
      <c r="G2294" s="400" t="s">
        <v>9567</v>
      </c>
    </row>
    <row r="2295" spans="7:7" x14ac:dyDescent="0.3">
      <c r="G2295" s="400" t="s">
        <v>9567</v>
      </c>
    </row>
    <row r="2296" spans="7:7" x14ac:dyDescent="0.3">
      <c r="G2296" s="400" t="s">
        <v>9567</v>
      </c>
    </row>
    <row r="2297" spans="7:7" x14ac:dyDescent="0.3">
      <c r="G2297" s="400" t="s">
        <v>9567</v>
      </c>
    </row>
    <row r="2298" spans="7:7" x14ac:dyDescent="0.3">
      <c r="G2298" s="400" t="s">
        <v>9567</v>
      </c>
    </row>
    <row r="2299" spans="7:7" x14ac:dyDescent="0.3">
      <c r="G2299" s="400" t="s">
        <v>9567</v>
      </c>
    </row>
    <row r="2300" spans="7:7" x14ac:dyDescent="0.3">
      <c r="G2300" s="400" t="s">
        <v>9567</v>
      </c>
    </row>
    <row r="2301" spans="7:7" x14ac:dyDescent="0.3">
      <c r="G2301" s="400" t="s">
        <v>9567</v>
      </c>
    </row>
    <row r="2302" spans="7:7" x14ac:dyDescent="0.3">
      <c r="G2302" s="400" t="s">
        <v>9567</v>
      </c>
    </row>
    <row r="2303" spans="7:7" x14ac:dyDescent="0.3">
      <c r="G2303" s="400" t="s">
        <v>9567</v>
      </c>
    </row>
    <row r="2304" spans="7:7" x14ac:dyDescent="0.3">
      <c r="G2304" s="400" t="s">
        <v>9567</v>
      </c>
    </row>
    <row r="2305" spans="7:7" x14ac:dyDescent="0.3">
      <c r="G2305" s="400" t="s">
        <v>9567</v>
      </c>
    </row>
    <row r="2306" spans="7:7" x14ac:dyDescent="0.3">
      <c r="G2306" s="400" t="s">
        <v>9567</v>
      </c>
    </row>
    <row r="2307" spans="7:7" x14ac:dyDescent="0.3">
      <c r="G2307" s="400" t="s">
        <v>9567</v>
      </c>
    </row>
    <row r="2308" spans="7:7" x14ac:dyDescent="0.3">
      <c r="G2308" s="400" t="s">
        <v>9567</v>
      </c>
    </row>
    <row r="2309" spans="7:7" x14ac:dyDescent="0.3">
      <c r="G2309" s="400" t="s">
        <v>9567</v>
      </c>
    </row>
    <row r="2310" spans="7:7" x14ac:dyDescent="0.3">
      <c r="G2310" s="400" t="s">
        <v>9567</v>
      </c>
    </row>
    <row r="2311" spans="7:7" x14ac:dyDescent="0.3">
      <c r="G2311" s="400" t="s">
        <v>9567</v>
      </c>
    </row>
    <row r="2312" spans="7:7" x14ac:dyDescent="0.3">
      <c r="G2312" s="400" t="s">
        <v>9567</v>
      </c>
    </row>
    <row r="2313" spans="7:7" x14ac:dyDescent="0.3">
      <c r="G2313" s="400" t="s">
        <v>9567</v>
      </c>
    </row>
    <row r="2314" spans="7:7" x14ac:dyDescent="0.3">
      <c r="G2314" s="400" t="s">
        <v>9567</v>
      </c>
    </row>
    <row r="2315" spans="7:7" x14ac:dyDescent="0.3">
      <c r="G2315" s="400" t="s">
        <v>9567</v>
      </c>
    </row>
    <row r="2316" spans="7:7" x14ac:dyDescent="0.3">
      <c r="G2316" s="400" t="s">
        <v>9567</v>
      </c>
    </row>
    <row r="2317" spans="7:7" x14ac:dyDescent="0.3">
      <c r="G2317" s="400" t="s">
        <v>9567</v>
      </c>
    </row>
    <row r="2318" spans="7:7" x14ac:dyDescent="0.3">
      <c r="G2318" s="400" t="s">
        <v>9567</v>
      </c>
    </row>
    <row r="2319" spans="7:7" x14ac:dyDescent="0.3">
      <c r="G2319" s="400" t="s">
        <v>9567</v>
      </c>
    </row>
    <row r="2320" spans="7:7" x14ac:dyDescent="0.3">
      <c r="G2320" s="400" t="s">
        <v>9567</v>
      </c>
    </row>
    <row r="2321" spans="7:7" x14ac:dyDescent="0.3">
      <c r="G2321" s="400" t="s">
        <v>9567</v>
      </c>
    </row>
    <row r="2322" spans="7:7" x14ac:dyDescent="0.3">
      <c r="G2322" s="400" t="s">
        <v>9567</v>
      </c>
    </row>
    <row r="2323" spans="7:7" x14ac:dyDescent="0.3">
      <c r="G2323" s="400" t="s">
        <v>9567</v>
      </c>
    </row>
    <row r="2324" spans="7:7" x14ac:dyDescent="0.3">
      <c r="G2324" s="400" t="s">
        <v>9567</v>
      </c>
    </row>
    <row r="2325" spans="7:7" x14ac:dyDescent="0.3">
      <c r="G2325" s="400" t="s">
        <v>9567</v>
      </c>
    </row>
    <row r="2326" spans="7:7" x14ac:dyDescent="0.3">
      <c r="G2326" s="400" t="s">
        <v>9567</v>
      </c>
    </row>
    <row r="2327" spans="7:7" x14ac:dyDescent="0.3">
      <c r="G2327" s="400" t="s">
        <v>9567</v>
      </c>
    </row>
    <row r="2328" spans="7:7" x14ac:dyDescent="0.3">
      <c r="G2328" s="400" t="s">
        <v>9567</v>
      </c>
    </row>
    <row r="2329" spans="7:7" x14ac:dyDescent="0.3">
      <c r="G2329" s="400" t="s">
        <v>9567</v>
      </c>
    </row>
    <row r="2330" spans="7:7" x14ac:dyDescent="0.3">
      <c r="G2330" s="400" t="s">
        <v>9567</v>
      </c>
    </row>
    <row r="2331" spans="7:7" x14ac:dyDescent="0.3">
      <c r="G2331" s="400" t="s">
        <v>9567</v>
      </c>
    </row>
    <row r="2332" spans="7:7" x14ac:dyDescent="0.3">
      <c r="G2332" s="400" t="s">
        <v>9567</v>
      </c>
    </row>
    <row r="2333" spans="7:7" x14ac:dyDescent="0.3">
      <c r="G2333" s="400" t="s">
        <v>9567</v>
      </c>
    </row>
    <row r="2334" spans="7:7" x14ac:dyDescent="0.3">
      <c r="G2334" s="400" t="s">
        <v>9567</v>
      </c>
    </row>
    <row r="2335" spans="7:7" x14ac:dyDescent="0.3">
      <c r="G2335" s="400" t="s">
        <v>9567</v>
      </c>
    </row>
    <row r="2336" spans="7:7" x14ac:dyDescent="0.3">
      <c r="G2336" s="400" t="s">
        <v>9567</v>
      </c>
    </row>
    <row r="2337" spans="7:7" x14ac:dyDescent="0.3">
      <c r="G2337" s="400" t="s">
        <v>9567</v>
      </c>
    </row>
    <row r="2338" spans="7:7" x14ac:dyDescent="0.3">
      <c r="G2338" s="400" t="s">
        <v>9567</v>
      </c>
    </row>
    <row r="2339" spans="7:7" x14ac:dyDescent="0.3">
      <c r="G2339" s="400" t="s">
        <v>9567</v>
      </c>
    </row>
    <row r="2340" spans="7:7" x14ac:dyDescent="0.3">
      <c r="G2340" s="400" t="s">
        <v>9567</v>
      </c>
    </row>
    <row r="2341" spans="7:7" x14ac:dyDescent="0.3">
      <c r="G2341" s="400" t="s">
        <v>9567</v>
      </c>
    </row>
    <row r="2342" spans="7:7" x14ac:dyDescent="0.3">
      <c r="G2342" s="400" t="s">
        <v>9567</v>
      </c>
    </row>
    <row r="2343" spans="7:7" x14ac:dyDescent="0.3">
      <c r="G2343" s="400" t="s">
        <v>9567</v>
      </c>
    </row>
    <row r="2344" spans="7:7" x14ac:dyDescent="0.3">
      <c r="G2344" s="400" t="s">
        <v>9567</v>
      </c>
    </row>
    <row r="2345" spans="7:7" x14ac:dyDescent="0.3">
      <c r="G2345" s="400" t="s">
        <v>9567</v>
      </c>
    </row>
    <row r="2346" spans="7:7" x14ac:dyDescent="0.3">
      <c r="G2346" s="400" t="s">
        <v>9567</v>
      </c>
    </row>
    <row r="2347" spans="7:7" x14ac:dyDescent="0.3">
      <c r="G2347" s="400" t="s">
        <v>9567</v>
      </c>
    </row>
    <row r="2348" spans="7:7" x14ac:dyDescent="0.3">
      <c r="G2348" s="400" t="s">
        <v>9567</v>
      </c>
    </row>
    <row r="2349" spans="7:7" x14ac:dyDescent="0.3">
      <c r="G2349" s="400" t="s">
        <v>9567</v>
      </c>
    </row>
    <row r="2350" spans="7:7" x14ac:dyDescent="0.3">
      <c r="G2350" s="400" t="s">
        <v>9567</v>
      </c>
    </row>
    <row r="2351" spans="7:7" x14ac:dyDescent="0.3">
      <c r="G2351" s="400" t="s">
        <v>9567</v>
      </c>
    </row>
    <row r="2352" spans="7:7" x14ac:dyDescent="0.3">
      <c r="G2352" s="400" t="s">
        <v>9567</v>
      </c>
    </row>
    <row r="2353" spans="7:7" x14ac:dyDescent="0.3">
      <c r="G2353" s="400" t="s">
        <v>9567</v>
      </c>
    </row>
    <row r="2354" spans="7:7" x14ac:dyDescent="0.3">
      <c r="G2354" s="400" t="s">
        <v>9567</v>
      </c>
    </row>
    <row r="2355" spans="7:7" x14ac:dyDescent="0.3">
      <c r="G2355" s="400" t="s">
        <v>9567</v>
      </c>
    </row>
    <row r="2356" spans="7:7" x14ac:dyDescent="0.3">
      <c r="G2356" s="400" t="s">
        <v>9567</v>
      </c>
    </row>
    <row r="2357" spans="7:7" x14ac:dyDescent="0.3">
      <c r="G2357" s="400" t="s">
        <v>9567</v>
      </c>
    </row>
    <row r="2358" spans="7:7" x14ac:dyDescent="0.3">
      <c r="G2358" s="400" t="s">
        <v>9567</v>
      </c>
    </row>
    <row r="2359" spans="7:7" x14ac:dyDescent="0.3">
      <c r="G2359" s="400" t="s">
        <v>9567</v>
      </c>
    </row>
    <row r="2360" spans="7:7" x14ac:dyDescent="0.3">
      <c r="G2360" s="400" t="s">
        <v>9567</v>
      </c>
    </row>
    <row r="2361" spans="7:7" x14ac:dyDescent="0.3">
      <c r="G2361" s="400" t="s">
        <v>9567</v>
      </c>
    </row>
    <row r="2362" spans="7:7" x14ac:dyDescent="0.3">
      <c r="G2362" s="400" t="s">
        <v>9567</v>
      </c>
    </row>
    <row r="2363" spans="7:7" x14ac:dyDescent="0.3">
      <c r="G2363" s="400" t="s">
        <v>9567</v>
      </c>
    </row>
    <row r="2364" spans="7:7" x14ac:dyDescent="0.3">
      <c r="G2364" s="400" t="s">
        <v>9567</v>
      </c>
    </row>
    <row r="2365" spans="7:7" x14ac:dyDescent="0.3">
      <c r="G2365" s="400" t="s">
        <v>9567</v>
      </c>
    </row>
    <row r="2366" spans="7:7" x14ac:dyDescent="0.3">
      <c r="G2366" s="400" t="s">
        <v>9567</v>
      </c>
    </row>
    <row r="2367" spans="7:7" x14ac:dyDescent="0.3">
      <c r="G2367" s="400" t="s">
        <v>9567</v>
      </c>
    </row>
    <row r="2368" spans="7:7" x14ac:dyDescent="0.3">
      <c r="G2368" s="400" t="s">
        <v>9567</v>
      </c>
    </row>
    <row r="2369" spans="7:7" x14ac:dyDescent="0.3">
      <c r="G2369" s="400" t="s">
        <v>9567</v>
      </c>
    </row>
    <row r="2370" spans="7:7" x14ac:dyDescent="0.3">
      <c r="G2370" s="400" t="s">
        <v>9567</v>
      </c>
    </row>
    <row r="2371" spans="7:7" x14ac:dyDescent="0.3">
      <c r="G2371" s="400" t="s">
        <v>9567</v>
      </c>
    </row>
    <row r="2372" spans="7:7" x14ac:dyDescent="0.3">
      <c r="G2372" s="400" t="s">
        <v>9567</v>
      </c>
    </row>
    <row r="2373" spans="7:7" x14ac:dyDescent="0.3">
      <c r="G2373" s="400" t="s">
        <v>9567</v>
      </c>
    </row>
    <row r="2374" spans="7:7" x14ac:dyDescent="0.3">
      <c r="G2374" s="400" t="s">
        <v>9567</v>
      </c>
    </row>
    <row r="2375" spans="7:7" x14ac:dyDescent="0.3">
      <c r="G2375" s="400" t="s">
        <v>9567</v>
      </c>
    </row>
    <row r="2376" spans="7:7" x14ac:dyDescent="0.3">
      <c r="G2376" s="400" t="s">
        <v>9567</v>
      </c>
    </row>
    <row r="2377" spans="7:7" x14ac:dyDescent="0.3">
      <c r="G2377" s="400" t="s">
        <v>9567</v>
      </c>
    </row>
    <row r="2378" spans="7:7" x14ac:dyDescent="0.3">
      <c r="G2378" s="400" t="s">
        <v>9567</v>
      </c>
    </row>
    <row r="2379" spans="7:7" x14ac:dyDescent="0.3">
      <c r="G2379" s="400" t="s">
        <v>9567</v>
      </c>
    </row>
    <row r="2380" spans="7:7" x14ac:dyDescent="0.3">
      <c r="G2380" s="400" t="s">
        <v>9567</v>
      </c>
    </row>
    <row r="2381" spans="7:7" x14ac:dyDescent="0.3">
      <c r="G2381" s="400" t="s">
        <v>9567</v>
      </c>
    </row>
    <row r="2382" spans="7:7" x14ac:dyDescent="0.3">
      <c r="G2382" s="400" t="s">
        <v>9567</v>
      </c>
    </row>
    <row r="2383" spans="7:7" x14ac:dyDescent="0.3">
      <c r="G2383" s="400" t="s">
        <v>9567</v>
      </c>
    </row>
    <row r="2384" spans="7:7" x14ac:dyDescent="0.3">
      <c r="G2384" s="400" t="s">
        <v>9567</v>
      </c>
    </row>
    <row r="2385" spans="7:7" x14ac:dyDescent="0.3">
      <c r="G2385" s="400" t="s">
        <v>9567</v>
      </c>
    </row>
    <row r="2386" spans="7:7" x14ac:dyDescent="0.3">
      <c r="G2386" s="400" t="s">
        <v>9567</v>
      </c>
    </row>
    <row r="2387" spans="7:7" x14ac:dyDescent="0.3">
      <c r="G2387" s="400" t="s">
        <v>9567</v>
      </c>
    </row>
    <row r="2388" spans="7:7" x14ac:dyDescent="0.3">
      <c r="G2388" s="400" t="s">
        <v>9567</v>
      </c>
    </row>
    <row r="2389" spans="7:7" x14ac:dyDescent="0.3">
      <c r="G2389" s="400" t="s">
        <v>9567</v>
      </c>
    </row>
    <row r="2390" spans="7:7" x14ac:dyDescent="0.3">
      <c r="G2390" s="400" t="s">
        <v>9567</v>
      </c>
    </row>
    <row r="2391" spans="7:7" x14ac:dyDescent="0.3">
      <c r="G2391" s="400" t="s">
        <v>9567</v>
      </c>
    </row>
    <row r="2392" spans="7:7" x14ac:dyDescent="0.3">
      <c r="G2392" s="400" t="s">
        <v>9567</v>
      </c>
    </row>
    <row r="2393" spans="7:7" x14ac:dyDescent="0.3">
      <c r="G2393" s="400" t="s">
        <v>9567</v>
      </c>
    </row>
    <row r="2394" spans="7:7" x14ac:dyDescent="0.3">
      <c r="G2394" s="400" t="s">
        <v>9567</v>
      </c>
    </row>
    <row r="2395" spans="7:7" x14ac:dyDescent="0.3">
      <c r="G2395" s="400" t="s">
        <v>9567</v>
      </c>
    </row>
    <row r="2396" spans="7:7" x14ac:dyDescent="0.3">
      <c r="G2396" s="400" t="s">
        <v>9567</v>
      </c>
    </row>
    <row r="2397" spans="7:7" x14ac:dyDescent="0.3">
      <c r="G2397" s="400" t="s">
        <v>9567</v>
      </c>
    </row>
    <row r="2398" spans="7:7" x14ac:dyDescent="0.3">
      <c r="G2398" s="400" t="s">
        <v>9567</v>
      </c>
    </row>
    <row r="2399" spans="7:7" x14ac:dyDescent="0.3">
      <c r="G2399" s="400" t="s">
        <v>9567</v>
      </c>
    </row>
    <row r="2400" spans="7:7" x14ac:dyDescent="0.3">
      <c r="G2400" s="400" t="s">
        <v>9567</v>
      </c>
    </row>
    <row r="2401" spans="7:7" x14ac:dyDescent="0.3">
      <c r="G2401" s="400" t="s">
        <v>9567</v>
      </c>
    </row>
    <row r="2402" spans="7:7" x14ac:dyDescent="0.3">
      <c r="G2402" s="400" t="s">
        <v>9567</v>
      </c>
    </row>
    <row r="2403" spans="7:7" x14ac:dyDescent="0.3">
      <c r="G2403" s="400" t="s">
        <v>9567</v>
      </c>
    </row>
    <row r="2404" spans="7:7" x14ac:dyDescent="0.3">
      <c r="G2404" s="400" t="s">
        <v>9567</v>
      </c>
    </row>
    <row r="2405" spans="7:7" x14ac:dyDescent="0.3">
      <c r="G2405" s="400" t="s">
        <v>9567</v>
      </c>
    </row>
    <row r="2406" spans="7:7" x14ac:dyDescent="0.3">
      <c r="G2406" s="400" t="s">
        <v>9567</v>
      </c>
    </row>
    <row r="2407" spans="7:7" x14ac:dyDescent="0.3">
      <c r="G2407" s="400" t="s">
        <v>9567</v>
      </c>
    </row>
    <row r="2408" spans="7:7" x14ac:dyDescent="0.3">
      <c r="G2408" s="400" t="s">
        <v>9567</v>
      </c>
    </row>
    <row r="2409" spans="7:7" x14ac:dyDescent="0.3">
      <c r="G2409" s="400" t="s">
        <v>9567</v>
      </c>
    </row>
    <row r="2410" spans="7:7" x14ac:dyDescent="0.3">
      <c r="G2410" s="400" t="s">
        <v>9567</v>
      </c>
    </row>
    <row r="2411" spans="7:7" x14ac:dyDescent="0.3">
      <c r="G2411" s="400" t="s">
        <v>9567</v>
      </c>
    </row>
    <row r="2412" spans="7:7" x14ac:dyDescent="0.3">
      <c r="G2412" s="400" t="s">
        <v>9567</v>
      </c>
    </row>
    <row r="2413" spans="7:7" x14ac:dyDescent="0.3">
      <c r="G2413" s="400" t="s">
        <v>9567</v>
      </c>
    </row>
    <row r="2414" spans="7:7" x14ac:dyDescent="0.3">
      <c r="G2414" s="400" t="s">
        <v>9567</v>
      </c>
    </row>
    <row r="2415" spans="7:7" x14ac:dyDescent="0.3">
      <c r="G2415" s="400" t="s">
        <v>9567</v>
      </c>
    </row>
    <row r="2416" spans="7:7" x14ac:dyDescent="0.3">
      <c r="G2416" s="400" t="s">
        <v>9567</v>
      </c>
    </row>
    <row r="2417" spans="7:7" x14ac:dyDescent="0.3">
      <c r="G2417" s="400" t="s">
        <v>9567</v>
      </c>
    </row>
    <row r="2418" spans="7:7" x14ac:dyDescent="0.3">
      <c r="G2418" s="400" t="s">
        <v>9567</v>
      </c>
    </row>
    <row r="2419" spans="7:7" x14ac:dyDescent="0.3">
      <c r="G2419" s="400" t="s">
        <v>9567</v>
      </c>
    </row>
    <row r="2420" spans="7:7" x14ac:dyDescent="0.3">
      <c r="G2420" s="400" t="s">
        <v>9567</v>
      </c>
    </row>
    <row r="2421" spans="7:7" x14ac:dyDescent="0.3">
      <c r="G2421" s="400" t="s">
        <v>9567</v>
      </c>
    </row>
    <row r="2422" spans="7:7" x14ac:dyDescent="0.3">
      <c r="G2422" s="400" t="s">
        <v>9567</v>
      </c>
    </row>
    <row r="2423" spans="7:7" x14ac:dyDescent="0.3">
      <c r="G2423" s="400" t="s">
        <v>9567</v>
      </c>
    </row>
    <row r="2424" spans="7:7" x14ac:dyDescent="0.3">
      <c r="G2424" s="400" t="s">
        <v>9567</v>
      </c>
    </row>
    <row r="2425" spans="7:7" x14ac:dyDescent="0.3">
      <c r="G2425" s="400" t="s">
        <v>9567</v>
      </c>
    </row>
    <row r="2426" spans="7:7" x14ac:dyDescent="0.3">
      <c r="G2426" s="400" t="s">
        <v>9567</v>
      </c>
    </row>
    <row r="2427" spans="7:7" x14ac:dyDescent="0.3">
      <c r="G2427" s="400" t="s">
        <v>9567</v>
      </c>
    </row>
    <row r="2428" spans="7:7" x14ac:dyDescent="0.3">
      <c r="G2428" s="400" t="s">
        <v>9567</v>
      </c>
    </row>
    <row r="2429" spans="7:7" x14ac:dyDescent="0.3">
      <c r="G2429" s="400" t="s">
        <v>9567</v>
      </c>
    </row>
    <row r="2430" spans="7:7" x14ac:dyDescent="0.3">
      <c r="G2430" s="400" t="s">
        <v>9567</v>
      </c>
    </row>
    <row r="2431" spans="7:7" x14ac:dyDescent="0.3">
      <c r="G2431" s="400" t="s">
        <v>9567</v>
      </c>
    </row>
    <row r="2432" spans="7:7" x14ac:dyDescent="0.3">
      <c r="G2432" s="400" t="s">
        <v>9567</v>
      </c>
    </row>
    <row r="2433" spans="7:7" x14ac:dyDescent="0.3">
      <c r="G2433" s="400" t="s">
        <v>9567</v>
      </c>
    </row>
    <row r="2434" spans="7:7" x14ac:dyDescent="0.3">
      <c r="G2434" s="400" t="s">
        <v>9567</v>
      </c>
    </row>
    <row r="2435" spans="7:7" x14ac:dyDescent="0.3">
      <c r="G2435" s="400" t="s">
        <v>9567</v>
      </c>
    </row>
    <row r="2436" spans="7:7" x14ac:dyDescent="0.3">
      <c r="G2436" s="400" t="s">
        <v>9567</v>
      </c>
    </row>
    <row r="2437" spans="7:7" x14ac:dyDescent="0.3">
      <c r="G2437" s="400" t="s">
        <v>9567</v>
      </c>
    </row>
    <row r="2438" spans="7:7" x14ac:dyDescent="0.3">
      <c r="G2438" s="400" t="s">
        <v>9567</v>
      </c>
    </row>
    <row r="2439" spans="7:7" x14ac:dyDescent="0.3">
      <c r="G2439" s="400" t="s">
        <v>9567</v>
      </c>
    </row>
    <row r="2440" spans="7:7" x14ac:dyDescent="0.3">
      <c r="G2440" s="400" t="s">
        <v>9567</v>
      </c>
    </row>
    <row r="2441" spans="7:7" x14ac:dyDescent="0.3">
      <c r="G2441" s="400" t="s">
        <v>9567</v>
      </c>
    </row>
    <row r="2442" spans="7:7" x14ac:dyDescent="0.3">
      <c r="G2442" s="400" t="s">
        <v>9567</v>
      </c>
    </row>
    <row r="2443" spans="7:7" x14ac:dyDescent="0.3">
      <c r="G2443" s="400" t="s">
        <v>9567</v>
      </c>
    </row>
    <row r="2444" spans="7:7" x14ac:dyDescent="0.3">
      <c r="G2444" s="400" t="s">
        <v>9567</v>
      </c>
    </row>
    <row r="2445" spans="7:7" x14ac:dyDescent="0.3">
      <c r="G2445" s="400" t="s">
        <v>9567</v>
      </c>
    </row>
    <row r="2446" spans="7:7" x14ac:dyDescent="0.3">
      <c r="G2446" s="400" t="s">
        <v>9567</v>
      </c>
    </row>
    <row r="2447" spans="7:7" x14ac:dyDescent="0.3">
      <c r="G2447" s="400" t="s">
        <v>9567</v>
      </c>
    </row>
    <row r="2448" spans="7:7" x14ac:dyDescent="0.3">
      <c r="G2448" s="400" t="s">
        <v>9567</v>
      </c>
    </row>
    <row r="2449" spans="7:7" x14ac:dyDescent="0.3">
      <c r="G2449" s="400" t="s">
        <v>9567</v>
      </c>
    </row>
    <row r="2450" spans="7:7" x14ac:dyDescent="0.3">
      <c r="G2450" s="400" t="s">
        <v>9567</v>
      </c>
    </row>
    <row r="2451" spans="7:7" x14ac:dyDescent="0.3">
      <c r="G2451" s="400" t="s">
        <v>9567</v>
      </c>
    </row>
    <row r="2452" spans="7:7" x14ac:dyDescent="0.3">
      <c r="G2452" s="400" t="s">
        <v>9567</v>
      </c>
    </row>
    <row r="2453" spans="7:7" x14ac:dyDescent="0.3">
      <c r="G2453" s="400" t="s">
        <v>9567</v>
      </c>
    </row>
    <row r="2454" spans="7:7" x14ac:dyDescent="0.3">
      <c r="G2454" s="400" t="s">
        <v>9567</v>
      </c>
    </row>
    <row r="2455" spans="7:7" x14ac:dyDescent="0.3">
      <c r="G2455" s="400" t="s">
        <v>9567</v>
      </c>
    </row>
    <row r="2456" spans="7:7" x14ac:dyDescent="0.3">
      <c r="G2456" s="400" t="s">
        <v>9567</v>
      </c>
    </row>
    <row r="2457" spans="7:7" x14ac:dyDescent="0.3">
      <c r="G2457" s="400" t="s">
        <v>9567</v>
      </c>
    </row>
    <row r="2458" spans="7:7" x14ac:dyDescent="0.3">
      <c r="G2458" s="400" t="s">
        <v>9567</v>
      </c>
    </row>
    <row r="2459" spans="7:7" x14ac:dyDescent="0.3">
      <c r="G2459" s="400" t="s">
        <v>9567</v>
      </c>
    </row>
    <row r="2460" spans="7:7" x14ac:dyDescent="0.3">
      <c r="G2460" s="400" t="s">
        <v>9567</v>
      </c>
    </row>
    <row r="2461" spans="7:7" x14ac:dyDescent="0.3">
      <c r="G2461" s="400" t="s">
        <v>9567</v>
      </c>
    </row>
    <row r="2462" spans="7:7" x14ac:dyDescent="0.3">
      <c r="G2462" s="400" t="s">
        <v>9567</v>
      </c>
    </row>
    <row r="2463" spans="7:7" x14ac:dyDescent="0.3">
      <c r="G2463" s="400" t="s">
        <v>9567</v>
      </c>
    </row>
    <row r="2464" spans="7:7" x14ac:dyDescent="0.3">
      <c r="G2464" s="400" t="s">
        <v>9567</v>
      </c>
    </row>
    <row r="2465" spans="7:7" x14ac:dyDescent="0.3">
      <c r="G2465" s="400" t="s">
        <v>9567</v>
      </c>
    </row>
    <row r="2466" spans="7:7" x14ac:dyDescent="0.3">
      <c r="G2466" s="400" t="s">
        <v>9567</v>
      </c>
    </row>
    <row r="2467" spans="7:7" x14ac:dyDescent="0.3">
      <c r="G2467" s="400" t="s">
        <v>9567</v>
      </c>
    </row>
    <row r="2468" spans="7:7" x14ac:dyDescent="0.3">
      <c r="G2468" s="400" t="s">
        <v>9567</v>
      </c>
    </row>
    <row r="2469" spans="7:7" x14ac:dyDescent="0.3">
      <c r="G2469" s="400" t="s">
        <v>9567</v>
      </c>
    </row>
    <row r="2470" spans="7:7" x14ac:dyDescent="0.3">
      <c r="G2470" s="400" t="s">
        <v>9567</v>
      </c>
    </row>
    <row r="2471" spans="7:7" x14ac:dyDescent="0.3">
      <c r="G2471" s="400" t="s">
        <v>9567</v>
      </c>
    </row>
    <row r="2472" spans="7:7" x14ac:dyDescent="0.3">
      <c r="G2472" s="400" t="s">
        <v>9567</v>
      </c>
    </row>
    <row r="2473" spans="7:7" x14ac:dyDescent="0.3">
      <c r="G2473" s="400" t="s">
        <v>9567</v>
      </c>
    </row>
    <row r="2474" spans="7:7" x14ac:dyDescent="0.3">
      <c r="G2474" s="400" t="s">
        <v>9567</v>
      </c>
    </row>
    <row r="2475" spans="7:7" x14ac:dyDescent="0.3">
      <c r="G2475" s="400" t="s">
        <v>9567</v>
      </c>
    </row>
    <row r="2476" spans="7:7" x14ac:dyDescent="0.3">
      <c r="G2476" s="400" t="s">
        <v>9567</v>
      </c>
    </row>
    <row r="2477" spans="7:7" x14ac:dyDescent="0.3">
      <c r="G2477" s="400" t="s">
        <v>9567</v>
      </c>
    </row>
    <row r="2478" spans="7:7" x14ac:dyDescent="0.3">
      <c r="G2478" s="400" t="s">
        <v>9567</v>
      </c>
    </row>
    <row r="2479" spans="7:7" x14ac:dyDescent="0.3">
      <c r="G2479" s="400" t="s">
        <v>9567</v>
      </c>
    </row>
    <row r="2480" spans="7:7" x14ac:dyDescent="0.3">
      <c r="G2480" s="400" t="s">
        <v>9567</v>
      </c>
    </row>
    <row r="2481" spans="7:7" x14ac:dyDescent="0.3">
      <c r="G2481" s="400" t="s">
        <v>9567</v>
      </c>
    </row>
    <row r="2482" spans="7:7" x14ac:dyDescent="0.3">
      <c r="G2482" s="400" t="s">
        <v>9567</v>
      </c>
    </row>
    <row r="2483" spans="7:7" x14ac:dyDescent="0.3">
      <c r="G2483" s="400" t="s">
        <v>9567</v>
      </c>
    </row>
    <row r="2484" spans="7:7" x14ac:dyDescent="0.3">
      <c r="G2484" s="400" t="s">
        <v>9567</v>
      </c>
    </row>
    <row r="2485" spans="7:7" x14ac:dyDescent="0.3">
      <c r="G2485" s="400" t="s">
        <v>9567</v>
      </c>
    </row>
    <row r="2486" spans="7:7" x14ac:dyDescent="0.3">
      <c r="G2486" s="400" t="s">
        <v>9567</v>
      </c>
    </row>
    <row r="2487" spans="7:7" x14ac:dyDescent="0.3">
      <c r="G2487" s="400" t="s">
        <v>9567</v>
      </c>
    </row>
    <row r="2488" spans="7:7" x14ac:dyDescent="0.3">
      <c r="G2488" s="400" t="s">
        <v>9567</v>
      </c>
    </row>
    <row r="2489" spans="7:7" x14ac:dyDescent="0.3">
      <c r="G2489" s="400" t="s">
        <v>9567</v>
      </c>
    </row>
    <row r="2490" spans="7:7" x14ac:dyDescent="0.3">
      <c r="G2490" s="400" t="s">
        <v>9567</v>
      </c>
    </row>
    <row r="2491" spans="7:7" x14ac:dyDescent="0.3">
      <c r="G2491" s="400" t="s">
        <v>9567</v>
      </c>
    </row>
    <row r="2492" spans="7:7" x14ac:dyDescent="0.3">
      <c r="G2492" s="400" t="s">
        <v>9567</v>
      </c>
    </row>
    <row r="2493" spans="7:7" x14ac:dyDescent="0.3">
      <c r="G2493" s="400" t="s">
        <v>9567</v>
      </c>
    </row>
    <row r="2494" spans="7:7" x14ac:dyDescent="0.3">
      <c r="G2494" s="400" t="s">
        <v>9567</v>
      </c>
    </row>
    <row r="2495" spans="7:7" x14ac:dyDescent="0.3">
      <c r="G2495" s="400" t="s">
        <v>9567</v>
      </c>
    </row>
    <row r="2496" spans="7:7" x14ac:dyDescent="0.3">
      <c r="G2496" s="400" t="s">
        <v>9567</v>
      </c>
    </row>
    <row r="2497" spans="7:7" x14ac:dyDescent="0.3">
      <c r="G2497" s="400" t="s">
        <v>9567</v>
      </c>
    </row>
    <row r="2498" spans="7:7" x14ac:dyDescent="0.3">
      <c r="G2498" s="400" t="s">
        <v>9567</v>
      </c>
    </row>
    <row r="2499" spans="7:7" x14ac:dyDescent="0.3">
      <c r="G2499" s="400" t="s">
        <v>9567</v>
      </c>
    </row>
    <row r="2500" spans="7:7" x14ac:dyDescent="0.3">
      <c r="G2500" s="400" t="s">
        <v>9567</v>
      </c>
    </row>
    <row r="2501" spans="7:7" x14ac:dyDescent="0.3">
      <c r="G2501" s="400" t="s">
        <v>9567</v>
      </c>
    </row>
    <row r="2502" spans="7:7" x14ac:dyDescent="0.3">
      <c r="G2502" s="400" t="s">
        <v>9567</v>
      </c>
    </row>
    <row r="2503" spans="7:7" x14ac:dyDescent="0.3">
      <c r="G2503" s="400" t="s">
        <v>9567</v>
      </c>
    </row>
    <row r="2504" spans="7:7" x14ac:dyDescent="0.3">
      <c r="G2504" s="400" t="s">
        <v>9567</v>
      </c>
    </row>
    <row r="2505" spans="7:7" x14ac:dyDescent="0.3">
      <c r="G2505" s="400" t="s">
        <v>9567</v>
      </c>
    </row>
    <row r="2506" spans="7:7" x14ac:dyDescent="0.3">
      <c r="G2506" s="400" t="s">
        <v>9567</v>
      </c>
    </row>
    <row r="2507" spans="7:7" x14ac:dyDescent="0.3">
      <c r="G2507" s="400" t="s">
        <v>9567</v>
      </c>
    </row>
    <row r="2508" spans="7:7" x14ac:dyDescent="0.3">
      <c r="G2508" s="400" t="s">
        <v>9567</v>
      </c>
    </row>
    <row r="2509" spans="7:7" x14ac:dyDescent="0.3">
      <c r="G2509" s="400" t="s">
        <v>9567</v>
      </c>
    </row>
    <row r="2510" spans="7:7" x14ac:dyDescent="0.3">
      <c r="G2510" s="400" t="s">
        <v>9567</v>
      </c>
    </row>
    <row r="2511" spans="7:7" x14ac:dyDescent="0.3">
      <c r="G2511" s="400" t="s">
        <v>9567</v>
      </c>
    </row>
    <row r="2512" spans="7:7" x14ac:dyDescent="0.3">
      <c r="G2512" s="400" t="s">
        <v>9567</v>
      </c>
    </row>
    <row r="2513" spans="7:7" x14ac:dyDescent="0.3">
      <c r="G2513" s="400" t="s">
        <v>9567</v>
      </c>
    </row>
    <row r="2514" spans="7:7" x14ac:dyDescent="0.3">
      <c r="G2514" s="400" t="s">
        <v>9567</v>
      </c>
    </row>
    <row r="2515" spans="7:7" x14ac:dyDescent="0.3">
      <c r="G2515" s="400" t="s">
        <v>9567</v>
      </c>
    </row>
    <row r="2516" spans="7:7" x14ac:dyDescent="0.3">
      <c r="G2516" s="400" t="s">
        <v>9567</v>
      </c>
    </row>
    <row r="2517" spans="7:7" x14ac:dyDescent="0.3">
      <c r="G2517" s="400" t="s">
        <v>9567</v>
      </c>
    </row>
    <row r="2518" spans="7:7" x14ac:dyDescent="0.3">
      <c r="G2518" s="400" t="s">
        <v>9567</v>
      </c>
    </row>
    <row r="2519" spans="7:7" x14ac:dyDescent="0.3">
      <c r="G2519" s="400" t="s">
        <v>9567</v>
      </c>
    </row>
    <row r="2520" spans="7:7" x14ac:dyDescent="0.3">
      <c r="G2520" s="400" t="s">
        <v>9567</v>
      </c>
    </row>
    <row r="2521" spans="7:7" x14ac:dyDescent="0.3">
      <c r="G2521" s="400" t="s">
        <v>9567</v>
      </c>
    </row>
    <row r="2522" spans="7:7" x14ac:dyDescent="0.3">
      <c r="G2522" s="400" t="s">
        <v>9567</v>
      </c>
    </row>
    <row r="2523" spans="7:7" x14ac:dyDescent="0.3">
      <c r="G2523" s="400" t="s">
        <v>9567</v>
      </c>
    </row>
    <row r="2524" spans="7:7" x14ac:dyDescent="0.3">
      <c r="G2524" s="400" t="s">
        <v>9567</v>
      </c>
    </row>
    <row r="2525" spans="7:7" x14ac:dyDescent="0.3">
      <c r="G2525" s="400" t="s">
        <v>9567</v>
      </c>
    </row>
    <row r="2526" spans="7:7" x14ac:dyDescent="0.3">
      <c r="G2526" s="400" t="s">
        <v>9567</v>
      </c>
    </row>
    <row r="2527" spans="7:7" x14ac:dyDescent="0.3">
      <c r="G2527" s="400" t="s">
        <v>9567</v>
      </c>
    </row>
    <row r="2528" spans="7:7" x14ac:dyDescent="0.3">
      <c r="G2528" s="400" t="s">
        <v>9567</v>
      </c>
    </row>
    <row r="2529" spans="7:7" x14ac:dyDescent="0.3">
      <c r="G2529" s="400" t="s">
        <v>9567</v>
      </c>
    </row>
    <row r="2530" spans="7:7" x14ac:dyDescent="0.3">
      <c r="G2530" s="400" t="s">
        <v>9567</v>
      </c>
    </row>
    <row r="2531" spans="7:7" x14ac:dyDescent="0.3">
      <c r="G2531" s="400" t="s">
        <v>9567</v>
      </c>
    </row>
    <row r="2532" spans="7:7" x14ac:dyDescent="0.3">
      <c r="G2532" s="400" t="s">
        <v>9567</v>
      </c>
    </row>
    <row r="2533" spans="7:7" x14ac:dyDescent="0.3">
      <c r="G2533" s="400" t="s">
        <v>9567</v>
      </c>
    </row>
    <row r="2534" spans="7:7" x14ac:dyDescent="0.3">
      <c r="G2534" s="400" t="s">
        <v>9567</v>
      </c>
    </row>
    <row r="2535" spans="7:7" x14ac:dyDescent="0.3">
      <c r="G2535" s="400" t="s">
        <v>9567</v>
      </c>
    </row>
    <row r="2536" spans="7:7" x14ac:dyDescent="0.3">
      <c r="G2536" s="400" t="s">
        <v>9567</v>
      </c>
    </row>
    <row r="2537" spans="7:7" x14ac:dyDescent="0.3">
      <c r="G2537" s="400" t="s">
        <v>9567</v>
      </c>
    </row>
    <row r="2538" spans="7:7" x14ac:dyDescent="0.3">
      <c r="G2538" s="400" t="s">
        <v>9567</v>
      </c>
    </row>
    <row r="2539" spans="7:7" x14ac:dyDescent="0.3">
      <c r="G2539" s="400" t="s">
        <v>9567</v>
      </c>
    </row>
    <row r="2540" spans="7:7" x14ac:dyDescent="0.3">
      <c r="G2540" s="400" t="s">
        <v>9567</v>
      </c>
    </row>
    <row r="2541" spans="7:7" x14ac:dyDescent="0.3">
      <c r="G2541" s="400" t="s">
        <v>9567</v>
      </c>
    </row>
    <row r="2542" spans="7:7" x14ac:dyDescent="0.3">
      <c r="G2542" s="400" t="s">
        <v>9567</v>
      </c>
    </row>
    <row r="2543" spans="7:7" x14ac:dyDescent="0.3">
      <c r="G2543" s="400" t="s">
        <v>9567</v>
      </c>
    </row>
    <row r="2544" spans="7:7" x14ac:dyDescent="0.3">
      <c r="G2544" s="400" t="s">
        <v>9567</v>
      </c>
    </row>
    <row r="2545" spans="7:7" x14ac:dyDescent="0.3">
      <c r="G2545" s="400" t="s">
        <v>9567</v>
      </c>
    </row>
    <row r="2546" spans="7:7" x14ac:dyDescent="0.3">
      <c r="G2546" s="400" t="s">
        <v>9567</v>
      </c>
    </row>
    <row r="2547" spans="7:7" x14ac:dyDescent="0.3">
      <c r="G2547" s="400" t="s">
        <v>9567</v>
      </c>
    </row>
    <row r="2548" spans="7:7" x14ac:dyDescent="0.3">
      <c r="G2548" s="400" t="s">
        <v>9567</v>
      </c>
    </row>
    <row r="2549" spans="7:7" x14ac:dyDescent="0.3">
      <c r="G2549" s="400" t="s">
        <v>9567</v>
      </c>
    </row>
    <row r="2550" spans="7:7" x14ac:dyDescent="0.3">
      <c r="G2550" s="400" t="s">
        <v>9567</v>
      </c>
    </row>
    <row r="2551" spans="7:7" x14ac:dyDescent="0.3">
      <c r="G2551" s="400" t="s">
        <v>9567</v>
      </c>
    </row>
    <row r="2552" spans="7:7" x14ac:dyDescent="0.3">
      <c r="G2552" s="400" t="s">
        <v>9567</v>
      </c>
    </row>
    <row r="2553" spans="7:7" x14ac:dyDescent="0.3">
      <c r="G2553" s="400" t="s">
        <v>9567</v>
      </c>
    </row>
    <row r="2554" spans="7:7" x14ac:dyDescent="0.3">
      <c r="G2554" s="400" t="s">
        <v>9567</v>
      </c>
    </row>
    <row r="2555" spans="7:7" x14ac:dyDescent="0.3">
      <c r="G2555" s="400" t="s">
        <v>9567</v>
      </c>
    </row>
    <row r="2556" spans="7:7" x14ac:dyDescent="0.3">
      <c r="G2556" s="400" t="s">
        <v>9567</v>
      </c>
    </row>
    <row r="2557" spans="7:7" x14ac:dyDescent="0.3">
      <c r="G2557" s="400" t="s">
        <v>9567</v>
      </c>
    </row>
    <row r="2558" spans="7:7" x14ac:dyDescent="0.3">
      <c r="G2558" s="400" t="s">
        <v>9567</v>
      </c>
    </row>
    <row r="2559" spans="7:7" x14ac:dyDescent="0.3">
      <c r="G2559" s="400" t="s">
        <v>9567</v>
      </c>
    </row>
    <row r="2560" spans="7:7" x14ac:dyDescent="0.3">
      <c r="G2560" s="400" t="s">
        <v>9567</v>
      </c>
    </row>
    <row r="2561" spans="7:7" x14ac:dyDescent="0.3">
      <c r="G2561" s="400" t="s">
        <v>9567</v>
      </c>
    </row>
    <row r="2562" spans="7:7" x14ac:dyDescent="0.3">
      <c r="G2562" s="400" t="s">
        <v>9567</v>
      </c>
    </row>
    <row r="2563" spans="7:7" x14ac:dyDescent="0.3">
      <c r="G2563" s="400" t="s">
        <v>9567</v>
      </c>
    </row>
    <row r="2564" spans="7:7" x14ac:dyDescent="0.3">
      <c r="G2564" s="400" t="s">
        <v>9567</v>
      </c>
    </row>
    <row r="2565" spans="7:7" x14ac:dyDescent="0.3">
      <c r="G2565" s="400" t="s">
        <v>9567</v>
      </c>
    </row>
    <row r="2566" spans="7:7" x14ac:dyDescent="0.3">
      <c r="G2566" s="400" t="s">
        <v>9567</v>
      </c>
    </row>
    <row r="2567" spans="7:7" x14ac:dyDescent="0.3">
      <c r="G2567" s="400" t="s">
        <v>9567</v>
      </c>
    </row>
    <row r="2568" spans="7:7" x14ac:dyDescent="0.3">
      <c r="G2568" s="400" t="s">
        <v>9567</v>
      </c>
    </row>
    <row r="2569" spans="7:7" x14ac:dyDescent="0.3">
      <c r="G2569" s="400" t="s">
        <v>9567</v>
      </c>
    </row>
    <row r="2570" spans="7:7" x14ac:dyDescent="0.3">
      <c r="G2570" s="400" t="s">
        <v>9567</v>
      </c>
    </row>
    <row r="2571" spans="7:7" x14ac:dyDescent="0.3">
      <c r="G2571" s="400" t="s">
        <v>9567</v>
      </c>
    </row>
    <row r="2572" spans="7:7" x14ac:dyDescent="0.3">
      <c r="G2572" s="400" t="s">
        <v>9567</v>
      </c>
    </row>
    <row r="2573" spans="7:7" x14ac:dyDescent="0.3">
      <c r="G2573" s="400" t="s">
        <v>9567</v>
      </c>
    </row>
    <row r="2574" spans="7:7" x14ac:dyDescent="0.3">
      <c r="G2574" s="400" t="s">
        <v>9567</v>
      </c>
    </row>
    <row r="2575" spans="7:7" x14ac:dyDescent="0.3">
      <c r="G2575" s="400" t="s">
        <v>9567</v>
      </c>
    </row>
    <row r="2576" spans="7:7" x14ac:dyDescent="0.3">
      <c r="G2576" s="400" t="s">
        <v>9567</v>
      </c>
    </row>
    <row r="2577" spans="7:7" x14ac:dyDescent="0.3">
      <c r="G2577" s="400" t="s">
        <v>9567</v>
      </c>
    </row>
    <row r="2578" spans="7:7" x14ac:dyDescent="0.3">
      <c r="G2578" s="400" t="s">
        <v>9567</v>
      </c>
    </row>
    <row r="2579" spans="7:7" x14ac:dyDescent="0.3">
      <c r="G2579" s="400" t="s">
        <v>9567</v>
      </c>
    </row>
    <row r="2580" spans="7:7" x14ac:dyDescent="0.3">
      <c r="G2580" s="400" t="s">
        <v>9567</v>
      </c>
    </row>
    <row r="2581" spans="7:7" x14ac:dyDescent="0.3">
      <c r="G2581" s="400" t="s">
        <v>9567</v>
      </c>
    </row>
    <row r="2582" spans="7:7" x14ac:dyDescent="0.3">
      <c r="G2582" s="400" t="s">
        <v>9567</v>
      </c>
    </row>
    <row r="2583" spans="7:7" x14ac:dyDescent="0.3">
      <c r="G2583" s="400" t="s">
        <v>9567</v>
      </c>
    </row>
    <row r="2584" spans="7:7" x14ac:dyDescent="0.3">
      <c r="G2584" s="400" t="s">
        <v>9567</v>
      </c>
    </row>
    <row r="2585" spans="7:7" x14ac:dyDescent="0.3">
      <c r="G2585" s="400" t="s">
        <v>9567</v>
      </c>
    </row>
    <row r="2586" spans="7:7" x14ac:dyDescent="0.3">
      <c r="G2586" s="400" t="s">
        <v>9567</v>
      </c>
    </row>
    <row r="2587" spans="7:7" x14ac:dyDescent="0.3">
      <c r="G2587" s="400" t="s">
        <v>9567</v>
      </c>
    </row>
    <row r="2588" spans="7:7" x14ac:dyDescent="0.3">
      <c r="G2588" s="400" t="s">
        <v>9567</v>
      </c>
    </row>
    <row r="2589" spans="7:7" x14ac:dyDescent="0.3">
      <c r="G2589" s="400" t="s">
        <v>9567</v>
      </c>
    </row>
    <row r="2590" spans="7:7" x14ac:dyDescent="0.3">
      <c r="G2590" s="400" t="s">
        <v>9567</v>
      </c>
    </row>
    <row r="2591" spans="7:7" x14ac:dyDescent="0.3">
      <c r="G2591" s="400" t="s">
        <v>9567</v>
      </c>
    </row>
    <row r="2592" spans="7:7" x14ac:dyDescent="0.3">
      <c r="G2592" s="400" t="s">
        <v>9567</v>
      </c>
    </row>
    <row r="2593" spans="7:7" x14ac:dyDescent="0.3">
      <c r="G2593" s="400" t="s">
        <v>9567</v>
      </c>
    </row>
    <row r="2594" spans="7:7" x14ac:dyDescent="0.3">
      <c r="G2594" s="400" t="s">
        <v>9567</v>
      </c>
    </row>
    <row r="2595" spans="7:7" x14ac:dyDescent="0.3">
      <c r="G2595" s="400" t="s">
        <v>9567</v>
      </c>
    </row>
    <row r="2596" spans="7:7" x14ac:dyDescent="0.3">
      <c r="G2596" s="400" t="s">
        <v>9567</v>
      </c>
    </row>
    <row r="2597" spans="7:7" x14ac:dyDescent="0.3">
      <c r="G2597" s="400" t="s">
        <v>9567</v>
      </c>
    </row>
    <row r="2598" spans="7:7" x14ac:dyDescent="0.3">
      <c r="G2598" s="400" t="s">
        <v>9567</v>
      </c>
    </row>
    <row r="2599" spans="7:7" x14ac:dyDescent="0.3">
      <c r="G2599" s="400" t="s">
        <v>9567</v>
      </c>
    </row>
    <row r="2600" spans="7:7" x14ac:dyDescent="0.3">
      <c r="G2600" s="400" t="s">
        <v>9567</v>
      </c>
    </row>
    <row r="2601" spans="7:7" x14ac:dyDescent="0.3">
      <c r="G2601" s="400" t="s">
        <v>9567</v>
      </c>
    </row>
    <row r="2602" spans="7:7" x14ac:dyDescent="0.3">
      <c r="G2602" s="400" t="s">
        <v>9567</v>
      </c>
    </row>
    <row r="2603" spans="7:7" x14ac:dyDescent="0.3">
      <c r="G2603" s="400" t="s">
        <v>9567</v>
      </c>
    </row>
    <row r="2604" spans="7:7" x14ac:dyDescent="0.3">
      <c r="G2604" s="400" t="s">
        <v>9567</v>
      </c>
    </row>
    <row r="2605" spans="7:7" x14ac:dyDescent="0.3">
      <c r="G2605" s="400" t="s">
        <v>9567</v>
      </c>
    </row>
    <row r="2606" spans="7:7" x14ac:dyDescent="0.3">
      <c r="G2606" s="400" t="s">
        <v>9567</v>
      </c>
    </row>
    <row r="2607" spans="7:7" x14ac:dyDescent="0.3">
      <c r="G2607" s="400" t="s">
        <v>9567</v>
      </c>
    </row>
    <row r="2608" spans="7:7" x14ac:dyDescent="0.3">
      <c r="G2608" s="400" t="s">
        <v>9567</v>
      </c>
    </row>
    <row r="2609" spans="7:7" x14ac:dyDescent="0.3">
      <c r="G2609" s="400" t="s">
        <v>9567</v>
      </c>
    </row>
    <row r="2610" spans="7:7" x14ac:dyDescent="0.3">
      <c r="G2610" s="400" t="s">
        <v>9567</v>
      </c>
    </row>
    <row r="2611" spans="7:7" x14ac:dyDescent="0.3">
      <c r="G2611" s="400" t="s">
        <v>9567</v>
      </c>
    </row>
    <row r="2612" spans="7:7" x14ac:dyDescent="0.3">
      <c r="G2612" s="400" t="s">
        <v>9567</v>
      </c>
    </row>
    <row r="2613" spans="7:7" x14ac:dyDescent="0.3">
      <c r="G2613" s="400" t="s">
        <v>9567</v>
      </c>
    </row>
    <row r="2614" spans="7:7" x14ac:dyDescent="0.3">
      <c r="G2614" s="400" t="s">
        <v>9567</v>
      </c>
    </row>
    <row r="2615" spans="7:7" x14ac:dyDescent="0.3">
      <c r="G2615" s="400" t="s">
        <v>9567</v>
      </c>
    </row>
    <row r="2616" spans="7:7" x14ac:dyDescent="0.3">
      <c r="G2616" s="400" t="s">
        <v>9567</v>
      </c>
    </row>
    <row r="2617" spans="7:7" x14ac:dyDescent="0.3">
      <c r="G2617" s="400" t="s">
        <v>9567</v>
      </c>
    </row>
    <row r="2618" spans="7:7" x14ac:dyDescent="0.3">
      <c r="G2618" s="400" t="s">
        <v>9567</v>
      </c>
    </row>
    <row r="2619" spans="7:7" x14ac:dyDescent="0.3">
      <c r="G2619" s="400" t="s">
        <v>9567</v>
      </c>
    </row>
    <row r="2620" spans="7:7" x14ac:dyDescent="0.3">
      <c r="G2620" s="400" t="s">
        <v>9567</v>
      </c>
    </row>
    <row r="2621" spans="7:7" x14ac:dyDescent="0.3">
      <c r="G2621" s="400" t="s">
        <v>9567</v>
      </c>
    </row>
    <row r="2622" spans="7:7" x14ac:dyDescent="0.3">
      <c r="G2622" s="400" t="s">
        <v>9567</v>
      </c>
    </row>
    <row r="2623" spans="7:7" x14ac:dyDescent="0.3">
      <c r="G2623" s="400" t="s">
        <v>9567</v>
      </c>
    </row>
    <row r="2624" spans="7:7" x14ac:dyDescent="0.3">
      <c r="G2624" s="400" t="s">
        <v>9567</v>
      </c>
    </row>
    <row r="2625" spans="7:7" x14ac:dyDescent="0.3">
      <c r="G2625" s="400" t="s">
        <v>9567</v>
      </c>
    </row>
    <row r="2626" spans="7:7" x14ac:dyDescent="0.3">
      <c r="G2626" s="400" t="s">
        <v>9567</v>
      </c>
    </row>
    <row r="2627" spans="7:7" x14ac:dyDescent="0.3">
      <c r="G2627" s="400" t="s">
        <v>9567</v>
      </c>
    </row>
    <row r="2628" spans="7:7" x14ac:dyDescent="0.3">
      <c r="G2628" s="400" t="s">
        <v>9567</v>
      </c>
    </row>
    <row r="2629" spans="7:7" x14ac:dyDescent="0.3">
      <c r="G2629" s="400" t="s">
        <v>9567</v>
      </c>
    </row>
    <row r="2630" spans="7:7" x14ac:dyDescent="0.3">
      <c r="G2630" s="400" t="s">
        <v>9567</v>
      </c>
    </row>
    <row r="2631" spans="7:7" x14ac:dyDescent="0.3">
      <c r="G2631" s="400" t="s">
        <v>9567</v>
      </c>
    </row>
    <row r="2632" spans="7:7" x14ac:dyDescent="0.3">
      <c r="G2632" s="400" t="s">
        <v>9567</v>
      </c>
    </row>
    <row r="2633" spans="7:7" x14ac:dyDescent="0.3">
      <c r="G2633" s="400" t="s">
        <v>9567</v>
      </c>
    </row>
    <row r="2634" spans="7:7" x14ac:dyDescent="0.3">
      <c r="G2634" s="400" t="s">
        <v>9567</v>
      </c>
    </row>
    <row r="2635" spans="7:7" x14ac:dyDescent="0.3">
      <c r="G2635" s="400" t="s">
        <v>9567</v>
      </c>
    </row>
    <row r="2636" spans="7:7" x14ac:dyDescent="0.3">
      <c r="G2636" s="400" t="s">
        <v>9567</v>
      </c>
    </row>
    <row r="2637" spans="7:7" x14ac:dyDescent="0.3">
      <c r="G2637" s="400" t="s">
        <v>9567</v>
      </c>
    </row>
    <row r="2638" spans="7:7" x14ac:dyDescent="0.3">
      <c r="G2638" s="400" t="s">
        <v>9567</v>
      </c>
    </row>
    <row r="2639" spans="7:7" x14ac:dyDescent="0.3">
      <c r="G2639" s="400" t="s">
        <v>9567</v>
      </c>
    </row>
    <row r="2640" spans="7:7" x14ac:dyDescent="0.3">
      <c r="G2640" s="400" t="s">
        <v>9567</v>
      </c>
    </row>
    <row r="2641" spans="7:7" x14ac:dyDescent="0.3">
      <c r="G2641" s="400" t="s">
        <v>9567</v>
      </c>
    </row>
    <row r="2642" spans="7:7" x14ac:dyDescent="0.3">
      <c r="G2642" s="400" t="s">
        <v>9567</v>
      </c>
    </row>
    <row r="2643" spans="7:7" x14ac:dyDescent="0.3">
      <c r="G2643" s="400" t="s">
        <v>9567</v>
      </c>
    </row>
    <row r="2644" spans="7:7" x14ac:dyDescent="0.3">
      <c r="G2644" s="400" t="s">
        <v>9567</v>
      </c>
    </row>
    <row r="2645" spans="7:7" x14ac:dyDescent="0.3">
      <c r="G2645" s="400" t="s">
        <v>9567</v>
      </c>
    </row>
    <row r="2646" spans="7:7" x14ac:dyDescent="0.3">
      <c r="G2646" s="400" t="s">
        <v>9567</v>
      </c>
    </row>
    <row r="2647" spans="7:7" x14ac:dyDescent="0.3">
      <c r="G2647" s="400" t="s">
        <v>9567</v>
      </c>
    </row>
    <row r="2648" spans="7:7" x14ac:dyDescent="0.3">
      <c r="G2648" s="400" t="s">
        <v>9567</v>
      </c>
    </row>
    <row r="2649" spans="7:7" x14ac:dyDescent="0.3">
      <c r="G2649" s="400" t="s">
        <v>9567</v>
      </c>
    </row>
    <row r="2650" spans="7:7" x14ac:dyDescent="0.3">
      <c r="G2650" s="400" t="s">
        <v>9567</v>
      </c>
    </row>
    <row r="2651" spans="7:7" x14ac:dyDescent="0.3">
      <c r="G2651" s="400" t="s">
        <v>9567</v>
      </c>
    </row>
    <row r="2652" spans="7:7" x14ac:dyDescent="0.3">
      <c r="G2652" s="400" t="s">
        <v>9567</v>
      </c>
    </row>
    <row r="2653" spans="7:7" x14ac:dyDescent="0.3">
      <c r="G2653" s="400" t="s">
        <v>9567</v>
      </c>
    </row>
    <row r="2654" spans="7:7" x14ac:dyDescent="0.3">
      <c r="G2654" s="400" t="s">
        <v>9567</v>
      </c>
    </row>
    <row r="2655" spans="7:7" x14ac:dyDescent="0.3">
      <c r="G2655" s="400" t="s">
        <v>9567</v>
      </c>
    </row>
    <row r="2656" spans="7:7" x14ac:dyDescent="0.3">
      <c r="G2656" s="400" t="s">
        <v>9567</v>
      </c>
    </row>
    <row r="2657" spans="7:7" x14ac:dyDescent="0.3">
      <c r="G2657" s="400" t="s">
        <v>9567</v>
      </c>
    </row>
    <row r="2658" spans="7:7" x14ac:dyDescent="0.3">
      <c r="G2658" s="400" t="s">
        <v>9567</v>
      </c>
    </row>
    <row r="2659" spans="7:7" x14ac:dyDescent="0.3">
      <c r="G2659" s="400" t="s">
        <v>9567</v>
      </c>
    </row>
    <row r="2660" spans="7:7" x14ac:dyDescent="0.3">
      <c r="G2660" s="400" t="s">
        <v>9567</v>
      </c>
    </row>
    <row r="2661" spans="7:7" x14ac:dyDescent="0.3">
      <c r="G2661" s="400" t="s">
        <v>9567</v>
      </c>
    </row>
    <row r="2662" spans="7:7" x14ac:dyDescent="0.3">
      <c r="G2662" s="400" t="s">
        <v>9567</v>
      </c>
    </row>
    <row r="2663" spans="7:7" x14ac:dyDescent="0.3">
      <c r="G2663" s="400" t="s">
        <v>9567</v>
      </c>
    </row>
    <row r="2664" spans="7:7" x14ac:dyDescent="0.3">
      <c r="G2664" s="400" t="s">
        <v>9567</v>
      </c>
    </row>
    <row r="2665" spans="7:7" x14ac:dyDescent="0.3">
      <c r="G2665" s="400" t="s">
        <v>9567</v>
      </c>
    </row>
    <row r="2666" spans="7:7" x14ac:dyDescent="0.3">
      <c r="G2666" s="400" t="s">
        <v>9567</v>
      </c>
    </row>
    <row r="2667" spans="7:7" x14ac:dyDescent="0.3">
      <c r="G2667" s="400" t="s">
        <v>9567</v>
      </c>
    </row>
    <row r="2668" spans="7:7" x14ac:dyDescent="0.3">
      <c r="G2668" s="400" t="s">
        <v>9567</v>
      </c>
    </row>
    <row r="2669" spans="7:7" x14ac:dyDescent="0.3">
      <c r="G2669" s="400" t="s">
        <v>9567</v>
      </c>
    </row>
    <row r="2670" spans="7:7" x14ac:dyDescent="0.3">
      <c r="G2670" s="400" t="s">
        <v>9567</v>
      </c>
    </row>
    <row r="2671" spans="7:7" x14ac:dyDescent="0.3">
      <c r="G2671" s="400" t="s">
        <v>9567</v>
      </c>
    </row>
    <row r="2672" spans="7:7" x14ac:dyDescent="0.3">
      <c r="G2672" s="400" t="s">
        <v>9567</v>
      </c>
    </row>
    <row r="2673" spans="7:7" x14ac:dyDescent="0.3">
      <c r="G2673" s="400" t="s">
        <v>9567</v>
      </c>
    </row>
    <row r="2674" spans="7:7" x14ac:dyDescent="0.3">
      <c r="G2674" s="400" t="s">
        <v>9567</v>
      </c>
    </row>
    <row r="2675" spans="7:7" x14ac:dyDescent="0.3">
      <c r="G2675" s="400" t="s">
        <v>9567</v>
      </c>
    </row>
    <row r="2676" spans="7:7" x14ac:dyDescent="0.3">
      <c r="G2676" s="400" t="s">
        <v>9567</v>
      </c>
    </row>
    <row r="2677" spans="7:7" x14ac:dyDescent="0.3">
      <c r="G2677" s="400" t="s">
        <v>9567</v>
      </c>
    </row>
    <row r="2678" spans="7:7" x14ac:dyDescent="0.3">
      <c r="G2678" s="400" t="s">
        <v>9567</v>
      </c>
    </row>
    <row r="2679" spans="7:7" x14ac:dyDescent="0.3">
      <c r="G2679" s="400" t="s">
        <v>9567</v>
      </c>
    </row>
    <row r="2680" spans="7:7" x14ac:dyDescent="0.3">
      <c r="G2680" s="400" t="s">
        <v>9567</v>
      </c>
    </row>
    <row r="2681" spans="7:7" x14ac:dyDescent="0.3">
      <c r="G2681" s="400" t="s">
        <v>9567</v>
      </c>
    </row>
    <row r="2682" spans="7:7" x14ac:dyDescent="0.3">
      <c r="G2682" s="400" t="s">
        <v>9567</v>
      </c>
    </row>
    <row r="2683" spans="7:7" x14ac:dyDescent="0.3">
      <c r="G2683" s="400" t="s">
        <v>9567</v>
      </c>
    </row>
    <row r="2684" spans="7:7" x14ac:dyDescent="0.3">
      <c r="G2684" s="400" t="s">
        <v>9567</v>
      </c>
    </row>
    <row r="2685" spans="7:7" x14ac:dyDescent="0.3">
      <c r="G2685" s="400" t="s">
        <v>9567</v>
      </c>
    </row>
    <row r="2686" spans="7:7" x14ac:dyDescent="0.3">
      <c r="G2686" s="400" t="s">
        <v>9567</v>
      </c>
    </row>
    <row r="2687" spans="7:7" x14ac:dyDescent="0.3">
      <c r="G2687" s="400" t="s">
        <v>9567</v>
      </c>
    </row>
    <row r="2688" spans="7:7" x14ac:dyDescent="0.3">
      <c r="G2688" s="400" t="s">
        <v>9567</v>
      </c>
    </row>
    <row r="2689" spans="7:7" x14ac:dyDescent="0.3">
      <c r="G2689" s="400" t="s">
        <v>9567</v>
      </c>
    </row>
    <row r="2690" spans="7:7" x14ac:dyDescent="0.3">
      <c r="G2690" s="400" t="s">
        <v>9567</v>
      </c>
    </row>
    <row r="2691" spans="7:7" x14ac:dyDescent="0.3">
      <c r="G2691" s="400" t="s">
        <v>9567</v>
      </c>
    </row>
    <row r="2692" spans="7:7" x14ac:dyDescent="0.3">
      <c r="G2692" s="400" t="s">
        <v>9567</v>
      </c>
    </row>
    <row r="2693" spans="7:7" x14ac:dyDescent="0.3">
      <c r="G2693" s="400" t="s">
        <v>9567</v>
      </c>
    </row>
    <row r="2694" spans="7:7" x14ac:dyDescent="0.3">
      <c r="G2694" s="400" t="s">
        <v>9567</v>
      </c>
    </row>
    <row r="2695" spans="7:7" x14ac:dyDescent="0.3">
      <c r="G2695" s="400" t="s">
        <v>9567</v>
      </c>
    </row>
    <row r="2696" spans="7:7" x14ac:dyDescent="0.3">
      <c r="G2696" s="400" t="s">
        <v>9567</v>
      </c>
    </row>
    <row r="2697" spans="7:7" x14ac:dyDescent="0.3">
      <c r="G2697" s="400" t="s">
        <v>9567</v>
      </c>
    </row>
    <row r="2698" spans="7:7" x14ac:dyDescent="0.3">
      <c r="G2698" s="400" t="s">
        <v>9567</v>
      </c>
    </row>
    <row r="2699" spans="7:7" x14ac:dyDescent="0.3">
      <c r="G2699" s="400" t="s">
        <v>9567</v>
      </c>
    </row>
    <row r="2700" spans="7:7" x14ac:dyDescent="0.3">
      <c r="G2700" s="400" t="s">
        <v>9567</v>
      </c>
    </row>
    <row r="2701" spans="7:7" x14ac:dyDescent="0.3">
      <c r="G2701" s="400" t="s">
        <v>9567</v>
      </c>
    </row>
    <row r="2702" spans="7:7" x14ac:dyDescent="0.3">
      <c r="G2702" s="400" t="s">
        <v>9567</v>
      </c>
    </row>
    <row r="2703" spans="7:7" x14ac:dyDescent="0.3">
      <c r="G2703" s="400" t="s">
        <v>9567</v>
      </c>
    </row>
    <row r="2704" spans="7:7" x14ac:dyDescent="0.3">
      <c r="G2704" s="400" t="s">
        <v>9567</v>
      </c>
    </row>
    <row r="2705" spans="7:7" x14ac:dyDescent="0.3">
      <c r="G2705" s="400" t="s">
        <v>9567</v>
      </c>
    </row>
    <row r="2706" spans="7:7" x14ac:dyDescent="0.3">
      <c r="G2706" s="400" t="s">
        <v>9567</v>
      </c>
    </row>
    <row r="2707" spans="7:7" x14ac:dyDescent="0.3">
      <c r="G2707" s="400" t="s">
        <v>9567</v>
      </c>
    </row>
    <row r="2708" spans="7:7" x14ac:dyDescent="0.3">
      <c r="G2708" s="400" t="s">
        <v>9567</v>
      </c>
    </row>
    <row r="2709" spans="7:7" x14ac:dyDescent="0.3">
      <c r="G2709" s="400" t="s">
        <v>9567</v>
      </c>
    </row>
    <row r="2710" spans="7:7" x14ac:dyDescent="0.3">
      <c r="G2710" s="400" t="s">
        <v>9567</v>
      </c>
    </row>
    <row r="2711" spans="7:7" x14ac:dyDescent="0.3">
      <c r="G2711" s="400" t="s">
        <v>9567</v>
      </c>
    </row>
    <row r="2712" spans="7:7" x14ac:dyDescent="0.3">
      <c r="G2712" s="400" t="s">
        <v>9567</v>
      </c>
    </row>
    <row r="2713" spans="7:7" x14ac:dyDescent="0.3">
      <c r="G2713" s="400" t="s">
        <v>9567</v>
      </c>
    </row>
    <row r="2714" spans="7:7" x14ac:dyDescent="0.3">
      <c r="G2714" s="400" t="s">
        <v>9567</v>
      </c>
    </row>
    <row r="2715" spans="7:7" x14ac:dyDescent="0.3">
      <c r="G2715" s="400" t="s">
        <v>9567</v>
      </c>
    </row>
    <row r="2716" spans="7:7" x14ac:dyDescent="0.3">
      <c r="G2716" s="400" t="s">
        <v>9567</v>
      </c>
    </row>
    <row r="2717" spans="7:7" x14ac:dyDescent="0.3">
      <c r="G2717" s="400" t="s">
        <v>9567</v>
      </c>
    </row>
    <row r="2718" spans="7:7" x14ac:dyDescent="0.3">
      <c r="G2718" s="400" t="s">
        <v>9567</v>
      </c>
    </row>
    <row r="2719" spans="7:7" x14ac:dyDescent="0.3">
      <c r="G2719" s="400" t="s">
        <v>9567</v>
      </c>
    </row>
    <row r="2720" spans="7:7" x14ac:dyDescent="0.3">
      <c r="G2720" s="400" t="s">
        <v>9567</v>
      </c>
    </row>
    <row r="2721" spans="7:7" x14ac:dyDescent="0.3">
      <c r="G2721" s="400" t="s">
        <v>9567</v>
      </c>
    </row>
    <row r="2722" spans="7:7" x14ac:dyDescent="0.3">
      <c r="G2722" s="400" t="s">
        <v>9567</v>
      </c>
    </row>
    <row r="2723" spans="7:7" x14ac:dyDescent="0.3">
      <c r="G2723" s="400" t="s">
        <v>9567</v>
      </c>
    </row>
    <row r="2724" spans="7:7" x14ac:dyDescent="0.3">
      <c r="G2724" s="400" t="s">
        <v>9567</v>
      </c>
    </row>
    <row r="2725" spans="7:7" x14ac:dyDescent="0.3">
      <c r="G2725" s="400" t="s">
        <v>9567</v>
      </c>
    </row>
    <row r="2726" spans="7:7" x14ac:dyDescent="0.3">
      <c r="G2726" s="400" t="s">
        <v>9567</v>
      </c>
    </row>
    <row r="2727" spans="7:7" x14ac:dyDescent="0.3">
      <c r="G2727" s="400" t="s">
        <v>9567</v>
      </c>
    </row>
    <row r="2728" spans="7:7" x14ac:dyDescent="0.3">
      <c r="G2728" s="400" t="s">
        <v>9567</v>
      </c>
    </row>
    <row r="2729" spans="7:7" x14ac:dyDescent="0.3">
      <c r="G2729" s="400" t="s">
        <v>9567</v>
      </c>
    </row>
    <row r="2730" spans="7:7" x14ac:dyDescent="0.3">
      <c r="G2730" s="400" t="s">
        <v>9567</v>
      </c>
    </row>
    <row r="2731" spans="7:7" x14ac:dyDescent="0.3">
      <c r="G2731" s="400" t="s">
        <v>9567</v>
      </c>
    </row>
    <row r="2732" spans="7:7" x14ac:dyDescent="0.3">
      <c r="G2732" s="400" t="s">
        <v>9567</v>
      </c>
    </row>
    <row r="2733" spans="7:7" x14ac:dyDescent="0.3">
      <c r="G2733" s="400" t="s">
        <v>9567</v>
      </c>
    </row>
    <row r="2734" spans="7:7" x14ac:dyDescent="0.3">
      <c r="G2734" s="400" t="s">
        <v>9567</v>
      </c>
    </row>
    <row r="2735" spans="7:7" x14ac:dyDescent="0.3">
      <c r="G2735" s="400" t="s">
        <v>9567</v>
      </c>
    </row>
    <row r="2736" spans="7:7" x14ac:dyDescent="0.3">
      <c r="G2736" s="400" t="s">
        <v>9567</v>
      </c>
    </row>
    <row r="2737" spans="7:7" x14ac:dyDescent="0.3">
      <c r="G2737" s="400" t="s">
        <v>9567</v>
      </c>
    </row>
    <row r="2738" spans="7:7" x14ac:dyDescent="0.3">
      <c r="G2738" s="400" t="s">
        <v>9567</v>
      </c>
    </row>
    <row r="2739" spans="7:7" x14ac:dyDescent="0.3">
      <c r="G2739" s="400" t="s">
        <v>9567</v>
      </c>
    </row>
    <row r="2740" spans="7:7" x14ac:dyDescent="0.3">
      <c r="G2740" s="400" t="s">
        <v>9567</v>
      </c>
    </row>
    <row r="2741" spans="7:7" x14ac:dyDescent="0.3">
      <c r="G2741" s="400" t="s">
        <v>9567</v>
      </c>
    </row>
    <row r="2742" spans="7:7" x14ac:dyDescent="0.3">
      <c r="G2742" s="400" t="s">
        <v>9567</v>
      </c>
    </row>
    <row r="2743" spans="7:7" x14ac:dyDescent="0.3">
      <c r="G2743" s="400" t="s">
        <v>9567</v>
      </c>
    </row>
    <row r="2744" spans="7:7" x14ac:dyDescent="0.3">
      <c r="G2744" s="400" t="s">
        <v>9567</v>
      </c>
    </row>
    <row r="2745" spans="7:7" x14ac:dyDescent="0.3">
      <c r="G2745" s="400" t="s">
        <v>9567</v>
      </c>
    </row>
    <row r="2746" spans="7:7" x14ac:dyDescent="0.3">
      <c r="G2746" s="400" t="s">
        <v>9567</v>
      </c>
    </row>
    <row r="2747" spans="7:7" x14ac:dyDescent="0.3">
      <c r="G2747" s="400" t="s">
        <v>9567</v>
      </c>
    </row>
    <row r="2748" spans="7:7" x14ac:dyDescent="0.3">
      <c r="G2748" s="400" t="s">
        <v>9567</v>
      </c>
    </row>
    <row r="2749" spans="7:7" x14ac:dyDescent="0.3">
      <c r="G2749" s="400" t="s">
        <v>9567</v>
      </c>
    </row>
    <row r="2750" spans="7:7" x14ac:dyDescent="0.3">
      <c r="G2750" s="400" t="s">
        <v>9567</v>
      </c>
    </row>
    <row r="2751" spans="7:7" x14ac:dyDescent="0.3">
      <c r="G2751" s="400" t="s">
        <v>9567</v>
      </c>
    </row>
    <row r="2752" spans="7:7" x14ac:dyDescent="0.3">
      <c r="G2752" s="400" t="s">
        <v>9567</v>
      </c>
    </row>
    <row r="2753" spans="7:7" x14ac:dyDescent="0.3">
      <c r="G2753" s="400" t="s">
        <v>9567</v>
      </c>
    </row>
    <row r="2754" spans="7:7" x14ac:dyDescent="0.3">
      <c r="G2754" s="400" t="s">
        <v>9567</v>
      </c>
    </row>
    <row r="2755" spans="7:7" x14ac:dyDescent="0.3">
      <c r="G2755" s="400" t="s">
        <v>9567</v>
      </c>
    </row>
    <row r="2756" spans="7:7" x14ac:dyDescent="0.3">
      <c r="G2756" s="400" t="s">
        <v>9567</v>
      </c>
    </row>
    <row r="2757" spans="7:7" x14ac:dyDescent="0.3">
      <c r="G2757" s="400" t="s">
        <v>9567</v>
      </c>
    </row>
    <row r="2758" spans="7:7" x14ac:dyDescent="0.3">
      <c r="G2758" s="400" t="s">
        <v>9567</v>
      </c>
    </row>
    <row r="2759" spans="7:7" x14ac:dyDescent="0.3">
      <c r="G2759" s="400" t="s">
        <v>9567</v>
      </c>
    </row>
    <row r="2760" spans="7:7" x14ac:dyDescent="0.3">
      <c r="G2760" s="400" t="s">
        <v>9567</v>
      </c>
    </row>
    <row r="2761" spans="7:7" x14ac:dyDescent="0.3">
      <c r="G2761" s="400" t="s">
        <v>9567</v>
      </c>
    </row>
    <row r="2762" spans="7:7" x14ac:dyDescent="0.3">
      <c r="G2762" s="400" t="s">
        <v>9567</v>
      </c>
    </row>
    <row r="2763" spans="7:7" x14ac:dyDescent="0.3">
      <c r="G2763" s="400" t="s">
        <v>9567</v>
      </c>
    </row>
    <row r="2764" spans="7:7" x14ac:dyDescent="0.3">
      <c r="G2764" s="400" t="s">
        <v>9567</v>
      </c>
    </row>
    <row r="2765" spans="7:7" x14ac:dyDescent="0.3">
      <c r="G2765" s="400" t="s">
        <v>9567</v>
      </c>
    </row>
    <row r="2766" spans="7:7" x14ac:dyDescent="0.3">
      <c r="G2766" s="400" t="s">
        <v>9567</v>
      </c>
    </row>
    <row r="2767" spans="7:7" x14ac:dyDescent="0.3">
      <c r="G2767" s="400" t="s">
        <v>9567</v>
      </c>
    </row>
    <row r="2768" spans="7:7" x14ac:dyDescent="0.3">
      <c r="G2768" s="400" t="s">
        <v>9567</v>
      </c>
    </row>
    <row r="2769" spans="7:7" x14ac:dyDescent="0.3">
      <c r="G2769" s="400" t="s">
        <v>9567</v>
      </c>
    </row>
    <row r="2770" spans="7:7" x14ac:dyDescent="0.3">
      <c r="G2770" s="400" t="s">
        <v>9567</v>
      </c>
    </row>
    <row r="2771" spans="7:7" x14ac:dyDescent="0.3">
      <c r="G2771" s="400" t="s">
        <v>9567</v>
      </c>
    </row>
    <row r="2772" spans="7:7" x14ac:dyDescent="0.3">
      <c r="G2772" s="400" t="s">
        <v>9567</v>
      </c>
    </row>
    <row r="2773" spans="7:7" x14ac:dyDescent="0.3">
      <c r="G2773" s="400" t="s">
        <v>9567</v>
      </c>
    </row>
    <row r="2774" spans="7:7" x14ac:dyDescent="0.3">
      <c r="G2774" s="400" t="s">
        <v>9567</v>
      </c>
    </row>
    <row r="2775" spans="7:7" x14ac:dyDescent="0.3">
      <c r="G2775" s="400" t="s">
        <v>9567</v>
      </c>
    </row>
    <row r="2776" spans="7:7" x14ac:dyDescent="0.3">
      <c r="G2776" s="400" t="s">
        <v>9567</v>
      </c>
    </row>
    <row r="2777" spans="7:7" x14ac:dyDescent="0.3">
      <c r="G2777" s="400" t="s">
        <v>9567</v>
      </c>
    </row>
    <row r="2778" spans="7:7" x14ac:dyDescent="0.3">
      <c r="G2778" s="400" t="s">
        <v>9567</v>
      </c>
    </row>
    <row r="2779" spans="7:7" x14ac:dyDescent="0.3">
      <c r="G2779" s="400" t="s">
        <v>9567</v>
      </c>
    </row>
    <row r="2780" spans="7:7" x14ac:dyDescent="0.3">
      <c r="G2780" s="400" t="s">
        <v>9567</v>
      </c>
    </row>
    <row r="2781" spans="7:7" x14ac:dyDescent="0.3">
      <c r="G2781" s="400" t="s">
        <v>9567</v>
      </c>
    </row>
    <row r="2782" spans="7:7" x14ac:dyDescent="0.3">
      <c r="G2782" s="400" t="s">
        <v>9567</v>
      </c>
    </row>
    <row r="2783" spans="7:7" x14ac:dyDescent="0.3">
      <c r="G2783" s="400" t="s">
        <v>9567</v>
      </c>
    </row>
    <row r="2784" spans="7:7" x14ac:dyDescent="0.3">
      <c r="G2784" s="400" t="s">
        <v>9567</v>
      </c>
    </row>
    <row r="2785" spans="7:7" x14ac:dyDescent="0.3">
      <c r="G2785" s="400" t="s">
        <v>9567</v>
      </c>
    </row>
    <row r="2786" spans="7:7" x14ac:dyDescent="0.3">
      <c r="G2786" s="400" t="s">
        <v>9567</v>
      </c>
    </row>
    <row r="2787" spans="7:7" x14ac:dyDescent="0.3">
      <c r="G2787" s="400" t="s">
        <v>9567</v>
      </c>
    </row>
    <row r="2788" spans="7:7" x14ac:dyDescent="0.3">
      <c r="G2788" s="400" t="s">
        <v>9567</v>
      </c>
    </row>
    <row r="2789" spans="7:7" x14ac:dyDescent="0.3">
      <c r="G2789" s="400" t="s">
        <v>9567</v>
      </c>
    </row>
    <row r="2790" spans="7:7" x14ac:dyDescent="0.3">
      <c r="G2790" s="400" t="s">
        <v>9567</v>
      </c>
    </row>
    <row r="2791" spans="7:7" x14ac:dyDescent="0.3">
      <c r="G2791" s="400" t="s">
        <v>9567</v>
      </c>
    </row>
    <row r="2792" spans="7:7" x14ac:dyDescent="0.3">
      <c r="G2792" s="400" t="s">
        <v>9567</v>
      </c>
    </row>
    <row r="2793" spans="7:7" x14ac:dyDescent="0.3">
      <c r="G2793" s="400" t="s">
        <v>9567</v>
      </c>
    </row>
    <row r="2794" spans="7:7" x14ac:dyDescent="0.3">
      <c r="G2794" s="400" t="s">
        <v>9567</v>
      </c>
    </row>
    <row r="2795" spans="7:7" x14ac:dyDescent="0.3">
      <c r="G2795" s="400" t="s">
        <v>9567</v>
      </c>
    </row>
    <row r="2796" spans="7:7" x14ac:dyDescent="0.3">
      <c r="G2796" s="400" t="s">
        <v>9567</v>
      </c>
    </row>
    <row r="2797" spans="7:7" x14ac:dyDescent="0.3">
      <c r="G2797" s="400" t="s">
        <v>9567</v>
      </c>
    </row>
    <row r="2798" spans="7:7" x14ac:dyDescent="0.3">
      <c r="G2798" s="400" t="s">
        <v>9567</v>
      </c>
    </row>
    <row r="2799" spans="7:7" x14ac:dyDescent="0.3">
      <c r="G2799" s="400" t="s">
        <v>9567</v>
      </c>
    </row>
    <row r="2800" spans="7:7" x14ac:dyDescent="0.3">
      <c r="G2800" s="400" t="s">
        <v>9567</v>
      </c>
    </row>
    <row r="2801" spans="7:7" x14ac:dyDescent="0.3">
      <c r="G2801" s="400" t="s">
        <v>9567</v>
      </c>
    </row>
    <row r="2802" spans="7:7" x14ac:dyDescent="0.3">
      <c r="G2802" s="400" t="s">
        <v>9567</v>
      </c>
    </row>
    <row r="2803" spans="7:7" x14ac:dyDescent="0.3">
      <c r="G2803" s="400" t="s">
        <v>9567</v>
      </c>
    </row>
    <row r="2804" spans="7:7" x14ac:dyDescent="0.3">
      <c r="G2804" s="400" t="s">
        <v>9567</v>
      </c>
    </row>
    <row r="2805" spans="7:7" x14ac:dyDescent="0.3">
      <c r="G2805" s="400" t="s">
        <v>9567</v>
      </c>
    </row>
    <row r="2806" spans="7:7" x14ac:dyDescent="0.3">
      <c r="G2806" s="400" t="s">
        <v>9567</v>
      </c>
    </row>
    <row r="2807" spans="7:7" x14ac:dyDescent="0.3">
      <c r="G2807" s="400" t="s">
        <v>9567</v>
      </c>
    </row>
    <row r="2808" spans="7:7" x14ac:dyDescent="0.3">
      <c r="G2808" s="400" t="s">
        <v>9567</v>
      </c>
    </row>
    <row r="2809" spans="7:7" x14ac:dyDescent="0.3">
      <c r="G2809" s="400" t="s">
        <v>9567</v>
      </c>
    </row>
    <row r="2810" spans="7:7" x14ac:dyDescent="0.3">
      <c r="G2810" s="400" t="s">
        <v>9567</v>
      </c>
    </row>
    <row r="2811" spans="7:7" x14ac:dyDescent="0.3">
      <c r="G2811" s="400" t="s">
        <v>9567</v>
      </c>
    </row>
    <row r="2812" spans="7:7" x14ac:dyDescent="0.3">
      <c r="G2812" s="400" t="s">
        <v>9567</v>
      </c>
    </row>
    <row r="2813" spans="7:7" x14ac:dyDescent="0.3">
      <c r="G2813" s="400" t="s">
        <v>9567</v>
      </c>
    </row>
    <row r="2814" spans="7:7" x14ac:dyDescent="0.3">
      <c r="G2814" s="400" t="s">
        <v>9567</v>
      </c>
    </row>
    <row r="2815" spans="7:7" x14ac:dyDescent="0.3">
      <c r="G2815" s="400" t="s">
        <v>9567</v>
      </c>
    </row>
    <row r="2816" spans="7:7" x14ac:dyDescent="0.3">
      <c r="G2816" s="400" t="s">
        <v>9567</v>
      </c>
    </row>
    <row r="2817" spans="7:7" x14ac:dyDescent="0.3">
      <c r="G2817" s="400" t="s">
        <v>9567</v>
      </c>
    </row>
    <row r="2818" spans="7:7" x14ac:dyDescent="0.3">
      <c r="G2818" s="400" t="s">
        <v>9567</v>
      </c>
    </row>
    <row r="2819" spans="7:7" x14ac:dyDescent="0.3">
      <c r="G2819" s="400" t="s">
        <v>9567</v>
      </c>
    </row>
    <row r="2820" spans="7:7" x14ac:dyDescent="0.3">
      <c r="G2820" s="400" t="s">
        <v>9567</v>
      </c>
    </row>
    <row r="2821" spans="7:7" x14ac:dyDescent="0.3">
      <c r="G2821" s="400" t="s">
        <v>9567</v>
      </c>
    </row>
    <row r="2822" spans="7:7" x14ac:dyDescent="0.3">
      <c r="G2822" s="400" t="s">
        <v>9567</v>
      </c>
    </row>
    <row r="2823" spans="7:7" x14ac:dyDescent="0.3">
      <c r="G2823" s="400" t="s">
        <v>9567</v>
      </c>
    </row>
    <row r="2824" spans="7:7" x14ac:dyDescent="0.3">
      <c r="G2824" s="400" t="s">
        <v>9567</v>
      </c>
    </row>
    <row r="2825" spans="7:7" x14ac:dyDescent="0.3">
      <c r="G2825" s="400" t="s">
        <v>9567</v>
      </c>
    </row>
    <row r="2826" spans="7:7" x14ac:dyDescent="0.3">
      <c r="G2826" s="400" t="s">
        <v>9567</v>
      </c>
    </row>
    <row r="2827" spans="7:7" x14ac:dyDescent="0.3">
      <c r="G2827" s="400" t="s">
        <v>9567</v>
      </c>
    </row>
    <row r="2828" spans="7:7" x14ac:dyDescent="0.3">
      <c r="G2828" s="400" t="s">
        <v>9567</v>
      </c>
    </row>
    <row r="2829" spans="7:7" x14ac:dyDescent="0.3">
      <c r="G2829" s="400" t="s">
        <v>9567</v>
      </c>
    </row>
    <row r="2830" spans="7:7" x14ac:dyDescent="0.3">
      <c r="G2830" s="400" t="s">
        <v>9567</v>
      </c>
    </row>
    <row r="2831" spans="7:7" x14ac:dyDescent="0.3">
      <c r="G2831" s="400" t="s">
        <v>9567</v>
      </c>
    </row>
    <row r="2832" spans="7:7" x14ac:dyDescent="0.3">
      <c r="G2832" s="400" t="s">
        <v>9567</v>
      </c>
    </row>
    <row r="2833" spans="7:7" x14ac:dyDescent="0.3">
      <c r="G2833" s="400" t="s">
        <v>9567</v>
      </c>
    </row>
    <row r="2834" spans="7:7" x14ac:dyDescent="0.3">
      <c r="G2834" s="400" t="s">
        <v>9567</v>
      </c>
    </row>
    <row r="2835" spans="7:7" x14ac:dyDescent="0.3">
      <c r="G2835" s="400" t="s">
        <v>9567</v>
      </c>
    </row>
    <row r="2836" spans="7:7" x14ac:dyDescent="0.3">
      <c r="G2836" s="400" t="s">
        <v>9567</v>
      </c>
    </row>
    <row r="2837" spans="7:7" x14ac:dyDescent="0.3">
      <c r="G2837" s="400" t="s">
        <v>9567</v>
      </c>
    </row>
    <row r="2838" spans="7:7" x14ac:dyDescent="0.3">
      <c r="G2838" s="400" t="s">
        <v>9567</v>
      </c>
    </row>
    <row r="2839" spans="7:7" x14ac:dyDescent="0.3">
      <c r="G2839" s="400" t="s">
        <v>9567</v>
      </c>
    </row>
    <row r="2840" spans="7:7" x14ac:dyDescent="0.3">
      <c r="G2840" s="400" t="s">
        <v>9567</v>
      </c>
    </row>
    <row r="2841" spans="7:7" x14ac:dyDescent="0.3">
      <c r="G2841" s="400" t="s">
        <v>9567</v>
      </c>
    </row>
    <row r="2842" spans="7:7" x14ac:dyDescent="0.3">
      <c r="G2842" s="400" t="s">
        <v>9567</v>
      </c>
    </row>
    <row r="2843" spans="7:7" x14ac:dyDescent="0.3">
      <c r="G2843" s="400" t="s">
        <v>9567</v>
      </c>
    </row>
    <row r="2844" spans="7:7" x14ac:dyDescent="0.3">
      <c r="G2844" s="400" t="s">
        <v>9567</v>
      </c>
    </row>
    <row r="2845" spans="7:7" x14ac:dyDescent="0.3">
      <c r="G2845" s="400" t="s">
        <v>9567</v>
      </c>
    </row>
    <row r="2846" spans="7:7" x14ac:dyDescent="0.3">
      <c r="G2846" s="400" t="s">
        <v>9567</v>
      </c>
    </row>
    <row r="2847" spans="7:7" x14ac:dyDescent="0.3">
      <c r="G2847" s="400" t="s">
        <v>9567</v>
      </c>
    </row>
    <row r="2848" spans="7:7" x14ac:dyDescent="0.3">
      <c r="G2848" s="400" t="s">
        <v>9567</v>
      </c>
    </row>
    <row r="2849" spans="7:7" x14ac:dyDescent="0.3">
      <c r="G2849" s="400" t="s">
        <v>9567</v>
      </c>
    </row>
    <row r="2850" spans="7:7" x14ac:dyDescent="0.3">
      <c r="G2850" s="400" t="s">
        <v>9567</v>
      </c>
    </row>
    <row r="2851" spans="7:7" x14ac:dyDescent="0.3">
      <c r="G2851" s="400" t="s">
        <v>9567</v>
      </c>
    </row>
    <row r="2852" spans="7:7" x14ac:dyDescent="0.3">
      <c r="G2852" s="400" t="s">
        <v>9567</v>
      </c>
    </row>
    <row r="2853" spans="7:7" x14ac:dyDescent="0.3">
      <c r="G2853" s="400" t="s">
        <v>9567</v>
      </c>
    </row>
    <row r="2854" spans="7:7" x14ac:dyDescent="0.3">
      <c r="G2854" s="400" t="s">
        <v>9567</v>
      </c>
    </row>
    <row r="2855" spans="7:7" x14ac:dyDescent="0.3">
      <c r="G2855" s="400" t="s">
        <v>9567</v>
      </c>
    </row>
    <row r="2856" spans="7:7" x14ac:dyDescent="0.3">
      <c r="G2856" s="400" t="s">
        <v>9567</v>
      </c>
    </row>
    <row r="2857" spans="7:7" x14ac:dyDescent="0.3">
      <c r="G2857" s="400" t="s">
        <v>9567</v>
      </c>
    </row>
    <row r="2858" spans="7:7" x14ac:dyDescent="0.3">
      <c r="G2858" s="400" t="s">
        <v>9567</v>
      </c>
    </row>
    <row r="2859" spans="7:7" x14ac:dyDescent="0.3">
      <c r="G2859" s="400" t="s">
        <v>9567</v>
      </c>
    </row>
    <row r="2860" spans="7:7" x14ac:dyDescent="0.3">
      <c r="G2860" s="400" t="s">
        <v>9567</v>
      </c>
    </row>
    <row r="2861" spans="7:7" x14ac:dyDescent="0.3">
      <c r="G2861" s="400" t="s">
        <v>9567</v>
      </c>
    </row>
    <row r="2862" spans="7:7" x14ac:dyDescent="0.3">
      <c r="G2862" s="400" t="s">
        <v>9567</v>
      </c>
    </row>
    <row r="2863" spans="7:7" x14ac:dyDescent="0.3">
      <c r="G2863" s="400" t="s">
        <v>9567</v>
      </c>
    </row>
    <row r="2864" spans="7:7" x14ac:dyDescent="0.3">
      <c r="G2864" s="400" t="s">
        <v>9567</v>
      </c>
    </row>
    <row r="2865" spans="7:7" x14ac:dyDescent="0.3">
      <c r="G2865" s="400" t="s">
        <v>9567</v>
      </c>
    </row>
    <row r="2866" spans="7:7" x14ac:dyDescent="0.3">
      <c r="G2866" s="400" t="s">
        <v>9567</v>
      </c>
    </row>
    <row r="2867" spans="7:7" x14ac:dyDescent="0.3">
      <c r="G2867" s="400" t="s">
        <v>9567</v>
      </c>
    </row>
    <row r="2868" spans="7:7" x14ac:dyDescent="0.3">
      <c r="G2868" s="400" t="s">
        <v>9567</v>
      </c>
    </row>
    <row r="2869" spans="7:7" x14ac:dyDescent="0.3">
      <c r="G2869" s="400" t="s">
        <v>9567</v>
      </c>
    </row>
    <row r="2870" spans="7:7" x14ac:dyDescent="0.3">
      <c r="G2870" s="400" t="s">
        <v>9567</v>
      </c>
    </row>
    <row r="2871" spans="7:7" x14ac:dyDescent="0.3">
      <c r="G2871" s="400" t="s">
        <v>9567</v>
      </c>
    </row>
    <row r="2872" spans="7:7" x14ac:dyDescent="0.3">
      <c r="G2872" s="400" t="s">
        <v>9567</v>
      </c>
    </row>
    <row r="2873" spans="7:7" x14ac:dyDescent="0.3">
      <c r="G2873" s="400" t="s">
        <v>9567</v>
      </c>
    </row>
    <row r="2874" spans="7:7" x14ac:dyDescent="0.3">
      <c r="G2874" s="400" t="s">
        <v>9567</v>
      </c>
    </row>
    <row r="2875" spans="7:7" x14ac:dyDescent="0.3">
      <c r="G2875" s="400" t="s">
        <v>9567</v>
      </c>
    </row>
    <row r="2876" spans="7:7" x14ac:dyDescent="0.3">
      <c r="G2876" s="400" t="s">
        <v>9567</v>
      </c>
    </row>
    <row r="2877" spans="7:7" x14ac:dyDescent="0.3">
      <c r="G2877" s="400" t="s">
        <v>9567</v>
      </c>
    </row>
    <row r="2878" spans="7:7" x14ac:dyDescent="0.3">
      <c r="G2878" s="400" t="s">
        <v>9567</v>
      </c>
    </row>
    <row r="2879" spans="7:7" x14ac:dyDescent="0.3">
      <c r="G2879" s="400" t="s">
        <v>9567</v>
      </c>
    </row>
    <row r="2880" spans="7:7" x14ac:dyDescent="0.3">
      <c r="G2880" s="400" t="s">
        <v>9567</v>
      </c>
    </row>
    <row r="2881" spans="7:7" x14ac:dyDescent="0.3">
      <c r="G2881" s="400" t="s">
        <v>9567</v>
      </c>
    </row>
    <row r="2882" spans="7:7" x14ac:dyDescent="0.3">
      <c r="G2882" s="400" t="s">
        <v>9567</v>
      </c>
    </row>
    <row r="2883" spans="7:7" x14ac:dyDescent="0.3">
      <c r="G2883" s="400" t="s">
        <v>9567</v>
      </c>
    </row>
    <row r="2884" spans="7:7" x14ac:dyDescent="0.3">
      <c r="G2884" s="400" t="s">
        <v>9567</v>
      </c>
    </row>
    <row r="2885" spans="7:7" x14ac:dyDescent="0.3">
      <c r="G2885" s="400" t="s">
        <v>9567</v>
      </c>
    </row>
    <row r="2886" spans="7:7" x14ac:dyDescent="0.3">
      <c r="G2886" s="400" t="s">
        <v>9567</v>
      </c>
    </row>
    <row r="2887" spans="7:7" x14ac:dyDescent="0.3">
      <c r="G2887" s="400" t="s">
        <v>9567</v>
      </c>
    </row>
    <row r="2888" spans="7:7" x14ac:dyDescent="0.3">
      <c r="G2888" s="400" t="s">
        <v>9567</v>
      </c>
    </row>
    <row r="2889" spans="7:7" x14ac:dyDescent="0.3">
      <c r="G2889" s="400" t="s">
        <v>9567</v>
      </c>
    </row>
    <row r="2890" spans="7:7" x14ac:dyDescent="0.3">
      <c r="G2890" s="400" t="s">
        <v>9567</v>
      </c>
    </row>
    <row r="2891" spans="7:7" x14ac:dyDescent="0.3">
      <c r="G2891" s="400" t="s">
        <v>9567</v>
      </c>
    </row>
    <row r="2892" spans="7:7" x14ac:dyDescent="0.3">
      <c r="G2892" s="400" t="s">
        <v>9567</v>
      </c>
    </row>
    <row r="2893" spans="7:7" x14ac:dyDescent="0.3">
      <c r="G2893" s="400" t="s">
        <v>9567</v>
      </c>
    </row>
    <row r="2894" spans="7:7" x14ac:dyDescent="0.3">
      <c r="G2894" s="400" t="s">
        <v>9567</v>
      </c>
    </row>
    <row r="2895" spans="7:7" x14ac:dyDescent="0.3">
      <c r="G2895" s="400" t="s">
        <v>9567</v>
      </c>
    </row>
    <row r="2896" spans="7:7" x14ac:dyDescent="0.3">
      <c r="G2896" s="400" t="s">
        <v>9567</v>
      </c>
    </row>
    <row r="2897" spans="7:7" x14ac:dyDescent="0.3">
      <c r="G2897" s="400" t="s">
        <v>9567</v>
      </c>
    </row>
    <row r="2898" spans="7:7" x14ac:dyDescent="0.3">
      <c r="G2898" s="400" t="s">
        <v>9567</v>
      </c>
    </row>
    <row r="2899" spans="7:7" x14ac:dyDescent="0.3">
      <c r="G2899" s="400" t="s">
        <v>9567</v>
      </c>
    </row>
    <row r="2900" spans="7:7" x14ac:dyDescent="0.3">
      <c r="G2900" s="400" t="s">
        <v>9567</v>
      </c>
    </row>
    <row r="2901" spans="7:7" x14ac:dyDescent="0.3">
      <c r="G2901" s="400" t="s">
        <v>9567</v>
      </c>
    </row>
    <row r="2902" spans="7:7" x14ac:dyDescent="0.3">
      <c r="G2902" s="400" t="s">
        <v>9567</v>
      </c>
    </row>
    <row r="2903" spans="7:7" x14ac:dyDescent="0.3">
      <c r="G2903" s="400" t="s">
        <v>9567</v>
      </c>
    </row>
    <row r="2904" spans="7:7" x14ac:dyDescent="0.3">
      <c r="G2904" s="400" t="s">
        <v>9567</v>
      </c>
    </row>
    <row r="2905" spans="7:7" x14ac:dyDescent="0.3">
      <c r="G2905" s="400" t="s">
        <v>9567</v>
      </c>
    </row>
    <row r="2906" spans="7:7" x14ac:dyDescent="0.3">
      <c r="G2906" s="400" t="s">
        <v>9567</v>
      </c>
    </row>
    <row r="2907" spans="7:7" x14ac:dyDescent="0.3">
      <c r="G2907" s="400" t="s">
        <v>9567</v>
      </c>
    </row>
    <row r="2908" spans="7:7" x14ac:dyDescent="0.3">
      <c r="G2908" s="400" t="s">
        <v>9567</v>
      </c>
    </row>
    <row r="2909" spans="7:7" x14ac:dyDescent="0.3">
      <c r="G2909" s="400" t="s">
        <v>9567</v>
      </c>
    </row>
    <row r="2910" spans="7:7" x14ac:dyDescent="0.3">
      <c r="G2910" s="400" t="s">
        <v>9567</v>
      </c>
    </row>
    <row r="2911" spans="7:7" x14ac:dyDescent="0.3">
      <c r="G2911" s="400" t="s">
        <v>9567</v>
      </c>
    </row>
    <row r="2912" spans="7:7" x14ac:dyDescent="0.3">
      <c r="G2912" s="400" t="s">
        <v>9567</v>
      </c>
    </row>
    <row r="2913" spans="7:7" x14ac:dyDescent="0.3">
      <c r="G2913" s="400" t="s">
        <v>9567</v>
      </c>
    </row>
    <row r="2914" spans="7:7" x14ac:dyDescent="0.3">
      <c r="G2914" s="400" t="s">
        <v>9567</v>
      </c>
    </row>
    <row r="2915" spans="7:7" x14ac:dyDescent="0.3">
      <c r="G2915" s="400" t="s">
        <v>9567</v>
      </c>
    </row>
    <row r="2916" spans="7:7" x14ac:dyDescent="0.3">
      <c r="G2916" s="400" t="s">
        <v>9567</v>
      </c>
    </row>
    <row r="2917" spans="7:7" x14ac:dyDescent="0.3">
      <c r="G2917" s="400" t="s">
        <v>9567</v>
      </c>
    </row>
    <row r="2918" spans="7:7" x14ac:dyDescent="0.3">
      <c r="G2918" s="400" t="s">
        <v>9567</v>
      </c>
    </row>
    <row r="2919" spans="7:7" x14ac:dyDescent="0.3">
      <c r="G2919" s="400" t="s">
        <v>9567</v>
      </c>
    </row>
    <row r="2920" spans="7:7" x14ac:dyDescent="0.3">
      <c r="G2920" s="400" t="s">
        <v>9567</v>
      </c>
    </row>
    <row r="2921" spans="7:7" x14ac:dyDescent="0.3">
      <c r="G2921" s="400" t="s">
        <v>9567</v>
      </c>
    </row>
    <row r="2922" spans="7:7" x14ac:dyDescent="0.3">
      <c r="G2922" s="400" t="s">
        <v>9567</v>
      </c>
    </row>
    <row r="2923" spans="7:7" x14ac:dyDescent="0.3">
      <c r="G2923" s="400" t="s">
        <v>9567</v>
      </c>
    </row>
    <row r="2924" spans="7:7" x14ac:dyDescent="0.3">
      <c r="G2924" s="400" t="s">
        <v>9567</v>
      </c>
    </row>
    <row r="2925" spans="7:7" x14ac:dyDescent="0.3">
      <c r="G2925" s="400" t="s">
        <v>9567</v>
      </c>
    </row>
    <row r="2926" spans="7:7" x14ac:dyDescent="0.3">
      <c r="G2926" s="400" t="s">
        <v>9567</v>
      </c>
    </row>
    <row r="2927" spans="7:7" x14ac:dyDescent="0.3">
      <c r="G2927" s="400" t="s">
        <v>9567</v>
      </c>
    </row>
    <row r="2928" spans="7:7" x14ac:dyDescent="0.3">
      <c r="G2928" s="400" t="s">
        <v>9567</v>
      </c>
    </row>
    <row r="2929" spans="7:7" x14ac:dyDescent="0.3">
      <c r="G2929" s="400" t="s">
        <v>9567</v>
      </c>
    </row>
    <row r="2930" spans="7:7" x14ac:dyDescent="0.3">
      <c r="G2930" s="400" t="s">
        <v>9567</v>
      </c>
    </row>
    <row r="2931" spans="7:7" x14ac:dyDescent="0.3">
      <c r="G2931" s="400" t="s">
        <v>9567</v>
      </c>
    </row>
    <row r="2932" spans="7:7" x14ac:dyDescent="0.3">
      <c r="G2932" s="400" t="s">
        <v>9567</v>
      </c>
    </row>
    <row r="2933" spans="7:7" x14ac:dyDescent="0.3">
      <c r="G2933" s="400" t="s">
        <v>9567</v>
      </c>
    </row>
    <row r="2934" spans="7:7" x14ac:dyDescent="0.3">
      <c r="G2934" s="400" t="s">
        <v>9567</v>
      </c>
    </row>
    <row r="2935" spans="7:7" x14ac:dyDescent="0.3">
      <c r="G2935" s="400" t="s">
        <v>9567</v>
      </c>
    </row>
    <row r="2936" spans="7:7" x14ac:dyDescent="0.3">
      <c r="G2936" s="400" t="s">
        <v>9567</v>
      </c>
    </row>
    <row r="2937" spans="7:7" x14ac:dyDescent="0.3">
      <c r="G2937" s="400" t="s">
        <v>9567</v>
      </c>
    </row>
    <row r="2938" spans="7:7" x14ac:dyDescent="0.3">
      <c r="G2938" s="400" t="s">
        <v>9567</v>
      </c>
    </row>
    <row r="2939" spans="7:7" x14ac:dyDescent="0.3">
      <c r="G2939" s="400" t="s">
        <v>9567</v>
      </c>
    </row>
    <row r="2940" spans="7:7" x14ac:dyDescent="0.3">
      <c r="G2940" s="400" t="s">
        <v>9567</v>
      </c>
    </row>
    <row r="2941" spans="7:7" x14ac:dyDescent="0.3">
      <c r="G2941" s="400" t="s">
        <v>9567</v>
      </c>
    </row>
    <row r="2942" spans="7:7" x14ac:dyDescent="0.3">
      <c r="G2942" s="400" t="s">
        <v>9567</v>
      </c>
    </row>
    <row r="2943" spans="7:7" x14ac:dyDescent="0.3">
      <c r="G2943" s="400" t="s">
        <v>9567</v>
      </c>
    </row>
    <row r="2944" spans="7:7" x14ac:dyDescent="0.3">
      <c r="G2944" s="400" t="s">
        <v>9567</v>
      </c>
    </row>
    <row r="2945" spans="7:7" x14ac:dyDescent="0.3">
      <c r="G2945" s="400" t="s">
        <v>9567</v>
      </c>
    </row>
    <row r="2946" spans="7:7" x14ac:dyDescent="0.3">
      <c r="G2946" s="400" t="s">
        <v>9567</v>
      </c>
    </row>
    <row r="2947" spans="7:7" x14ac:dyDescent="0.3">
      <c r="G2947" s="400" t="s">
        <v>9567</v>
      </c>
    </row>
    <row r="2948" spans="7:7" x14ac:dyDescent="0.3">
      <c r="G2948" s="400" t="s">
        <v>9567</v>
      </c>
    </row>
    <row r="2949" spans="7:7" x14ac:dyDescent="0.3">
      <c r="G2949" s="400" t="s">
        <v>9567</v>
      </c>
    </row>
    <row r="2950" spans="7:7" x14ac:dyDescent="0.3">
      <c r="G2950" s="400" t="s">
        <v>9567</v>
      </c>
    </row>
    <row r="2951" spans="7:7" x14ac:dyDescent="0.3">
      <c r="G2951" s="400" t="s">
        <v>9567</v>
      </c>
    </row>
    <row r="2952" spans="7:7" x14ac:dyDescent="0.3">
      <c r="G2952" s="400" t="s">
        <v>9567</v>
      </c>
    </row>
    <row r="2953" spans="7:7" x14ac:dyDescent="0.3">
      <c r="G2953" s="400" t="s">
        <v>9567</v>
      </c>
    </row>
    <row r="2954" spans="7:7" x14ac:dyDescent="0.3">
      <c r="G2954" s="400" t="s">
        <v>9567</v>
      </c>
    </row>
    <row r="2955" spans="7:7" x14ac:dyDescent="0.3">
      <c r="G2955" s="400" t="s">
        <v>9567</v>
      </c>
    </row>
    <row r="2956" spans="7:7" x14ac:dyDescent="0.3">
      <c r="G2956" s="400" t="s">
        <v>9567</v>
      </c>
    </row>
    <row r="2957" spans="7:7" x14ac:dyDescent="0.3">
      <c r="G2957" s="400" t="s">
        <v>9567</v>
      </c>
    </row>
    <row r="2958" spans="7:7" x14ac:dyDescent="0.3">
      <c r="G2958" s="400" t="s">
        <v>9567</v>
      </c>
    </row>
    <row r="2959" spans="7:7" x14ac:dyDescent="0.3">
      <c r="G2959" s="400" t="s">
        <v>9567</v>
      </c>
    </row>
    <row r="2960" spans="7:7" x14ac:dyDescent="0.3">
      <c r="G2960" s="400" t="s">
        <v>9567</v>
      </c>
    </row>
    <row r="2961" spans="7:7" x14ac:dyDescent="0.3">
      <c r="G2961" s="400" t="s">
        <v>9567</v>
      </c>
    </row>
    <row r="2962" spans="7:7" x14ac:dyDescent="0.3">
      <c r="G2962" s="400" t="s">
        <v>9567</v>
      </c>
    </row>
    <row r="2963" spans="7:7" x14ac:dyDescent="0.3">
      <c r="G2963" s="400" t="s">
        <v>9567</v>
      </c>
    </row>
    <row r="2964" spans="7:7" x14ac:dyDescent="0.3">
      <c r="G2964" s="400" t="s">
        <v>9567</v>
      </c>
    </row>
    <row r="2965" spans="7:7" x14ac:dyDescent="0.3">
      <c r="G2965" s="400" t="s">
        <v>9567</v>
      </c>
    </row>
    <row r="2966" spans="7:7" x14ac:dyDescent="0.3">
      <c r="G2966" s="400" t="s">
        <v>9567</v>
      </c>
    </row>
    <row r="2967" spans="7:7" x14ac:dyDescent="0.3">
      <c r="G2967" s="400" t="s">
        <v>9567</v>
      </c>
    </row>
    <row r="2968" spans="7:7" x14ac:dyDescent="0.3">
      <c r="G2968" s="400" t="s">
        <v>9567</v>
      </c>
    </row>
    <row r="2969" spans="7:7" x14ac:dyDescent="0.3">
      <c r="G2969" s="400" t="s">
        <v>9567</v>
      </c>
    </row>
    <row r="2970" spans="7:7" x14ac:dyDescent="0.3">
      <c r="G2970" s="400" t="s">
        <v>9567</v>
      </c>
    </row>
    <row r="2971" spans="7:7" x14ac:dyDescent="0.3">
      <c r="G2971" s="400" t="s">
        <v>9567</v>
      </c>
    </row>
    <row r="2972" spans="7:7" x14ac:dyDescent="0.3">
      <c r="G2972" s="400" t="s">
        <v>9567</v>
      </c>
    </row>
    <row r="2973" spans="7:7" x14ac:dyDescent="0.3">
      <c r="G2973" s="400" t="s">
        <v>9567</v>
      </c>
    </row>
    <row r="2974" spans="7:7" x14ac:dyDescent="0.3">
      <c r="G2974" s="400" t="s">
        <v>9567</v>
      </c>
    </row>
    <row r="2975" spans="7:7" x14ac:dyDescent="0.3">
      <c r="G2975" s="400" t="s">
        <v>9567</v>
      </c>
    </row>
    <row r="2976" spans="7:7" x14ac:dyDescent="0.3">
      <c r="G2976" s="400" t="s">
        <v>9567</v>
      </c>
    </row>
    <row r="2977" spans="7:7" x14ac:dyDescent="0.3">
      <c r="G2977" s="400" t="s">
        <v>9567</v>
      </c>
    </row>
    <row r="2978" spans="7:7" x14ac:dyDescent="0.3">
      <c r="G2978" s="400" t="s">
        <v>9567</v>
      </c>
    </row>
    <row r="2979" spans="7:7" x14ac:dyDescent="0.3">
      <c r="G2979" s="400" t="s">
        <v>9567</v>
      </c>
    </row>
    <row r="2980" spans="7:7" x14ac:dyDescent="0.3">
      <c r="G2980" s="400" t="s">
        <v>9567</v>
      </c>
    </row>
    <row r="2981" spans="7:7" x14ac:dyDescent="0.3">
      <c r="G2981" s="400" t="s">
        <v>9567</v>
      </c>
    </row>
    <row r="2982" spans="7:7" x14ac:dyDescent="0.3">
      <c r="G2982" s="400" t="s">
        <v>9567</v>
      </c>
    </row>
    <row r="2983" spans="7:7" x14ac:dyDescent="0.3">
      <c r="G2983" s="400" t="s">
        <v>9567</v>
      </c>
    </row>
    <row r="2984" spans="7:7" x14ac:dyDescent="0.3">
      <c r="G2984" s="400" t="s">
        <v>9567</v>
      </c>
    </row>
    <row r="2985" spans="7:7" x14ac:dyDescent="0.3">
      <c r="G2985" s="400" t="s">
        <v>9567</v>
      </c>
    </row>
    <row r="2986" spans="7:7" x14ac:dyDescent="0.3">
      <c r="G2986" s="400" t="s">
        <v>9567</v>
      </c>
    </row>
    <row r="2987" spans="7:7" x14ac:dyDescent="0.3">
      <c r="G2987" s="400" t="s">
        <v>9567</v>
      </c>
    </row>
    <row r="2988" spans="7:7" x14ac:dyDescent="0.3">
      <c r="G2988" s="400" t="s">
        <v>9567</v>
      </c>
    </row>
    <row r="2989" spans="7:7" x14ac:dyDescent="0.3">
      <c r="G2989" s="400" t="s">
        <v>9567</v>
      </c>
    </row>
    <row r="2990" spans="7:7" x14ac:dyDescent="0.3">
      <c r="G2990" s="400" t="s">
        <v>9567</v>
      </c>
    </row>
    <row r="2991" spans="7:7" x14ac:dyDescent="0.3">
      <c r="G2991" s="400" t="s">
        <v>9567</v>
      </c>
    </row>
    <row r="2992" spans="7:7" x14ac:dyDescent="0.3">
      <c r="G2992" s="400" t="s">
        <v>9567</v>
      </c>
    </row>
    <row r="2993" spans="7:7" x14ac:dyDescent="0.3">
      <c r="G2993" s="400" t="s">
        <v>9567</v>
      </c>
    </row>
    <row r="2994" spans="7:7" x14ac:dyDescent="0.3">
      <c r="G2994" s="400" t="s">
        <v>9567</v>
      </c>
    </row>
    <row r="2995" spans="7:7" x14ac:dyDescent="0.3">
      <c r="G2995" s="400" t="s">
        <v>9567</v>
      </c>
    </row>
    <row r="2996" spans="7:7" x14ac:dyDescent="0.3">
      <c r="G2996" s="400" t="s">
        <v>9567</v>
      </c>
    </row>
    <row r="2997" spans="7:7" x14ac:dyDescent="0.3">
      <c r="G2997" s="400" t="s">
        <v>9567</v>
      </c>
    </row>
    <row r="2998" spans="7:7" x14ac:dyDescent="0.3">
      <c r="G2998" s="400" t="s">
        <v>9567</v>
      </c>
    </row>
    <row r="2999" spans="7:7" x14ac:dyDescent="0.3">
      <c r="G2999" s="400" t="s">
        <v>9567</v>
      </c>
    </row>
    <row r="3000" spans="7:7" x14ac:dyDescent="0.3">
      <c r="G3000" s="400" t="s">
        <v>9567</v>
      </c>
    </row>
    <row r="3001" spans="7:7" x14ac:dyDescent="0.3">
      <c r="G3001" s="400" t="s">
        <v>9567</v>
      </c>
    </row>
    <row r="3002" spans="7:7" x14ac:dyDescent="0.3">
      <c r="G3002" s="400" t="s">
        <v>9567</v>
      </c>
    </row>
    <row r="3003" spans="7:7" x14ac:dyDescent="0.3">
      <c r="G3003" s="400" t="s">
        <v>9567</v>
      </c>
    </row>
    <row r="3004" spans="7:7" x14ac:dyDescent="0.3">
      <c r="G3004" s="400" t="s">
        <v>9567</v>
      </c>
    </row>
    <row r="3005" spans="7:7" x14ac:dyDescent="0.3">
      <c r="G3005" s="400" t="s">
        <v>9567</v>
      </c>
    </row>
    <row r="3006" spans="7:7" x14ac:dyDescent="0.3">
      <c r="G3006" s="400" t="s">
        <v>9567</v>
      </c>
    </row>
    <row r="3007" spans="7:7" x14ac:dyDescent="0.3">
      <c r="G3007" s="400" t="s">
        <v>9567</v>
      </c>
    </row>
    <row r="3008" spans="7:7" x14ac:dyDescent="0.3">
      <c r="G3008" s="400" t="s">
        <v>9567</v>
      </c>
    </row>
    <row r="3009" spans="7:7" x14ac:dyDescent="0.3">
      <c r="G3009" s="400" t="s">
        <v>9567</v>
      </c>
    </row>
    <row r="3010" spans="7:7" x14ac:dyDescent="0.3">
      <c r="G3010" s="400" t="s">
        <v>9567</v>
      </c>
    </row>
    <row r="3011" spans="7:7" x14ac:dyDescent="0.3">
      <c r="G3011" s="400" t="s">
        <v>9567</v>
      </c>
    </row>
    <row r="3012" spans="7:7" x14ac:dyDescent="0.3">
      <c r="G3012" s="400" t="s">
        <v>9567</v>
      </c>
    </row>
    <row r="3013" spans="7:7" x14ac:dyDescent="0.3">
      <c r="G3013" s="400" t="s">
        <v>9567</v>
      </c>
    </row>
    <row r="3014" spans="7:7" x14ac:dyDescent="0.3">
      <c r="G3014" s="400" t="s">
        <v>9567</v>
      </c>
    </row>
    <row r="3015" spans="7:7" x14ac:dyDescent="0.3">
      <c r="G3015" s="400" t="s">
        <v>9567</v>
      </c>
    </row>
    <row r="3016" spans="7:7" x14ac:dyDescent="0.3">
      <c r="G3016" s="400" t="s">
        <v>9567</v>
      </c>
    </row>
    <row r="3017" spans="7:7" x14ac:dyDescent="0.3">
      <c r="G3017" s="400" t="s">
        <v>9567</v>
      </c>
    </row>
    <row r="3018" spans="7:7" x14ac:dyDescent="0.3">
      <c r="G3018" s="400" t="s">
        <v>9567</v>
      </c>
    </row>
    <row r="3019" spans="7:7" x14ac:dyDescent="0.3">
      <c r="G3019" s="400" t="s">
        <v>9567</v>
      </c>
    </row>
    <row r="3020" spans="7:7" x14ac:dyDescent="0.3">
      <c r="G3020" s="400" t="s">
        <v>9567</v>
      </c>
    </row>
    <row r="3021" spans="7:7" x14ac:dyDescent="0.3">
      <c r="G3021" s="400" t="s">
        <v>9567</v>
      </c>
    </row>
    <row r="3022" spans="7:7" x14ac:dyDescent="0.3">
      <c r="G3022" s="400" t="s">
        <v>9567</v>
      </c>
    </row>
    <row r="3023" spans="7:7" x14ac:dyDescent="0.3">
      <c r="G3023" s="400" t="s">
        <v>9567</v>
      </c>
    </row>
    <row r="3024" spans="7:7" x14ac:dyDescent="0.3">
      <c r="G3024" s="400" t="s">
        <v>9567</v>
      </c>
    </row>
    <row r="3025" spans="7:7" x14ac:dyDescent="0.3">
      <c r="G3025" s="400" t="s">
        <v>9567</v>
      </c>
    </row>
    <row r="3026" spans="7:7" x14ac:dyDescent="0.3">
      <c r="G3026" s="400" t="s">
        <v>9567</v>
      </c>
    </row>
    <row r="3027" spans="7:7" x14ac:dyDescent="0.3">
      <c r="G3027" s="400" t="s">
        <v>9567</v>
      </c>
    </row>
    <row r="3028" spans="7:7" x14ac:dyDescent="0.3">
      <c r="G3028" s="400" t="s">
        <v>9567</v>
      </c>
    </row>
    <row r="3029" spans="7:7" x14ac:dyDescent="0.3">
      <c r="G3029" s="400" t="s">
        <v>9567</v>
      </c>
    </row>
    <row r="3030" spans="7:7" x14ac:dyDescent="0.3">
      <c r="G3030" s="400" t="s">
        <v>9567</v>
      </c>
    </row>
    <row r="3031" spans="7:7" x14ac:dyDescent="0.3">
      <c r="G3031" s="400" t="s">
        <v>9567</v>
      </c>
    </row>
    <row r="3032" spans="7:7" x14ac:dyDescent="0.3">
      <c r="G3032" s="400" t="s">
        <v>9567</v>
      </c>
    </row>
    <row r="3033" spans="7:7" x14ac:dyDescent="0.3">
      <c r="G3033" s="400" t="s">
        <v>9567</v>
      </c>
    </row>
    <row r="3034" spans="7:7" x14ac:dyDescent="0.3">
      <c r="G3034" s="400" t="s">
        <v>9567</v>
      </c>
    </row>
    <row r="3035" spans="7:7" x14ac:dyDescent="0.3">
      <c r="G3035" s="400" t="s">
        <v>9567</v>
      </c>
    </row>
    <row r="3036" spans="7:7" x14ac:dyDescent="0.3">
      <c r="G3036" s="400" t="s">
        <v>9567</v>
      </c>
    </row>
    <row r="3037" spans="7:7" x14ac:dyDescent="0.3">
      <c r="G3037" s="400" t="s">
        <v>9567</v>
      </c>
    </row>
    <row r="3038" spans="7:7" x14ac:dyDescent="0.3">
      <c r="G3038" s="400" t="s">
        <v>9567</v>
      </c>
    </row>
    <row r="3039" spans="7:7" x14ac:dyDescent="0.3">
      <c r="G3039" s="400" t="s">
        <v>9567</v>
      </c>
    </row>
    <row r="3040" spans="7:7" x14ac:dyDescent="0.3">
      <c r="G3040" s="400" t="s">
        <v>9567</v>
      </c>
    </row>
    <row r="3041" spans="7:7" x14ac:dyDescent="0.3">
      <c r="G3041" s="400" t="s">
        <v>9567</v>
      </c>
    </row>
    <row r="3042" spans="7:7" x14ac:dyDescent="0.3">
      <c r="G3042" s="400" t="s">
        <v>9567</v>
      </c>
    </row>
    <row r="3043" spans="7:7" x14ac:dyDescent="0.3">
      <c r="G3043" s="400" t="s">
        <v>9567</v>
      </c>
    </row>
    <row r="3044" spans="7:7" x14ac:dyDescent="0.3">
      <c r="G3044" s="400" t="s">
        <v>9567</v>
      </c>
    </row>
    <row r="3045" spans="7:7" x14ac:dyDescent="0.3">
      <c r="G3045" s="400" t="s">
        <v>9567</v>
      </c>
    </row>
    <row r="3046" spans="7:7" x14ac:dyDescent="0.3">
      <c r="G3046" s="400" t="s">
        <v>9567</v>
      </c>
    </row>
    <row r="3047" spans="7:7" x14ac:dyDescent="0.3">
      <c r="G3047" s="400" t="s">
        <v>9567</v>
      </c>
    </row>
    <row r="3048" spans="7:7" x14ac:dyDescent="0.3">
      <c r="G3048" s="400" t="s">
        <v>9567</v>
      </c>
    </row>
    <row r="3049" spans="7:7" x14ac:dyDescent="0.3">
      <c r="G3049" s="400" t="s">
        <v>9567</v>
      </c>
    </row>
    <row r="3050" spans="7:7" x14ac:dyDescent="0.3">
      <c r="G3050" s="400" t="s">
        <v>9567</v>
      </c>
    </row>
    <row r="3051" spans="7:7" x14ac:dyDescent="0.3">
      <c r="G3051" s="400" t="s">
        <v>9567</v>
      </c>
    </row>
    <row r="3052" spans="7:7" x14ac:dyDescent="0.3">
      <c r="G3052" s="400" t="s">
        <v>9567</v>
      </c>
    </row>
    <row r="3053" spans="7:7" x14ac:dyDescent="0.3">
      <c r="G3053" s="400" t="s">
        <v>9567</v>
      </c>
    </row>
    <row r="3054" spans="7:7" x14ac:dyDescent="0.3">
      <c r="G3054" s="400" t="s">
        <v>9567</v>
      </c>
    </row>
    <row r="3055" spans="7:7" x14ac:dyDescent="0.3">
      <c r="G3055" s="400" t="s">
        <v>9567</v>
      </c>
    </row>
    <row r="3056" spans="7:7" x14ac:dyDescent="0.3">
      <c r="G3056" s="400" t="s">
        <v>9567</v>
      </c>
    </row>
    <row r="3057" spans="7:7" x14ac:dyDescent="0.3">
      <c r="G3057" s="400" t="s">
        <v>9567</v>
      </c>
    </row>
    <row r="3058" spans="7:7" x14ac:dyDescent="0.3">
      <c r="G3058" s="400" t="s">
        <v>9567</v>
      </c>
    </row>
    <row r="3059" spans="7:7" x14ac:dyDescent="0.3">
      <c r="G3059" s="400" t="s">
        <v>9567</v>
      </c>
    </row>
    <row r="3060" spans="7:7" x14ac:dyDescent="0.3">
      <c r="G3060" s="400" t="s">
        <v>9567</v>
      </c>
    </row>
    <row r="3061" spans="7:7" x14ac:dyDescent="0.3">
      <c r="G3061" s="400" t="s">
        <v>9567</v>
      </c>
    </row>
    <row r="3062" spans="7:7" x14ac:dyDescent="0.3">
      <c r="G3062" s="400" t="s">
        <v>9567</v>
      </c>
    </row>
    <row r="3063" spans="7:7" x14ac:dyDescent="0.3">
      <c r="G3063" s="400" t="s">
        <v>9567</v>
      </c>
    </row>
    <row r="3064" spans="7:7" x14ac:dyDescent="0.3">
      <c r="G3064" s="400" t="s">
        <v>9567</v>
      </c>
    </row>
    <row r="3065" spans="7:7" x14ac:dyDescent="0.3">
      <c r="G3065" s="400" t="s">
        <v>9567</v>
      </c>
    </row>
    <row r="3066" spans="7:7" x14ac:dyDescent="0.3">
      <c r="G3066" s="400" t="s">
        <v>9567</v>
      </c>
    </row>
    <row r="3067" spans="7:7" x14ac:dyDescent="0.3">
      <c r="G3067" s="400" t="s">
        <v>9567</v>
      </c>
    </row>
    <row r="3068" spans="7:7" x14ac:dyDescent="0.3">
      <c r="G3068" s="400" t="s">
        <v>9567</v>
      </c>
    </row>
    <row r="3069" spans="7:7" x14ac:dyDescent="0.3">
      <c r="G3069" s="400" t="s">
        <v>9567</v>
      </c>
    </row>
    <row r="3070" spans="7:7" x14ac:dyDescent="0.3">
      <c r="G3070" s="400" t="s">
        <v>9567</v>
      </c>
    </row>
    <row r="3071" spans="7:7" x14ac:dyDescent="0.3">
      <c r="G3071" s="400" t="s">
        <v>9567</v>
      </c>
    </row>
    <row r="3072" spans="7:7" x14ac:dyDescent="0.3">
      <c r="G3072" s="400" t="s">
        <v>9567</v>
      </c>
    </row>
    <row r="3073" spans="7:7" x14ac:dyDescent="0.3">
      <c r="G3073" s="400" t="s">
        <v>9567</v>
      </c>
    </row>
    <row r="3074" spans="7:7" x14ac:dyDescent="0.3">
      <c r="G3074" s="400" t="s">
        <v>9567</v>
      </c>
    </row>
    <row r="3075" spans="7:7" x14ac:dyDescent="0.3">
      <c r="G3075" s="400" t="s">
        <v>9567</v>
      </c>
    </row>
    <row r="3076" spans="7:7" x14ac:dyDescent="0.3">
      <c r="G3076" s="400" t="s">
        <v>9567</v>
      </c>
    </row>
    <row r="3077" spans="7:7" x14ac:dyDescent="0.3">
      <c r="G3077" s="400" t="s">
        <v>9567</v>
      </c>
    </row>
    <row r="3078" spans="7:7" x14ac:dyDescent="0.3">
      <c r="G3078" s="400" t="s">
        <v>9567</v>
      </c>
    </row>
    <row r="3079" spans="7:7" x14ac:dyDescent="0.3">
      <c r="G3079" s="400" t="s">
        <v>9567</v>
      </c>
    </row>
    <row r="3080" spans="7:7" x14ac:dyDescent="0.3">
      <c r="G3080" s="400" t="s">
        <v>9567</v>
      </c>
    </row>
    <row r="3081" spans="7:7" x14ac:dyDescent="0.3">
      <c r="G3081" s="400" t="s">
        <v>9567</v>
      </c>
    </row>
    <row r="3082" spans="7:7" x14ac:dyDescent="0.3">
      <c r="G3082" s="400" t="s">
        <v>9567</v>
      </c>
    </row>
    <row r="3083" spans="7:7" x14ac:dyDescent="0.3">
      <c r="G3083" s="400" t="s">
        <v>9567</v>
      </c>
    </row>
    <row r="3084" spans="7:7" x14ac:dyDescent="0.3">
      <c r="G3084" s="400" t="s">
        <v>9567</v>
      </c>
    </row>
    <row r="3085" spans="7:7" x14ac:dyDescent="0.3">
      <c r="G3085" s="400" t="s">
        <v>9567</v>
      </c>
    </row>
    <row r="3086" spans="7:7" x14ac:dyDescent="0.3">
      <c r="G3086" s="400" t="s">
        <v>9567</v>
      </c>
    </row>
    <row r="3087" spans="7:7" x14ac:dyDescent="0.3">
      <c r="G3087" s="400" t="s">
        <v>9567</v>
      </c>
    </row>
    <row r="3088" spans="7:7" x14ac:dyDescent="0.3">
      <c r="G3088" s="400" t="s">
        <v>9567</v>
      </c>
    </row>
    <row r="3089" spans="7:7" x14ac:dyDescent="0.3">
      <c r="G3089" s="400" t="s">
        <v>9567</v>
      </c>
    </row>
    <row r="3090" spans="7:7" x14ac:dyDescent="0.3">
      <c r="G3090" s="400" t="s">
        <v>9567</v>
      </c>
    </row>
    <row r="3091" spans="7:7" x14ac:dyDescent="0.3">
      <c r="G3091" s="400" t="s">
        <v>9567</v>
      </c>
    </row>
    <row r="3092" spans="7:7" x14ac:dyDescent="0.3">
      <c r="G3092" s="400" t="s">
        <v>9567</v>
      </c>
    </row>
    <row r="3093" spans="7:7" x14ac:dyDescent="0.3">
      <c r="G3093" s="400" t="s">
        <v>9567</v>
      </c>
    </row>
    <row r="3094" spans="7:7" x14ac:dyDescent="0.3">
      <c r="G3094" s="400" t="s">
        <v>9567</v>
      </c>
    </row>
    <row r="3095" spans="7:7" x14ac:dyDescent="0.3">
      <c r="G3095" s="400" t="s">
        <v>9567</v>
      </c>
    </row>
    <row r="3096" spans="7:7" x14ac:dyDescent="0.3">
      <c r="G3096" s="400" t="s">
        <v>9567</v>
      </c>
    </row>
    <row r="3097" spans="7:7" x14ac:dyDescent="0.3">
      <c r="G3097" s="400" t="s">
        <v>9567</v>
      </c>
    </row>
    <row r="3098" spans="7:7" x14ac:dyDescent="0.3">
      <c r="G3098" s="400" t="s">
        <v>9567</v>
      </c>
    </row>
    <row r="3099" spans="7:7" x14ac:dyDescent="0.3">
      <c r="G3099" s="400" t="s">
        <v>9567</v>
      </c>
    </row>
    <row r="3100" spans="7:7" x14ac:dyDescent="0.3">
      <c r="G3100" s="400" t="s">
        <v>9567</v>
      </c>
    </row>
    <row r="3101" spans="7:7" x14ac:dyDescent="0.3">
      <c r="G3101" s="400" t="s">
        <v>9567</v>
      </c>
    </row>
    <row r="3102" spans="7:7" x14ac:dyDescent="0.3">
      <c r="G3102" s="400" t="s">
        <v>9567</v>
      </c>
    </row>
    <row r="3103" spans="7:7" x14ac:dyDescent="0.3">
      <c r="G3103" s="400" t="s">
        <v>9567</v>
      </c>
    </row>
    <row r="3104" spans="7:7" x14ac:dyDescent="0.3">
      <c r="G3104" s="400" t="s">
        <v>9567</v>
      </c>
    </row>
    <row r="3105" spans="7:7" x14ac:dyDescent="0.3">
      <c r="G3105" s="400" t="s">
        <v>9567</v>
      </c>
    </row>
    <row r="3106" spans="7:7" x14ac:dyDescent="0.3">
      <c r="G3106" s="400" t="s">
        <v>9567</v>
      </c>
    </row>
    <row r="3107" spans="7:7" x14ac:dyDescent="0.3">
      <c r="G3107" s="400" t="s">
        <v>9567</v>
      </c>
    </row>
    <row r="3108" spans="7:7" x14ac:dyDescent="0.3">
      <c r="G3108" s="400" t="s">
        <v>9567</v>
      </c>
    </row>
    <row r="3109" spans="7:7" x14ac:dyDescent="0.3">
      <c r="G3109" s="400" t="s">
        <v>9567</v>
      </c>
    </row>
    <row r="3110" spans="7:7" x14ac:dyDescent="0.3">
      <c r="G3110" s="400" t="s">
        <v>9567</v>
      </c>
    </row>
    <row r="3111" spans="7:7" x14ac:dyDescent="0.3">
      <c r="G3111" s="400" t="s">
        <v>9567</v>
      </c>
    </row>
    <row r="3112" spans="7:7" x14ac:dyDescent="0.3">
      <c r="G3112" s="400" t="s">
        <v>9567</v>
      </c>
    </row>
    <row r="3113" spans="7:7" x14ac:dyDescent="0.3">
      <c r="G3113" s="400" t="s">
        <v>9567</v>
      </c>
    </row>
    <row r="3114" spans="7:7" x14ac:dyDescent="0.3">
      <c r="G3114" s="400" t="s">
        <v>9567</v>
      </c>
    </row>
    <row r="3115" spans="7:7" x14ac:dyDescent="0.3">
      <c r="G3115" s="400" t="s">
        <v>9567</v>
      </c>
    </row>
    <row r="3116" spans="7:7" x14ac:dyDescent="0.3">
      <c r="G3116" s="400" t="s">
        <v>9567</v>
      </c>
    </row>
    <row r="3117" spans="7:7" x14ac:dyDescent="0.3">
      <c r="G3117" s="400" t="s">
        <v>9567</v>
      </c>
    </row>
    <row r="3118" spans="7:7" x14ac:dyDescent="0.3">
      <c r="G3118" s="400" t="s">
        <v>9567</v>
      </c>
    </row>
    <row r="3119" spans="7:7" x14ac:dyDescent="0.3">
      <c r="G3119" s="400" t="s">
        <v>9567</v>
      </c>
    </row>
    <row r="3120" spans="7:7" x14ac:dyDescent="0.3">
      <c r="G3120" s="400" t="s">
        <v>9567</v>
      </c>
    </row>
    <row r="3121" spans="7:7" x14ac:dyDescent="0.3">
      <c r="G3121" s="400" t="s">
        <v>9567</v>
      </c>
    </row>
    <row r="3122" spans="7:7" x14ac:dyDescent="0.3">
      <c r="G3122" s="400" t="s">
        <v>9567</v>
      </c>
    </row>
    <row r="3123" spans="7:7" x14ac:dyDescent="0.3">
      <c r="G3123" s="400" t="s">
        <v>9567</v>
      </c>
    </row>
    <row r="3124" spans="7:7" x14ac:dyDescent="0.3">
      <c r="G3124" s="400" t="s">
        <v>9567</v>
      </c>
    </row>
    <row r="3125" spans="7:7" x14ac:dyDescent="0.3">
      <c r="G3125" s="400" t="s">
        <v>9567</v>
      </c>
    </row>
    <row r="3126" spans="7:7" x14ac:dyDescent="0.3">
      <c r="G3126" s="400" t="s">
        <v>9567</v>
      </c>
    </row>
    <row r="3127" spans="7:7" x14ac:dyDescent="0.3">
      <c r="G3127" s="400" t="s">
        <v>9567</v>
      </c>
    </row>
    <row r="3128" spans="7:7" x14ac:dyDescent="0.3">
      <c r="G3128" s="400" t="s">
        <v>9567</v>
      </c>
    </row>
    <row r="3129" spans="7:7" x14ac:dyDescent="0.3">
      <c r="G3129" s="400" t="s">
        <v>9567</v>
      </c>
    </row>
    <row r="3130" spans="7:7" x14ac:dyDescent="0.3">
      <c r="G3130" s="400" t="s">
        <v>9567</v>
      </c>
    </row>
    <row r="3131" spans="7:7" x14ac:dyDescent="0.3">
      <c r="G3131" s="400" t="s">
        <v>9567</v>
      </c>
    </row>
    <row r="3132" spans="7:7" x14ac:dyDescent="0.3">
      <c r="G3132" s="400" t="s">
        <v>9567</v>
      </c>
    </row>
    <row r="3133" spans="7:7" x14ac:dyDescent="0.3">
      <c r="G3133" s="400" t="s">
        <v>9567</v>
      </c>
    </row>
    <row r="3134" spans="7:7" x14ac:dyDescent="0.3">
      <c r="G3134" s="400" t="s">
        <v>9567</v>
      </c>
    </row>
    <row r="3135" spans="7:7" x14ac:dyDescent="0.3">
      <c r="G3135" s="400" t="s">
        <v>9567</v>
      </c>
    </row>
    <row r="3136" spans="7:7" x14ac:dyDescent="0.3">
      <c r="G3136" s="400" t="s">
        <v>9567</v>
      </c>
    </row>
    <row r="3137" spans="7:7" x14ac:dyDescent="0.3">
      <c r="G3137" s="400" t="s">
        <v>9567</v>
      </c>
    </row>
    <row r="3138" spans="7:7" x14ac:dyDescent="0.3">
      <c r="G3138" s="400" t="s">
        <v>9567</v>
      </c>
    </row>
    <row r="3139" spans="7:7" x14ac:dyDescent="0.3">
      <c r="G3139" s="400" t="s">
        <v>9567</v>
      </c>
    </row>
    <row r="3140" spans="7:7" x14ac:dyDescent="0.3">
      <c r="G3140" s="400" t="s">
        <v>9567</v>
      </c>
    </row>
    <row r="3141" spans="7:7" x14ac:dyDescent="0.3">
      <c r="G3141" s="400" t="s">
        <v>9567</v>
      </c>
    </row>
    <row r="3142" spans="7:7" x14ac:dyDescent="0.3">
      <c r="G3142" s="400" t="s">
        <v>9567</v>
      </c>
    </row>
    <row r="3143" spans="7:7" x14ac:dyDescent="0.3">
      <c r="G3143" s="400" t="s">
        <v>9567</v>
      </c>
    </row>
    <row r="3144" spans="7:7" x14ac:dyDescent="0.3">
      <c r="G3144" s="400" t="s">
        <v>9567</v>
      </c>
    </row>
    <row r="3145" spans="7:7" x14ac:dyDescent="0.3">
      <c r="G3145" s="400" t="s">
        <v>9567</v>
      </c>
    </row>
    <row r="3146" spans="7:7" x14ac:dyDescent="0.3">
      <c r="G3146" s="400" t="s">
        <v>9567</v>
      </c>
    </row>
    <row r="3147" spans="7:7" x14ac:dyDescent="0.3">
      <c r="G3147" s="400" t="s">
        <v>9567</v>
      </c>
    </row>
    <row r="3148" spans="7:7" x14ac:dyDescent="0.3">
      <c r="G3148" s="400" t="s">
        <v>9567</v>
      </c>
    </row>
    <row r="3149" spans="7:7" x14ac:dyDescent="0.3">
      <c r="G3149" s="400" t="s">
        <v>9567</v>
      </c>
    </row>
    <row r="3150" spans="7:7" x14ac:dyDescent="0.3">
      <c r="G3150" s="400" t="s">
        <v>9567</v>
      </c>
    </row>
    <row r="3151" spans="7:7" x14ac:dyDescent="0.3">
      <c r="G3151" s="400" t="s">
        <v>9567</v>
      </c>
    </row>
    <row r="3152" spans="7:7" x14ac:dyDescent="0.3">
      <c r="G3152" s="400" t="s">
        <v>9567</v>
      </c>
    </row>
    <row r="3153" spans="7:7" x14ac:dyDescent="0.3">
      <c r="G3153" s="400" t="s">
        <v>9567</v>
      </c>
    </row>
    <row r="3154" spans="7:7" x14ac:dyDescent="0.3">
      <c r="G3154" s="400" t="s">
        <v>9567</v>
      </c>
    </row>
    <row r="3155" spans="7:7" x14ac:dyDescent="0.3">
      <c r="G3155" s="400" t="s">
        <v>9567</v>
      </c>
    </row>
    <row r="3156" spans="7:7" x14ac:dyDescent="0.3">
      <c r="G3156" s="400" t="s">
        <v>9567</v>
      </c>
    </row>
    <row r="3157" spans="7:7" x14ac:dyDescent="0.3">
      <c r="G3157" s="400" t="s">
        <v>9567</v>
      </c>
    </row>
    <row r="3158" spans="7:7" x14ac:dyDescent="0.3">
      <c r="G3158" s="400" t="s">
        <v>9567</v>
      </c>
    </row>
    <row r="3159" spans="7:7" x14ac:dyDescent="0.3">
      <c r="G3159" s="400" t="s">
        <v>9567</v>
      </c>
    </row>
    <row r="3160" spans="7:7" x14ac:dyDescent="0.3">
      <c r="G3160" s="400" t="s">
        <v>9567</v>
      </c>
    </row>
    <row r="3161" spans="7:7" x14ac:dyDescent="0.3">
      <c r="G3161" s="400" t="s">
        <v>9567</v>
      </c>
    </row>
    <row r="3162" spans="7:7" x14ac:dyDescent="0.3">
      <c r="G3162" s="400" t="s">
        <v>9567</v>
      </c>
    </row>
    <row r="3163" spans="7:7" x14ac:dyDescent="0.3">
      <c r="G3163" s="400" t="s">
        <v>9567</v>
      </c>
    </row>
    <row r="3164" spans="7:7" x14ac:dyDescent="0.3">
      <c r="G3164" s="400" t="s">
        <v>9567</v>
      </c>
    </row>
    <row r="3165" spans="7:7" x14ac:dyDescent="0.3">
      <c r="G3165" s="400" t="s">
        <v>9567</v>
      </c>
    </row>
    <row r="3166" spans="7:7" x14ac:dyDescent="0.3">
      <c r="G3166" s="400" t="s">
        <v>9567</v>
      </c>
    </row>
    <row r="3167" spans="7:7" x14ac:dyDescent="0.3">
      <c r="G3167" s="400" t="s">
        <v>9567</v>
      </c>
    </row>
    <row r="3168" spans="7:7" x14ac:dyDescent="0.3">
      <c r="G3168" s="400" t="s">
        <v>9567</v>
      </c>
    </row>
    <row r="3169" spans="7:7" x14ac:dyDescent="0.3">
      <c r="G3169" s="400" t="s">
        <v>9567</v>
      </c>
    </row>
    <row r="3170" spans="7:7" x14ac:dyDescent="0.3">
      <c r="G3170" s="400" t="s">
        <v>9567</v>
      </c>
    </row>
    <row r="3171" spans="7:7" x14ac:dyDescent="0.3">
      <c r="G3171" s="400" t="s">
        <v>9567</v>
      </c>
    </row>
    <row r="3172" spans="7:7" x14ac:dyDescent="0.3">
      <c r="G3172" s="400" t="s">
        <v>9567</v>
      </c>
    </row>
    <row r="3173" spans="7:7" x14ac:dyDescent="0.3">
      <c r="G3173" s="400" t="s">
        <v>9567</v>
      </c>
    </row>
    <row r="3174" spans="7:7" x14ac:dyDescent="0.3">
      <c r="G3174" s="400" t="s">
        <v>9567</v>
      </c>
    </row>
    <row r="3175" spans="7:7" x14ac:dyDescent="0.3">
      <c r="G3175" s="400" t="s">
        <v>9567</v>
      </c>
    </row>
    <row r="3176" spans="7:7" x14ac:dyDescent="0.3">
      <c r="G3176" s="400" t="s">
        <v>9567</v>
      </c>
    </row>
    <row r="3177" spans="7:7" x14ac:dyDescent="0.3">
      <c r="G3177" s="400" t="s">
        <v>9567</v>
      </c>
    </row>
    <row r="3178" spans="7:7" x14ac:dyDescent="0.3">
      <c r="G3178" s="400" t="s">
        <v>9567</v>
      </c>
    </row>
    <row r="3179" spans="7:7" x14ac:dyDescent="0.3">
      <c r="G3179" s="400" t="s">
        <v>9567</v>
      </c>
    </row>
    <row r="3180" spans="7:7" x14ac:dyDescent="0.3">
      <c r="G3180" s="400" t="s">
        <v>9567</v>
      </c>
    </row>
    <row r="3181" spans="7:7" x14ac:dyDescent="0.3">
      <c r="G3181" s="400" t="s">
        <v>9567</v>
      </c>
    </row>
    <row r="3182" spans="7:7" x14ac:dyDescent="0.3">
      <c r="G3182" s="400" t="s">
        <v>9567</v>
      </c>
    </row>
    <row r="3183" spans="7:7" x14ac:dyDescent="0.3">
      <c r="G3183" s="400" t="s">
        <v>9567</v>
      </c>
    </row>
    <row r="3184" spans="7:7" x14ac:dyDescent="0.3">
      <c r="G3184" s="400" t="s">
        <v>9567</v>
      </c>
    </row>
    <row r="3185" spans="7:7" x14ac:dyDescent="0.3">
      <c r="G3185" s="400" t="s">
        <v>9567</v>
      </c>
    </row>
    <row r="3186" spans="7:7" x14ac:dyDescent="0.3">
      <c r="G3186" s="400" t="s">
        <v>9567</v>
      </c>
    </row>
    <row r="3187" spans="7:7" x14ac:dyDescent="0.3">
      <c r="G3187" s="400" t="s">
        <v>9567</v>
      </c>
    </row>
    <row r="3188" spans="7:7" x14ac:dyDescent="0.3">
      <c r="G3188" s="400" t="s">
        <v>9567</v>
      </c>
    </row>
    <row r="3189" spans="7:7" x14ac:dyDescent="0.3">
      <c r="G3189" s="400" t="s">
        <v>9567</v>
      </c>
    </row>
    <row r="3190" spans="7:7" x14ac:dyDescent="0.3">
      <c r="G3190" s="400" t="s">
        <v>9567</v>
      </c>
    </row>
    <row r="3191" spans="7:7" x14ac:dyDescent="0.3">
      <c r="G3191" s="400" t="s">
        <v>9567</v>
      </c>
    </row>
    <row r="3192" spans="7:7" x14ac:dyDescent="0.3">
      <c r="G3192" s="400" t="s">
        <v>9567</v>
      </c>
    </row>
    <row r="3193" spans="7:7" x14ac:dyDescent="0.3">
      <c r="G3193" s="400" t="s">
        <v>9567</v>
      </c>
    </row>
    <row r="3194" spans="7:7" x14ac:dyDescent="0.3">
      <c r="G3194" s="400" t="s">
        <v>9567</v>
      </c>
    </row>
    <row r="3195" spans="7:7" x14ac:dyDescent="0.3">
      <c r="G3195" s="400" t="s">
        <v>9567</v>
      </c>
    </row>
    <row r="3196" spans="7:7" x14ac:dyDescent="0.3">
      <c r="G3196" s="400" t="s">
        <v>9567</v>
      </c>
    </row>
    <row r="3197" spans="7:7" x14ac:dyDescent="0.3">
      <c r="G3197" s="400" t="s">
        <v>9567</v>
      </c>
    </row>
    <row r="3198" spans="7:7" x14ac:dyDescent="0.3">
      <c r="G3198" s="400" t="s">
        <v>9567</v>
      </c>
    </row>
    <row r="3199" spans="7:7" x14ac:dyDescent="0.3">
      <c r="G3199" s="400" t="s">
        <v>9567</v>
      </c>
    </row>
    <row r="3200" spans="7:7" x14ac:dyDescent="0.3">
      <c r="G3200" s="400" t="s">
        <v>9567</v>
      </c>
    </row>
    <row r="3201" spans="7:7" x14ac:dyDescent="0.3">
      <c r="G3201" s="400" t="s">
        <v>9567</v>
      </c>
    </row>
    <row r="3202" spans="7:7" x14ac:dyDescent="0.3">
      <c r="G3202" s="400" t="s">
        <v>9567</v>
      </c>
    </row>
    <row r="3203" spans="7:7" x14ac:dyDescent="0.3">
      <c r="G3203" s="400" t="s">
        <v>9567</v>
      </c>
    </row>
    <row r="3204" spans="7:7" x14ac:dyDescent="0.3">
      <c r="G3204" s="400" t="s">
        <v>9567</v>
      </c>
    </row>
    <row r="3205" spans="7:7" x14ac:dyDescent="0.3">
      <c r="G3205" s="400" t="s">
        <v>9567</v>
      </c>
    </row>
    <row r="3206" spans="7:7" x14ac:dyDescent="0.3">
      <c r="G3206" s="400" t="s">
        <v>9567</v>
      </c>
    </row>
    <row r="3207" spans="7:7" x14ac:dyDescent="0.3">
      <c r="G3207" s="400" t="s">
        <v>9567</v>
      </c>
    </row>
    <row r="3208" spans="7:7" x14ac:dyDescent="0.3">
      <c r="G3208" s="400" t="s">
        <v>9567</v>
      </c>
    </row>
    <row r="3209" spans="7:7" x14ac:dyDescent="0.3">
      <c r="G3209" s="400" t="s">
        <v>9567</v>
      </c>
    </row>
    <row r="3210" spans="7:7" x14ac:dyDescent="0.3">
      <c r="G3210" s="400" t="s">
        <v>9567</v>
      </c>
    </row>
    <row r="3211" spans="7:7" x14ac:dyDescent="0.3">
      <c r="G3211" s="400" t="s">
        <v>9567</v>
      </c>
    </row>
    <row r="3212" spans="7:7" x14ac:dyDescent="0.3">
      <c r="G3212" s="400" t="s">
        <v>9567</v>
      </c>
    </row>
    <row r="3213" spans="7:7" x14ac:dyDescent="0.3">
      <c r="G3213" s="400" t="s">
        <v>9567</v>
      </c>
    </row>
    <row r="3214" spans="7:7" x14ac:dyDescent="0.3">
      <c r="G3214" s="400" t="s">
        <v>9567</v>
      </c>
    </row>
    <row r="3215" spans="7:7" x14ac:dyDescent="0.3">
      <c r="G3215" s="400" t="s">
        <v>9567</v>
      </c>
    </row>
    <row r="3216" spans="7:7" x14ac:dyDescent="0.3">
      <c r="G3216" s="400" t="s">
        <v>9567</v>
      </c>
    </row>
    <row r="3217" spans="7:7" x14ac:dyDescent="0.3">
      <c r="G3217" s="400" t="s">
        <v>9567</v>
      </c>
    </row>
    <row r="3218" spans="7:7" x14ac:dyDescent="0.3">
      <c r="G3218" s="400" t="s">
        <v>9567</v>
      </c>
    </row>
    <row r="3219" spans="7:7" x14ac:dyDescent="0.3">
      <c r="G3219" s="400" t="s">
        <v>9567</v>
      </c>
    </row>
    <row r="3220" spans="7:7" x14ac:dyDescent="0.3">
      <c r="G3220" s="400" t="s">
        <v>9567</v>
      </c>
    </row>
    <row r="3221" spans="7:7" x14ac:dyDescent="0.3">
      <c r="G3221" s="400" t="s">
        <v>9567</v>
      </c>
    </row>
    <row r="3222" spans="7:7" x14ac:dyDescent="0.3">
      <c r="G3222" s="400" t="s">
        <v>9567</v>
      </c>
    </row>
    <row r="3223" spans="7:7" x14ac:dyDescent="0.3">
      <c r="G3223" s="400" t="s">
        <v>9567</v>
      </c>
    </row>
    <row r="3224" spans="7:7" x14ac:dyDescent="0.3">
      <c r="G3224" s="400" t="s">
        <v>9567</v>
      </c>
    </row>
    <row r="3225" spans="7:7" x14ac:dyDescent="0.3">
      <c r="G3225" s="400" t="s">
        <v>9567</v>
      </c>
    </row>
    <row r="3226" spans="7:7" x14ac:dyDescent="0.3">
      <c r="G3226" s="400" t="s">
        <v>9567</v>
      </c>
    </row>
    <row r="3227" spans="7:7" x14ac:dyDescent="0.3">
      <c r="G3227" s="400" t="s">
        <v>9567</v>
      </c>
    </row>
    <row r="3228" spans="7:7" x14ac:dyDescent="0.3">
      <c r="G3228" s="400" t="s">
        <v>9567</v>
      </c>
    </row>
    <row r="3229" spans="7:7" x14ac:dyDescent="0.3">
      <c r="G3229" s="400" t="s">
        <v>9567</v>
      </c>
    </row>
    <row r="3230" spans="7:7" x14ac:dyDescent="0.3">
      <c r="G3230" s="400" t="s">
        <v>9567</v>
      </c>
    </row>
    <row r="3231" spans="7:7" x14ac:dyDescent="0.3">
      <c r="G3231" s="400" t="s">
        <v>9567</v>
      </c>
    </row>
    <row r="3232" spans="7:7" x14ac:dyDescent="0.3">
      <c r="G3232" s="400" t="s">
        <v>9567</v>
      </c>
    </row>
    <row r="3233" spans="7:7" x14ac:dyDescent="0.3">
      <c r="G3233" s="400" t="s">
        <v>9567</v>
      </c>
    </row>
    <row r="3234" spans="7:7" x14ac:dyDescent="0.3">
      <c r="G3234" s="400" t="s">
        <v>9567</v>
      </c>
    </row>
    <row r="3235" spans="7:7" x14ac:dyDescent="0.3">
      <c r="G3235" s="400" t="s">
        <v>9567</v>
      </c>
    </row>
    <row r="3236" spans="7:7" x14ac:dyDescent="0.3">
      <c r="G3236" s="400" t="s">
        <v>9567</v>
      </c>
    </row>
    <row r="3237" spans="7:7" x14ac:dyDescent="0.3">
      <c r="G3237" s="400" t="s">
        <v>9567</v>
      </c>
    </row>
    <row r="3238" spans="7:7" x14ac:dyDescent="0.3">
      <c r="G3238" s="400" t="s">
        <v>9567</v>
      </c>
    </row>
    <row r="3239" spans="7:7" x14ac:dyDescent="0.3">
      <c r="G3239" s="400" t="s">
        <v>9567</v>
      </c>
    </row>
    <row r="3240" spans="7:7" x14ac:dyDescent="0.3">
      <c r="G3240" s="400" t="s">
        <v>9567</v>
      </c>
    </row>
    <row r="3241" spans="7:7" x14ac:dyDescent="0.3">
      <c r="G3241" s="400" t="s">
        <v>9567</v>
      </c>
    </row>
    <row r="3242" spans="7:7" x14ac:dyDescent="0.3">
      <c r="G3242" s="400" t="s">
        <v>9567</v>
      </c>
    </row>
    <row r="3243" spans="7:7" x14ac:dyDescent="0.3">
      <c r="G3243" s="400" t="s">
        <v>9567</v>
      </c>
    </row>
    <row r="3244" spans="7:7" x14ac:dyDescent="0.3">
      <c r="G3244" s="400" t="s">
        <v>9567</v>
      </c>
    </row>
    <row r="3245" spans="7:7" x14ac:dyDescent="0.3">
      <c r="G3245" s="400" t="s">
        <v>9567</v>
      </c>
    </row>
    <row r="3246" spans="7:7" x14ac:dyDescent="0.3">
      <c r="G3246" s="400" t="s">
        <v>9567</v>
      </c>
    </row>
    <row r="3247" spans="7:7" x14ac:dyDescent="0.3">
      <c r="G3247" s="400" t="s">
        <v>9567</v>
      </c>
    </row>
    <row r="3248" spans="7:7" x14ac:dyDescent="0.3">
      <c r="G3248" s="400" t="s">
        <v>9567</v>
      </c>
    </row>
    <row r="3249" spans="7:7" x14ac:dyDescent="0.3">
      <c r="G3249" s="400" t="s">
        <v>9567</v>
      </c>
    </row>
    <row r="3250" spans="7:7" x14ac:dyDescent="0.3">
      <c r="G3250" s="400" t="s">
        <v>9567</v>
      </c>
    </row>
    <row r="3251" spans="7:7" x14ac:dyDescent="0.3">
      <c r="G3251" s="400" t="s">
        <v>9567</v>
      </c>
    </row>
    <row r="3252" spans="7:7" x14ac:dyDescent="0.3">
      <c r="G3252" s="400" t="s">
        <v>9567</v>
      </c>
    </row>
    <row r="3253" spans="7:7" x14ac:dyDescent="0.3">
      <c r="G3253" s="400" t="s">
        <v>9567</v>
      </c>
    </row>
    <row r="3254" spans="7:7" x14ac:dyDescent="0.3">
      <c r="G3254" s="400" t="s">
        <v>9567</v>
      </c>
    </row>
    <row r="3255" spans="7:7" x14ac:dyDescent="0.3">
      <c r="G3255" s="400" t="s">
        <v>9567</v>
      </c>
    </row>
    <row r="3256" spans="7:7" x14ac:dyDescent="0.3">
      <c r="G3256" s="400" t="s">
        <v>9567</v>
      </c>
    </row>
    <row r="3257" spans="7:7" x14ac:dyDescent="0.3">
      <c r="G3257" s="400" t="s">
        <v>9567</v>
      </c>
    </row>
    <row r="3258" spans="7:7" x14ac:dyDescent="0.3">
      <c r="G3258" s="400" t="s">
        <v>9567</v>
      </c>
    </row>
    <row r="3259" spans="7:7" x14ac:dyDescent="0.3">
      <c r="G3259" s="400" t="s">
        <v>9567</v>
      </c>
    </row>
    <row r="3260" spans="7:7" x14ac:dyDescent="0.3">
      <c r="G3260" s="400" t="s">
        <v>9567</v>
      </c>
    </row>
    <row r="3261" spans="7:7" x14ac:dyDescent="0.3">
      <c r="G3261" s="400" t="s">
        <v>9567</v>
      </c>
    </row>
    <row r="3262" spans="7:7" x14ac:dyDescent="0.3">
      <c r="G3262" s="400" t="s">
        <v>9567</v>
      </c>
    </row>
    <row r="3263" spans="7:7" x14ac:dyDescent="0.3">
      <c r="G3263" s="400" t="s">
        <v>9567</v>
      </c>
    </row>
    <row r="3264" spans="7:7" x14ac:dyDescent="0.3">
      <c r="G3264" s="400" t="s">
        <v>9567</v>
      </c>
    </row>
    <row r="3265" spans="7:7" x14ac:dyDescent="0.3">
      <c r="G3265" s="400" t="s">
        <v>9567</v>
      </c>
    </row>
    <row r="3266" spans="7:7" x14ac:dyDescent="0.3">
      <c r="G3266" s="400" t="s">
        <v>9567</v>
      </c>
    </row>
    <row r="3267" spans="7:7" x14ac:dyDescent="0.3">
      <c r="G3267" s="400" t="s">
        <v>9567</v>
      </c>
    </row>
    <row r="3268" spans="7:7" x14ac:dyDescent="0.3">
      <c r="G3268" s="400" t="s">
        <v>9567</v>
      </c>
    </row>
    <row r="3269" spans="7:7" x14ac:dyDescent="0.3">
      <c r="G3269" s="400" t="s">
        <v>9567</v>
      </c>
    </row>
    <row r="3270" spans="7:7" x14ac:dyDescent="0.3">
      <c r="G3270" s="400" t="s">
        <v>9567</v>
      </c>
    </row>
    <row r="3271" spans="7:7" x14ac:dyDescent="0.3">
      <c r="G3271" s="400" t="s">
        <v>9567</v>
      </c>
    </row>
    <row r="3272" spans="7:7" x14ac:dyDescent="0.3">
      <c r="G3272" s="400" t="s">
        <v>9567</v>
      </c>
    </row>
    <row r="3273" spans="7:7" x14ac:dyDescent="0.3">
      <c r="G3273" s="400" t="s">
        <v>9567</v>
      </c>
    </row>
    <row r="3274" spans="7:7" x14ac:dyDescent="0.3">
      <c r="G3274" s="400" t="s">
        <v>9567</v>
      </c>
    </row>
    <row r="3275" spans="7:7" x14ac:dyDescent="0.3">
      <c r="G3275" s="400" t="s">
        <v>9567</v>
      </c>
    </row>
    <row r="3276" spans="7:7" x14ac:dyDescent="0.3">
      <c r="G3276" s="400" t="s">
        <v>9567</v>
      </c>
    </row>
    <row r="3277" spans="7:7" x14ac:dyDescent="0.3">
      <c r="G3277" s="400" t="s">
        <v>9567</v>
      </c>
    </row>
    <row r="3278" spans="7:7" x14ac:dyDescent="0.3">
      <c r="G3278" s="400" t="s">
        <v>9567</v>
      </c>
    </row>
    <row r="3279" spans="7:7" x14ac:dyDescent="0.3">
      <c r="G3279" s="400" t="s">
        <v>9567</v>
      </c>
    </row>
    <row r="3280" spans="7:7" x14ac:dyDescent="0.3">
      <c r="G3280" s="400" t="s">
        <v>9567</v>
      </c>
    </row>
    <row r="3281" spans="7:7" x14ac:dyDescent="0.3">
      <c r="G3281" s="400" t="s">
        <v>9567</v>
      </c>
    </row>
    <row r="3282" spans="7:7" x14ac:dyDescent="0.3">
      <c r="G3282" s="400" t="s">
        <v>9567</v>
      </c>
    </row>
    <row r="3283" spans="7:7" x14ac:dyDescent="0.3">
      <c r="G3283" s="400" t="s">
        <v>9567</v>
      </c>
    </row>
    <row r="3284" spans="7:7" x14ac:dyDescent="0.3">
      <c r="G3284" s="400" t="s">
        <v>9567</v>
      </c>
    </row>
    <row r="3285" spans="7:7" x14ac:dyDescent="0.3">
      <c r="G3285" s="400" t="s">
        <v>9567</v>
      </c>
    </row>
    <row r="3286" spans="7:7" x14ac:dyDescent="0.3">
      <c r="G3286" s="400" t="s">
        <v>9567</v>
      </c>
    </row>
    <row r="3287" spans="7:7" x14ac:dyDescent="0.3">
      <c r="G3287" s="400" t="s">
        <v>9567</v>
      </c>
    </row>
    <row r="3288" spans="7:7" x14ac:dyDescent="0.3">
      <c r="G3288" s="400" t="s">
        <v>9567</v>
      </c>
    </row>
    <row r="3289" spans="7:7" x14ac:dyDescent="0.3">
      <c r="G3289" s="400" t="s">
        <v>9567</v>
      </c>
    </row>
    <row r="3290" spans="7:7" x14ac:dyDescent="0.3">
      <c r="G3290" s="400" t="s">
        <v>9567</v>
      </c>
    </row>
    <row r="3291" spans="7:7" x14ac:dyDescent="0.3">
      <c r="G3291" s="400" t="s">
        <v>9567</v>
      </c>
    </row>
    <row r="3292" spans="7:7" x14ac:dyDescent="0.3">
      <c r="G3292" s="400" t="s">
        <v>9567</v>
      </c>
    </row>
    <row r="3293" spans="7:7" x14ac:dyDescent="0.3">
      <c r="G3293" s="400" t="s">
        <v>9567</v>
      </c>
    </row>
    <row r="3294" spans="7:7" x14ac:dyDescent="0.3">
      <c r="G3294" s="400" t="s">
        <v>9567</v>
      </c>
    </row>
    <row r="3295" spans="7:7" x14ac:dyDescent="0.3">
      <c r="G3295" s="400" t="s">
        <v>9567</v>
      </c>
    </row>
    <row r="3296" spans="7:7" x14ac:dyDescent="0.3">
      <c r="G3296" s="400" t="s">
        <v>9567</v>
      </c>
    </row>
    <row r="3297" spans="7:7" x14ac:dyDescent="0.3">
      <c r="G3297" s="400" t="s">
        <v>9567</v>
      </c>
    </row>
    <row r="3298" spans="7:7" x14ac:dyDescent="0.3">
      <c r="G3298" s="400" t="s">
        <v>9567</v>
      </c>
    </row>
    <row r="3299" spans="7:7" x14ac:dyDescent="0.3">
      <c r="G3299" s="400" t="s">
        <v>9567</v>
      </c>
    </row>
    <row r="3300" spans="7:7" x14ac:dyDescent="0.3">
      <c r="G3300" s="400" t="s">
        <v>9567</v>
      </c>
    </row>
    <row r="3301" spans="7:7" x14ac:dyDescent="0.3">
      <c r="G3301" s="400" t="s">
        <v>9567</v>
      </c>
    </row>
    <row r="3302" spans="7:7" x14ac:dyDescent="0.3">
      <c r="G3302" s="400" t="s">
        <v>9567</v>
      </c>
    </row>
    <row r="3303" spans="7:7" x14ac:dyDescent="0.3">
      <c r="G3303" s="400" t="s">
        <v>9567</v>
      </c>
    </row>
    <row r="3304" spans="7:7" x14ac:dyDescent="0.3">
      <c r="G3304" s="400" t="s">
        <v>9567</v>
      </c>
    </row>
    <row r="3305" spans="7:7" x14ac:dyDescent="0.3">
      <c r="G3305" s="400" t="s">
        <v>9567</v>
      </c>
    </row>
    <row r="3306" spans="7:7" x14ac:dyDescent="0.3">
      <c r="G3306" s="400" t="s">
        <v>9567</v>
      </c>
    </row>
    <row r="3307" spans="7:7" x14ac:dyDescent="0.3">
      <c r="G3307" s="400" t="s">
        <v>9567</v>
      </c>
    </row>
    <row r="3308" spans="7:7" x14ac:dyDescent="0.3">
      <c r="G3308" s="400" t="s">
        <v>9567</v>
      </c>
    </row>
    <row r="3309" spans="7:7" x14ac:dyDescent="0.3">
      <c r="G3309" s="400" t="s">
        <v>9567</v>
      </c>
    </row>
    <row r="3310" spans="7:7" x14ac:dyDescent="0.3">
      <c r="G3310" s="400" t="s">
        <v>9567</v>
      </c>
    </row>
    <row r="3311" spans="7:7" x14ac:dyDescent="0.3">
      <c r="G3311" s="400" t="s">
        <v>9567</v>
      </c>
    </row>
    <row r="3312" spans="7:7" x14ac:dyDescent="0.3">
      <c r="G3312" s="400" t="s">
        <v>9567</v>
      </c>
    </row>
    <row r="3313" spans="7:7" x14ac:dyDescent="0.3">
      <c r="G3313" s="400" t="s">
        <v>9567</v>
      </c>
    </row>
    <row r="3314" spans="7:7" x14ac:dyDescent="0.3">
      <c r="G3314" s="400" t="s">
        <v>9567</v>
      </c>
    </row>
    <row r="3315" spans="7:7" x14ac:dyDescent="0.3">
      <c r="G3315" s="400" t="s">
        <v>9567</v>
      </c>
    </row>
    <row r="3316" spans="7:7" x14ac:dyDescent="0.3">
      <c r="G3316" s="400" t="s">
        <v>9567</v>
      </c>
    </row>
    <row r="3317" spans="7:7" x14ac:dyDescent="0.3">
      <c r="G3317" s="400" t="s">
        <v>9567</v>
      </c>
    </row>
    <row r="3318" spans="7:7" x14ac:dyDescent="0.3">
      <c r="G3318" s="400" t="s">
        <v>9567</v>
      </c>
    </row>
    <row r="3319" spans="7:7" x14ac:dyDescent="0.3">
      <c r="G3319" s="400" t="s">
        <v>9567</v>
      </c>
    </row>
    <row r="3320" spans="7:7" x14ac:dyDescent="0.3">
      <c r="G3320" s="400" t="s">
        <v>9567</v>
      </c>
    </row>
    <row r="3321" spans="7:7" x14ac:dyDescent="0.3">
      <c r="G3321" s="400" t="s">
        <v>9567</v>
      </c>
    </row>
    <row r="3322" spans="7:7" x14ac:dyDescent="0.3">
      <c r="G3322" s="400" t="s">
        <v>9567</v>
      </c>
    </row>
    <row r="3323" spans="7:7" x14ac:dyDescent="0.3">
      <c r="G3323" s="400" t="s">
        <v>9567</v>
      </c>
    </row>
    <row r="3324" spans="7:7" x14ac:dyDescent="0.3">
      <c r="G3324" s="400" t="s">
        <v>9567</v>
      </c>
    </row>
    <row r="3325" spans="7:7" x14ac:dyDescent="0.3">
      <c r="G3325" s="400" t="s">
        <v>9567</v>
      </c>
    </row>
    <row r="3326" spans="7:7" x14ac:dyDescent="0.3">
      <c r="G3326" s="400" t="s">
        <v>9567</v>
      </c>
    </row>
    <row r="3327" spans="7:7" x14ac:dyDescent="0.3">
      <c r="G3327" s="400" t="s">
        <v>9567</v>
      </c>
    </row>
    <row r="3328" spans="7:7" x14ac:dyDescent="0.3">
      <c r="G3328" s="400" t="s">
        <v>9567</v>
      </c>
    </row>
    <row r="3329" spans="7:7" x14ac:dyDescent="0.3">
      <c r="G3329" s="400" t="s">
        <v>9567</v>
      </c>
    </row>
    <row r="3330" spans="7:7" x14ac:dyDescent="0.3">
      <c r="G3330" s="400" t="s">
        <v>9567</v>
      </c>
    </row>
    <row r="3331" spans="7:7" x14ac:dyDescent="0.3">
      <c r="G3331" s="400" t="s">
        <v>9567</v>
      </c>
    </row>
    <row r="3332" spans="7:7" x14ac:dyDescent="0.3">
      <c r="G3332" s="400" t="s">
        <v>9567</v>
      </c>
    </row>
    <row r="3333" spans="7:7" x14ac:dyDescent="0.3">
      <c r="G3333" s="400" t="s">
        <v>9567</v>
      </c>
    </row>
    <row r="3334" spans="7:7" x14ac:dyDescent="0.3">
      <c r="G3334" s="400" t="s">
        <v>9567</v>
      </c>
    </row>
    <row r="3335" spans="7:7" x14ac:dyDescent="0.3">
      <c r="G3335" s="400" t="s">
        <v>9567</v>
      </c>
    </row>
    <row r="3336" spans="7:7" x14ac:dyDescent="0.3">
      <c r="G3336" s="400" t="s">
        <v>9567</v>
      </c>
    </row>
    <row r="3337" spans="7:7" x14ac:dyDescent="0.3">
      <c r="G3337" s="400" t="s">
        <v>9567</v>
      </c>
    </row>
    <row r="3338" spans="7:7" x14ac:dyDescent="0.3">
      <c r="G3338" s="400" t="s">
        <v>9567</v>
      </c>
    </row>
    <row r="3339" spans="7:7" x14ac:dyDescent="0.3">
      <c r="G3339" s="400" t="s">
        <v>9567</v>
      </c>
    </row>
    <row r="3340" spans="7:7" x14ac:dyDescent="0.3">
      <c r="G3340" s="400" t="s">
        <v>9567</v>
      </c>
    </row>
    <row r="3341" spans="7:7" x14ac:dyDescent="0.3">
      <c r="G3341" s="400" t="s">
        <v>9567</v>
      </c>
    </row>
    <row r="3342" spans="7:7" x14ac:dyDescent="0.3">
      <c r="G3342" s="400" t="s">
        <v>9567</v>
      </c>
    </row>
    <row r="3343" spans="7:7" x14ac:dyDescent="0.3">
      <c r="G3343" s="400" t="s">
        <v>9567</v>
      </c>
    </row>
    <row r="3344" spans="7:7" x14ac:dyDescent="0.3">
      <c r="G3344" s="400" t="s">
        <v>9567</v>
      </c>
    </row>
    <row r="3345" spans="7:7" x14ac:dyDescent="0.3">
      <c r="G3345" s="400" t="s">
        <v>9567</v>
      </c>
    </row>
    <row r="3346" spans="7:7" x14ac:dyDescent="0.3">
      <c r="G3346" s="400" t="s">
        <v>9567</v>
      </c>
    </row>
    <row r="3347" spans="7:7" x14ac:dyDescent="0.3">
      <c r="G3347" s="400" t="s">
        <v>9567</v>
      </c>
    </row>
    <row r="3348" spans="7:7" x14ac:dyDescent="0.3">
      <c r="G3348" s="400" t="s">
        <v>9567</v>
      </c>
    </row>
    <row r="3349" spans="7:7" x14ac:dyDescent="0.3">
      <c r="G3349" s="400" t="s">
        <v>9567</v>
      </c>
    </row>
    <row r="3350" spans="7:7" x14ac:dyDescent="0.3">
      <c r="G3350" s="400" t="s">
        <v>9567</v>
      </c>
    </row>
    <row r="3351" spans="7:7" x14ac:dyDescent="0.3">
      <c r="G3351" s="400" t="s">
        <v>9567</v>
      </c>
    </row>
    <row r="3352" spans="7:7" x14ac:dyDescent="0.3">
      <c r="G3352" s="400" t="s">
        <v>9567</v>
      </c>
    </row>
    <row r="3353" spans="7:7" x14ac:dyDescent="0.3">
      <c r="G3353" s="400" t="s">
        <v>9567</v>
      </c>
    </row>
    <row r="3354" spans="7:7" x14ac:dyDescent="0.3">
      <c r="G3354" s="400" t="s">
        <v>9567</v>
      </c>
    </row>
    <row r="3355" spans="7:7" x14ac:dyDescent="0.3">
      <c r="G3355" s="400" t="s">
        <v>9567</v>
      </c>
    </row>
    <row r="3356" spans="7:7" x14ac:dyDescent="0.3">
      <c r="G3356" s="400" t="s">
        <v>9567</v>
      </c>
    </row>
    <row r="3357" spans="7:7" x14ac:dyDescent="0.3">
      <c r="G3357" s="400" t="s">
        <v>9567</v>
      </c>
    </row>
    <row r="3358" spans="7:7" x14ac:dyDescent="0.3">
      <c r="G3358" s="400" t="s">
        <v>9567</v>
      </c>
    </row>
    <row r="3359" spans="7:7" x14ac:dyDescent="0.3">
      <c r="G3359" s="400" t="s">
        <v>9567</v>
      </c>
    </row>
    <row r="3360" spans="7:7" x14ac:dyDescent="0.3">
      <c r="G3360" s="400" t="s">
        <v>9567</v>
      </c>
    </row>
    <row r="3361" spans="7:7" x14ac:dyDescent="0.3">
      <c r="G3361" s="400" t="s">
        <v>9567</v>
      </c>
    </row>
    <row r="3362" spans="7:7" x14ac:dyDescent="0.3">
      <c r="G3362" s="400" t="s">
        <v>9567</v>
      </c>
    </row>
    <row r="3363" spans="7:7" x14ac:dyDescent="0.3">
      <c r="G3363" s="400" t="s">
        <v>9567</v>
      </c>
    </row>
    <row r="3364" spans="7:7" x14ac:dyDescent="0.3">
      <c r="G3364" s="400" t="s">
        <v>9567</v>
      </c>
    </row>
    <row r="3365" spans="7:7" x14ac:dyDescent="0.3">
      <c r="G3365" s="400" t="s">
        <v>9567</v>
      </c>
    </row>
    <row r="3366" spans="7:7" x14ac:dyDescent="0.3">
      <c r="G3366" s="400" t="s">
        <v>9567</v>
      </c>
    </row>
    <row r="3367" spans="7:7" x14ac:dyDescent="0.3">
      <c r="G3367" s="400" t="s">
        <v>9567</v>
      </c>
    </row>
    <row r="3368" spans="7:7" x14ac:dyDescent="0.3">
      <c r="G3368" s="400" t="s">
        <v>9567</v>
      </c>
    </row>
    <row r="3369" spans="7:7" x14ac:dyDescent="0.3">
      <c r="G3369" s="400" t="s">
        <v>9567</v>
      </c>
    </row>
    <row r="3370" spans="7:7" x14ac:dyDescent="0.3">
      <c r="G3370" s="400" t="s">
        <v>9567</v>
      </c>
    </row>
    <row r="3371" spans="7:7" x14ac:dyDescent="0.3">
      <c r="G3371" s="400" t="s">
        <v>9567</v>
      </c>
    </row>
    <row r="3372" spans="7:7" x14ac:dyDescent="0.3">
      <c r="G3372" s="400" t="s">
        <v>9567</v>
      </c>
    </row>
    <row r="3373" spans="7:7" x14ac:dyDescent="0.3">
      <c r="G3373" s="400" t="s">
        <v>9567</v>
      </c>
    </row>
    <row r="3374" spans="7:7" x14ac:dyDescent="0.3">
      <c r="G3374" s="400" t="s">
        <v>9567</v>
      </c>
    </row>
    <row r="3375" spans="7:7" x14ac:dyDescent="0.3">
      <c r="G3375" s="400" t="s">
        <v>9567</v>
      </c>
    </row>
    <row r="3376" spans="7:7" x14ac:dyDescent="0.3">
      <c r="G3376" s="400" t="s">
        <v>9567</v>
      </c>
    </row>
    <row r="3377" spans="7:7" x14ac:dyDescent="0.3">
      <c r="G3377" s="400" t="s">
        <v>9567</v>
      </c>
    </row>
    <row r="3378" spans="7:7" x14ac:dyDescent="0.3">
      <c r="G3378" s="400" t="s">
        <v>9567</v>
      </c>
    </row>
    <row r="3379" spans="7:7" x14ac:dyDescent="0.3">
      <c r="G3379" s="400" t="s">
        <v>9567</v>
      </c>
    </row>
    <row r="3380" spans="7:7" x14ac:dyDescent="0.3">
      <c r="G3380" s="400" t="s">
        <v>9567</v>
      </c>
    </row>
    <row r="3381" spans="7:7" x14ac:dyDescent="0.3">
      <c r="G3381" s="400" t="s">
        <v>9567</v>
      </c>
    </row>
    <row r="3382" spans="7:7" x14ac:dyDescent="0.3">
      <c r="G3382" s="400" t="s">
        <v>9567</v>
      </c>
    </row>
    <row r="3383" spans="7:7" x14ac:dyDescent="0.3">
      <c r="G3383" s="400" t="s">
        <v>9567</v>
      </c>
    </row>
    <row r="3384" spans="7:7" x14ac:dyDescent="0.3">
      <c r="G3384" s="400" t="s">
        <v>9567</v>
      </c>
    </row>
    <row r="3385" spans="7:7" x14ac:dyDescent="0.3">
      <c r="G3385" s="400" t="s">
        <v>9567</v>
      </c>
    </row>
    <row r="3386" spans="7:7" x14ac:dyDescent="0.3">
      <c r="G3386" s="400" t="s">
        <v>9567</v>
      </c>
    </row>
    <row r="3387" spans="7:7" x14ac:dyDescent="0.3">
      <c r="G3387" s="400" t="s">
        <v>9567</v>
      </c>
    </row>
    <row r="3388" spans="7:7" x14ac:dyDescent="0.3">
      <c r="G3388" s="400" t="s">
        <v>9567</v>
      </c>
    </row>
    <row r="3389" spans="7:7" x14ac:dyDescent="0.3">
      <c r="G3389" s="400" t="s">
        <v>9567</v>
      </c>
    </row>
    <row r="3390" spans="7:7" x14ac:dyDescent="0.3">
      <c r="G3390" s="400" t="s">
        <v>9567</v>
      </c>
    </row>
    <row r="3391" spans="7:7" x14ac:dyDescent="0.3">
      <c r="G3391" s="400" t="s">
        <v>9567</v>
      </c>
    </row>
    <row r="3392" spans="7:7" x14ac:dyDescent="0.3">
      <c r="G3392" s="400" t="s">
        <v>9567</v>
      </c>
    </row>
    <row r="3393" spans="7:7" x14ac:dyDescent="0.3">
      <c r="G3393" s="400" t="s">
        <v>9567</v>
      </c>
    </row>
    <row r="3394" spans="7:7" x14ac:dyDescent="0.3">
      <c r="G3394" s="400" t="s">
        <v>9567</v>
      </c>
    </row>
    <row r="3395" spans="7:7" x14ac:dyDescent="0.3">
      <c r="G3395" s="400" t="s">
        <v>9567</v>
      </c>
    </row>
    <row r="3396" spans="7:7" x14ac:dyDescent="0.3">
      <c r="G3396" s="400" t="s">
        <v>9567</v>
      </c>
    </row>
    <row r="3397" spans="7:7" x14ac:dyDescent="0.3">
      <c r="G3397" s="400" t="s">
        <v>9567</v>
      </c>
    </row>
    <row r="3398" spans="7:7" x14ac:dyDescent="0.3">
      <c r="G3398" s="400" t="s">
        <v>9567</v>
      </c>
    </row>
    <row r="3399" spans="7:7" x14ac:dyDescent="0.3">
      <c r="G3399" s="400" t="s">
        <v>9567</v>
      </c>
    </row>
    <row r="3400" spans="7:7" x14ac:dyDescent="0.3">
      <c r="G3400" s="400" t="s">
        <v>9567</v>
      </c>
    </row>
    <row r="3401" spans="7:7" x14ac:dyDescent="0.3">
      <c r="G3401" s="400" t="s">
        <v>9567</v>
      </c>
    </row>
    <row r="3402" spans="7:7" x14ac:dyDescent="0.3">
      <c r="G3402" s="400" t="s">
        <v>9567</v>
      </c>
    </row>
    <row r="3403" spans="7:7" x14ac:dyDescent="0.3">
      <c r="G3403" s="400" t="s">
        <v>9567</v>
      </c>
    </row>
    <row r="3404" spans="7:7" x14ac:dyDescent="0.3">
      <c r="G3404" s="400" t="s">
        <v>9567</v>
      </c>
    </row>
    <row r="3405" spans="7:7" x14ac:dyDescent="0.3">
      <c r="G3405" s="400" t="s">
        <v>9567</v>
      </c>
    </row>
    <row r="3406" spans="7:7" x14ac:dyDescent="0.3">
      <c r="G3406" s="400" t="s">
        <v>9567</v>
      </c>
    </row>
    <row r="3407" spans="7:7" x14ac:dyDescent="0.3">
      <c r="G3407" s="400" t="s">
        <v>9567</v>
      </c>
    </row>
    <row r="3408" spans="7:7" x14ac:dyDescent="0.3">
      <c r="G3408" s="400" t="s">
        <v>9567</v>
      </c>
    </row>
    <row r="3409" spans="7:7" x14ac:dyDescent="0.3">
      <c r="G3409" s="400" t="s">
        <v>9567</v>
      </c>
    </row>
    <row r="3410" spans="7:7" x14ac:dyDescent="0.3">
      <c r="G3410" s="400" t="s">
        <v>9567</v>
      </c>
    </row>
    <row r="3411" spans="7:7" x14ac:dyDescent="0.3">
      <c r="G3411" s="400" t="s">
        <v>9567</v>
      </c>
    </row>
    <row r="3412" spans="7:7" x14ac:dyDescent="0.3">
      <c r="G3412" s="400" t="s">
        <v>9567</v>
      </c>
    </row>
    <row r="3413" spans="7:7" x14ac:dyDescent="0.3">
      <c r="G3413" s="400" t="s">
        <v>9567</v>
      </c>
    </row>
    <row r="3414" spans="7:7" x14ac:dyDescent="0.3">
      <c r="G3414" s="400" t="s">
        <v>9567</v>
      </c>
    </row>
    <row r="3415" spans="7:7" x14ac:dyDescent="0.3">
      <c r="G3415" s="400" t="s">
        <v>9567</v>
      </c>
    </row>
    <row r="3416" spans="7:7" x14ac:dyDescent="0.3">
      <c r="G3416" s="400" t="s">
        <v>9567</v>
      </c>
    </row>
    <row r="3417" spans="7:7" x14ac:dyDescent="0.3">
      <c r="G3417" s="400" t="s">
        <v>9567</v>
      </c>
    </row>
    <row r="3418" spans="7:7" x14ac:dyDescent="0.3">
      <c r="G3418" s="400" t="s">
        <v>9567</v>
      </c>
    </row>
    <row r="3419" spans="7:7" x14ac:dyDescent="0.3">
      <c r="G3419" s="400" t="s">
        <v>9567</v>
      </c>
    </row>
    <row r="3420" spans="7:7" x14ac:dyDescent="0.3">
      <c r="G3420" s="400" t="s">
        <v>9567</v>
      </c>
    </row>
    <row r="3421" spans="7:7" x14ac:dyDescent="0.3">
      <c r="G3421" s="400" t="s">
        <v>9567</v>
      </c>
    </row>
    <row r="3422" spans="7:7" x14ac:dyDescent="0.3">
      <c r="G3422" s="400" t="s">
        <v>9567</v>
      </c>
    </row>
    <row r="3423" spans="7:7" x14ac:dyDescent="0.3">
      <c r="G3423" s="400" t="s">
        <v>9567</v>
      </c>
    </row>
    <row r="3424" spans="7:7" x14ac:dyDescent="0.3">
      <c r="G3424" s="400" t="s">
        <v>9567</v>
      </c>
    </row>
    <row r="3425" spans="7:7" x14ac:dyDescent="0.3">
      <c r="G3425" s="400" t="s">
        <v>9567</v>
      </c>
    </row>
    <row r="3426" spans="7:7" x14ac:dyDescent="0.3">
      <c r="G3426" s="400" t="s">
        <v>9567</v>
      </c>
    </row>
    <row r="3427" spans="7:7" x14ac:dyDescent="0.3">
      <c r="G3427" s="400" t="s">
        <v>9567</v>
      </c>
    </row>
    <row r="3428" spans="7:7" x14ac:dyDescent="0.3">
      <c r="G3428" s="400" t="s">
        <v>9567</v>
      </c>
    </row>
    <row r="3429" spans="7:7" x14ac:dyDescent="0.3">
      <c r="G3429" s="400" t="s">
        <v>9567</v>
      </c>
    </row>
    <row r="3430" spans="7:7" x14ac:dyDescent="0.3">
      <c r="G3430" s="400" t="s">
        <v>9567</v>
      </c>
    </row>
    <row r="3431" spans="7:7" x14ac:dyDescent="0.3">
      <c r="G3431" s="400" t="s">
        <v>9567</v>
      </c>
    </row>
    <row r="3432" spans="7:7" x14ac:dyDescent="0.3">
      <c r="G3432" s="400" t="s">
        <v>9567</v>
      </c>
    </row>
    <row r="3433" spans="7:7" x14ac:dyDescent="0.3">
      <c r="G3433" s="400" t="s">
        <v>9567</v>
      </c>
    </row>
    <row r="3434" spans="7:7" x14ac:dyDescent="0.3">
      <c r="G3434" s="400" t="s">
        <v>9567</v>
      </c>
    </row>
    <row r="3435" spans="7:7" x14ac:dyDescent="0.3">
      <c r="G3435" s="400" t="s">
        <v>9567</v>
      </c>
    </row>
    <row r="3436" spans="7:7" x14ac:dyDescent="0.3">
      <c r="G3436" s="400" t="s">
        <v>9567</v>
      </c>
    </row>
    <row r="3437" spans="7:7" x14ac:dyDescent="0.3">
      <c r="G3437" s="400" t="s">
        <v>9567</v>
      </c>
    </row>
    <row r="3438" spans="7:7" x14ac:dyDescent="0.3">
      <c r="G3438" s="400" t="s">
        <v>9567</v>
      </c>
    </row>
    <row r="3439" spans="7:7" x14ac:dyDescent="0.3">
      <c r="G3439" s="400" t="s">
        <v>9567</v>
      </c>
    </row>
    <row r="3440" spans="7:7" x14ac:dyDescent="0.3">
      <c r="G3440" s="400" t="s">
        <v>9567</v>
      </c>
    </row>
    <row r="3441" spans="7:7" x14ac:dyDescent="0.3">
      <c r="G3441" s="400" t="s">
        <v>9567</v>
      </c>
    </row>
    <row r="3442" spans="7:7" x14ac:dyDescent="0.3">
      <c r="G3442" s="400" t="s">
        <v>9567</v>
      </c>
    </row>
    <row r="3443" spans="7:7" x14ac:dyDescent="0.3">
      <c r="G3443" s="400" t="s">
        <v>9567</v>
      </c>
    </row>
    <row r="3444" spans="7:7" x14ac:dyDescent="0.3">
      <c r="G3444" s="400" t="s">
        <v>9567</v>
      </c>
    </row>
    <row r="3445" spans="7:7" x14ac:dyDescent="0.3">
      <c r="G3445" s="400" t="s">
        <v>9567</v>
      </c>
    </row>
    <row r="3446" spans="7:7" x14ac:dyDescent="0.3">
      <c r="G3446" s="400" t="s">
        <v>9567</v>
      </c>
    </row>
    <row r="3447" spans="7:7" x14ac:dyDescent="0.3">
      <c r="G3447" s="400" t="s">
        <v>9567</v>
      </c>
    </row>
    <row r="3448" spans="7:7" x14ac:dyDescent="0.3">
      <c r="G3448" s="400" t="s">
        <v>9567</v>
      </c>
    </row>
    <row r="3449" spans="7:7" x14ac:dyDescent="0.3">
      <c r="G3449" s="400" t="s">
        <v>9567</v>
      </c>
    </row>
    <row r="3450" spans="7:7" x14ac:dyDescent="0.3">
      <c r="G3450" s="400" t="s">
        <v>9567</v>
      </c>
    </row>
    <row r="3451" spans="7:7" x14ac:dyDescent="0.3">
      <c r="G3451" s="400" t="s">
        <v>9567</v>
      </c>
    </row>
    <row r="3452" spans="7:7" x14ac:dyDescent="0.3">
      <c r="G3452" s="400" t="s">
        <v>9567</v>
      </c>
    </row>
    <row r="3453" spans="7:7" x14ac:dyDescent="0.3">
      <c r="G3453" s="400" t="s">
        <v>9567</v>
      </c>
    </row>
    <row r="3454" spans="7:7" x14ac:dyDescent="0.3">
      <c r="G3454" s="400" t="s">
        <v>9567</v>
      </c>
    </row>
    <row r="3455" spans="7:7" x14ac:dyDescent="0.3">
      <c r="G3455" s="400" t="s">
        <v>9567</v>
      </c>
    </row>
    <row r="3456" spans="7:7" x14ac:dyDescent="0.3">
      <c r="G3456" s="400" t="s">
        <v>9567</v>
      </c>
    </row>
    <row r="3457" spans="7:7" x14ac:dyDescent="0.3">
      <c r="G3457" s="400" t="s">
        <v>9567</v>
      </c>
    </row>
    <row r="3458" spans="7:7" x14ac:dyDescent="0.3">
      <c r="G3458" s="400" t="s">
        <v>9567</v>
      </c>
    </row>
    <row r="3459" spans="7:7" x14ac:dyDescent="0.3">
      <c r="G3459" s="400" t="s">
        <v>9567</v>
      </c>
    </row>
    <row r="3460" spans="7:7" x14ac:dyDescent="0.3">
      <c r="G3460" s="400" t="s">
        <v>9567</v>
      </c>
    </row>
    <row r="3461" spans="7:7" x14ac:dyDescent="0.3">
      <c r="G3461" s="400" t="s">
        <v>9567</v>
      </c>
    </row>
    <row r="3462" spans="7:7" x14ac:dyDescent="0.3">
      <c r="G3462" s="400" t="s">
        <v>9567</v>
      </c>
    </row>
    <row r="3463" spans="7:7" x14ac:dyDescent="0.3">
      <c r="G3463" s="400" t="s">
        <v>9567</v>
      </c>
    </row>
    <row r="3464" spans="7:7" x14ac:dyDescent="0.3">
      <c r="G3464" s="400" t="s">
        <v>9567</v>
      </c>
    </row>
    <row r="3465" spans="7:7" x14ac:dyDescent="0.3">
      <c r="G3465" s="400" t="s">
        <v>9567</v>
      </c>
    </row>
    <row r="3466" spans="7:7" x14ac:dyDescent="0.3">
      <c r="G3466" s="400" t="s">
        <v>9567</v>
      </c>
    </row>
    <row r="3467" spans="7:7" x14ac:dyDescent="0.3">
      <c r="G3467" s="400" t="s">
        <v>9567</v>
      </c>
    </row>
    <row r="3468" spans="7:7" x14ac:dyDescent="0.3">
      <c r="G3468" s="400" t="s">
        <v>9567</v>
      </c>
    </row>
    <row r="3469" spans="7:7" x14ac:dyDescent="0.3">
      <c r="G3469" s="400" t="s">
        <v>9567</v>
      </c>
    </row>
    <row r="3470" spans="7:7" x14ac:dyDescent="0.3">
      <c r="G3470" s="400" t="s">
        <v>9567</v>
      </c>
    </row>
    <row r="3471" spans="7:7" x14ac:dyDescent="0.3">
      <c r="G3471" s="400" t="s">
        <v>9567</v>
      </c>
    </row>
    <row r="3472" spans="7:7" x14ac:dyDescent="0.3">
      <c r="G3472" s="400" t="s">
        <v>9567</v>
      </c>
    </row>
    <row r="3473" spans="7:7" x14ac:dyDescent="0.3">
      <c r="G3473" s="400" t="s">
        <v>9567</v>
      </c>
    </row>
    <row r="3474" spans="7:7" x14ac:dyDescent="0.3">
      <c r="G3474" s="400" t="s">
        <v>9567</v>
      </c>
    </row>
    <row r="3475" spans="7:7" x14ac:dyDescent="0.3">
      <c r="G3475" s="400" t="s">
        <v>9567</v>
      </c>
    </row>
    <row r="3476" spans="7:7" x14ac:dyDescent="0.3">
      <c r="G3476" s="400" t="s">
        <v>9567</v>
      </c>
    </row>
    <row r="3477" spans="7:7" x14ac:dyDescent="0.3">
      <c r="G3477" s="400" t="s">
        <v>9567</v>
      </c>
    </row>
    <row r="3478" spans="7:7" x14ac:dyDescent="0.3">
      <c r="G3478" s="400" t="s">
        <v>9567</v>
      </c>
    </row>
    <row r="3479" spans="7:7" x14ac:dyDescent="0.3">
      <c r="G3479" s="400" t="s">
        <v>9567</v>
      </c>
    </row>
    <row r="3480" spans="7:7" x14ac:dyDescent="0.3">
      <c r="G3480" s="400" t="s">
        <v>9567</v>
      </c>
    </row>
    <row r="3481" spans="7:7" x14ac:dyDescent="0.3">
      <c r="G3481" s="400" t="s">
        <v>9567</v>
      </c>
    </row>
    <row r="3482" spans="7:7" x14ac:dyDescent="0.3">
      <c r="G3482" s="400" t="s">
        <v>9567</v>
      </c>
    </row>
    <row r="3483" spans="7:7" x14ac:dyDescent="0.3">
      <c r="G3483" s="400" t="s">
        <v>9567</v>
      </c>
    </row>
    <row r="3484" spans="7:7" x14ac:dyDescent="0.3">
      <c r="G3484" s="400" t="s">
        <v>9567</v>
      </c>
    </row>
    <row r="3485" spans="7:7" x14ac:dyDescent="0.3">
      <c r="G3485" s="400" t="s">
        <v>9567</v>
      </c>
    </row>
    <row r="3486" spans="7:7" x14ac:dyDescent="0.3">
      <c r="G3486" s="400" t="s">
        <v>9567</v>
      </c>
    </row>
    <row r="3487" spans="7:7" x14ac:dyDescent="0.3">
      <c r="G3487" s="400" t="s">
        <v>9567</v>
      </c>
    </row>
    <row r="3488" spans="7:7" x14ac:dyDescent="0.3">
      <c r="G3488" s="400" t="s">
        <v>9567</v>
      </c>
    </row>
    <row r="3489" spans="7:7" x14ac:dyDescent="0.3">
      <c r="G3489" s="400" t="s">
        <v>9567</v>
      </c>
    </row>
    <row r="3490" spans="7:7" x14ac:dyDescent="0.3">
      <c r="G3490" s="400" t="s">
        <v>9567</v>
      </c>
    </row>
    <row r="3491" spans="7:7" x14ac:dyDescent="0.3">
      <c r="G3491" s="400" t="s">
        <v>9567</v>
      </c>
    </row>
    <row r="3492" spans="7:7" x14ac:dyDescent="0.3">
      <c r="G3492" s="400" t="s">
        <v>9567</v>
      </c>
    </row>
    <row r="3493" spans="7:7" x14ac:dyDescent="0.3">
      <c r="G3493" s="400" t="s">
        <v>9567</v>
      </c>
    </row>
    <row r="3494" spans="7:7" x14ac:dyDescent="0.3">
      <c r="G3494" s="400" t="s">
        <v>9567</v>
      </c>
    </row>
    <row r="3495" spans="7:7" x14ac:dyDescent="0.3">
      <c r="G3495" s="400" t="s">
        <v>9567</v>
      </c>
    </row>
    <row r="3496" spans="7:7" x14ac:dyDescent="0.3">
      <c r="G3496" s="400" t="s">
        <v>9567</v>
      </c>
    </row>
    <row r="3497" spans="7:7" x14ac:dyDescent="0.3">
      <c r="G3497" s="400" t="s">
        <v>9567</v>
      </c>
    </row>
    <row r="3498" spans="7:7" x14ac:dyDescent="0.3">
      <c r="G3498" s="400" t="s">
        <v>9567</v>
      </c>
    </row>
    <row r="3499" spans="7:7" x14ac:dyDescent="0.3">
      <c r="G3499" s="400" t="s">
        <v>9567</v>
      </c>
    </row>
    <row r="3500" spans="7:7" x14ac:dyDescent="0.3">
      <c r="G3500" s="400" t="s">
        <v>9567</v>
      </c>
    </row>
    <row r="3501" spans="7:7" x14ac:dyDescent="0.3">
      <c r="G3501" s="400" t="s">
        <v>9567</v>
      </c>
    </row>
    <row r="3502" spans="7:7" x14ac:dyDescent="0.3">
      <c r="G3502" s="400" t="s">
        <v>9567</v>
      </c>
    </row>
    <row r="3503" spans="7:7" x14ac:dyDescent="0.3">
      <c r="G3503" s="400" t="s">
        <v>9567</v>
      </c>
    </row>
    <row r="3504" spans="7:7" x14ac:dyDescent="0.3">
      <c r="G3504" s="400" t="s">
        <v>9567</v>
      </c>
    </row>
    <row r="3505" spans="7:7" x14ac:dyDescent="0.3">
      <c r="G3505" s="400" t="s">
        <v>9567</v>
      </c>
    </row>
    <row r="3506" spans="7:7" x14ac:dyDescent="0.3">
      <c r="G3506" s="400" t="s">
        <v>9567</v>
      </c>
    </row>
    <row r="3507" spans="7:7" x14ac:dyDescent="0.3">
      <c r="G3507" s="400" t="s">
        <v>9567</v>
      </c>
    </row>
    <row r="3508" spans="7:7" x14ac:dyDescent="0.3">
      <c r="G3508" s="400" t="s">
        <v>9567</v>
      </c>
    </row>
    <row r="3509" spans="7:7" x14ac:dyDescent="0.3">
      <c r="G3509" s="400" t="s">
        <v>9567</v>
      </c>
    </row>
    <row r="3510" spans="7:7" x14ac:dyDescent="0.3">
      <c r="G3510" s="400" t="s">
        <v>9567</v>
      </c>
    </row>
    <row r="3511" spans="7:7" x14ac:dyDescent="0.3">
      <c r="G3511" s="400" t="s">
        <v>9567</v>
      </c>
    </row>
    <row r="3512" spans="7:7" x14ac:dyDescent="0.3">
      <c r="G3512" s="400" t="s">
        <v>9567</v>
      </c>
    </row>
    <row r="3513" spans="7:7" x14ac:dyDescent="0.3">
      <c r="G3513" s="400" t="s">
        <v>9567</v>
      </c>
    </row>
    <row r="3514" spans="7:7" x14ac:dyDescent="0.3">
      <c r="G3514" s="400" t="s">
        <v>9567</v>
      </c>
    </row>
    <row r="3515" spans="7:7" x14ac:dyDescent="0.3">
      <c r="G3515" s="400" t="s">
        <v>9567</v>
      </c>
    </row>
    <row r="3516" spans="7:7" x14ac:dyDescent="0.3">
      <c r="G3516" s="400" t="s">
        <v>9567</v>
      </c>
    </row>
    <row r="3517" spans="7:7" x14ac:dyDescent="0.3">
      <c r="G3517" s="400" t="s">
        <v>9567</v>
      </c>
    </row>
    <row r="3518" spans="7:7" x14ac:dyDescent="0.3">
      <c r="G3518" s="400" t="s">
        <v>9567</v>
      </c>
    </row>
    <row r="3519" spans="7:7" x14ac:dyDescent="0.3">
      <c r="G3519" s="400" t="s">
        <v>9567</v>
      </c>
    </row>
    <row r="3520" spans="7:7" x14ac:dyDescent="0.3">
      <c r="G3520" s="400" t="s">
        <v>9567</v>
      </c>
    </row>
    <row r="3521" spans="7:7" x14ac:dyDescent="0.3">
      <c r="G3521" s="400" t="s">
        <v>9567</v>
      </c>
    </row>
    <row r="3522" spans="7:7" x14ac:dyDescent="0.3">
      <c r="G3522" s="400" t="s">
        <v>9567</v>
      </c>
    </row>
    <row r="3523" spans="7:7" x14ac:dyDescent="0.3">
      <c r="G3523" s="400" t="s">
        <v>9567</v>
      </c>
    </row>
    <row r="3524" spans="7:7" x14ac:dyDescent="0.3">
      <c r="G3524" s="400" t="s">
        <v>9567</v>
      </c>
    </row>
    <row r="3525" spans="7:7" x14ac:dyDescent="0.3">
      <c r="G3525" s="400" t="s">
        <v>9567</v>
      </c>
    </row>
    <row r="3526" spans="7:7" x14ac:dyDescent="0.3">
      <c r="G3526" s="400" t="s">
        <v>9567</v>
      </c>
    </row>
    <row r="3527" spans="7:7" x14ac:dyDescent="0.3">
      <c r="G3527" s="400" t="s">
        <v>9567</v>
      </c>
    </row>
    <row r="3528" spans="7:7" x14ac:dyDescent="0.3">
      <c r="G3528" s="400" t="s">
        <v>9567</v>
      </c>
    </row>
    <row r="3529" spans="7:7" x14ac:dyDescent="0.3">
      <c r="G3529" s="400" t="s">
        <v>9567</v>
      </c>
    </row>
    <row r="3530" spans="7:7" x14ac:dyDescent="0.3">
      <c r="G3530" s="400" t="s">
        <v>9567</v>
      </c>
    </row>
    <row r="3531" spans="7:7" x14ac:dyDescent="0.3">
      <c r="G3531" s="400" t="s">
        <v>9567</v>
      </c>
    </row>
    <row r="3532" spans="7:7" x14ac:dyDescent="0.3">
      <c r="G3532" s="400" t="s">
        <v>9567</v>
      </c>
    </row>
    <row r="3533" spans="7:7" x14ac:dyDescent="0.3">
      <c r="G3533" s="400" t="s">
        <v>9567</v>
      </c>
    </row>
    <row r="3534" spans="7:7" x14ac:dyDescent="0.3">
      <c r="G3534" s="400" t="s">
        <v>9567</v>
      </c>
    </row>
    <row r="3535" spans="7:7" x14ac:dyDescent="0.3">
      <c r="G3535" s="400" t="s">
        <v>9567</v>
      </c>
    </row>
    <row r="3536" spans="7:7" x14ac:dyDescent="0.3">
      <c r="G3536" s="400" t="s">
        <v>9567</v>
      </c>
    </row>
    <row r="3537" spans="7:7" x14ac:dyDescent="0.3">
      <c r="G3537" s="400" t="s">
        <v>9567</v>
      </c>
    </row>
    <row r="3538" spans="7:7" x14ac:dyDescent="0.3">
      <c r="G3538" s="400" t="s">
        <v>9567</v>
      </c>
    </row>
    <row r="3539" spans="7:7" x14ac:dyDescent="0.3">
      <c r="G3539" s="400" t="s">
        <v>9567</v>
      </c>
    </row>
    <row r="3540" spans="7:7" x14ac:dyDescent="0.3">
      <c r="G3540" s="400" t="s">
        <v>9567</v>
      </c>
    </row>
    <row r="3541" spans="7:7" x14ac:dyDescent="0.3">
      <c r="G3541" s="400" t="s">
        <v>9567</v>
      </c>
    </row>
    <row r="3542" spans="7:7" x14ac:dyDescent="0.3">
      <c r="G3542" s="400" t="s">
        <v>9567</v>
      </c>
    </row>
    <row r="3543" spans="7:7" x14ac:dyDescent="0.3">
      <c r="G3543" s="400" t="s">
        <v>9567</v>
      </c>
    </row>
    <row r="3544" spans="7:7" x14ac:dyDescent="0.3">
      <c r="G3544" s="400" t="s">
        <v>9567</v>
      </c>
    </row>
    <row r="3545" spans="7:7" x14ac:dyDescent="0.3">
      <c r="G3545" s="400" t="s">
        <v>9567</v>
      </c>
    </row>
    <row r="3546" spans="7:7" x14ac:dyDescent="0.3">
      <c r="G3546" s="400" t="s">
        <v>9567</v>
      </c>
    </row>
    <row r="3547" spans="7:7" x14ac:dyDescent="0.3">
      <c r="G3547" s="400" t="s">
        <v>9567</v>
      </c>
    </row>
    <row r="3548" spans="7:7" x14ac:dyDescent="0.3">
      <c r="G3548" s="400" t="s">
        <v>9567</v>
      </c>
    </row>
    <row r="3549" spans="7:7" x14ac:dyDescent="0.3">
      <c r="G3549" s="400" t="s">
        <v>9567</v>
      </c>
    </row>
    <row r="3550" spans="7:7" x14ac:dyDescent="0.3">
      <c r="G3550" s="400" t="s">
        <v>9567</v>
      </c>
    </row>
    <row r="3551" spans="7:7" x14ac:dyDescent="0.3">
      <c r="G3551" s="400" t="s">
        <v>9567</v>
      </c>
    </row>
    <row r="3552" spans="7:7" x14ac:dyDescent="0.3">
      <c r="G3552" s="400" t="s">
        <v>9567</v>
      </c>
    </row>
    <row r="3553" spans="7:7" x14ac:dyDescent="0.3">
      <c r="G3553" s="400" t="s">
        <v>9567</v>
      </c>
    </row>
    <row r="3554" spans="7:7" x14ac:dyDescent="0.3">
      <c r="G3554" s="400" t="s">
        <v>9567</v>
      </c>
    </row>
    <row r="3555" spans="7:7" x14ac:dyDescent="0.3">
      <c r="G3555" s="400" t="s">
        <v>9567</v>
      </c>
    </row>
    <row r="3556" spans="7:7" x14ac:dyDescent="0.3">
      <c r="G3556" s="400" t="s">
        <v>9567</v>
      </c>
    </row>
    <row r="3557" spans="7:7" x14ac:dyDescent="0.3">
      <c r="G3557" s="400" t="s">
        <v>9567</v>
      </c>
    </row>
    <row r="3558" spans="7:7" x14ac:dyDescent="0.3">
      <c r="G3558" s="400" t="s">
        <v>9567</v>
      </c>
    </row>
    <row r="3559" spans="7:7" x14ac:dyDescent="0.3">
      <c r="G3559" s="400" t="s">
        <v>9567</v>
      </c>
    </row>
    <row r="3560" spans="7:7" x14ac:dyDescent="0.3">
      <c r="G3560" s="400" t="s">
        <v>9567</v>
      </c>
    </row>
    <row r="3561" spans="7:7" x14ac:dyDescent="0.3">
      <c r="G3561" s="400" t="s">
        <v>9567</v>
      </c>
    </row>
    <row r="3562" spans="7:7" x14ac:dyDescent="0.3">
      <c r="G3562" s="400" t="s">
        <v>9567</v>
      </c>
    </row>
    <row r="3563" spans="7:7" x14ac:dyDescent="0.3">
      <c r="G3563" s="400" t="s">
        <v>9567</v>
      </c>
    </row>
    <row r="3564" spans="7:7" x14ac:dyDescent="0.3">
      <c r="G3564" s="400" t="s">
        <v>9567</v>
      </c>
    </row>
    <row r="3565" spans="7:7" x14ac:dyDescent="0.3">
      <c r="G3565" s="400" t="s">
        <v>9567</v>
      </c>
    </row>
    <row r="3566" spans="7:7" x14ac:dyDescent="0.3">
      <c r="G3566" s="400" t="s">
        <v>9567</v>
      </c>
    </row>
    <row r="3567" spans="7:7" x14ac:dyDescent="0.3">
      <c r="G3567" s="400" t="s">
        <v>9567</v>
      </c>
    </row>
    <row r="3568" spans="7:7" x14ac:dyDescent="0.3">
      <c r="G3568" s="400" t="s">
        <v>9567</v>
      </c>
    </row>
    <row r="3569" spans="7:7" x14ac:dyDescent="0.3">
      <c r="G3569" s="400" t="s">
        <v>9567</v>
      </c>
    </row>
    <row r="3570" spans="7:7" x14ac:dyDescent="0.3">
      <c r="G3570" s="400" t="s">
        <v>9567</v>
      </c>
    </row>
    <row r="3571" spans="7:7" x14ac:dyDescent="0.3">
      <c r="G3571" s="400" t="s">
        <v>9567</v>
      </c>
    </row>
    <row r="3572" spans="7:7" x14ac:dyDescent="0.3">
      <c r="G3572" s="400" t="s">
        <v>9567</v>
      </c>
    </row>
    <row r="3573" spans="7:7" x14ac:dyDescent="0.3">
      <c r="G3573" s="400" t="s">
        <v>9567</v>
      </c>
    </row>
    <row r="3574" spans="7:7" x14ac:dyDescent="0.3">
      <c r="G3574" s="400" t="s">
        <v>9567</v>
      </c>
    </row>
    <row r="3575" spans="7:7" x14ac:dyDescent="0.3">
      <c r="G3575" s="400" t="s">
        <v>9567</v>
      </c>
    </row>
    <row r="3576" spans="7:7" x14ac:dyDescent="0.3">
      <c r="G3576" s="400" t="s">
        <v>9567</v>
      </c>
    </row>
    <row r="3577" spans="7:7" x14ac:dyDescent="0.3">
      <c r="G3577" s="400" t="s">
        <v>9567</v>
      </c>
    </row>
    <row r="3578" spans="7:7" x14ac:dyDescent="0.3">
      <c r="G3578" s="400" t="s">
        <v>9567</v>
      </c>
    </row>
    <row r="3579" spans="7:7" x14ac:dyDescent="0.3">
      <c r="G3579" s="400" t="s">
        <v>9567</v>
      </c>
    </row>
    <row r="3580" spans="7:7" x14ac:dyDescent="0.3">
      <c r="G3580" s="400" t="s">
        <v>9567</v>
      </c>
    </row>
    <row r="3581" spans="7:7" x14ac:dyDescent="0.3">
      <c r="G3581" s="400" t="s">
        <v>9567</v>
      </c>
    </row>
    <row r="3582" spans="7:7" x14ac:dyDescent="0.3">
      <c r="G3582" s="400" t="s">
        <v>9567</v>
      </c>
    </row>
    <row r="3583" spans="7:7" x14ac:dyDescent="0.3">
      <c r="G3583" s="400" t="s">
        <v>9567</v>
      </c>
    </row>
    <row r="3584" spans="7:7" x14ac:dyDescent="0.3">
      <c r="G3584" s="400" t="s">
        <v>9567</v>
      </c>
    </row>
    <row r="3585" spans="7:7" x14ac:dyDescent="0.3">
      <c r="G3585" s="400" t="s">
        <v>9567</v>
      </c>
    </row>
    <row r="3586" spans="7:7" x14ac:dyDescent="0.3">
      <c r="G3586" s="400" t="s">
        <v>9567</v>
      </c>
    </row>
    <row r="3587" spans="7:7" x14ac:dyDescent="0.3">
      <c r="G3587" s="400" t="s">
        <v>9567</v>
      </c>
    </row>
    <row r="3588" spans="7:7" x14ac:dyDescent="0.3">
      <c r="G3588" s="400" t="s">
        <v>9567</v>
      </c>
    </row>
    <row r="3589" spans="7:7" x14ac:dyDescent="0.3">
      <c r="G3589" s="400" t="s">
        <v>9567</v>
      </c>
    </row>
    <row r="3590" spans="7:7" x14ac:dyDescent="0.3">
      <c r="G3590" s="400" t="s">
        <v>9567</v>
      </c>
    </row>
    <row r="3591" spans="7:7" x14ac:dyDescent="0.3">
      <c r="G3591" s="400" t="s">
        <v>9567</v>
      </c>
    </row>
    <row r="3592" spans="7:7" x14ac:dyDescent="0.3">
      <c r="G3592" s="400" t="s">
        <v>9567</v>
      </c>
    </row>
    <row r="3593" spans="7:7" x14ac:dyDescent="0.3">
      <c r="G3593" s="400" t="s">
        <v>9567</v>
      </c>
    </row>
    <row r="3594" spans="7:7" x14ac:dyDescent="0.3">
      <c r="G3594" s="400" t="s">
        <v>9567</v>
      </c>
    </row>
    <row r="3595" spans="7:7" x14ac:dyDescent="0.3">
      <c r="G3595" s="400" t="s">
        <v>9567</v>
      </c>
    </row>
    <row r="3596" spans="7:7" x14ac:dyDescent="0.3">
      <c r="G3596" s="400" t="s">
        <v>9567</v>
      </c>
    </row>
    <row r="3597" spans="7:7" x14ac:dyDescent="0.3">
      <c r="G3597" s="400" t="s">
        <v>9567</v>
      </c>
    </row>
    <row r="3598" spans="7:7" x14ac:dyDescent="0.3">
      <c r="G3598" s="400" t="s">
        <v>9567</v>
      </c>
    </row>
    <row r="3599" spans="7:7" x14ac:dyDescent="0.3">
      <c r="G3599" s="400" t="s">
        <v>9567</v>
      </c>
    </row>
    <row r="3600" spans="7:7" x14ac:dyDescent="0.3">
      <c r="G3600" s="400" t="s">
        <v>9567</v>
      </c>
    </row>
    <row r="3601" spans="7:7" x14ac:dyDescent="0.3">
      <c r="G3601" s="400" t="s">
        <v>9567</v>
      </c>
    </row>
    <row r="3602" spans="7:7" x14ac:dyDescent="0.3">
      <c r="G3602" s="400" t="s">
        <v>9567</v>
      </c>
    </row>
    <row r="3603" spans="7:7" x14ac:dyDescent="0.3">
      <c r="G3603" s="400" t="s">
        <v>9567</v>
      </c>
    </row>
    <row r="3604" spans="7:7" x14ac:dyDescent="0.3">
      <c r="G3604" s="400" t="s">
        <v>9567</v>
      </c>
    </row>
    <row r="3605" spans="7:7" x14ac:dyDescent="0.3">
      <c r="G3605" s="400" t="s">
        <v>9567</v>
      </c>
    </row>
    <row r="3606" spans="7:7" x14ac:dyDescent="0.3">
      <c r="G3606" s="400" t="s">
        <v>9567</v>
      </c>
    </row>
    <row r="3607" spans="7:7" x14ac:dyDescent="0.3">
      <c r="G3607" s="400" t="s">
        <v>9567</v>
      </c>
    </row>
    <row r="3608" spans="7:7" x14ac:dyDescent="0.3">
      <c r="G3608" s="400" t="s">
        <v>9567</v>
      </c>
    </row>
    <row r="3609" spans="7:7" x14ac:dyDescent="0.3">
      <c r="G3609" s="400" t="s">
        <v>9567</v>
      </c>
    </row>
    <row r="3610" spans="7:7" x14ac:dyDescent="0.3">
      <c r="G3610" s="400" t="s">
        <v>9567</v>
      </c>
    </row>
    <row r="3611" spans="7:7" x14ac:dyDescent="0.3">
      <c r="G3611" s="400" t="s">
        <v>9567</v>
      </c>
    </row>
    <row r="3612" spans="7:7" x14ac:dyDescent="0.3">
      <c r="G3612" s="400" t="s">
        <v>9567</v>
      </c>
    </row>
    <row r="3613" spans="7:7" x14ac:dyDescent="0.3">
      <c r="G3613" s="400" t="s">
        <v>9567</v>
      </c>
    </row>
    <row r="3614" spans="7:7" x14ac:dyDescent="0.3">
      <c r="G3614" s="400" t="s">
        <v>9567</v>
      </c>
    </row>
    <row r="3615" spans="7:7" x14ac:dyDescent="0.3">
      <c r="G3615" s="400" t="s">
        <v>9567</v>
      </c>
    </row>
    <row r="3616" spans="7:7" x14ac:dyDescent="0.3">
      <c r="G3616" s="400" t="s">
        <v>9567</v>
      </c>
    </row>
    <row r="3617" spans="7:7" x14ac:dyDescent="0.3">
      <c r="G3617" s="400" t="s">
        <v>9567</v>
      </c>
    </row>
    <row r="3618" spans="7:7" x14ac:dyDescent="0.3">
      <c r="G3618" s="400" t="s">
        <v>9567</v>
      </c>
    </row>
    <row r="3619" spans="7:7" x14ac:dyDescent="0.3">
      <c r="G3619" s="400" t="s">
        <v>9567</v>
      </c>
    </row>
    <row r="3620" spans="7:7" x14ac:dyDescent="0.3">
      <c r="G3620" s="400" t="s">
        <v>9567</v>
      </c>
    </row>
    <row r="3621" spans="7:7" x14ac:dyDescent="0.3">
      <c r="G3621" s="400" t="s">
        <v>9567</v>
      </c>
    </row>
    <row r="3622" spans="7:7" x14ac:dyDescent="0.3">
      <c r="G3622" s="400" t="s">
        <v>9567</v>
      </c>
    </row>
    <row r="3623" spans="7:7" x14ac:dyDescent="0.3">
      <c r="G3623" s="400" t="s">
        <v>9567</v>
      </c>
    </row>
    <row r="3624" spans="7:7" x14ac:dyDescent="0.3">
      <c r="G3624" s="400" t="s">
        <v>9567</v>
      </c>
    </row>
    <row r="3625" spans="7:7" x14ac:dyDescent="0.3">
      <c r="G3625" s="400" t="s">
        <v>9567</v>
      </c>
    </row>
    <row r="3626" spans="7:7" x14ac:dyDescent="0.3">
      <c r="G3626" s="400" t="s">
        <v>9567</v>
      </c>
    </row>
    <row r="3627" spans="7:7" x14ac:dyDescent="0.3">
      <c r="G3627" s="400" t="s">
        <v>9567</v>
      </c>
    </row>
    <row r="3628" spans="7:7" x14ac:dyDescent="0.3">
      <c r="G3628" s="400" t="s">
        <v>9567</v>
      </c>
    </row>
    <row r="3629" spans="7:7" x14ac:dyDescent="0.3">
      <c r="G3629" s="400" t="s">
        <v>9567</v>
      </c>
    </row>
    <row r="3630" spans="7:7" x14ac:dyDescent="0.3">
      <c r="G3630" s="400" t="s">
        <v>9567</v>
      </c>
    </row>
    <row r="3631" spans="7:7" x14ac:dyDescent="0.3">
      <c r="G3631" s="400" t="s">
        <v>9567</v>
      </c>
    </row>
    <row r="3632" spans="7:7" x14ac:dyDescent="0.3">
      <c r="G3632" s="400" t="s">
        <v>9567</v>
      </c>
    </row>
    <row r="3633" spans="7:7" x14ac:dyDescent="0.3">
      <c r="G3633" s="400" t="s">
        <v>9567</v>
      </c>
    </row>
    <row r="3634" spans="7:7" x14ac:dyDescent="0.3">
      <c r="G3634" s="400" t="s">
        <v>9567</v>
      </c>
    </row>
    <row r="3635" spans="7:7" x14ac:dyDescent="0.3">
      <c r="G3635" s="400" t="s">
        <v>9567</v>
      </c>
    </row>
    <row r="3636" spans="7:7" x14ac:dyDescent="0.3">
      <c r="G3636" s="400" t="s">
        <v>9567</v>
      </c>
    </row>
    <row r="3637" spans="7:7" x14ac:dyDescent="0.3">
      <c r="G3637" s="400" t="s">
        <v>9567</v>
      </c>
    </row>
    <row r="3638" spans="7:7" x14ac:dyDescent="0.3">
      <c r="G3638" s="400" t="s">
        <v>9567</v>
      </c>
    </row>
    <row r="3639" spans="7:7" x14ac:dyDescent="0.3">
      <c r="G3639" s="400" t="s">
        <v>9567</v>
      </c>
    </row>
    <row r="3640" spans="7:7" x14ac:dyDescent="0.3">
      <c r="G3640" s="400" t="s">
        <v>9567</v>
      </c>
    </row>
    <row r="3641" spans="7:7" x14ac:dyDescent="0.3">
      <c r="G3641" s="400" t="s">
        <v>9567</v>
      </c>
    </row>
    <row r="3642" spans="7:7" x14ac:dyDescent="0.3">
      <c r="G3642" s="400" t="s">
        <v>9567</v>
      </c>
    </row>
    <row r="3643" spans="7:7" x14ac:dyDescent="0.3">
      <c r="G3643" s="400" t="s">
        <v>9567</v>
      </c>
    </row>
    <row r="3644" spans="7:7" x14ac:dyDescent="0.3">
      <c r="G3644" s="400" t="s">
        <v>9567</v>
      </c>
    </row>
    <row r="3645" spans="7:7" x14ac:dyDescent="0.3">
      <c r="G3645" s="400" t="s">
        <v>9567</v>
      </c>
    </row>
    <row r="3646" spans="7:7" x14ac:dyDescent="0.3">
      <c r="G3646" s="400" t="s">
        <v>9567</v>
      </c>
    </row>
    <row r="3647" spans="7:7" x14ac:dyDescent="0.3">
      <c r="G3647" s="400" t="s">
        <v>9567</v>
      </c>
    </row>
    <row r="3648" spans="7:7" x14ac:dyDescent="0.3">
      <c r="G3648" s="400" t="s">
        <v>9567</v>
      </c>
    </row>
    <row r="3649" spans="7:7" x14ac:dyDescent="0.3">
      <c r="G3649" s="400" t="s">
        <v>9567</v>
      </c>
    </row>
    <row r="3650" spans="7:7" x14ac:dyDescent="0.3">
      <c r="G3650" s="400" t="s">
        <v>9567</v>
      </c>
    </row>
    <row r="3651" spans="7:7" x14ac:dyDescent="0.3">
      <c r="G3651" s="400" t="s">
        <v>9567</v>
      </c>
    </row>
    <row r="3652" spans="7:7" x14ac:dyDescent="0.3">
      <c r="G3652" s="400" t="s">
        <v>9567</v>
      </c>
    </row>
    <row r="3653" spans="7:7" x14ac:dyDescent="0.3">
      <c r="G3653" s="400" t="s">
        <v>9567</v>
      </c>
    </row>
    <row r="3654" spans="7:7" x14ac:dyDescent="0.3">
      <c r="G3654" s="400" t="s">
        <v>9567</v>
      </c>
    </row>
    <row r="3655" spans="7:7" x14ac:dyDescent="0.3">
      <c r="G3655" s="400" t="s">
        <v>9567</v>
      </c>
    </row>
    <row r="3656" spans="7:7" x14ac:dyDescent="0.3">
      <c r="G3656" s="400" t="s">
        <v>9567</v>
      </c>
    </row>
    <row r="3657" spans="7:7" x14ac:dyDescent="0.3">
      <c r="G3657" s="400" t="s">
        <v>9567</v>
      </c>
    </row>
    <row r="3658" spans="7:7" x14ac:dyDescent="0.3">
      <c r="G3658" s="400" t="s">
        <v>9567</v>
      </c>
    </row>
    <row r="3659" spans="7:7" x14ac:dyDescent="0.3">
      <c r="G3659" s="400" t="s">
        <v>9567</v>
      </c>
    </row>
    <row r="3660" spans="7:7" x14ac:dyDescent="0.3">
      <c r="G3660" s="400" t="s">
        <v>9567</v>
      </c>
    </row>
    <row r="3661" spans="7:7" x14ac:dyDescent="0.3">
      <c r="G3661" s="400" t="s">
        <v>9567</v>
      </c>
    </row>
    <row r="3662" spans="7:7" x14ac:dyDescent="0.3">
      <c r="G3662" s="400" t="s">
        <v>9567</v>
      </c>
    </row>
    <row r="3663" spans="7:7" x14ac:dyDescent="0.3">
      <c r="G3663" s="400" t="s">
        <v>9567</v>
      </c>
    </row>
    <row r="3664" spans="7:7" x14ac:dyDescent="0.3">
      <c r="G3664" s="400" t="s">
        <v>9567</v>
      </c>
    </row>
    <row r="3665" spans="7:7" x14ac:dyDescent="0.3">
      <c r="G3665" s="400" t="s">
        <v>9567</v>
      </c>
    </row>
    <row r="3666" spans="7:7" x14ac:dyDescent="0.3">
      <c r="G3666" s="400" t="s">
        <v>9567</v>
      </c>
    </row>
    <row r="3667" spans="7:7" x14ac:dyDescent="0.3">
      <c r="G3667" s="400" t="s">
        <v>9567</v>
      </c>
    </row>
    <row r="3668" spans="7:7" x14ac:dyDescent="0.3">
      <c r="G3668" s="400" t="s">
        <v>9567</v>
      </c>
    </row>
    <row r="3669" spans="7:7" x14ac:dyDescent="0.3">
      <c r="G3669" s="400" t="s">
        <v>9567</v>
      </c>
    </row>
    <row r="3670" spans="7:7" x14ac:dyDescent="0.3">
      <c r="G3670" s="400" t="s">
        <v>9567</v>
      </c>
    </row>
    <row r="3671" spans="7:7" x14ac:dyDescent="0.3">
      <c r="G3671" s="400" t="s">
        <v>9567</v>
      </c>
    </row>
    <row r="3672" spans="7:7" x14ac:dyDescent="0.3">
      <c r="G3672" s="400" t="s">
        <v>9567</v>
      </c>
    </row>
    <row r="3673" spans="7:7" x14ac:dyDescent="0.3">
      <c r="G3673" s="400" t="s">
        <v>9567</v>
      </c>
    </row>
    <row r="3674" spans="7:7" x14ac:dyDescent="0.3">
      <c r="G3674" s="400" t="s">
        <v>9567</v>
      </c>
    </row>
    <row r="3675" spans="7:7" x14ac:dyDescent="0.3">
      <c r="G3675" s="400" t="s">
        <v>9567</v>
      </c>
    </row>
    <row r="3676" spans="7:7" x14ac:dyDescent="0.3">
      <c r="G3676" s="400" t="s">
        <v>9567</v>
      </c>
    </row>
    <row r="3677" spans="7:7" x14ac:dyDescent="0.3">
      <c r="G3677" s="400" t="s">
        <v>9567</v>
      </c>
    </row>
    <row r="3678" spans="7:7" x14ac:dyDescent="0.3">
      <c r="G3678" s="400" t="s">
        <v>9567</v>
      </c>
    </row>
    <row r="3679" spans="7:7" x14ac:dyDescent="0.3">
      <c r="G3679" s="400" t="s">
        <v>9567</v>
      </c>
    </row>
    <row r="3680" spans="7:7" x14ac:dyDescent="0.3">
      <c r="G3680" s="400" t="s">
        <v>9567</v>
      </c>
    </row>
    <row r="3681" spans="7:7" x14ac:dyDescent="0.3">
      <c r="G3681" s="400" t="s">
        <v>9567</v>
      </c>
    </row>
    <row r="3682" spans="7:7" x14ac:dyDescent="0.3">
      <c r="G3682" s="400" t="s">
        <v>9567</v>
      </c>
    </row>
    <row r="3683" spans="7:7" x14ac:dyDescent="0.3">
      <c r="G3683" s="400" t="s">
        <v>9567</v>
      </c>
    </row>
    <row r="3684" spans="7:7" x14ac:dyDescent="0.3">
      <c r="G3684" s="400" t="s">
        <v>9567</v>
      </c>
    </row>
    <row r="3685" spans="7:7" x14ac:dyDescent="0.3">
      <c r="G3685" s="400" t="s">
        <v>9567</v>
      </c>
    </row>
    <row r="3686" spans="7:7" x14ac:dyDescent="0.3">
      <c r="G3686" s="400" t="s">
        <v>9567</v>
      </c>
    </row>
    <row r="3687" spans="7:7" x14ac:dyDescent="0.3">
      <c r="G3687" s="400" t="s">
        <v>9567</v>
      </c>
    </row>
    <row r="3688" spans="7:7" x14ac:dyDescent="0.3">
      <c r="G3688" s="400" t="s">
        <v>9567</v>
      </c>
    </row>
    <row r="3689" spans="7:7" x14ac:dyDescent="0.3">
      <c r="G3689" s="400" t="s">
        <v>9567</v>
      </c>
    </row>
    <row r="3690" spans="7:7" x14ac:dyDescent="0.3">
      <c r="G3690" s="400" t="s">
        <v>9567</v>
      </c>
    </row>
    <row r="3691" spans="7:7" x14ac:dyDescent="0.3">
      <c r="G3691" s="400" t="s">
        <v>9567</v>
      </c>
    </row>
    <row r="3692" spans="7:7" x14ac:dyDescent="0.3">
      <c r="G3692" s="400" t="s">
        <v>9567</v>
      </c>
    </row>
    <row r="3693" spans="7:7" x14ac:dyDescent="0.3">
      <c r="G3693" s="400" t="s">
        <v>9567</v>
      </c>
    </row>
    <row r="3694" spans="7:7" x14ac:dyDescent="0.3">
      <c r="G3694" s="400" t="s">
        <v>9567</v>
      </c>
    </row>
    <row r="3695" spans="7:7" x14ac:dyDescent="0.3">
      <c r="G3695" s="400" t="s">
        <v>9567</v>
      </c>
    </row>
    <row r="3696" spans="7:7" x14ac:dyDescent="0.3">
      <c r="G3696" s="400" t="s">
        <v>9567</v>
      </c>
    </row>
    <row r="3697" spans="7:7" x14ac:dyDescent="0.3">
      <c r="G3697" s="400" t="s">
        <v>9567</v>
      </c>
    </row>
    <row r="3698" spans="7:7" x14ac:dyDescent="0.3">
      <c r="G3698" s="400" t="s">
        <v>9567</v>
      </c>
    </row>
    <row r="3699" spans="7:7" x14ac:dyDescent="0.3">
      <c r="G3699" s="400" t="s">
        <v>9567</v>
      </c>
    </row>
    <row r="3700" spans="7:7" x14ac:dyDescent="0.3">
      <c r="G3700" s="400" t="s">
        <v>9567</v>
      </c>
    </row>
    <row r="3701" spans="7:7" x14ac:dyDescent="0.3">
      <c r="G3701" s="400" t="s">
        <v>9567</v>
      </c>
    </row>
    <row r="3702" spans="7:7" x14ac:dyDescent="0.3">
      <c r="G3702" s="400" t="s">
        <v>9567</v>
      </c>
    </row>
    <row r="3703" spans="7:7" x14ac:dyDescent="0.3">
      <c r="G3703" s="400" t="s">
        <v>9567</v>
      </c>
    </row>
    <row r="3704" spans="7:7" x14ac:dyDescent="0.3">
      <c r="G3704" s="400" t="s">
        <v>9567</v>
      </c>
    </row>
    <row r="3705" spans="7:7" x14ac:dyDescent="0.3">
      <c r="G3705" s="400" t="s">
        <v>9567</v>
      </c>
    </row>
    <row r="3706" spans="7:7" x14ac:dyDescent="0.3">
      <c r="G3706" s="400" t="s">
        <v>9567</v>
      </c>
    </row>
    <row r="3707" spans="7:7" x14ac:dyDescent="0.3">
      <c r="G3707" s="400" t="s">
        <v>9567</v>
      </c>
    </row>
    <row r="3708" spans="7:7" x14ac:dyDescent="0.3">
      <c r="G3708" s="400" t="s">
        <v>9567</v>
      </c>
    </row>
    <row r="3709" spans="7:7" x14ac:dyDescent="0.3">
      <c r="G3709" s="400" t="s">
        <v>9567</v>
      </c>
    </row>
    <row r="3710" spans="7:7" x14ac:dyDescent="0.3">
      <c r="G3710" s="400" t="s">
        <v>9567</v>
      </c>
    </row>
    <row r="3711" spans="7:7" x14ac:dyDescent="0.3">
      <c r="G3711" s="400" t="s">
        <v>9567</v>
      </c>
    </row>
    <row r="3712" spans="7:7" x14ac:dyDescent="0.3">
      <c r="G3712" s="400" t="s">
        <v>9567</v>
      </c>
    </row>
    <row r="3713" spans="7:7" x14ac:dyDescent="0.3">
      <c r="G3713" s="400" t="s">
        <v>9567</v>
      </c>
    </row>
    <row r="3714" spans="7:7" x14ac:dyDescent="0.3">
      <c r="G3714" s="400" t="s">
        <v>9567</v>
      </c>
    </row>
    <row r="3715" spans="7:7" x14ac:dyDescent="0.3">
      <c r="G3715" s="400" t="s">
        <v>9567</v>
      </c>
    </row>
    <row r="3716" spans="7:7" x14ac:dyDescent="0.3">
      <c r="G3716" s="400" t="s">
        <v>9567</v>
      </c>
    </row>
    <row r="3717" spans="7:7" x14ac:dyDescent="0.3">
      <c r="G3717" s="400" t="s">
        <v>9567</v>
      </c>
    </row>
    <row r="3718" spans="7:7" x14ac:dyDescent="0.3">
      <c r="G3718" s="400" t="s">
        <v>9567</v>
      </c>
    </row>
    <row r="3719" spans="7:7" x14ac:dyDescent="0.3">
      <c r="G3719" s="400" t="s">
        <v>9567</v>
      </c>
    </row>
    <row r="3720" spans="7:7" x14ac:dyDescent="0.3">
      <c r="G3720" s="400" t="s">
        <v>9567</v>
      </c>
    </row>
    <row r="3721" spans="7:7" x14ac:dyDescent="0.3">
      <c r="G3721" s="400" t="s">
        <v>9567</v>
      </c>
    </row>
    <row r="3722" spans="7:7" x14ac:dyDescent="0.3">
      <c r="G3722" s="400" t="s">
        <v>9567</v>
      </c>
    </row>
    <row r="3723" spans="7:7" x14ac:dyDescent="0.3">
      <c r="G3723" s="400" t="s">
        <v>9567</v>
      </c>
    </row>
    <row r="3724" spans="7:7" x14ac:dyDescent="0.3">
      <c r="G3724" s="400" t="s">
        <v>9567</v>
      </c>
    </row>
    <row r="3725" spans="7:7" x14ac:dyDescent="0.3">
      <c r="G3725" s="400" t="s">
        <v>9567</v>
      </c>
    </row>
    <row r="3726" spans="7:7" x14ac:dyDescent="0.3">
      <c r="G3726" s="400" t="s">
        <v>9567</v>
      </c>
    </row>
    <row r="3727" spans="7:7" x14ac:dyDescent="0.3">
      <c r="G3727" s="400" t="s">
        <v>9567</v>
      </c>
    </row>
    <row r="3728" spans="7:7" x14ac:dyDescent="0.3">
      <c r="G3728" s="400" t="s">
        <v>9567</v>
      </c>
    </row>
    <row r="3729" spans="7:7" x14ac:dyDescent="0.3">
      <c r="G3729" s="400" t="s">
        <v>9567</v>
      </c>
    </row>
    <row r="3730" spans="7:7" x14ac:dyDescent="0.3">
      <c r="G3730" s="400" t="s">
        <v>9567</v>
      </c>
    </row>
    <row r="3731" spans="7:7" x14ac:dyDescent="0.3">
      <c r="G3731" s="400" t="s">
        <v>9567</v>
      </c>
    </row>
    <row r="3732" spans="7:7" x14ac:dyDescent="0.3">
      <c r="G3732" s="400" t="s">
        <v>9567</v>
      </c>
    </row>
    <row r="3733" spans="7:7" x14ac:dyDescent="0.3">
      <c r="G3733" s="400" t="s">
        <v>9567</v>
      </c>
    </row>
    <row r="3734" spans="7:7" x14ac:dyDescent="0.3">
      <c r="G3734" s="400" t="s">
        <v>9567</v>
      </c>
    </row>
    <row r="3735" spans="7:7" x14ac:dyDescent="0.3">
      <c r="G3735" s="400" t="s">
        <v>9567</v>
      </c>
    </row>
    <row r="3736" spans="7:7" x14ac:dyDescent="0.3">
      <c r="G3736" s="400" t="s">
        <v>9567</v>
      </c>
    </row>
    <row r="3737" spans="7:7" x14ac:dyDescent="0.3">
      <c r="G3737" s="400" t="s">
        <v>9567</v>
      </c>
    </row>
    <row r="3738" spans="7:7" x14ac:dyDescent="0.3">
      <c r="G3738" s="400" t="s">
        <v>9567</v>
      </c>
    </row>
    <row r="3739" spans="7:7" x14ac:dyDescent="0.3">
      <c r="G3739" s="400" t="s">
        <v>9567</v>
      </c>
    </row>
    <row r="3740" spans="7:7" x14ac:dyDescent="0.3">
      <c r="G3740" s="400" t="s">
        <v>9567</v>
      </c>
    </row>
    <row r="3741" spans="7:7" x14ac:dyDescent="0.3">
      <c r="G3741" s="400" t="s">
        <v>9567</v>
      </c>
    </row>
    <row r="3742" spans="7:7" x14ac:dyDescent="0.3">
      <c r="G3742" s="400" t="s">
        <v>9567</v>
      </c>
    </row>
    <row r="3743" spans="7:7" x14ac:dyDescent="0.3">
      <c r="G3743" s="400" t="s">
        <v>9567</v>
      </c>
    </row>
    <row r="3744" spans="7:7" x14ac:dyDescent="0.3">
      <c r="G3744" s="400" t="s">
        <v>9567</v>
      </c>
    </row>
    <row r="3745" spans="7:7" x14ac:dyDescent="0.3">
      <c r="G3745" s="400" t="s">
        <v>9567</v>
      </c>
    </row>
    <row r="3746" spans="7:7" x14ac:dyDescent="0.3">
      <c r="G3746" s="400" t="s">
        <v>9567</v>
      </c>
    </row>
    <row r="3747" spans="7:7" x14ac:dyDescent="0.3">
      <c r="G3747" s="400" t="s">
        <v>9567</v>
      </c>
    </row>
    <row r="3748" spans="7:7" x14ac:dyDescent="0.3">
      <c r="G3748" s="400" t="s">
        <v>9567</v>
      </c>
    </row>
    <row r="3749" spans="7:7" x14ac:dyDescent="0.3">
      <c r="G3749" s="400" t="s">
        <v>9567</v>
      </c>
    </row>
    <row r="3750" spans="7:7" x14ac:dyDescent="0.3">
      <c r="G3750" s="400" t="s">
        <v>9567</v>
      </c>
    </row>
    <row r="3751" spans="7:7" x14ac:dyDescent="0.3">
      <c r="G3751" s="400" t="s">
        <v>9567</v>
      </c>
    </row>
    <row r="3752" spans="7:7" x14ac:dyDescent="0.3">
      <c r="G3752" s="400" t="s">
        <v>9567</v>
      </c>
    </row>
    <row r="3753" spans="7:7" x14ac:dyDescent="0.3">
      <c r="G3753" s="400" t="s">
        <v>9567</v>
      </c>
    </row>
    <row r="3754" spans="7:7" x14ac:dyDescent="0.3">
      <c r="G3754" s="400" t="s">
        <v>9567</v>
      </c>
    </row>
    <row r="3755" spans="7:7" x14ac:dyDescent="0.3">
      <c r="G3755" s="400" t="s">
        <v>9567</v>
      </c>
    </row>
    <row r="3756" spans="7:7" x14ac:dyDescent="0.3">
      <c r="G3756" s="400" t="s">
        <v>9567</v>
      </c>
    </row>
    <row r="3757" spans="7:7" x14ac:dyDescent="0.3">
      <c r="G3757" s="400" t="s">
        <v>9567</v>
      </c>
    </row>
    <row r="3758" spans="7:7" x14ac:dyDescent="0.3">
      <c r="G3758" s="400" t="s">
        <v>9567</v>
      </c>
    </row>
    <row r="3759" spans="7:7" x14ac:dyDescent="0.3">
      <c r="G3759" s="400" t="s">
        <v>9567</v>
      </c>
    </row>
    <row r="3760" spans="7:7" x14ac:dyDescent="0.3">
      <c r="G3760" s="400" t="s">
        <v>9567</v>
      </c>
    </row>
    <row r="3761" spans="7:7" x14ac:dyDescent="0.3">
      <c r="G3761" s="400" t="s">
        <v>9567</v>
      </c>
    </row>
    <row r="3762" spans="7:7" x14ac:dyDescent="0.3">
      <c r="G3762" s="400" t="s">
        <v>9567</v>
      </c>
    </row>
    <row r="3763" spans="7:7" x14ac:dyDescent="0.3">
      <c r="G3763" s="400" t="s">
        <v>9567</v>
      </c>
    </row>
    <row r="3764" spans="7:7" x14ac:dyDescent="0.3">
      <c r="G3764" s="400" t="s">
        <v>9567</v>
      </c>
    </row>
    <row r="3765" spans="7:7" x14ac:dyDescent="0.3">
      <c r="G3765" s="400" t="s">
        <v>9567</v>
      </c>
    </row>
    <row r="3766" spans="7:7" x14ac:dyDescent="0.3">
      <c r="G3766" s="400" t="s">
        <v>9567</v>
      </c>
    </row>
    <row r="3767" spans="7:7" x14ac:dyDescent="0.3">
      <c r="G3767" s="400" t="s">
        <v>9567</v>
      </c>
    </row>
    <row r="3768" spans="7:7" x14ac:dyDescent="0.3">
      <c r="G3768" s="400" t="s">
        <v>9567</v>
      </c>
    </row>
    <row r="3769" spans="7:7" x14ac:dyDescent="0.3">
      <c r="G3769" s="400" t="s">
        <v>9567</v>
      </c>
    </row>
    <row r="3770" spans="7:7" x14ac:dyDescent="0.3">
      <c r="G3770" s="400" t="s">
        <v>9567</v>
      </c>
    </row>
    <row r="3771" spans="7:7" x14ac:dyDescent="0.3">
      <c r="G3771" s="400" t="s">
        <v>9567</v>
      </c>
    </row>
    <row r="3772" spans="7:7" x14ac:dyDescent="0.3">
      <c r="G3772" s="400" t="s">
        <v>9567</v>
      </c>
    </row>
    <row r="3773" spans="7:7" x14ac:dyDescent="0.3">
      <c r="G3773" s="400" t="s">
        <v>9567</v>
      </c>
    </row>
    <row r="3774" spans="7:7" x14ac:dyDescent="0.3">
      <c r="G3774" s="400" t="s">
        <v>9567</v>
      </c>
    </row>
    <row r="3775" spans="7:7" x14ac:dyDescent="0.3">
      <c r="G3775" s="400" t="s">
        <v>9567</v>
      </c>
    </row>
    <row r="3776" spans="7:7" x14ac:dyDescent="0.3">
      <c r="G3776" s="400" t="s">
        <v>9567</v>
      </c>
    </row>
    <row r="3777" spans="7:7" x14ac:dyDescent="0.3">
      <c r="G3777" s="400" t="s">
        <v>9567</v>
      </c>
    </row>
    <row r="3778" spans="7:7" x14ac:dyDescent="0.3">
      <c r="G3778" s="400" t="s">
        <v>9567</v>
      </c>
    </row>
    <row r="3779" spans="7:7" x14ac:dyDescent="0.3">
      <c r="G3779" s="400" t="s">
        <v>9567</v>
      </c>
    </row>
    <row r="3780" spans="7:7" x14ac:dyDescent="0.3">
      <c r="G3780" s="400" t="s">
        <v>9567</v>
      </c>
    </row>
    <row r="3781" spans="7:7" x14ac:dyDescent="0.3">
      <c r="G3781" s="400" t="s">
        <v>9567</v>
      </c>
    </row>
    <row r="3782" spans="7:7" x14ac:dyDescent="0.3">
      <c r="G3782" s="400" t="s">
        <v>9567</v>
      </c>
    </row>
    <row r="3783" spans="7:7" x14ac:dyDescent="0.3">
      <c r="G3783" s="400" t="s">
        <v>9567</v>
      </c>
    </row>
    <row r="3784" spans="7:7" x14ac:dyDescent="0.3">
      <c r="G3784" s="400" t="s">
        <v>9567</v>
      </c>
    </row>
    <row r="3785" spans="7:7" x14ac:dyDescent="0.3">
      <c r="G3785" s="400" t="s">
        <v>9567</v>
      </c>
    </row>
    <row r="3786" spans="7:7" x14ac:dyDescent="0.3">
      <c r="G3786" s="400" t="s">
        <v>9567</v>
      </c>
    </row>
    <row r="3787" spans="7:7" x14ac:dyDescent="0.3">
      <c r="G3787" s="400" t="s">
        <v>9567</v>
      </c>
    </row>
    <row r="3788" spans="7:7" x14ac:dyDescent="0.3">
      <c r="G3788" s="400" t="s">
        <v>9567</v>
      </c>
    </row>
    <row r="3789" spans="7:7" x14ac:dyDescent="0.3">
      <c r="G3789" s="400" t="s">
        <v>9567</v>
      </c>
    </row>
    <row r="3790" spans="7:7" x14ac:dyDescent="0.3">
      <c r="G3790" s="400" t="s">
        <v>9567</v>
      </c>
    </row>
    <row r="3791" spans="7:7" x14ac:dyDescent="0.3">
      <c r="G3791" s="400" t="s">
        <v>9567</v>
      </c>
    </row>
    <row r="3792" spans="7:7" x14ac:dyDescent="0.3">
      <c r="G3792" s="400" t="s">
        <v>9567</v>
      </c>
    </row>
    <row r="3793" spans="7:7" x14ac:dyDescent="0.3">
      <c r="G3793" s="400" t="s">
        <v>9567</v>
      </c>
    </row>
    <row r="3794" spans="7:7" x14ac:dyDescent="0.3">
      <c r="G3794" s="400" t="s">
        <v>9567</v>
      </c>
    </row>
    <row r="3795" spans="7:7" x14ac:dyDescent="0.3">
      <c r="G3795" s="400" t="s">
        <v>9567</v>
      </c>
    </row>
    <row r="3796" spans="7:7" x14ac:dyDescent="0.3">
      <c r="G3796" s="400" t="s">
        <v>9567</v>
      </c>
    </row>
    <row r="3797" spans="7:7" x14ac:dyDescent="0.3">
      <c r="G3797" s="400" t="s">
        <v>9567</v>
      </c>
    </row>
    <row r="3798" spans="7:7" x14ac:dyDescent="0.3">
      <c r="G3798" s="400" t="s">
        <v>9567</v>
      </c>
    </row>
    <row r="3799" spans="7:7" x14ac:dyDescent="0.3">
      <c r="G3799" s="400" t="s">
        <v>9567</v>
      </c>
    </row>
    <row r="3800" spans="7:7" x14ac:dyDescent="0.3">
      <c r="G3800" s="400" t="s">
        <v>9567</v>
      </c>
    </row>
    <row r="3801" spans="7:7" x14ac:dyDescent="0.3">
      <c r="G3801" s="400" t="s">
        <v>9567</v>
      </c>
    </row>
    <row r="3802" spans="7:7" x14ac:dyDescent="0.3">
      <c r="G3802" s="400" t="s">
        <v>9567</v>
      </c>
    </row>
    <row r="3803" spans="7:7" x14ac:dyDescent="0.3">
      <c r="G3803" s="400" t="s">
        <v>9567</v>
      </c>
    </row>
    <row r="3804" spans="7:7" x14ac:dyDescent="0.3">
      <c r="G3804" s="400" t="s">
        <v>9567</v>
      </c>
    </row>
    <row r="3805" spans="7:7" x14ac:dyDescent="0.3">
      <c r="G3805" s="400" t="s">
        <v>9567</v>
      </c>
    </row>
    <row r="3806" spans="7:7" x14ac:dyDescent="0.3">
      <c r="G3806" s="400" t="s">
        <v>9567</v>
      </c>
    </row>
    <row r="3807" spans="7:7" x14ac:dyDescent="0.3">
      <c r="G3807" s="400" t="s">
        <v>9567</v>
      </c>
    </row>
    <row r="3808" spans="7:7" x14ac:dyDescent="0.3">
      <c r="G3808" s="400" t="s">
        <v>9567</v>
      </c>
    </row>
    <row r="3809" spans="7:7" x14ac:dyDescent="0.3">
      <c r="G3809" s="400" t="s">
        <v>9567</v>
      </c>
    </row>
    <row r="3810" spans="7:7" x14ac:dyDescent="0.3">
      <c r="G3810" s="400" t="s">
        <v>9567</v>
      </c>
    </row>
    <row r="3811" spans="7:7" x14ac:dyDescent="0.3">
      <c r="G3811" s="400" t="s">
        <v>9567</v>
      </c>
    </row>
    <row r="3812" spans="7:7" x14ac:dyDescent="0.3">
      <c r="G3812" s="400" t="s">
        <v>9567</v>
      </c>
    </row>
    <row r="3813" spans="7:7" x14ac:dyDescent="0.3">
      <c r="G3813" s="400" t="s">
        <v>9567</v>
      </c>
    </row>
    <row r="3814" spans="7:7" x14ac:dyDescent="0.3">
      <c r="G3814" s="400" t="s">
        <v>9567</v>
      </c>
    </row>
    <row r="3815" spans="7:7" x14ac:dyDescent="0.3">
      <c r="G3815" s="400" t="s">
        <v>9567</v>
      </c>
    </row>
    <row r="3816" spans="7:7" x14ac:dyDescent="0.3">
      <c r="G3816" s="400" t="s">
        <v>9567</v>
      </c>
    </row>
    <row r="3817" spans="7:7" x14ac:dyDescent="0.3">
      <c r="G3817" s="400" t="s">
        <v>9567</v>
      </c>
    </row>
    <row r="3818" spans="7:7" x14ac:dyDescent="0.3">
      <c r="G3818" s="400" t="s">
        <v>9567</v>
      </c>
    </row>
    <row r="3819" spans="7:7" x14ac:dyDescent="0.3">
      <c r="G3819" s="400" t="s">
        <v>9567</v>
      </c>
    </row>
    <row r="3820" spans="7:7" x14ac:dyDescent="0.3">
      <c r="G3820" s="400" t="s">
        <v>9567</v>
      </c>
    </row>
    <row r="3821" spans="7:7" x14ac:dyDescent="0.3">
      <c r="G3821" s="400" t="s">
        <v>9567</v>
      </c>
    </row>
    <row r="3822" spans="7:7" x14ac:dyDescent="0.3">
      <c r="G3822" s="400" t="s">
        <v>9567</v>
      </c>
    </row>
    <row r="3823" spans="7:7" x14ac:dyDescent="0.3">
      <c r="G3823" s="400" t="s">
        <v>9567</v>
      </c>
    </row>
    <row r="3824" spans="7:7" x14ac:dyDescent="0.3">
      <c r="G3824" s="400" t="s">
        <v>9567</v>
      </c>
    </row>
    <row r="3825" spans="7:7" x14ac:dyDescent="0.3">
      <c r="G3825" s="400" t="s">
        <v>9567</v>
      </c>
    </row>
    <row r="3826" spans="7:7" x14ac:dyDescent="0.3">
      <c r="G3826" s="400" t="s">
        <v>9567</v>
      </c>
    </row>
    <row r="3827" spans="7:7" x14ac:dyDescent="0.3">
      <c r="G3827" s="400" t="s">
        <v>9567</v>
      </c>
    </row>
    <row r="3828" spans="7:7" x14ac:dyDescent="0.3">
      <c r="G3828" s="400" t="s">
        <v>9567</v>
      </c>
    </row>
    <row r="3829" spans="7:7" x14ac:dyDescent="0.3">
      <c r="G3829" s="400" t="s">
        <v>9567</v>
      </c>
    </row>
    <row r="3830" spans="7:7" x14ac:dyDescent="0.3">
      <c r="G3830" s="400" t="s">
        <v>9567</v>
      </c>
    </row>
    <row r="3831" spans="7:7" x14ac:dyDescent="0.3">
      <c r="G3831" s="400" t="s">
        <v>9567</v>
      </c>
    </row>
    <row r="3832" spans="7:7" x14ac:dyDescent="0.3">
      <c r="G3832" s="400" t="s">
        <v>9567</v>
      </c>
    </row>
    <row r="3833" spans="7:7" x14ac:dyDescent="0.3">
      <c r="G3833" s="400" t="s">
        <v>9567</v>
      </c>
    </row>
    <row r="3834" spans="7:7" x14ac:dyDescent="0.3">
      <c r="G3834" s="400" t="s">
        <v>9567</v>
      </c>
    </row>
    <row r="3835" spans="7:7" x14ac:dyDescent="0.3">
      <c r="G3835" s="400" t="s">
        <v>9567</v>
      </c>
    </row>
    <row r="3836" spans="7:7" x14ac:dyDescent="0.3">
      <c r="G3836" s="400" t="s">
        <v>9567</v>
      </c>
    </row>
    <row r="3837" spans="7:7" x14ac:dyDescent="0.3">
      <c r="G3837" s="400" t="s">
        <v>9567</v>
      </c>
    </row>
    <row r="3838" spans="7:7" x14ac:dyDescent="0.3">
      <c r="G3838" s="400" t="s">
        <v>9567</v>
      </c>
    </row>
    <row r="3839" spans="7:7" x14ac:dyDescent="0.3">
      <c r="G3839" s="400" t="s">
        <v>9567</v>
      </c>
    </row>
    <row r="3840" spans="7:7" x14ac:dyDescent="0.3">
      <c r="G3840" s="400" t="s">
        <v>9567</v>
      </c>
    </row>
    <row r="3841" spans="7:7" x14ac:dyDescent="0.3">
      <c r="G3841" s="400" t="s">
        <v>9567</v>
      </c>
    </row>
    <row r="3842" spans="7:7" x14ac:dyDescent="0.3">
      <c r="G3842" s="400" t="s">
        <v>9567</v>
      </c>
    </row>
    <row r="3843" spans="7:7" x14ac:dyDescent="0.3">
      <c r="G3843" s="400" t="s">
        <v>9567</v>
      </c>
    </row>
    <row r="3844" spans="7:7" x14ac:dyDescent="0.3">
      <c r="G3844" s="400" t="s">
        <v>9567</v>
      </c>
    </row>
    <row r="3845" spans="7:7" x14ac:dyDescent="0.3">
      <c r="G3845" s="400" t="s">
        <v>9567</v>
      </c>
    </row>
    <row r="3846" spans="7:7" x14ac:dyDescent="0.3">
      <c r="G3846" s="400" t="s">
        <v>9567</v>
      </c>
    </row>
    <row r="3847" spans="7:7" x14ac:dyDescent="0.3">
      <c r="G3847" s="400" t="s">
        <v>9567</v>
      </c>
    </row>
    <row r="3848" spans="7:7" x14ac:dyDescent="0.3">
      <c r="G3848" s="400" t="s">
        <v>9567</v>
      </c>
    </row>
    <row r="3849" spans="7:7" x14ac:dyDescent="0.3">
      <c r="G3849" s="400" t="s">
        <v>9567</v>
      </c>
    </row>
    <row r="3850" spans="7:7" x14ac:dyDescent="0.3">
      <c r="G3850" s="400" t="s">
        <v>9567</v>
      </c>
    </row>
    <row r="3851" spans="7:7" x14ac:dyDescent="0.3">
      <c r="G3851" s="400" t="s">
        <v>9567</v>
      </c>
    </row>
    <row r="3852" spans="7:7" x14ac:dyDescent="0.3">
      <c r="G3852" s="400" t="s">
        <v>9567</v>
      </c>
    </row>
    <row r="3853" spans="7:7" x14ac:dyDescent="0.3">
      <c r="G3853" s="400" t="s">
        <v>9567</v>
      </c>
    </row>
    <row r="3854" spans="7:7" x14ac:dyDescent="0.3">
      <c r="G3854" s="400" t="s">
        <v>9567</v>
      </c>
    </row>
    <row r="3855" spans="7:7" x14ac:dyDescent="0.3">
      <c r="G3855" s="400" t="s">
        <v>9567</v>
      </c>
    </row>
    <row r="3856" spans="7:7" x14ac:dyDescent="0.3">
      <c r="G3856" s="400" t="s">
        <v>9567</v>
      </c>
    </row>
    <row r="3857" spans="7:7" x14ac:dyDescent="0.3">
      <c r="G3857" s="400" t="s">
        <v>9567</v>
      </c>
    </row>
    <row r="3858" spans="7:7" x14ac:dyDescent="0.3">
      <c r="G3858" s="400" t="s">
        <v>9567</v>
      </c>
    </row>
    <row r="3859" spans="7:7" x14ac:dyDescent="0.3">
      <c r="G3859" s="400" t="s">
        <v>9567</v>
      </c>
    </row>
    <row r="3860" spans="7:7" x14ac:dyDescent="0.3">
      <c r="G3860" s="400" t="s">
        <v>9567</v>
      </c>
    </row>
    <row r="3861" spans="7:7" x14ac:dyDescent="0.3">
      <c r="G3861" s="400" t="s">
        <v>9567</v>
      </c>
    </row>
    <row r="3862" spans="7:7" x14ac:dyDescent="0.3">
      <c r="G3862" s="400" t="s">
        <v>9567</v>
      </c>
    </row>
    <row r="3863" spans="7:7" x14ac:dyDescent="0.3">
      <c r="G3863" s="400" t="s">
        <v>9567</v>
      </c>
    </row>
    <row r="3864" spans="7:7" x14ac:dyDescent="0.3">
      <c r="G3864" s="400" t="s">
        <v>9567</v>
      </c>
    </row>
    <row r="3865" spans="7:7" x14ac:dyDescent="0.3">
      <c r="G3865" s="400" t="s">
        <v>9567</v>
      </c>
    </row>
    <row r="3866" spans="7:7" x14ac:dyDescent="0.3">
      <c r="G3866" s="400" t="s">
        <v>9567</v>
      </c>
    </row>
    <row r="3867" spans="7:7" x14ac:dyDescent="0.3">
      <c r="G3867" s="400" t="s">
        <v>9567</v>
      </c>
    </row>
    <row r="3868" spans="7:7" x14ac:dyDescent="0.3">
      <c r="G3868" s="400" t="s">
        <v>9567</v>
      </c>
    </row>
    <row r="3869" spans="7:7" x14ac:dyDescent="0.3">
      <c r="G3869" s="400" t="s">
        <v>9567</v>
      </c>
    </row>
    <row r="3870" spans="7:7" x14ac:dyDescent="0.3">
      <c r="G3870" s="400" t="s">
        <v>9567</v>
      </c>
    </row>
    <row r="3871" spans="7:7" x14ac:dyDescent="0.3">
      <c r="G3871" s="400" t="s">
        <v>9567</v>
      </c>
    </row>
    <row r="3872" spans="7:7" x14ac:dyDescent="0.3">
      <c r="G3872" s="400" t="s">
        <v>9567</v>
      </c>
    </row>
    <row r="3873" spans="7:7" x14ac:dyDescent="0.3">
      <c r="G3873" s="400" t="s">
        <v>9567</v>
      </c>
    </row>
    <row r="3874" spans="7:7" x14ac:dyDescent="0.3">
      <c r="G3874" s="400" t="s">
        <v>9567</v>
      </c>
    </row>
    <row r="3875" spans="7:7" x14ac:dyDescent="0.3">
      <c r="G3875" s="400" t="s">
        <v>9567</v>
      </c>
    </row>
    <row r="3876" spans="7:7" x14ac:dyDescent="0.3">
      <c r="G3876" s="400" t="s">
        <v>9567</v>
      </c>
    </row>
    <row r="3877" spans="7:7" x14ac:dyDescent="0.3">
      <c r="G3877" s="400" t="s">
        <v>9567</v>
      </c>
    </row>
    <row r="3878" spans="7:7" x14ac:dyDescent="0.3">
      <c r="G3878" s="400" t="s">
        <v>9567</v>
      </c>
    </row>
    <row r="3879" spans="7:7" x14ac:dyDescent="0.3">
      <c r="G3879" s="400" t="s">
        <v>9567</v>
      </c>
    </row>
    <row r="3880" spans="7:7" x14ac:dyDescent="0.3">
      <c r="G3880" s="400" t="s">
        <v>9567</v>
      </c>
    </row>
    <row r="3881" spans="7:7" x14ac:dyDescent="0.3">
      <c r="G3881" s="400" t="s">
        <v>9567</v>
      </c>
    </row>
    <row r="3882" spans="7:7" x14ac:dyDescent="0.3">
      <c r="G3882" s="400" t="s">
        <v>9567</v>
      </c>
    </row>
    <row r="3883" spans="7:7" x14ac:dyDescent="0.3">
      <c r="G3883" s="400" t="s">
        <v>9567</v>
      </c>
    </row>
    <row r="3884" spans="7:7" x14ac:dyDescent="0.3">
      <c r="G3884" s="400" t="s">
        <v>9567</v>
      </c>
    </row>
    <row r="3885" spans="7:7" x14ac:dyDescent="0.3">
      <c r="G3885" s="400" t="s">
        <v>9567</v>
      </c>
    </row>
    <row r="3886" spans="7:7" x14ac:dyDescent="0.3">
      <c r="G3886" s="400" t="s">
        <v>9567</v>
      </c>
    </row>
    <row r="3887" spans="7:7" x14ac:dyDescent="0.3">
      <c r="G3887" s="400" t="s">
        <v>9567</v>
      </c>
    </row>
    <row r="3888" spans="7:7" x14ac:dyDescent="0.3">
      <c r="G3888" s="400" t="s">
        <v>9567</v>
      </c>
    </row>
    <row r="3889" spans="7:7" x14ac:dyDescent="0.3">
      <c r="G3889" s="400" t="s">
        <v>9567</v>
      </c>
    </row>
    <row r="3890" spans="7:7" x14ac:dyDescent="0.3">
      <c r="G3890" s="400" t="s">
        <v>9567</v>
      </c>
    </row>
    <row r="3891" spans="7:7" x14ac:dyDescent="0.3">
      <c r="G3891" s="400" t="s">
        <v>9567</v>
      </c>
    </row>
    <row r="3892" spans="7:7" x14ac:dyDescent="0.3">
      <c r="G3892" s="400" t="s">
        <v>9567</v>
      </c>
    </row>
    <row r="3893" spans="7:7" x14ac:dyDescent="0.3">
      <c r="G3893" s="400" t="s">
        <v>9567</v>
      </c>
    </row>
    <row r="3894" spans="7:7" x14ac:dyDescent="0.3">
      <c r="G3894" s="400" t="s">
        <v>9567</v>
      </c>
    </row>
    <row r="3895" spans="7:7" x14ac:dyDescent="0.3">
      <c r="G3895" s="400" t="s">
        <v>9567</v>
      </c>
    </row>
    <row r="3896" spans="7:7" x14ac:dyDescent="0.3">
      <c r="G3896" s="400" t="s">
        <v>9567</v>
      </c>
    </row>
    <row r="3897" spans="7:7" x14ac:dyDescent="0.3">
      <c r="G3897" s="400" t="s">
        <v>9567</v>
      </c>
    </row>
    <row r="3898" spans="7:7" x14ac:dyDescent="0.3">
      <c r="G3898" s="400" t="s">
        <v>9567</v>
      </c>
    </row>
    <row r="3899" spans="7:7" x14ac:dyDescent="0.3">
      <c r="G3899" s="400" t="s">
        <v>9567</v>
      </c>
    </row>
    <row r="3900" spans="7:7" x14ac:dyDescent="0.3">
      <c r="G3900" s="400" t="s">
        <v>9567</v>
      </c>
    </row>
    <row r="3901" spans="7:7" x14ac:dyDescent="0.3">
      <c r="G3901" s="400" t="s">
        <v>9567</v>
      </c>
    </row>
    <row r="3902" spans="7:7" x14ac:dyDescent="0.3">
      <c r="G3902" s="400" t="s">
        <v>9567</v>
      </c>
    </row>
    <row r="3903" spans="7:7" x14ac:dyDescent="0.3">
      <c r="G3903" s="400" t="s">
        <v>9567</v>
      </c>
    </row>
    <row r="3904" spans="7:7" x14ac:dyDescent="0.3">
      <c r="G3904" s="400" t="s">
        <v>9567</v>
      </c>
    </row>
    <row r="3905" spans="7:7" x14ac:dyDescent="0.3">
      <c r="G3905" s="400" t="s">
        <v>9567</v>
      </c>
    </row>
    <row r="3906" spans="7:7" x14ac:dyDescent="0.3">
      <c r="G3906" s="400" t="s">
        <v>9567</v>
      </c>
    </row>
    <row r="3907" spans="7:7" x14ac:dyDescent="0.3">
      <c r="G3907" s="400" t="s">
        <v>9567</v>
      </c>
    </row>
    <row r="3908" spans="7:7" x14ac:dyDescent="0.3">
      <c r="G3908" s="400" t="s">
        <v>9567</v>
      </c>
    </row>
    <row r="3909" spans="7:7" x14ac:dyDescent="0.3">
      <c r="G3909" s="400" t="s">
        <v>9567</v>
      </c>
    </row>
    <row r="3910" spans="7:7" x14ac:dyDescent="0.3">
      <c r="G3910" s="400" t="s">
        <v>9567</v>
      </c>
    </row>
    <row r="3911" spans="7:7" x14ac:dyDescent="0.3">
      <c r="G3911" s="400" t="s">
        <v>9567</v>
      </c>
    </row>
    <row r="3912" spans="7:7" x14ac:dyDescent="0.3">
      <c r="G3912" s="400" t="s">
        <v>9567</v>
      </c>
    </row>
    <row r="3913" spans="7:7" x14ac:dyDescent="0.3">
      <c r="G3913" s="400" t="s">
        <v>9567</v>
      </c>
    </row>
    <row r="3914" spans="7:7" x14ac:dyDescent="0.3">
      <c r="G3914" s="400" t="s">
        <v>9567</v>
      </c>
    </row>
    <row r="3915" spans="7:7" x14ac:dyDescent="0.3">
      <c r="G3915" s="400" t="s">
        <v>9567</v>
      </c>
    </row>
    <row r="3916" spans="7:7" x14ac:dyDescent="0.3">
      <c r="G3916" s="400" t="s">
        <v>9567</v>
      </c>
    </row>
    <row r="3917" spans="7:7" x14ac:dyDescent="0.3">
      <c r="G3917" s="400" t="s">
        <v>9567</v>
      </c>
    </row>
    <row r="3918" spans="7:7" x14ac:dyDescent="0.3">
      <c r="G3918" s="400" t="s">
        <v>9567</v>
      </c>
    </row>
    <row r="3919" spans="7:7" x14ac:dyDescent="0.3">
      <c r="G3919" s="400" t="s">
        <v>9567</v>
      </c>
    </row>
    <row r="3920" spans="7:7" x14ac:dyDescent="0.3">
      <c r="G3920" s="400" t="s">
        <v>9567</v>
      </c>
    </row>
    <row r="3921" spans="7:7" x14ac:dyDescent="0.3">
      <c r="G3921" s="400" t="s">
        <v>9567</v>
      </c>
    </row>
    <row r="3922" spans="7:7" x14ac:dyDescent="0.3">
      <c r="G3922" s="400" t="s">
        <v>9567</v>
      </c>
    </row>
    <row r="3923" spans="7:7" x14ac:dyDescent="0.3">
      <c r="G3923" s="400" t="s">
        <v>9567</v>
      </c>
    </row>
    <row r="3924" spans="7:7" x14ac:dyDescent="0.3">
      <c r="G3924" s="400" t="s">
        <v>9567</v>
      </c>
    </row>
    <row r="3925" spans="7:7" x14ac:dyDescent="0.3">
      <c r="G3925" s="400" t="s">
        <v>9567</v>
      </c>
    </row>
    <row r="3926" spans="7:7" x14ac:dyDescent="0.3">
      <c r="G3926" s="400" t="s">
        <v>9567</v>
      </c>
    </row>
    <row r="3927" spans="7:7" x14ac:dyDescent="0.3">
      <c r="G3927" s="400" t="s">
        <v>9567</v>
      </c>
    </row>
    <row r="3928" spans="7:7" x14ac:dyDescent="0.3">
      <c r="G3928" s="400" t="s">
        <v>9567</v>
      </c>
    </row>
    <row r="3929" spans="7:7" x14ac:dyDescent="0.3">
      <c r="G3929" s="400" t="s">
        <v>9567</v>
      </c>
    </row>
    <row r="3930" spans="7:7" x14ac:dyDescent="0.3">
      <c r="G3930" s="400" t="s">
        <v>9567</v>
      </c>
    </row>
    <row r="3931" spans="7:7" x14ac:dyDescent="0.3">
      <c r="G3931" s="400" t="s">
        <v>9567</v>
      </c>
    </row>
    <row r="3932" spans="7:7" x14ac:dyDescent="0.3">
      <c r="G3932" s="400" t="s">
        <v>9567</v>
      </c>
    </row>
    <row r="3933" spans="7:7" x14ac:dyDescent="0.3">
      <c r="G3933" s="400" t="s">
        <v>9567</v>
      </c>
    </row>
    <row r="3934" spans="7:7" x14ac:dyDescent="0.3">
      <c r="G3934" s="400" t="s">
        <v>9567</v>
      </c>
    </row>
    <row r="3935" spans="7:7" x14ac:dyDescent="0.3">
      <c r="G3935" s="400" t="s">
        <v>9567</v>
      </c>
    </row>
    <row r="3936" spans="7:7" x14ac:dyDescent="0.3">
      <c r="G3936" s="400" t="s">
        <v>9567</v>
      </c>
    </row>
    <row r="3937" spans="7:7" x14ac:dyDescent="0.3">
      <c r="G3937" s="400" t="s">
        <v>9567</v>
      </c>
    </row>
    <row r="3938" spans="7:7" x14ac:dyDescent="0.3">
      <c r="G3938" s="400" t="s">
        <v>9567</v>
      </c>
    </row>
    <row r="3939" spans="7:7" x14ac:dyDescent="0.3">
      <c r="G3939" s="400" t="s">
        <v>9567</v>
      </c>
    </row>
    <row r="3940" spans="7:7" x14ac:dyDescent="0.3">
      <c r="G3940" s="400" t="s">
        <v>9567</v>
      </c>
    </row>
    <row r="3941" spans="7:7" x14ac:dyDescent="0.3">
      <c r="G3941" s="400" t="s">
        <v>9567</v>
      </c>
    </row>
    <row r="3942" spans="7:7" x14ac:dyDescent="0.3">
      <c r="G3942" s="400" t="s">
        <v>9567</v>
      </c>
    </row>
    <row r="3943" spans="7:7" x14ac:dyDescent="0.3">
      <c r="G3943" s="400" t="s">
        <v>9567</v>
      </c>
    </row>
    <row r="3944" spans="7:7" x14ac:dyDescent="0.3">
      <c r="G3944" s="400" t="s">
        <v>9567</v>
      </c>
    </row>
    <row r="3945" spans="7:7" x14ac:dyDescent="0.3">
      <c r="G3945" s="400" t="s">
        <v>9567</v>
      </c>
    </row>
    <row r="3946" spans="7:7" x14ac:dyDescent="0.3">
      <c r="G3946" s="400" t="s">
        <v>9567</v>
      </c>
    </row>
    <row r="3947" spans="7:7" x14ac:dyDescent="0.3">
      <c r="G3947" s="400" t="s">
        <v>9567</v>
      </c>
    </row>
    <row r="3948" spans="7:7" x14ac:dyDescent="0.3">
      <c r="G3948" s="400" t="s">
        <v>9567</v>
      </c>
    </row>
    <row r="3949" spans="7:7" x14ac:dyDescent="0.3">
      <c r="G3949" s="400" t="s">
        <v>9567</v>
      </c>
    </row>
    <row r="3950" spans="7:7" x14ac:dyDescent="0.3">
      <c r="G3950" s="400" t="s">
        <v>9567</v>
      </c>
    </row>
    <row r="3951" spans="7:7" x14ac:dyDescent="0.3">
      <c r="G3951" s="400" t="s">
        <v>9567</v>
      </c>
    </row>
    <row r="3952" spans="7:7" x14ac:dyDescent="0.3">
      <c r="G3952" s="400" t="s">
        <v>9567</v>
      </c>
    </row>
    <row r="3953" spans="7:7" x14ac:dyDescent="0.3">
      <c r="G3953" s="400" t="s">
        <v>9567</v>
      </c>
    </row>
    <row r="3954" spans="7:7" x14ac:dyDescent="0.3">
      <c r="G3954" s="400" t="s">
        <v>9567</v>
      </c>
    </row>
    <row r="3955" spans="7:7" x14ac:dyDescent="0.3">
      <c r="G3955" s="400" t="s">
        <v>9567</v>
      </c>
    </row>
    <row r="3956" spans="7:7" x14ac:dyDescent="0.3">
      <c r="G3956" s="400" t="s">
        <v>9567</v>
      </c>
    </row>
    <row r="3957" spans="7:7" x14ac:dyDescent="0.3">
      <c r="G3957" s="400" t="s">
        <v>9567</v>
      </c>
    </row>
    <row r="3958" spans="7:7" x14ac:dyDescent="0.3">
      <c r="G3958" s="400" t="s">
        <v>9567</v>
      </c>
    </row>
    <row r="3959" spans="7:7" x14ac:dyDescent="0.3">
      <c r="G3959" s="400" t="s">
        <v>9567</v>
      </c>
    </row>
    <row r="3960" spans="7:7" x14ac:dyDescent="0.3">
      <c r="G3960" s="400" t="s">
        <v>9567</v>
      </c>
    </row>
    <row r="3961" spans="7:7" x14ac:dyDescent="0.3">
      <c r="G3961" s="400" t="s">
        <v>9567</v>
      </c>
    </row>
    <row r="3962" spans="7:7" x14ac:dyDescent="0.3">
      <c r="G3962" s="400" t="s">
        <v>9567</v>
      </c>
    </row>
    <row r="3963" spans="7:7" x14ac:dyDescent="0.3">
      <c r="G3963" s="400" t="s">
        <v>9567</v>
      </c>
    </row>
    <row r="3964" spans="7:7" x14ac:dyDescent="0.3">
      <c r="G3964" s="400" t="s">
        <v>9567</v>
      </c>
    </row>
    <row r="3965" spans="7:7" x14ac:dyDescent="0.3">
      <c r="G3965" s="400" t="s">
        <v>9567</v>
      </c>
    </row>
    <row r="3966" spans="7:7" x14ac:dyDescent="0.3">
      <c r="G3966" s="400" t="s">
        <v>9567</v>
      </c>
    </row>
    <row r="3967" spans="7:7" x14ac:dyDescent="0.3">
      <c r="G3967" s="400" t="s">
        <v>9567</v>
      </c>
    </row>
    <row r="3968" spans="7:7" x14ac:dyDescent="0.3">
      <c r="G3968" s="400" t="s">
        <v>9567</v>
      </c>
    </row>
    <row r="3969" spans="7:7" x14ac:dyDescent="0.3">
      <c r="G3969" s="400" t="s">
        <v>9567</v>
      </c>
    </row>
    <row r="3970" spans="7:7" x14ac:dyDescent="0.3">
      <c r="G3970" s="400" t="s">
        <v>9567</v>
      </c>
    </row>
    <row r="3971" spans="7:7" x14ac:dyDescent="0.3">
      <c r="G3971" s="400" t="s">
        <v>9567</v>
      </c>
    </row>
    <row r="3972" spans="7:7" x14ac:dyDescent="0.3">
      <c r="G3972" s="400" t="s">
        <v>9567</v>
      </c>
    </row>
    <row r="3973" spans="7:7" x14ac:dyDescent="0.3">
      <c r="G3973" s="400" t="s">
        <v>9567</v>
      </c>
    </row>
    <row r="3974" spans="7:7" x14ac:dyDescent="0.3">
      <c r="G3974" s="400" t="s">
        <v>9567</v>
      </c>
    </row>
    <row r="3975" spans="7:7" x14ac:dyDescent="0.3">
      <c r="G3975" s="400" t="s">
        <v>9567</v>
      </c>
    </row>
    <row r="3976" spans="7:7" x14ac:dyDescent="0.3">
      <c r="G3976" s="400" t="s">
        <v>9567</v>
      </c>
    </row>
    <row r="3977" spans="7:7" x14ac:dyDescent="0.3">
      <c r="G3977" s="400" t="s">
        <v>9567</v>
      </c>
    </row>
    <row r="3978" spans="7:7" x14ac:dyDescent="0.3">
      <c r="G3978" s="400" t="s">
        <v>9567</v>
      </c>
    </row>
    <row r="3979" spans="7:7" x14ac:dyDescent="0.3">
      <c r="G3979" s="400" t="s">
        <v>9567</v>
      </c>
    </row>
    <row r="3980" spans="7:7" x14ac:dyDescent="0.3">
      <c r="G3980" s="400" t="s">
        <v>9567</v>
      </c>
    </row>
    <row r="3981" spans="7:7" x14ac:dyDescent="0.3">
      <c r="G3981" s="400" t="s">
        <v>9567</v>
      </c>
    </row>
    <row r="3982" spans="7:7" x14ac:dyDescent="0.3">
      <c r="G3982" s="400" t="s">
        <v>9567</v>
      </c>
    </row>
    <row r="3983" spans="7:7" x14ac:dyDescent="0.3">
      <c r="G3983" s="400" t="s">
        <v>9567</v>
      </c>
    </row>
    <row r="3984" spans="7:7" x14ac:dyDescent="0.3">
      <c r="G3984" s="400" t="s">
        <v>9567</v>
      </c>
    </row>
    <row r="3985" spans="7:7" x14ac:dyDescent="0.3">
      <c r="G3985" s="400" t="s">
        <v>9567</v>
      </c>
    </row>
    <row r="3986" spans="7:7" x14ac:dyDescent="0.3">
      <c r="G3986" s="400" t="s">
        <v>9567</v>
      </c>
    </row>
    <row r="3987" spans="7:7" x14ac:dyDescent="0.3">
      <c r="G3987" s="400" t="s">
        <v>9567</v>
      </c>
    </row>
    <row r="3988" spans="7:7" x14ac:dyDescent="0.3">
      <c r="G3988" s="400" t="s">
        <v>9567</v>
      </c>
    </row>
    <row r="3989" spans="7:7" x14ac:dyDescent="0.3">
      <c r="G3989" s="400" t="s">
        <v>9567</v>
      </c>
    </row>
    <row r="3990" spans="7:7" x14ac:dyDescent="0.3">
      <c r="G3990" s="400" t="s">
        <v>9567</v>
      </c>
    </row>
    <row r="3991" spans="7:7" x14ac:dyDescent="0.3">
      <c r="G3991" s="400" t="s">
        <v>9567</v>
      </c>
    </row>
    <row r="3992" spans="7:7" x14ac:dyDescent="0.3">
      <c r="G3992" s="400" t="s">
        <v>9567</v>
      </c>
    </row>
    <row r="3993" spans="7:7" x14ac:dyDescent="0.3">
      <c r="G3993" s="400" t="s">
        <v>9567</v>
      </c>
    </row>
    <row r="3994" spans="7:7" x14ac:dyDescent="0.3">
      <c r="G3994" s="400" t="s">
        <v>9567</v>
      </c>
    </row>
    <row r="3995" spans="7:7" x14ac:dyDescent="0.3">
      <c r="G3995" s="400" t="s">
        <v>9567</v>
      </c>
    </row>
    <row r="3996" spans="7:7" x14ac:dyDescent="0.3">
      <c r="G3996" s="400" t="s">
        <v>9567</v>
      </c>
    </row>
    <row r="3997" spans="7:7" x14ac:dyDescent="0.3">
      <c r="G3997" s="400" t="s">
        <v>9567</v>
      </c>
    </row>
    <row r="3998" spans="7:7" x14ac:dyDescent="0.3">
      <c r="G3998" s="400" t="s">
        <v>9567</v>
      </c>
    </row>
    <row r="3999" spans="7:7" x14ac:dyDescent="0.3">
      <c r="G3999" s="400" t="s">
        <v>9567</v>
      </c>
    </row>
    <row r="4000" spans="7:7" x14ac:dyDescent="0.3">
      <c r="G4000" s="400" t="s">
        <v>9567</v>
      </c>
    </row>
    <row r="4001" spans="7:7" x14ac:dyDescent="0.3">
      <c r="G4001" s="400" t="s">
        <v>9567</v>
      </c>
    </row>
    <row r="4002" spans="7:7" x14ac:dyDescent="0.3">
      <c r="G4002" s="400" t="s">
        <v>9567</v>
      </c>
    </row>
    <row r="4003" spans="7:7" x14ac:dyDescent="0.3">
      <c r="G4003" s="400" t="s">
        <v>9567</v>
      </c>
    </row>
    <row r="4004" spans="7:7" x14ac:dyDescent="0.3">
      <c r="G4004" s="400" t="s">
        <v>9567</v>
      </c>
    </row>
    <row r="4005" spans="7:7" x14ac:dyDescent="0.3">
      <c r="G4005" s="400" t="s">
        <v>9567</v>
      </c>
    </row>
    <row r="4006" spans="7:7" x14ac:dyDescent="0.3">
      <c r="G4006" s="400" t="s">
        <v>9567</v>
      </c>
    </row>
    <row r="4007" spans="7:7" x14ac:dyDescent="0.3">
      <c r="G4007" s="400" t="s">
        <v>9567</v>
      </c>
    </row>
    <row r="4008" spans="7:7" x14ac:dyDescent="0.3">
      <c r="G4008" s="400" t="s">
        <v>9567</v>
      </c>
    </row>
    <row r="4009" spans="7:7" x14ac:dyDescent="0.3">
      <c r="G4009" s="400" t="s">
        <v>9567</v>
      </c>
    </row>
    <row r="4010" spans="7:7" x14ac:dyDescent="0.3">
      <c r="G4010" s="400" t="s">
        <v>9567</v>
      </c>
    </row>
    <row r="4011" spans="7:7" x14ac:dyDescent="0.3">
      <c r="G4011" s="400" t="s">
        <v>9567</v>
      </c>
    </row>
    <row r="4012" spans="7:7" x14ac:dyDescent="0.3">
      <c r="G4012" s="400" t="s">
        <v>9567</v>
      </c>
    </row>
    <row r="4013" spans="7:7" x14ac:dyDescent="0.3">
      <c r="G4013" s="400" t="s">
        <v>9567</v>
      </c>
    </row>
    <row r="4014" spans="7:7" x14ac:dyDescent="0.3">
      <c r="G4014" s="400" t="s">
        <v>9567</v>
      </c>
    </row>
    <row r="4015" spans="7:7" x14ac:dyDescent="0.3">
      <c r="G4015" s="400" t="s">
        <v>9567</v>
      </c>
    </row>
    <row r="4016" spans="7:7" x14ac:dyDescent="0.3">
      <c r="G4016" s="400" t="s">
        <v>9567</v>
      </c>
    </row>
    <row r="4017" spans="7:7" x14ac:dyDescent="0.3">
      <c r="G4017" s="400" t="s">
        <v>9567</v>
      </c>
    </row>
    <row r="4018" spans="7:7" x14ac:dyDescent="0.3">
      <c r="G4018" s="400" t="s">
        <v>9567</v>
      </c>
    </row>
    <row r="4019" spans="7:7" x14ac:dyDescent="0.3">
      <c r="G4019" s="400" t="s">
        <v>9567</v>
      </c>
    </row>
    <row r="4020" spans="7:7" x14ac:dyDescent="0.3">
      <c r="G4020" s="400" t="s">
        <v>9567</v>
      </c>
    </row>
    <row r="4021" spans="7:7" x14ac:dyDescent="0.3">
      <c r="G4021" s="400" t="s">
        <v>9567</v>
      </c>
    </row>
    <row r="4022" spans="7:7" x14ac:dyDescent="0.3">
      <c r="G4022" s="400" t="s">
        <v>9567</v>
      </c>
    </row>
    <row r="4023" spans="7:7" x14ac:dyDescent="0.3">
      <c r="G4023" s="400" t="s">
        <v>9567</v>
      </c>
    </row>
    <row r="4024" spans="7:7" x14ac:dyDescent="0.3">
      <c r="G4024" s="400" t="s">
        <v>9567</v>
      </c>
    </row>
    <row r="4025" spans="7:7" x14ac:dyDescent="0.3">
      <c r="G4025" s="400" t="s">
        <v>9567</v>
      </c>
    </row>
    <row r="4026" spans="7:7" x14ac:dyDescent="0.3">
      <c r="G4026" s="400" t="s">
        <v>9567</v>
      </c>
    </row>
    <row r="4027" spans="7:7" x14ac:dyDescent="0.3">
      <c r="G4027" s="400" t="s">
        <v>9567</v>
      </c>
    </row>
    <row r="4028" spans="7:7" x14ac:dyDescent="0.3">
      <c r="G4028" s="400" t="s">
        <v>9567</v>
      </c>
    </row>
    <row r="4029" spans="7:7" x14ac:dyDescent="0.3">
      <c r="G4029" s="400" t="s">
        <v>9567</v>
      </c>
    </row>
    <row r="4030" spans="7:7" x14ac:dyDescent="0.3">
      <c r="G4030" s="400" t="s">
        <v>9567</v>
      </c>
    </row>
    <row r="4031" spans="7:7" x14ac:dyDescent="0.3">
      <c r="G4031" s="400" t="s">
        <v>9567</v>
      </c>
    </row>
    <row r="4032" spans="7:7" x14ac:dyDescent="0.3">
      <c r="G4032" s="400" t="s">
        <v>9567</v>
      </c>
    </row>
    <row r="4033" spans="7:7" x14ac:dyDescent="0.3">
      <c r="G4033" s="400" t="s">
        <v>9567</v>
      </c>
    </row>
    <row r="4034" spans="7:7" x14ac:dyDescent="0.3">
      <c r="G4034" s="400" t="s">
        <v>9567</v>
      </c>
    </row>
    <row r="4035" spans="7:7" x14ac:dyDescent="0.3">
      <c r="G4035" s="400" t="s">
        <v>9567</v>
      </c>
    </row>
    <row r="4036" spans="7:7" x14ac:dyDescent="0.3">
      <c r="G4036" s="400" t="s">
        <v>9567</v>
      </c>
    </row>
    <row r="4037" spans="7:7" x14ac:dyDescent="0.3">
      <c r="G4037" s="400" t="s">
        <v>9567</v>
      </c>
    </row>
    <row r="4038" spans="7:7" x14ac:dyDescent="0.3">
      <c r="G4038" s="400" t="s">
        <v>9567</v>
      </c>
    </row>
    <row r="4039" spans="7:7" x14ac:dyDescent="0.3">
      <c r="G4039" s="400" t="s">
        <v>9567</v>
      </c>
    </row>
    <row r="4040" spans="7:7" x14ac:dyDescent="0.3">
      <c r="G4040" s="400" t="s">
        <v>9567</v>
      </c>
    </row>
    <row r="4041" spans="7:7" x14ac:dyDescent="0.3">
      <c r="G4041" s="400" t="s">
        <v>9567</v>
      </c>
    </row>
    <row r="4042" spans="7:7" x14ac:dyDescent="0.3">
      <c r="G4042" s="400" t="s">
        <v>9567</v>
      </c>
    </row>
    <row r="4043" spans="7:7" x14ac:dyDescent="0.3">
      <c r="G4043" s="400" t="s">
        <v>9567</v>
      </c>
    </row>
    <row r="4044" spans="7:7" x14ac:dyDescent="0.3">
      <c r="G4044" s="400" t="s">
        <v>9567</v>
      </c>
    </row>
    <row r="4045" spans="7:7" x14ac:dyDescent="0.3">
      <c r="G4045" s="400" t="s">
        <v>9567</v>
      </c>
    </row>
    <row r="4046" spans="7:7" x14ac:dyDescent="0.3">
      <c r="G4046" s="400" t="s">
        <v>9567</v>
      </c>
    </row>
    <row r="4047" spans="7:7" x14ac:dyDescent="0.3">
      <c r="G4047" s="400" t="s">
        <v>9567</v>
      </c>
    </row>
    <row r="4048" spans="7:7" x14ac:dyDescent="0.3">
      <c r="G4048" s="400" t="s">
        <v>9567</v>
      </c>
    </row>
    <row r="4049" spans="7:7" x14ac:dyDescent="0.3">
      <c r="G4049" s="400" t="s">
        <v>9567</v>
      </c>
    </row>
    <row r="4050" spans="7:7" x14ac:dyDescent="0.3">
      <c r="G4050" s="400" t="s">
        <v>9567</v>
      </c>
    </row>
    <row r="4051" spans="7:7" x14ac:dyDescent="0.3">
      <c r="G4051" s="400" t="s">
        <v>9567</v>
      </c>
    </row>
    <row r="4052" spans="7:7" x14ac:dyDescent="0.3">
      <c r="G4052" s="400" t="s">
        <v>9567</v>
      </c>
    </row>
    <row r="4053" spans="7:7" x14ac:dyDescent="0.3">
      <c r="G4053" s="400" t="s">
        <v>9567</v>
      </c>
    </row>
    <row r="4054" spans="7:7" x14ac:dyDescent="0.3">
      <c r="G4054" s="400" t="s">
        <v>9567</v>
      </c>
    </row>
    <row r="4055" spans="7:7" x14ac:dyDescent="0.3">
      <c r="G4055" s="400" t="s">
        <v>9567</v>
      </c>
    </row>
    <row r="4056" spans="7:7" x14ac:dyDescent="0.3">
      <c r="G4056" s="400" t="s">
        <v>9567</v>
      </c>
    </row>
    <row r="4057" spans="7:7" x14ac:dyDescent="0.3">
      <c r="G4057" s="400" t="s">
        <v>9567</v>
      </c>
    </row>
    <row r="4058" spans="7:7" x14ac:dyDescent="0.3">
      <c r="G4058" s="400" t="s">
        <v>9567</v>
      </c>
    </row>
    <row r="4059" spans="7:7" x14ac:dyDescent="0.3">
      <c r="G4059" s="400" t="s">
        <v>9567</v>
      </c>
    </row>
    <row r="4060" spans="7:7" x14ac:dyDescent="0.3">
      <c r="G4060" s="400" t="s">
        <v>9567</v>
      </c>
    </row>
    <row r="4061" spans="7:7" x14ac:dyDescent="0.3">
      <c r="G4061" s="400" t="s">
        <v>9567</v>
      </c>
    </row>
    <row r="4062" spans="7:7" x14ac:dyDescent="0.3">
      <c r="G4062" s="400" t="s">
        <v>9567</v>
      </c>
    </row>
    <row r="4063" spans="7:7" x14ac:dyDescent="0.3">
      <c r="G4063" s="400" t="s">
        <v>9567</v>
      </c>
    </row>
    <row r="4064" spans="7:7" x14ac:dyDescent="0.3">
      <c r="G4064" s="400" t="s">
        <v>9567</v>
      </c>
    </row>
    <row r="4065" spans="7:7" x14ac:dyDescent="0.3">
      <c r="G4065" s="400" t="s">
        <v>9567</v>
      </c>
    </row>
    <row r="4066" spans="7:7" x14ac:dyDescent="0.3">
      <c r="G4066" s="400" t="s">
        <v>9567</v>
      </c>
    </row>
    <row r="4067" spans="7:7" x14ac:dyDescent="0.3">
      <c r="G4067" s="400" t="s">
        <v>9567</v>
      </c>
    </row>
    <row r="4068" spans="7:7" x14ac:dyDescent="0.3">
      <c r="G4068" s="400" t="s">
        <v>9567</v>
      </c>
    </row>
    <row r="4069" spans="7:7" x14ac:dyDescent="0.3">
      <c r="G4069" s="400" t="s">
        <v>9567</v>
      </c>
    </row>
    <row r="4070" spans="7:7" x14ac:dyDescent="0.3">
      <c r="G4070" s="400" t="s">
        <v>9567</v>
      </c>
    </row>
    <row r="4071" spans="7:7" x14ac:dyDescent="0.3">
      <c r="G4071" s="400" t="s">
        <v>9567</v>
      </c>
    </row>
    <row r="4072" spans="7:7" x14ac:dyDescent="0.3">
      <c r="G4072" s="400" t="s">
        <v>9567</v>
      </c>
    </row>
    <row r="4073" spans="7:7" x14ac:dyDescent="0.3">
      <c r="G4073" s="400" t="s">
        <v>9567</v>
      </c>
    </row>
    <row r="4074" spans="7:7" x14ac:dyDescent="0.3">
      <c r="G4074" s="400" t="s">
        <v>9567</v>
      </c>
    </row>
    <row r="4075" spans="7:7" x14ac:dyDescent="0.3">
      <c r="G4075" s="400" t="s">
        <v>9567</v>
      </c>
    </row>
    <row r="4076" spans="7:7" x14ac:dyDescent="0.3">
      <c r="G4076" s="400" t="s">
        <v>9567</v>
      </c>
    </row>
    <row r="4077" spans="7:7" x14ac:dyDescent="0.3">
      <c r="G4077" s="400" t="s">
        <v>9567</v>
      </c>
    </row>
    <row r="4078" spans="7:7" x14ac:dyDescent="0.3">
      <c r="G4078" s="400" t="s">
        <v>9567</v>
      </c>
    </row>
    <row r="4079" spans="7:7" x14ac:dyDescent="0.3">
      <c r="G4079" s="400" t="s">
        <v>9567</v>
      </c>
    </row>
    <row r="4080" spans="7:7" x14ac:dyDescent="0.3">
      <c r="G4080" s="400" t="s">
        <v>9567</v>
      </c>
    </row>
    <row r="4081" spans="7:7" x14ac:dyDescent="0.3">
      <c r="G4081" s="400" t="s">
        <v>9567</v>
      </c>
    </row>
    <row r="4082" spans="7:7" x14ac:dyDescent="0.3">
      <c r="G4082" s="400" t="s">
        <v>9567</v>
      </c>
    </row>
    <row r="4083" spans="7:7" x14ac:dyDescent="0.3">
      <c r="G4083" s="400" t="s">
        <v>9567</v>
      </c>
    </row>
    <row r="4084" spans="7:7" x14ac:dyDescent="0.3">
      <c r="G4084" s="400" t="s">
        <v>9567</v>
      </c>
    </row>
    <row r="4085" spans="7:7" x14ac:dyDescent="0.3">
      <c r="G4085" s="400" t="s">
        <v>9567</v>
      </c>
    </row>
    <row r="4086" spans="7:7" x14ac:dyDescent="0.3">
      <c r="G4086" s="400" t="s">
        <v>9567</v>
      </c>
    </row>
    <row r="4087" spans="7:7" x14ac:dyDescent="0.3">
      <c r="G4087" s="400" t="s">
        <v>9567</v>
      </c>
    </row>
    <row r="4088" spans="7:7" x14ac:dyDescent="0.3">
      <c r="G4088" s="400" t="s">
        <v>9567</v>
      </c>
    </row>
    <row r="4089" spans="7:7" x14ac:dyDescent="0.3">
      <c r="G4089" s="400" t="s">
        <v>9567</v>
      </c>
    </row>
    <row r="4090" spans="7:7" x14ac:dyDescent="0.3">
      <c r="G4090" s="400" t="s">
        <v>9567</v>
      </c>
    </row>
    <row r="4091" spans="7:7" x14ac:dyDescent="0.3">
      <c r="G4091" s="400" t="s">
        <v>9567</v>
      </c>
    </row>
    <row r="4092" spans="7:7" x14ac:dyDescent="0.3">
      <c r="G4092" s="400" t="s">
        <v>9567</v>
      </c>
    </row>
    <row r="4093" spans="7:7" x14ac:dyDescent="0.3">
      <c r="G4093" s="400" t="s">
        <v>9567</v>
      </c>
    </row>
    <row r="4094" spans="7:7" x14ac:dyDescent="0.3">
      <c r="G4094" s="400" t="s">
        <v>9567</v>
      </c>
    </row>
    <row r="4095" spans="7:7" x14ac:dyDescent="0.3">
      <c r="G4095" s="400" t="s">
        <v>9567</v>
      </c>
    </row>
    <row r="4096" spans="7:7" x14ac:dyDescent="0.3">
      <c r="G4096" s="400" t="s">
        <v>9567</v>
      </c>
    </row>
    <row r="4097" spans="7:7" x14ac:dyDescent="0.3">
      <c r="G4097" s="400" t="s">
        <v>9567</v>
      </c>
    </row>
    <row r="4098" spans="7:7" x14ac:dyDescent="0.3">
      <c r="G4098" s="400" t="s">
        <v>9567</v>
      </c>
    </row>
    <row r="4099" spans="7:7" x14ac:dyDescent="0.3">
      <c r="G4099" s="400" t="s">
        <v>9567</v>
      </c>
    </row>
    <row r="4100" spans="7:7" x14ac:dyDescent="0.3">
      <c r="G4100" s="400" t="s">
        <v>9567</v>
      </c>
    </row>
    <row r="4101" spans="7:7" x14ac:dyDescent="0.3">
      <c r="G4101" s="400" t="s">
        <v>9567</v>
      </c>
    </row>
    <row r="4102" spans="7:7" x14ac:dyDescent="0.3">
      <c r="G4102" s="400" t="s">
        <v>9567</v>
      </c>
    </row>
    <row r="4103" spans="7:7" x14ac:dyDescent="0.3">
      <c r="G4103" s="400" t="s">
        <v>9567</v>
      </c>
    </row>
    <row r="4104" spans="7:7" x14ac:dyDescent="0.3">
      <c r="G4104" s="400" t="s">
        <v>9567</v>
      </c>
    </row>
    <row r="4105" spans="7:7" x14ac:dyDescent="0.3">
      <c r="G4105" s="400" t="s">
        <v>9567</v>
      </c>
    </row>
    <row r="4106" spans="7:7" x14ac:dyDescent="0.3">
      <c r="G4106" s="400" t="s">
        <v>9567</v>
      </c>
    </row>
    <row r="4107" spans="7:7" x14ac:dyDescent="0.3">
      <c r="G4107" s="400" t="s">
        <v>9567</v>
      </c>
    </row>
    <row r="4108" spans="7:7" x14ac:dyDescent="0.3">
      <c r="G4108" s="400" t="s">
        <v>9567</v>
      </c>
    </row>
    <row r="4109" spans="7:7" x14ac:dyDescent="0.3">
      <c r="G4109" s="400" t="s">
        <v>9567</v>
      </c>
    </row>
    <row r="4110" spans="7:7" x14ac:dyDescent="0.3">
      <c r="G4110" s="400" t="s">
        <v>9567</v>
      </c>
    </row>
    <row r="4111" spans="7:7" x14ac:dyDescent="0.3">
      <c r="G4111" s="400" t="s">
        <v>9567</v>
      </c>
    </row>
    <row r="4112" spans="7:7" x14ac:dyDescent="0.3">
      <c r="G4112" s="400" t="s">
        <v>9567</v>
      </c>
    </row>
    <row r="4113" spans="7:7" x14ac:dyDescent="0.3">
      <c r="G4113" s="400" t="s">
        <v>9567</v>
      </c>
    </row>
    <row r="4114" spans="7:7" x14ac:dyDescent="0.3">
      <c r="G4114" s="400" t="s">
        <v>9567</v>
      </c>
    </row>
    <row r="4115" spans="7:7" x14ac:dyDescent="0.3">
      <c r="G4115" s="400" t="s">
        <v>9567</v>
      </c>
    </row>
    <row r="4116" spans="7:7" x14ac:dyDescent="0.3">
      <c r="G4116" s="400" t="s">
        <v>9567</v>
      </c>
    </row>
    <row r="4117" spans="7:7" x14ac:dyDescent="0.3">
      <c r="G4117" s="400" t="s">
        <v>9567</v>
      </c>
    </row>
    <row r="4118" spans="7:7" x14ac:dyDescent="0.3">
      <c r="G4118" s="400" t="s">
        <v>9567</v>
      </c>
    </row>
    <row r="4119" spans="7:7" x14ac:dyDescent="0.3">
      <c r="G4119" s="400" t="s">
        <v>9567</v>
      </c>
    </row>
    <row r="4120" spans="7:7" x14ac:dyDescent="0.3">
      <c r="G4120" s="400" t="s">
        <v>9567</v>
      </c>
    </row>
    <row r="4121" spans="7:7" x14ac:dyDescent="0.3">
      <c r="G4121" s="400" t="s">
        <v>9567</v>
      </c>
    </row>
    <row r="4122" spans="7:7" x14ac:dyDescent="0.3">
      <c r="G4122" s="400" t="s">
        <v>9567</v>
      </c>
    </row>
    <row r="4123" spans="7:7" x14ac:dyDescent="0.3">
      <c r="G4123" s="400" t="s">
        <v>9567</v>
      </c>
    </row>
    <row r="4124" spans="7:7" x14ac:dyDescent="0.3">
      <c r="G4124" s="400" t="s">
        <v>9567</v>
      </c>
    </row>
    <row r="4125" spans="7:7" x14ac:dyDescent="0.3">
      <c r="G4125" s="400" t="s">
        <v>9567</v>
      </c>
    </row>
    <row r="4126" spans="7:7" x14ac:dyDescent="0.3">
      <c r="G4126" s="400" t="s">
        <v>9567</v>
      </c>
    </row>
    <row r="4127" spans="7:7" x14ac:dyDescent="0.3">
      <c r="G4127" s="400" t="s">
        <v>9567</v>
      </c>
    </row>
    <row r="4128" spans="7:7" x14ac:dyDescent="0.3">
      <c r="G4128" s="400" t="s">
        <v>9567</v>
      </c>
    </row>
    <row r="4129" spans="7:7" x14ac:dyDescent="0.3">
      <c r="G4129" s="400" t="s">
        <v>9567</v>
      </c>
    </row>
    <row r="4130" spans="7:7" x14ac:dyDescent="0.3">
      <c r="G4130" s="400" t="s">
        <v>9567</v>
      </c>
    </row>
    <row r="4131" spans="7:7" x14ac:dyDescent="0.3">
      <c r="G4131" s="400" t="s">
        <v>9567</v>
      </c>
    </row>
    <row r="4132" spans="7:7" x14ac:dyDescent="0.3">
      <c r="G4132" s="400" t="s">
        <v>9567</v>
      </c>
    </row>
    <row r="4133" spans="7:7" x14ac:dyDescent="0.3">
      <c r="G4133" s="400" t="s">
        <v>9567</v>
      </c>
    </row>
    <row r="4134" spans="7:7" x14ac:dyDescent="0.3">
      <c r="G4134" s="400" t="s">
        <v>9567</v>
      </c>
    </row>
    <row r="4135" spans="7:7" x14ac:dyDescent="0.3">
      <c r="G4135" s="400" t="s">
        <v>9567</v>
      </c>
    </row>
    <row r="4136" spans="7:7" x14ac:dyDescent="0.3">
      <c r="G4136" s="400" t="s">
        <v>9567</v>
      </c>
    </row>
    <row r="4137" spans="7:7" x14ac:dyDescent="0.3">
      <c r="G4137" s="400" t="s">
        <v>9567</v>
      </c>
    </row>
    <row r="4138" spans="7:7" x14ac:dyDescent="0.3">
      <c r="G4138" s="400" t="s">
        <v>9567</v>
      </c>
    </row>
    <row r="4139" spans="7:7" x14ac:dyDescent="0.3">
      <c r="G4139" s="400" t="s">
        <v>9567</v>
      </c>
    </row>
    <row r="4140" spans="7:7" x14ac:dyDescent="0.3">
      <c r="G4140" s="400" t="s">
        <v>9567</v>
      </c>
    </row>
    <row r="4141" spans="7:7" x14ac:dyDescent="0.3">
      <c r="G4141" s="400" t="s">
        <v>9567</v>
      </c>
    </row>
    <row r="4142" spans="7:7" x14ac:dyDescent="0.3">
      <c r="G4142" s="400" t="s">
        <v>9567</v>
      </c>
    </row>
    <row r="4143" spans="7:7" x14ac:dyDescent="0.3">
      <c r="G4143" s="400" t="s">
        <v>9567</v>
      </c>
    </row>
    <row r="4144" spans="7:7" x14ac:dyDescent="0.3">
      <c r="G4144" s="400" t="s">
        <v>9567</v>
      </c>
    </row>
    <row r="4145" spans="7:7" x14ac:dyDescent="0.3">
      <c r="G4145" s="400" t="s">
        <v>9567</v>
      </c>
    </row>
    <row r="4146" spans="7:7" x14ac:dyDescent="0.3">
      <c r="G4146" s="400" t="s">
        <v>9567</v>
      </c>
    </row>
    <row r="4147" spans="7:7" x14ac:dyDescent="0.3">
      <c r="G4147" s="400" t="s">
        <v>9567</v>
      </c>
    </row>
    <row r="4148" spans="7:7" x14ac:dyDescent="0.3">
      <c r="G4148" s="400" t="s">
        <v>9567</v>
      </c>
    </row>
    <row r="4149" spans="7:7" x14ac:dyDescent="0.3">
      <c r="G4149" s="400" t="s">
        <v>9567</v>
      </c>
    </row>
    <row r="4150" spans="7:7" x14ac:dyDescent="0.3">
      <c r="G4150" s="400" t="s">
        <v>9567</v>
      </c>
    </row>
    <row r="4151" spans="7:7" x14ac:dyDescent="0.3">
      <c r="G4151" s="400" t="s">
        <v>9567</v>
      </c>
    </row>
    <row r="4152" spans="7:7" x14ac:dyDescent="0.3">
      <c r="G4152" s="400" t="s">
        <v>9567</v>
      </c>
    </row>
    <row r="4153" spans="7:7" x14ac:dyDescent="0.3">
      <c r="G4153" s="400" t="s">
        <v>9567</v>
      </c>
    </row>
    <row r="4154" spans="7:7" x14ac:dyDescent="0.3">
      <c r="G4154" s="400" t="s">
        <v>9567</v>
      </c>
    </row>
    <row r="4155" spans="7:7" x14ac:dyDescent="0.3">
      <c r="G4155" s="400" t="s">
        <v>9567</v>
      </c>
    </row>
    <row r="4156" spans="7:7" x14ac:dyDescent="0.3">
      <c r="G4156" s="400" t="s">
        <v>9567</v>
      </c>
    </row>
    <row r="4157" spans="7:7" x14ac:dyDescent="0.3">
      <c r="G4157" s="400" t="s">
        <v>9567</v>
      </c>
    </row>
    <row r="4158" spans="7:7" x14ac:dyDescent="0.3">
      <c r="G4158" s="400" t="s">
        <v>9567</v>
      </c>
    </row>
    <row r="4159" spans="7:7" x14ac:dyDescent="0.3">
      <c r="G4159" s="400" t="s">
        <v>9567</v>
      </c>
    </row>
    <row r="4160" spans="7:7" x14ac:dyDescent="0.3">
      <c r="G4160" s="400" t="s">
        <v>9567</v>
      </c>
    </row>
    <row r="4161" spans="7:7" x14ac:dyDescent="0.3">
      <c r="G4161" s="400" t="s">
        <v>9567</v>
      </c>
    </row>
    <row r="4162" spans="7:7" x14ac:dyDescent="0.3">
      <c r="G4162" s="400" t="s">
        <v>9567</v>
      </c>
    </row>
    <row r="4163" spans="7:7" x14ac:dyDescent="0.3">
      <c r="G4163" s="400" t="s">
        <v>9567</v>
      </c>
    </row>
    <row r="4164" spans="7:7" x14ac:dyDescent="0.3">
      <c r="G4164" s="400" t="s">
        <v>9567</v>
      </c>
    </row>
    <row r="4165" spans="7:7" x14ac:dyDescent="0.3">
      <c r="G4165" s="400" t="s">
        <v>9567</v>
      </c>
    </row>
    <row r="4166" spans="7:7" x14ac:dyDescent="0.3">
      <c r="G4166" s="400" t="s">
        <v>9567</v>
      </c>
    </row>
    <row r="4167" spans="7:7" x14ac:dyDescent="0.3">
      <c r="G4167" s="400" t="s">
        <v>9567</v>
      </c>
    </row>
    <row r="4168" spans="7:7" x14ac:dyDescent="0.3">
      <c r="G4168" s="400" t="s">
        <v>9567</v>
      </c>
    </row>
    <row r="4169" spans="7:7" x14ac:dyDescent="0.3">
      <c r="G4169" s="400" t="s">
        <v>9567</v>
      </c>
    </row>
    <row r="4170" spans="7:7" x14ac:dyDescent="0.3">
      <c r="G4170" s="400" t="s">
        <v>9567</v>
      </c>
    </row>
    <row r="4171" spans="7:7" x14ac:dyDescent="0.3">
      <c r="G4171" s="400" t="s">
        <v>9567</v>
      </c>
    </row>
    <row r="4172" spans="7:7" x14ac:dyDescent="0.3">
      <c r="G4172" s="400" t="s">
        <v>9567</v>
      </c>
    </row>
    <row r="4173" spans="7:7" x14ac:dyDescent="0.3">
      <c r="G4173" s="400" t="s">
        <v>9567</v>
      </c>
    </row>
    <row r="4174" spans="7:7" x14ac:dyDescent="0.3">
      <c r="G4174" s="400" t="s">
        <v>9567</v>
      </c>
    </row>
    <row r="4175" spans="7:7" x14ac:dyDescent="0.3">
      <c r="G4175" s="400" t="s">
        <v>9567</v>
      </c>
    </row>
    <row r="4176" spans="7:7" x14ac:dyDescent="0.3">
      <c r="G4176" s="400" t="s">
        <v>9567</v>
      </c>
    </row>
    <row r="4177" spans="7:7" x14ac:dyDescent="0.3">
      <c r="G4177" s="400" t="s">
        <v>9567</v>
      </c>
    </row>
    <row r="4178" spans="7:7" x14ac:dyDescent="0.3">
      <c r="G4178" s="400" t="s">
        <v>9567</v>
      </c>
    </row>
    <row r="4179" spans="7:7" x14ac:dyDescent="0.3">
      <c r="G4179" s="400" t="s">
        <v>9567</v>
      </c>
    </row>
    <row r="4180" spans="7:7" x14ac:dyDescent="0.3">
      <c r="G4180" s="400" t="s">
        <v>9567</v>
      </c>
    </row>
    <row r="4181" spans="7:7" x14ac:dyDescent="0.3">
      <c r="G4181" s="400" t="s">
        <v>9567</v>
      </c>
    </row>
    <row r="4182" spans="7:7" x14ac:dyDescent="0.3">
      <c r="G4182" s="400" t="s">
        <v>9567</v>
      </c>
    </row>
    <row r="4183" spans="7:7" x14ac:dyDescent="0.3">
      <c r="G4183" s="400" t="s">
        <v>9567</v>
      </c>
    </row>
    <row r="4184" spans="7:7" x14ac:dyDescent="0.3">
      <c r="G4184" s="400" t="s">
        <v>9567</v>
      </c>
    </row>
    <row r="4185" spans="7:7" x14ac:dyDescent="0.3">
      <c r="G4185" s="400" t="s">
        <v>9567</v>
      </c>
    </row>
    <row r="4186" spans="7:7" x14ac:dyDescent="0.3">
      <c r="G4186" s="400" t="s">
        <v>9567</v>
      </c>
    </row>
    <row r="4187" spans="7:7" x14ac:dyDescent="0.3">
      <c r="G4187" s="400" t="s">
        <v>9567</v>
      </c>
    </row>
    <row r="4188" spans="7:7" x14ac:dyDescent="0.3">
      <c r="G4188" s="400" t="s">
        <v>9567</v>
      </c>
    </row>
    <row r="4189" spans="7:7" x14ac:dyDescent="0.3">
      <c r="G4189" s="400" t="s">
        <v>9567</v>
      </c>
    </row>
    <row r="4190" spans="7:7" x14ac:dyDescent="0.3">
      <c r="G4190" s="400" t="s">
        <v>9567</v>
      </c>
    </row>
    <row r="4191" spans="7:7" x14ac:dyDescent="0.3">
      <c r="G4191" s="400" t="s">
        <v>9567</v>
      </c>
    </row>
    <row r="4192" spans="7:7" x14ac:dyDescent="0.3">
      <c r="G4192" s="400" t="s">
        <v>9567</v>
      </c>
    </row>
    <row r="4193" spans="7:7" x14ac:dyDescent="0.3">
      <c r="G4193" s="400" t="s">
        <v>9567</v>
      </c>
    </row>
    <row r="4194" spans="7:7" x14ac:dyDescent="0.3">
      <c r="G4194" s="400" t="s">
        <v>9567</v>
      </c>
    </row>
    <row r="4195" spans="7:7" x14ac:dyDescent="0.3">
      <c r="G4195" s="400" t="s">
        <v>9567</v>
      </c>
    </row>
    <row r="4196" spans="7:7" x14ac:dyDescent="0.3">
      <c r="G4196" s="400" t="s">
        <v>9567</v>
      </c>
    </row>
    <row r="4197" spans="7:7" x14ac:dyDescent="0.3">
      <c r="G4197" s="400" t="s">
        <v>9567</v>
      </c>
    </row>
    <row r="4198" spans="7:7" x14ac:dyDescent="0.3">
      <c r="G4198" s="400" t="s">
        <v>9567</v>
      </c>
    </row>
    <row r="4199" spans="7:7" x14ac:dyDescent="0.3">
      <c r="G4199" s="400" t="s">
        <v>9567</v>
      </c>
    </row>
    <row r="4200" spans="7:7" x14ac:dyDescent="0.3">
      <c r="G4200" s="400" t="s">
        <v>9567</v>
      </c>
    </row>
    <row r="4201" spans="7:7" x14ac:dyDescent="0.3">
      <c r="G4201" s="400" t="s">
        <v>9567</v>
      </c>
    </row>
    <row r="4202" spans="7:7" x14ac:dyDescent="0.3">
      <c r="G4202" s="400" t="s">
        <v>9567</v>
      </c>
    </row>
    <row r="4203" spans="7:7" x14ac:dyDescent="0.3">
      <c r="G4203" s="400" t="s">
        <v>9567</v>
      </c>
    </row>
    <row r="4204" spans="7:7" x14ac:dyDescent="0.3">
      <c r="G4204" s="400" t="s">
        <v>9567</v>
      </c>
    </row>
    <row r="4205" spans="7:7" x14ac:dyDescent="0.3">
      <c r="G4205" s="400" t="s">
        <v>9567</v>
      </c>
    </row>
    <row r="4206" spans="7:7" x14ac:dyDescent="0.3">
      <c r="G4206" s="400" t="s">
        <v>9567</v>
      </c>
    </row>
    <row r="4207" spans="7:7" x14ac:dyDescent="0.3">
      <c r="G4207" s="400" t="s">
        <v>9567</v>
      </c>
    </row>
    <row r="4208" spans="7:7" x14ac:dyDescent="0.3">
      <c r="G4208" s="400" t="s">
        <v>9567</v>
      </c>
    </row>
    <row r="4209" spans="7:7" x14ac:dyDescent="0.3">
      <c r="G4209" s="400" t="s">
        <v>9567</v>
      </c>
    </row>
    <row r="4210" spans="7:7" x14ac:dyDescent="0.3">
      <c r="G4210" s="400" t="s">
        <v>9567</v>
      </c>
    </row>
    <row r="4211" spans="7:7" x14ac:dyDescent="0.3">
      <c r="G4211" s="400" t="s">
        <v>9567</v>
      </c>
    </row>
    <row r="4212" spans="7:7" x14ac:dyDescent="0.3">
      <c r="G4212" s="400" t="s">
        <v>9567</v>
      </c>
    </row>
    <row r="4213" spans="7:7" x14ac:dyDescent="0.3">
      <c r="G4213" s="400" t="s">
        <v>9567</v>
      </c>
    </row>
    <row r="4214" spans="7:7" x14ac:dyDescent="0.3">
      <c r="G4214" s="400" t="s">
        <v>9567</v>
      </c>
    </row>
    <row r="4215" spans="7:7" x14ac:dyDescent="0.3">
      <c r="G4215" s="400" t="s">
        <v>9567</v>
      </c>
    </row>
    <row r="4216" spans="7:7" x14ac:dyDescent="0.3">
      <c r="G4216" s="400" t="s">
        <v>9567</v>
      </c>
    </row>
    <row r="4217" spans="7:7" x14ac:dyDescent="0.3">
      <c r="G4217" s="400" t="s">
        <v>9567</v>
      </c>
    </row>
    <row r="4218" spans="7:7" x14ac:dyDescent="0.3">
      <c r="G4218" s="400" t="s">
        <v>9567</v>
      </c>
    </row>
    <row r="4219" spans="7:7" x14ac:dyDescent="0.3">
      <c r="G4219" s="400" t="s">
        <v>9567</v>
      </c>
    </row>
    <row r="4220" spans="7:7" x14ac:dyDescent="0.3">
      <c r="G4220" s="400" t="s">
        <v>9567</v>
      </c>
    </row>
    <row r="4221" spans="7:7" x14ac:dyDescent="0.3">
      <c r="G4221" s="400" t="s">
        <v>9567</v>
      </c>
    </row>
    <row r="4222" spans="7:7" x14ac:dyDescent="0.3">
      <c r="G4222" s="400" t="s">
        <v>9567</v>
      </c>
    </row>
    <row r="4223" spans="7:7" x14ac:dyDescent="0.3">
      <c r="G4223" s="400" t="s">
        <v>9567</v>
      </c>
    </row>
    <row r="4224" spans="7:7" x14ac:dyDescent="0.3">
      <c r="G4224" s="400" t="s">
        <v>9567</v>
      </c>
    </row>
    <row r="4225" spans="7:7" x14ac:dyDescent="0.3">
      <c r="G4225" s="400" t="s">
        <v>9567</v>
      </c>
    </row>
    <row r="4226" spans="7:7" x14ac:dyDescent="0.3">
      <c r="G4226" s="400" t="s">
        <v>9567</v>
      </c>
    </row>
    <row r="4227" spans="7:7" x14ac:dyDescent="0.3">
      <c r="G4227" s="400" t="s">
        <v>9567</v>
      </c>
    </row>
    <row r="4228" spans="7:7" x14ac:dyDescent="0.3">
      <c r="G4228" s="400" t="s">
        <v>9567</v>
      </c>
    </row>
    <row r="4229" spans="7:7" x14ac:dyDescent="0.3">
      <c r="G4229" s="400" t="s">
        <v>9567</v>
      </c>
    </row>
    <row r="4230" spans="7:7" x14ac:dyDescent="0.3">
      <c r="G4230" s="400" t="s">
        <v>9567</v>
      </c>
    </row>
    <row r="4231" spans="7:7" x14ac:dyDescent="0.3">
      <c r="G4231" s="400" t="s">
        <v>9567</v>
      </c>
    </row>
    <row r="4232" spans="7:7" x14ac:dyDescent="0.3">
      <c r="G4232" s="400" t="s">
        <v>9567</v>
      </c>
    </row>
    <row r="4233" spans="7:7" x14ac:dyDescent="0.3">
      <c r="G4233" s="400" t="s">
        <v>9567</v>
      </c>
    </row>
    <row r="4234" spans="7:7" x14ac:dyDescent="0.3">
      <c r="G4234" s="400" t="s">
        <v>9567</v>
      </c>
    </row>
    <row r="4235" spans="7:7" x14ac:dyDescent="0.3">
      <c r="G4235" s="400" t="s">
        <v>9567</v>
      </c>
    </row>
    <row r="4236" spans="7:7" x14ac:dyDescent="0.3">
      <c r="G4236" s="400" t="s">
        <v>9567</v>
      </c>
    </row>
    <row r="4237" spans="7:7" x14ac:dyDescent="0.3">
      <c r="G4237" s="400" t="s">
        <v>9567</v>
      </c>
    </row>
    <row r="4238" spans="7:7" x14ac:dyDescent="0.3">
      <c r="G4238" s="400" t="s">
        <v>9567</v>
      </c>
    </row>
    <row r="4239" spans="7:7" x14ac:dyDescent="0.3">
      <c r="G4239" s="400" t="s">
        <v>9567</v>
      </c>
    </row>
    <row r="4240" spans="7:7" x14ac:dyDescent="0.3">
      <c r="G4240" s="400" t="s">
        <v>9567</v>
      </c>
    </row>
    <row r="4241" spans="7:7" x14ac:dyDescent="0.3">
      <c r="G4241" s="400" t="s">
        <v>9567</v>
      </c>
    </row>
    <row r="4242" spans="7:7" x14ac:dyDescent="0.3">
      <c r="G4242" s="400" t="s">
        <v>9567</v>
      </c>
    </row>
    <row r="4243" spans="7:7" x14ac:dyDescent="0.3">
      <c r="G4243" s="400" t="s">
        <v>9567</v>
      </c>
    </row>
    <row r="4244" spans="7:7" x14ac:dyDescent="0.3">
      <c r="G4244" s="400" t="s">
        <v>9567</v>
      </c>
    </row>
    <row r="4245" spans="7:7" x14ac:dyDescent="0.3">
      <c r="G4245" s="400" t="s">
        <v>9567</v>
      </c>
    </row>
    <row r="4246" spans="7:7" x14ac:dyDescent="0.3">
      <c r="G4246" s="400" t="s">
        <v>9567</v>
      </c>
    </row>
    <row r="4247" spans="7:7" x14ac:dyDescent="0.3">
      <c r="G4247" s="400" t="s">
        <v>9567</v>
      </c>
    </row>
    <row r="4248" spans="7:7" x14ac:dyDescent="0.3">
      <c r="G4248" s="400" t="s">
        <v>9567</v>
      </c>
    </row>
    <row r="4249" spans="7:7" x14ac:dyDescent="0.3">
      <c r="G4249" s="400" t="s">
        <v>9567</v>
      </c>
    </row>
    <row r="4250" spans="7:7" x14ac:dyDescent="0.3">
      <c r="G4250" s="400" t="s">
        <v>9567</v>
      </c>
    </row>
    <row r="4251" spans="7:7" x14ac:dyDescent="0.3">
      <c r="G4251" s="400" t="s">
        <v>9567</v>
      </c>
    </row>
    <row r="4252" spans="7:7" x14ac:dyDescent="0.3">
      <c r="G4252" s="400" t="s">
        <v>9567</v>
      </c>
    </row>
    <row r="4253" spans="7:7" x14ac:dyDescent="0.3">
      <c r="G4253" s="400" t="s">
        <v>9567</v>
      </c>
    </row>
    <row r="4254" spans="7:7" x14ac:dyDescent="0.3">
      <c r="G4254" s="400" t="s">
        <v>9567</v>
      </c>
    </row>
    <row r="4255" spans="7:7" x14ac:dyDescent="0.3">
      <c r="G4255" s="400" t="s">
        <v>9567</v>
      </c>
    </row>
    <row r="4256" spans="7:7" x14ac:dyDescent="0.3">
      <c r="G4256" s="400" t="s">
        <v>9567</v>
      </c>
    </row>
    <row r="4257" spans="7:7" x14ac:dyDescent="0.3">
      <c r="G4257" s="400" t="s">
        <v>9567</v>
      </c>
    </row>
    <row r="4258" spans="7:7" x14ac:dyDescent="0.3">
      <c r="G4258" s="400" t="s">
        <v>9567</v>
      </c>
    </row>
    <row r="4259" spans="7:7" x14ac:dyDescent="0.3">
      <c r="G4259" s="400" t="s">
        <v>9567</v>
      </c>
    </row>
    <row r="4260" spans="7:7" x14ac:dyDescent="0.3">
      <c r="G4260" s="400" t="s">
        <v>9567</v>
      </c>
    </row>
    <row r="4261" spans="7:7" x14ac:dyDescent="0.3">
      <c r="G4261" s="400" t="s">
        <v>9567</v>
      </c>
    </row>
    <row r="4262" spans="7:7" x14ac:dyDescent="0.3">
      <c r="G4262" s="400" t="s">
        <v>9567</v>
      </c>
    </row>
    <row r="4263" spans="7:7" x14ac:dyDescent="0.3">
      <c r="G4263" s="400" t="s">
        <v>9567</v>
      </c>
    </row>
    <row r="4264" spans="7:7" x14ac:dyDescent="0.3">
      <c r="G4264" s="400" t="s">
        <v>9567</v>
      </c>
    </row>
    <row r="4265" spans="7:7" x14ac:dyDescent="0.3">
      <c r="G4265" s="400" t="s">
        <v>9567</v>
      </c>
    </row>
    <row r="4266" spans="7:7" x14ac:dyDescent="0.3">
      <c r="G4266" s="400" t="s">
        <v>9567</v>
      </c>
    </row>
    <row r="4267" spans="7:7" x14ac:dyDescent="0.3">
      <c r="G4267" s="400" t="s">
        <v>9567</v>
      </c>
    </row>
    <row r="4268" spans="7:7" x14ac:dyDescent="0.3">
      <c r="G4268" s="400" t="s">
        <v>9567</v>
      </c>
    </row>
    <row r="4269" spans="7:7" x14ac:dyDescent="0.3">
      <c r="G4269" s="400" t="s">
        <v>9567</v>
      </c>
    </row>
    <row r="4270" spans="7:7" x14ac:dyDescent="0.3">
      <c r="G4270" s="400" t="s">
        <v>9567</v>
      </c>
    </row>
    <row r="4271" spans="7:7" x14ac:dyDescent="0.3">
      <c r="G4271" s="400" t="s">
        <v>9567</v>
      </c>
    </row>
    <row r="4272" spans="7:7" x14ac:dyDescent="0.3">
      <c r="G4272" s="400" t="s">
        <v>9567</v>
      </c>
    </row>
    <row r="4273" spans="7:7" x14ac:dyDescent="0.3">
      <c r="G4273" s="400" t="s">
        <v>9567</v>
      </c>
    </row>
    <row r="4274" spans="7:7" x14ac:dyDescent="0.3">
      <c r="G4274" s="400" t="s">
        <v>9567</v>
      </c>
    </row>
    <row r="4275" spans="7:7" x14ac:dyDescent="0.3">
      <c r="G4275" s="400" t="s">
        <v>9567</v>
      </c>
    </row>
    <row r="4276" spans="7:7" x14ac:dyDescent="0.3">
      <c r="G4276" s="400" t="s">
        <v>9567</v>
      </c>
    </row>
    <row r="4277" spans="7:7" x14ac:dyDescent="0.3">
      <c r="G4277" s="400" t="s">
        <v>9567</v>
      </c>
    </row>
    <row r="4278" spans="7:7" x14ac:dyDescent="0.3">
      <c r="G4278" s="400" t="s">
        <v>9567</v>
      </c>
    </row>
    <row r="4279" spans="7:7" x14ac:dyDescent="0.3">
      <c r="G4279" s="400" t="s">
        <v>9567</v>
      </c>
    </row>
    <row r="4280" spans="7:7" x14ac:dyDescent="0.3">
      <c r="G4280" s="400" t="s">
        <v>9567</v>
      </c>
    </row>
    <row r="4281" spans="7:7" x14ac:dyDescent="0.3">
      <c r="G4281" s="400" t="s">
        <v>9567</v>
      </c>
    </row>
    <row r="4282" spans="7:7" x14ac:dyDescent="0.3">
      <c r="G4282" s="400" t="s">
        <v>9567</v>
      </c>
    </row>
    <row r="4283" spans="7:7" x14ac:dyDescent="0.3">
      <c r="G4283" s="400" t="s">
        <v>9567</v>
      </c>
    </row>
    <row r="4284" spans="7:7" x14ac:dyDescent="0.3">
      <c r="G4284" s="400" t="s">
        <v>9567</v>
      </c>
    </row>
    <row r="4285" spans="7:7" x14ac:dyDescent="0.3">
      <c r="G4285" s="400" t="s">
        <v>9567</v>
      </c>
    </row>
    <row r="4286" spans="7:7" x14ac:dyDescent="0.3">
      <c r="G4286" s="400" t="s">
        <v>9567</v>
      </c>
    </row>
    <row r="4287" spans="7:7" x14ac:dyDescent="0.3">
      <c r="G4287" s="400" t="s">
        <v>9567</v>
      </c>
    </row>
    <row r="4288" spans="7:7" x14ac:dyDescent="0.3">
      <c r="G4288" s="400" t="s">
        <v>9567</v>
      </c>
    </row>
    <row r="4289" spans="7:7" x14ac:dyDescent="0.3">
      <c r="G4289" s="400" t="s">
        <v>9567</v>
      </c>
    </row>
    <row r="4290" spans="7:7" x14ac:dyDescent="0.3">
      <c r="G4290" s="400" t="s">
        <v>9567</v>
      </c>
    </row>
    <row r="4291" spans="7:7" x14ac:dyDescent="0.3">
      <c r="G4291" s="400" t="s">
        <v>9567</v>
      </c>
    </row>
    <row r="4292" spans="7:7" x14ac:dyDescent="0.3">
      <c r="G4292" s="400" t="s">
        <v>9567</v>
      </c>
    </row>
    <row r="4293" spans="7:7" x14ac:dyDescent="0.3">
      <c r="G4293" s="400" t="s">
        <v>9567</v>
      </c>
    </row>
    <row r="4294" spans="7:7" x14ac:dyDescent="0.3">
      <c r="G4294" s="400" t="s">
        <v>9567</v>
      </c>
    </row>
    <row r="4295" spans="7:7" x14ac:dyDescent="0.3">
      <c r="G4295" s="400" t="s">
        <v>9567</v>
      </c>
    </row>
    <row r="4296" spans="7:7" x14ac:dyDescent="0.3">
      <c r="G4296" s="400" t="s">
        <v>9567</v>
      </c>
    </row>
    <row r="4297" spans="7:7" x14ac:dyDescent="0.3">
      <c r="G4297" s="400" t="s">
        <v>9567</v>
      </c>
    </row>
    <row r="4298" spans="7:7" x14ac:dyDescent="0.3">
      <c r="G4298" s="400" t="s">
        <v>9567</v>
      </c>
    </row>
    <row r="4299" spans="7:7" x14ac:dyDescent="0.3">
      <c r="G4299" s="400" t="s">
        <v>9567</v>
      </c>
    </row>
    <row r="4300" spans="7:7" x14ac:dyDescent="0.3">
      <c r="G4300" s="400" t="s">
        <v>9567</v>
      </c>
    </row>
    <row r="4301" spans="7:7" x14ac:dyDescent="0.3">
      <c r="G4301" s="400" t="s">
        <v>9567</v>
      </c>
    </row>
    <row r="4302" spans="7:7" x14ac:dyDescent="0.3">
      <c r="G4302" s="400" t="s">
        <v>9567</v>
      </c>
    </row>
    <row r="4303" spans="7:7" x14ac:dyDescent="0.3">
      <c r="G4303" s="400" t="s">
        <v>9567</v>
      </c>
    </row>
    <row r="4304" spans="7:7" x14ac:dyDescent="0.3">
      <c r="G4304" s="400" t="s">
        <v>9567</v>
      </c>
    </row>
    <row r="4305" spans="7:7" x14ac:dyDescent="0.3">
      <c r="G4305" s="400" t="s">
        <v>9567</v>
      </c>
    </row>
    <row r="4306" spans="7:7" x14ac:dyDescent="0.3">
      <c r="G4306" s="400" t="s">
        <v>9567</v>
      </c>
    </row>
    <row r="4307" spans="7:7" x14ac:dyDescent="0.3">
      <c r="G4307" s="400" t="s">
        <v>9567</v>
      </c>
    </row>
    <row r="4308" spans="7:7" x14ac:dyDescent="0.3">
      <c r="G4308" s="400" t="s">
        <v>9567</v>
      </c>
    </row>
    <row r="4309" spans="7:7" x14ac:dyDescent="0.3">
      <c r="G4309" s="400" t="s">
        <v>9567</v>
      </c>
    </row>
    <row r="4310" spans="7:7" x14ac:dyDescent="0.3">
      <c r="G4310" s="400" t="s">
        <v>9567</v>
      </c>
    </row>
    <row r="4311" spans="7:7" x14ac:dyDescent="0.3">
      <c r="G4311" s="400" t="s">
        <v>9567</v>
      </c>
    </row>
    <row r="4312" spans="7:7" x14ac:dyDescent="0.3">
      <c r="G4312" s="400" t="s">
        <v>9567</v>
      </c>
    </row>
    <row r="4313" spans="7:7" x14ac:dyDescent="0.3">
      <c r="G4313" s="400" t="s">
        <v>9567</v>
      </c>
    </row>
    <row r="4314" spans="7:7" x14ac:dyDescent="0.3">
      <c r="G4314" s="400" t="s">
        <v>9567</v>
      </c>
    </row>
    <row r="4315" spans="7:7" x14ac:dyDescent="0.3">
      <c r="G4315" s="400" t="s">
        <v>9567</v>
      </c>
    </row>
    <row r="4316" spans="7:7" x14ac:dyDescent="0.3">
      <c r="G4316" s="400" t="s">
        <v>9567</v>
      </c>
    </row>
    <row r="4317" spans="7:7" x14ac:dyDescent="0.3">
      <c r="G4317" s="400" t="s">
        <v>9567</v>
      </c>
    </row>
    <row r="4318" spans="7:7" x14ac:dyDescent="0.3">
      <c r="G4318" s="400" t="s">
        <v>9567</v>
      </c>
    </row>
    <row r="4319" spans="7:7" x14ac:dyDescent="0.3">
      <c r="G4319" s="400" t="s">
        <v>9567</v>
      </c>
    </row>
    <row r="4320" spans="7:7" x14ac:dyDescent="0.3">
      <c r="G4320" s="400" t="s">
        <v>9567</v>
      </c>
    </row>
    <row r="4321" spans="7:7" x14ac:dyDescent="0.3">
      <c r="G4321" s="400" t="s">
        <v>9567</v>
      </c>
    </row>
    <row r="4322" spans="7:7" x14ac:dyDescent="0.3">
      <c r="G4322" s="400" t="s">
        <v>9567</v>
      </c>
    </row>
    <row r="4323" spans="7:7" x14ac:dyDescent="0.3">
      <c r="G4323" s="400" t="s">
        <v>9567</v>
      </c>
    </row>
    <row r="4324" spans="7:7" x14ac:dyDescent="0.3">
      <c r="G4324" s="400" t="s">
        <v>9567</v>
      </c>
    </row>
    <row r="4325" spans="7:7" x14ac:dyDescent="0.3">
      <c r="G4325" s="400" t="s">
        <v>9567</v>
      </c>
    </row>
    <row r="4326" spans="7:7" x14ac:dyDescent="0.3">
      <c r="G4326" s="400" t="s">
        <v>9567</v>
      </c>
    </row>
    <row r="4327" spans="7:7" x14ac:dyDescent="0.3">
      <c r="G4327" s="400" t="s">
        <v>9567</v>
      </c>
    </row>
    <row r="4328" spans="7:7" x14ac:dyDescent="0.3">
      <c r="G4328" s="400" t="s">
        <v>9567</v>
      </c>
    </row>
    <row r="4329" spans="7:7" x14ac:dyDescent="0.3">
      <c r="G4329" s="400" t="s">
        <v>9567</v>
      </c>
    </row>
    <row r="4330" spans="7:7" x14ac:dyDescent="0.3">
      <c r="G4330" s="400" t="s">
        <v>9567</v>
      </c>
    </row>
    <row r="4331" spans="7:7" x14ac:dyDescent="0.3">
      <c r="G4331" s="400" t="s">
        <v>9567</v>
      </c>
    </row>
    <row r="4332" spans="7:7" x14ac:dyDescent="0.3">
      <c r="G4332" s="400" t="s">
        <v>9567</v>
      </c>
    </row>
    <row r="4333" spans="7:7" x14ac:dyDescent="0.3">
      <c r="G4333" s="400" t="s">
        <v>9567</v>
      </c>
    </row>
    <row r="4334" spans="7:7" x14ac:dyDescent="0.3">
      <c r="G4334" s="400" t="s">
        <v>9567</v>
      </c>
    </row>
    <row r="4335" spans="7:7" x14ac:dyDescent="0.3">
      <c r="G4335" s="400" t="s">
        <v>9567</v>
      </c>
    </row>
    <row r="4336" spans="7:7" x14ac:dyDescent="0.3">
      <c r="G4336" s="400" t="s">
        <v>9567</v>
      </c>
    </row>
    <row r="4337" spans="7:7" x14ac:dyDescent="0.3">
      <c r="G4337" s="400" t="s">
        <v>9567</v>
      </c>
    </row>
    <row r="4338" spans="7:7" x14ac:dyDescent="0.3">
      <c r="G4338" s="400" t="s">
        <v>9567</v>
      </c>
    </row>
    <row r="4339" spans="7:7" x14ac:dyDescent="0.3">
      <c r="G4339" s="400" t="s">
        <v>9567</v>
      </c>
    </row>
    <row r="4340" spans="7:7" x14ac:dyDescent="0.3">
      <c r="G4340" s="400" t="s">
        <v>9567</v>
      </c>
    </row>
    <row r="4341" spans="7:7" x14ac:dyDescent="0.3">
      <c r="G4341" s="400" t="s">
        <v>9567</v>
      </c>
    </row>
    <row r="4342" spans="7:7" x14ac:dyDescent="0.3">
      <c r="G4342" s="400" t="s">
        <v>9567</v>
      </c>
    </row>
    <row r="4343" spans="7:7" x14ac:dyDescent="0.3">
      <c r="G4343" s="400" t="s">
        <v>9567</v>
      </c>
    </row>
    <row r="4344" spans="7:7" x14ac:dyDescent="0.3">
      <c r="G4344" s="400" t="s">
        <v>9567</v>
      </c>
    </row>
    <row r="4345" spans="7:7" x14ac:dyDescent="0.3">
      <c r="G4345" s="400" t="s">
        <v>9567</v>
      </c>
    </row>
    <row r="4346" spans="7:7" x14ac:dyDescent="0.3">
      <c r="G4346" s="400" t="s">
        <v>9567</v>
      </c>
    </row>
    <row r="4347" spans="7:7" x14ac:dyDescent="0.3">
      <c r="G4347" s="400" t="s">
        <v>9567</v>
      </c>
    </row>
    <row r="4348" spans="7:7" x14ac:dyDescent="0.3">
      <c r="G4348" s="400" t="s">
        <v>9567</v>
      </c>
    </row>
    <row r="4349" spans="7:7" x14ac:dyDescent="0.3">
      <c r="G4349" s="400" t="s">
        <v>9567</v>
      </c>
    </row>
    <row r="4350" spans="7:7" x14ac:dyDescent="0.3">
      <c r="G4350" s="400" t="s">
        <v>9567</v>
      </c>
    </row>
    <row r="4351" spans="7:7" x14ac:dyDescent="0.3">
      <c r="G4351" s="400" t="s">
        <v>9567</v>
      </c>
    </row>
    <row r="4352" spans="7:7" x14ac:dyDescent="0.3">
      <c r="G4352" s="400" t="s">
        <v>9567</v>
      </c>
    </row>
    <row r="4353" spans="7:7" x14ac:dyDescent="0.3">
      <c r="G4353" s="400" t="s">
        <v>9567</v>
      </c>
    </row>
    <row r="4354" spans="7:7" x14ac:dyDescent="0.3">
      <c r="G4354" s="400" t="s">
        <v>9567</v>
      </c>
    </row>
    <row r="4355" spans="7:7" x14ac:dyDescent="0.3">
      <c r="G4355" s="400" t="s">
        <v>9567</v>
      </c>
    </row>
    <row r="4356" spans="7:7" x14ac:dyDescent="0.3">
      <c r="G4356" s="400" t="s">
        <v>9567</v>
      </c>
    </row>
    <row r="4357" spans="7:7" x14ac:dyDescent="0.3">
      <c r="G4357" s="400" t="s">
        <v>9567</v>
      </c>
    </row>
    <row r="4358" spans="7:7" x14ac:dyDescent="0.3">
      <c r="G4358" s="400" t="s">
        <v>9567</v>
      </c>
    </row>
    <row r="4359" spans="7:7" x14ac:dyDescent="0.3">
      <c r="G4359" s="400" t="s">
        <v>9567</v>
      </c>
    </row>
    <row r="4360" spans="7:7" x14ac:dyDescent="0.3">
      <c r="G4360" s="400" t="s">
        <v>9567</v>
      </c>
    </row>
    <row r="4361" spans="7:7" x14ac:dyDescent="0.3">
      <c r="G4361" s="400" t="s">
        <v>9567</v>
      </c>
    </row>
    <row r="4362" spans="7:7" x14ac:dyDescent="0.3">
      <c r="G4362" s="400" t="s">
        <v>9567</v>
      </c>
    </row>
    <row r="4363" spans="7:7" x14ac:dyDescent="0.3">
      <c r="G4363" s="400" t="s">
        <v>9567</v>
      </c>
    </row>
    <row r="4364" spans="7:7" x14ac:dyDescent="0.3">
      <c r="G4364" s="400" t="s">
        <v>9567</v>
      </c>
    </row>
    <row r="4365" spans="7:7" x14ac:dyDescent="0.3">
      <c r="G4365" s="400" t="s">
        <v>9567</v>
      </c>
    </row>
    <row r="4366" spans="7:7" x14ac:dyDescent="0.3">
      <c r="G4366" s="400" t="s">
        <v>9567</v>
      </c>
    </row>
    <row r="4367" spans="7:7" x14ac:dyDescent="0.3">
      <c r="G4367" s="400" t="s">
        <v>9567</v>
      </c>
    </row>
    <row r="4368" spans="7:7" x14ac:dyDescent="0.3">
      <c r="G4368" s="400" t="s">
        <v>9567</v>
      </c>
    </row>
    <row r="4369" spans="7:7" x14ac:dyDescent="0.3">
      <c r="G4369" s="400" t="s">
        <v>9567</v>
      </c>
    </row>
    <row r="4370" spans="7:7" x14ac:dyDescent="0.3">
      <c r="G4370" s="400" t="s">
        <v>9567</v>
      </c>
    </row>
    <row r="4371" spans="7:7" x14ac:dyDescent="0.3">
      <c r="G4371" s="400" t="s">
        <v>9567</v>
      </c>
    </row>
    <row r="4372" spans="7:7" x14ac:dyDescent="0.3">
      <c r="G4372" s="400" t="s">
        <v>9567</v>
      </c>
    </row>
    <row r="4373" spans="7:7" x14ac:dyDescent="0.3">
      <c r="G4373" s="400" t="s">
        <v>9567</v>
      </c>
    </row>
    <row r="4374" spans="7:7" x14ac:dyDescent="0.3">
      <c r="G4374" s="400" t="s">
        <v>9567</v>
      </c>
    </row>
    <row r="4375" spans="7:7" x14ac:dyDescent="0.3">
      <c r="G4375" s="400" t="s">
        <v>9567</v>
      </c>
    </row>
    <row r="4376" spans="7:7" x14ac:dyDescent="0.3">
      <c r="G4376" s="400" t="s">
        <v>9567</v>
      </c>
    </row>
    <row r="4377" spans="7:7" x14ac:dyDescent="0.3">
      <c r="G4377" s="400" t="s">
        <v>9567</v>
      </c>
    </row>
    <row r="4378" spans="7:7" x14ac:dyDescent="0.3">
      <c r="G4378" s="400" t="s">
        <v>9567</v>
      </c>
    </row>
    <row r="4379" spans="7:7" x14ac:dyDescent="0.3">
      <c r="G4379" s="400" t="s">
        <v>9567</v>
      </c>
    </row>
    <row r="4380" spans="7:7" x14ac:dyDescent="0.3">
      <c r="G4380" s="400" t="s">
        <v>9567</v>
      </c>
    </row>
    <row r="4381" spans="7:7" x14ac:dyDescent="0.3">
      <c r="G4381" s="400" t="s">
        <v>9567</v>
      </c>
    </row>
    <row r="4382" spans="7:7" x14ac:dyDescent="0.3">
      <c r="G4382" s="400" t="s">
        <v>9567</v>
      </c>
    </row>
    <row r="4383" spans="7:7" x14ac:dyDescent="0.3">
      <c r="G4383" s="400" t="s">
        <v>9567</v>
      </c>
    </row>
    <row r="4384" spans="7:7" x14ac:dyDescent="0.3">
      <c r="G4384" s="400" t="s">
        <v>9567</v>
      </c>
    </row>
    <row r="4385" spans="7:7" x14ac:dyDescent="0.3">
      <c r="G4385" s="400" t="s">
        <v>9567</v>
      </c>
    </row>
    <row r="4386" spans="7:7" x14ac:dyDescent="0.3">
      <c r="G4386" s="400" t="s">
        <v>9567</v>
      </c>
    </row>
    <row r="4387" spans="7:7" x14ac:dyDescent="0.3">
      <c r="G4387" s="400" t="s">
        <v>9567</v>
      </c>
    </row>
    <row r="4388" spans="7:7" x14ac:dyDescent="0.3">
      <c r="G4388" s="400" t="s">
        <v>9567</v>
      </c>
    </row>
    <row r="4389" spans="7:7" x14ac:dyDescent="0.3">
      <c r="G4389" s="400" t="s">
        <v>9567</v>
      </c>
    </row>
    <row r="4390" spans="7:7" x14ac:dyDescent="0.3">
      <c r="G4390" s="400" t="s">
        <v>9567</v>
      </c>
    </row>
    <row r="4391" spans="7:7" x14ac:dyDescent="0.3">
      <c r="G4391" s="400" t="s">
        <v>9567</v>
      </c>
    </row>
    <row r="4392" spans="7:7" x14ac:dyDescent="0.3">
      <c r="G4392" s="400" t="s">
        <v>9567</v>
      </c>
    </row>
    <row r="4393" spans="7:7" x14ac:dyDescent="0.3">
      <c r="G4393" s="400" t="s">
        <v>9567</v>
      </c>
    </row>
    <row r="4394" spans="7:7" x14ac:dyDescent="0.3">
      <c r="G4394" s="400" t="s">
        <v>9567</v>
      </c>
    </row>
    <row r="4395" spans="7:7" x14ac:dyDescent="0.3">
      <c r="G4395" s="400" t="s">
        <v>9567</v>
      </c>
    </row>
    <row r="4396" spans="7:7" x14ac:dyDescent="0.3">
      <c r="G4396" s="400" t="s">
        <v>9567</v>
      </c>
    </row>
    <row r="4397" spans="7:7" x14ac:dyDescent="0.3">
      <c r="G4397" s="400" t="s">
        <v>9567</v>
      </c>
    </row>
    <row r="4398" spans="7:7" x14ac:dyDescent="0.3">
      <c r="G4398" s="400" t="s">
        <v>9567</v>
      </c>
    </row>
    <row r="4399" spans="7:7" x14ac:dyDescent="0.3">
      <c r="G4399" s="400" t="s">
        <v>9567</v>
      </c>
    </row>
    <row r="4400" spans="7:7" x14ac:dyDescent="0.3">
      <c r="G4400" s="400" t="s">
        <v>9567</v>
      </c>
    </row>
    <row r="4401" spans="7:7" x14ac:dyDescent="0.3">
      <c r="G4401" s="400" t="s">
        <v>9567</v>
      </c>
    </row>
    <row r="4402" spans="7:7" x14ac:dyDescent="0.3">
      <c r="G4402" s="400" t="s">
        <v>9567</v>
      </c>
    </row>
    <row r="4403" spans="7:7" x14ac:dyDescent="0.3">
      <c r="G4403" s="400" t="s">
        <v>9567</v>
      </c>
    </row>
    <row r="4404" spans="7:7" x14ac:dyDescent="0.3">
      <c r="G4404" s="400" t="s">
        <v>9567</v>
      </c>
    </row>
    <row r="4405" spans="7:7" x14ac:dyDescent="0.3">
      <c r="G4405" s="400" t="s">
        <v>9567</v>
      </c>
    </row>
    <row r="4406" spans="7:7" x14ac:dyDescent="0.3">
      <c r="G4406" s="400" t="s">
        <v>9567</v>
      </c>
    </row>
    <row r="4407" spans="7:7" x14ac:dyDescent="0.3">
      <c r="G4407" s="400" t="s">
        <v>9567</v>
      </c>
    </row>
    <row r="4408" spans="7:7" x14ac:dyDescent="0.3">
      <c r="G4408" s="400" t="s">
        <v>9567</v>
      </c>
    </row>
    <row r="4409" spans="7:7" x14ac:dyDescent="0.3">
      <c r="G4409" s="400" t="s">
        <v>9567</v>
      </c>
    </row>
    <row r="4410" spans="7:7" x14ac:dyDescent="0.3">
      <c r="G4410" s="400" t="s">
        <v>9567</v>
      </c>
    </row>
    <row r="4411" spans="7:7" x14ac:dyDescent="0.3">
      <c r="G4411" s="400" t="s">
        <v>9567</v>
      </c>
    </row>
    <row r="4412" spans="7:7" x14ac:dyDescent="0.3">
      <c r="G4412" s="400" t="s">
        <v>9567</v>
      </c>
    </row>
    <row r="4413" spans="7:7" x14ac:dyDescent="0.3">
      <c r="G4413" s="400" t="s">
        <v>9567</v>
      </c>
    </row>
    <row r="4414" spans="7:7" x14ac:dyDescent="0.3">
      <c r="G4414" s="400" t="s">
        <v>9567</v>
      </c>
    </row>
    <row r="4415" spans="7:7" x14ac:dyDescent="0.3">
      <c r="G4415" s="400" t="s">
        <v>9567</v>
      </c>
    </row>
    <row r="4416" spans="7:7" x14ac:dyDescent="0.3">
      <c r="G4416" s="400" t="s">
        <v>9567</v>
      </c>
    </row>
    <row r="4417" spans="7:7" x14ac:dyDescent="0.3">
      <c r="G4417" s="400" t="s">
        <v>9567</v>
      </c>
    </row>
    <row r="4418" spans="7:7" x14ac:dyDescent="0.3">
      <c r="G4418" s="400" t="s">
        <v>9567</v>
      </c>
    </row>
    <row r="4419" spans="7:7" x14ac:dyDescent="0.3">
      <c r="G4419" s="400" t="s">
        <v>9567</v>
      </c>
    </row>
    <row r="4420" spans="7:7" x14ac:dyDescent="0.3">
      <c r="G4420" s="400" t="s">
        <v>9567</v>
      </c>
    </row>
    <row r="4421" spans="7:7" x14ac:dyDescent="0.3">
      <c r="G4421" s="400" t="s">
        <v>9567</v>
      </c>
    </row>
    <row r="4422" spans="7:7" x14ac:dyDescent="0.3">
      <c r="G4422" s="400" t="s">
        <v>9567</v>
      </c>
    </row>
    <row r="4423" spans="7:7" x14ac:dyDescent="0.3">
      <c r="G4423" s="400" t="s">
        <v>9567</v>
      </c>
    </row>
    <row r="4424" spans="7:7" x14ac:dyDescent="0.3">
      <c r="G4424" s="400" t="s">
        <v>9567</v>
      </c>
    </row>
    <row r="4425" spans="7:7" x14ac:dyDescent="0.3">
      <c r="G4425" s="400" t="s">
        <v>9567</v>
      </c>
    </row>
    <row r="4426" spans="7:7" x14ac:dyDescent="0.3">
      <c r="G4426" s="400" t="s">
        <v>9567</v>
      </c>
    </row>
    <row r="4427" spans="7:7" x14ac:dyDescent="0.3">
      <c r="G4427" s="400" t="s">
        <v>9567</v>
      </c>
    </row>
    <row r="4428" spans="7:7" x14ac:dyDescent="0.3">
      <c r="G4428" s="400" t="s">
        <v>9567</v>
      </c>
    </row>
    <row r="4429" spans="7:7" x14ac:dyDescent="0.3">
      <c r="G4429" s="400" t="s">
        <v>9567</v>
      </c>
    </row>
    <row r="4430" spans="7:7" x14ac:dyDescent="0.3">
      <c r="G4430" s="400" t="s">
        <v>9567</v>
      </c>
    </row>
    <row r="4431" spans="7:7" x14ac:dyDescent="0.3">
      <c r="G4431" s="400" t="s">
        <v>9567</v>
      </c>
    </row>
    <row r="4432" spans="7:7" x14ac:dyDescent="0.3">
      <c r="G4432" s="400" t="s">
        <v>9567</v>
      </c>
    </row>
    <row r="4433" spans="7:7" x14ac:dyDescent="0.3">
      <c r="G4433" s="400" t="s">
        <v>9567</v>
      </c>
    </row>
    <row r="4434" spans="7:7" x14ac:dyDescent="0.3">
      <c r="G4434" s="400" t="s">
        <v>9567</v>
      </c>
    </row>
    <row r="4435" spans="7:7" x14ac:dyDescent="0.3">
      <c r="G4435" s="400" t="s">
        <v>9567</v>
      </c>
    </row>
    <row r="4436" spans="7:7" x14ac:dyDescent="0.3">
      <c r="G4436" s="400" t="s">
        <v>9567</v>
      </c>
    </row>
    <row r="4437" spans="7:7" x14ac:dyDescent="0.3">
      <c r="G4437" s="400" t="s">
        <v>9567</v>
      </c>
    </row>
    <row r="4438" spans="7:7" x14ac:dyDescent="0.3">
      <c r="G4438" s="400" t="s">
        <v>9567</v>
      </c>
    </row>
    <row r="4439" spans="7:7" x14ac:dyDescent="0.3">
      <c r="G4439" s="400" t="s">
        <v>9567</v>
      </c>
    </row>
    <row r="4440" spans="7:7" x14ac:dyDescent="0.3">
      <c r="G4440" s="400" t="s">
        <v>9567</v>
      </c>
    </row>
    <row r="4441" spans="7:7" x14ac:dyDescent="0.3">
      <c r="G4441" s="400" t="s">
        <v>9567</v>
      </c>
    </row>
    <row r="4442" spans="7:7" x14ac:dyDescent="0.3">
      <c r="G4442" s="400" t="s">
        <v>9567</v>
      </c>
    </row>
    <row r="4443" spans="7:7" x14ac:dyDescent="0.3">
      <c r="G4443" s="400" t="s">
        <v>9567</v>
      </c>
    </row>
    <row r="4444" spans="7:7" x14ac:dyDescent="0.3">
      <c r="G4444" s="400" t="s">
        <v>9567</v>
      </c>
    </row>
    <row r="4445" spans="7:7" x14ac:dyDescent="0.3">
      <c r="G4445" s="400" t="s">
        <v>9567</v>
      </c>
    </row>
    <row r="4446" spans="7:7" x14ac:dyDescent="0.3">
      <c r="G4446" s="400" t="s">
        <v>9567</v>
      </c>
    </row>
    <row r="4447" spans="7:7" x14ac:dyDescent="0.3">
      <c r="G4447" s="400" t="s">
        <v>9567</v>
      </c>
    </row>
    <row r="4448" spans="7:7" x14ac:dyDescent="0.3">
      <c r="G4448" s="400" t="s">
        <v>9567</v>
      </c>
    </row>
    <row r="4449" spans="7:7" x14ac:dyDescent="0.3">
      <c r="G4449" s="400" t="s">
        <v>9567</v>
      </c>
    </row>
    <row r="4450" spans="7:7" x14ac:dyDescent="0.3">
      <c r="G4450" s="400" t="s">
        <v>9567</v>
      </c>
    </row>
    <row r="4451" spans="7:7" x14ac:dyDescent="0.3">
      <c r="G4451" s="400" t="s">
        <v>9567</v>
      </c>
    </row>
    <row r="4452" spans="7:7" x14ac:dyDescent="0.3">
      <c r="G4452" s="400" t="s">
        <v>9567</v>
      </c>
    </row>
    <row r="4453" spans="7:7" x14ac:dyDescent="0.3">
      <c r="G4453" s="400" t="s">
        <v>9567</v>
      </c>
    </row>
    <row r="4454" spans="7:7" x14ac:dyDescent="0.3">
      <c r="G4454" s="400" t="s">
        <v>9567</v>
      </c>
    </row>
    <row r="4455" spans="7:7" x14ac:dyDescent="0.3">
      <c r="G4455" s="400" t="s">
        <v>9567</v>
      </c>
    </row>
    <row r="4456" spans="7:7" x14ac:dyDescent="0.3">
      <c r="G4456" s="400" t="s">
        <v>9567</v>
      </c>
    </row>
    <row r="4457" spans="7:7" x14ac:dyDescent="0.3">
      <c r="G4457" s="400" t="s">
        <v>9567</v>
      </c>
    </row>
    <row r="4458" spans="7:7" x14ac:dyDescent="0.3">
      <c r="G4458" s="400" t="s">
        <v>9567</v>
      </c>
    </row>
    <row r="4459" spans="7:7" x14ac:dyDescent="0.3">
      <c r="G4459" s="400" t="s">
        <v>9567</v>
      </c>
    </row>
    <row r="4460" spans="7:7" x14ac:dyDescent="0.3">
      <c r="G4460" s="400" t="s">
        <v>9567</v>
      </c>
    </row>
    <row r="4461" spans="7:7" x14ac:dyDescent="0.3">
      <c r="G4461" s="400" t="s">
        <v>9567</v>
      </c>
    </row>
    <row r="4462" spans="7:7" x14ac:dyDescent="0.3">
      <c r="G4462" s="400" t="s">
        <v>9567</v>
      </c>
    </row>
    <row r="4463" spans="7:7" x14ac:dyDescent="0.3">
      <c r="G4463" s="400" t="s">
        <v>9568</v>
      </c>
    </row>
    <row r="4464" spans="7:7" x14ac:dyDescent="0.3">
      <c r="G4464" s="400" t="s">
        <v>9568</v>
      </c>
    </row>
    <row r="4465" spans="7:7" x14ac:dyDescent="0.3">
      <c r="G4465" s="400" t="s">
        <v>9568</v>
      </c>
    </row>
    <row r="4466" spans="7:7" x14ac:dyDescent="0.3">
      <c r="G4466" s="400" t="s">
        <v>9568</v>
      </c>
    </row>
    <row r="4467" spans="7:7" x14ac:dyDescent="0.3">
      <c r="G4467" s="400" t="s">
        <v>9568</v>
      </c>
    </row>
    <row r="4468" spans="7:7" x14ac:dyDescent="0.3">
      <c r="G4468" s="400" t="s">
        <v>9568</v>
      </c>
    </row>
    <row r="4469" spans="7:7" x14ac:dyDescent="0.3">
      <c r="G4469" s="400" t="s">
        <v>9568</v>
      </c>
    </row>
    <row r="4470" spans="7:7" x14ac:dyDescent="0.3">
      <c r="G4470" s="400" t="s">
        <v>9568</v>
      </c>
    </row>
    <row r="4471" spans="7:7" x14ac:dyDescent="0.3">
      <c r="G4471" s="400" t="s">
        <v>9568</v>
      </c>
    </row>
    <row r="4472" spans="7:7" x14ac:dyDescent="0.3">
      <c r="G4472" s="400" t="s">
        <v>9568</v>
      </c>
    </row>
    <row r="4473" spans="7:7" x14ac:dyDescent="0.3">
      <c r="G4473" s="400" t="s">
        <v>9568</v>
      </c>
    </row>
    <row r="4474" spans="7:7" x14ac:dyDescent="0.3">
      <c r="G4474" s="400" t="s">
        <v>9568</v>
      </c>
    </row>
    <row r="4475" spans="7:7" x14ac:dyDescent="0.3">
      <c r="G4475" s="400" t="s">
        <v>9568</v>
      </c>
    </row>
    <row r="4476" spans="7:7" x14ac:dyDescent="0.3">
      <c r="G4476" s="400" t="s">
        <v>9568</v>
      </c>
    </row>
    <row r="4477" spans="7:7" x14ac:dyDescent="0.3">
      <c r="G4477" s="400" t="s">
        <v>9568</v>
      </c>
    </row>
    <row r="4478" spans="7:7" x14ac:dyDescent="0.3">
      <c r="G4478" s="400" t="s">
        <v>9568</v>
      </c>
    </row>
    <row r="4479" spans="7:7" x14ac:dyDescent="0.3">
      <c r="G4479" s="400" t="s">
        <v>9568</v>
      </c>
    </row>
    <row r="4480" spans="7:7" x14ac:dyDescent="0.3">
      <c r="G4480" s="400" t="s">
        <v>9568</v>
      </c>
    </row>
    <row r="4481" spans="7:7" x14ac:dyDescent="0.3">
      <c r="G4481" s="400" t="s">
        <v>9568</v>
      </c>
    </row>
    <row r="4482" spans="7:7" x14ac:dyDescent="0.3">
      <c r="G4482" s="400" t="s">
        <v>9568</v>
      </c>
    </row>
    <row r="4483" spans="7:7" x14ac:dyDescent="0.3">
      <c r="G4483" s="400" t="s">
        <v>9568</v>
      </c>
    </row>
    <row r="4484" spans="7:7" x14ac:dyDescent="0.3">
      <c r="G4484" s="400" t="s">
        <v>9568</v>
      </c>
    </row>
    <row r="4485" spans="7:7" x14ac:dyDescent="0.3">
      <c r="G4485" s="400" t="s">
        <v>9568</v>
      </c>
    </row>
    <row r="4486" spans="7:7" x14ac:dyDescent="0.3">
      <c r="G4486" s="400" t="s">
        <v>9568</v>
      </c>
    </row>
    <row r="4487" spans="7:7" x14ac:dyDescent="0.3">
      <c r="G4487" s="400" t="s">
        <v>9568</v>
      </c>
    </row>
    <row r="4488" spans="7:7" x14ac:dyDescent="0.3">
      <c r="G4488" s="400" t="s">
        <v>9568</v>
      </c>
    </row>
    <row r="4489" spans="7:7" x14ac:dyDescent="0.3">
      <c r="G4489" s="400" t="s">
        <v>9568</v>
      </c>
    </row>
    <row r="4490" spans="7:7" x14ac:dyDescent="0.3">
      <c r="G4490" s="400" t="s">
        <v>9568</v>
      </c>
    </row>
    <row r="4491" spans="7:7" x14ac:dyDescent="0.3">
      <c r="G4491" s="400" t="s">
        <v>9568</v>
      </c>
    </row>
    <row r="4492" spans="7:7" x14ac:dyDescent="0.3">
      <c r="G4492" s="400" t="s">
        <v>9568</v>
      </c>
    </row>
    <row r="4493" spans="7:7" x14ac:dyDescent="0.3">
      <c r="G4493" s="400" t="s">
        <v>9568</v>
      </c>
    </row>
    <row r="4494" spans="7:7" x14ac:dyDescent="0.3">
      <c r="G4494" s="400" t="s">
        <v>9568</v>
      </c>
    </row>
    <row r="4495" spans="7:7" x14ac:dyDescent="0.3">
      <c r="G4495" s="400" t="s">
        <v>9568</v>
      </c>
    </row>
    <row r="4496" spans="7:7" x14ac:dyDescent="0.3">
      <c r="G4496" s="400" t="s">
        <v>9568</v>
      </c>
    </row>
    <row r="4497" spans="7:7" x14ac:dyDescent="0.3">
      <c r="G4497" s="400" t="s">
        <v>9568</v>
      </c>
    </row>
    <row r="4498" spans="7:7" x14ac:dyDescent="0.3">
      <c r="G4498" s="400" t="s">
        <v>9568</v>
      </c>
    </row>
    <row r="4499" spans="7:7" x14ac:dyDescent="0.3">
      <c r="G4499" s="400" t="s">
        <v>9568</v>
      </c>
    </row>
    <row r="4500" spans="7:7" x14ac:dyDescent="0.3">
      <c r="G4500" s="400" t="s">
        <v>9568</v>
      </c>
    </row>
    <row r="4501" spans="7:7" x14ac:dyDescent="0.3">
      <c r="G4501" s="400" t="s">
        <v>9568</v>
      </c>
    </row>
    <row r="4502" spans="7:7" x14ac:dyDescent="0.3">
      <c r="G4502" s="400" t="s">
        <v>9568</v>
      </c>
    </row>
    <row r="4503" spans="7:7" x14ac:dyDescent="0.3">
      <c r="G4503" s="400" t="s">
        <v>9568</v>
      </c>
    </row>
    <row r="4504" spans="7:7" x14ac:dyDescent="0.3">
      <c r="G4504" s="400" t="s">
        <v>9568</v>
      </c>
    </row>
    <row r="4505" spans="7:7" x14ac:dyDescent="0.3">
      <c r="G4505" s="400" t="s">
        <v>9568</v>
      </c>
    </row>
    <row r="4506" spans="7:7" x14ac:dyDescent="0.3">
      <c r="G4506" s="400" t="s">
        <v>9568</v>
      </c>
    </row>
    <row r="4507" spans="7:7" x14ac:dyDescent="0.3">
      <c r="G4507" s="400" t="s">
        <v>9568</v>
      </c>
    </row>
    <row r="4508" spans="7:7" x14ac:dyDescent="0.3">
      <c r="G4508" s="400" t="s">
        <v>9568</v>
      </c>
    </row>
    <row r="4509" spans="7:7" x14ac:dyDescent="0.3">
      <c r="G4509" s="400" t="s">
        <v>9568</v>
      </c>
    </row>
    <row r="4510" spans="7:7" x14ac:dyDescent="0.3">
      <c r="G4510" s="400" t="s">
        <v>9568</v>
      </c>
    </row>
    <row r="4511" spans="7:7" x14ac:dyDescent="0.3">
      <c r="G4511" s="400" t="s">
        <v>9568</v>
      </c>
    </row>
    <row r="4512" spans="7:7" x14ac:dyDescent="0.3">
      <c r="G4512" s="400" t="s">
        <v>9568</v>
      </c>
    </row>
    <row r="4513" spans="7:7" x14ac:dyDescent="0.3">
      <c r="G4513" s="400" t="s">
        <v>9568</v>
      </c>
    </row>
    <row r="4514" spans="7:7" x14ac:dyDescent="0.3">
      <c r="G4514" s="400" t="s">
        <v>9568</v>
      </c>
    </row>
    <row r="4515" spans="7:7" x14ac:dyDescent="0.3">
      <c r="G4515" s="400" t="s">
        <v>9568</v>
      </c>
    </row>
    <row r="4516" spans="7:7" x14ac:dyDescent="0.3">
      <c r="G4516" s="400" t="s">
        <v>9568</v>
      </c>
    </row>
    <row r="4517" spans="7:7" x14ac:dyDescent="0.3">
      <c r="G4517" s="400" t="s">
        <v>9568</v>
      </c>
    </row>
    <row r="4518" spans="7:7" x14ac:dyDescent="0.3">
      <c r="G4518" s="400" t="s">
        <v>9568</v>
      </c>
    </row>
    <row r="4519" spans="7:7" x14ac:dyDescent="0.3">
      <c r="G4519" s="400" t="s">
        <v>9568</v>
      </c>
    </row>
    <row r="4520" spans="7:7" x14ac:dyDescent="0.3">
      <c r="G4520" s="400" t="s">
        <v>9568</v>
      </c>
    </row>
    <row r="4521" spans="7:7" x14ac:dyDescent="0.3">
      <c r="G4521" s="400" t="s">
        <v>9568</v>
      </c>
    </row>
    <row r="4522" spans="7:7" x14ac:dyDescent="0.3">
      <c r="G4522" s="400" t="s">
        <v>9568</v>
      </c>
    </row>
    <row r="4523" spans="7:7" x14ac:dyDescent="0.3">
      <c r="G4523" s="400" t="s">
        <v>9568</v>
      </c>
    </row>
    <row r="4524" spans="7:7" x14ac:dyDescent="0.3">
      <c r="G4524" s="400" t="s">
        <v>9568</v>
      </c>
    </row>
    <row r="4525" spans="7:7" x14ac:dyDescent="0.3">
      <c r="G4525" s="400" t="s">
        <v>9568</v>
      </c>
    </row>
    <row r="4526" spans="7:7" x14ac:dyDescent="0.3">
      <c r="G4526" s="400" t="s">
        <v>9568</v>
      </c>
    </row>
    <row r="4527" spans="7:7" x14ac:dyDescent="0.3">
      <c r="G4527" s="400" t="s">
        <v>9568</v>
      </c>
    </row>
    <row r="4528" spans="7:7" x14ac:dyDescent="0.3">
      <c r="G4528" s="400" t="s">
        <v>9568</v>
      </c>
    </row>
    <row r="4529" spans="7:7" x14ac:dyDescent="0.3">
      <c r="G4529" s="400" t="s">
        <v>9568</v>
      </c>
    </row>
    <row r="4530" spans="7:7" x14ac:dyDescent="0.3">
      <c r="G4530" s="400" t="s">
        <v>9568</v>
      </c>
    </row>
    <row r="4531" spans="7:7" x14ac:dyDescent="0.3">
      <c r="G4531" s="400" t="s">
        <v>9568</v>
      </c>
    </row>
    <row r="4532" spans="7:7" x14ac:dyDescent="0.3">
      <c r="G4532" s="400" t="s">
        <v>9568</v>
      </c>
    </row>
    <row r="4533" spans="7:7" x14ac:dyDescent="0.3">
      <c r="G4533" s="400" t="s">
        <v>9568</v>
      </c>
    </row>
    <row r="4534" spans="7:7" x14ac:dyDescent="0.3">
      <c r="G4534" s="400" t="s">
        <v>9568</v>
      </c>
    </row>
    <row r="4535" spans="7:7" x14ac:dyDescent="0.3">
      <c r="G4535" s="400" t="s">
        <v>9568</v>
      </c>
    </row>
    <row r="4536" spans="7:7" x14ac:dyDescent="0.3">
      <c r="G4536" s="400" t="s">
        <v>9568</v>
      </c>
    </row>
    <row r="4537" spans="7:7" x14ac:dyDescent="0.3">
      <c r="G4537" s="400" t="s">
        <v>9568</v>
      </c>
    </row>
    <row r="4538" spans="7:7" x14ac:dyDescent="0.3">
      <c r="G4538" s="400" t="s">
        <v>9568</v>
      </c>
    </row>
    <row r="4539" spans="7:7" x14ac:dyDescent="0.3">
      <c r="G4539" s="400" t="s">
        <v>9568</v>
      </c>
    </row>
    <row r="4540" spans="7:7" x14ac:dyDescent="0.3">
      <c r="G4540" s="400" t="s">
        <v>9568</v>
      </c>
    </row>
    <row r="4541" spans="7:7" x14ac:dyDescent="0.3">
      <c r="G4541" s="400" t="s">
        <v>9568</v>
      </c>
    </row>
    <row r="4542" spans="7:7" x14ac:dyDescent="0.3">
      <c r="G4542" s="400" t="s">
        <v>9568</v>
      </c>
    </row>
    <row r="4543" spans="7:7" x14ac:dyDescent="0.3">
      <c r="G4543" s="400" t="s">
        <v>9568</v>
      </c>
    </row>
    <row r="4544" spans="7:7" x14ac:dyDescent="0.3">
      <c r="G4544" s="400" t="s">
        <v>9568</v>
      </c>
    </row>
    <row r="4545" spans="7:7" x14ac:dyDescent="0.3">
      <c r="G4545" s="400" t="s">
        <v>9568</v>
      </c>
    </row>
    <row r="4546" spans="7:7" x14ac:dyDescent="0.3">
      <c r="G4546" s="400" t="s">
        <v>9568</v>
      </c>
    </row>
    <row r="4547" spans="7:7" x14ac:dyDescent="0.3">
      <c r="G4547" s="400" t="s">
        <v>9568</v>
      </c>
    </row>
    <row r="4548" spans="7:7" x14ac:dyDescent="0.3">
      <c r="G4548" s="400" t="s">
        <v>9568</v>
      </c>
    </row>
    <row r="4549" spans="7:7" x14ac:dyDescent="0.3">
      <c r="G4549" s="400" t="s">
        <v>9568</v>
      </c>
    </row>
    <row r="4550" spans="7:7" x14ac:dyDescent="0.3">
      <c r="G4550" s="400" t="s">
        <v>9568</v>
      </c>
    </row>
    <row r="4551" spans="7:7" x14ac:dyDescent="0.3">
      <c r="G4551" s="400" t="s">
        <v>9568</v>
      </c>
    </row>
    <row r="4552" spans="7:7" x14ac:dyDescent="0.3">
      <c r="G4552" s="400" t="s">
        <v>9568</v>
      </c>
    </row>
    <row r="4553" spans="7:7" x14ac:dyDescent="0.3">
      <c r="G4553" s="400" t="s">
        <v>9568</v>
      </c>
    </row>
    <row r="4554" spans="7:7" x14ac:dyDescent="0.3">
      <c r="G4554" s="400" t="s">
        <v>9568</v>
      </c>
    </row>
    <row r="4555" spans="7:7" x14ac:dyDescent="0.3">
      <c r="G4555" s="400" t="s">
        <v>9568</v>
      </c>
    </row>
    <row r="4556" spans="7:7" x14ac:dyDescent="0.3">
      <c r="G4556" s="400" t="s">
        <v>9568</v>
      </c>
    </row>
    <row r="4557" spans="7:7" x14ac:dyDescent="0.3">
      <c r="G4557" s="400" t="s">
        <v>9568</v>
      </c>
    </row>
    <row r="4558" spans="7:7" x14ac:dyDescent="0.3">
      <c r="G4558" s="400" t="s">
        <v>9568</v>
      </c>
    </row>
    <row r="4559" spans="7:7" x14ac:dyDescent="0.3">
      <c r="G4559" s="400" t="s">
        <v>9568</v>
      </c>
    </row>
    <row r="4560" spans="7:7" x14ac:dyDescent="0.3">
      <c r="G4560" s="400" t="s">
        <v>9568</v>
      </c>
    </row>
    <row r="4561" spans="7:7" x14ac:dyDescent="0.3">
      <c r="G4561" s="400" t="s">
        <v>9568</v>
      </c>
    </row>
    <row r="4562" spans="7:7" x14ac:dyDescent="0.3">
      <c r="G4562" s="400" t="s">
        <v>9568</v>
      </c>
    </row>
    <row r="4563" spans="7:7" x14ac:dyDescent="0.3">
      <c r="G4563" s="400" t="s">
        <v>9568</v>
      </c>
    </row>
    <row r="4564" spans="7:7" x14ac:dyDescent="0.3">
      <c r="G4564" s="400" t="s">
        <v>9568</v>
      </c>
    </row>
    <row r="4565" spans="7:7" x14ac:dyDescent="0.3">
      <c r="G4565" s="400" t="s">
        <v>9568</v>
      </c>
    </row>
    <row r="4566" spans="7:7" x14ac:dyDescent="0.3">
      <c r="G4566" s="400" t="s">
        <v>9568</v>
      </c>
    </row>
    <row r="4567" spans="7:7" x14ac:dyDescent="0.3">
      <c r="G4567" s="400" t="s">
        <v>9568</v>
      </c>
    </row>
    <row r="4568" spans="7:7" x14ac:dyDescent="0.3">
      <c r="G4568" s="400" t="s">
        <v>9568</v>
      </c>
    </row>
    <row r="4569" spans="7:7" x14ac:dyDescent="0.3">
      <c r="G4569" s="400" t="s">
        <v>9568</v>
      </c>
    </row>
    <row r="4570" spans="7:7" x14ac:dyDescent="0.3">
      <c r="G4570" s="400" t="s">
        <v>9568</v>
      </c>
    </row>
    <row r="4571" spans="7:7" x14ac:dyDescent="0.3">
      <c r="G4571" s="400" t="s">
        <v>9568</v>
      </c>
    </row>
    <row r="4572" spans="7:7" x14ac:dyDescent="0.3">
      <c r="G4572" s="400" t="s">
        <v>9568</v>
      </c>
    </row>
    <row r="4573" spans="7:7" x14ac:dyDescent="0.3">
      <c r="G4573" s="400" t="s">
        <v>9568</v>
      </c>
    </row>
    <row r="4574" spans="7:7" x14ac:dyDescent="0.3">
      <c r="G4574" s="400" t="s">
        <v>9568</v>
      </c>
    </row>
    <row r="4575" spans="7:7" x14ac:dyDescent="0.3">
      <c r="G4575" s="400" t="s">
        <v>9568</v>
      </c>
    </row>
    <row r="4576" spans="7:7" x14ac:dyDescent="0.3">
      <c r="G4576" s="400" t="s">
        <v>9568</v>
      </c>
    </row>
    <row r="4577" spans="7:7" x14ac:dyDescent="0.3">
      <c r="G4577" s="400" t="s">
        <v>9568</v>
      </c>
    </row>
    <row r="4578" spans="7:7" x14ac:dyDescent="0.3">
      <c r="G4578" s="400" t="s">
        <v>9568</v>
      </c>
    </row>
    <row r="4579" spans="7:7" x14ac:dyDescent="0.3">
      <c r="G4579" s="400" t="s">
        <v>9568</v>
      </c>
    </row>
    <row r="4580" spans="7:7" x14ac:dyDescent="0.3">
      <c r="G4580" s="400" t="s">
        <v>9568</v>
      </c>
    </row>
    <row r="4581" spans="7:7" x14ac:dyDescent="0.3">
      <c r="G4581" s="400" t="s">
        <v>9568</v>
      </c>
    </row>
    <row r="4582" spans="7:7" x14ac:dyDescent="0.3">
      <c r="G4582" s="400" t="s">
        <v>9568</v>
      </c>
    </row>
    <row r="4583" spans="7:7" x14ac:dyDescent="0.3">
      <c r="G4583" s="400" t="s">
        <v>9568</v>
      </c>
    </row>
    <row r="4584" spans="7:7" x14ac:dyDescent="0.3">
      <c r="G4584" s="400" t="s">
        <v>9568</v>
      </c>
    </row>
    <row r="4585" spans="7:7" x14ac:dyDescent="0.3">
      <c r="G4585" s="400" t="s">
        <v>9568</v>
      </c>
    </row>
    <row r="4586" spans="7:7" x14ac:dyDescent="0.3">
      <c r="G4586" s="400" t="s">
        <v>9568</v>
      </c>
    </row>
    <row r="4587" spans="7:7" x14ac:dyDescent="0.3">
      <c r="G4587" s="400" t="s">
        <v>9568</v>
      </c>
    </row>
    <row r="4588" spans="7:7" x14ac:dyDescent="0.3">
      <c r="G4588" s="400" t="s">
        <v>9568</v>
      </c>
    </row>
    <row r="4589" spans="7:7" x14ac:dyDescent="0.3">
      <c r="G4589" s="400" t="s">
        <v>9568</v>
      </c>
    </row>
    <row r="4590" spans="7:7" x14ac:dyDescent="0.3">
      <c r="G4590" s="400" t="s">
        <v>9568</v>
      </c>
    </row>
    <row r="4591" spans="7:7" x14ac:dyDescent="0.3">
      <c r="G4591" s="400" t="s">
        <v>9568</v>
      </c>
    </row>
    <row r="4592" spans="7:7" x14ac:dyDescent="0.3">
      <c r="G4592" s="400" t="s">
        <v>9568</v>
      </c>
    </row>
    <row r="4593" spans="7:7" x14ac:dyDescent="0.3">
      <c r="G4593" s="400" t="s">
        <v>9568</v>
      </c>
    </row>
    <row r="4594" spans="7:7" x14ac:dyDescent="0.3">
      <c r="G4594" s="400" t="s">
        <v>9568</v>
      </c>
    </row>
    <row r="4595" spans="7:7" x14ac:dyDescent="0.3">
      <c r="G4595" s="400" t="s">
        <v>9568</v>
      </c>
    </row>
    <row r="4596" spans="7:7" x14ac:dyDescent="0.3">
      <c r="G4596" s="400" t="s">
        <v>9568</v>
      </c>
    </row>
    <row r="4597" spans="7:7" x14ac:dyDescent="0.3">
      <c r="G4597" s="400" t="s">
        <v>9568</v>
      </c>
    </row>
    <row r="4598" spans="7:7" x14ac:dyDescent="0.3">
      <c r="G4598" s="400" t="s">
        <v>9568</v>
      </c>
    </row>
    <row r="4599" spans="7:7" x14ac:dyDescent="0.3">
      <c r="G4599" s="400" t="s">
        <v>9568</v>
      </c>
    </row>
    <row r="4600" spans="7:7" x14ac:dyDescent="0.3">
      <c r="G4600" s="400" t="s">
        <v>9568</v>
      </c>
    </row>
    <row r="4601" spans="7:7" x14ac:dyDescent="0.3">
      <c r="G4601" s="400" t="s">
        <v>9568</v>
      </c>
    </row>
    <row r="4602" spans="7:7" x14ac:dyDescent="0.3">
      <c r="G4602" s="400" t="s">
        <v>9568</v>
      </c>
    </row>
    <row r="4603" spans="7:7" x14ac:dyDescent="0.3">
      <c r="G4603" s="400" t="s">
        <v>9568</v>
      </c>
    </row>
    <row r="4604" spans="7:7" x14ac:dyDescent="0.3">
      <c r="G4604" s="400" t="s">
        <v>9568</v>
      </c>
    </row>
    <row r="4605" spans="7:7" x14ac:dyDescent="0.3">
      <c r="G4605" s="400" t="s">
        <v>9568</v>
      </c>
    </row>
    <row r="4606" spans="7:7" x14ac:dyDescent="0.3">
      <c r="G4606" s="400" t="s">
        <v>9568</v>
      </c>
    </row>
    <row r="4607" spans="7:7" x14ac:dyDescent="0.3">
      <c r="G4607" s="400" t="s">
        <v>9568</v>
      </c>
    </row>
    <row r="4608" spans="7:7" x14ac:dyDescent="0.3">
      <c r="G4608" s="400" t="s">
        <v>9568</v>
      </c>
    </row>
    <row r="4609" spans="7:7" x14ac:dyDescent="0.3">
      <c r="G4609" s="400" t="s">
        <v>9568</v>
      </c>
    </row>
    <row r="4610" spans="7:7" x14ac:dyDescent="0.3">
      <c r="G4610" s="400" t="s">
        <v>9568</v>
      </c>
    </row>
    <row r="4611" spans="7:7" x14ac:dyDescent="0.3">
      <c r="G4611" s="400" t="s">
        <v>9568</v>
      </c>
    </row>
    <row r="4612" spans="7:7" x14ac:dyDescent="0.3">
      <c r="G4612" s="400" t="s">
        <v>9568</v>
      </c>
    </row>
    <row r="4613" spans="7:7" x14ac:dyDescent="0.3">
      <c r="G4613" s="400" t="s">
        <v>9568</v>
      </c>
    </row>
    <row r="4614" spans="7:7" x14ac:dyDescent="0.3">
      <c r="G4614" s="400" t="s">
        <v>9568</v>
      </c>
    </row>
    <row r="4615" spans="7:7" x14ac:dyDescent="0.3">
      <c r="G4615" s="400" t="s">
        <v>9568</v>
      </c>
    </row>
    <row r="4616" spans="7:7" x14ac:dyDescent="0.3">
      <c r="G4616" s="400" t="s">
        <v>9568</v>
      </c>
    </row>
    <row r="4617" spans="7:7" x14ac:dyDescent="0.3">
      <c r="G4617" s="400" t="s">
        <v>9568</v>
      </c>
    </row>
    <row r="4618" spans="7:7" x14ac:dyDescent="0.3">
      <c r="G4618" s="400" t="s">
        <v>9568</v>
      </c>
    </row>
    <row r="4619" spans="7:7" x14ac:dyDescent="0.3">
      <c r="G4619" s="400" t="s">
        <v>9568</v>
      </c>
    </row>
    <row r="4620" spans="7:7" x14ac:dyDescent="0.3">
      <c r="G4620" s="400" t="s">
        <v>9568</v>
      </c>
    </row>
    <row r="4621" spans="7:7" x14ac:dyDescent="0.3">
      <c r="G4621" s="400" t="s">
        <v>9568</v>
      </c>
    </row>
    <row r="4622" spans="7:7" x14ac:dyDescent="0.3">
      <c r="G4622" s="400" t="s">
        <v>9568</v>
      </c>
    </row>
    <row r="4623" spans="7:7" x14ac:dyDescent="0.3">
      <c r="G4623" s="400" t="s">
        <v>9568</v>
      </c>
    </row>
    <row r="4624" spans="7:7" x14ac:dyDescent="0.3">
      <c r="G4624" s="400" t="s">
        <v>9568</v>
      </c>
    </row>
    <row r="4625" spans="7:7" x14ac:dyDescent="0.3">
      <c r="G4625" s="400" t="s">
        <v>9568</v>
      </c>
    </row>
    <row r="4626" spans="7:7" x14ac:dyDescent="0.3">
      <c r="G4626" s="400" t="s">
        <v>9568</v>
      </c>
    </row>
    <row r="4627" spans="7:7" x14ac:dyDescent="0.3">
      <c r="G4627" s="400" t="s">
        <v>9568</v>
      </c>
    </row>
    <row r="4628" spans="7:7" x14ac:dyDescent="0.3">
      <c r="G4628" s="400" t="s">
        <v>9568</v>
      </c>
    </row>
    <row r="4629" spans="7:7" x14ac:dyDescent="0.3">
      <c r="G4629" s="400" t="s">
        <v>9568</v>
      </c>
    </row>
    <row r="4630" spans="7:7" x14ac:dyDescent="0.3">
      <c r="G4630" s="400" t="s">
        <v>9568</v>
      </c>
    </row>
    <row r="4631" spans="7:7" x14ac:dyDescent="0.3">
      <c r="G4631" s="400" t="s">
        <v>9568</v>
      </c>
    </row>
    <row r="4632" spans="7:7" x14ac:dyDescent="0.3">
      <c r="G4632" s="400" t="s">
        <v>9568</v>
      </c>
    </row>
    <row r="4633" spans="7:7" x14ac:dyDescent="0.3">
      <c r="G4633" s="400" t="s">
        <v>9568</v>
      </c>
    </row>
    <row r="4634" spans="7:7" x14ac:dyDescent="0.3">
      <c r="G4634" s="400" t="s">
        <v>9568</v>
      </c>
    </row>
    <row r="4635" spans="7:7" x14ac:dyDescent="0.3">
      <c r="G4635" s="400" t="s">
        <v>9568</v>
      </c>
    </row>
    <row r="4636" spans="7:7" x14ac:dyDescent="0.3">
      <c r="G4636" s="400" t="s">
        <v>9568</v>
      </c>
    </row>
    <row r="4637" spans="7:7" x14ac:dyDescent="0.3">
      <c r="G4637" s="400" t="s">
        <v>9568</v>
      </c>
    </row>
    <row r="4638" spans="7:7" x14ac:dyDescent="0.3">
      <c r="G4638" s="400" t="s">
        <v>9568</v>
      </c>
    </row>
    <row r="4639" spans="7:7" x14ac:dyDescent="0.3">
      <c r="G4639" s="400" t="s">
        <v>9568</v>
      </c>
    </row>
    <row r="4640" spans="7:7" x14ac:dyDescent="0.3">
      <c r="G4640" s="400" t="s">
        <v>9568</v>
      </c>
    </row>
    <row r="4641" spans="7:7" x14ac:dyDescent="0.3">
      <c r="G4641" s="400" t="s">
        <v>9568</v>
      </c>
    </row>
    <row r="4642" spans="7:7" x14ac:dyDescent="0.3">
      <c r="G4642" s="400" t="s">
        <v>9568</v>
      </c>
    </row>
    <row r="4643" spans="7:7" x14ac:dyDescent="0.3">
      <c r="G4643" s="400" t="s">
        <v>9568</v>
      </c>
    </row>
    <row r="4644" spans="7:7" x14ac:dyDescent="0.3">
      <c r="G4644" s="400" t="s">
        <v>9568</v>
      </c>
    </row>
    <row r="4645" spans="7:7" x14ac:dyDescent="0.3">
      <c r="G4645" s="400" t="s">
        <v>9568</v>
      </c>
    </row>
    <row r="4646" spans="7:7" x14ac:dyDescent="0.3">
      <c r="G4646" s="400" t="s">
        <v>9568</v>
      </c>
    </row>
    <row r="4647" spans="7:7" x14ac:dyDescent="0.3">
      <c r="G4647" s="400" t="s">
        <v>9568</v>
      </c>
    </row>
    <row r="4648" spans="7:7" x14ac:dyDescent="0.3">
      <c r="G4648" s="400" t="s">
        <v>9568</v>
      </c>
    </row>
    <row r="4649" spans="7:7" x14ac:dyDescent="0.3">
      <c r="G4649" s="400" t="s">
        <v>9568</v>
      </c>
    </row>
    <row r="4650" spans="7:7" x14ac:dyDescent="0.3">
      <c r="G4650" s="400" t="s">
        <v>9568</v>
      </c>
    </row>
    <row r="4651" spans="7:7" x14ac:dyDescent="0.3">
      <c r="G4651" s="400" t="s">
        <v>9568</v>
      </c>
    </row>
    <row r="4652" spans="7:7" x14ac:dyDescent="0.3">
      <c r="G4652" s="400" t="s">
        <v>9568</v>
      </c>
    </row>
    <row r="4653" spans="7:7" x14ac:dyDescent="0.3">
      <c r="G4653" s="400" t="s">
        <v>9568</v>
      </c>
    </row>
    <row r="4654" spans="7:7" x14ac:dyDescent="0.3">
      <c r="G4654" s="400" t="s">
        <v>9568</v>
      </c>
    </row>
    <row r="4655" spans="7:7" x14ac:dyDescent="0.3">
      <c r="G4655" s="400" t="s">
        <v>9568</v>
      </c>
    </row>
    <row r="4656" spans="7:7" x14ac:dyDescent="0.3">
      <c r="G4656" s="400" t="s">
        <v>9568</v>
      </c>
    </row>
    <row r="4657" spans="7:7" x14ac:dyDescent="0.3">
      <c r="G4657" s="400" t="s">
        <v>9568</v>
      </c>
    </row>
    <row r="4658" spans="7:7" x14ac:dyDescent="0.3">
      <c r="G4658" s="400" t="s">
        <v>9568</v>
      </c>
    </row>
    <row r="4659" spans="7:7" x14ac:dyDescent="0.3">
      <c r="G4659" s="400" t="s">
        <v>9568</v>
      </c>
    </row>
    <row r="4660" spans="7:7" x14ac:dyDescent="0.3">
      <c r="G4660" s="400" t="s">
        <v>9568</v>
      </c>
    </row>
    <row r="4661" spans="7:7" x14ac:dyDescent="0.3">
      <c r="G4661" s="400" t="s">
        <v>9568</v>
      </c>
    </row>
    <row r="4662" spans="7:7" x14ac:dyDescent="0.3">
      <c r="G4662" s="400" t="s">
        <v>9568</v>
      </c>
    </row>
    <row r="4663" spans="7:7" x14ac:dyDescent="0.3">
      <c r="G4663" s="400" t="s">
        <v>9568</v>
      </c>
    </row>
    <row r="4664" spans="7:7" x14ac:dyDescent="0.3">
      <c r="G4664" s="400" t="s">
        <v>9568</v>
      </c>
    </row>
    <row r="4665" spans="7:7" x14ac:dyDescent="0.3">
      <c r="G4665" s="400" t="s">
        <v>9568</v>
      </c>
    </row>
    <row r="4666" spans="7:7" x14ac:dyDescent="0.3">
      <c r="G4666" s="400" t="s">
        <v>9568</v>
      </c>
    </row>
    <row r="4667" spans="7:7" x14ac:dyDescent="0.3">
      <c r="G4667" s="400" t="s">
        <v>9568</v>
      </c>
    </row>
    <row r="4668" spans="7:7" x14ac:dyDescent="0.3">
      <c r="G4668" s="400" t="s">
        <v>9568</v>
      </c>
    </row>
    <row r="4669" spans="7:7" x14ac:dyDescent="0.3">
      <c r="G4669" s="400" t="s">
        <v>9568</v>
      </c>
    </row>
    <row r="4670" spans="7:7" x14ac:dyDescent="0.3">
      <c r="G4670" s="400" t="s">
        <v>9568</v>
      </c>
    </row>
    <row r="4671" spans="7:7" x14ac:dyDescent="0.3">
      <c r="G4671" s="400" t="s">
        <v>9568</v>
      </c>
    </row>
    <row r="4672" spans="7:7" x14ac:dyDescent="0.3">
      <c r="G4672" s="400" t="s">
        <v>9568</v>
      </c>
    </row>
    <row r="4673" spans="7:7" x14ac:dyDescent="0.3">
      <c r="G4673" s="400" t="s">
        <v>9568</v>
      </c>
    </row>
    <row r="4674" spans="7:7" x14ac:dyDescent="0.3">
      <c r="G4674" s="400" t="s">
        <v>9568</v>
      </c>
    </row>
    <row r="4675" spans="7:7" x14ac:dyDescent="0.3">
      <c r="G4675" s="400" t="s">
        <v>9568</v>
      </c>
    </row>
    <row r="4676" spans="7:7" x14ac:dyDescent="0.3">
      <c r="G4676" s="400" t="s">
        <v>9568</v>
      </c>
    </row>
    <row r="4677" spans="7:7" x14ac:dyDescent="0.3">
      <c r="G4677" s="400" t="s">
        <v>9568</v>
      </c>
    </row>
    <row r="4678" spans="7:7" x14ac:dyDescent="0.3">
      <c r="G4678" s="400" t="s">
        <v>9568</v>
      </c>
    </row>
    <row r="4679" spans="7:7" x14ac:dyDescent="0.3">
      <c r="G4679" s="400" t="s">
        <v>9568</v>
      </c>
    </row>
    <row r="4680" spans="7:7" x14ac:dyDescent="0.3">
      <c r="G4680" s="400" t="s">
        <v>9568</v>
      </c>
    </row>
    <row r="4681" spans="7:7" x14ac:dyDescent="0.3">
      <c r="G4681" s="400" t="s">
        <v>9568</v>
      </c>
    </row>
    <row r="4682" spans="7:7" x14ac:dyDescent="0.3">
      <c r="G4682" s="400" t="s">
        <v>9568</v>
      </c>
    </row>
    <row r="4683" spans="7:7" x14ac:dyDescent="0.3">
      <c r="G4683" s="400" t="s">
        <v>9568</v>
      </c>
    </row>
    <row r="4684" spans="7:7" x14ac:dyDescent="0.3">
      <c r="G4684" s="400" t="s">
        <v>9568</v>
      </c>
    </row>
    <row r="4685" spans="7:7" x14ac:dyDescent="0.3">
      <c r="G4685" s="400" t="s">
        <v>9568</v>
      </c>
    </row>
    <row r="4686" spans="7:7" x14ac:dyDescent="0.3">
      <c r="G4686" s="400" t="s">
        <v>9568</v>
      </c>
    </row>
    <row r="4687" spans="7:7" x14ac:dyDescent="0.3">
      <c r="G4687" s="400" t="s">
        <v>9568</v>
      </c>
    </row>
    <row r="4688" spans="7:7" x14ac:dyDescent="0.3">
      <c r="G4688" s="400" t="s">
        <v>9568</v>
      </c>
    </row>
    <row r="4689" spans="7:7" x14ac:dyDescent="0.3">
      <c r="G4689" s="400" t="s">
        <v>9568</v>
      </c>
    </row>
    <row r="4690" spans="7:7" x14ac:dyDescent="0.3">
      <c r="G4690" s="400" t="s">
        <v>9568</v>
      </c>
    </row>
    <row r="4691" spans="7:7" x14ac:dyDescent="0.3">
      <c r="G4691" s="400" t="s">
        <v>9568</v>
      </c>
    </row>
    <row r="4692" spans="7:7" x14ac:dyDescent="0.3">
      <c r="G4692" s="400" t="s">
        <v>9568</v>
      </c>
    </row>
    <row r="4693" spans="7:7" x14ac:dyDescent="0.3">
      <c r="G4693" s="400" t="s">
        <v>9568</v>
      </c>
    </row>
    <row r="4694" spans="7:7" x14ac:dyDescent="0.3">
      <c r="G4694" s="400" t="s">
        <v>9568</v>
      </c>
    </row>
    <row r="4695" spans="7:7" x14ac:dyDescent="0.3">
      <c r="G4695" s="400" t="s">
        <v>9568</v>
      </c>
    </row>
    <row r="4696" spans="7:7" x14ac:dyDescent="0.3">
      <c r="G4696" s="400" t="s">
        <v>9568</v>
      </c>
    </row>
    <row r="4697" spans="7:7" x14ac:dyDescent="0.3">
      <c r="G4697" s="400" t="s">
        <v>9568</v>
      </c>
    </row>
    <row r="4698" spans="7:7" x14ac:dyDescent="0.3">
      <c r="G4698" s="400" t="s">
        <v>9568</v>
      </c>
    </row>
    <row r="4699" spans="7:7" x14ac:dyDescent="0.3">
      <c r="G4699" s="400" t="s">
        <v>9568</v>
      </c>
    </row>
    <row r="4700" spans="7:7" x14ac:dyDescent="0.3">
      <c r="G4700" s="400" t="s">
        <v>9568</v>
      </c>
    </row>
    <row r="4701" spans="7:7" x14ac:dyDescent="0.3">
      <c r="G4701" s="400" t="s">
        <v>9568</v>
      </c>
    </row>
    <row r="4702" spans="7:7" x14ac:dyDescent="0.3">
      <c r="G4702" s="400" t="s">
        <v>9568</v>
      </c>
    </row>
    <row r="4703" spans="7:7" x14ac:dyDescent="0.3">
      <c r="G4703" s="400" t="s">
        <v>9568</v>
      </c>
    </row>
    <row r="4704" spans="7:7" x14ac:dyDescent="0.3">
      <c r="G4704" s="400" t="s">
        <v>9568</v>
      </c>
    </row>
    <row r="4705" spans="7:7" x14ac:dyDescent="0.3">
      <c r="G4705" s="400" t="s">
        <v>9568</v>
      </c>
    </row>
    <row r="4706" spans="7:7" x14ac:dyDescent="0.3">
      <c r="G4706" s="400" t="s">
        <v>9568</v>
      </c>
    </row>
    <row r="4707" spans="7:7" x14ac:dyDescent="0.3">
      <c r="G4707" s="400" t="s">
        <v>9568</v>
      </c>
    </row>
    <row r="4708" spans="7:7" x14ac:dyDescent="0.3">
      <c r="G4708" s="400" t="s">
        <v>9568</v>
      </c>
    </row>
    <row r="4709" spans="7:7" x14ac:dyDescent="0.3">
      <c r="G4709" s="400" t="s">
        <v>9568</v>
      </c>
    </row>
    <row r="4710" spans="7:7" x14ac:dyDescent="0.3">
      <c r="G4710" s="400" t="s">
        <v>9568</v>
      </c>
    </row>
    <row r="4711" spans="7:7" x14ac:dyDescent="0.3">
      <c r="G4711" s="400" t="s">
        <v>9568</v>
      </c>
    </row>
    <row r="4712" spans="7:7" x14ac:dyDescent="0.3">
      <c r="G4712" s="400" t="s">
        <v>9568</v>
      </c>
    </row>
    <row r="4713" spans="7:7" x14ac:dyDescent="0.3">
      <c r="G4713" s="400" t="s">
        <v>9568</v>
      </c>
    </row>
    <row r="4714" spans="7:7" x14ac:dyDescent="0.3">
      <c r="G4714" s="400" t="s">
        <v>9568</v>
      </c>
    </row>
    <row r="4715" spans="7:7" x14ac:dyDescent="0.3">
      <c r="G4715" s="400" t="s">
        <v>9568</v>
      </c>
    </row>
    <row r="4716" spans="7:7" x14ac:dyDescent="0.3">
      <c r="G4716" s="400" t="s">
        <v>9568</v>
      </c>
    </row>
    <row r="4717" spans="7:7" x14ac:dyDescent="0.3">
      <c r="G4717" s="400" t="s">
        <v>9568</v>
      </c>
    </row>
    <row r="4718" spans="7:7" x14ac:dyDescent="0.3">
      <c r="G4718" s="400" t="s">
        <v>9568</v>
      </c>
    </row>
    <row r="4719" spans="7:7" x14ac:dyDescent="0.3">
      <c r="G4719" s="400" t="s">
        <v>9568</v>
      </c>
    </row>
    <row r="4720" spans="7:7" x14ac:dyDescent="0.3">
      <c r="G4720" s="400" t="s">
        <v>9568</v>
      </c>
    </row>
    <row r="4721" spans="7:7" x14ac:dyDescent="0.3">
      <c r="G4721" s="400" t="s">
        <v>9568</v>
      </c>
    </row>
    <row r="4722" spans="7:7" x14ac:dyDescent="0.3">
      <c r="G4722" s="400" t="s">
        <v>9568</v>
      </c>
    </row>
    <row r="4723" spans="7:7" x14ac:dyDescent="0.3">
      <c r="G4723" s="400" t="s">
        <v>9568</v>
      </c>
    </row>
    <row r="4724" spans="7:7" x14ac:dyDescent="0.3">
      <c r="G4724" s="400" t="s">
        <v>9568</v>
      </c>
    </row>
    <row r="4725" spans="7:7" x14ac:dyDescent="0.3">
      <c r="G4725" s="400" t="s">
        <v>9568</v>
      </c>
    </row>
    <row r="4726" spans="7:7" x14ac:dyDescent="0.3">
      <c r="G4726" s="400" t="s">
        <v>9568</v>
      </c>
    </row>
    <row r="4727" spans="7:7" x14ac:dyDescent="0.3">
      <c r="G4727" s="400" t="s">
        <v>9568</v>
      </c>
    </row>
    <row r="4728" spans="7:7" x14ac:dyDescent="0.3">
      <c r="G4728" s="400" t="s">
        <v>9568</v>
      </c>
    </row>
    <row r="4729" spans="7:7" x14ac:dyDescent="0.3">
      <c r="G4729" s="400" t="s">
        <v>9568</v>
      </c>
    </row>
    <row r="4730" spans="7:7" x14ac:dyDescent="0.3">
      <c r="G4730" s="400" t="s">
        <v>9568</v>
      </c>
    </row>
    <row r="4731" spans="7:7" x14ac:dyDescent="0.3">
      <c r="G4731" s="400" t="s">
        <v>9568</v>
      </c>
    </row>
    <row r="4732" spans="7:7" x14ac:dyDescent="0.3">
      <c r="G4732" s="400" t="s">
        <v>9568</v>
      </c>
    </row>
    <row r="4733" spans="7:7" x14ac:dyDescent="0.3">
      <c r="G4733" s="400" t="s">
        <v>9568</v>
      </c>
    </row>
    <row r="4734" spans="7:7" x14ac:dyDescent="0.3">
      <c r="G4734" s="400" t="s">
        <v>9568</v>
      </c>
    </row>
    <row r="4735" spans="7:7" x14ac:dyDescent="0.3">
      <c r="G4735" s="400" t="s">
        <v>9568</v>
      </c>
    </row>
    <row r="4736" spans="7:7" x14ac:dyDescent="0.3">
      <c r="G4736" s="400" t="s">
        <v>9568</v>
      </c>
    </row>
    <row r="4737" spans="7:7" x14ac:dyDescent="0.3">
      <c r="G4737" s="400" t="s">
        <v>9568</v>
      </c>
    </row>
    <row r="4738" spans="7:7" x14ac:dyDescent="0.3">
      <c r="G4738" s="400" t="s">
        <v>9568</v>
      </c>
    </row>
    <row r="4739" spans="7:7" x14ac:dyDescent="0.3">
      <c r="G4739" s="400" t="s">
        <v>9568</v>
      </c>
    </row>
    <row r="4740" spans="7:7" x14ac:dyDescent="0.3">
      <c r="G4740" s="400" t="s">
        <v>9568</v>
      </c>
    </row>
    <row r="4741" spans="7:7" x14ac:dyDescent="0.3">
      <c r="G4741" s="400" t="s">
        <v>9568</v>
      </c>
    </row>
    <row r="4742" spans="7:7" x14ac:dyDescent="0.3">
      <c r="G4742" s="400" t="s">
        <v>9568</v>
      </c>
    </row>
    <row r="4743" spans="7:7" x14ac:dyDescent="0.3">
      <c r="G4743" s="400" t="s">
        <v>9568</v>
      </c>
    </row>
    <row r="4744" spans="7:7" x14ac:dyDescent="0.3">
      <c r="G4744" s="400" t="s">
        <v>9568</v>
      </c>
    </row>
    <row r="4745" spans="7:7" x14ac:dyDescent="0.3">
      <c r="G4745" s="400" t="s">
        <v>9568</v>
      </c>
    </row>
    <row r="4746" spans="7:7" x14ac:dyDescent="0.3">
      <c r="G4746" s="400" t="s">
        <v>9568</v>
      </c>
    </row>
    <row r="4747" spans="7:7" x14ac:dyDescent="0.3">
      <c r="G4747" s="400" t="s">
        <v>9568</v>
      </c>
    </row>
    <row r="4748" spans="7:7" x14ac:dyDescent="0.3">
      <c r="G4748" s="400" t="s">
        <v>9568</v>
      </c>
    </row>
    <row r="4749" spans="7:7" x14ac:dyDescent="0.3">
      <c r="G4749" s="400" t="s">
        <v>9568</v>
      </c>
    </row>
    <row r="4750" spans="7:7" x14ac:dyDescent="0.3">
      <c r="G4750" s="400" t="s">
        <v>9568</v>
      </c>
    </row>
    <row r="4751" spans="7:7" x14ac:dyDescent="0.3">
      <c r="G4751" s="400" t="s">
        <v>9568</v>
      </c>
    </row>
    <row r="4752" spans="7:7" x14ac:dyDescent="0.3">
      <c r="G4752" s="400" t="s">
        <v>9568</v>
      </c>
    </row>
    <row r="4753" spans="7:7" x14ac:dyDescent="0.3">
      <c r="G4753" s="400" t="s">
        <v>9568</v>
      </c>
    </row>
    <row r="4754" spans="7:7" x14ac:dyDescent="0.3">
      <c r="G4754" s="400" t="s">
        <v>9568</v>
      </c>
    </row>
    <row r="4755" spans="7:7" x14ac:dyDescent="0.3">
      <c r="G4755" s="400" t="s">
        <v>9568</v>
      </c>
    </row>
    <row r="4756" spans="7:7" x14ac:dyDescent="0.3">
      <c r="G4756" s="400" t="s">
        <v>9568</v>
      </c>
    </row>
    <row r="4757" spans="7:7" x14ac:dyDescent="0.3">
      <c r="G4757" s="400" t="s">
        <v>9568</v>
      </c>
    </row>
    <row r="4758" spans="7:7" x14ac:dyDescent="0.3">
      <c r="G4758" s="400" t="s">
        <v>9568</v>
      </c>
    </row>
    <row r="4759" spans="7:7" x14ac:dyDescent="0.3">
      <c r="G4759" s="400" t="s">
        <v>9568</v>
      </c>
    </row>
    <row r="4760" spans="7:7" x14ac:dyDescent="0.3">
      <c r="G4760" s="400" t="s">
        <v>9568</v>
      </c>
    </row>
    <row r="4761" spans="7:7" x14ac:dyDescent="0.3">
      <c r="G4761" s="400" t="s">
        <v>9568</v>
      </c>
    </row>
    <row r="4762" spans="7:7" x14ac:dyDescent="0.3">
      <c r="G4762" s="400" t="s">
        <v>9568</v>
      </c>
    </row>
    <row r="4763" spans="7:7" x14ac:dyDescent="0.3">
      <c r="G4763" s="400" t="s">
        <v>9568</v>
      </c>
    </row>
    <row r="4764" spans="7:7" x14ac:dyDescent="0.3">
      <c r="G4764" s="400" t="s">
        <v>9568</v>
      </c>
    </row>
    <row r="4765" spans="7:7" x14ac:dyDescent="0.3">
      <c r="G4765" s="400" t="s">
        <v>9568</v>
      </c>
    </row>
    <row r="4766" spans="7:7" x14ac:dyDescent="0.3">
      <c r="G4766" s="400" t="s">
        <v>9568</v>
      </c>
    </row>
    <row r="4767" spans="7:7" x14ac:dyDescent="0.3">
      <c r="G4767" s="400" t="s">
        <v>9568</v>
      </c>
    </row>
    <row r="4768" spans="7:7" x14ac:dyDescent="0.3">
      <c r="G4768" s="400" t="s">
        <v>9568</v>
      </c>
    </row>
    <row r="4769" spans="7:7" x14ac:dyDescent="0.3">
      <c r="G4769" s="400" t="s">
        <v>9568</v>
      </c>
    </row>
    <row r="4770" spans="7:7" x14ac:dyDescent="0.3">
      <c r="G4770" s="400" t="s">
        <v>9568</v>
      </c>
    </row>
    <row r="4771" spans="7:7" x14ac:dyDescent="0.3">
      <c r="G4771" s="400" t="s">
        <v>9568</v>
      </c>
    </row>
    <row r="4772" spans="7:7" x14ac:dyDescent="0.3">
      <c r="G4772" s="400" t="s">
        <v>9568</v>
      </c>
    </row>
    <row r="4773" spans="7:7" x14ac:dyDescent="0.3">
      <c r="G4773" s="400" t="s">
        <v>9568</v>
      </c>
    </row>
    <row r="4774" spans="7:7" x14ac:dyDescent="0.3">
      <c r="G4774" s="400" t="s">
        <v>9568</v>
      </c>
    </row>
    <row r="4775" spans="7:7" x14ac:dyDescent="0.3">
      <c r="G4775" s="400" t="s">
        <v>9568</v>
      </c>
    </row>
    <row r="4776" spans="7:7" x14ac:dyDescent="0.3">
      <c r="G4776" s="400" t="s">
        <v>9568</v>
      </c>
    </row>
    <row r="4777" spans="7:7" x14ac:dyDescent="0.3">
      <c r="G4777" s="400" t="s">
        <v>9568</v>
      </c>
    </row>
    <row r="4778" spans="7:7" x14ac:dyDescent="0.3">
      <c r="G4778" s="400" t="s">
        <v>9568</v>
      </c>
    </row>
    <row r="4779" spans="7:7" x14ac:dyDescent="0.3">
      <c r="G4779" s="400" t="s">
        <v>9568</v>
      </c>
    </row>
    <row r="4780" spans="7:7" x14ac:dyDescent="0.3">
      <c r="G4780" s="400" t="s">
        <v>9568</v>
      </c>
    </row>
    <row r="4781" spans="7:7" x14ac:dyDescent="0.3">
      <c r="G4781" s="400" t="s">
        <v>9568</v>
      </c>
    </row>
    <row r="4782" spans="7:7" x14ac:dyDescent="0.3">
      <c r="G4782" s="400" t="s">
        <v>9568</v>
      </c>
    </row>
    <row r="4783" spans="7:7" x14ac:dyDescent="0.3">
      <c r="G4783" s="400" t="s">
        <v>9568</v>
      </c>
    </row>
    <row r="4784" spans="7:7" x14ac:dyDescent="0.3">
      <c r="G4784" s="400" t="s">
        <v>9568</v>
      </c>
    </row>
    <row r="4785" spans="7:7" x14ac:dyDescent="0.3">
      <c r="G4785" s="400" t="s">
        <v>9568</v>
      </c>
    </row>
    <row r="4786" spans="7:7" x14ac:dyDescent="0.3">
      <c r="G4786" s="400" t="s">
        <v>9568</v>
      </c>
    </row>
    <row r="4787" spans="7:7" x14ac:dyDescent="0.3">
      <c r="G4787" s="400" t="s">
        <v>9568</v>
      </c>
    </row>
    <row r="4788" spans="7:7" x14ac:dyDescent="0.3">
      <c r="G4788" s="400" t="s">
        <v>9568</v>
      </c>
    </row>
    <row r="4789" spans="7:7" x14ac:dyDescent="0.3">
      <c r="G4789" s="400" t="s">
        <v>9568</v>
      </c>
    </row>
    <row r="4790" spans="7:7" x14ac:dyDescent="0.3">
      <c r="G4790" s="400" t="s">
        <v>9568</v>
      </c>
    </row>
    <row r="4791" spans="7:7" x14ac:dyDescent="0.3">
      <c r="G4791" s="400" t="s">
        <v>9568</v>
      </c>
    </row>
    <row r="4792" spans="7:7" x14ac:dyDescent="0.3">
      <c r="G4792" s="400" t="s">
        <v>9568</v>
      </c>
    </row>
    <row r="4793" spans="7:7" x14ac:dyDescent="0.3">
      <c r="G4793" s="400" t="s">
        <v>9568</v>
      </c>
    </row>
    <row r="4794" spans="7:7" x14ac:dyDescent="0.3">
      <c r="G4794" s="400" t="s">
        <v>9568</v>
      </c>
    </row>
    <row r="4795" spans="7:7" x14ac:dyDescent="0.3">
      <c r="G4795" s="400" t="s">
        <v>9568</v>
      </c>
    </row>
    <row r="4796" spans="7:7" x14ac:dyDescent="0.3">
      <c r="G4796" s="400" t="s">
        <v>9568</v>
      </c>
    </row>
    <row r="4797" spans="7:7" x14ac:dyDescent="0.3">
      <c r="G4797" s="400" t="s">
        <v>9568</v>
      </c>
    </row>
    <row r="4798" spans="7:7" x14ac:dyDescent="0.3">
      <c r="G4798" s="400" t="s">
        <v>9568</v>
      </c>
    </row>
    <row r="4799" spans="7:7" x14ac:dyDescent="0.3">
      <c r="G4799" s="400" t="s">
        <v>9568</v>
      </c>
    </row>
    <row r="4800" spans="7:7" x14ac:dyDescent="0.3">
      <c r="G4800" s="400" t="s">
        <v>9568</v>
      </c>
    </row>
    <row r="4801" spans="7:7" x14ac:dyDescent="0.3">
      <c r="G4801" s="400" t="s">
        <v>9568</v>
      </c>
    </row>
    <row r="4802" spans="7:7" x14ac:dyDescent="0.3">
      <c r="G4802" s="400" t="s">
        <v>9568</v>
      </c>
    </row>
    <row r="4803" spans="7:7" x14ac:dyDescent="0.3">
      <c r="G4803" s="400" t="s">
        <v>9568</v>
      </c>
    </row>
    <row r="4804" spans="7:7" x14ac:dyDescent="0.3">
      <c r="G4804" s="400" t="s">
        <v>9568</v>
      </c>
    </row>
    <row r="4805" spans="7:7" x14ac:dyDescent="0.3">
      <c r="G4805" s="400" t="s">
        <v>9568</v>
      </c>
    </row>
    <row r="4806" spans="7:7" x14ac:dyDescent="0.3">
      <c r="G4806" s="400" t="s">
        <v>9568</v>
      </c>
    </row>
    <row r="4807" spans="7:7" x14ac:dyDescent="0.3">
      <c r="G4807" s="400" t="s">
        <v>9568</v>
      </c>
    </row>
    <row r="4808" spans="7:7" x14ac:dyDescent="0.3">
      <c r="G4808" s="400" t="s">
        <v>9568</v>
      </c>
    </row>
    <row r="4809" spans="7:7" x14ac:dyDescent="0.3">
      <c r="G4809" s="400" t="s">
        <v>9568</v>
      </c>
    </row>
    <row r="4810" spans="7:7" x14ac:dyDescent="0.3">
      <c r="G4810" s="400" t="s">
        <v>9568</v>
      </c>
    </row>
    <row r="4811" spans="7:7" x14ac:dyDescent="0.3">
      <c r="G4811" s="400" t="s">
        <v>9568</v>
      </c>
    </row>
    <row r="4812" spans="7:7" x14ac:dyDescent="0.3">
      <c r="G4812" s="400" t="s">
        <v>9568</v>
      </c>
    </row>
    <row r="4813" spans="7:7" x14ac:dyDescent="0.3">
      <c r="G4813" s="400" t="s">
        <v>9568</v>
      </c>
    </row>
    <row r="4814" spans="7:7" x14ac:dyDescent="0.3">
      <c r="G4814" s="400" t="s">
        <v>9568</v>
      </c>
    </row>
    <row r="4815" spans="7:7" x14ac:dyDescent="0.3">
      <c r="G4815" s="400" t="s">
        <v>9568</v>
      </c>
    </row>
    <row r="4816" spans="7:7" x14ac:dyDescent="0.3">
      <c r="G4816" s="400" t="s">
        <v>9568</v>
      </c>
    </row>
    <row r="4817" spans="7:7" x14ac:dyDescent="0.3">
      <c r="G4817" s="400" t="s">
        <v>9568</v>
      </c>
    </row>
    <row r="4818" spans="7:7" x14ac:dyDescent="0.3">
      <c r="G4818" s="400" t="s">
        <v>9568</v>
      </c>
    </row>
    <row r="4819" spans="7:7" x14ac:dyDescent="0.3">
      <c r="G4819" s="400" t="s">
        <v>9568</v>
      </c>
    </row>
    <row r="4820" spans="7:7" x14ac:dyDescent="0.3">
      <c r="G4820" s="400" t="s">
        <v>9568</v>
      </c>
    </row>
    <row r="4821" spans="7:7" x14ac:dyDescent="0.3">
      <c r="G4821" s="400" t="s">
        <v>9568</v>
      </c>
    </row>
    <row r="4822" spans="7:7" x14ac:dyDescent="0.3">
      <c r="G4822" s="400" t="s">
        <v>9568</v>
      </c>
    </row>
    <row r="4823" spans="7:7" x14ac:dyDescent="0.3">
      <c r="G4823" s="400" t="s">
        <v>9568</v>
      </c>
    </row>
    <row r="4824" spans="7:7" x14ac:dyDescent="0.3">
      <c r="G4824" s="400" t="s">
        <v>9568</v>
      </c>
    </row>
    <row r="4825" spans="7:7" x14ac:dyDescent="0.3">
      <c r="G4825" s="400" t="s">
        <v>9568</v>
      </c>
    </row>
    <row r="4826" spans="7:7" x14ac:dyDescent="0.3">
      <c r="G4826" s="400" t="s">
        <v>9568</v>
      </c>
    </row>
    <row r="4827" spans="7:7" x14ac:dyDescent="0.3">
      <c r="G4827" s="400" t="s">
        <v>9568</v>
      </c>
    </row>
    <row r="4828" spans="7:7" x14ac:dyDescent="0.3">
      <c r="G4828" s="400" t="s">
        <v>9568</v>
      </c>
    </row>
    <row r="4829" spans="7:7" x14ac:dyDescent="0.3">
      <c r="G4829" s="400" t="s">
        <v>9568</v>
      </c>
    </row>
    <row r="4830" spans="7:7" x14ac:dyDescent="0.3">
      <c r="G4830" s="400" t="s">
        <v>9568</v>
      </c>
    </row>
    <row r="4831" spans="7:7" x14ac:dyDescent="0.3">
      <c r="G4831" s="400" t="s">
        <v>9568</v>
      </c>
    </row>
    <row r="4832" spans="7:7" x14ac:dyDescent="0.3">
      <c r="G4832" s="400" t="s">
        <v>9568</v>
      </c>
    </row>
    <row r="4833" spans="7:7" x14ac:dyDescent="0.3">
      <c r="G4833" s="400" t="s">
        <v>9568</v>
      </c>
    </row>
    <row r="4834" spans="7:7" x14ac:dyDescent="0.3">
      <c r="G4834" s="400" t="s">
        <v>9568</v>
      </c>
    </row>
    <row r="4835" spans="7:7" x14ac:dyDescent="0.3">
      <c r="G4835" s="400" t="s">
        <v>9568</v>
      </c>
    </row>
    <row r="4836" spans="7:7" x14ac:dyDescent="0.3">
      <c r="G4836" s="400" t="s">
        <v>9568</v>
      </c>
    </row>
    <row r="4837" spans="7:7" x14ac:dyDescent="0.3">
      <c r="G4837" s="400" t="s">
        <v>9568</v>
      </c>
    </row>
    <row r="4838" spans="7:7" x14ac:dyDescent="0.3">
      <c r="G4838" s="400" t="s">
        <v>9568</v>
      </c>
    </row>
    <row r="4839" spans="7:7" x14ac:dyDescent="0.3">
      <c r="G4839" s="400" t="s">
        <v>9568</v>
      </c>
    </row>
    <row r="4840" spans="7:7" x14ac:dyDescent="0.3">
      <c r="G4840" s="400" t="s">
        <v>9568</v>
      </c>
    </row>
    <row r="4841" spans="7:7" x14ac:dyDescent="0.3">
      <c r="G4841" s="400" t="s">
        <v>9568</v>
      </c>
    </row>
    <row r="4842" spans="7:7" x14ac:dyDescent="0.3">
      <c r="G4842" s="400" t="s">
        <v>9568</v>
      </c>
    </row>
    <row r="4843" spans="7:7" x14ac:dyDescent="0.3">
      <c r="G4843" s="400" t="s">
        <v>9568</v>
      </c>
    </row>
    <row r="4844" spans="7:7" x14ac:dyDescent="0.3">
      <c r="G4844" s="400" t="s">
        <v>9568</v>
      </c>
    </row>
    <row r="4845" spans="7:7" x14ac:dyDescent="0.3">
      <c r="G4845" s="400" t="s">
        <v>9568</v>
      </c>
    </row>
    <row r="4846" spans="7:7" x14ac:dyDescent="0.3">
      <c r="G4846" s="400" t="s">
        <v>9568</v>
      </c>
    </row>
    <row r="4847" spans="7:7" x14ac:dyDescent="0.3">
      <c r="G4847" s="400" t="s">
        <v>9568</v>
      </c>
    </row>
    <row r="4848" spans="7:7" x14ac:dyDescent="0.3">
      <c r="G4848" s="400" t="s">
        <v>9568</v>
      </c>
    </row>
    <row r="4849" spans="7:7" x14ac:dyDescent="0.3">
      <c r="G4849" s="400" t="s">
        <v>9568</v>
      </c>
    </row>
    <row r="4850" spans="7:7" x14ac:dyDescent="0.3">
      <c r="G4850" s="400" t="s">
        <v>9568</v>
      </c>
    </row>
    <row r="4851" spans="7:7" x14ac:dyDescent="0.3">
      <c r="G4851" s="400" t="s">
        <v>9568</v>
      </c>
    </row>
    <row r="4852" spans="7:7" x14ac:dyDescent="0.3">
      <c r="G4852" s="400" t="s">
        <v>9568</v>
      </c>
    </row>
    <row r="4853" spans="7:7" x14ac:dyDescent="0.3">
      <c r="G4853" s="400" t="s">
        <v>9568</v>
      </c>
    </row>
    <row r="4854" spans="7:7" x14ac:dyDescent="0.3">
      <c r="G4854" s="400" t="s">
        <v>9568</v>
      </c>
    </row>
    <row r="4855" spans="7:7" x14ac:dyDescent="0.3">
      <c r="G4855" s="400" t="s">
        <v>9568</v>
      </c>
    </row>
    <row r="4856" spans="7:7" x14ac:dyDescent="0.3">
      <c r="G4856" s="400" t="s">
        <v>9568</v>
      </c>
    </row>
    <row r="4857" spans="7:7" x14ac:dyDescent="0.3">
      <c r="G4857" s="400" t="s">
        <v>9568</v>
      </c>
    </row>
    <row r="4858" spans="7:7" x14ac:dyDescent="0.3">
      <c r="G4858" s="400" t="s">
        <v>9568</v>
      </c>
    </row>
    <row r="4859" spans="7:7" x14ac:dyDescent="0.3">
      <c r="G4859" s="400" t="s">
        <v>9568</v>
      </c>
    </row>
    <row r="4860" spans="7:7" x14ac:dyDescent="0.3">
      <c r="G4860" s="400" t="s">
        <v>9568</v>
      </c>
    </row>
    <row r="4861" spans="7:7" x14ac:dyDescent="0.3">
      <c r="G4861" s="400" t="s">
        <v>9568</v>
      </c>
    </row>
    <row r="4862" spans="7:7" x14ac:dyDescent="0.3">
      <c r="G4862" s="400" t="s">
        <v>9568</v>
      </c>
    </row>
    <row r="4863" spans="7:7" x14ac:dyDescent="0.3">
      <c r="G4863" s="400" t="s">
        <v>9568</v>
      </c>
    </row>
    <row r="4864" spans="7:7" x14ac:dyDescent="0.3">
      <c r="G4864" s="400" t="s">
        <v>9568</v>
      </c>
    </row>
    <row r="4865" spans="7:7" x14ac:dyDescent="0.3">
      <c r="G4865" s="400" t="s">
        <v>9568</v>
      </c>
    </row>
    <row r="4866" spans="7:7" x14ac:dyDescent="0.3">
      <c r="G4866" s="400" t="s">
        <v>9568</v>
      </c>
    </row>
    <row r="4867" spans="7:7" x14ac:dyDescent="0.3">
      <c r="G4867" s="400" t="s">
        <v>9568</v>
      </c>
    </row>
    <row r="4868" spans="7:7" x14ac:dyDescent="0.3">
      <c r="G4868" s="400" t="s">
        <v>9568</v>
      </c>
    </row>
    <row r="4869" spans="7:7" x14ac:dyDescent="0.3">
      <c r="G4869" s="400" t="s">
        <v>9568</v>
      </c>
    </row>
    <row r="4870" spans="7:7" x14ac:dyDescent="0.3">
      <c r="G4870" s="400" t="s">
        <v>9568</v>
      </c>
    </row>
    <row r="4871" spans="7:7" x14ac:dyDescent="0.3">
      <c r="G4871" s="400" t="s">
        <v>9568</v>
      </c>
    </row>
    <row r="4872" spans="7:7" x14ac:dyDescent="0.3">
      <c r="G4872" s="400" t="s">
        <v>9568</v>
      </c>
    </row>
    <row r="4873" spans="7:7" x14ac:dyDescent="0.3">
      <c r="G4873" s="400" t="s">
        <v>9568</v>
      </c>
    </row>
    <row r="4874" spans="7:7" x14ac:dyDescent="0.3">
      <c r="G4874" s="400" t="s">
        <v>9568</v>
      </c>
    </row>
    <row r="4875" spans="7:7" x14ac:dyDescent="0.3">
      <c r="G4875" s="400" t="s">
        <v>9568</v>
      </c>
    </row>
    <row r="4876" spans="7:7" x14ac:dyDescent="0.3">
      <c r="G4876" s="400" t="s">
        <v>9568</v>
      </c>
    </row>
    <row r="4877" spans="7:7" x14ac:dyDescent="0.3">
      <c r="G4877" s="400" t="s">
        <v>9568</v>
      </c>
    </row>
    <row r="4878" spans="7:7" x14ac:dyDescent="0.3">
      <c r="G4878" s="400" t="s">
        <v>9568</v>
      </c>
    </row>
    <row r="4879" spans="7:7" x14ac:dyDescent="0.3">
      <c r="G4879" s="400" t="s">
        <v>9568</v>
      </c>
    </row>
    <row r="4880" spans="7:7" x14ac:dyDescent="0.3">
      <c r="G4880" s="400" t="s">
        <v>9568</v>
      </c>
    </row>
    <row r="4881" spans="7:7" x14ac:dyDescent="0.3">
      <c r="G4881" s="400" t="s">
        <v>9568</v>
      </c>
    </row>
    <row r="4882" spans="7:7" x14ac:dyDescent="0.3">
      <c r="G4882" s="400" t="s">
        <v>9568</v>
      </c>
    </row>
    <row r="4883" spans="7:7" x14ac:dyDescent="0.3">
      <c r="G4883" s="400" t="s">
        <v>9568</v>
      </c>
    </row>
    <row r="4884" spans="7:7" x14ac:dyDescent="0.3">
      <c r="G4884" s="400" t="s">
        <v>9568</v>
      </c>
    </row>
    <row r="4885" spans="7:7" x14ac:dyDescent="0.3">
      <c r="G4885" s="400" t="s">
        <v>9568</v>
      </c>
    </row>
    <row r="4886" spans="7:7" x14ac:dyDescent="0.3">
      <c r="G4886" s="400" t="s">
        <v>9568</v>
      </c>
    </row>
    <row r="4887" spans="7:7" x14ac:dyDescent="0.3">
      <c r="G4887" s="400" t="s">
        <v>9568</v>
      </c>
    </row>
    <row r="4888" spans="7:7" x14ac:dyDescent="0.3">
      <c r="G4888" s="400" t="s">
        <v>9568</v>
      </c>
    </row>
    <row r="4889" spans="7:7" x14ac:dyDescent="0.3">
      <c r="G4889" s="400" t="s">
        <v>9568</v>
      </c>
    </row>
    <row r="4890" spans="7:7" x14ac:dyDescent="0.3">
      <c r="G4890" s="400" t="s">
        <v>9568</v>
      </c>
    </row>
    <row r="4891" spans="7:7" x14ac:dyDescent="0.3">
      <c r="G4891" s="400" t="s">
        <v>9568</v>
      </c>
    </row>
    <row r="4892" spans="7:7" x14ac:dyDescent="0.3">
      <c r="G4892" s="400" t="s">
        <v>9568</v>
      </c>
    </row>
    <row r="4893" spans="7:7" x14ac:dyDescent="0.3">
      <c r="G4893" s="400" t="s">
        <v>9568</v>
      </c>
    </row>
    <row r="4894" spans="7:7" x14ac:dyDescent="0.3">
      <c r="G4894" s="400" t="s">
        <v>9568</v>
      </c>
    </row>
    <row r="4895" spans="7:7" x14ac:dyDescent="0.3">
      <c r="G4895" s="400" t="s">
        <v>9568</v>
      </c>
    </row>
    <row r="4896" spans="7:7" x14ac:dyDescent="0.3">
      <c r="G4896" s="400" t="s">
        <v>9568</v>
      </c>
    </row>
    <row r="4897" spans="7:7" x14ac:dyDescent="0.3">
      <c r="G4897" s="400" t="s">
        <v>9568</v>
      </c>
    </row>
    <row r="4898" spans="7:7" x14ac:dyDescent="0.3">
      <c r="G4898" s="400" t="s">
        <v>9568</v>
      </c>
    </row>
    <row r="4899" spans="7:7" x14ac:dyDescent="0.3">
      <c r="G4899" s="400" t="s">
        <v>9568</v>
      </c>
    </row>
    <row r="4900" spans="7:7" x14ac:dyDescent="0.3">
      <c r="G4900" s="400" t="s">
        <v>9568</v>
      </c>
    </row>
    <row r="4901" spans="7:7" x14ac:dyDescent="0.3">
      <c r="G4901" s="400" t="s">
        <v>9568</v>
      </c>
    </row>
    <row r="4902" spans="7:7" x14ac:dyDescent="0.3">
      <c r="G4902" s="400" t="s">
        <v>9568</v>
      </c>
    </row>
    <row r="4903" spans="7:7" x14ac:dyDescent="0.3">
      <c r="G4903" s="400" t="s">
        <v>9568</v>
      </c>
    </row>
    <row r="4904" spans="7:7" x14ac:dyDescent="0.3">
      <c r="G4904" s="400" t="s">
        <v>9568</v>
      </c>
    </row>
    <row r="4905" spans="7:7" x14ac:dyDescent="0.3">
      <c r="G4905" s="400" t="s">
        <v>9568</v>
      </c>
    </row>
    <row r="4906" spans="7:7" x14ac:dyDescent="0.3">
      <c r="G4906" s="400" t="s">
        <v>9568</v>
      </c>
    </row>
    <row r="4907" spans="7:7" x14ac:dyDescent="0.3">
      <c r="G4907" s="400" t="s">
        <v>9568</v>
      </c>
    </row>
    <row r="4908" spans="7:7" x14ac:dyDescent="0.3">
      <c r="G4908" s="400" t="s">
        <v>9568</v>
      </c>
    </row>
    <row r="4909" spans="7:7" x14ac:dyDescent="0.3">
      <c r="G4909" s="400" t="s">
        <v>9568</v>
      </c>
    </row>
    <row r="4910" spans="7:7" x14ac:dyDescent="0.3">
      <c r="G4910" s="400" t="s">
        <v>9568</v>
      </c>
    </row>
    <row r="4911" spans="7:7" x14ac:dyDescent="0.3">
      <c r="G4911" s="400" t="s">
        <v>9568</v>
      </c>
    </row>
    <row r="4912" spans="7:7" x14ac:dyDescent="0.3">
      <c r="G4912" s="400" t="s">
        <v>9568</v>
      </c>
    </row>
    <row r="4913" spans="7:7" x14ac:dyDescent="0.3">
      <c r="G4913" s="400" t="s">
        <v>9568</v>
      </c>
    </row>
    <row r="4914" spans="7:7" x14ac:dyDescent="0.3">
      <c r="G4914" s="400" t="s">
        <v>9568</v>
      </c>
    </row>
    <row r="4915" spans="7:7" x14ac:dyDescent="0.3">
      <c r="G4915" s="400" t="s">
        <v>9568</v>
      </c>
    </row>
    <row r="4916" spans="7:7" x14ac:dyDescent="0.3">
      <c r="G4916" s="400" t="s">
        <v>9568</v>
      </c>
    </row>
    <row r="4917" spans="7:7" x14ac:dyDescent="0.3">
      <c r="G4917" s="400" t="s">
        <v>9568</v>
      </c>
    </row>
    <row r="4918" spans="7:7" x14ac:dyDescent="0.3">
      <c r="G4918" s="400" t="s">
        <v>9568</v>
      </c>
    </row>
    <row r="4919" spans="7:7" x14ac:dyDescent="0.3">
      <c r="G4919" s="400" t="s">
        <v>9568</v>
      </c>
    </row>
    <row r="4920" spans="7:7" x14ac:dyDescent="0.3">
      <c r="G4920" s="400" t="s">
        <v>9568</v>
      </c>
    </row>
    <row r="4921" spans="7:7" x14ac:dyDescent="0.3">
      <c r="G4921" s="400" t="s">
        <v>9568</v>
      </c>
    </row>
    <row r="4922" spans="7:7" x14ac:dyDescent="0.3">
      <c r="G4922" s="400" t="s">
        <v>9568</v>
      </c>
    </row>
    <row r="4923" spans="7:7" x14ac:dyDescent="0.3">
      <c r="G4923" s="400" t="s">
        <v>9568</v>
      </c>
    </row>
    <row r="4924" spans="7:7" x14ac:dyDescent="0.3">
      <c r="G4924" s="400" t="s">
        <v>9568</v>
      </c>
    </row>
    <row r="4925" spans="7:7" x14ac:dyDescent="0.3">
      <c r="G4925" s="400" t="s">
        <v>9568</v>
      </c>
    </row>
    <row r="4926" spans="7:7" x14ac:dyDescent="0.3">
      <c r="G4926" s="400" t="s">
        <v>9568</v>
      </c>
    </row>
    <row r="4927" spans="7:7" x14ac:dyDescent="0.3">
      <c r="G4927" s="400" t="s">
        <v>9568</v>
      </c>
    </row>
    <row r="4928" spans="7:7" x14ac:dyDescent="0.3">
      <c r="G4928" s="400" t="s">
        <v>9568</v>
      </c>
    </row>
    <row r="4929" spans="7:7" x14ac:dyDescent="0.3">
      <c r="G4929" s="400" t="s">
        <v>9568</v>
      </c>
    </row>
    <row r="4930" spans="7:7" x14ac:dyDescent="0.3">
      <c r="G4930" s="400" t="s">
        <v>9568</v>
      </c>
    </row>
    <row r="4931" spans="7:7" x14ac:dyDescent="0.3">
      <c r="G4931" s="400" t="s">
        <v>9568</v>
      </c>
    </row>
    <row r="4932" spans="7:7" x14ac:dyDescent="0.3">
      <c r="G4932" s="400" t="s">
        <v>9568</v>
      </c>
    </row>
    <row r="4933" spans="7:7" x14ac:dyDescent="0.3">
      <c r="G4933" s="400" t="s">
        <v>9568</v>
      </c>
    </row>
    <row r="4934" spans="7:7" x14ac:dyDescent="0.3">
      <c r="G4934" s="400" t="s">
        <v>9568</v>
      </c>
    </row>
    <row r="4935" spans="7:7" x14ac:dyDescent="0.3">
      <c r="G4935" s="400" t="s">
        <v>9568</v>
      </c>
    </row>
    <row r="4936" spans="7:7" x14ac:dyDescent="0.3">
      <c r="G4936" s="400" t="s">
        <v>9568</v>
      </c>
    </row>
    <row r="4937" spans="7:7" x14ac:dyDescent="0.3">
      <c r="G4937" s="400" t="s">
        <v>9568</v>
      </c>
    </row>
    <row r="4938" spans="7:7" x14ac:dyDescent="0.3">
      <c r="G4938" s="400" t="s">
        <v>9568</v>
      </c>
    </row>
    <row r="4939" spans="7:7" x14ac:dyDescent="0.3">
      <c r="G4939" s="400" t="s">
        <v>9568</v>
      </c>
    </row>
    <row r="4940" spans="7:7" x14ac:dyDescent="0.3">
      <c r="G4940" s="400" t="s">
        <v>9568</v>
      </c>
    </row>
    <row r="4941" spans="7:7" x14ac:dyDescent="0.3">
      <c r="G4941" s="400" t="s">
        <v>9568</v>
      </c>
    </row>
    <row r="4942" spans="7:7" x14ac:dyDescent="0.3">
      <c r="G4942" s="400" t="s">
        <v>9568</v>
      </c>
    </row>
    <row r="4943" spans="7:7" x14ac:dyDescent="0.3">
      <c r="G4943" s="400" t="s">
        <v>9568</v>
      </c>
    </row>
    <row r="4944" spans="7:7" x14ac:dyDescent="0.3">
      <c r="G4944" s="400" t="s">
        <v>9568</v>
      </c>
    </row>
    <row r="4945" spans="7:7" x14ac:dyDescent="0.3">
      <c r="G4945" s="400" t="s">
        <v>9568</v>
      </c>
    </row>
    <row r="4946" spans="7:7" x14ac:dyDescent="0.3">
      <c r="G4946" s="400" t="s">
        <v>9568</v>
      </c>
    </row>
    <row r="4947" spans="7:7" x14ac:dyDescent="0.3">
      <c r="G4947" s="400" t="s">
        <v>9568</v>
      </c>
    </row>
    <row r="4948" spans="7:7" x14ac:dyDescent="0.3">
      <c r="G4948" s="400" t="s">
        <v>9568</v>
      </c>
    </row>
    <row r="4949" spans="7:7" x14ac:dyDescent="0.3">
      <c r="G4949" s="400" t="s">
        <v>9568</v>
      </c>
    </row>
    <row r="4950" spans="7:7" x14ac:dyDescent="0.3">
      <c r="G4950" s="400" t="s">
        <v>9568</v>
      </c>
    </row>
    <row r="4951" spans="7:7" x14ac:dyDescent="0.3">
      <c r="G4951" s="400" t="s">
        <v>9568</v>
      </c>
    </row>
    <row r="4952" spans="7:7" x14ac:dyDescent="0.3">
      <c r="G4952" s="400" t="s">
        <v>9568</v>
      </c>
    </row>
    <row r="4953" spans="7:7" x14ac:dyDescent="0.3">
      <c r="G4953" s="400" t="s">
        <v>9568</v>
      </c>
    </row>
    <row r="4954" spans="7:7" x14ac:dyDescent="0.3">
      <c r="G4954" s="400" t="s">
        <v>9568</v>
      </c>
    </row>
    <row r="4955" spans="7:7" x14ac:dyDescent="0.3">
      <c r="G4955" s="400" t="s">
        <v>9568</v>
      </c>
    </row>
    <row r="4956" spans="7:7" x14ac:dyDescent="0.3">
      <c r="G4956" s="400" t="s">
        <v>9568</v>
      </c>
    </row>
    <row r="4957" spans="7:7" x14ac:dyDescent="0.3">
      <c r="G4957" s="400" t="s">
        <v>9568</v>
      </c>
    </row>
    <row r="4958" spans="7:7" x14ac:dyDescent="0.3">
      <c r="G4958" s="400" t="s">
        <v>9568</v>
      </c>
    </row>
    <row r="4959" spans="7:7" x14ac:dyDescent="0.3">
      <c r="G4959" s="400" t="s">
        <v>9568</v>
      </c>
    </row>
    <row r="4960" spans="7:7" x14ac:dyDescent="0.3">
      <c r="G4960" s="400" t="s">
        <v>9568</v>
      </c>
    </row>
    <row r="4961" spans="7:7" x14ac:dyDescent="0.3">
      <c r="G4961" s="400" t="s">
        <v>9568</v>
      </c>
    </row>
    <row r="4962" spans="7:7" x14ac:dyDescent="0.3">
      <c r="G4962" s="400" t="s">
        <v>9568</v>
      </c>
    </row>
    <row r="4963" spans="7:7" x14ac:dyDescent="0.3">
      <c r="G4963" s="400" t="s">
        <v>9568</v>
      </c>
    </row>
    <row r="4964" spans="7:7" x14ac:dyDescent="0.3">
      <c r="G4964" s="400" t="s">
        <v>9568</v>
      </c>
    </row>
    <row r="4965" spans="7:7" x14ac:dyDescent="0.3">
      <c r="G4965" s="400" t="s">
        <v>9568</v>
      </c>
    </row>
    <row r="4966" spans="7:7" x14ac:dyDescent="0.3">
      <c r="G4966" s="400" t="s">
        <v>9568</v>
      </c>
    </row>
    <row r="4967" spans="7:7" x14ac:dyDescent="0.3">
      <c r="G4967" s="400" t="s">
        <v>9568</v>
      </c>
    </row>
    <row r="4968" spans="7:7" x14ac:dyDescent="0.3">
      <c r="G4968" s="400" t="s">
        <v>9568</v>
      </c>
    </row>
    <row r="4969" spans="7:7" x14ac:dyDescent="0.3">
      <c r="G4969" s="400" t="s">
        <v>9568</v>
      </c>
    </row>
    <row r="4970" spans="7:7" x14ac:dyDescent="0.3">
      <c r="G4970" s="400" t="s">
        <v>9568</v>
      </c>
    </row>
    <row r="4971" spans="7:7" x14ac:dyDescent="0.3">
      <c r="G4971" s="400" t="s">
        <v>9568</v>
      </c>
    </row>
    <row r="4972" spans="7:7" x14ac:dyDescent="0.3">
      <c r="G4972" s="400" t="s">
        <v>9568</v>
      </c>
    </row>
    <row r="4973" spans="7:7" x14ac:dyDescent="0.3">
      <c r="G4973" s="400" t="s">
        <v>9568</v>
      </c>
    </row>
    <row r="4974" spans="7:7" x14ac:dyDescent="0.3">
      <c r="G4974" s="400" t="s">
        <v>9568</v>
      </c>
    </row>
    <row r="4975" spans="7:7" x14ac:dyDescent="0.3">
      <c r="G4975" s="400" t="s">
        <v>9568</v>
      </c>
    </row>
    <row r="4976" spans="7:7" x14ac:dyDescent="0.3">
      <c r="G4976" s="400" t="s">
        <v>9568</v>
      </c>
    </row>
    <row r="4977" spans="7:7" x14ac:dyDescent="0.3">
      <c r="G4977" s="400" t="s">
        <v>9568</v>
      </c>
    </row>
    <row r="4978" spans="7:7" x14ac:dyDescent="0.3">
      <c r="G4978" s="400" t="s">
        <v>9568</v>
      </c>
    </row>
    <row r="4979" spans="7:7" x14ac:dyDescent="0.3">
      <c r="G4979" s="400" t="s">
        <v>9568</v>
      </c>
    </row>
    <row r="4980" spans="7:7" x14ac:dyDescent="0.3">
      <c r="G4980" s="400" t="s">
        <v>9568</v>
      </c>
    </row>
    <row r="4981" spans="7:7" x14ac:dyDescent="0.3">
      <c r="G4981" s="400" t="s">
        <v>9568</v>
      </c>
    </row>
    <row r="4982" spans="7:7" x14ac:dyDescent="0.3">
      <c r="G4982" s="400" t="s">
        <v>9568</v>
      </c>
    </row>
    <row r="4983" spans="7:7" x14ac:dyDescent="0.3">
      <c r="G4983" s="400" t="s">
        <v>9568</v>
      </c>
    </row>
    <row r="4984" spans="7:7" x14ac:dyDescent="0.3">
      <c r="G4984" s="400" t="s">
        <v>9568</v>
      </c>
    </row>
    <row r="4985" spans="7:7" x14ac:dyDescent="0.3">
      <c r="G4985" s="400" t="s">
        <v>9568</v>
      </c>
    </row>
    <row r="4986" spans="7:7" x14ac:dyDescent="0.3">
      <c r="G4986" s="400" t="s">
        <v>9568</v>
      </c>
    </row>
    <row r="4987" spans="7:7" x14ac:dyDescent="0.3">
      <c r="G4987" s="400" t="s">
        <v>9568</v>
      </c>
    </row>
    <row r="4988" spans="7:7" x14ac:dyDescent="0.3">
      <c r="G4988" s="400" t="s">
        <v>9568</v>
      </c>
    </row>
    <row r="4989" spans="7:7" x14ac:dyDescent="0.3">
      <c r="G4989" s="400" t="s">
        <v>9568</v>
      </c>
    </row>
    <row r="4990" spans="7:7" x14ac:dyDescent="0.3">
      <c r="G4990" s="400" t="s">
        <v>9568</v>
      </c>
    </row>
    <row r="4991" spans="7:7" x14ac:dyDescent="0.3">
      <c r="G4991" s="400" t="s">
        <v>9568</v>
      </c>
    </row>
    <row r="4992" spans="7:7" x14ac:dyDescent="0.3">
      <c r="G4992" s="400" t="s">
        <v>9568</v>
      </c>
    </row>
    <row r="4993" spans="7:7" x14ac:dyDescent="0.3">
      <c r="G4993" s="400" t="s">
        <v>9568</v>
      </c>
    </row>
    <row r="4994" spans="7:7" x14ac:dyDescent="0.3">
      <c r="G4994" s="400" t="s">
        <v>9568</v>
      </c>
    </row>
    <row r="4995" spans="7:7" x14ac:dyDescent="0.3">
      <c r="G4995" s="400" t="s">
        <v>9568</v>
      </c>
    </row>
    <row r="4996" spans="7:7" x14ac:dyDescent="0.3">
      <c r="G4996" s="400" t="s">
        <v>9568</v>
      </c>
    </row>
    <row r="4997" spans="7:7" x14ac:dyDescent="0.3">
      <c r="G4997" s="400" t="s">
        <v>9568</v>
      </c>
    </row>
    <row r="4998" spans="7:7" x14ac:dyDescent="0.3">
      <c r="G4998" s="400" t="s">
        <v>9568</v>
      </c>
    </row>
    <row r="4999" spans="7:7" x14ac:dyDescent="0.3">
      <c r="G4999" s="400" t="s">
        <v>9568</v>
      </c>
    </row>
    <row r="5000" spans="7:7" x14ac:dyDescent="0.3">
      <c r="G5000" s="400" t="s">
        <v>9568</v>
      </c>
    </row>
    <row r="5001" spans="7:7" x14ac:dyDescent="0.3">
      <c r="G5001" s="400" t="s">
        <v>9568</v>
      </c>
    </row>
    <row r="5002" spans="7:7" x14ac:dyDescent="0.3">
      <c r="G5002" s="400" t="s">
        <v>9568</v>
      </c>
    </row>
    <row r="5003" spans="7:7" x14ac:dyDescent="0.3">
      <c r="G5003" s="400" t="s">
        <v>9568</v>
      </c>
    </row>
    <row r="5004" spans="7:7" x14ac:dyDescent="0.3">
      <c r="G5004" s="400" t="s">
        <v>9568</v>
      </c>
    </row>
    <row r="5005" spans="7:7" x14ac:dyDescent="0.3">
      <c r="G5005" s="400" t="s">
        <v>9568</v>
      </c>
    </row>
    <row r="5006" spans="7:7" x14ac:dyDescent="0.3">
      <c r="G5006" s="400" t="s">
        <v>9568</v>
      </c>
    </row>
    <row r="5007" spans="7:7" x14ac:dyDescent="0.3">
      <c r="G5007" s="400" t="s">
        <v>9568</v>
      </c>
    </row>
    <row r="5008" spans="7:7" x14ac:dyDescent="0.3">
      <c r="G5008" s="400" t="s">
        <v>9568</v>
      </c>
    </row>
    <row r="5009" spans="7:7" x14ac:dyDescent="0.3">
      <c r="G5009" s="400" t="s">
        <v>9568</v>
      </c>
    </row>
    <row r="5010" spans="7:7" x14ac:dyDescent="0.3">
      <c r="G5010" s="400" t="s">
        <v>9568</v>
      </c>
    </row>
    <row r="5011" spans="7:7" x14ac:dyDescent="0.3">
      <c r="G5011" s="400" t="s">
        <v>9568</v>
      </c>
    </row>
    <row r="5012" spans="7:7" x14ac:dyDescent="0.3">
      <c r="G5012" s="400" t="s">
        <v>9568</v>
      </c>
    </row>
    <row r="5013" spans="7:7" x14ac:dyDescent="0.3">
      <c r="G5013" s="400" t="s">
        <v>9568</v>
      </c>
    </row>
    <row r="5014" spans="7:7" x14ac:dyDescent="0.3">
      <c r="G5014" s="400" t="s">
        <v>9568</v>
      </c>
    </row>
    <row r="5015" spans="7:7" x14ac:dyDescent="0.3">
      <c r="G5015" s="400" t="s">
        <v>9568</v>
      </c>
    </row>
    <row r="5016" spans="7:7" x14ac:dyDescent="0.3">
      <c r="G5016" s="400" t="s">
        <v>9568</v>
      </c>
    </row>
    <row r="5017" spans="7:7" x14ac:dyDescent="0.3">
      <c r="G5017" s="400" t="s">
        <v>9568</v>
      </c>
    </row>
    <row r="5018" spans="7:7" x14ac:dyDescent="0.3">
      <c r="G5018" s="400" t="s">
        <v>9568</v>
      </c>
    </row>
    <row r="5019" spans="7:7" x14ac:dyDescent="0.3">
      <c r="G5019" s="400" t="s">
        <v>9568</v>
      </c>
    </row>
    <row r="5020" spans="7:7" x14ac:dyDescent="0.3">
      <c r="G5020" s="400" t="s">
        <v>9568</v>
      </c>
    </row>
    <row r="5021" spans="7:7" x14ac:dyDescent="0.3">
      <c r="G5021" s="400" t="s">
        <v>9568</v>
      </c>
    </row>
    <row r="5022" spans="7:7" x14ac:dyDescent="0.3">
      <c r="G5022" s="400" t="s">
        <v>9568</v>
      </c>
    </row>
    <row r="5023" spans="7:7" x14ac:dyDescent="0.3">
      <c r="G5023" s="400" t="s">
        <v>9568</v>
      </c>
    </row>
    <row r="5024" spans="7:7" x14ac:dyDescent="0.3">
      <c r="G5024" s="400" t="s">
        <v>9568</v>
      </c>
    </row>
    <row r="5025" spans="7:7" x14ac:dyDescent="0.3">
      <c r="G5025" s="400" t="s">
        <v>9568</v>
      </c>
    </row>
    <row r="5026" spans="7:7" x14ac:dyDescent="0.3">
      <c r="G5026" s="400" t="s">
        <v>9568</v>
      </c>
    </row>
    <row r="5027" spans="7:7" x14ac:dyDescent="0.3">
      <c r="G5027" s="400" t="s">
        <v>9568</v>
      </c>
    </row>
    <row r="5028" spans="7:7" x14ac:dyDescent="0.3">
      <c r="G5028" s="400" t="s">
        <v>9568</v>
      </c>
    </row>
    <row r="5029" spans="7:7" x14ac:dyDescent="0.3">
      <c r="G5029" s="400" t="s">
        <v>9568</v>
      </c>
    </row>
    <row r="5030" spans="7:7" x14ac:dyDescent="0.3">
      <c r="G5030" s="400" t="s">
        <v>9568</v>
      </c>
    </row>
    <row r="5031" spans="7:7" x14ac:dyDescent="0.3">
      <c r="G5031" s="400" t="s">
        <v>9568</v>
      </c>
    </row>
    <row r="5032" spans="7:7" x14ac:dyDescent="0.3">
      <c r="G5032" s="400" t="s">
        <v>9568</v>
      </c>
    </row>
    <row r="5033" spans="7:7" x14ac:dyDescent="0.3">
      <c r="G5033" s="400" t="s">
        <v>9568</v>
      </c>
    </row>
    <row r="5034" spans="7:7" x14ac:dyDescent="0.3">
      <c r="G5034" s="400" t="s">
        <v>9568</v>
      </c>
    </row>
    <row r="5035" spans="7:7" x14ac:dyDescent="0.3">
      <c r="G5035" s="400" t="s">
        <v>9568</v>
      </c>
    </row>
    <row r="5036" spans="7:7" x14ac:dyDescent="0.3">
      <c r="G5036" s="400" t="s">
        <v>9568</v>
      </c>
    </row>
    <row r="5037" spans="7:7" x14ac:dyDescent="0.3">
      <c r="G5037" s="400" t="s">
        <v>9568</v>
      </c>
    </row>
    <row r="5038" spans="7:7" x14ac:dyDescent="0.3">
      <c r="G5038" s="400" t="s">
        <v>9568</v>
      </c>
    </row>
    <row r="5039" spans="7:7" x14ac:dyDescent="0.3">
      <c r="G5039" s="400" t="s">
        <v>9568</v>
      </c>
    </row>
    <row r="5040" spans="7:7" x14ac:dyDescent="0.3">
      <c r="G5040" s="400" t="s">
        <v>9568</v>
      </c>
    </row>
    <row r="5041" spans="7:7" x14ac:dyDescent="0.3">
      <c r="G5041" s="400" t="s">
        <v>9568</v>
      </c>
    </row>
    <row r="5042" spans="7:7" x14ac:dyDescent="0.3">
      <c r="G5042" s="400" t="s">
        <v>9568</v>
      </c>
    </row>
    <row r="5043" spans="7:7" x14ac:dyDescent="0.3">
      <c r="G5043" s="400" t="s">
        <v>9568</v>
      </c>
    </row>
    <row r="5044" spans="7:7" x14ac:dyDescent="0.3">
      <c r="G5044" s="400" t="s">
        <v>9568</v>
      </c>
    </row>
    <row r="5045" spans="7:7" x14ac:dyDescent="0.3">
      <c r="G5045" s="400" t="s">
        <v>9568</v>
      </c>
    </row>
    <row r="5046" spans="7:7" x14ac:dyDescent="0.3">
      <c r="G5046" s="400" t="s">
        <v>9568</v>
      </c>
    </row>
    <row r="5047" spans="7:7" x14ac:dyDescent="0.3">
      <c r="G5047" s="400" t="s">
        <v>9568</v>
      </c>
    </row>
    <row r="5048" spans="7:7" x14ac:dyDescent="0.3">
      <c r="G5048" s="400" t="s">
        <v>9568</v>
      </c>
    </row>
    <row r="5049" spans="7:7" x14ac:dyDescent="0.3">
      <c r="G5049" s="400" t="s">
        <v>9568</v>
      </c>
    </row>
    <row r="5050" spans="7:7" x14ac:dyDescent="0.3">
      <c r="G5050" s="400" t="s">
        <v>9568</v>
      </c>
    </row>
    <row r="5051" spans="7:7" x14ac:dyDescent="0.3">
      <c r="G5051" s="400" t="s">
        <v>9568</v>
      </c>
    </row>
    <row r="5052" spans="7:7" x14ac:dyDescent="0.3">
      <c r="G5052" s="400" t="s">
        <v>9568</v>
      </c>
    </row>
    <row r="5053" spans="7:7" x14ac:dyDescent="0.3">
      <c r="G5053" s="400" t="s">
        <v>9568</v>
      </c>
    </row>
    <row r="5054" spans="7:7" x14ac:dyDescent="0.3">
      <c r="G5054" s="400" t="s">
        <v>9568</v>
      </c>
    </row>
    <row r="5055" spans="7:7" x14ac:dyDescent="0.3">
      <c r="G5055" s="400" t="s">
        <v>9568</v>
      </c>
    </row>
    <row r="5056" spans="7:7" x14ac:dyDescent="0.3">
      <c r="G5056" s="400" t="s">
        <v>9568</v>
      </c>
    </row>
    <row r="5057" spans="7:7" x14ac:dyDescent="0.3">
      <c r="G5057" s="400" t="s">
        <v>9568</v>
      </c>
    </row>
    <row r="5058" spans="7:7" x14ac:dyDescent="0.3">
      <c r="G5058" s="400" t="s">
        <v>9568</v>
      </c>
    </row>
    <row r="5059" spans="7:7" x14ac:dyDescent="0.3">
      <c r="G5059" s="400" t="s">
        <v>9568</v>
      </c>
    </row>
    <row r="5060" spans="7:7" x14ac:dyDescent="0.3">
      <c r="G5060" s="400" t="s">
        <v>9568</v>
      </c>
    </row>
    <row r="5061" spans="7:7" x14ac:dyDescent="0.3">
      <c r="G5061" s="400" t="s">
        <v>9568</v>
      </c>
    </row>
    <row r="5062" spans="7:7" x14ac:dyDescent="0.3">
      <c r="G5062" s="400" t="s">
        <v>9568</v>
      </c>
    </row>
    <row r="5063" spans="7:7" x14ac:dyDescent="0.3">
      <c r="G5063" s="400" t="s">
        <v>9568</v>
      </c>
    </row>
    <row r="5064" spans="7:7" x14ac:dyDescent="0.3">
      <c r="G5064" s="400" t="s">
        <v>9568</v>
      </c>
    </row>
    <row r="5065" spans="7:7" x14ac:dyDescent="0.3">
      <c r="G5065" s="400" t="s">
        <v>9568</v>
      </c>
    </row>
    <row r="5066" spans="7:7" x14ac:dyDescent="0.3">
      <c r="G5066" s="400" t="s">
        <v>9568</v>
      </c>
    </row>
    <row r="5067" spans="7:7" x14ac:dyDescent="0.3">
      <c r="G5067" s="400" t="s">
        <v>9568</v>
      </c>
    </row>
    <row r="5068" spans="7:7" x14ac:dyDescent="0.3">
      <c r="G5068" s="400" t="s">
        <v>9568</v>
      </c>
    </row>
    <row r="5069" spans="7:7" x14ac:dyDescent="0.3">
      <c r="G5069" s="400" t="s">
        <v>9568</v>
      </c>
    </row>
    <row r="5070" spans="7:7" x14ac:dyDescent="0.3">
      <c r="G5070" s="400" t="s">
        <v>9568</v>
      </c>
    </row>
    <row r="5071" spans="7:7" x14ac:dyDescent="0.3">
      <c r="G5071" s="400" t="s">
        <v>9568</v>
      </c>
    </row>
    <row r="5072" spans="7:7" x14ac:dyDescent="0.3">
      <c r="G5072" s="400" t="s">
        <v>9568</v>
      </c>
    </row>
    <row r="5073" spans="7:7" x14ac:dyDescent="0.3">
      <c r="G5073" s="400" t="s">
        <v>9568</v>
      </c>
    </row>
    <row r="5074" spans="7:7" x14ac:dyDescent="0.3">
      <c r="G5074" s="400" t="s">
        <v>9568</v>
      </c>
    </row>
    <row r="5075" spans="7:7" x14ac:dyDescent="0.3">
      <c r="G5075" s="400" t="s">
        <v>9568</v>
      </c>
    </row>
    <row r="5076" spans="7:7" x14ac:dyDescent="0.3">
      <c r="G5076" s="400" t="s">
        <v>9568</v>
      </c>
    </row>
    <row r="5077" spans="7:7" x14ac:dyDescent="0.3">
      <c r="G5077" s="400" t="s">
        <v>9568</v>
      </c>
    </row>
    <row r="5078" spans="7:7" x14ac:dyDescent="0.3">
      <c r="G5078" s="400" t="s">
        <v>9568</v>
      </c>
    </row>
    <row r="5079" spans="7:7" x14ac:dyDescent="0.3">
      <c r="G5079" s="400" t="s">
        <v>9568</v>
      </c>
    </row>
    <row r="5080" spans="7:7" x14ac:dyDescent="0.3">
      <c r="G5080" s="400" t="s">
        <v>9568</v>
      </c>
    </row>
    <row r="5081" spans="7:7" x14ac:dyDescent="0.3">
      <c r="G5081" s="400" t="s">
        <v>9568</v>
      </c>
    </row>
    <row r="5082" spans="7:7" x14ac:dyDescent="0.3">
      <c r="G5082" s="400" t="s">
        <v>9568</v>
      </c>
    </row>
    <row r="5083" spans="7:7" x14ac:dyDescent="0.3">
      <c r="G5083" s="400" t="s">
        <v>9568</v>
      </c>
    </row>
    <row r="5084" spans="7:7" x14ac:dyDescent="0.3">
      <c r="G5084" s="400" t="s">
        <v>9568</v>
      </c>
    </row>
    <row r="5085" spans="7:7" x14ac:dyDescent="0.3">
      <c r="G5085" s="400" t="s">
        <v>9568</v>
      </c>
    </row>
    <row r="5086" spans="7:7" x14ac:dyDescent="0.3">
      <c r="G5086" s="400" t="s">
        <v>9568</v>
      </c>
    </row>
    <row r="5087" spans="7:7" x14ac:dyDescent="0.3">
      <c r="G5087" s="400" t="s">
        <v>9568</v>
      </c>
    </row>
    <row r="5088" spans="7:7" x14ac:dyDescent="0.3">
      <c r="G5088" s="400" t="s">
        <v>9568</v>
      </c>
    </row>
    <row r="5089" spans="7:7" x14ac:dyDescent="0.3">
      <c r="G5089" s="400" t="s">
        <v>9568</v>
      </c>
    </row>
    <row r="5090" spans="7:7" x14ac:dyDescent="0.3">
      <c r="G5090" s="400" t="s">
        <v>9568</v>
      </c>
    </row>
    <row r="5091" spans="7:7" x14ac:dyDescent="0.3">
      <c r="G5091" s="400" t="s">
        <v>9568</v>
      </c>
    </row>
    <row r="5092" spans="7:7" x14ac:dyDescent="0.3">
      <c r="G5092" s="400" t="s">
        <v>9568</v>
      </c>
    </row>
    <row r="5093" spans="7:7" x14ac:dyDescent="0.3">
      <c r="G5093" s="400" t="s">
        <v>9568</v>
      </c>
    </row>
    <row r="5094" spans="7:7" x14ac:dyDescent="0.3">
      <c r="G5094" s="400" t="s">
        <v>9568</v>
      </c>
    </row>
    <row r="5095" spans="7:7" x14ac:dyDescent="0.3">
      <c r="G5095" s="400" t="s">
        <v>9568</v>
      </c>
    </row>
    <row r="5096" spans="7:7" x14ac:dyDescent="0.3">
      <c r="G5096" s="400" t="s">
        <v>9568</v>
      </c>
    </row>
    <row r="5097" spans="7:7" x14ac:dyDescent="0.3">
      <c r="G5097" s="400" t="s">
        <v>9568</v>
      </c>
    </row>
    <row r="5098" spans="7:7" x14ac:dyDescent="0.3">
      <c r="G5098" s="400" t="s">
        <v>9568</v>
      </c>
    </row>
    <row r="5099" spans="7:7" x14ac:dyDescent="0.3">
      <c r="G5099" s="400" t="s">
        <v>9568</v>
      </c>
    </row>
    <row r="5100" spans="7:7" x14ac:dyDescent="0.3">
      <c r="G5100" s="400" t="s">
        <v>9568</v>
      </c>
    </row>
    <row r="5101" spans="7:7" x14ac:dyDescent="0.3">
      <c r="G5101" s="400" t="s">
        <v>9568</v>
      </c>
    </row>
    <row r="5102" spans="7:7" x14ac:dyDescent="0.3">
      <c r="G5102" s="400" t="s">
        <v>9568</v>
      </c>
    </row>
    <row r="5103" spans="7:7" x14ac:dyDescent="0.3">
      <c r="G5103" s="400" t="s">
        <v>9568</v>
      </c>
    </row>
    <row r="5104" spans="7:7" x14ac:dyDescent="0.3">
      <c r="G5104" s="400" t="s">
        <v>9568</v>
      </c>
    </row>
    <row r="5105" spans="7:7" x14ac:dyDescent="0.3">
      <c r="G5105" s="400" t="s">
        <v>9568</v>
      </c>
    </row>
    <row r="5106" spans="7:7" x14ac:dyDescent="0.3">
      <c r="G5106" s="400" t="s">
        <v>9568</v>
      </c>
    </row>
    <row r="5107" spans="7:7" x14ac:dyDescent="0.3">
      <c r="G5107" s="400" t="s">
        <v>9568</v>
      </c>
    </row>
    <row r="5108" spans="7:7" x14ac:dyDescent="0.3">
      <c r="G5108" s="400" t="s">
        <v>9568</v>
      </c>
    </row>
    <row r="5109" spans="7:7" x14ac:dyDescent="0.3">
      <c r="G5109" s="400" t="s">
        <v>9568</v>
      </c>
    </row>
    <row r="5110" spans="7:7" x14ac:dyDescent="0.3">
      <c r="G5110" s="400" t="s">
        <v>9568</v>
      </c>
    </row>
    <row r="5111" spans="7:7" x14ac:dyDescent="0.3">
      <c r="G5111" s="400" t="s">
        <v>9568</v>
      </c>
    </row>
    <row r="5112" spans="7:7" x14ac:dyDescent="0.3">
      <c r="G5112" s="400" t="s">
        <v>9568</v>
      </c>
    </row>
    <row r="5113" spans="7:7" x14ac:dyDescent="0.3">
      <c r="G5113" s="400" t="s">
        <v>9568</v>
      </c>
    </row>
    <row r="5114" spans="7:7" x14ac:dyDescent="0.3">
      <c r="G5114" s="400" t="s">
        <v>9568</v>
      </c>
    </row>
    <row r="5115" spans="7:7" x14ac:dyDescent="0.3">
      <c r="G5115" s="400" t="s">
        <v>9568</v>
      </c>
    </row>
    <row r="5116" spans="7:7" x14ac:dyDescent="0.3">
      <c r="G5116" s="400" t="s">
        <v>9568</v>
      </c>
    </row>
    <row r="5117" spans="7:7" x14ac:dyDescent="0.3">
      <c r="G5117" s="400" t="s">
        <v>9568</v>
      </c>
    </row>
    <row r="5118" spans="7:7" x14ac:dyDescent="0.3">
      <c r="G5118" s="400" t="s">
        <v>9568</v>
      </c>
    </row>
    <row r="5119" spans="7:7" x14ac:dyDescent="0.3">
      <c r="G5119" s="400" t="s">
        <v>9568</v>
      </c>
    </row>
    <row r="5120" spans="7:7" x14ac:dyDescent="0.3">
      <c r="G5120" s="400" t="s">
        <v>9568</v>
      </c>
    </row>
    <row r="5121" spans="7:7" x14ac:dyDescent="0.3">
      <c r="G5121" s="400" t="s">
        <v>9568</v>
      </c>
    </row>
    <row r="5122" spans="7:7" x14ac:dyDescent="0.3">
      <c r="G5122" s="400" t="s">
        <v>9568</v>
      </c>
    </row>
    <row r="5123" spans="7:7" x14ac:dyDescent="0.3">
      <c r="G5123" s="400" t="s">
        <v>9568</v>
      </c>
    </row>
    <row r="5124" spans="7:7" x14ac:dyDescent="0.3">
      <c r="G5124" s="400" t="s">
        <v>9568</v>
      </c>
    </row>
    <row r="5125" spans="7:7" x14ac:dyDescent="0.3">
      <c r="G5125" s="400" t="s">
        <v>9568</v>
      </c>
    </row>
    <row r="5126" spans="7:7" x14ac:dyDescent="0.3">
      <c r="G5126" s="400" t="s">
        <v>9568</v>
      </c>
    </row>
    <row r="5127" spans="7:7" x14ac:dyDescent="0.3">
      <c r="G5127" s="400" t="s">
        <v>9568</v>
      </c>
    </row>
    <row r="5128" spans="7:7" x14ac:dyDescent="0.3">
      <c r="G5128" s="400" t="s">
        <v>9568</v>
      </c>
    </row>
    <row r="5129" spans="7:7" x14ac:dyDescent="0.3">
      <c r="G5129" s="400" t="s">
        <v>9568</v>
      </c>
    </row>
    <row r="5130" spans="7:7" x14ac:dyDescent="0.3">
      <c r="G5130" s="400" t="s">
        <v>9568</v>
      </c>
    </row>
    <row r="5131" spans="7:7" x14ac:dyDescent="0.3">
      <c r="G5131" s="400" t="s">
        <v>9568</v>
      </c>
    </row>
    <row r="5132" spans="7:7" x14ac:dyDescent="0.3">
      <c r="G5132" s="400" t="s">
        <v>9568</v>
      </c>
    </row>
    <row r="5133" spans="7:7" x14ac:dyDescent="0.3">
      <c r="G5133" s="400" t="s">
        <v>9568</v>
      </c>
    </row>
    <row r="5134" spans="7:7" x14ac:dyDescent="0.3">
      <c r="G5134" s="400" t="s">
        <v>9568</v>
      </c>
    </row>
    <row r="5135" spans="7:7" x14ac:dyDescent="0.3">
      <c r="G5135" s="400" t="s">
        <v>9568</v>
      </c>
    </row>
    <row r="5136" spans="7:7" x14ac:dyDescent="0.3">
      <c r="G5136" s="400" t="s">
        <v>9568</v>
      </c>
    </row>
    <row r="5137" spans="7:7" x14ac:dyDescent="0.3">
      <c r="G5137" s="400" t="s">
        <v>9568</v>
      </c>
    </row>
    <row r="5138" spans="7:7" x14ac:dyDescent="0.3">
      <c r="G5138" s="400" t="s">
        <v>9568</v>
      </c>
    </row>
    <row r="5139" spans="7:7" x14ac:dyDescent="0.3">
      <c r="G5139" s="400" t="s">
        <v>9568</v>
      </c>
    </row>
    <row r="5140" spans="7:7" x14ac:dyDescent="0.3">
      <c r="G5140" s="400" t="s">
        <v>9568</v>
      </c>
    </row>
    <row r="5141" spans="7:7" x14ac:dyDescent="0.3">
      <c r="G5141" s="400" t="s">
        <v>9568</v>
      </c>
    </row>
    <row r="5142" spans="7:7" x14ac:dyDescent="0.3">
      <c r="G5142" s="400" t="s">
        <v>9568</v>
      </c>
    </row>
    <row r="5143" spans="7:7" x14ac:dyDescent="0.3">
      <c r="G5143" s="400" t="s">
        <v>9568</v>
      </c>
    </row>
    <row r="5144" spans="7:7" x14ac:dyDescent="0.3">
      <c r="G5144" s="400" t="s">
        <v>9568</v>
      </c>
    </row>
    <row r="5145" spans="7:7" x14ac:dyDescent="0.3">
      <c r="G5145" s="400" t="s">
        <v>9568</v>
      </c>
    </row>
    <row r="5146" spans="7:7" x14ac:dyDescent="0.3">
      <c r="G5146" s="400" t="s">
        <v>9568</v>
      </c>
    </row>
    <row r="5147" spans="7:7" x14ac:dyDescent="0.3">
      <c r="G5147" s="400" t="s">
        <v>9568</v>
      </c>
    </row>
    <row r="5148" spans="7:7" x14ac:dyDescent="0.3">
      <c r="G5148" s="400" t="s">
        <v>9568</v>
      </c>
    </row>
    <row r="5149" spans="7:7" x14ac:dyDescent="0.3">
      <c r="G5149" s="400" t="s">
        <v>9568</v>
      </c>
    </row>
    <row r="5150" spans="7:7" x14ac:dyDescent="0.3">
      <c r="G5150" s="400" t="s">
        <v>9568</v>
      </c>
    </row>
    <row r="5151" spans="7:7" x14ac:dyDescent="0.3">
      <c r="G5151" s="400" t="s">
        <v>9568</v>
      </c>
    </row>
    <row r="5152" spans="7:7" x14ac:dyDescent="0.3">
      <c r="G5152" s="400" t="s">
        <v>9568</v>
      </c>
    </row>
    <row r="5153" spans="7:7" x14ac:dyDescent="0.3">
      <c r="G5153" s="400" t="s">
        <v>9568</v>
      </c>
    </row>
    <row r="5154" spans="7:7" x14ac:dyDescent="0.3">
      <c r="G5154" s="400" t="s">
        <v>9568</v>
      </c>
    </row>
    <row r="5155" spans="7:7" x14ac:dyDescent="0.3">
      <c r="G5155" s="400" t="s">
        <v>9568</v>
      </c>
    </row>
    <row r="5156" spans="7:7" x14ac:dyDescent="0.3">
      <c r="G5156" s="400" t="s">
        <v>9568</v>
      </c>
    </row>
    <row r="5157" spans="7:7" x14ac:dyDescent="0.3">
      <c r="G5157" s="400" t="s">
        <v>9568</v>
      </c>
    </row>
    <row r="5158" spans="7:7" x14ac:dyDescent="0.3">
      <c r="G5158" s="400" t="s">
        <v>9568</v>
      </c>
    </row>
    <row r="5159" spans="7:7" x14ac:dyDescent="0.3">
      <c r="G5159" s="400" t="s">
        <v>9568</v>
      </c>
    </row>
    <row r="5160" spans="7:7" x14ac:dyDescent="0.3">
      <c r="G5160" s="400" t="s">
        <v>9568</v>
      </c>
    </row>
    <row r="5161" spans="7:7" x14ac:dyDescent="0.3">
      <c r="G5161" s="400" t="s">
        <v>9568</v>
      </c>
    </row>
    <row r="5162" spans="7:7" x14ac:dyDescent="0.3">
      <c r="G5162" s="400" t="s">
        <v>9568</v>
      </c>
    </row>
    <row r="5163" spans="7:7" x14ac:dyDescent="0.3">
      <c r="G5163" s="400" t="s">
        <v>9568</v>
      </c>
    </row>
    <row r="5164" spans="7:7" x14ac:dyDescent="0.3">
      <c r="G5164" s="400" t="s">
        <v>9568</v>
      </c>
    </row>
    <row r="5165" spans="7:7" x14ac:dyDescent="0.3">
      <c r="G5165" s="400" t="s">
        <v>9568</v>
      </c>
    </row>
    <row r="5166" spans="7:7" x14ac:dyDescent="0.3">
      <c r="G5166" s="400" t="s">
        <v>9568</v>
      </c>
    </row>
    <row r="5167" spans="7:7" x14ac:dyDescent="0.3">
      <c r="G5167" s="400" t="s">
        <v>9568</v>
      </c>
    </row>
    <row r="5168" spans="7:7" x14ac:dyDescent="0.3">
      <c r="G5168" s="400" t="s">
        <v>9568</v>
      </c>
    </row>
    <row r="5169" spans="7:7" x14ac:dyDescent="0.3">
      <c r="G5169" s="400" t="s">
        <v>9568</v>
      </c>
    </row>
    <row r="5170" spans="7:7" x14ac:dyDescent="0.3">
      <c r="G5170" s="400" t="s">
        <v>9568</v>
      </c>
    </row>
    <row r="5171" spans="7:7" x14ac:dyDescent="0.3">
      <c r="G5171" s="400" t="s">
        <v>9568</v>
      </c>
    </row>
    <row r="5172" spans="7:7" x14ac:dyDescent="0.3">
      <c r="G5172" s="400" t="s">
        <v>9568</v>
      </c>
    </row>
    <row r="5173" spans="7:7" x14ac:dyDescent="0.3">
      <c r="G5173" s="400" t="s">
        <v>9568</v>
      </c>
    </row>
    <row r="5174" spans="7:7" x14ac:dyDescent="0.3">
      <c r="G5174" s="400" t="s">
        <v>9568</v>
      </c>
    </row>
    <row r="5175" spans="7:7" x14ac:dyDescent="0.3">
      <c r="G5175" s="400" t="s">
        <v>9568</v>
      </c>
    </row>
    <row r="5176" spans="7:7" x14ac:dyDescent="0.3">
      <c r="G5176" s="400" t="s">
        <v>9568</v>
      </c>
    </row>
    <row r="5177" spans="7:7" x14ac:dyDescent="0.3">
      <c r="G5177" s="400" t="s">
        <v>9568</v>
      </c>
    </row>
    <row r="5178" spans="7:7" x14ac:dyDescent="0.3">
      <c r="G5178" s="400" t="s">
        <v>9568</v>
      </c>
    </row>
    <row r="5179" spans="7:7" x14ac:dyDescent="0.3">
      <c r="G5179" s="400" t="s">
        <v>9568</v>
      </c>
    </row>
    <row r="5180" spans="7:7" x14ac:dyDescent="0.3">
      <c r="G5180" s="400" t="s">
        <v>9568</v>
      </c>
    </row>
    <row r="5181" spans="7:7" x14ac:dyDescent="0.3">
      <c r="G5181" s="400" t="s">
        <v>9568</v>
      </c>
    </row>
    <row r="5182" spans="7:7" x14ac:dyDescent="0.3">
      <c r="G5182" s="400" t="s">
        <v>9568</v>
      </c>
    </row>
    <row r="5183" spans="7:7" x14ac:dyDescent="0.3">
      <c r="G5183" s="400" t="s">
        <v>9568</v>
      </c>
    </row>
    <row r="5184" spans="7:7" x14ac:dyDescent="0.3">
      <c r="G5184" s="400" t="s">
        <v>9568</v>
      </c>
    </row>
    <row r="5185" spans="7:7" x14ac:dyDescent="0.3">
      <c r="G5185" s="400" t="s">
        <v>9568</v>
      </c>
    </row>
    <row r="5186" spans="7:7" x14ac:dyDescent="0.3">
      <c r="G5186" s="400" t="s">
        <v>9568</v>
      </c>
    </row>
    <row r="5187" spans="7:7" x14ac:dyDescent="0.3">
      <c r="G5187" s="400" t="s">
        <v>9568</v>
      </c>
    </row>
    <row r="5188" spans="7:7" x14ac:dyDescent="0.3">
      <c r="G5188" s="400" t="s">
        <v>9568</v>
      </c>
    </row>
    <row r="5189" spans="7:7" x14ac:dyDescent="0.3">
      <c r="G5189" s="400" t="s">
        <v>9568</v>
      </c>
    </row>
    <row r="5190" spans="7:7" x14ac:dyDescent="0.3">
      <c r="G5190" s="400" t="s">
        <v>9568</v>
      </c>
    </row>
    <row r="5191" spans="7:7" x14ac:dyDescent="0.3">
      <c r="G5191" s="400" t="s">
        <v>9568</v>
      </c>
    </row>
    <row r="5192" spans="7:7" x14ac:dyDescent="0.3">
      <c r="G5192" s="400" t="s">
        <v>9568</v>
      </c>
    </row>
    <row r="5193" spans="7:7" x14ac:dyDescent="0.3">
      <c r="G5193" s="400" t="s">
        <v>9568</v>
      </c>
    </row>
    <row r="5194" spans="7:7" x14ac:dyDescent="0.3">
      <c r="G5194" s="400" t="s">
        <v>9568</v>
      </c>
    </row>
    <row r="5195" spans="7:7" x14ac:dyDescent="0.3">
      <c r="G5195" s="400" t="s">
        <v>9568</v>
      </c>
    </row>
    <row r="5196" spans="7:7" x14ac:dyDescent="0.3">
      <c r="G5196" s="400" t="s">
        <v>9568</v>
      </c>
    </row>
    <row r="5197" spans="7:7" x14ac:dyDescent="0.3">
      <c r="G5197" s="400" t="s">
        <v>9568</v>
      </c>
    </row>
    <row r="5198" spans="7:7" x14ac:dyDescent="0.3">
      <c r="G5198" s="400" t="s">
        <v>9568</v>
      </c>
    </row>
    <row r="5199" spans="7:7" x14ac:dyDescent="0.3">
      <c r="G5199" s="400" t="s">
        <v>9568</v>
      </c>
    </row>
    <row r="5200" spans="7:7" x14ac:dyDescent="0.3">
      <c r="G5200" s="400" t="s">
        <v>9568</v>
      </c>
    </row>
    <row r="5201" spans="7:7" x14ac:dyDescent="0.3">
      <c r="G5201" s="400" t="s">
        <v>9568</v>
      </c>
    </row>
    <row r="5202" spans="7:7" x14ac:dyDescent="0.3">
      <c r="G5202" s="400" t="s">
        <v>9568</v>
      </c>
    </row>
    <row r="5203" spans="7:7" x14ac:dyDescent="0.3">
      <c r="G5203" s="400" t="s">
        <v>9568</v>
      </c>
    </row>
    <row r="5204" spans="7:7" x14ac:dyDescent="0.3">
      <c r="G5204" s="400" t="s">
        <v>9568</v>
      </c>
    </row>
    <row r="5205" spans="7:7" x14ac:dyDescent="0.3">
      <c r="G5205" s="400" t="s">
        <v>9568</v>
      </c>
    </row>
    <row r="5206" spans="7:7" x14ac:dyDescent="0.3">
      <c r="G5206" s="400" t="s">
        <v>9568</v>
      </c>
    </row>
    <row r="5207" spans="7:7" x14ac:dyDescent="0.3">
      <c r="G5207" s="400" t="s">
        <v>9568</v>
      </c>
    </row>
    <row r="5208" spans="7:7" x14ac:dyDescent="0.3">
      <c r="G5208" s="400" t="s">
        <v>9568</v>
      </c>
    </row>
    <row r="5209" spans="7:7" x14ac:dyDescent="0.3">
      <c r="G5209" s="400" t="s">
        <v>9568</v>
      </c>
    </row>
    <row r="5210" spans="7:7" x14ac:dyDescent="0.3">
      <c r="G5210" s="400" t="s">
        <v>9568</v>
      </c>
    </row>
    <row r="5211" spans="7:7" x14ac:dyDescent="0.3">
      <c r="G5211" s="400" t="s">
        <v>9568</v>
      </c>
    </row>
    <row r="5212" spans="7:7" x14ac:dyDescent="0.3">
      <c r="G5212" s="400" t="s">
        <v>9568</v>
      </c>
    </row>
    <row r="5213" spans="7:7" x14ac:dyDescent="0.3">
      <c r="G5213" s="400" t="s">
        <v>9568</v>
      </c>
    </row>
    <row r="5214" spans="7:7" x14ac:dyDescent="0.3">
      <c r="G5214" s="400" t="s">
        <v>9568</v>
      </c>
    </row>
    <row r="5215" spans="7:7" x14ac:dyDescent="0.3">
      <c r="G5215" s="400" t="s">
        <v>9568</v>
      </c>
    </row>
    <row r="5216" spans="7:7" x14ac:dyDescent="0.3">
      <c r="G5216" s="400" t="s">
        <v>9568</v>
      </c>
    </row>
    <row r="5217" spans="7:7" x14ac:dyDescent="0.3">
      <c r="G5217" s="400" t="s">
        <v>9568</v>
      </c>
    </row>
    <row r="5218" spans="7:7" x14ac:dyDescent="0.3">
      <c r="G5218" s="400" t="s">
        <v>9568</v>
      </c>
    </row>
    <row r="5219" spans="7:7" x14ac:dyDescent="0.3">
      <c r="G5219" s="400" t="s">
        <v>9568</v>
      </c>
    </row>
    <row r="5220" spans="7:7" x14ac:dyDescent="0.3">
      <c r="G5220" s="400" t="s">
        <v>9568</v>
      </c>
    </row>
    <row r="5221" spans="7:7" x14ac:dyDescent="0.3">
      <c r="G5221" s="400" t="s">
        <v>9568</v>
      </c>
    </row>
    <row r="5222" spans="7:7" x14ac:dyDescent="0.3">
      <c r="G5222" s="400" t="s">
        <v>9568</v>
      </c>
    </row>
    <row r="5223" spans="7:7" x14ac:dyDescent="0.3">
      <c r="G5223" s="400" t="s">
        <v>9568</v>
      </c>
    </row>
    <row r="5224" spans="7:7" x14ac:dyDescent="0.3">
      <c r="G5224" s="400" t="s">
        <v>9568</v>
      </c>
    </row>
    <row r="5225" spans="7:7" x14ac:dyDescent="0.3">
      <c r="G5225" s="400" t="s">
        <v>9568</v>
      </c>
    </row>
    <row r="5226" spans="7:7" x14ac:dyDescent="0.3">
      <c r="G5226" s="400" t="s">
        <v>9568</v>
      </c>
    </row>
    <row r="5227" spans="7:7" x14ac:dyDescent="0.3">
      <c r="G5227" s="400" t="s">
        <v>9568</v>
      </c>
    </row>
    <row r="5228" spans="7:7" x14ac:dyDescent="0.3">
      <c r="G5228" s="400" t="s">
        <v>9568</v>
      </c>
    </row>
    <row r="5229" spans="7:7" x14ac:dyDescent="0.3">
      <c r="G5229" s="400" t="s">
        <v>9568</v>
      </c>
    </row>
    <row r="5230" spans="7:7" x14ac:dyDescent="0.3">
      <c r="G5230" s="400" t="s">
        <v>9568</v>
      </c>
    </row>
    <row r="5231" spans="7:7" x14ac:dyDescent="0.3">
      <c r="G5231" s="400" t="s">
        <v>9568</v>
      </c>
    </row>
    <row r="5232" spans="7:7" x14ac:dyDescent="0.3">
      <c r="G5232" s="400" t="s">
        <v>9568</v>
      </c>
    </row>
    <row r="5233" spans="7:7" x14ac:dyDescent="0.3">
      <c r="G5233" s="400" t="s">
        <v>9568</v>
      </c>
    </row>
    <row r="5234" spans="7:7" x14ac:dyDescent="0.3">
      <c r="G5234" s="400" t="s">
        <v>9568</v>
      </c>
    </row>
    <row r="5235" spans="7:7" x14ac:dyDescent="0.3">
      <c r="G5235" s="400" t="s">
        <v>9568</v>
      </c>
    </row>
    <row r="5236" spans="7:7" x14ac:dyDescent="0.3">
      <c r="G5236" s="400" t="s">
        <v>9568</v>
      </c>
    </row>
    <row r="5237" spans="7:7" x14ac:dyDescent="0.3">
      <c r="G5237" s="400" t="s">
        <v>9568</v>
      </c>
    </row>
    <row r="5238" spans="7:7" x14ac:dyDescent="0.3">
      <c r="G5238" s="400" t="s">
        <v>9568</v>
      </c>
    </row>
    <row r="5239" spans="7:7" x14ac:dyDescent="0.3">
      <c r="G5239" s="400" t="s">
        <v>9568</v>
      </c>
    </row>
    <row r="5240" spans="7:7" x14ac:dyDescent="0.3">
      <c r="G5240" s="400" t="s">
        <v>9568</v>
      </c>
    </row>
    <row r="5241" spans="7:7" x14ac:dyDescent="0.3">
      <c r="G5241" s="400" t="s">
        <v>9568</v>
      </c>
    </row>
    <row r="5242" spans="7:7" x14ac:dyDescent="0.3">
      <c r="G5242" s="400" t="s">
        <v>9568</v>
      </c>
    </row>
    <row r="5243" spans="7:7" x14ac:dyDescent="0.3">
      <c r="G5243" s="400" t="s">
        <v>9568</v>
      </c>
    </row>
    <row r="5244" spans="7:7" x14ac:dyDescent="0.3">
      <c r="G5244" s="400" t="s">
        <v>9568</v>
      </c>
    </row>
    <row r="5245" spans="7:7" x14ac:dyDescent="0.3">
      <c r="G5245" s="400" t="s">
        <v>9568</v>
      </c>
    </row>
    <row r="5246" spans="7:7" x14ac:dyDescent="0.3">
      <c r="G5246" s="400" t="s">
        <v>9568</v>
      </c>
    </row>
    <row r="5247" spans="7:7" x14ac:dyDescent="0.3">
      <c r="G5247" s="400" t="s">
        <v>9568</v>
      </c>
    </row>
    <row r="5248" spans="7:7" x14ac:dyDescent="0.3">
      <c r="G5248" s="400" t="s">
        <v>9568</v>
      </c>
    </row>
    <row r="5249" spans="7:7" x14ac:dyDescent="0.3">
      <c r="G5249" s="400" t="s">
        <v>9568</v>
      </c>
    </row>
    <row r="5250" spans="7:7" x14ac:dyDescent="0.3">
      <c r="G5250" s="400" t="s">
        <v>9568</v>
      </c>
    </row>
    <row r="5251" spans="7:7" x14ac:dyDescent="0.3">
      <c r="G5251" s="400" t="s">
        <v>9568</v>
      </c>
    </row>
    <row r="5252" spans="7:7" x14ac:dyDescent="0.3">
      <c r="G5252" s="400" t="s">
        <v>9568</v>
      </c>
    </row>
    <row r="5253" spans="7:7" x14ac:dyDescent="0.3">
      <c r="G5253" s="400" t="s">
        <v>9568</v>
      </c>
    </row>
    <row r="5254" spans="7:7" x14ac:dyDescent="0.3">
      <c r="G5254" s="400" t="s">
        <v>9568</v>
      </c>
    </row>
    <row r="5255" spans="7:7" x14ac:dyDescent="0.3">
      <c r="G5255" s="400" t="s">
        <v>9568</v>
      </c>
    </row>
    <row r="5256" spans="7:7" x14ac:dyDescent="0.3">
      <c r="G5256" s="400" t="s">
        <v>9568</v>
      </c>
    </row>
    <row r="5257" spans="7:7" x14ac:dyDescent="0.3">
      <c r="G5257" s="400" t="s">
        <v>9568</v>
      </c>
    </row>
    <row r="5258" spans="7:7" x14ac:dyDescent="0.3">
      <c r="G5258" s="400" t="s">
        <v>9568</v>
      </c>
    </row>
    <row r="5259" spans="7:7" x14ac:dyDescent="0.3">
      <c r="G5259" s="400" t="s">
        <v>9568</v>
      </c>
    </row>
    <row r="5260" spans="7:7" x14ac:dyDescent="0.3">
      <c r="G5260" s="400" t="s">
        <v>9568</v>
      </c>
    </row>
    <row r="5261" spans="7:7" x14ac:dyDescent="0.3">
      <c r="G5261" s="400" t="s">
        <v>9568</v>
      </c>
    </row>
    <row r="5262" spans="7:7" x14ac:dyDescent="0.3">
      <c r="G5262" s="400" t="s">
        <v>9568</v>
      </c>
    </row>
    <row r="5263" spans="7:7" x14ac:dyDescent="0.3">
      <c r="G5263" s="400" t="s">
        <v>9568</v>
      </c>
    </row>
    <row r="5264" spans="7:7" x14ac:dyDescent="0.3">
      <c r="G5264" s="400" t="s">
        <v>9568</v>
      </c>
    </row>
    <row r="5265" spans="7:7" x14ac:dyDescent="0.3">
      <c r="G5265" s="400" t="s">
        <v>9568</v>
      </c>
    </row>
    <row r="5266" spans="7:7" x14ac:dyDescent="0.3">
      <c r="G5266" s="400" t="s">
        <v>9568</v>
      </c>
    </row>
    <row r="5267" spans="7:7" x14ac:dyDescent="0.3">
      <c r="G5267" s="400" t="s">
        <v>9568</v>
      </c>
    </row>
    <row r="5268" spans="7:7" x14ac:dyDescent="0.3">
      <c r="G5268" s="400" t="s">
        <v>9568</v>
      </c>
    </row>
    <row r="5269" spans="7:7" x14ac:dyDescent="0.3">
      <c r="G5269" s="400" t="s">
        <v>9568</v>
      </c>
    </row>
    <row r="5270" spans="7:7" x14ac:dyDescent="0.3">
      <c r="G5270" s="400" t="s">
        <v>9568</v>
      </c>
    </row>
    <row r="5271" spans="7:7" x14ac:dyDescent="0.3">
      <c r="G5271" s="400" t="s">
        <v>9568</v>
      </c>
    </row>
    <row r="5272" spans="7:7" x14ac:dyDescent="0.3">
      <c r="G5272" s="400" t="s">
        <v>9568</v>
      </c>
    </row>
    <row r="5273" spans="7:7" x14ac:dyDescent="0.3">
      <c r="G5273" s="400" t="s">
        <v>9568</v>
      </c>
    </row>
    <row r="5274" spans="7:7" x14ac:dyDescent="0.3">
      <c r="G5274" s="400" t="s">
        <v>9568</v>
      </c>
    </row>
    <row r="5275" spans="7:7" x14ac:dyDescent="0.3">
      <c r="G5275" s="400" t="s">
        <v>9568</v>
      </c>
    </row>
    <row r="5276" spans="7:7" x14ac:dyDescent="0.3">
      <c r="G5276" s="400" t="s">
        <v>9568</v>
      </c>
    </row>
    <row r="5277" spans="7:7" x14ac:dyDescent="0.3">
      <c r="G5277" s="400" t="s">
        <v>9568</v>
      </c>
    </row>
    <row r="5278" spans="7:7" x14ac:dyDescent="0.3">
      <c r="G5278" s="400" t="s">
        <v>9568</v>
      </c>
    </row>
    <row r="5279" spans="7:7" x14ac:dyDescent="0.3">
      <c r="G5279" s="400" t="s">
        <v>9568</v>
      </c>
    </row>
    <row r="5280" spans="7:7" x14ac:dyDescent="0.3">
      <c r="G5280" s="400" t="s">
        <v>9568</v>
      </c>
    </row>
    <row r="5281" spans="7:7" x14ac:dyDescent="0.3">
      <c r="G5281" s="400" t="s">
        <v>9568</v>
      </c>
    </row>
    <row r="5282" spans="7:7" x14ac:dyDescent="0.3">
      <c r="G5282" s="400" t="s">
        <v>9568</v>
      </c>
    </row>
    <row r="5283" spans="7:7" x14ac:dyDescent="0.3">
      <c r="G5283" s="400" t="s">
        <v>9568</v>
      </c>
    </row>
    <row r="5284" spans="7:7" x14ac:dyDescent="0.3">
      <c r="G5284" s="400" t="s">
        <v>9568</v>
      </c>
    </row>
    <row r="5285" spans="7:7" x14ac:dyDescent="0.3">
      <c r="G5285" s="400" t="s">
        <v>9568</v>
      </c>
    </row>
    <row r="5286" spans="7:7" x14ac:dyDescent="0.3">
      <c r="G5286" s="400" t="s">
        <v>9568</v>
      </c>
    </row>
    <row r="5287" spans="7:7" x14ac:dyDescent="0.3">
      <c r="G5287" s="400" t="s">
        <v>9568</v>
      </c>
    </row>
    <row r="5288" spans="7:7" x14ac:dyDescent="0.3">
      <c r="G5288" s="400" t="s">
        <v>9568</v>
      </c>
    </row>
    <row r="5289" spans="7:7" x14ac:dyDescent="0.3">
      <c r="G5289" s="400" t="s">
        <v>9568</v>
      </c>
    </row>
    <row r="5290" spans="7:7" x14ac:dyDescent="0.3">
      <c r="G5290" s="400" t="s">
        <v>9568</v>
      </c>
    </row>
    <row r="5291" spans="7:7" x14ac:dyDescent="0.3">
      <c r="G5291" s="400" t="s">
        <v>9568</v>
      </c>
    </row>
    <row r="5292" spans="7:7" x14ac:dyDescent="0.3">
      <c r="G5292" s="400" t="s">
        <v>9568</v>
      </c>
    </row>
    <row r="5293" spans="7:7" x14ac:dyDescent="0.3">
      <c r="G5293" s="400" t="s">
        <v>9568</v>
      </c>
    </row>
    <row r="5294" spans="7:7" x14ac:dyDescent="0.3">
      <c r="G5294" s="400" t="s">
        <v>9568</v>
      </c>
    </row>
    <row r="5295" spans="7:7" x14ac:dyDescent="0.3">
      <c r="G5295" s="400" t="s">
        <v>9568</v>
      </c>
    </row>
    <row r="5296" spans="7:7" x14ac:dyDescent="0.3">
      <c r="G5296" s="400" t="s">
        <v>9568</v>
      </c>
    </row>
    <row r="5297" spans="7:7" x14ac:dyDescent="0.3">
      <c r="G5297" s="400" t="s">
        <v>9568</v>
      </c>
    </row>
    <row r="5298" spans="7:7" x14ac:dyDescent="0.3">
      <c r="G5298" s="400" t="s">
        <v>9568</v>
      </c>
    </row>
    <row r="5299" spans="7:7" x14ac:dyDescent="0.3">
      <c r="G5299" s="400" t="s">
        <v>9568</v>
      </c>
    </row>
    <row r="5300" spans="7:7" x14ac:dyDescent="0.3">
      <c r="G5300" s="400" t="s">
        <v>9568</v>
      </c>
    </row>
    <row r="5301" spans="7:7" x14ac:dyDescent="0.3">
      <c r="G5301" s="400" t="s">
        <v>9568</v>
      </c>
    </row>
    <row r="5302" spans="7:7" x14ac:dyDescent="0.3">
      <c r="G5302" s="400" t="s">
        <v>9568</v>
      </c>
    </row>
    <row r="5303" spans="7:7" x14ac:dyDescent="0.3">
      <c r="G5303" s="400" t="s">
        <v>9568</v>
      </c>
    </row>
    <row r="5304" spans="7:7" x14ac:dyDescent="0.3">
      <c r="G5304" s="400" t="s">
        <v>9568</v>
      </c>
    </row>
    <row r="5305" spans="7:7" x14ac:dyDescent="0.3">
      <c r="G5305" s="400" t="s">
        <v>9568</v>
      </c>
    </row>
    <row r="5306" spans="7:7" x14ac:dyDescent="0.3">
      <c r="G5306" s="400" t="s">
        <v>9568</v>
      </c>
    </row>
    <row r="5307" spans="7:7" x14ac:dyDescent="0.3">
      <c r="G5307" s="400" t="s">
        <v>9568</v>
      </c>
    </row>
    <row r="5308" spans="7:7" x14ac:dyDescent="0.3">
      <c r="G5308" s="400" t="s">
        <v>9568</v>
      </c>
    </row>
    <row r="5309" spans="7:7" x14ac:dyDescent="0.3">
      <c r="G5309" s="400" t="s">
        <v>9568</v>
      </c>
    </row>
    <row r="5310" spans="7:7" x14ac:dyDescent="0.3">
      <c r="G5310" s="400" t="s">
        <v>9568</v>
      </c>
    </row>
    <row r="5311" spans="7:7" x14ac:dyDescent="0.3">
      <c r="G5311" s="400" t="s">
        <v>9568</v>
      </c>
    </row>
    <row r="5312" spans="7:7" x14ac:dyDescent="0.3">
      <c r="G5312" s="400" t="s">
        <v>9568</v>
      </c>
    </row>
    <row r="5313" spans="7:7" x14ac:dyDescent="0.3">
      <c r="G5313" s="400" t="s">
        <v>9568</v>
      </c>
    </row>
    <row r="5314" spans="7:7" x14ac:dyDescent="0.3">
      <c r="G5314" s="400" t="s">
        <v>9568</v>
      </c>
    </row>
    <row r="5315" spans="7:7" x14ac:dyDescent="0.3">
      <c r="G5315" s="400" t="s">
        <v>9568</v>
      </c>
    </row>
    <row r="5316" spans="7:7" x14ac:dyDescent="0.3">
      <c r="G5316" s="400" t="s">
        <v>9568</v>
      </c>
    </row>
    <row r="5317" spans="7:7" x14ac:dyDescent="0.3">
      <c r="G5317" s="400" t="s">
        <v>9568</v>
      </c>
    </row>
    <row r="5318" spans="7:7" x14ac:dyDescent="0.3">
      <c r="G5318" s="400" t="s">
        <v>9568</v>
      </c>
    </row>
    <row r="5319" spans="7:7" x14ac:dyDescent="0.3">
      <c r="G5319" s="400" t="s">
        <v>9568</v>
      </c>
    </row>
    <row r="5320" spans="7:7" x14ac:dyDescent="0.3">
      <c r="G5320" s="400" t="s">
        <v>9568</v>
      </c>
    </row>
    <row r="5321" spans="7:7" x14ac:dyDescent="0.3">
      <c r="G5321" s="400" t="s">
        <v>9568</v>
      </c>
    </row>
    <row r="5322" spans="7:7" x14ac:dyDescent="0.3">
      <c r="G5322" s="400" t="s">
        <v>9568</v>
      </c>
    </row>
    <row r="5323" spans="7:7" x14ac:dyDescent="0.3">
      <c r="G5323" s="400" t="s">
        <v>9568</v>
      </c>
    </row>
    <row r="5324" spans="7:7" x14ac:dyDescent="0.3">
      <c r="G5324" s="400" t="s">
        <v>9568</v>
      </c>
    </row>
    <row r="5325" spans="7:7" x14ac:dyDescent="0.3">
      <c r="G5325" s="400" t="s">
        <v>9568</v>
      </c>
    </row>
    <row r="5326" spans="7:7" x14ac:dyDescent="0.3">
      <c r="G5326" s="400" t="s">
        <v>9568</v>
      </c>
    </row>
    <row r="5327" spans="7:7" x14ac:dyDescent="0.3">
      <c r="G5327" s="400" t="s">
        <v>9568</v>
      </c>
    </row>
    <row r="5328" spans="7:7" x14ac:dyDescent="0.3">
      <c r="G5328" s="400" t="s">
        <v>9568</v>
      </c>
    </row>
    <row r="5329" spans="7:7" x14ac:dyDescent="0.3">
      <c r="G5329" s="400" t="s">
        <v>9568</v>
      </c>
    </row>
    <row r="5330" spans="7:7" x14ac:dyDescent="0.3">
      <c r="G5330" s="400" t="s">
        <v>9568</v>
      </c>
    </row>
    <row r="5331" spans="7:7" x14ac:dyDescent="0.3">
      <c r="G5331" s="400" t="s">
        <v>9568</v>
      </c>
    </row>
    <row r="5332" spans="7:7" x14ac:dyDescent="0.3">
      <c r="G5332" s="400" t="s">
        <v>9568</v>
      </c>
    </row>
    <row r="5333" spans="7:7" x14ac:dyDescent="0.3">
      <c r="G5333" s="400" t="s">
        <v>9568</v>
      </c>
    </row>
    <row r="5334" spans="7:7" x14ac:dyDescent="0.3">
      <c r="G5334" s="400" t="s">
        <v>9568</v>
      </c>
    </row>
    <row r="5335" spans="7:7" x14ac:dyDescent="0.3">
      <c r="G5335" s="400" t="s">
        <v>9568</v>
      </c>
    </row>
    <row r="5336" spans="7:7" x14ac:dyDescent="0.3">
      <c r="G5336" s="400" t="s">
        <v>9568</v>
      </c>
    </row>
    <row r="5337" spans="7:7" x14ac:dyDescent="0.3">
      <c r="G5337" s="400" t="s">
        <v>9568</v>
      </c>
    </row>
    <row r="5338" spans="7:7" x14ac:dyDescent="0.3">
      <c r="G5338" s="400" t="s">
        <v>9568</v>
      </c>
    </row>
    <row r="5339" spans="7:7" x14ac:dyDescent="0.3">
      <c r="G5339" s="400" t="s">
        <v>9568</v>
      </c>
    </row>
    <row r="5340" spans="7:7" x14ac:dyDescent="0.3">
      <c r="G5340" s="400" t="s">
        <v>9568</v>
      </c>
    </row>
    <row r="5341" spans="7:7" x14ac:dyDescent="0.3">
      <c r="G5341" s="400" t="s">
        <v>9568</v>
      </c>
    </row>
    <row r="5342" spans="7:7" x14ac:dyDescent="0.3">
      <c r="G5342" s="400" t="s">
        <v>9568</v>
      </c>
    </row>
    <row r="5343" spans="7:7" x14ac:dyDescent="0.3">
      <c r="G5343" s="400" t="s">
        <v>9568</v>
      </c>
    </row>
    <row r="5344" spans="7:7" x14ac:dyDescent="0.3">
      <c r="G5344" s="400" t="s">
        <v>9568</v>
      </c>
    </row>
    <row r="5345" spans="7:7" x14ac:dyDescent="0.3">
      <c r="G5345" s="400" t="s">
        <v>9568</v>
      </c>
    </row>
    <row r="5346" spans="7:7" x14ac:dyDescent="0.3">
      <c r="G5346" s="400" t="s">
        <v>9568</v>
      </c>
    </row>
    <row r="5347" spans="7:7" x14ac:dyDescent="0.3">
      <c r="G5347" s="400" t="s">
        <v>9568</v>
      </c>
    </row>
    <row r="5348" spans="7:7" x14ac:dyDescent="0.3">
      <c r="G5348" s="400" t="s">
        <v>9568</v>
      </c>
    </row>
    <row r="5349" spans="7:7" x14ac:dyDescent="0.3">
      <c r="G5349" s="400" t="s">
        <v>9568</v>
      </c>
    </row>
    <row r="5350" spans="7:7" x14ac:dyDescent="0.3">
      <c r="G5350" s="400" t="s">
        <v>9568</v>
      </c>
    </row>
    <row r="5351" spans="7:7" x14ac:dyDescent="0.3">
      <c r="G5351" s="400" t="s">
        <v>9568</v>
      </c>
    </row>
    <row r="5352" spans="7:7" x14ac:dyDescent="0.3">
      <c r="G5352" s="400" t="s">
        <v>9568</v>
      </c>
    </row>
    <row r="5353" spans="7:7" x14ac:dyDescent="0.3">
      <c r="G5353" s="400" t="s">
        <v>9568</v>
      </c>
    </row>
    <row r="5354" spans="7:7" x14ac:dyDescent="0.3">
      <c r="G5354" s="400" t="s">
        <v>9568</v>
      </c>
    </row>
    <row r="5355" spans="7:7" x14ac:dyDescent="0.3">
      <c r="G5355" s="400" t="s">
        <v>9568</v>
      </c>
    </row>
    <row r="5356" spans="7:7" x14ac:dyDescent="0.3">
      <c r="G5356" s="400" t="s">
        <v>9568</v>
      </c>
    </row>
    <row r="5357" spans="7:7" x14ac:dyDescent="0.3">
      <c r="G5357" s="400" t="s">
        <v>9568</v>
      </c>
    </row>
    <row r="5358" spans="7:7" x14ac:dyDescent="0.3">
      <c r="G5358" s="400" t="s">
        <v>9568</v>
      </c>
    </row>
    <row r="5359" spans="7:7" x14ac:dyDescent="0.3">
      <c r="G5359" s="400" t="s">
        <v>9568</v>
      </c>
    </row>
    <row r="5360" spans="7:7" x14ac:dyDescent="0.3">
      <c r="G5360" s="400" t="s">
        <v>9568</v>
      </c>
    </row>
    <row r="5361" spans="7:7" x14ac:dyDescent="0.3">
      <c r="G5361" s="400" t="s">
        <v>9568</v>
      </c>
    </row>
    <row r="5362" spans="7:7" x14ac:dyDescent="0.3">
      <c r="G5362" s="400" t="s">
        <v>9568</v>
      </c>
    </row>
    <row r="5363" spans="7:7" x14ac:dyDescent="0.3">
      <c r="G5363" s="400" t="s">
        <v>9568</v>
      </c>
    </row>
    <row r="5364" spans="7:7" x14ac:dyDescent="0.3">
      <c r="G5364" s="400" t="s">
        <v>9568</v>
      </c>
    </row>
    <row r="5365" spans="7:7" x14ac:dyDescent="0.3">
      <c r="G5365" s="400" t="s">
        <v>9568</v>
      </c>
    </row>
    <row r="5366" spans="7:7" x14ac:dyDescent="0.3">
      <c r="G5366" s="400" t="s">
        <v>9568</v>
      </c>
    </row>
    <row r="5367" spans="7:7" x14ac:dyDescent="0.3">
      <c r="G5367" s="400" t="s">
        <v>9568</v>
      </c>
    </row>
    <row r="5368" spans="7:7" x14ac:dyDescent="0.3">
      <c r="G5368" s="400" t="s">
        <v>9568</v>
      </c>
    </row>
    <row r="5369" spans="7:7" x14ac:dyDescent="0.3">
      <c r="G5369" s="400" t="s">
        <v>9568</v>
      </c>
    </row>
    <row r="5370" spans="7:7" x14ac:dyDescent="0.3">
      <c r="G5370" s="400" t="s">
        <v>9568</v>
      </c>
    </row>
    <row r="5371" spans="7:7" x14ac:dyDescent="0.3">
      <c r="G5371" s="400" t="s">
        <v>9568</v>
      </c>
    </row>
    <row r="5372" spans="7:7" x14ac:dyDescent="0.3">
      <c r="G5372" s="400" t="s">
        <v>9568</v>
      </c>
    </row>
    <row r="5373" spans="7:7" x14ac:dyDescent="0.3">
      <c r="G5373" s="400" t="s">
        <v>9568</v>
      </c>
    </row>
    <row r="5374" spans="7:7" x14ac:dyDescent="0.3">
      <c r="G5374" s="400" t="s">
        <v>9568</v>
      </c>
    </row>
    <row r="5375" spans="7:7" x14ac:dyDescent="0.3">
      <c r="G5375" s="400" t="s">
        <v>9568</v>
      </c>
    </row>
    <row r="5376" spans="7:7" x14ac:dyDescent="0.3">
      <c r="G5376" s="400" t="s">
        <v>9568</v>
      </c>
    </row>
    <row r="5377" spans="7:7" x14ac:dyDescent="0.3">
      <c r="G5377" s="400" t="s">
        <v>9568</v>
      </c>
    </row>
    <row r="5378" spans="7:7" x14ac:dyDescent="0.3">
      <c r="G5378" s="400" t="s">
        <v>9568</v>
      </c>
    </row>
    <row r="5379" spans="7:7" x14ac:dyDescent="0.3">
      <c r="G5379" s="400" t="s">
        <v>9568</v>
      </c>
    </row>
    <row r="5380" spans="7:7" x14ac:dyDescent="0.3">
      <c r="G5380" s="400" t="s">
        <v>9568</v>
      </c>
    </row>
    <row r="5381" spans="7:7" x14ac:dyDescent="0.3">
      <c r="G5381" s="400" t="s">
        <v>9568</v>
      </c>
    </row>
    <row r="5382" spans="7:7" x14ac:dyDescent="0.3">
      <c r="G5382" s="400" t="s">
        <v>9568</v>
      </c>
    </row>
    <row r="5383" spans="7:7" x14ac:dyDescent="0.3">
      <c r="G5383" s="400" t="s">
        <v>9568</v>
      </c>
    </row>
    <row r="5384" spans="7:7" x14ac:dyDescent="0.3">
      <c r="G5384" s="400" t="s">
        <v>9568</v>
      </c>
    </row>
    <row r="5385" spans="7:7" x14ac:dyDescent="0.3">
      <c r="G5385" s="400" t="s">
        <v>9568</v>
      </c>
    </row>
    <row r="5386" spans="7:7" x14ac:dyDescent="0.3">
      <c r="G5386" s="400" t="s">
        <v>9568</v>
      </c>
    </row>
    <row r="5387" spans="7:7" x14ac:dyDescent="0.3">
      <c r="G5387" s="400" t="s">
        <v>9568</v>
      </c>
    </row>
    <row r="5388" spans="7:7" x14ac:dyDescent="0.3">
      <c r="G5388" s="400" t="s">
        <v>9568</v>
      </c>
    </row>
    <row r="5389" spans="7:7" x14ac:dyDescent="0.3">
      <c r="G5389" s="400" t="s">
        <v>9568</v>
      </c>
    </row>
    <row r="5390" spans="7:7" x14ac:dyDescent="0.3">
      <c r="G5390" s="400" t="s">
        <v>9568</v>
      </c>
    </row>
    <row r="5391" spans="7:7" x14ac:dyDescent="0.3">
      <c r="G5391" s="400" t="s">
        <v>9568</v>
      </c>
    </row>
    <row r="5392" spans="7:7" x14ac:dyDescent="0.3">
      <c r="G5392" s="400" t="s">
        <v>9568</v>
      </c>
    </row>
    <row r="5393" spans="7:7" x14ac:dyDescent="0.3">
      <c r="G5393" s="400" t="s">
        <v>9568</v>
      </c>
    </row>
    <row r="5394" spans="7:7" x14ac:dyDescent="0.3">
      <c r="G5394" s="400" t="s">
        <v>9568</v>
      </c>
    </row>
    <row r="5395" spans="7:7" x14ac:dyDescent="0.3">
      <c r="G5395" s="400" t="s">
        <v>9568</v>
      </c>
    </row>
    <row r="5396" spans="7:7" x14ac:dyDescent="0.3">
      <c r="G5396" s="400" t="s">
        <v>9568</v>
      </c>
    </row>
    <row r="5397" spans="7:7" x14ac:dyDescent="0.3">
      <c r="G5397" s="400" t="s">
        <v>9568</v>
      </c>
    </row>
    <row r="5398" spans="7:7" x14ac:dyDescent="0.3">
      <c r="G5398" s="400" t="s">
        <v>9568</v>
      </c>
    </row>
    <row r="5399" spans="7:7" x14ac:dyDescent="0.3">
      <c r="G5399" s="400" t="s">
        <v>9568</v>
      </c>
    </row>
    <row r="5400" spans="7:7" x14ac:dyDescent="0.3">
      <c r="G5400" s="400" t="s">
        <v>9568</v>
      </c>
    </row>
    <row r="5401" spans="7:7" x14ac:dyDescent="0.3">
      <c r="G5401" s="400" t="s">
        <v>9568</v>
      </c>
    </row>
    <row r="5402" spans="7:7" x14ac:dyDescent="0.3">
      <c r="G5402" s="400" t="s">
        <v>9568</v>
      </c>
    </row>
    <row r="5403" spans="7:7" x14ac:dyDescent="0.3">
      <c r="G5403" s="400" t="s">
        <v>9568</v>
      </c>
    </row>
    <row r="5404" spans="7:7" x14ac:dyDescent="0.3">
      <c r="G5404" s="400" t="s">
        <v>9568</v>
      </c>
    </row>
    <row r="5405" spans="7:7" x14ac:dyDescent="0.3">
      <c r="G5405" s="400" t="s">
        <v>9568</v>
      </c>
    </row>
    <row r="5406" spans="7:7" x14ac:dyDescent="0.3">
      <c r="G5406" s="400" t="s">
        <v>9568</v>
      </c>
    </row>
    <row r="5407" spans="7:7" x14ac:dyDescent="0.3">
      <c r="G5407" s="400" t="s">
        <v>9568</v>
      </c>
    </row>
    <row r="5408" spans="7:7" x14ac:dyDescent="0.3">
      <c r="G5408" s="400" t="s">
        <v>9568</v>
      </c>
    </row>
    <row r="5409" spans="7:7" x14ac:dyDescent="0.3">
      <c r="G5409" s="400" t="s">
        <v>9568</v>
      </c>
    </row>
    <row r="5410" spans="7:7" x14ac:dyDescent="0.3">
      <c r="G5410" s="400" t="s">
        <v>9568</v>
      </c>
    </row>
    <row r="5411" spans="7:7" x14ac:dyDescent="0.3">
      <c r="G5411" s="400" t="s">
        <v>9568</v>
      </c>
    </row>
    <row r="5412" spans="7:7" x14ac:dyDescent="0.3">
      <c r="G5412" s="400" t="s">
        <v>9568</v>
      </c>
    </row>
    <row r="5413" spans="7:7" x14ac:dyDescent="0.3">
      <c r="G5413" s="400" t="s">
        <v>9568</v>
      </c>
    </row>
    <row r="5414" spans="7:7" x14ac:dyDescent="0.3">
      <c r="G5414" s="400" t="s">
        <v>9568</v>
      </c>
    </row>
    <row r="5415" spans="7:7" x14ac:dyDescent="0.3">
      <c r="G5415" s="400" t="s">
        <v>9568</v>
      </c>
    </row>
    <row r="5416" spans="7:7" x14ac:dyDescent="0.3">
      <c r="G5416" s="400" t="s">
        <v>9568</v>
      </c>
    </row>
    <row r="5417" spans="7:7" x14ac:dyDescent="0.3">
      <c r="G5417" s="400" t="s">
        <v>9568</v>
      </c>
    </row>
    <row r="5418" spans="7:7" x14ac:dyDescent="0.3">
      <c r="G5418" s="400" t="s">
        <v>9568</v>
      </c>
    </row>
    <row r="5419" spans="7:7" x14ac:dyDescent="0.3">
      <c r="G5419" s="400" t="s">
        <v>9568</v>
      </c>
    </row>
    <row r="5420" spans="7:7" x14ac:dyDescent="0.3">
      <c r="G5420" s="400" t="s">
        <v>9568</v>
      </c>
    </row>
    <row r="5421" spans="7:7" x14ac:dyDescent="0.3">
      <c r="G5421" s="400" t="s">
        <v>9568</v>
      </c>
    </row>
    <row r="5422" spans="7:7" x14ac:dyDescent="0.3">
      <c r="G5422" s="400" t="s">
        <v>9568</v>
      </c>
    </row>
    <row r="5423" spans="7:7" x14ac:dyDescent="0.3">
      <c r="G5423" s="400" t="s">
        <v>9568</v>
      </c>
    </row>
    <row r="5424" spans="7:7" x14ac:dyDescent="0.3">
      <c r="G5424" s="400" t="s">
        <v>9568</v>
      </c>
    </row>
    <row r="5425" spans="7:7" x14ac:dyDescent="0.3">
      <c r="G5425" s="400" t="s">
        <v>9568</v>
      </c>
    </row>
    <row r="5426" spans="7:7" x14ac:dyDescent="0.3">
      <c r="G5426" s="400" t="s">
        <v>9568</v>
      </c>
    </row>
    <row r="5427" spans="7:7" x14ac:dyDescent="0.3">
      <c r="G5427" s="400" t="s">
        <v>9568</v>
      </c>
    </row>
    <row r="5428" spans="7:7" x14ac:dyDescent="0.3">
      <c r="G5428" s="400" t="s">
        <v>9568</v>
      </c>
    </row>
    <row r="5429" spans="7:7" x14ac:dyDescent="0.3">
      <c r="G5429" s="400" t="s">
        <v>9568</v>
      </c>
    </row>
    <row r="5430" spans="7:7" x14ac:dyDescent="0.3">
      <c r="G5430" s="400" t="s">
        <v>9568</v>
      </c>
    </row>
    <row r="5431" spans="7:7" x14ac:dyDescent="0.3">
      <c r="G5431" s="400" t="s">
        <v>9568</v>
      </c>
    </row>
    <row r="5432" spans="7:7" x14ac:dyDescent="0.3">
      <c r="G5432" s="400" t="s">
        <v>9568</v>
      </c>
    </row>
    <row r="5433" spans="7:7" x14ac:dyDescent="0.3">
      <c r="G5433" s="400" t="s">
        <v>9568</v>
      </c>
    </row>
    <row r="5434" spans="7:7" x14ac:dyDescent="0.3">
      <c r="G5434" s="400" t="s">
        <v>9568</v>
      </c>
    </row>
    <row r="5435" spans="7:7" x14ac:dyDescent="0.3">
      <c r="G5435" s="400" t="s">
        <v>9568</v>
      </c>
    </row>
    <row r="5436" spans="7:7" x14ac:dyDescent="0.3">
      <c r="G5436" s="400" t="s">
        <v>9568</v>
      </c>
    </row>
    <row r="5437" spans="7:7" x14ac:dyDescent="0.3">
      <c r="G5437" s="400" t="s">
        <v>9568</v>
      </c>
    </row>
    <row r="5438" spans="7:7" x14ac:dyDescent="0.3">
      <c r="G5438" s="400" t="s">
        <v>9568</v>
      </c>
    </row>
    <row r="5439" spans="7:7" x14ac:dyDescent="0.3">
      <c r="G5439" s="400" t="s">
        <v>9568</v>
      </c>
    </row>
    <row r="5440" spans="7:7" x14ac:dyDescent="0.3">
      <c r="G5440" s="400" t="s">
        <v>9568</v>
      </c>
    </row>
    <row r="5441" spans="7:7" x14ac:dyDescent="0.3">
      <c r="G5441" s="400" t="s">
        <v>9568</v>
      </c>
    </row>
    <row r="5442" spans="7:7" x14ac:dyDescent="0.3">
      <c r="G5442" s="400" t="s">
        <v>9568</v>
      </c>
    </row>
    <row r="5443" spans="7:7" x14ac:dyDescent="0.3">
      <c r="G5443" s="400" t="s">
        <v>9568</v>
      </c>
    </row>
    <row r="5444" spans="7:7" x14ac:dyDescent="0.3">
      <c r="G5444" s="400" t="s">
        <v>9568</v>
      </c>
    </row>
    <row r="5445" spans="7:7" x14ac:dyDescent="0.3">
      <c r="G5445" s="400" t="s">
        <v>9568</v>
      </c>
    </row>
    <row r="5446" spans="7:7" x14ac:dyDescent="0.3">
      <c r="G5446" s="400" t="s">
        <v>9568</v>
      </c>
    </row>
    <row r="5447" spans="7:7" x14ac:dyDescent="0.3">
      <c r="G5447" s="400" t="s">
        <v>9568</v>
      </c>
    </row>
    <row r="5448" spans="7:7" x14ac:dyDescent="0.3">
      <c r="G5448" s="400" t="s">
        <v>9568</v>
      </c>
    </row>
    <row r="5449" spans="7:7" x14ac:dyDescent="0.3">
      <c r="G5449" s="400" t="s">
        <v>9568</v>
      </c>
    </row>
    <row r="5450" spans="7:7" x14ac:dyDescent="0.3">
      <c r="G5450" s="400" t="s">
        <v>9568</v>
      </c>
    </row>
    <row r="5451" spans="7:7" x14ac:dyDescent="0.3">
      <c r="G5451" s="400" t="s">
        <v>9568</v>
      </c>
    </row>
    <row r="5452" spans="7:7" x14ac:dyDescent="0.3">
      <c r="G5452" s="400" t="s">
        <v>9568</v>
      </c>
    </row>
    <row r="5453" spans="7:7" x14ac:dyDescent="0.3">
      <c r="G5453" s="400" t="s">
        <v>9568</v>
      </c>
    </row>
    <row r="5454" spans="7:7" x14ac:dyDescent="0.3">
      <c r="G5454" s="400" t="s">
        <v>9568</v>
      </c>
    </row>
    <row r="5455" spans="7:7" x14ac:dyDescent="0.3">
      <c r="G5455" s="400" t="s">
        <v>9568</v>
      </c>
    </row>
    <row r="5456" spans="7:7" x14ac:dyDescent="0.3">
      <c r="G5456" s="400" t="s">
        <v>9568</v>
      </c>
    </row>
    <row r="5457" spans="7:7" x14ac:dyDescent="0.3">
      <c r="G5457" s="400" t="s">
        <v>9568</v>
      </c>
    </row>
    <row r="5458" spans="7:7" x14ac:dyDescent="0.3">
      <c r="G5458" s="400" t="s">
        <v>9568</v>
      </c>
    </row>
    <row r="5459" spans="7:7" x14ac:dyDescent="0.3">
      <c r="G5459" s="400" t="s">
        <v>9568</v>
      </c>
    </row>
    <row r="5460" spans="7:7" x14ac:dyDescent="0.3">
      <c r="G5460" s="400" t="s">
        <v>9568</v>
      </c>
    </row>
    <row r="5461" spans="7:7" x14ac:dyDescent="0.3">
      <c r="G5461" s="400" t="s">
        <v>9568</v>
      </c>
    </row>
    <row r="5462" spans="7:7" x14ac:dyDescent="0.3">
      <c r="G5462" s="400" t="s">
        <v>9568</v>
      </c>
    </row>
    <row r="5463" spans="7:7" x14ac:dyDescent="0.3">
      <c r="G5463" s="400" t="s">
        <v>9568</v>
      </c>
    </row>
    <row r="5464" spans="7:7" x14ac:dyDescent="0.3">
      <c r="G5464" s="400" t="s">
        <v>9568</v>
      </c>
    </row>
    <row r="5465" spans="7:7" x14ac:dyDescent="0.3">
      <c r="G5465" s="400" t="s">
        <v>9568</v>
      </c>
    </row>
    <row r="5466" spans="7:7" x14ac:dyDescent="0.3">
      <c r="G5466" s="400" t="s">
        <v>9568</v>
      </c>
    </row>
    <row r="5467" spans="7:7" x14ac:dyDescent="0.3">
      <c r="G5467" s="400" t="s">
        <v>9568</v>
      </c>
    </row>
    <row r="5468" spans="7:7" x14ac:dyDescent="0.3">
      <c r="G5468" s="400" t="s">
        <v>9568</v>
      </c>
    </row>
    <row r="5469" spans="7:7" x14ac:dyDescent="0.3">
      <c r="G5469" s="400" t="s">
        <v>9568</v>
      </c>
    </row>
    <row r="5470" spans="7:7" x14ac:dyDescent="0.3">
      <c r="G5470" s="400" t="s">
        <v>9568</v>
      </c>
    </row>
    <row r="5471" spans="7:7" x14ac:dyDescent="0.3">
      <c r="G5471" s="400" t="s">
        <v>9568</v>
      </c>
    </row>
    <row r="5472" spans="7:7" x14ac:dyDescent="0.3">
      <c r="G5472" s="400" t="s">
        <v>9568</v>
      </c>
    </row>
    <row r="5473" spans="7:7" x14ac:dyDescent="0.3">
      <c r="G5473" s="400" t="s">
        <v>9568</v>
      </c>
    </row>
    <row r="5474" spans="7:7" x14ac:dyDescent="0.3">
      <c r="G5474" s="400" t="s">
        <v>9568</v>
      </c>
    </row>
    <row r="5475" spans="7:7" x14ac:dyDescent="0.3">
      <c r="G5475" s="400" t="s">
        <v>9568</v>
      </c>
    </row>
    <row r="5476" spans="7:7" x14ac:dyDescent="0.3">
      <c r="G5476" s="400" t="s">
        <v>9568</v>
      </c>
    </row>
    <row r="5477" spans="7:7" x14ac:dyDescent="0.3">
      <c r="G5477" s="400" t="s">
        <v>9568</v>
      </c>
    </row>
    <row r="5478" spans="7:7" x14ac:dyDescent="0.3">
      <c r="G5478" s="400" t="s">
        <v>9568</v>
      </c>
    </row>
    <row r="5479" spans="7:7" x14ac:dyDescent="0.3">
      <c r="G5479" s="400" t="s">
        <v>9568</v>
      </c>
    </row>
    <row r="5480" spans="7:7" x14ac:dyDescent="0.3">
      <c r="G5480" s="400" t="s">
        <v>9568</v>
      </c>
    </row>
    <row r="5481" spans="7:7" x14ac:dyDescent="0.3">
      <c r="G5481" s="400" t="s">
        <v>9568</v>
      </c>
    </row>
    <row r="5482" spans="7:7" x14ac:dyDescent="0.3">
      <c r="G5482" s="400" t="s">
        <v>9568</v>
      </c>
    </row>
    <row r="5483" spans="7:7" x14ac:dyDescent="0.3">
      <c r="G5483" s="400" t="s">
        <v>9568</v>
      </c>
    </row>
    <row r="5484" spans="7:7" x14ac:dyDescent="0.3">
      <c r="G5484" s="400" t="s">
        <v>9568</v>
      </c>
    </row>
    <row r="5485" spans="7:7" x14ac:dyDescent="0.3">
      <c r="G5485" s="400" t="s">
        <v>9568</v>
      </c>
    </row>
    <row r="5486" spans="7:7" x14ac:dyDescent="0.3">
      <c r="G5486" s="400" t="s">
        <v>9568</v>
      </c>
    </row>
    <row r="5487" spans="7:7" x14ac:dyDescent="0.3">
      <c r="G5487" s="400" t="s">
        <v>9568</v>
      </c>
    </row>
    <row r="5488" spans="7:7" x14ac:dyDescent="0.3">
      <c r="G5488" s="400" t="s">
        <v>9568</v>
      </c>
    </row>
    <row r="5489" spans="7:7" x14ac:dyDescent="0.3">
      <c r="G5489" s="400" t="s">
        <v>9568</v>
      </c>
    </row>
    <row r="5490" spans="7:7" x14ac:dyDescent="0.3">
      <c r="G5490" s="400" t="s">
        <v>9568</v>
      </c>
    </row>
    <row r="5491" spans="7:7" x14ac:dyDescent="0.3">
      <c r="G5491" s="400" t="s">
        <v>9568</v>
      </c>
    </row>
    <row r="5492" spans="7:7" x14ac:dyDescent="0.3">
      <c r="G5492" s="400" t="s">
        <v>9568</v>
      </c>
    </row>
    <row r="5493" spans="7:7" x14ac:dyDescent="0.3">
      <c r="G5493" s="400" t="s">
        <v>9568</v>
      </c>
    </row>
    <row r="5494" spans="7:7" x14ac:dyDescent="0.3">
      <c r="G5494" s="400" t="s">
        <v>9568</v>
      </c>
    </row>
    <row r="5495" spans="7:7" x14ac:dyDescent="0.3">
      <c r="G5495" s="400" t="s">
        <v>9568</v>
      </c>
    </row>
    <row r="5496" spans="7:7" x14ac:dyDescent="0.3">
      <c r="G5496" s="400" t="s">
        <v>9568</v>
      </c>
    </row>
    <row r="5497" spans="7:7" x14ac:dyDescent="0.3">
      <c r="G5497" s="400" t="s">
        <v>9568</v>
      </c>
    </row>
    <row r="5498" spans="7:7" x14ac:dyDescent="0.3">
      <c r="G5498" s="400" t="s">
        <v>9568</v>
      </c>
    </row>
    <row r="5499" spans="7:7" x14ac:dyDescent="0.3">
      <c r="G5499" s="400" t="s">
        <v>9568</v>
      </c>
    </row>
    <row r="5500" spans="7:7" x14ac:dyDescent="0.3">
      <c r="G5500" s="400" t="s">
        <v>9568</v>
      </c>
    </row>
    <row r="5501" spans="7:7" x14ac:dyDescent="0.3">
      <c r="G5501" s="400" t="s">
        <v>9568</v>
      </c>
    </row>
    <row r="5502" spans="7:7" x14ac:dyDescent="0.3">
      <c r="G5502" s="400" t="s">
        <v>9568</v>
      </c>
    </row>
    <row r="5503" spans="7:7" x14ac:dyDescent="0.3">
      <c r="G5503" s="400" t="s">
        <v>9568</v>
      </c>
    </row>
    <row r="5504" spans="7:7" x14ac:dyDescent="0.3">
      <c r="G5504" s="400" t="s">
        <v>9568</v>
      </c>
    </row>
    <row r="5505" spans="7:7" x14ac:dyDescent="0.3">
      <c r="G5505" s="400" t="s">
        <v>9568</v>
      </c>
    </row>
    <row r="5506" spans="7:7" x14ac:dyDescent="0.3">
      <c r="G5506" s="400" t="s">
        <v>9568</v>
      </c>
    </row>
    <row r="5507" spans="7:7" x14ac:dyDescent="0.3">
      <c r="G5507" s="400" t="s">
        <v>9568</v>
      </c>
    </row>
    <row r="5508" spans="7:7" x14ac:dyDescent="0.3">
      <c r="G5508" s="400" t="s">
        <v>9568</v>
      </c>
    </row>
    <row r="5509" spans="7:7" x14ac:dyDescent="0.3">
      <c r="G5509" s="400" t="s">
        <v>9568</v>
      </c>
    </row>
    <row r="5510" spans="7:7" x14ac:dyDescent="0.3">
      <c r="G5510" s="400" t="s">
        <v>9568</v>
      </c>
    </row>
    <row r="5511" spans="7:7" x14ac:dyDescent="0.3">
      <c r="G5511" s="400" t="s">
        <v>9568</v>
      </c>
    </row>
    <row r="5512" spans="7:7" x14ac:dyDescent="0.3">
      <c r="G5512" s="400" t="s">
        <v>9568</v>
      </c>
    </row>
    <row r="5513" spans="7:7" x14ac:dyDescent="0.3">
      <c r="G5513" s="400" t="s">
        <v>9568</v>
      </c>
    </row>
    <row r="5514" spans="7:7" x14ac:dyDescent="0.3">
      <c r="G5514" s="400" t="s">
        <v>9568</v>
      </c>
    </row>
    <row r="5515" spans="7:7" x14ac:dyDescent="0.3">
      <c r="G5515" s="400" t="s">
        <v>9568</v>
      </c>
    </row>
    <row r="5516" spans="7:7" x14ac:dyDescent="0.3">
      <c r="G5516" s="400" t="s">
        <v>9568</v>
      </c>
    </row>
    <row r="5517" spans="7:7" x14ac:dyDescent="0.3">
      <c r="G5517" s="400" t="s">
        <v>9568</v>
      </c>
    </row>
    <row r="5518" spans="7:7" x14ac:dyDescent="0.3">
      <c r="G5518" s="400" t="s">
        <v>9568</v>
      </c>
    </row>
    <row r="5519" spans="7:7" x14ac:dyDescent="0.3">
      <c r="G5519" s="400" t="s">
        <v>9568</v>
      </c>
    </row>
    <row r="5520" spans="7:7" x14ac:dyDescent="0.3">
      <c r="G5520" s="400" t="s">
        <v>9568</v>
      </c>
    </row>
    <row r="5521" spans="7:7" x14ac:dyDescent="0.3">
      <c r="G5521" s="400" t="s">
        <v>9568</v>
      </c>
    </row>
    <row r="5522" spans="7:7" x14ac:dyDescent="0.3">
      <c r="G5522" s="400" t="s">
        <v>9568</v>
      </c>
    </row>
    <row r="5523" spans="7:7" x14ac:dyDescent="0.3">
      <c r="G5523" s="400" t="s">
        <v>9568</v>
      </c>
    </row>
    <row r="5524" spans="7:7" x14ac:dyDescent="0.3">
      <c r="G5524" s="400" t="s">
        <v>9568</v>
      </c>
    </row>
    <row r="5525" spans="7:7" x14ac:dyDescent="0.3">
      <c r="G5525" s="400" t="s">
        <v>9568</v>
      </c>
    </row>
    <row r="5526" spans="7:7" x14ac:dyDescent="0.3">
      <c r="G5526" s="400" t="s">
        <v>9568</v>
      </c>
    </row>
    <row r="5527" spans="7:7" x14ac:dyDescent="0.3">
      <c r="G5527" s="400" t="s">
        <v>9568</v>
      </c>
    </row>
    <row r="5528" spans="7:7" x14ac:dyDescent="0.3">
      <c r="G5528" s="400" t="s">
        <v>9568</v>
      </c>
    </row>
    <row r="5529" spans="7:7" x14ac:dyDescent="0.3">
      <c r="G5529" s="400" t="s">
        <v>9568</v>
      </c>
    </row>
    <row r="5530" spans="7:7" x14ac:dyDescent="0.3">
      <c r="G5530" s="400" t="s">
        <v>9568</v>
      </c>
    </row>
    <row r="5531" spans="7:7" x14ac:dyDescent="0.3">
      <c r="G5531" s="400" t="s">
        <v>9568</v>
      </c>
    </row>
    <row r="5532" spans="7:7" x14ac:dyDescent="0.3">
      <c r="G5532" s="400" t="s">
        <v>9568</v>
      </c>
    </row>
    <row r="5533" spans="7:7" x14ac:dyDescent="0.3">
      <c r="G5533" s="400" t="s">
        <v>9568</v>
      </c>
    </row>
    <row r="5534" spans="7:7" x14ac:dyDescent="0.3">
      <c r="G5534" s="400" t="s">
        <v>9568</v>
      </c>
    </row>
    <row r="5535" spans="7:7" x14ac:dyDescent="0.3">
      <c r="G5535" s="400" t="s">
        <v>9568</v>
      </c>
    </row>
    <row r="5536" spans="7:7" x14ac:dyDescent="0.3">
      <c r="G5536" s="400" t="s">
        <v>9568</v>
      </c>
    </row>
    <row r="5537" spans="7:7" x14ac:dyDescent="0.3">
      <c r="G5537" s="400" t="s">
        <v>9568</v>
      </c>
    </row>
    <row r="5538" spans="7:7" x14ac:dyDescent="0.3">
      <c r="G5538" s="400" t="s">
        <v>9568</v>
      </c>
    </row>
    <row r="5539" spans="7:7" x14ac:dyDescent="0.3">
      <c r="G5539" s="400" t="s">
        <v>9568</v>
      </c>
    </row>
    <row r="5540" spans="7:7" x14ac:dyDescent="0.3">
      <c r="G5540" s="400" t="s">
        <v>9568</v>
      </c>
    </row>
    <row r="5541" spans="7:7" x14ac:dyDescent="0.3">
      <c r="G5541" s="400" t="s">
        <v>9567</v>
      </c>
    </row>
    <row r="5542" spans="7:7" x14ac:dyDescent="0.3">
      <c r="G5542" s="400" t="s">
        <v>9567</v>
      </c>
    </row>
    <row r="5543" spans="7:7" x14ac:dyDescent="0.3">
      <c r="G5543" s="400" t="s">
        <v>9567</v>
      </c>
    </row>
    <row r="5544" spans="7:7" x14ac:dyDescent="0.3">
      <c r="G5544" s="400" t="s">
        <v>9567</v>
      </c>
    </row>
    <row r="5545" spans="7:7" x14ac:dyDescent="0.3">
      <c r="G5545" s="400" t="s">
        <v>9567</v>
      </c>
    </row>
    <row r="5546" spans="7:7" x14ac:dyDescent="0.3">
      <c r="G5546" s="400" t="s">
        <v>9567</v>
      </c>
    </row>
    <row r="5547" spans="7:7" x14ac:dyDescent="0.3">
      <c r="G5547" s="400" t="s">
        <v>9567</v>
      </c>
    </row>
    <row r="5548" spans="7:7" x14ac:dyDescent="0.3">
      <c r="G5548" s="400" t="s">
        <v>9567</v>
      </c>
    </row>
    <row r="5549" spans="7:7" x14ac:dyDescent="0.3">
      <c r="G5549" s="400" t="s">
        <v>9567</v>
      </c>
    </row>
    <row r="5550" spans="7:7" x14ac:dyDescent="0.3">
      <c r="G5550" s="400" t="s">
        <v>9567</v>
      </c>
    </row>
    <row r="5551" spans="7:7" x14ac:dyDescent="0.3">
      <c r="G5551" s="400" t="s">
        <v>9567</v>
      </c>
    </row>
    <row r="5552" spans="7:7" x14ac:dyDescent="0.3">
      <c r="G5552" s="400" t="s">
        <v>9567</v>
      </c>
    </row>
    <row r="5553" spans="7:7" x14ac:dyDescent="0.3">
      <c r="G5553" s="400" t="s">
        <v>9567</v>
      </c>
    </row>
    <row r="5554" spans="7:7" x14ac:dyDescent="0.3">
      <c r="G5554" s="400" t="s">
        <v>9567</v>
      </c>
    </row>
    <row r="5555" spans="7:7" x14ac:dyDescent="0.3">
      <c r="G5555" s="400" t="s">
        <v>9567</v>
      </c>
    </row>
    <row r="5556" spans="7:7" x14ac:dyDescent="0.3">
      <c r="G5556" s="400" t="s">
        <v>9567</v>
      </c>
    </row>
    <row r="5557" spans="7:7" x14ac:dyDescent="0.3">
      <c r="G5557" s="400" t="s">
        <v>9567</v>
      </c>
    </row>
    <row r="5558" spans="7:7" x14ac:dyDescent="0.3">
      <c r="G5558" s="400" t="s">
        <v>9567</v>
      </c>
    </row>
    <row r="5559" spans="7:7" x14ac:dyDescent="0.3">
      <c r="G5559" s="400" t="s">
        <v>9567</v>
      </c>
    </row>
    <row r="5560" spans="7:7" x14ac:dyDescent="0.3">
      <c r="G5560" s="400" t="s">
        <v>9567</v>
      </c>
    </row>
    <row r="5561" spans="7:7" x14ac:dyDescent="0.3">
      <c r="G5561" s="400" t="s">
        <v>9567</v>
      </c>
    </row>
    <row r="5562" spans="7:7" x14ac:dyDescent="0.3">
      <c r="G5562" s="400" t="s">
        <v>9567</v>
      </c>
    </row>
    <row r="5563" spans="7:7" x14ac:dyDescent="0.3">
      <c r="G5563" s="400" t="s">
        <v>9567</v>
      </c>
    </row>
    <row r="5564" spans="7:7" x14ac:dyDescent="0.3">
      <c r="G5564" s="400" t="s">
        <v>9567</v>
      </c>
    </row>
    <row r="5565" spans="7:7" x14ac:dyDescent="0.3">
      <c r="G5565" s="400" t="s">
        <v>9567</v>
      </c>
    </row>
    <row r="5566" spans="7:7" x14ac:dyDescent="0.3">
      <c r="G5566" s="400" t="s">
        <v>9567</v>
      </c>
    </row>
    <row r="5567" spans="7:7" x14ac:dyDescent="0.3">
      <c r="G5567" s="400" t="s">
        <v>9567</v>
      </c>
    </row>
    <row r="5568" spans="7:7" x14ac:dyDescent="0.3">
      <c r="G5568" s="400" t="s">
        <v>9567</v>
      </c>
    </row>
    <row r="5569" spans="7:7" x14ac:dyDescent="0.3">
      <c r="G5569" s="400" t="s">
        <v>9567</v>
      </c>
    </row>
    <row r="5570" spans="7:7" x14ac:dyDescent="0.3">
      <c r="G5570" s="400" t="s">
        <v>9567</v>
      </c>
    </row>
    <row r="5571" spans="7:7" x14ac:dyDescent="0.3">
      <c r="G5571" s="400" t="s">
        <v>9567</v>
      </c>
    </row>
    <row r="5572" spans="7:7" x14ac:dyDescent="0.3">
      <c r="G5572" s="400" t="s">
        <v>9567</v>
      </c>
    </row>
    <row r="5573" spans="7:7" x14ac:dyDescent="0.3">
      <c r="G5573" s="400" t="s">
        <v>9567</v>
      </c>
    </row>
    <row r="5574" spans="7:7" x14ac:dyDescent="0.3">
      <c r="G5574" s="400" t="s">
        <v>9567</v>
      </c>
    </row>
    <row r="5575" spans="7:7" x14ac:dyDescent="0.3">
      <c r="G5575" s="400" t="s">
        <v>9567</v>
      </c>
    </row>
    <row r="5576" spans="7:7" x14ac:dyDescent="0.3">
      <c r="G5576" s="400" t="s">
        <v>9567</v>
      </c>
    </row>
    <row r="5577" spans="7:7" x14ac:dyDescent="0.3">
      <c r="G5577" s="400" t="s">
        <v>9567</v>
      </c>
    </row>
    <row r="5578" spans="7:7" x14ac:dyDescent="0.3">
      <c r="G5578" s="400" t="s">
        <v>9567</v>
      </c>
    </row>
    <row r="5579" spans="7:7" x14ac:dyDescent="0.3">
      <c r="G5579" s="400" t="s">
        <v>9567</v>
      </c>
    </row>
    <row r="5580" spans="7:7" x14ac:dyDescent="0.3">
      <c r="G5580" s="400" t="s">
        <v>9567</v>
      </c>
    </row>
    <row r="5581" spans="7:7" x14ac:dyDescent="0.3">
      <c r="G5581" s="400" t="s">
        <v>9567</v>
      </c>
    </row>
    <row r="5582" spans="7:7" x14ac:dyDescent="0.3">
      <c r="G5582" s="400" t="s">
        <v>9567</v>
      </c>
    </row>
    <row r="5583" spans="7:7" x14ac:dyDescent="0.3">
      <c r="G5583" s="400" t="s">
        <v>9567</v>
      </c>
    </row>
    <row r="5584" spans="7:7" x14ac:dyDescent="0.3">
      <c r="G5584" s="400" t="s">
        <v>9567</v>
      </c>
    </row>
    <row r="5585" spans="7:7" x14ac:dyDescent="0.3">
      <c r="G5585" s="400" t="s">
        <v>9567</v>
      </c>
    </row>
    <row r="5586" spans="7:7" x14ac:dyDescent="0.3">
      <c r="G5586" s="400" t="s">
        <v>9567</v>
      </c>
    </row>
    <row r="5587" spans="7:7" x14ac:dyDescent="0.3">
      <c r="G5587" s="400" t="s">
        <v>9567</v>
      </c>
    </row>
    <row r="5588" spans="7:7" x14ac:dyDescent="0.3">
      <c r="G5588" s="400" t="s">
        <v>9567</v>
      </c>
    </row>
    <row r="5589" spans="7:7" x14ac:dyDescent="0.3">
      <c r="G5589" s="400" t="s">
        <v>9567</v>
      </c>
    </row>
    <row r="5590" spans="7:7" x14ac:dyDescent="0.3">
      <c r="G5590" s="400" t="s">
        <v>9567</v>
      </c>
    </row>
    <row r="5591" spans="7:7" x14ac:dyDescent="0.3">
      <c r="G5591" s="400" t="s">
        <v>9567</v>
      </c>
    </row>
    <row r="5592" spans="7:7" x14ac:dyDescent="0.3">
      <c r="G5592" s="400" t="s">
        <v>9567</v>
      </c>
    </row>
    <row r="5593" spans="7:7" x14ac:dyDescent="0.3">
      <c r="G5593" s="400" t="s">
        <v>9567</v>
      </c>
    </row>
    <row r="5594" spans="7:7" x14ac:dyDescent="0.3">
      <c r="G5594" s="400" t="s">
        <v>9567</v>
      </c>
    </row>
    <row r="5595" spans="7:7" x14ac:dyDescent="0.3">
      <c r="G5595" s="400" t="s">
        <v>9567</v>
      </c>
    </row>
    <row r="5596" spans="7:7" x14ac:dyDescent="0.3">
      <c r="G5596" s="400" t="s">
        <v>9567</v>
      </c>
    </row>
    <row r="5597" spans="7:7" x14ac:dyDescent="0.3">
      <c r="G5597" s="400" t="s">
        <v>9567</v>
      </c>
    </row>
    <row r="5598" spans="7:7" x14ac:dyDescent="0.3">
      <c r="G5598" s="400" t="s">
        <v>9567</v>
      </c>
    </row>
    <row r="5599" spans="7:7" x14ac:dyDescent="0.3">
      <c r="G5599" s="400" t="s">
        <v>9567</v>
      </c>
    </row>
    <row r="5600" spans="7:7" x14ac:dyDescent="0.3">
      <c r="G5600" s="400" t="s">
        <v>9567</v>
      </c>
    </row>
    <row r="5601" spans="7:7" x14ac:dyDescent="0.3">
      <c r="G5601" s="400" t="s">
        <v>9567</v>
      </c>
    </row>
    <row r="5602" spans="7:7" x14ac:dyDescent="0.3">
      <c r="G5602" s="400" t="s">
        <v>9567</v>
      </c>
    </row>
    <row r="5603" spans="7:7" x14ac:dyDescent="0.3">
      <c r="G5603" s="400" t="s">
        <v>9567</v>
      </c>
    </row>
    <row r="5604" spans="7:7" x14ac:dyDescent="0.3">
      <c r="G5604" s="400" t="s">
        <v>9567</v>
      </c>
    </row>
    <row r="5605" spans="7:7" x14ac:dyDescent="0.3">
      <c r="G5605" s="400" t="s">
        <v>9567</v>
      </c>
    </row>
    <row r="5606" spans="7:7" x14ac:dyDescent="0.3">
      <c r="G5606" s="400" t="s">
        <v>9567</v>
      </c>
    </row>
    <row r="5607" spans="7:7" x14ac:dyDescent="0.3">
      <c r="G5607" s="400" t="s">
        <v>9567</v>
      </c>
    </row>
    <row r="5608" spans="7:7" x14ac:dyDescent="0.3">
      <c r="G5608" s="400" t="s">
        <v>9567</v>
      </c>
    </row>
    <row r="5609" spans="7:7" x14ac:dyDescent="0.3">
      <c r="G5609" s="400" t="s">
        <v>9567</v>
      </c>
    </row>
    <row r="5610" spans="7:7" x14ac:dyDescent="0.3">
      <c r="G5610" s="400" t="s">
        <v>9567</v>
      </c>
    </row>
    <row r="5611" spans="7:7" x14ac:dyDescent="0.3">
      <c r="G5611" s="400" t="s">
        <v>9567</v>
      </c>
    </row>
    <row r="5612" spans="7:7" x14ac:dyDescent="0.3">
      <c r="G5612" s="400" t="s">
        <v>9567</v>
      </c>
    </row>
    <row r="5613" spans="7:7" x14ac:dyDescent="0.3">
      <c r="G5613" s="400" t="s">
        <v>9567</v>
      </c>
    </row>
    <row r="5614" spans="7:7" x14ac:dyDescent="0.3">
      <c r="G5614" s="400" t="s">
        <v>9567</v>
      </c>
    </row>
    <row r="5615" spans="7:7" x14ac:dyDescent="0.3">
      <c r="G5615" s="400" t="s">
        <v>9567</v>
      </c>
    </row>
    <row r="5616" spans="7:7" x14ac:dyDescent="0.3">
      <c r="G5616" s="400" t="s">
        <v>9567</v>
      </c>
    </row>
    <row r="5617" spans="7:7" x14ac:dyDescent="0.3">
      <c r="G5617" s="400" t="s">
        <v>9567</v>
      </c>
    </row>
    <row r="5618" spans="7:7" x14ac:dyDescent="0.3">
      <c r="G5618" s="400" t="s">
        <v>9567</v>
      </c>
    </row>
    <row r="5619" spans="7:7" x14ac:dyDescent="0.3">
      <c r="G5619" s="400" t="s">
        <v>9567</v>
      </c>
    </row>
    <row r="5620" spans="7:7" x14ac:dyDescent="0.3">
      <c r="G5620" s="400" t="s">
        <v>9567</v>
      </c>
    </row>
    <row r="5621" spans="7:7" x14ac:dyDescent="0.3">
      <c r="G5621" s="400" t="s">
        <v>9567</v>
      </c>
    </row>
    <row r="5622" spans="7:7" x14ac:dyDescent="0.3">
      <c r="G5622" s="400" t="s">
        <v>9567</v>
      </c>
    </row>
    <row r="5623" spans="7:7" x14ac:dyDescent="0.3">
      <c r="G5623" s="400" t="s">
        <v>9567</v>
      </c>
    </row>
    <row r="5624" spans="7:7" x14ac:dyDescent="0.3">
      <c r="G5624" s="400" t="s">
        <v>9567</v>
      </c>
    </row>
    <row r="5625" spans="7:7" x14ac:dyDescent="0.3">
      <c r="G5625" s="400" t="s">
        <v>9567</v>
      </c>
    </row>
    <row r="5626" spans="7:7" x14ac:dyDescent="0.3">
      <c r="G5626" s="400" t="s">
        <v>9567</v>
      </c>
    </row>
    <row r="5627" spans="7:7" x14ac:dyDescent="0.3">
      <c r="G5627" s="400" t="s">
        <v>9567</v>
      </c>
    </row>
    <row r="5628" spans="7:7" x14ac:dyDescent="0.3">
      <c r="G5628" s="400" t="s">
        <v>9567</v>
      </c>
    </row>
    <row r="5629" spans="7:7" x14ac:dyDescent="0.3">
      <c r="G5629" s="400" t="s">
        <v>9567</v>
      </c>
    </row>
    <row r="5630" spans="7:7" x14ac:dyDescent="0.3">
      <c r="G5630" s="400" t="s">
        <v>9567</v>
      </c>
    </row>
    <row r="5631" spans="7:7" x14ac:dyDescent="0.3">
      <c r="G5631" s="400" t="s">
        <v>9567</v>
      </c>
    </row>
    <row r="5632" spans="7:7" x14ac:dyDescent="0.3">
      <c r="G5632" s="400" t="s">
        <v>9567</v>
      </c>
    </row>
    <row r="5633" spans="7:7" x14ac:dyDescent="0.3">
      <c r="G5633" s="400" t="s">
        <v>9567</v>
      </c>
    </row>
    <row r="5634" spans="7:7" x14ac:dyDescent="0.3">
      <c r="G5634" s="400" t="s">
        <v>9567</v>
      </c>
    </row>
    <row r="5635" spans="7:7" x14ac:dyDescent="0.3">
      <c r="G5635" s="400" t="s">
        <v>9567</v>
      </c>
    </row>
    <row r="5636" spans="7:7" x14ac:dyDescent="0.3">
      <c r="G5636" s="400" t="s">
        <v>9567</v>
      </c>
    </row>
    <row r="5637" spans="7:7" x14ac:dyDescent="0.3">
      <c r="G5637" s="400" t="s">
        <v>9567</v>
      </c>
    </row>
    <row r="5638" spans="7:7" x14ac:dyDescent="0.3">
      <c r="G5638" s="400" t="s">
        <v>9567</v>
      </c>
    </row>
    <row r="5639" spans="7:7" x14ac:dyDescent="0.3">
      <c r="G5639" s="400" t="s">
        <v>9567</v>
      </c>
    </row>
    <row r="5640" spans="7:7" x14ac:dyDescent="0.3">
      <c r="G5640" s="400" t="s">
        <v>9567</v>
      </c>
    </row>
    <row r="5641" spans="7:7" x14ac:dyDescent="0.3">
      <c r="G5641" s="400" t="s">
        <v>9567</v>
      </c>
    </row>
    <row r="5642" spans="7:7" x14ac:dyDescent="0.3">
      <c r="G5642" s="400" t="s">
        <v>9567</v>
      </c>
    </row>
    <row r="5643" spans="7:7" x14ac:dyDescent="0.3">
      <c r="G5643" s="400" t="s">
        <v>9567</v>
      </c>
    </row>
    <row r="5644" spans="7:7" x14ac:dyDescent="0.3">
      <c r="G5644" s="400" t="s">
        <v>9567</v>
      </c>
    </row>
    <row r="5645" spans="7:7" x14ac:dyDescent="0.3">
      <c r="G5645" s="400" t="s">
        <v>9567</v>
      </c>
    </row>
    <row r="5646" spans="7:7" x14ac:dyDescent="0.3">
      <c r="G5646" s="400" t="s">
        <v>9567</v>
      </c>
    </row>
    <row r="5647" spans="7:7" x14ac:dyDescent="0.3">
      <c r="G5647" s="400" t="s">
        <v>9567</v>
      </c>
    </row>
    <row r="5648" spans="7:7" x14ac:dyDescent="0.3">
      <c r="G5648" s="400" t="s">
        <v>9567</v>
      </c>
    </row>
    <row r="5649" spans="7:7" x14ac:dyDescent="0.3">
      <c r="G5649" s="400" t="s">
        <v>9567</v>
      </c>
    </row>
    <row r="5650" spans="7:7" x14ac:dyDescent="0.3">
      <c r="G5650" s="400" t="s">
        <v>9567</v>
      </c>
    </row>
    <row r="5651" spans="7:7" x14ac:dyDescent="0.3">
      <c r="G5651" s="400" t="s">
        <v>9567</v>
      </c>
    </row>
    <row r="5652" spans="7:7" x14ac:dyDescent="0.3">
      <c r="G5652" s="400" t="s">
        <v>9567</v>
      </c>
    </row>
    <row r="5653" spans="7:7" x14ac:dyDescent="0.3">
      <c r="G5653" s="400" t="s">
        <v>9567</v>
      </c>
    </row>
    <row r="5654" spans="7:7" x14ac:dyDescent="0.3">
      <c r="G5654" s="400" t="s">
        <v>9567</v>
      </c>
    </row>
    <row r="5655" spans="7:7" x14ac:dyDescent="0.3">
      <c r="G5655" s="400" t="s">
        <v>9567</v>
      </c>
    </row>
    <row r="5656" spans="7:7" x14ac:dyDescent="0.3">
      <c r="G5656" s="400" t="s">
        <v>9567</v>
      </c>
    </row>
    <row r="5657" spans="7:7" x14ac:dyDescent="0.3">
      <c r="G5657" s="400" t="s">
        <v>9567</v>
      </c>
    </row>
    <row r="5658" spans="7:7" x14ac:dyDescent="0.3">
      <c r="G5658" s="400" t="s">
        <v>9567</v>
      </c>
    </row>
    <row r="5659" spans="7:7" x14ac:dyDescent="0.3">
      <c r="G5659" s="400" t="s">
        <v>9567</v>
      </c>
    </row>
    <row r="5660" spans="7:7" x14ac:dyDescent="0.3">
      <c r="G5660" s="400" t="s">
        <v>9567</v>
      </c>
    </row>
    <row r="5661" spans="7:7" x14ac:dyDescent="0.3">
      <c r="G5661" s="400" t="s">
        <v>9567</v>
      </c>
    </row>
    <row r="5662" spans="7:7" x14ac:dyDescent="0.3">
      <c r="G5662" s="400" t="s">
        <v>9567</v>
      </c>
    </row>
    <row r="5663" spans="7:7" x14ac:dyDescent="0.3">
      <c r="G5663" s="400" t="s">
        <v>9567</v>
      </c>
    </row>
    <row r="5664" spans="7:7" x14ac:dyDescent="0.3">
      <c r="G5664" s="400" t="s">
        <v>9567</v>
      </c>
    </row>
    <row r="5665" spans="7:7" x14ac:dyDescent="0.3">
      <c r="G5665" s="400" t="s">
        <v>9567</v>
      </c>
    </row>
    <row r="5666" spans="7:7" x14ac:dyDescent="0.3">
      <c r="G5666" s="400" t="s">
        <v>9567</v>
      </c>
    </row>
    <row r="5667" spans="7:7" x14ac:dyDescent="0.3">
      <c r="G5667" s="400" t="s">
        <v>9567</v>
      </c>
    </row>
    <row r="5668" spans="7:7" x14ac:dyDescent="0.3">
      <c r="G5668" s="400" t="s">
        <v>9567</v>
      </c>
    </row>
    <row r="5669" spans="7:7" x14ac:dyDescent="0.3">
      <c r="G5669" s="400" t="s">
        <v>9567</v>
      </c>
    </row>
    <row r="5670" spans="7:7" x14ac:dyDescent="0.3">
      <c r="G5670" s="400" t="s">
        <v>9567</v>
      </c>
    </row>
    <row r="5671" spans="7:7" x14ac:dyDescent="0.3">
      <c r="G5671" s="400" t="s">
        <v>9567</v>
      </c>
    </row>
    <row r="5672" spans="7:7" x14ac:dyDescent="0.3">
      <c r="G5672" s="400" t="s">
        <v>9567</v>
      </c>
    </row>
    <row r="5673" spans="7:7" x14ac:dyDescent="0.3">
      <c r="G5673" s="400" t="s">
        <v>9567</v>
      </c>
    </row>
    <row r="5674" spans="7:7" x14ac:dyDescent="0.3">
      <c r="G5674" s="400" t="s">
        <v>9567</v>
      </c>
    </row>
    <row r="5675" spans="7:7" x14ac:dyDescent="0.3">
      <c r="G5675" s="400" t="s">
        <v>9567</v>
      </c>
    </row>
    <row r="5676" spans="7:7" x14ac:dyDescent="0.3">
      <c r="G5676" s="400" t="s">
        <v>9567</v>
      </c>
    </row>
    <row r="5677" spans="7:7" x14ac:dyDescent="0.3">
      <c r="G5677" s="400" t="s">
        <v>9567</v>
      </c>
    </row>
    <row r="5678" spans="7:7" x14ac:dyDescent="0.3">
      <c r="G5678" s="400" t="s">
        <v>9567</v>
      </c>
    </row>
    <row r="5679" spans="7:7" x14ac:dyDescent="0.3">
      <c r="G5679" s="400" t="s">
        <v>9567</v>
      </c>
    </row>
    <row r="5680" spans="7:7" x14ac:dyDescent="0.3">
      <c r="G5680" s="400" t="s">
        <v>9567</v>
      </c>
    </row>
    <row r="5681" spans="7:7" x14ac:dyDescent="0.3">
      <c r="G5681" s="400" t="s">
        <v>9567</v>
      </c>
    </row>
    <row r="5682" spans="7:7" x14ac:dyDescent="0.3">
      <c r="G5682" s="400" t="s">
        <v>9567</v>
      </c>
    </row>
    <row r="5683" spans="7:7" x14ac:dyDescent="0.3">
      <c r="G5683" s="400" t="s">
        <v>9567</v>
      </c>
    </row>
    <row r="5684" spans="7:7" x14ac:dyDescent="0.3">
      <c r="G5684" s="400" t="s">
        <v>9567</v>
      </c>
    </row>
    <row r="5685" spans="7:7" x14ac:dyDescent="0.3">
      <c r="G5685" s="400" t="s">
        <v>9567</v>
      </c>
    </row>
    <row r="5686" spans="7:7" x14ac:dyDescent="0.3">
      <c r="G5686" s="400" t="s">
        <v>9567</v>
      </c>
    </row>
    <row r="5687" spans="7:7" x14ac:dyDescent="0.3">
      <c r="G5687" s="400" t="s">
        <v>9567</v>
      </c>
    </row>
    <row r="5688" spans="7:7" x14ac:dyDescent="0.3">
      <c r="G5688" s="400" t="s">
        <v>9567</v>
      </c>
    </row>
    <row r="5689" spans="7:7" x14ac:dyDescent="0.3">
      <c r="G5689" s="400" t="s">
        <v>9567</v>
      </c>
    </row>
    <row r="5690" spans="7:7" x14ac:dyDescent="0.3">
      <c r="G5690" s="400" t="s">
        <v>9567</v>
      </c>
    </row>
    <row r="5691" spans="7:7" x14ac:dyDescent="0.3">
      <c r="G5691" s="400" t="s">
        <v>9567</v>
      </c>
    </row>
    <row r="5692" spans="7:7" x14ac:dyDescent="0.3">
      <c r="G5692" s="400" t="s">
        <v>9567</v>
      </c>
    </row>
    <row r="5693" spans="7:7" x14ac:dyDescent="0.3">
      <c r="G5693" s="400" t="s">
        <v>9567</v>
      </c>
    </row>
    <row r="5694" spans="7:7" x14ac:dyDescent="0.3">
      <c r="G5694" s="400" t="s">
        <v>9567</v>
      </c>
    </row>
    <row r="5695" spans="7:7" x14ac:dyDescent="0.3">
      <c r="G5695" s="400" t="s">
        <v>9567</v>
      </c>
    </row>
    <row r="5696" spans="7:7" x14ac:dyDescent="0.3">
      <c r="G5696" s="400" t="s">
        <v>9567</v>
      </c>
    </row>
    <row r="5697" spans="7:7" x14ac:dyDescent="0.3">
      <c r="G5697" s="400" t="s">
        <v>9567</v>
      </c>
    </row>
    <row r="5698" spans="7:7" x14ac:dyDescent="0.3">
      <c r="G5698" s="400" t="s">
        <v>9567</v>
      </c>
    </row>
    <row r="5699" spans="7:7" x14ac:dyDescent="0.3">
      <c r="G5699" s="400" t="s">
        <v>9567</v>
      </c>
    </row>
    <row r="5700" spans="7:7" x14ac:dyDescent="0.3">
      <c r="G5700" s="400" t="s">
        <v>9567</v>
      </c>
    </row>
    <row r="5701" spans="7:7" x14ac:dyDescent="0.3">
      <c r="G5701" s="400" t="s">
        <v>9567</v>
      </c>
    </row>
    <row r="5702" spans="7:7" x14ac:dyDescent="0.3">
      <c r="G5702" s="400" t="s">
        <v>9567</v>
      </c>
    </row>
    <row r="5703" spans="7:7" x14ac:dyDescent="0.3">
      <c r="G5703" s="400" t="s">
        <v>9567</v>
      </c>
    </row>
    <row r="5704" spans="7:7" x14ac:dyDescent="0.3">
      <c r="G5704" s="400" t="s">
        <v>9567</v>
      </c>
    </row>
    <row r="5705" spans="7:7" x14ac:dyDescent="0.3">
      <c r="G5705" s="400" t="s">
        <v>9567</v>
      </c>
    </row>
    <row r="5706" spans="7:7" x14ac:dyDescent="0.3">
      <c r="G5706" s="400" t="s">
        <v>9567</v>
      </c>
    </row>
    <row r="5707" spans="7:7" x14ac:dyDescent="0.3">
      <c r="G5707" s="400" t="s">
        <v>9567</v>
      </c>
    </row>
    <row r="5708" spans="7:7" x14ac:dyDescent="0.3">
      <c r="G5708" s="400" t="s">
        <v>9567</v>
      </c>
    </row>
    <row r="5709" spans="7:7" x14ac:dyDescent="0.3">
      <c r="G5709" s="400" t="s">
        <v>9567</v>
      </c>
    </row>
    <row r="5710" spans="7:7" x14ac:dyDescent="0.3">
      <c r="G5710" s="400" t="s">
        <v>9567</v>
      </c>
    </row>
    <row r="5711" spans="7:7" x14ac:dyDescent="0.3">
      <c r="G5711" s="400" t="s">
        <v>9567</v>
      </c>
    </row>
    <row r="5712" spans="7:7" x14ac:dyDescent="0.3">
      <c r="G5712" s="400" t="s">
        <v>9567</v>
      </c>
    </row>
    <row r="5713" spans="7:7" x14ac:dyDescent="0.3">
      <c r="G5713" s="400" t="s">
        <v>9567</v>
      </c>
    </row>
    <row r="5714" spans="7:7" x14ac:dyDescent="0.3">
      <c r="G5714" s="400" t="s">
        <v>9567</v>
      </c>
    </row>
    <row r="5715" spans="7:7" x14ac:dyDescent="0.3">
      <c r="G5715" s="400" t="s">
        <v>9567</v>
      </c>
    </row>
    <row r="5716" spans="7:7" x14ac:dyDescent="0.3">
      <c r="G5716" s="400" t="s">
        <v>9567</v>
      </c>
    </row>
    <row r="5717" spans="7:7" x14ac:dyDescent="0.3">
      <c r="G5717" s="400" t="s">
        <v>9567</v>
      </c>
    </row>
    <row r="5718" spans="7:7" x14ac:dyDescent="0.3">
      <c r="G5718" s="400" t="s">
        <v>9567</v>
      </c>
    </row>
    <row r="5719" spans="7:7" x14ac:dyDescent="0.3">
      <c r="G5719" s="400" t="s">
        <v>9567</v>
      </c>
    </row>
    <row r="5720" spans="7:7" x14ac:dyDescent="0.3">
      <c r="G5720" s="400" t="s">
        <v>9567</v>
      </c>
    </row>
    <row r="5721" spans="7:7" x14ac:dyDescent="0.3">
      <c r="G5721" s="400" t="s">
        <v>9567</v>
      </c>
    </row>
    <row r="5722" spans="7:7" x14ac:dyDescent="0.3">
      <c r="G5722" s="400" t="s">
        <v>9567</v>
      </c>
    </row>
    <row r="5723" spans="7:7" x14ac:dyDescent="0.3">
      <c r="G5723" s="400" t="s">
        <v>9567</v>
      </c>
    </row>
    <row r="5724" spans="7:7" x14ac:dyDescent="0.3">
      <c r="G5724" s="400" t="s">
        <v>9567</v>
      </c>
    </row>
    <row r="5725" spans="7:7" x14ac:dyDescent="0.3">
      <c r="G5725" s="400" t="s">
        <v>9567</v>
      </c>
    </row>
    <row r="5726" spans="7:7" x14ac:dyDescent="0.3">
      <c r="G5726" s="400" t="s">
        <v>9567</v>
      </c>
    </row>
    <row r="5727" spans="7:7" x14ac:dyDescent="0.3">
      <c r="G5727" s="400" t="s">
        <v>9567</v>
      </c>
    </row>
    <row r="5728" spans="7:7" x14ac:dyDescent="0.3">
      <c r="G5728" s="400" t="s">
        <v>9567</v>
      </c>
    </row>
    <row r="5729" spans="7:7" x14ac:dyDescent="0.3">
      <c r="G5729" s="400" t="s">
        <v>9567</v>
      </c>
    </row>
    <row r="5730" spans="7:7" x14ac:dyDescent="0.3">
      <c r="G5730" s="400" t="s">
        <v>9567</v>
      </c>
    </row>
    <row r="5731" spans="7:7" x14ac:dyDescent="0.3">
      <c r="G5731" s="400" t="s">
        <v>9567</v>
      </c>
    </row>
    <row r="5732" spans="7:7" x14ac:dyDescent="0.3">
      <c r="G5732" s="400" t="s">
        <v>9567</v>
      </c>
    </row>
    <row r="5733" spans="7:7" x14ac:dyDescent="0.3">
      <c r="G5733" s="400" t="s">
        <v>9567</v>
      </c>
    </row>
    <row r="5734" spans="7:7" x14ac:dyDescent="0.3">
      <c r="G5734" s="400" t="s">
        <v>9567</v>
      </c>
    </row>
    <row r="5735" spans="7:7" x14ac:dyDescent="0.3">
      <c r="G5735" s="400" t="s">
        <v>9567</v>
      </c>
    </row>
    <row r="5736" spans="7:7" x14ac:dyDescent="0.3">
      <c r="G5736" s="400" t="s">
        <v>9567</v>
      </c>
    </row>
    <row r="5737" spans="7:7" x14ac:dyDescent="0.3">
      <c r="G5737" s="400" t="s">
        <v>9567</v>
      </c>
    </row>
    <row r="5738" spans="7:7" x14ac:dyDescent="0.3">
      <c r="G5738" s="400" t="s">
        <v>9567</v>
      </c>
    </row>
    <row r="5739" spans="7:7" x14ac:dyDescent="0.3">
      <c r="G5739" s="400" t="s">
        <v>9567</v>
      </c>
    </row>
    <row r="5740" spans="7:7" x14ac:dyDescent="0.3">
      <c r="G5740" s="400" t="s">
        <v>9567</v>
      </c>
    </row>
    <row r="5741" spans="7:7" x14ac:dyDescent="0.3">
      <c r="G5741" s="400" t="s">
        <v>9567</v>
      </c>
    </row>
    <row r="5742" spans="7:7" x14ac:dyDescent="0.3">
      <c r="G5742" s="400" t="s">
        <v>9567</v>
      </c>
    </row>
    <row r="5743" spans="7:7" x14ac:dyDescent="0.3">
      <c r="G5743" s="400" t="s">
        <v>9567</v>
      </c>
    </row>
    <row r="5744" spans="7:7" x14ac:dyDescent="0.3">
      <c r="G5744" s="400" t="s">
        <v>9567</v>
      </c>
    </row>
    <row r="5745" spans="7:7" x14ac:dyDescent="0.3">
      <c r="G5745" s="400" t="s">
        <v>9567</v>
      </c>
    </row>
    <row r="5746" spans="7:7" x14ac:dyDescent="0.3">
      <c r="G5746" s="400" t="s">
        <v>9567</v>
      </c>
    </row>
    <row r="5747" spans="7:7" x14ac:dyDescent="0.3">
      <c r="G5747" s="400" t="s">
        <v>9567</v>
      </c>
    </row>
    <row r="5748" spans="7:7" x14ac:dyDescent="0.3">
      <c r="G5748" s="400" t="s">
        <v>9567</v>
      </c>
    </row>
    <row r="5749" spans="7:7" x14ac:dyDescent="0.3">
      <c r="G5749" s="400" t="s">
        <v>9567</v>
      </c>
    </row>
    <row r="5750" spans="7:7" x14ac:dyDescent="0.3">
      <c r="G5750" s="400" t="s">
        <v>9567</v>
      </c>
    </row>
    <row r="5751" spans="7:7" x14ac:dyDescent="0.3">
      <c r="G5751" s="400" t="s">
        <v>9567</v>
      </c>
    </row>
    <row r="5752" spans="7:7" x14ac:dyDescent="0.3">
      <c r="G5752" s="400" t="s">
        <v>9567</v>
      </c>
    </row>
    <row r="5753" spans="7:7" x14ac:dyDescent="0.3">
      <c r="G5753" s="400" t="s">
        <v>9567</v>
      </c>
    </row>
    <row r="5754" spans="7:7" x14ac:dyDescent="0.3">
      <c r="G5754" s="400" t="s">
        <v>9567</v>
      </c>
    </row>
    <row r="5755" spans="7:7" x14ac:dyDescent="0.3">
      <c r="G5755" s="400" t="s">
        <v>9567</v>
      </c>
    </row>
    <row r="5756" spans="7:7" x14ac:dyDescent="0.3">
      <c r="G5756" s="400" t="s">
        <v>9567</v>
      </c>
    </row>
    <row r="5757" spans="7:7" x14ac:dyDescent="0.3">
      <c r="G5757" s="400" t="s">
        <v>9567</v>
      </c>
    </row>
    <row r="5758" spans="7:7" x14ac:dyDescent="0.3">
      <c r="G5758" s="400" t="s">
        <v>9567</v>
      </c>
    </row>
    <row r="5759" spans="7:7" x14ac:dyDescent="0.3">
      <c r="G5759" s="400" t="s">
        <v>9567</v>
      </c>
    </row>
    <row r="5760" spans="7:7" x14ac:dyDescent="0.3">
      <c r="G5760" s="400" t="s">
        <v>9567</v>
      </c>
    </row>
    <row r="5761" spans="7:7" x14ac:dyDescent="0.3">
      <c r="G5761" s="400" t="s">
        <v>9567</v>
      </c>
    </row>
    <row r="5762" spans="7:7" x14ac:dyDescent="0.3">
      <c r="G5762" s="400" t="s">
        <v>9567</v>
      </c>
    </row>
    <row r="5763" spans="7:7" x14ac:dyDescent="0.3">
      <c r="G5763" s="400" t="s">
        <v>9567</v>
      </c>
    </row>
    <row r="5764" spans="7:7" x14ac:dyDescent="0.3">
      <c r="G5764" s="400" t="s">
        <v>9567</v>
      </c>
    </row>
    <row r="5765" spans="7:7" x14ac:dyDescent="0.3">
      <c r="G5765" s="400" t="s">
        <v>9567</v>
      </c>
    </row>
    <row r="5766" spans="7:7" x14ac:dyDescent="0.3">
      <c r="G5766" s="400" t="s">
        <v>9567</v>
      </c>
    </row>
    <row r="5767" spans="7:7" x14ac:dyDescent="0.3">
      <c r="G5767" s="400" t="s">
        <v>9567</v>
      </c>
    </row>
    <row r="5768" spans="7:7" x14ac:dyDescent="0.3">
      <c r="G5768" s="400" t="s">
        <v>9567</v>
      </c>
    </row>
    <row r="5769" spans="7:7" x14ac:dyDescent="0.3">
      <c r="G5769" s="400" t="s">
        <v>9567</v>
      </c>
    </row>
    <row r="5770" spans="7:7" x14ac:dyDescent="0.3">
      <c r="G5770" s="400" t="s">
        <v>9567</v>
      </c>
    </row>
    <row r="5771" spans="7:7" x14ac:dyDescent="0.3">
      <c r="G5771" s="400" t="s">
        <v>9567</v>
      </c>
    </row>
    <row r="5772" spans="7:7" x14ac:dyDescent="0.3">
      <c r="G5772" s="400" t="s">
        <v>9567</v>
      </c>
    </row>
    <row r="5773" spans="7:7" x14ac:dyDescent="0.3">
      <c r="G5773" s="400" t="s">
        <v>9567</v>
      </c>
    </row>
    <row r="5774" spans="7:7" x14ac:dyDescent="0.3">
      <c r="G5774" s="400" t="s">
        <v>9567</v>
      </c>
    </row>
    <row r="5775" spans="7:7" x14ac:dyDescent="0.3">
      <c r="G5775" s="400" t="s">
        <v>9567</v>
      </c>
    </row>
    <row r="5776" spans="7:7" x14ac:dyDescent="0.3">
      <c r="G5776" s="400" t="s">
        <v>9567</v>
      </c>
    </row>
    <row r="5777" spans="7:7" x14ac:dyDescent="0.3">
      <c r="G5777" s="400" t="s">
        <v>9567</v>
      </c>
    </row>
    <row r="5778" spans="7:7" x14ac:dyDescent="0.3">
      <c r="G5778" s="400" t="s">
        <v>9567</v>
      </c>
    </row>
    <row r="5779" spans="7:7" x14ac:dyDescent="0.3">
      <c r="G5779" s="400" t="s">
        <v>9567</v>
      </c>
    </row>
    <row r="5780" spans="7:7" x14ac:dyDescent="0.3">
      <c r="G5780" s="400" t="s">
        <v>9567</v>
      </c>
    </row>
    <row r="5781" spans="7:7" x14ac:dyDescent="0.3">
      <c r="G5781" s="400" t="s">
        <v>9567</v>
      </c>
    </row>
    <row r="5782" spans="7:7" x14ac:dyDescent="0.3">
      <c r="G5782" s="400" t="s">
        <v>9567</v>
      </c>
    </row>
    <row r="5783" spans="7:7" x14ac:dyDescent="0.3">
      <c r="G5783" s="400" t="s">
        <v>9567</v>
      </c>
    </row>
    <row r="5784" spans="7:7" x14ac:dyDescent="0.3">
      <c r="G5784" s="400" t="s">
        <v>9567</v>
      </c>
    </row>
    <row r="5785" spans="7:7" x14ac:dyDescent="0.3">
      <c r="G5785" s="400" t="s">
        <v>9567</v>
      </c>
    </row>
    <row r="5786" spans="7:7" x14ac:dyDescent="0.3">
      <c r="G5786" s="400" t="s">
        <v>9567</v>
      </c>
    </row>
    <row r="5787" spans="7:7" x14ac:dyDescent="0.3">
      <c r="G5787" s="400" t="s">
        <v>9567</v>
      </c>
    </row>
    <row r="5788" spans="7:7" x14ac:dyDescent="0.3">
      <c r="G5788" s="400" t="s">
        <v>9567</v>
      </c>
    </row>
    <row r="5789" spans="7:7" x14ac:dyDescent="0.3">
      <c r="G5789" s="400" t="s">
        <v>9567</v>
      </c>
    </row>
    <row r="5790" spans="7:7" x14ac:dyDescent="0.3">
      <c r="G5790" s="400" t="s">
        <v>9567</v>
      </c>
    </row>
    <row r="5791" spans="7:7" x14ac:dyDescent="0.3">
      <c r="G5791" s="400" t="s">
        <v>9567</v>
      </c>
    </row>
    <row r="5792" spans="7:7" x14ac:dyDescent="0.3">
      <c r="G5792" s="400" t="s">
        <v>9567</v>
      </c>
    </row>
    <row r="5793" spans="7:7" x14ac:dyDescent="0.3">
      <c r="G5793" s="400" t="s">
        <v>9567</v>
      </c>
    </row>
    <row r="5794" spans="7:7" x14ac:dyDescent="0.3">
      <c r="G5794" s="400" t="s">
        <v>9567</v>
      </c>
    </row>
    <row r="5795" spans="7:7" x14ac:dyDescent="0.3">
      <c r="G5795" s="400" t="s">
        <v>9567</v>
      </c>
    </row>
    <row r="5796" spans="7:7" x14ac:dyDescent="0.3">
      <c r="G5796" s="400" t="s">
        <v>9567</v>
      </c>
    </row>
    <row r="5797" spans="7:7" x14ac:dyDescent="0.3">
      <c r="G5797" s="400" t="s">
        <v>9567</v>
      </c>
    </row>
    <row r="5798" spans="7:7" x14ac:dyDescent="0.3">
      <c r="G5798" s="400" t="s">
        <v>9567</v>
      </c>
    </row>
    <row r="5799" spans="7:7" x14ac:dyDescent="0.3">
      <c r="G5799" s="400" t="s">
        <v>9567</v>
      </c>
    </row>
    <row r="5800" spans="7:7" x14ac:dyDescent="0.3">
      <c r="G5800" s="400" t="s">
        <v>9567</v>
      </c>
    </row>
    <row r="5801" spans="7:7" x14ac:dyDescent="0.3">
      <c r="G5801" s="400" t="s">
        <v>9567</v>
      </c>
    </row>
    <row r="5802" spans="7:7" x14ac:dyDescent="0.3">
      <c r="G5802" s="400" t="s">
        <v>9567</v>
      </c>
    </row>
    <row r="5803" spans="7:7" x14ac:dyDescent="0.3">
      <c r="G5803" s="400" t="s">
        <v>9567</v>
      </c>
    </row>
    <row r="5804" spans="7:7" x14ac:dyDescent="0.3">
      <c r="G5804" s="400" t="s">
        <v>9567</v>
      </c>
    </row>
    <row r="5805" spans="7:7" x14ac:dyDescent="0.3">
      <c r="G5805" s="400" t="s">
        <v>9567</v>
      </c>
    </row>
    <row r="5806" spans="7:7" x14ac:dyDescent="0.3">
      <c r="G5806" s="400" t="s">
        <v>9567</v>
      </c>
    </row>
    <row r="5807" spans="7:7" x14ac:dyDescent="0.3">
      <c r="G5807" s="400" t="s">
        <v>9567</v>
      </c>
    </row>
    <row r="5808" spans="7:7" x14ac:dyDescent="0.3">
      <c r="G5808" s="400" t="s">
        <v>9567</v>
      </c>
    </row>
    <row r="5809" spans="7:7" x14ac:dyDescent="0.3">
      <c r="G5809" s="400" t="s">
        <v>9567</v>
      </c>
    </row>
    <row r="5810" spans="7:7" x14ac:dyDescent="0.3">
      <c r="G5810" s="400" t="s">
        <v>9567</v>
      </c>
    </row>
    <row r="5811" spans="7:7" x14ac:dyDescent="0.3">
      <c r="G5811" s="400" t="s">
        <v>9567</v>
      </c>
    </row>
    <row r="5812" spans="7:7" x14ac:dyDescent="0.3">
      <c r="G5812" s="400" t="s">
        <v>9567</v>
      </c>
    </row>
    <row r="5813" spans="7:7" x14ac:dyDescent="0.3">
      <c r="G5813" s="400" t="s">
        <v>9567</v>
      </c>
    </row>
    <row r="5814" spans="7:7" x14ac:dyDescent="0.3">
      <c r="G5814" s="400" t="s">
        <v>9567</v>
      </c>
    </row>
    <row r="5815" spans="7:7" x14ac:dyDescent="0.3">
      <c r="G5815" s="400" t="s">
        <v>9567</v>
      </c>
    </row>
    <row r="5816" spans="7:7" x14ac:dyDescent="0.3">
      <c r="G5816" s="400" t="s">
        <v>9567</v>
      </c>
    </row>
    <row r="5817" spans="7:7" x14ac:dyDescent="0.3">
      <c r="G5817" s="400" t="s">
        <v>9567</v>
      </c>
    </row>
    <row r="5818" spans="7:7" x14ac:dyDescent="0.3">
      <c r="G5818" s="400" t="s">
        <v>9567</v>
      </c>
    </row>
    <row r="5819" spans="7:7" x14ac:dyDescent="0.3">
      <c r="G5819" s="400" t="s">
        <v>9567</v>
      </c>
    </row>
    <row r="5820" spans="7:7" x14ac:dyDescent="0.3">
      <c r="G5820" s="400" t="s">
        <v>9567</v>
      </c>
    </row>
    <row r="5821" spans="7:7" x14ac:dyDescent="0.3">
      <c r="G5821" s="400" t="s">
        <v>9567</v>
      </c>
    </row>
    <row r="5822" spans="7:7" x14ac:dyDescent="0.3">
      <c r="G5822" s="400" t="s">
        <v>9567</v>
      </c>
    </row>
    <row r="5823" spans="7:7" x14ac:dyDescent="0.3">
      <c r="G5823" s="400" t="s">
        <v>9567</v>
      </c>
    </row>
    <row r="5824" spans="7:7" x14ac:dyDescent="0.3">
      <c r="G5824" s="400" t="s">
        <v>9567</v>
      </c>
    </row>
    <row r="5825" spans="7:7" x14ac:dyDescent="0.3">
      <c r="G5825" s="400" t="s">
        <v>9567</v>
      </c>
    </row>
    <row r="5826" spans="7:7" x14ac:dyDescent="0.3">
      <c r="G5826" s="400" t="s">
        <v>9567</v>
      </c>
    </row>
    <row r="5827" spans="7:7" x14ac:dyDescent="0.3">
      <c r="G5827" s="400" t="s">
        <v>9567</v>
      </c>
    </row>
    <row r="5828" spans="7:7" x14ac:dyDescent="0.3">
      <c r="G5828" s="400" t="s">
        <v>9567</v>
      </c>
    </row>
    <row r="5829" spans="7:7" x14ac:dyDescent="0.3">
      <c r="G5829" s="400" t="s">
        <v>9567</v>
      </c>
    </row>
    <row r="5830" spans="7:7" x14ac:dyDescent="0.3">
      <c r="G5830" s="400" t="s">
        <v>9567</v>
      </c>
    </row>
    <row r="5831" spans="7:7" x14ac:dyDescent="0.3">
      <c r="G5831" s="400" t="s">
        <v>9567</v>
      </c>
    </row>
    <row r="5832" spans="7:7" x14ac:dyDescent="0.3">
      <c r="G5832" s="400" t="s">
        <v>9567</v>
      </c>
    </row>
    <row r="5833" spans="7:7" x14ac:dyDescent="0.3">
      <c r="G5833" s="400" t="s">
        <v>9567</v>
      </c>
    </row>
    <row r="5834" spans="7:7" x14ac:dyDescent="0.3">
      <c r="G5834" s="400" t="s">
        <v>9567</v>
      </c>
    </row>
    <row r="5835" spans="7:7" x14ac:dyDescent="0.3">
      <c r="G5835" s="400" t="s">
        <v>9567</v>
      </c>
    </row>
    <row r="5836" spans="7:7" x14ac:dyDescent="0.3">
      <c r="G5836" s="400" t="s">
        <v>9567</v>
      </c>
    </row>
    <row r="5837" spans="7:7" x14ac:dyDescent="0.3">
      <c r="G5837" s="400" t="s">
        <v>9567</v>
      </c>
    </row>
    <row r="5838" spans="7:7" x14ac:dyDescent="0.3">
      <c r="G5838" s="400" t="s">
        <v>9567</v>
      </c>
    </row>
    <row r="5839" spans="7:7" x14ac:dyDescent="0.3">
      <c r="G5839" s="400" t="s">
        <v>9567</v>
      </c>
    </row>
    <row r="5840" spans="7:7" x14ac:dyDescent="0.3">
      <c r="G5840" s="400" t="s">
        <v>9567</v>
      </c>
    </row>
    <row r="5841" spans="7:7" x14ac:dyDescent="0.3">
      <c r="G5841" s="400" t="s">
        <v>9567</v>
      </c>
    </row>
    <row r="5842" spans="7:7" x14ac:dyDescent="0.3">
      <c r="G5842" s="400" t="s">
        <v>9567</v>
      </c>
    </row>
    <row r="5843" spans="7:7" x14ac:dyDescent="0.3">
      <c r="G5843" s="400" t="s">
        <v>9567</v>
      </c>
    </row>
    <row r="5844" spans="7:7" x14ac:dyDescent="0.3">
      <c r="G5844" s="400" t="s">
        <v>9567</v>
      </c>
    </row>
    <row r="5845" spans="7:7" x14ac:dyDescent="0.3">
      <c r="G5845" s="400" t="s">
        <v>9567</v>
      </c>
    </row>
    <row r="5846" spans="7:7" x14ac:dyDescent="0.3">
      <c r="G5846" s="400" t="s">
        <v>9567</v>
      </c>
    </row>
    <row r="5847" spans="7:7" x14ac:dyDescent="0.3">
      <c r="G5847" s="400" t="s">
        <v>9567</v>
      </c>
    </row>
    <row r="5848" spans="7:7" x14ac:dyDescent="0.3">
      <c r="G5848" s="400" t="s">
        <v>9567</v>
      </c>
    </row>
    <row r="5849" spans="7:7" x14ac:dyDescent="0.3">
      <c r="G5849" s="400" t="s">
        <v>9567</v>
      </c>
    </row>
    <row r="5850" spans="7:7" x14ac:dyDescent="0.3">
      <c r="G5850" s="400" t="s">
        <v>9567</v>
      </c>
    </row>
    <row r="5851" spans="7:7" x14ac:dyDescent="0.3">
      <c r="G5851" s="400" t="s">
        <v>9567</v>
      </c>
    </row>
    <row r="5852" spans="7:7" x14ac:dyDescent="0.3">
      <c r="G5852" s="400" t="s">
        <v>9567</v>
      </c>
    </row>
    <row r="5853" spans="7:7" x14ac:dyDescent="0.3">
      <c r="G5853" s="400" t="s">
        <v>9567</v>
      </c>
    </row>
    <row r="5854" spans="7:7" x14ac:dyDescent="0.3">
      <c r="G5854" s="400" t="s">
        <v>9567</v>
      </c>
    </row>
    <row r="5855" spans="7:7" x14ac:dyDescent="0.3">
      <c r="G5855" s="400" t="s">
        <v>9567</v>
      </c>
    </row>
    <row r="5856" spans="7:7" x14ac:dyDescent="0.3">
      <c r="G5856" s="400" t="s">
        <v>9567</v>
      </c>
    </row>
    <row r="5857" spans="7:7" x14ac:dyDescent="0.3">
      <c r="G5857" s="400" t="s">
        <v>9567</v>
      </c>
    </row>
    <row r="5858" spans="7:7" x14ac:dyDescent="0.3">
      <c r="G5858" s="400" t="s">
        <v>9567</v>
      </c>
    </row>
    <row r="5859" spans="7:7" x14ac:dyDescent="0.3">
      <c r="G5859" s="400" t="s">
        <v>9567</v>
      </c>
    </row>
    <row r="5860" spans="7:7" x14ac:dyDescent="0.3">
      <c r="G5860" s="400" t="s">
        <v>9567</v>
      </c>
    </row>
    <row r="5861" spans="7:7" x14ac:dyDescent="0.3">
      <c r="G5861" s="400" t="s">
        <v>9567</v>
      </c>
    </row>
    <row r="5862" spans="7:7" x14ac:dyDescent="0.3">
      <c r="G5862" s="400" t="s">
        <v>9567</v>
      </c>
    </row>
    <row r="5863" spans="7:7" x14ac:dyDescent="0.3">
      <c r="G5863" s="400" t="s">
        <v>9567</v>
      </c>
    </row>
    <row r="5864" spans="7:7" x14ac:dyDescent="0.3">
      <c r="G5864" s="400" t="s">
        <v>9567</v>
      </c>
    </row>
    <row r="5865" spans="7:7" x14ac:dyDescent="0.3">
      <c r="G5865" s="400" t="s">
        <v>9567</v>
      </c>
    </row>
    <row r="5866" spans="7:7" x14ac:dyDescent="0.3">
      <c r="G5866" s="400" t="s">
        <v>9567</v>
      </c>
    </row>
    <row r="5867" spans="7:7" x14ac:dyDescent="0.3">
      <c r="G5867" s="400" t="s">
        <v>9567</v>
      </c>
    </row>
    <row r="5868" spans="7:7" x14ac:dyDescent="0.3">
      <c r="G5868" s="400" t="s">
        <v>9567</v>
      </c>
    </row>
    <row r="5869" spans="7:7" x14ac:dyDescent="0.3">
      <c r="G5869" s="400" t="s">
        <v>9567</v>
      </c>
    </row>
    <row r="5870" spans="7:7" x14ac:dyDescent="0.3">
      <c r="G5870" s="400" t="s">
        <v>9567</v>
      </c>
    </row>
    <row r="5871" spans="7:7" x14ac:dyDescent="0.3">
      <c r="G5871" s="400" t="s">
        <v>9567</v>
      </c>
    </row>
    <row r="5872" spans="7:7" x14ac:dyDescent="0.3">
      <c r="G5872" s="400" t="s">
        <v>9567</v>
      </c>
    </row>
    <row r="5873" spans="7:7" x14ac:dyDescent="0.3">
      <c r="G5873" s="400" t="s">
        <v>9567</v>
      </c>
    </row>
    <row r="5874" spans="7:7" x14ac:dyDescent="0.3">
      <c r="G5874" s="400" t="s">
        <v>9567</v>
      </c>
    </row>
    <row r="5875" spans="7:7" x14ac:dyDescent="0.3">
      <c r="G5875" s="400" t="s">
        <v>9567</v>
      </c>
    </row>
    <row r="5876" spans="7:7" x14ac:dyDescent="0.3">
      <c r="G5876" s="400" t="s">
        <v>9567</v>
      </c>
    </row>
    <row r="5877" spans="7:7" x14ac:dyDescent="0.3">
      <c r="G5877" s="400" t="s">
        <v>9567</v>
      </c>
    </row>
    <row r="5878" spans="7:7" x14ac:dyDescent="0.3">
      <c r="G5878" s="400" t="s">
        <v>9567</v>
      </c>
    </row>
    <row r="5879" spans="7:7" x14ac:dyDescent="0.3">
      <c r="G5879" s="400" t="s">
        <v>9567</v>
      </c>
    </row>
    <row r="5880" spans="7:7" x14ac:dyDescent="0.3">
      <c r="G5880" s="400" t="s">
        <v>9567</v>
      </c>
    </row>
    <row r="5881" spans="7:7" x14ac:dyDescent="0.3">
      <c r="G5881" s="400" t="s">
        <v>9567</v>
      </c>
    </row>
    <row r="5882" spans="7:7" x14ac:dyDescent="0.3">
      <c r="G5882" s="400" t="s">
        <v>9567</v>
      </c>
    </row>
    <row r="5883" spans="7:7" x14ac:dyDescent="0.3">
      <c r="G5883" s="400" t="s">
        <v>9567</v>
      </c>
    </row>
    <row r="5884" spans="7:7" x14ac:dyDescent="0.3">
      <c r="G5884" s="400" t="s">
        <v>9567</v>
      </c>
    </row>
    <row r="5885" spans="7:7" x14ac:dyDescent="0.3">
      <c r="G5885" s="400" t="s">
        <v>9567</v>
      </c>
    </row>
    <row r="5886" spans="7:7" x14ac:dyDescent="0.3">
      <c r="G5886" s="400" t="s">
        <v>9567</v>
      </c>
    </row>
    <row r="5887" spans="7:7" x14ac:dyDescent="0.3">
      <c r="G5887" s="400" t="s">
        <v>9567</v>
      </c>
    </row>
    <row r="5888" spans="7:7" x14ac:dyDescent="0.3">
      <c r="G5888" s="400" t="s">
        <v>9567</v>
      </c>
    </row>
    <row r="5889" spans="7:7" x14ac:dyDescent="0.3">
      <c r="G5889" s="400" t="s">
        <v>9567</v>
      </c>
    </row>
    <row r="5890" spans="7:7" x14ac:dyDescent="0.3">
      <c r="G5890" s="400" t="s">
        <v>9567</v>
      </c>
    </row>
    <row r="5891" spans="7:7" x14ac:dyDescent="0.3">
      <c r="G5891" s="400" t="s">
        <v>9567</v>
      </c>
    </row>
    <row r="5892" spans="7:7" x14ac:dyDescent="0.3">
      <c r="G5892" s="400" t="s">
        <v>9567</v>
      </c>
    </row>
    <row r="5893" spans="7:7" x14ac:dyDescent="0.3">
      <c r="G5893" s="400" t="s">
        <v>9567</v>
      </c>
    </row>
    <row r="5894" spans="7:7" x14ac:dyDescent="0.3">
      <c r="G5894" s="400" t="s">
        <v>9567</v>
      </c>
    </row>
    <row r="5895" spans="7:7" x14ac:dyDescent="0.3">
      <c r="G5895" s="400" t="s">
        <v>9567</v>
      </c>
    </row>
    <row r="5896" spans="7:7" x14ac:dyDescent="0.3">
      <c r="G5896" s="400" t="s">
        <v>9567</v>
      </c>
    </row>
    <row r="5897" spans="7:7" x14ac:dyDescent="0.3">
      <c r="G5897" s="400" t="s">
        <v>9567</v>
      </c>
    </row>
    <row r="5898" spans="7:7" x14ac:dyDescent="0.3">
      <c r="G5898" s="400" t="s">
        <v>9567</v>
      </c>
    </row>
    <row r="5899" spans="7:7" x14ac:dyDescent="0.3">
      <c r="G5899" s="400" t="s">
        <v>9567</v>
      </c>
    </row>
    <row r="5900" spans="7:7" x14ac:dyDescent="0.3">
      <c r="G5900" s="400" t="s">
        <v>9567</v>
      </c>
    </row>
    <row r="5901" spans="7:7" x14ac:dyDescent="0.3">
      <c r="G5901" s="400" t="s">
        <v>9567</v>
      </c>
    </row>
    <row r="5902" spans="7:7" x14ac:dyDescent="0.3">
      <c r="G5902" s="400" t="s">
        <v>9567</v>
      </c>
    </row>
    <row r="5903" spans="7:7" x14ac:dyDescent="0.3">
      <c r="G5903" s="400" t="s">
        <v>9567</v>
      </c>
    </row>
    <row r="5904" spans="7:7" x14ac:dyDescent="0.3">
      <c r="G5904" s="400" t="s">
        <v>9567</v>
      </c>
    </row>
    <row r="5905" spans="7:7" x14ac:dyDescent="0.3">
      <c r="G5905" s="400" t="s">
        <v>9567</v>
      </c>
    </row>
    <row r="5906" spans="7:7" x14ac:dyDescent="0.3">
      <c r="G5906" s="400" t="s">
        <v>9567</v>
      </c>
    </row>
    <row r="5907" spans="7:7" x14ac:dyDescent="0.3">
      <c r="G5907" s="400" t="s">
        <v>9567</v>
      </c>
    </row>
    <row r="5908" spans="7:7" x14ac:dyDescent="0.3">
      <c r="G5908" s="400" t="s">
        <v>9567</v>
      </c>
    </row>
    <row r="5909" spans="7:7" x14ac:dyDescent="0.3">
      <c r="G5909" s="400" t="s">
        <v>9567</v>
      </c>
    </row>
    <row r="5910" spans="7:7" x14ac:dyDescent="0.3">
      <c r="G5910" s="400" t="s">
        <v>9567</v>
      </c>
    </row>
    <row r="5911" spans="7:7" x14ac:dyDescent="0.3">
      <c r="G5911" s="400" t="s">
        <v>9567</v>
      </c>
    </row>
    <row r="5912" spans="7:7" x14ac:dyDescent="0.3">
      <c r="G5912" s="400" t="s">
        <v>9567</v>
      </c>
    </row>
    <row r="5913" spans="7:7" x14ac:dyDescent="0.3">
      <c r="G5913" s="400" t="s">
        <v>9567</v>
      </c>
    </row>
    <row r="5914" spans="7:7" x14ac:dyDescent="0.3">
      <c r="G5914" s="400" t="s">
        <v>9567</v>
      </c>
    </row>
    <row r="5915" spans="7:7" x14ac:dyDescent="0.3">
      <c r="G5915" s="400" t="s">
        <v>9567</v>
      </c>
    </row>
    <row r="5916" spans="7:7" x14ac:dyDescent="0.3">
      <c r="G5916" s="400" t="s">
        <v>9567</v>
      </c>
    </row>
    <row r="5917" spans="7:7" x14ac:dyDescent="0.3">
      <c r="G5917" s="400" t="s">
        <v>9567</v>
      </c>
    </row>
    <row r="5918" spans="7:7" x14ac:dyDescent="0.3">
      <c r="G5918" s="400" t="s">
        <v>9567</v>
      </c>
    </row>
    <row r="5919" spans="7:7" x14ac:dyDescent="0.3">
      <c r="G5919" s="400" t="s">
        <v>9567</v>
      </c>
    </row>
    <row r="5920" spans="7:7" x14ac:dyDescent="0.3">
      <c r="G5920" s="400" t="s">
        <v>9567</v>
      </c>
    </row>
    <row r="5921" spans="7:7" x14ac:dyDescent="0.3">
      <c r="G5921" s="400" t="s">
        <v>9567</v>
      </c>
    </row>
    <row r="5922" spans="7:7" x14ac:dyDescent="0.3">
      <c r="G5922" s="400" t="s">
        <v>9567</v>
      </c>
    </row>
    <row r="5923" spans="7:7" x14ac:dyDescent="0.3">
      <c r="G5923" s="400" t="s">
        <v>9567</v>
      </c>
    </row>
    <row r="5924" spans="7:7" x14ac:dyDescent="0.3">
      <c r="G5924" s="400" t="s">
        <v>9567</v>
      </c>
    </row>
    <row r="5925" spans="7:7" x14ac:dyDescent="0.3">
      <c r="G5925" s="400" t="s">
        <v>9567</v>
      </c>
    </row>
    <row r="5926" spans="7:7" x14ac:dyDescent="0.3">
      <c r="G5926" s="400" t="s">
        <v>9567</v>
      </c>
    </row>
    <row r="5927" spans="7:7" x14ac:dyDescent="0.3">
      <c r="G5927" s="400" t="s">
        <v>9567</v>
      </c>
    </row>
    <row r="5928" spans="7:7" x14ac:dyDescent="0.3">
      <c r="G5928" s="400" t="s">
        <v>9567</v>
      </c>
    </row>
    <row r="5929" spans="7:7" x14ac:dyDescent="0.3">
      <c r="G5929" s="400" t="s">
        <v>9567</v>
      </c>
    </row>
    <row r="5930" spans="7:7" x14ac:dyDescent="0.3">
      <c r="G5930" s="400" t="s">
        <v>9567</v>
      </c>
    </row>
    <row r="5931" spans="7:7" x14ac:dyDescent="0.3">
      <c r="G5931" s="400" t="s">
        <v>9567</v>
      </c>
    </row>
    <row r="5932" spans="7:7" x14ac:dyDescent="0.3">
      <c r="G5932" s="400" t="s">
        <v>9567</v>
      </c>
    </row>
    <row r="5933" spans="7:7" x14ac:dyDescent="0.3">
      <c r="G5933" s="400" t="s">
        <v>9567</v>
      </c>
    </row>
    <row r="5934" spans="7:7" x14ac:dyDescent="0.3">
      <c r="G5934" s="400" t="s">
        <v>9567</v>
      </c>
    </row>
    <row r="5935" spans="7:7" x14ac:dyDescent="0.3">
      <c r="G5935" s="400" t="s">
        <v>9567</v>
      </c>
    </row>
    <row r="5936" spans="7:7" x14ac:dyDescent="0.3">
      <c r="G5936" s="400" t="s">
        <v>9567</v>
      </c>
    </row>
    <row r="5937" spans="7:7" x14ac:dyDescent="0.3">
      <c r="G5937" s="400" t="s">
        <v>9567</v>
      </c>
    </row>
    <row r="5938" spans="7:7" x14ac:dyDescent="0.3">
      <c r="G5938" s="400" t="s">
        <v>9567</v>
      </c>
    </row>
    <row r="5939" spans="7:7" x14ac:dyDescent="0.3">
      <c r="G5939" s="400" t="s">
        <v>9567</v>
      </c>
    </row>
    <row r="5940" spans="7:7" x14ac:dyDescent="0.3">
      <c r="G5940" s="400" t="s">
        <v>9567</v>
      </c>
    </row>
    <row r="5941" spans="7:7" x14ac:dyDescent="0.3">
      <c r="G5941" s="400" t="s">
        <v>9567</v>
      </c>
    </row>
    <row r="5942" spans="7:7" x14ac:dyDescent="0.3">
      <c r="G5942" s="400" t="s">
        <v>9567</v>
      </c>
    </row>
    <row r="5943" spans="7:7" x14ac:dyDescent="0.3">
      <c r="G5943" s="400" t="s">
        <v>9567</v>
      </c>
    </row>
    <row r="5944" spans="7:7" x14ac:dyDescent="0.3">
      <c r="G5944" s="400" t="s">
        <v>9567</v>
      </c>
    </row>
    <row r="5945" spans="7:7" x14ac:dyDescent="0.3">
      <c r="G5945" s="400" t="s">
        <v>9567</v>
      </c>
    </row>
    <row r="5946" spans="7:7" x14ac:dyDescent="0.3">
      <c r="G5946" s="400" t="s">
        <v>9567</v>
      </c>
    </row>
    <row r="5947" spans="7:7" x14ac:dyDescent="0.3">
      <c r="G5947" s="400" t="s">
        <v>9567</v>
      </c>
    </row>
    <row r="5948" spans="7:7" x14ac:dyDescent="0.3">
      <c r="G5948" s="400" t="s">
        <v>9567</v>
      </c>
    </row>
    <row r="5949" spans="7:7" x14ac:dyDescent="0.3">
      <c r="G5949" s="400" t="s">
        <v>9567</v>
      </c>
    </row>
    <row r="5950" spans="7:7" x14ac:dyDescent="0.3">
      <c r="G5950" s="400" t="s">
        <v>9567</v>
      </c>
    </row>
    <row r="5951" spans="7:7" x14ac:dyDescent="0.3">
      <c r="G5951" s="400" t="s">
        <v>9567</v>
      </c>
    </row>
    <row r="5952" spans="7:7" x14ac:dyDescent="0.3">
      <c r="G5952" s="400" t="s">
        <v>9567</v>
      </c>
    </row>
    <row r="5953" spans="7:7" x14ac:dyDescent="0.3">
      <c r="G5953" s="400" t="s">
        <v>9567</v>
      </c>
    </row>
    <row r="5954" spans="7:7" x14ac:dyDescent="0.3">
      <c r="G5954" s="400" t="s">
        <v>9567</v>
      </c>
    </row>
    <row r="5955" spans="7:7" x14ac:dyDescent="0.3">
      <c r="G5955" s="400" t="s">
        <v>9567</v>
      </c>
    </row>
    <row r="5956" spans="7:7" x14ac:dyDescent="0.3">
      <c r="G5956" s="400" t="s">
        <v>9567</v>
      </c>
    </row>
    <row r="5957" spans="7:7" x14ac:dyDescent="0.3">
      <c r="G5957" s="400" t="s">
        <v>9567</v>
      </c>
    </row>
    <row r="5958" spans="7:7" x14ac:dyDescent="0.3">
      <c r="G5958" s="400" t="s">
        <v>9567</v>
      </c>
    </row>
    <row r="5959" spans="7:7" x14ac:dyDescent="0.3">
      <c r="G5959" s="400" t="s">
        <v>9567</v>
      </c>
    </row>
    <row r="5960" spans="7:7" x14ac:dyDescent="0.3">
      <c r="G5960" s="400" t="s">
        <v>9567</v>
      </c>
    </row>
    <row r="5961" spans="7:7" x14ac:dyDescent="0.3">
      <c r="G5961" s="400" t="s">
        <v>9567</v>
      </c>
    </row>
    <row r="5962" spans="7:7" x14ac:dyDescent="0.3">
      <c r="G5962" s="400" t="s">
        <v>9567</v>
      </c>
    </row>
    <row r="5963" spans="7:7" x14ac:dyDescent="0.3">
      <c r="G5963" s="400" t="s">
        <v>9567</v>
      </c>
    </row>
    <row r="5964" spans="7:7" x14ac:dyDescent="0.3">
      <c r="G5964" s="400" t="s">
        <v>9567</v>
      </c>
    </row>
    <row r="5965" spans="7:7" x14ac:dyDescent="0.3">
      <c r="G5965" s="400" t="s">
        <v>9567</v>
      </c>
    </row>
    <row r="5966" spans="7:7" x14ac:dyDescent="0.3">
      <c r="G5966" s="400" t="s">
        <v>9567</v>
      </c>
    </row>
    <row r="5967" spans="7:7" x14ac:dyDescent="0.3">
      <c r="G5967" s="400" t="s">
        <v>9567</v>
      </c>
    </row>
    <row r="5968" spans="7:7" x14ac:dyDescent="0.3">
      <c r="G5968" s="400" t="s">
        <v>9567</v>
      </c>
    </row>
    <row r="5969" spans="7:7" x14ac:dyDescent="0.3">
      <c r="G5969" s="400" t="s">
        <v>9567</v>
      </c>
    </row>
    <row r="5970" spans="7:7" x14ac:dyDescent="0.3">
      <c r="G5970" s="400" t="s">
        <v>9567</v>
      </c>
    </row>
    <row r="5971" spans="7:7" x14ac:dyDescent="0.3">
      <c r="G5971" s="400" t="s">
        <v>9567</v>
      </c>
    </row>
    <row r="5972" spans="7:7" x14ac:dyDescent="0.3">
      <c r="G5972" s="400" t="s">
        <v>9567</v>
      </c>
    </row>
    <row r="5973" spans="7:7" x14ac:dyDescent="0.3">
      <c r="G5973" s="400" t="s">
        <v>9567</v>
      </c>
    </row>
    <row r="5974" spans="7:7" x14ac:dyDescent="0.3">
      <c r="G5974" s="400" t="s">
        <v>9567</v>
      </c>
    </row>
    <row r="5975" spans="7:7" x14ac:dyDescent="0.3">
      <c r="G5975" s="400" t="s">
        <v>9567</v>
      </c>
    </row>
    <row r="5976" spans="7:7" x14ac:dyDescent="0.3">
      <c r="G5976" s="400" t="s">
        <v>9567</v>
      </c>
    </row>
    <row r="5977" spans="7:7" x14ac:dyDescent="0.3">
      <c r="G5977" s="400" t="s">
        <v>9567</v>
      </c>
    </row>
    <row r="5978" spans="7:7" x14ac:dyDescent="0.3">
      <c r="G5978" s="400" t="s">
        <v>9567</v>
      </c>
    </row>
    <row r="5979" spans="7:7" x14ac:dyDescent="0.3">
      <c r="G5979" s="400" t="s">
        <v>9567</v>
      </c>
    </row>
    <row r="5980" spans="7:7" x14ac:dyDescent="0.3">
      <c r="G5980" s="400" t="s">
        <v>9567</v>
      </c>
    </row>
    <row r="5981" spans="7:7" x14ac:dyDescent="0.3">
      <c r="G5981" s="400" t="s">
        <v>9567</v>
      </c>
    </row>
    <row r="5982" spans="7:7" x14ac:dyDescent="0.3">
      <c r="G5982" s="400" t="s">
        <v>9567</v>
      </c>
    </row>
    <row r="5983" spans="7:7" x14ac:dyDescent="0.3">
      <c r="G5983" s="400" t="s">
        <v>9567</v>
      </c>
    </row>
    <row r="5984" spans="7:7" x14ac:dyDescent="0.3">
      <c r="G5984" s="400" t="s">
        <v>9567</v>
      </c>
    </row>
    <row r="5985" spans="7:7" x14ac:dyDescent="0.3">
      <c r="G5985" s="400" t="s">
        <v>9567</v>
      </c>
    </row>
    <row r="5986" spans="7:7" x14ac:dyDescent="0.3">
      <c r="G5986" s="400" t="s">
        <v>9567</v>
      </c>
    </row>
    <row r="5987" spans="7:7" x14ac:dyDescent="0.3">
      <c r="G5987" s="400" t="s">
        <v>9567</v>
      </c>
    </row>
    <row r="5988" spans="7:7" x14ac:dyDescent="0.3">
      <c r="G5988" s="400" t="s">
        <v>9567</v>
      </c>
    </row>
    <row r="5989" spans="7:7" x14ac:dyDescent="0.3">
      <c r="G5989" s="400" t="s">
        <v>9567</v>
      </c>
    </row>
    <row r="5990" spans="7:7" x14ac:dyDescent="0.3">
      <c r="G5990" s="400" t="s">
        <v>9567</v>
      </c>
    </row>
    <row r="5991" spans="7:7" x14ac:dyDescent="0.3">
      <c r="G5991" s="400" t="s">
        <v>9567</v>
      </c>
    </row>
    <row r="5992" spans="7:7" x14ac:dyDescent="0.3">
      <c r="G5992" s="400" t="s">
        <v>9567</v>
      </c>
    </row>
    <row r="5993" spans="7:7" x14ac:dyDescent="0.3">
      <c r="G5993" s="400" t="s">
        <v>9567</v>
      </c>
    </row>
    <row r="5994" spans="7:7" x14ac:dyDescent="0.3">
      <c r="G5994" s="400" t="s">
        <v>9567</v>
      </c>
    </row>
    <row r="5995" spans="7:7" x14ac:dyDescent="0.3">
      <c r="G5995" s="400" t="s">
        <v>9567</v>
      </c>
    </row>
    <row r="5996" spans="7:7" x14ac:dyDescent="0.3">
      <c r="G5996" s="400" t="s">
        <v>9567</v>
      </c>
    </row>
    <row r="5997" spans="7:7" x14ac:dyDescent="0.3">
      <c r="G5997" s="400" t="s">
        <v>9567</v>
      </c>
    </row>
    <row r="5998" spans="7:7" x14ac:dyDescent="0.3">
      <c r="G5998" s="400" t="s">
        <v>9567</v>
      </c>
    </row>
    <row r="5999" spans="7:7" x14ac:dyDescent="0.3">
      <c r="G5999" s="400" t="s">
        <v>9567</v>
      </c>
    </row>
    <row r="6000" spans="7:7" x14ac:dyDescent="0.3">
      <c r="G6000" s="400" t="s">
        <v>9567</v>
      </c>
    </row>
    <row r="6001" spans="7:7" x14ac:dyDescent="0.3">
      <c r="G6001" s="400" t="s">
        <v>9567</v>
      </c>
    </row>
    <row r="6002" spans="7:7" x14ac:dyDescent="0.3">
      <c r="G6002" s="400" t="s">
        <v>9567</v>
      </c>
    </row>
    <row r="6003" spans="7:7" x14ac:dyDescent="0.3">
      <c r="G6003" s="400" t="s">
        <v>9567</v>
      </c>
    </row>
    <row r="6004" spans="7:7" x14ac:dyDescent="0.3">
      <c r="G6004" s="400" t="s">
        <v>9567</v>
      </c>
    </row>
    <row r="6005" spans="7:7" x14ac:dyDescent="0.3">
      <c r="G6005" s="400" t="s">
        <v>9567</v>
      </c>
    </row>
    <row r="6006" spans="7:7" x14ac:dyDescent="0.3">
      <c r="G6006" s="400" t="s">
        <v>9567</v>
      </c>
    </row>
    <row r="6007" spans="7:7" x14ac:dyDescent="0.3">
      <c r="G6007" s="400" t="s">
        <v>9567</v>
      </c>
    </row>
    <row r="6008" spans="7:7" x14ac:dyDescent="0.3">
      <c r="G6008" s="400" t="s">
        <v>9567</v>
      </c>
    </row>
    <row r="6009" spans="7:7" x14ac:dyDescent="0.3">
      <c r="G6009" s="400" t="s">
        <v>9567</v>
      </c>
    </row>
    <row r="6010" spans="7:7" x14ac:dyDescent="0.3">
      <c r="G6010" s="400" t="s">
        <v>9567</v>
      </c>
    </row>
    <row r="6011" spans="7:7" x14ac:dyDescent="0.3">
      <c r="G6011" s="400" t="s">
        <v>9567</v>
      </c>
    </row>
    <row r="6012" spans="7:7" x14ac:dyDescent="0.3">
      <c r="G6012" s="400" t="s">
        <v>9567</v>
      </c>
    </row>
    <row r="6013" spans="7:7" x14ac:dyDescent="0.3">
      <c r="G6013" s="400" t="s">
        <v>9567</v>
      </c>
    </row>
    <row r="6014" spans="7:7" x14ac:dyDescent="0.3">
      <c r="G6014" s="400" t="s">
        <v>9567</v>
      </c>
    </row>
    <row r="6015" spans="7:7" x14ac:dyDescent="0.3">
      <c r="G6015" s="400" t="s">
        <v>9567</v>
      </c>
    </row>
    <row r="6016" spans="7:7" x14ac:dyDescent="0.3">
      <c r="G6016" s="400" t="s">
        <v>9567</v>
      </c>
    </row>
    <row r="6017" spans="7:7" x14ac:dyDescent="0.3">
      <c r="G6017" s="400" t="s">
        <v>9567</v>
      </c>
    </row>
    <row r="6018" spans="7:7" x14ac:dyDescent="0.3">
      <c r="G6018" s="400" t="s">
        <v>9567</v>
      </c>
    </row>
    <row r="6019" spans="7:7" x14ac:dyDescent="0.3">
      <c r="G6019" s="400" t="s">
        <v>9567</v>
      </c>
    </row>
    <row r="6020" spans="7:7" x14ac:dyDescent="0.3">
      <c r="G6020" s="400" t="s">
        <v>9567</v>
      </c>
    </row>
    <row r="6021" spans="7:7" x14ac:dyDescent="0.3">
      <c r="G6021" s="400" t="s">
        <v>9567</v>
      </c>
    </row>
    <row r="6022" spans="7:7" x14ac:dyDescent="0.3">
      <c r="G6022" s="400" t="s">
        <v>9567</v>
      </c>
    </row>
    <row r="6023" spans="7:7" x14ac:dyDescent="0.3">
      <c r="G6023" s="400" t="s">
        <v>9567</v>
      </c>
    </row>
    <row r="6024" spans="7:7" x14ac:dyDescent="0.3">
      <c r="G6024" s="400" t="s">
        <v>9567</v>
      </c>
    </row>
    <row r="6025" spans="7:7" x14ac:dyDescent="0.3">
      <c r="G6025" s="400" t="s">
        <v>9567</v>
      </c>
    </row>
    <row r="6026" spans="7:7" x14ac:dyDescent="0.3">
      <c r="G6026" s="400" t="s">
        <v>9567</v>
      </c>
    </row>
    <row r="6027" spans="7:7" x14ac:dyDescent="0.3">
      <c r="G6027" s="400" t="s">
        <v>9567</v>
      </c>
    </row>
    <row r="6028" spans="7:7" x14ac:dyDescent="0.3">
      <c r="G6028" s="400" t="s">
        <v>9567</v>
      </c>
    </row>
    <row r="6029" spans="7:7" x14ac:dyDescent="0.3">
      <c r="G6029" s="400" t="s">
        <v>9567</v>
      </c>
    </row>
    <row r="6030" spans="7:7" x14ac:dyDescent="0.3">
      <c r="G6030" s="400" t="s">
        <v>9567</v>
      </c>
    </row>
    <row r="6031" spans="7:7" x14ac:dyDescent="0.3">
      <c r="G6031" s="400" t="s">
        <v>9567</v>
      </c>
    </row>
    <row r="6032" spans="7:7" x14ac:dyDescent="0.3">
      <c r="G6032" s="400" t="s">
        <v>9567</v>
      </c>
    </row>
    <row r="6033" spans="7:7" x14ac:dyDescent="0.3">
      <c r="G6033" s="400" t="s">
        <v>9567</v>
      </c>
    </row>
    <row r="6034" spans="7:7" x14ac:dyDescent="0.3">
      <c r="G6034" s="400" t="s">
        <v>9567</v>
      </c>
    </row>
    <row r="6035" spans="7:7" x14ac:dyDescent="0.3">
      <c r="G6035" s="400" t="s">
        <v>9567</v>
      </c>
    </row>
    <row r="6036" spans="7:7" x14ac:dyDescent="0.3">
      <c r="G6036" s="400" t="s">
        <v>9567</v>
      </c>
    </row>
    <row r="6037" spans="7:7" x14ac:dyDescent="0.3">
      <c r="G6037" s="400" t="s">
        <v>9567</v>
      </c>
    </row>
    <row r="6038" spans="7:7" x14ac:dyDescent="0.3">
      <c r="G6038" s="400" t="s">
        <v>9567</v>
      </c>
    </row>
    <row r="6039" spans="7:7" x14ac:dyDescent="0.3">
      <c r="G6039" s="400" t="s">
        <v>9567</v>
      </c>
    </row>
    <row r="6040" spans="7:7" x14ac:dyDescent="0.3">
      <c r="G6040" s="400" t="s">
        <v>9567</v>
      </c>
    </row>
    <row r="6041" spans="7:7" x14ac:dyDescent="0.3">
      <c r="G6041" s="400" t="s">
        <v>9567</v>
      </c>
    </row>
    <row r="6042" spans="7:7" x14ac:dyDescent="0.3">
      <c r="G6042" s="400" t="s">
        <v>9567</v>
      </c>
    </row>
    <row r="6043" spans="7:7" x14ac:dyDescent="0.3">
      <c r="G6043" s="400" t="s">
        <v>9567</v>
      </c>
    </row>
    <row r="6044" spans="7:7" x14ac:dyDescent="0.3">
      <c r="G6044" s="400" t="s">
        <v>9567</v>
      </c>
    </row>
    <row r="6045" spans="7:7" x14ac:dyDescent="0.3">
      <c r="G6045" s="400" t="s">
        <v>9567</v>
      </c>
    </row>
    <row r="6046" spans="7:7" x14ac:dyDescent="0.3">
      <c r="G6046" s="400" t="s">
        <v>9567</v>
      </c>
    </row>
    <row r="6047" spans="7:7" x14ac:dyDescent="0.3">
      <c r="G6047" s="400" t="s">
        <v>9567</v>
      </c>
    </row>
    <row r="6048" spans="7:7" x14ac:dyDescent="0.3">
      <c r="G6048" s="400" t="s">
        <v>9567</v>
      </c>
    </row>
    <row r="6049" spans="7:7" x14ac:dyDescent="0.3">
      <c r="G6049" s="400" t="s">
        <v>9567</v>
      </c>
    </row>
    <row r="6050" spans="7:7" x14ac:dyDescent="0.3">
      <c r="G6050" s="400" t="s">
        <v>9567</v>
      </c>
    </row>
    <row r="6051" spans="7:7" x14ac:dyDescent="0.3">
      <c r="G6051" s="400" t="s">
        <v>9567</v>
      </c>
    </row>
    <row r="6052" spans="7:7" x14ac:dyDescent="0.3">
      <c r="G6052" s="400" t="s">
        <v>9567</v>
      </c>
    </row>
    <row r="6053" spans="7:7" x14ac:dyDescent="0.3">
      <c r="G6053" s="400" t="s">
        <v>9567</v>
      </c>
    </row>
    <row r="6054" spans="7:7" x14ac:dyDescent="0.3">
      <c r="G6054" s="400" t="s">
        <v>9567</v>
      </c>
    </row>
    <row r="6055" spans="7:7" x14ac:dyDescent="0.3">
      <c r="G6055" s="400" t="s">
        <v>9567</v>
      </c>
    </row>
    <row r="6056" spans="7:7" x14ac:dyDescent="0.3">
      <c r="G6056" s="400" t="s">
        <v>9567</v>
      </c>
    </row>
    <row r="6057" spans="7:7" x14ac:dyDescent="0.3">
      <c r="G6057" s="400" t="s">
        <v>9567</v>
      </c>
    </row>
    <row r="6058" spans="7:7" x14ac:dyDescent="0.3">
      <c r="G6058" s="400" t="s">
        <v>9567</v>
      </c>
    </row>
    <row r="6059" spans="7:7" x14ac:dyDescent="0.3">
      <c r="G6059" s="400" t="s">
        <v>9567</v>
      </c>
    </row>
    <row r="6060" spans="7:7" x14ac:dyDescent="0.3">
      <c r="G6060" s="400" t="s">
        <v>9567</v>
      </c>
    </row>
    <row r="6061" spans="7:7" x14ac:dyDescent="0.3">
      <c r="G6061" s="400" t="s">
        <v>9567</v>
      </c>
    </row>
    <row r="6062" spans="7:7" x14ac:dyDescent="0.3">
      <c r="G6062" s="400" t="s">
        <v>9567</v>
      </c>
    </row>
    <row r="6063" spans="7:7" x14ac:dyDescent="0.3">
      <c r="G6063" s="400" t="s">
        <v>9567</v>
      </c>
    </row>
    <row r="6064" spans="7:7" x14ac:dyDescent="0.3">
      <c r="G6064" s="400" t="s">
        <v>9567</v>
      </c>
    </row>
    <row r="6065" spans="7:7" x14ac:dyDescent="0.3">
      <c r="G6065" s="400" t="s">
        <v>9567</v>
      </c>
    </row>
    <row r="6066" spans="7:7" x14ac:dyDescent="0.3">
      <c r="G6066" s="400" t="s">
        <v>9567</v>
      </c>
    </row>
    <row r="6067" spans="7:7" x14ac:dyDescent="0.3">
      <c r="G6067" s="400" t="s">
        <v>9567</v>
      </c>
    </row>
    <row r="6068" spans="7:7" x14ac:dyDescent="0.3">
      <c r="G6068" s="400" t="s">
        <v>9567</v>
      </c>
    </row>
    <row r="6069" spans="7:7" x14ac:dyDescent="0.3">
      <c r="G6069" s="400" t="s">
        <v>9567</v>
      </c>
    </row>
    <row r="6070" spans="7:7" x14ac:dyDescent="0.3">
      <c r="G6070" s="400" t="s">
        <v>9567</v>
      </c>
    </row>
    <row r="6071" spans="7:7" x14ac:dyDescent="0.3">
      <c r="G6071" s="400" t="s">
        <v>9567</v>
      </c>
    </row>
    <row r="6072" spans="7:7" x14ac:dyDescent="0.3">
      <c r="G6072" s="400" t="s">
        <v>9567</v>
      </c>
    </row>
    <row r="6073" spans="7:7" x14ac:dyDescent="0.3">
      <c r="G6073" s="400" t="s">
        <v>9567</v>
      </c>
    </row>
    <row r="6074" spans="7:7" x14ac:dyDescent="0.3">
      <c r="G6074" s="400" t="s">
        <v>9567</v>
      </c>
    </row>
    <row r="6075" spans="7:7" x14ac:dyDescent="0.3">
      <c r="G6075" s="400" t="s">
        <v>9567</v>
      </c>
    </row>
    <row r="6076" spans="7:7" x14ac:dyDescent="0.3">
      <c r="G6076" s="400" t="s">
        <v>9567</v>
      </c>
    </row>
    <row r="6077" spans="7:7" x14ac:dyDescent="0.3">
      <c r="G6077" s="400" t="s">
        <v>9567</v>
      </c>
    </row>
    <row r="6078" spans="7:7" x14ac:dyDescent="0.3">
      <c r="G6078" s="400" t="s">
        <v>9567</v>
      </c>
    </row>
    <row r="6079" spans="7:7" x14ac:dyDescent="0.3">
      <c r="G6079" s="400" t="s">
        <v>9567</v>
      </c>
    </row>
    <row r="6080" spans="7:7" x14ac:dyDescent="0.3">
      <c r="G6080" s="400" t="s">
        <v>9567</v>
      </c>
    </row>
    <row r="6081" spans="7:7" x14ac:dyDescent="0.3">
      <c r="G6081" s="400" t="s">
        <v>9567</v>
      </c>
    </row>
    <row r="6082" spans="7:7" x14ac:dyDescent="0.3">
      <c r="G6082" s="400" t="s">
        <v>9567</v>
      </c>
    </row>
    <row r="6083" spans="7:7" x14ac:dyDescent="0.3">
      <c r="G6083" s="400" t="s">
        <v>9567</v>
      </c>
    </row>
    <row r="6084" spans="7:7" x14ac:dyDescent="0.3">
      <c r="G6084" s="400" t="s">
        <v>9567</v>
      </c>
    </row>
    <row r="6085" spans="7:7" x14ac:dyDescent="0.3">
      <c r="G6085" s="400" t="s">
        <v>9567</v>
      </c>
    </row>
    <row r="6086" spans="7:7" x14ac:dyDescent="0.3">
      <c r="G6086" s="400" t="s">
        <v>9567</v>
      </c>
    </row>
    <row r="6087" spans="7:7" x14ac:dyDescent="0.3">
      <c r="G6087" s="400" t="s">
        <v>9567</v>
      </c>
    </row>
    <row r="6088" spans="7:7" x14ac:dyDescent="0.3">
      <c r="G6088" s="400" t="s">
        <v>9567</v>
      </c>
    </row>
    <row r="6089" spans="7:7" x14ac:dyDescent="0.3">
      <c r="G6089" s="400" t="s">
        <v>9567</v>
      </c>
    </row>
    <row r="6090" spans="7:7" x14ac:dyDescent="0.3">
      <c r="G6090" s="400" t="s">
        <v>9567</v>
      </c>
    </row>
    <row r="6091" spans="7:7" x14ac:dyDescent="0.3">
      <c r="G6091" s="400" t="s">
        <v>9567</v>
      </c>
    </row>
    <row r="6092" spans="7:7" x14ac:dyDescent="0.3">
      <c r="G6092" s="400" t="s">
        <v>9567</v>
      </c>
    </row>
    <row r="6093" spans="7:7" x14ac:dyDescent="0.3">
      <c r="G6093" s="400" t="s">
        <v>9567</v>
      </c>
    </row>
    <row r="6094" spans="7:7" x14ac:dyDescent="0.3">
      <c r="G6094" s="400" t="s">
        <v>9567</v>
      </c>
    </row>
    <row r="6095" spans="7:7" x14ac:dyDescent="0.3">
      <c r="G6095" s="400" t="s">
        <v>9567</v>
      </c>
    </row>
    <row r="6096" spans="7:7" x14ac:dyDescent="0.3">
      <c r="G6096" s="400" t="s">
        <v>9567</v>
      </c>
    </row>
    <row r="6097" spans="7:7" x14ac:dyDescent="0.3">
      <c r="G6097" s="400" t="s">
        <v>9567</v>
      </c>
    </row>
    <row r="6098" spans="7:7" x14ac:dyDescent="0.3">
      <c r="G6098" s="400" t="s">
        <v>9567</v>
      </c>
    </row>
    <row r="6099" spans="7:7" x14ac:dyDescent="0.3">
      <c r="G6099" s="400" t="s">
        <v>9567</v>
      </c>
    </row>
    <row r="6100" spans="7:7" x14ac:dyDescent="0.3">
      <c r="G6100" s="400" t="s">
        <v>9567</v>
      </c>
    </row>
    <row r="6101" spans="7:7" x14ac:dyDescent="0.3">
      <c r="G6101" s="400" t="s">
        <v>9567</v>
      </c>
    </row>
    <row r="6102" spans="7:7" x14ac:dyDescent="0.3">
      <c r="G6102" s="400" t="s">
        <v>9567</v>
      </c>
    </row>
    <row r="6103" spans="7:7" x14ac:dyDescent="0.3">
      <c r="G6103" s="400" t="s">
        <v>9567</v>
      </c>
    </row>
    <row r="6104" spans="7:7" x14ac:dyDescent="0.3">
      <c r="G6104" s="400" t="s">
        <v>9567</v>
      </c>
    </row>
    <row r="6105" spans="7:7" x14ac:dyDescent="0.3">
      <c r="G6105" s="400" t="s">
        <v>9567</v>
      </c>
    </row>
    <row r="6106" spans="7:7" x14ac:dyDescent="0.3">
      <c r="G6106" s="400" t="s">
        <v>9567</v>
      </c>
    </row>
    <row r="6107" spans="7:7" x14ac:dyDescent="0.3">
      <c r="G6107" s="400" t="s">
        <v>9567</v>
      </c>
    </row>
    <row r="6108" spans="7:7" x14ac:dyDescent="0.3">
      <c r="G6108" s="400" t="s">
        <v>9567</v>
      </c>
    </row>
    <row r="6109" spans="7:7" x14ac:dyDescent="0.3">
      <c r="G6109" s="400" t="s">
        <v>9567</v>
      </c>
    </row>
    <row r="6110" spans="7:7" x14ac:dyDescent="0.3">
      <c r="G6110" s="400" t="s">
        <v>9567</v>
      </c>
    </row>
    <row r="6111" spans="7:7" x14ac:dyDescent="0.3">
      <c r="G6111" s="400" t="s">
        <v>9567</v>
      </c>
    </row>
    <row r="6112" spans="7:7" x14ac:dyDescent="0.3">
      <c r="G6112" s="400" t="s">
        <v>9567</v>
      </c>
    </row>
    <row r="6113" spans="7:7" x14ac:dyDescent="0.3">
      <c r="G6113" s="400" t="s">
        <v>9567</v>
      </c>
    </row>
    <row r="6114" spans="7:7" x14ac:dyDescent="0.3">
      <c r="G6114" s="400" t="s">
        <v>9567</v>
      </c>
    </row>
    <row r="6115" spans="7:7" x14ac:dyDescent="0.3">
      <c r="G6115" s="400" t="s">
        <v>9567</v>
      </c>
    </row>
    <row r="6116" spans="7:7" x14ac:dyDescent="0.3">
      <c r="G6116" s="400" t="s">
        <v>9567</v>
      </c>
    </row>
    <row r="6117" spans="7:7" x14ac:dyDescent="0.3">
      <c r="G6117" s="400" t="s">
        <v>9567</v>
      </c>
    </row>
    <row r="6118" spans="7:7" x14ac:dyDescent="0.3">
      <c r="G6118" s="400" t="s">
        <v>9567</v>
      </c>
    </row>
    <row r="6119" spans="7:7" x14ac:dyDescent="0.3">
      <c r="G6119" s="400" t="s">
        <v>9567</v>
      </c>
    </row>
    <row r="6120" spans="7:7" x14ac:dyDescent="0.3">
      <c r="G6120" s="400" t="s">
        <v>9567</v>
      </c>
    </row>
    <row r="6121" spans="7:7" x14ac:dyDescent="0.3">
      <c r="G6121" s="400" t="s">
        <v>9567</v>
      </c>
    </row>
    <row r="6122" spans="7:7" x14ac:dyDescent="0.3">
      <c r="G6122" s="400" t="s">
        <v>9567</v>
      </c>
    </row>
    <row r="6123" spans="7:7" x14ac:dyDescent="0.3">
      <c r="G6123" s="400" t="s">
        <v>9567</v>
      </c>
    </row>
    <row r="6124" spans="7:7" x14ac:dyDescent="0.3">
      <c r="G6124" s="400" t="s">
        <v>9567</v>
      </c>
    </row>
    <row r="6125" spans="7:7" x14ac:dyDescent="0.3">
      <c r="G6125" s="400" t="s">
        <v>9567</v>
      </c>
    </row>
    <row r="6126" spans="7:7" x14ac:dyDescent="0.3">
      <c r="G6126" s="400" t="s">
        <v>9567</v>
      </c>
    </row>
    <row r="6127" spans="7:7" x14ac:dyDescent="0.3">
      <c r="G6127" s="400" t="s">
        <v>9567</v>
      </c>
    </row>
    <row r="6128" spans="7:7" x14ac:dyDescent="0.3">
      <c r="G6128" s="400" t="s">
        <v>9567</v>
      </c>
    </row>
    <row r="6129" spans="7:7" x14ac:dyDescent="0.3">
      <c r="G6129" s="400" t="s">
        <v>9567</v>
      </c>
    </row>
    <row r="6130" spans="7:7" x14ac:dyDescent="0.3">
      <c r="G6130" s="400" t="s">
        <v>9567</v>
      </c>
    </row>
    <row r="6131" spans="7:7" x14ac:dyDescent="0.3">
      <c r="G6131" s="400" t="s">
        <v>9567</v>
      </c>
    </row>
    <row r="6132" spans="7:7" x14ac:dyDescent="0.3">
      <c r="G6132" s="400" t="s">
        <v>9567</v>
      </c>
    </row>
    <row r="6133" spans="7:7" x14ac:dyDescent="0.3">
      <c r="G6133" s="400" t="s">
        <v>9567</v>
      </c>
    </row>
    <row r="6134" spans="7:7" x14ac:dyDescent="0.3">
      <c r="G6134" s="400" t="s">
        <v>9567</v>
      </c>
    </row>
    <row r="6135" spans="7:7" x14ac:dyDescent="0.3">
      <c r="G6135" s="400" t="s">
        <v>9567</v>
      </c>
    </row>
    <row r="6136" spans="7:7" x14ac:dyDescent="0.3">
      <c r="G6136" s="400" t="s">
        <v>9567</v>
      </c>
    </row>
    <row r="6137" spans="7:7" x14ac:dyDescent="0.3">
      <c r="G6137" s="400" t="s">
        <v>9567</v>
      </c>
    </row>
    <row r="6138" spans="7:7" x14ac:dyDescent="0.3">
      <c r="G6138" s="400" t="s">
        <v>9567</v>
      </c>
    </row>
    <row r="6139" spans="7:7" x14ac:dyDescent="0.3">
      <c r="G6139" s="400" t="s">
        <v>9567</v>
      </c>
    </row>
    <row r="6140" spans="7:7" x14ac:dyDescent="0.3">
      <c r="G6140" s="400" t="s">
        <v>9567</v>
      </c>
    </row>
    <row r="6141" spans="7:7" x14ac:dyDescent="0.3">
      <c r="G6141" s="400" t="s">
        <v>9567</v>
      </c>
    </row>
    <row r="6142" spans="7:7" x14ac:dyDescent="0.3">
      <c r="G6142" s="400" t="s">
        <v>9567</v>
      </c>
    </row>
    <row r="6143" spans="7:7" x14ac:dyDescent="0.3">
      <c r="G6143" s="400" t="s">
        <v>9567</v>
      </c>
    </row>
    <row r="6144" spans="7:7" x14ac:dyDescent="0.3">
      <c r="G6144" s="400" t="s">
        <v>9567</v>
      </c>
    </row>
    <row r="6145" spans="7:7" x14ac:dyDescent="0.3">
      <c r="G6145" s="400" t="s">
        <v>9567</v>
      </c>
    </row>
    <row r="6146" spans="7:7" x14ac:dyDescent="0.3">
      <c r="G6146" s="400" t="s">
        <v>9567</v>
      </c>
    </row>
    <row r="6147" spans="7:7" x14ac:dyDescent="0.3">
      <c r="G6147" s="400" t="s">
        <v>9567</v>
      </c>
    </row>
    <row r="6148" spans="7:7" x14ac:dyDescent="0.3">
      <c r="G6148" s="400" t="s">
        <v>9567</v>
      </c>
    </row>
    <row r="6149" spans="7:7" x14ac:dyDescent="0.3">
      <c r="G6149" s="400" t="s">
        <v>9567</v>
      </c>
    </row>
    <row r="6150" spans="7:7" x14ac:dyDescent="0.3">
      <c r="G6150" s="400" t="s">
        <v>9567</v>
      </c>
    </row>
    <row r="6151" spans="7:7" x14ac:dyDescent="0.3">
      <c r="G6151" s="400" t="s">
        <v>9567</v>
      </c>
    </row>
    <row r="6152" spans="7:7" x14ac:dyDescent="0.3">
      <c r="G6152" s="400" t="s">
        <v>9567</v>
      </c>
    </row>
    <row r="6153" spans="7:7" x14ac:dyDescent="0.3">
      <c r="G6153" s="400" t="s">
        <v>9567</v>
      </c>
    </row>
    <row r="6154" spans="7:7" x14ac:dyDescent="0.3">
      <c r="G6154" s="400" t="s">
        <v>9567</v>
      </c>
    </row>
    <row r="6155" spans="7:7" x14ac:dyDescent="0.3">
      <c r="G6155" s="400" t="s">
        <v>9567</v>
      </c>
    </row>
    <row r="6156" spans="7:7" x14ac:dyDescent="0.3">
      <c r="G6156" s="400" t="s">
        <v>9567</v>
      </c>
    </row>
    <row r="6157" spans="7:7" x14ac:dyDescent="0.3">
      <c r="G6157" s="400" t="s">
        <v>9567</v>
      </c>
    </row>
    <row r="6158" spans="7:7" x14ac:dyDescent="0.3">
      <c r="G6158" s="400" t="s">
        <v>9567</v>
      </c>
    </row>
    <row r="6159" spans="7:7" x14ac:dyDescent="0.3">
      <c r="G6159" s="400" t="s">
        <v>9567</v>
      </c>
    </row>
    <row r="6160" spans="7:7" x14ac:dyDescent="0.3">
      <c r="G6160" s="400" t="s">
        <v>9567</v>
      </c>
    </row>
    <row r="6161" spans="7:7" x14ac:dyDescent="0.3">
      <c r="G6161" s="400" t="s">
        <v>9567</v>
      </c>
    </row>
    <row r="6162" spans="7:7" x14ac:dyDescent="0.3">
      <c r="G6162" s="400" t="s">
        <v>9567</v>
      </c>
    </row>
    <row r="6163" spans="7:7" x14ac:dyDescent="0.3">
      <c r="G6163" s="400" t="s">
        <v>9567</v>
      </c>
    </row>
    <row r="6164" spans="7:7" x14ac:dyDescent="0.3">
      <c r="G6164" s="400" t="s">
        <v>9567</v>
      </c>
    </row>
    <row r="6165" spans="7:7" x14ac:dyDescent="0.3">
      <c r="G6165" s="400" t="s">
        <v>9567</v>
      </c>
    </row>
    <row r="6166" spans="7:7" x14ac:dyDescent="0.3">
      <c r="G6166" s="400" t="s">
        <v>9567</v>
      </c>
    </row>
    <row r="6167" spans="7:7" x14ac:dyDescent="0.3">
      <c r="G6167" s="400" t="s">
        <v>9567</v>
      </c>
    </row>
    <row r="6168" spans="7:7" x14ac:dyDescent="0.3">
      <c r="G6168" s="400" t="s">
        <v>9567</v>
      </c>
    </row>
    <row r="6169" spans="7:7" x14ac:dyDescent="0.3">
      <c r="G6169" s="400" t="s">
        <v>9567</v>
      </c>
    </row>
    <row r="6170" spans="7:7" x14ac:dyDescent="0.3">
      <c r="G6170" s="400" t="s">
        <v>9567</v>
      </c>
    </row>
    <row r="6171" spans="7:7" x14ac:dyDescent="0.3">
      <c r="G6171" s="400" t="s">
        <v>9567</v>
      </c>
    </row>
    <row r="6172" spans="7:7" x14ac:dyDescent="0.3">
      <c r="G6172" s="400" t="s">
        <v>9567</v>
      </c>
    </row>
    <row r="6173" spans="7:7" x14ac:dyDescent="0.3">
      <c r="G6173" s="400" t="s">
        <v>9567</v>
      </c>
    </row>
    <row r="6174" spans="7:7" x14ac:dyDescent="0.3">
      <c r="G6174" s="400" t="s">
        <v>9567</v>
      </c>
    </row>
    <row r="6175" spans="7:7" x14ac:dyDescent="0.3">
      <c r="G6175" s="400" t="s">
        <v>9567</v>
      </c>
    </row>
    <row r="6176" spans="7:7" x14ac:dyDescent="0.3">
      <c r="G6176" s="400" t="s">
        <v>9567</v>
      </c>
    </row>
    <row r="6177" spans="7:7" x14ac:dyDescent="0.3">
      <c r="G6177" s="400" t="s">
        <v>9567</v>
      </c>
    </row>
    <row r="6178" spans="7:7" x14ac:dyDescent="0.3">
      <c r="G6178" s="400" t="s">
        <v>9567</v>
      </c>
    </row>
    <row r="6179" spans="7:7" x14ac:dyDescent="0.3">
      <c r="G6179" s="400" t="s">
        <v>9567</v>
      </c>
    </row>
    <row r="6180" spans="7:7" x14ac:dyDescent="0.3">
      <c r="G6180" s="400" t="s">
        <v>9567</v>
      </c>
    </row>
    <row r="6181" spans="7:7" x14ac:dyDescent="0.3">
      <c r="G6181" s="400" t="s">
        <v>9567</v>
      </c>
    </row>
    <row r="6182" spans="7:7" x14ac:dyDescent="0.3">
      <c r="G6182" s="400" t="s">
        <v>9567</v>
      </c>
    </row>
    <row r="6183" spans="7:7" x14ac:dyDescent="0.3">
      <c r="G6183" s="400" t="s">
        <v>9567</v>
      </c>
    </row>
    <row r="6184" spans="7:7" x14ac:dyDescent="0.3">
      <c r="G6184" s="400" t="s">
        <v>9567</v>
      </c>
    </row>
    <row r="6185" spans="7:7" x14ac:dyDescent="0.3">
      <c r="G6185" s="400" t="s">
        <v>9567</v>
      </c>
    </row>
    <row r="6186" spans="7:7" x14ac:dyDescent="0.3">
      <c r="G6186" s="400" t="s">
        <v>9567</v>
      </c>
    </row>
    <row r="6187" spans="7:7" x14ac:dyDescent="0.3">
      <c r="G6187" s="400" t="s">
        <v>9567</v>
      </c>
    </row>
    <row r="6188" spans="7:7" x14ac:dyDescent="0.3">
      <c r="G6188" s="400" t="s">
        <v>9567</v>
      </c>
    </row>
    <row r="6189" spans="7:7" x14ac:dyDescent="0.3">
      <c r="G6189" s="400" t="s">
        <v>9567</v>
      </c>
    </row>
    <row r="6190" spans="7:7" x14ac:dyDescent="0.3">
      <c r="G6190" s="400" t="s">
        <v>9567</v>
      </c>
    </row>
    <row r="6191" spans="7:7" x14ac:dyDescent="0.3">
      <c r="G6191" s="400" t="s">
        <v>9567</v>
      </c>
    </row>
    <row r="6192" spans="7:7" x14ac:dyDescent="0.3">
      <c r="G6192" s="400" t="s">
        <v>9567</v>
      </c>
    </row>
    <row r="6193" spans="7:7" x14ac:dyDescent="0.3">
      <c r="G6193" s="400" t="s">
        <v>9567</v>
      </c>
    </row>
    <row r="6194" spans="7:7" x14ac:dyDescent="0.3">
      <c r="G6194" s="400" t="s">
        <v>9567</v>
      </c>
    </row>
    <row r="6195" spans="7:7" x14ac:dyDescent="0.3">
      <c r="G6195" s="400" t="s">
        <v>9567</v>
      </c>
    </row>
    <row r="6196" spans="7:7" x14ac:dyDescent="0.3">
      <c r="G6196" s="400" t="s">
        <v>9567</v>
      </c>
    </row>
    <row r="6197" spans="7:7" x14ac:dyDescent="0.3">
      <c r="G6197" s="400" t="s">
        <v>9567</v>
      </c>
    </row>
    <row r="6198" spans="7:7" x14ac:dyDescent="0.3">
      <c r="G6198" s="400" t="s">
        <v>9567</v>
      </c>
    </row>
    <row r="6199" spans="7:7" x14ac:dyDescent="0.3">
      <c r="G6199" s="400" t="s">
        <v>9567</v>
      </c>
    </row>
    <row r="6200" spans="7:7" x14ac:dyDescent="0.3">
      <c r="G6200" s="400" t="s">
        <v>9567</v>
      </c>
    </row>
    <row r="6201" spans="7:7" x14ac:dyDescent="0.3">
      <c r="G6201" s="400" t="s">
        <v>9567</v>
      </c>
    </row>
    <row r="6202" spans="7:7" x14ac:dyDescent="0.3">
      <c r="G6202" s="400" t="s">
        <v>9567</v>
      </c>
    </row>
    <row r="6203" spans="7:7" x14ac:dyDescent="0.3">
      <c r="G6203" s="400" t="s">
        <v>9567</v>
      </c>
    </row>
    <row r="6204" spans="7:7" x14ac:dyDescent="0.3">
      <c r="G6204" s="400" t="s">
        <v>9567</v>
      </c>
    </row>
    <row r="6205" spans="7:7" x14ac:dyDescent="0.3">
      <c r="G6205" s="400" t="s">
        <v>9567</v>
      </c>
    </row>
    <row r="6206" spans="7:7" x14ac:dyDescent="0.3">
      <c r="G6206" s="400" t="s">
        <v>9567</v>
      </c>
    </row>
    <row r="6207" spans="7:7" x14ac:dyDescent="0.3">
      <c r="G6207" s="400" t="s">
        <v>9567</v>
      </c>
    </row>
    <row r="6208" spans="7:7" x14ac:dyDescent="0.3">
      <c r="G6208" s="400" t="s">
        <v>9567</v>
      </c>
    </row>
    <row r="6209" spans="7:7" x14ac:dyDescent="0.3">
      <c r="G6209" s="400" t="s">
        <v>9567</v>
      </c>
    </row>
    <row r="6210" spans="7:7" x14ac:dyDescent="0.3">
      <c r="G6210" s="400" t="s">
        <v>9567</v>
      </c>
    </row>
    <row r="6211" spans="7:7" x14ac:dyDescent="0.3">
      <c r="G6211" s="400" t="s">
        <v>9567</v>
      </c>
    </row>
    <row r="6212" spans="7:7" x14ac:dyDescent="0.3">
      <c r="G6212" s="400" t="s">
        <v>9567</v>
      </c>
    </row>
    <row r="6213" spans="7:7" x14ac:dyDescent="0.3">
      <c r="G6213" s="400" t="s">
        <v>9567</v>
      </c>
    </row>
    <row r="6214" spans="7:7" x14ac:dyDescent="0.3">
      <c r="G6214" s="400" t="s">
        <v>9567</v>
      </c>
    </row>
    <row r="6215" spans="7:7" x14ac:dyDescent="0.3">
      <c r="G6215" s="400" t="s">
        <v>9567</v>
      </c>
    </row>
    <row r="6216" spans="7:7" x14ac:dyDescent="0.3">
      <c r="G6216" s="400" t="s">
        <v>9567</v>
      </c>
    </row>
    <row r="6217" spans="7:7" x14ac:dyDescent="0.3">
      <c r="G6217" s="400" t="s">
        <v>9567</v>
      </c>
    </row>
    <row r="6218" spans="7:7" x14ac:dyDescent="0.3">
      <c r="G6218" s="400" t="s">
        <v>9567</v>
      </c>
    </row>
    <row r="6219" spans="7:7" x14ac:dyDescent="0.3">
      <c r="G6219" s="400" t="s">
        <v>9567</v>
      </c>
    </row>
    <row r="6220" spans="7:7" x14ac:dyDescent="0.3">
      <c r="G6220" s="400" t="s">
        <v>9567</v>
      </c>
    </row>
    <row r="6221" spans="7:7" x14ac:dyDescent="0.3">
      <c r="G6221" s="400" t="s">
        <v>9567</v>
      </c>
    </row>
    <row r="6222" spans="7:7" x14ac:dyDescent="0.3">
      <c r="G6222" s="400" t="s">
        <v>9567</v>
      </c>
    </row>
    <row r="6223" spans="7:7" x14ac:dyDescent="0.3">
      <c r="G6223" s="400" t="s">
        <v>9567</v>
      </c>
    </row>
    <row r="6224" spans="7:7" x14ac:dyDescent="0.3">
      <c r="G6224" s="400" t="s">
        <v>9567</v>
      </c>
    </row>
    <row r="6225" spans="7:7" x14ac:dyDescent="0.3">
      <c r="G6225" s="400" t="s">
        <v>9567</v>
      </c>
    </row>
    <row r="6226" spans="7:7" x14ac:dyDescent="0.3">
      <c r="G6226" s="400" t="s">
        <v>9567</v>
      </c>
    </row>
    <row r="6227" spans="7:7" x14ac:dyDescent="0.3">
      <c r="G6227" s="400" t="s">
        <v>9567</v>
      </c>
    </row>
    <row r="6228" spans="7:7" x14ac:dyDescent="0.3">
      <c r="G6228" s="400" t="s">
        <v>9567</v>
      </c>
    </row>
    <row r="6229" spans="7:7" x14ac:dyDescent="0.3">
      <c r="G6229" s="400" t="s">
        <v>9567</v>
      </c>
    </row>
    <row r="6230" spans="7:7" x14ac:dyDescent="0.3">
      <c r="G6230" s="400" t="s">
        <v>9567</v>
      </c>
    </row>
    <row r="6231" spans="7:7" x14ac:dyDescent="0.3">
      <c r="G6231" s="400" t="s">
        <v>9567</v>
      </c>
    </row>
    <row r="6232" spans="7:7" x14ac:dyDescent="0.3">
      <c r="G6232" s="400" t="s">
        <v>9567</v>
      </c>
    </row>
    <row r="6233" spans="7:7" x14ac:dyDescent="0.3">
      <c r="G6233" s="400" t="s">
        <v>9567</v>
      </c>
    </row>
    <row r="6234" spans="7:7" x14ac:dyDescent="0.3">
      <c r="G6234" s="400" t="s">
        <v>9567</v>
      </c>
    </row>
    <row r="6235" spans="7:7" x14ac:dyDescent="0.3">
      <c r="G6235" s="400" t="s">
        <v>9567</v>
      </c>
    </row>
    <row r="6236" spans="7:7" x14ac:dyDescent="0.3">
      <c r="G6236" s="400" t="s">
        <v>9567</v>
      </c>
    </row>
    <row r="6237" spans="7:7" x14ac:dyDescent="0.3">
      <c r="G6237" s="400" t="s">
        <v>9567</v>
      </c>
    </row>
    <row r="6238" spans="7:7" x14ac:dyDescent="0.3">
      <c r="G6238" s="400" t="s">
        <v>9567</v>
      </c>
    </row>
    <row r="6239" spans="7:7" x14ac:dyDescent="0.3">
      <c r="G6239" s="400" t="s">
        <v>9567</v>
      </c>
    </row>
    <row r="6240" spans="7:7" x14ac:dyDescent="0.3">
      <c r="G6240" s="400" t="s">
        <v>9567</v>
      </c>
    </row>
    <row r="6241" spans="7:7" x14ac:dyDescent="0.3">
      <c r="G6241" s="400" t="s">
        <v>9567</v>
      </c>
    </row>
    <row r="6242" spans="7:7" x14ac:dyDescent="0.3">
      <c r="G6242" s="400" t="s">
        <v>9567</v>
      </c>
    </row>
    <row r="6243" spans="7:7" x14ac:dyDescent="0.3">
      <c r="G6243" s="400" t="s">
        <v>9567</v>
      </c>
    </row>
    <row r="6244" spans="7:7" x14ac:dyDescent="0.3">
      <c r="G6244" s="400" t="s">
        <v>9567</v>
      </c>
    </row>
    <row r="6245" spans="7:7" x14ac:dyDescent="0.3">
      <c r="G6245" s="400" t="s">
        <v>9567</v>
      </c>
    </row>
    <row r="6246" spans="7:7" x14ac:dyDescent="0.3">
      <c r="G6246" s="400" t="s">
        <v>9567</v>
      </c>
    </row>
    <row r="6247" spans="7:7" x14ac:dyDescent="0.3">
      <c r="G6247" s="400" t="s">
        <v>9567</v>
      </c>
    </row>
    <row r="6248" spans="7:7" x14ac:dyDescent="0.3">
      <c r="G6248" s="400" t="s">
        <v>9567</v>
      </c>
    </row>
    <row r="6249" spans="7:7" x14ac:dyDescent="0.3">
      <c r="G6249" s="400" t="s">
        <v>9567</v>
      </c>
    </row>
    <row r="6250" spans="7:7" x14ac:dyDescent="0.3">
      <c r="G6250" s="400" t="s">
        <v>9567</v>
      </c>
    </row>
    <row r="6251" spans="7:7" x14ac:dyDescent="0.3">
      <c r="G6251" s="400" t="s">
        <v>9567</v>
      </c>
    </row>
    <row r="6252" spans="7:7" x14ac:dyDescent="0.3">
      <c r="G6252" s="400" t="s">
        <v>9567</v>
      </c>
    </row>
    <row r="6253" spans="7:7" x14ac:dyDescent="0.3">
      <c r="G6253" s="400" t="s">
        <v>9567</v>
      </c>
    </row>
    <row r="6254" spans="7:7" x14ac:dyDescent="0.3">
      <c r="G6254" s="400" t="s">
        <v>9567</v>
      </c>
    </row>
    <row r="6255" spans="7:7" x14ac:dyDescent="0.3">
      <c r="G6255" s="400" t="s">
        <v>9567</v>
      </c>
    </row>
    <row r="6256" spans="7:7" x14ac:dyDescent="0.3">
      <c r="G6256" s="400" t="s">
        <v>9567</v>
      </c>
    </row>
    <row r="6257" spans="7:7" x14ac:dyDescent="0.3">
      <c r="G6257" s="400" t="s">
        <v>9567</v>
      </c>
    </row>
    <row r="6258" spans="7:7" x14ac:dyDescent="0.3">
      <c r="G6258" s="400" t="s">
        <v>9567</v>
      </c>
    </row>
    <row r="6259" spans="7:7" x14ac:dyDescent="0.3">
      <c r="G6259" s="400" t="s">
        <v>9567</v>
      </c>
    </row>
    <row r="6260" spans="7:7" x14ac:dyDescent="0.3">
      <c r="G6260" s="400" t="s">
        <v>9567</v>
      </c>
    </row>
    <row r="6261" spans="7:7" x14ac:dyDescent="0.3">
      <c r="G6261" s="400" t="s">
        <v>9567</v>
      </c>
    </row>
    <row r="6262" spans="7:7" x14ac:dyDescent="0.3">
      <c r="G6262" s="400" t="s">
        <v>9567</v>
      </c>
    </row>
    <row r="6263" spans="7:7" x14ac:dyDescent="0.3">
      <c r="G6263" s="400" t="s">
        <v>9567</v>
      </c>
    </row>
    <row r="6264" spans="7:7" x14ac:dyDescent="0.3">
      <c r="G6264" s="400" t="s">
        <v>9567</v>
      </c>
    </row>
    <row r="6265" spans="7:7" x14ac:dyDescent="0.3">
      <c r="G6265" s="400" t="s">
        <v>9567</v>
      </c>
    </row>
    <row r="6266" spans="7:7" x14ac:dyDescent="0.3">
      <c r="G6266" s="400" t="s">
        <v>9567</v>
      </c>
    </row>
    <row r="6267" spans="7:7" x14ac:dyDescent="0.3">
      <c r="G6267" s="400" t="s">
        <v>9567</v>
      </c>
    </row>
    <row r="6268" spans="7:7" x14ac:dyDescent="0.3">
      <c r="G6268" s="400" t="s">
        <v>9567</v>
      </c>
    </row>
    <row r="6269" spans="7:7" x14ac:dyDescent="0.3">
      <c r="G6269" s="400" t="s">
        <v>9567</v>
      </c>
    </row>
    <row r="6270" spans="7:7" x14ac:dyDescent="0.3">
      <c r="G6270" s="400" t="s">
        <v>9567</v>
      </c>
    </row>
    <row r="6271" spans="7:7" x14ac:dyDescent="0.3">
      <c r="G6271" s="400" t="s">
        <v>9567</v>
      </c>
    </row>
    <row r="6272" spans="7:7" x14ac:dyDescent="0.3">
      <c r="G6272" s="400" t="s">
        <v>9567</v>
      </c>
    </row>
    <row r="6273" spans="7:7" x14ac:dyDescent="0.3">
      <c r="G6273" s="400" t="s">
        <v>9567</v>
      </c>
    </row>
    <row r="6274" spans="7:7" x14ac:dyDescent="0.3">
      <c r="G6274" s="400" t="s">
        <v>9567</v>
      </c>
    </row>
    <row r="6275" spans="7:7" x14ac:dyDescent="0.3">
      <c r="G6275" s="400" t="s">
        <v>9567</v>
      </c>
    </row>
    <row r="6276" spans="7:7" x14ac:dyDescent="0.3">
      <c r="G6276" s="400" t="s">
        <v>9567</v>
      </c>
    </row>
    <row r="6277" spans="7:7" x14ac:dyDescent="0.3">
      <c r="G6277" s="400" t="s">
        <v>9567</v>
      </c>
    </row>
    <row r="6278" spans="7:7" x14ac:dyDescent="0.3">
      <c r="G6278" s="400" t="s">
        <v>9567</v>
      </c>
    </row>
    <row r="6279" spans="7:7" x14ac:dyDescent="0.3">
      <c r="G6279" s="400" t="s">
        <v>9567</v>
      </c>
    </row>
    <row r="6280" spans="7:7" x14ac:dyDescent="0.3">
      <c r="G6280" s="400" t="s">
        <v>9567</v>
      </c>
    </row>
    <row r="6281" spans="7:7" x14ac:dyDescent="0.3">
      <c r="G6281" s="400" t="s">
        <v>9567</v>
      </c>
    </row>
    <row r="6282" spans="7:7" x14ac:dyDescent="0.3">
      <c r="G6282" s="400" t="s">
        <v>9567</v>
      </c>
    </row>
    <row r="6283" spans="7:7" x14ac:dyDescent="0.3">
      <c r="G6283" s="400" t="s">
        <v>9567</v>
      </c>
    </row>
    <row r="6284" spans="7:7" x14ac:dyDescent="0.3">
      <c r="G6284" s="400" t="s">
        <v>9567</v>
      </c>
    </row>
    <row r="6285" spans="7:7" x14ac:dyDescent="0.3">
      <c r="G6285" s="400" t="s">
        <v>9567</v>
      </c>
    </row>
    <row r="6286" spans="7:7" x14ac:dyDescent="0.3">
      <c r="G6286" s="400" t="s">
        <v>9567</v>
      </c>
    </row>
    <row r="6287" spans="7:7" x14ac:dyDescent="0.3">
      <c r="G6287" s="400" t="s">
        <v>9567</v>
      </c>
    </row>
    <row r="6288" spans="7:7" x14ac:dyDescent="0.3">
      <c r="G6288" s="400" t="s">
        <v>9567</v>
      </c>
    </row>
    <row r="6289" spans="7:7" x14ac:dyDescent="0.3">
      <c r="G6289" s="400" t="s">
        <v>9567</v>
      </c>
    </row>
    <row r="6290" spans="7:7" x14ac:dyDescent="0.3">
      <c r="G6290" s="400" t="s">
        <v>9567</v>
      </c>
    </row>
    <row r="6291" spans="7:7" x14ac:dyDescent="0.3">
      <c r="G6291" s="400" t="s">
        <v>9567</v>
      </c>
    </row>
    <row r="6292" spans="7:7" x14ac:dyDescent="0.3">
      <c r="G6292" s="400" t="s">
        <v>9567</v>
      </c>
    </row>
    <row r="6293" spans="7:7" x14ac:dyDescent="0.3">
      <c r="G6293" s="400" t="s">
        <v>9567</v>
      </c>
    </row>
    <row r="6294" spans="7:7" x14ac:dyDescent="0.3">
      <c r="G6294" s="400" t="s">
        <v>9567</v>
      </c>
    </row>
    <row r="6295" spans="7:7" x14ac:dyDescent="0.3">
      <c r="G6295" s="400" t="s">
        <v>9567</v>
      </c>
    </row>
    <row r="6296" spans="7:7" x14ac:dyDescent="0.3">
      <c r="G6296" s="400" t="s">
        <v>9567</v>
      </c>
    </row>
    <row r="6297" spans="7:7" x14ac:dyDescent="0.3">
      <c r="G6297" s="400" t="s">
        <v>9567</v>
      </c>
    </row>
    <row r="6298" spans="7:7" x14ac:dyDescent="0.3">
      <c r="G6298" s="400" t="s">
        <v>9567</v>
      </c>
    </row>
    <row r="6299" spans="7:7" x14ac:dyDescent="0.3">
      <c r="G6299" s="400" t="s">
        <v>9567</v>
      </c>
    </row>
    <row r="6300" spans="7:7" x14ac:dyDescent="0.3">
      <c r="G6300" s="400" t="s">
        <v>9567</v>
      </c>
    </row>
    <row r="6301" spans="7:7" x14ac:dyDescent="0.3">
      <c r="G6301" s="400" t="s">
        <v>9567</v>
      </c>
    </row>
    <row r="6302" spans="7:7" x14ac:dyDescent="0.3">
      <c r="G6302" s="400" t="s">
        <v>9567</v>
      </c>
    </row>
    <row r="6303" spans="7:7" x14ac:dyDescent="0.3">
      <c r="G6303" s="400" t="s">
        <v>9567</v>
      </c>
    </row>
    <row r="6304" spans="7:7" x14ac:dyDescent="0.3">
      <c r="G6304" s="400" t="s">
        <v>9567</v>
      </c>
    </row>
    <row r="6305" spans="7:7" x14ac:dyDescent="0.3">
      <c r="G6305" s="400" t="s">
        <v>9567</v>
      </c>
    </row>
    <row r="6306" spans="7:7" x14ac:dyDescent="0.3">
      <c r="G6306" s="400" t="s">
        <v>9567</v>
      </c>
    </row>
    <row r="6307" spans="7:7" x14ac:dyDescent="0.3">
      <c r="G6307" s="400" t="s">
        <v>9567</v>
      </c>
    </row>
    <row r="6308" spans="7:7" x14ac:dyDescent="0.3">
      <c r="G6308" s="400" t="s">
        <v>9567</v>
      </c>
    </row>
    <row r="6309" spans="7:7" x14ac:dyDescent="0.3">
      <c r="G6309" s="400" t="s">
        <v>9567</v>
      </c>
    </row>
    <row r="6310" spans="7:7" x14ac:dyDescent="0.3">
      <c r="G6310" s="400" t="s">
        <v>9567</v>
      </c>
    </row>
    <row r="6311" spans="7:7" x14ac:dyDescent="0.3">
      <c r="G6311" s="400" t="s">
        <v>9567</v>
      </c>
    </row>
    <row r="6312" spans="7:7" x14ac:dyDescent="0.3">
      <c r="G6312" s="400" t="s">
        <v>9567</v>
      </c>
    </row>
    <row r="6313" spans="7:7" x14ac:dyDescent="0.3">
      <c r="G6313" s="400" t="s">
        <v>9567</v>
      </c>
    </row>
    <row r="6314" spans="7:7" x14ac:dyDescent="0.3">
      <c r="G6314" s="400" t="s">
        <v>9567</v>
      </c>
    </row>
    <row r="6315" spans="7:7" x14ac:dyDescent="0.3">
      <c r="G6315" s="400" t="s">
        <v>9567</v>
      </c>
    </row>
    <row r="6316" spans="7:7" x14ac:dyDescent="0.3">
      <c r="G6316" s="400" t="s">
        <v>9567</v>
      </c>
    </row>
    <row r="6317" spans="7:7" x14ac:dyDescent="0.3">
      <c r="G6317" s="400" t="s">
        <v>9567</v>
      </c>
    </row>
    <row r="6318" spans="7:7" x14ac:dyDescent="0.3">
      <c r="G6318" s="400" t="s">
        <v>9567</v>
      </c>
    </row>
    <row r="6319" spans="7:7" x14ac:dyDescent="0.3">
      <c r="G6319" s="400" t="s">
        <v>9567</v>
      </c>
    </row>
    <row r="6320" spans="7:7" x14ac:dyDescent="0.3">
      <c r="G6320" s="400" t="s">
        <v>9567</v>
      </c>
    </row>
    <row r="6321" spans="7:7" x14ac:dyDescent="0.3">
      <c r="G6321" s="400" t="s">
        <v>9567</v>
      </c>
    </row>
    <row r="6322" spans="7:7" x14ac:dyDescent="0.3">
      <c r="G6322" s="400" t="s">
        <v>9567</v>
      </c>
    </row>
    <row r="6323" spans="7:7" x14ac:dyDescent="0.3">
      <c r="G6323" s="400" t="s">
        <v>9567</v>
      </c>
    </row>
    <row r="6324" spans="7:7" x14ac:dyDescent="0.3">
      <c r="G6324" s="400" t="s">
        <v>9567</v>
      </c>
    </row>
    <row r="6325" spans="7:7" x14ac:dyDescent="0.3">
      <c r="G6325" s="400" t="s">
        <v>9567</v>
      </c>
    </row>
    <row r="6326" spans="7:7" x14ac:dyDescent="0.3">
      <c r="G6326" s="400" t="s">
        <v>9567</v>
      </c>
    </row>
    <row r="6327" spans="7:7" x14ac:dyDescent="0.3">
      <c r="G6327" s="400" t="s">
        <v>9567</v>
      </c>
    </row>
    <row r="6328" spans="7:7" x14ac:dyDescent="0.3">
      <c r="G6328" s="400" t="s">
        <v>9567</v>
      </c>
    </row>
    <row r="6329" spans="7:7" x14ac:dyDescent="0.3">
      <c r="G6329" s="400" t="s">
        <v>9567</v>
      </c>
    </row>
    <row r="6330" spans="7:7" x14ac:dyDescent="0.3">
      <c r="G6330" s="400" t="s">
        <v>9567</v>
      </c>
    </row>
    <row r="6331" spans="7:7" x14ac:dyDescent="0.3">
      <c r="G6331" s="400" t="s">
        <v>9567</v>
      </c>
    </row>
    <row r="6332" spans="7:7" x14ac:dyDescent="0.3">
      <c r="G6332" s="400" t="s">
        <v>9567</v>
      </c>
    </row>
    <row r="6333" spans="7:7" x14ac:dyDescent="0.3">
      <c r="G6333" s="400" t="s">
        <v>9567</v>
      </c>
    </row>
    <row r="6334" spans="7:7" x14ac:dyDescent="0.3">
      <c r="G6334" s="400" t="s">
        <v>9567</v>
      </c>
    </row>
    <row r="6335" spans="7:7" x14ac:dyDescent="0.3">
      <c r="G6335" s="400" t="s">
        <v>9567</v>
      </c>
    </row>
    <row r="6336" spans="7:7" x14ac:dyDescent="0.3">
      <c r="G6336" s="400" t="s">
        <v>9567</v>
      </c>
    </row>
    <row r="6337" spans="7:7" x14ac:dyDescent="0.3">
      <c r="G6337" s="400" t="s">
        <v>9567</v>
      </c>
    </row>
    <row r="6338" spans="7:7" x14ac:dyDescent="0.3">
      <c r="G6338" s="400" t="s">
        <v>9567</v>
      </c>
    </row>
    <row r="6339" spans="7:7" x14ac:dyDescent="0.3">
      <c r="G6339" s="400" t="s">
        <v>9567</v>
      </c>
    </row>
    <row r="6340" spans="7:7" x14ac:dyDescent="0.3">
      <c r="G6340" s="400" t="s">
        <v>9567</v>
      </c>
    </row>
    <row r="6341" spans="7:7" x14ac:dyDescent="0.3">
      <c r="G6341" s="400" t="s">
        <v>9567</v>
      </c>
    </row>
    <row r="6342" spans="7:7" x14ac:dyDescent="0.3">
      <c r="G6342" s="400" t="s">
        <v>9567</v>
      </c>
    </row>
    <row r="6343" spans="7:7" x14ac:dyDescent="0.3">
      <c r="G6343" s="400" t="s">
        <v>9567</v>
      </c>
    </row>
    <row r="6344" spans="7:7" x14ac:dyDescent="0.3">
      <c r="G6344" s="400" t="s">
        <v>9567</v>
      </c>
    </row>
    <row r="6345" spans="7:7" x14ac:dyDescent="0.3">
      <c r="G6345" s="400" t="s">
        <v>9567</v>
      </c>
    </row>
    <row r="6346" spans="7:7" x14ac:dyDescent="0.3">
      <c r="G6346" s="400" t="s">
        <v>9567</v>
      </c>
    </row>
    <row r="6347" spans="7:7" x14ac:dyDescent="0.3">
      <c r="G6347" s="400" t="s">
        <v>9567</v>
      </c>
    </row>
    <row r="6348" spans="7:7" x14ac:dyDescent="0.3">
      <c r="G6348" s="400" t="s">
        <v>9567</v>
      </c>
    </row>
    <row r="6349" spans="7:7" x14ac:dyDescent="0.3">
      <c r="G6349" s="400" t="s">
        <v>9567</v>
      </c>
    </row>
    <row r="6350" spans="7:7" x14ac:dyDescent="0.3">
      <c r="G6350" s="400" t="s">
        <v>9567</v>
      </c>
    </row>
    <row r="6351" spans="7:7" x14ac:dyDescent="0.3">
      <c r="G6351" s="400" t="s">
        <v>9567</v>
      </c>
    </row>
    <row r="6352" spans="7:7" x14ac:dyDescent="0.3">
      <c r="G6352" s="400" t="s">
        <v>9567</v>
      </c>
    </row>
    <row r="6353" spans="7:7" x14ac:dyDescent="0.3">
      <c r="G6353" s="400" t="s">
        <v>9567</v>
      </c>
    </row>
    <row r="6354" spans="7:7" x14ac:dyDescent="0.3">
      <c r="G6354" s="400" t="s">
        <v>9567</v>
      </c>
    </row>
    <row r="6355" spans="7:7" x14ac:dyDescent="0.3">
      <c r="G6355" s="400" t="s">
        <v>9567</v>
      </c>
    </row>
    <row r="6356" spans="7:7" x14ac:dyDescent="0.3">
      <c r="G6356" s="400" t="s">
        <v>9567</v>
      </c>
    </row>
    <row r="6357" spans="7:7" x14ac:dyDescent="0.3">
      <c r="G6357" s="400" t="s">
        <v>9567</v>
      </c>
    </row>
    <row r="6358" spans="7:7" x14ac:dyDescent="0.3">
      <c r="G6358" s="400" t="s">
        <v>9567</v>
      </c>
    </row>
    <row r="6359" spans="7:7" x14ac:dyDescent="0.3">
      <c r="G6359" s="400" t="s">
        <v>9567</v>
      </c>
    </row>
    <row r="6360" spans="7:7" x14ac:dyDescent="0.3">
      <c r="G6360" s="400" t="s">
        <v>9567</v>
      </c>
    </row>
    <row r="6361" spans="7:7" x14ac:dyDescent="0.3">
      <c r="G6361" s="400" t="s">
        <v>9567</v>
      </c>
    </row>
    <row r="6362" spans="7:7" x14ac:dyDescent="0.3">
      <c r="G6362" s="400" t="s">
        <v>9567</v>
      </c>
    </row>
    <row r="6363" spans="7:7" x14ac:dyDescent="0.3">
      <c r="G6363" s="400" t="s">
        <v>9567</v>
      </c>
    </row>
    <row r="6364" spans="7:7" x14ac:dyDescent="0.3">
      <c r="G6364" s="400" t="s">
        <v>9567</v>
      </c>
    </row>
    <row r="6365" spans="7:7" x14ac:dyDescent="0.3">
      <c r="G6365" s="400" t="s">
        <v>9567</v>
      </c>
    </row>
    <row r="6366" spans="7:7" x14ac:dyDescent="0.3">
      <c r="G6366" s="400" t="s">
        <v>9567</v>
      </c>
    </row>
    <row r="6367" spans="7:7" x14ac:dyDescent="0.3">
      <c r="G6367" s="400" t="s">
        <v>9567</v>
      </c>
    </row>
    <row r="6368" spans="7:7" x14ac:dyDescent="0.3">
      <c r="G6368" s="400" t="s">
        <v>9567</v>
      </c>
    </row>
    <row r="6369" spans="7:7" x14ac:dyDescent="0.3">
      <c r="G6369" s="400" t="s">
        <v>9567</v>
      </c>
    </row>
    <row r="6370" spans="7:7" x14ac:dyDescent="0.3">
      <c r="G6370" s="400" t="s">
        <v>9567</v>
      </c>
    </row>
    <row r="6371" spans="7:7" x14ac:dyDescent="0.3">
      <c r="G6371" s="400" t="s">
        <v>9567</v>
      </c>
    </row>
    <row r="6372" spans="7:7" x14ac:dyDescent="0.3">
      <c r="G6372" s="400" t="s">
        <v>9567</v>
      </c>
    </row>
    <row r="6373" spans="7:7" x14ac:dyDescent="0.3">
      <c r="G6373" s="400" t="s">
        <v>9567</v>
      </c>
    </row>
    <row r="6374" spans="7:7" x14ac:dyDescent="0.3">
      <c r="G6374" s="400" t="s">
        <v>9567</v>
      </c>
    </row>
    <row r="6375" spans="7:7" x14ac:dyDescent="0.3">
      <c r="G6375" s="400" t="s">
        <v>9567</v>
      </c>
    </row>
    <row r="6376" spans="7:7" x14ac:dyDescent="0.3">
      <c r="G6376" s="400" t="s">
        <v>9567</v>
      </c>
    </row>
    <row r="6377" spans="7:7" x14ac:dyDescent="0.3">
      <c r="G6377" s="400" t="s">
        <v>9567</v>
      </c>
    </row>
    <row r="6378" spans="7:7" x14ac:dyDescent="0.3">
      <c r="G6378" s="400" t="s">
        <v>9567</v>
      </c>
    </row>
    <row r="6379" spans="7:7" x14ac:dyDescent="0.3">
      <c r="G6379" s="400" t="s">
        <v>9567</v>
      </c>
    </row>
    <row r="6380" spans="7:7" x14ac:dyDescent="0.3">
      <c r="G6380" s="400" t="s">
        <v>9567</v>
      </c>
    </row>
    <row r="6381" spans="7:7" x14ac:dyDescent="0.3">
      <c r="G6381" s="400" t="s">
        <v>9567</v>
      </c>
    </row>
    <row r="6382" spans="7:7" x14ac:dyDescent="0.3">
      <c r="G6382" s="400" t="s">
        <v>9567</v>
      </c>
    </row>
    <row r="6383" spans="7:7" x14ac:dyDescent="0.3">
      <c r="G6383" s="400" t="s">
        <v>9567</v>
      </c>
    </row>
    <row r="6384" spans="7:7" x14ac:dyDescent="0.3">
      <c r="G6384" s="400" t="s">
        <v>9567</v>
      </c>
    </row>
    <row r="6385" spans="7:7" x14ac:dyDescent="0.3">
      <c r="G6385" s="400" t="s">
        <v>9567</v>
      </c>
    </row>
    <row r="6386" spans="7:7" x14ac:dyDescent="0.3">
      <c r="G6386" s="400" t="s">
        <v>9567</v>
      </c>
    </row>
    <row r="6387" spans="7:7" x14ac:dyDescent="0.3">
      <c r="G6387" s="400" t="s">
        <v>9567</v>
      </c>
    </row>
    <row r="6388" spans="7:7" x14ac:dyDescent="0.3">
      <c r="G6388" s="400" t="s">
        <v>9567</v>
      </c>
    </row>
    <row r="6389" spans="7:7" x14ac:dyDescent="0.3">
      <c r="G6389" s="400" t="s">
        <v>9567</v>
      </c>
    </row>
    <row r="6390" spans="7:7" x14ac:dyDescent="0.3">
      <c r="G6390" s="400" t="s">
        <v>9567</v>
      </c>
    </row>
    <row r="6391" spans="7:7" x14ac:dyDescent="0.3">
      <c r="G6391" s="400" t="s">
        <v>9567</v>
      </c>
    </row>
    <row r="6392" spans="7:7" x14ac:dyDescent="0.3">
      <c r="G6392" s="400" t="s">
        <v>9567</v>
      </c>
    </row>
    <row r="6393" spans="7:7" x14ac:dyDescent="0.3">
      <c r="G6393" s="400" t="s">
        <v>9567</v>
      </c>
    </row>
    <row r="6394" spans="7:7" x14ac:dyDescent="0.3">
      <c r="G6394" s="400" t="s">
        <v>9567</v>
      </c>
    </row>
    <row r="6395" spans="7:7" x14ac:dyDescent="0.3">
      <c r="G6395" s="400" t="s">
        <v>9567</v>
      </c>
    </row>
    <row r="6396" spans="7:7" x14ac:dyDescent="0.3">
      <c r="G6396" s="400" t="s">
        <v>9567</v>
      </c>
    </row>
    <row r="6397" spans="7:7" x14ac:dyDescent="0.3">
      <c r="G6397" s="400" t="s">
        <v>9567</v>
      </c>
    </row>
    <row r="6398" spans="7:7" x14ac:dyDescent="0.3">
      <c r="G6398" s="400" t="s">
        <v>9567</v>
      </c>
    </row>
    <row r="6399" spans="7:7" x14ac:dyDescent="0.3">
      <c r="G6399" s="400" t="s">
        <v>9567</v>
      </c>
    </row>
    <row r="6400" spans="7:7" x14ac:dyDescent="0.3">
      <c r="G6400" s="400" t="s">
        <v>9567</v>
      </c>
    </row>
    <row r="6401" spans="7:7" x14ac:dyDescent="0.3">
      <c r="G6401" s="400" t="s">
        <v>9567</v>
      </c>
    </row>
    <row r="6402" spans="7:7" x14ac:dyDescent="0.3">
      <c r="G6402" s="400" t="s">
        <v>9567</v>
      </c>
    </row>
    <row r="6403" spans="7:7" x14ac:dyDescent="0.3">
      <c r="G6403" s="400" t="s">
        <v>9567</v>
      </c>
    </row>
    <row r="6404" spans="7:7" x14ac:dyDescent="0.3">
      <c r="G6404" s="400" t="s">
        <v>9567</v>
      </c>
    </row>
    <row r="6405" spans="7:7" x14ac:dyDescent="0.3">
      <c r="G6405" s="400" t="s">
        <v>9567</v>
      </c>
    </row>
    <row r="6406" spans="7:7" x14ac:dyDescent="0.3">
      <c r="G6406" s="400" t="s">
        <v>9567</v>
      </c>
    </row>
    <row r="6407" spans="7:7" x14ac:dyDescent="0.3">
      <c r="G6407" s="400" t="s">
        <v>9567</v>
      </c>
    </row>
    <row r="6408" spans="7:7" x14ac:dyDescent="0.3">
      <c r="G6408" s="400" t="s">
        <v>9567</v>
      </c>
    </row>
    <row r="6409" spans="7:7" x14ac:dyDescent="0.3">
      <c r="G6409" s="400" t="s">
        <v>9567</v>
      </c>
    </row>
    <row r="6410" spans="7:7" x14ac:dyDescent="0.3">
      <c r="G6410" s="400" t="s">
        <v>9567</v>
      </c>
    </row>
    <row r="6411" spans="7:7" x14ac:dyDescent="0.3">
      <c r="G6411" s="400" t="s">
        <v>9567</v>
      </c>
    </row>
    <row r="6412" spans="7:7" x14ac:dyDescent="0.3">
      <c r="G6412" s="400" t="s">
        <v>9567</v>
      </c>
    </row>
    <row r="6413" spans="7:7" x14ac:dyDescent="0.3">
      <c r="G6413" s="400" t="s">
        <v>9567</v>
      </c>
    </row>
    <row r="6414" spans="7:7" x14ac:dyDescent="0.3">
      <c r="G6414" s="400" t="s">
        <v>9567</v>
      </c>
    </row>
    <row r="6415" spans="7:7" x14ac:dyDescent="0.3">
      <c r="G6415" s="400" t="s">
        <v>9567</v>
      </c>
    </row>
    <row r="6416" spans="7:7" x14ac:dyDescent="0.3">
      <c r="G6416" s="400" t="s">
        <v>9567</v>
      </c>
    </row>
    <row r="6417" spans="7:7" x14ac:dyDescent="0.3">
      <c r="G6417" s="400" t="s">
        <v>9567</v>
      </c>
    </row>
    <row r="6418" spans="7:7" x14ac:dyDescent="0.3">
      <c r="G6418" s="400" t="s">
        <v>9567</v>
      </c>
    </row>
    <row r="6419" spans="7:7" x14ac:dyDescent="0.3">
      <c r="G6419" s="400" t="s">
        <v>9567</v>
      </c>
    </row>
    <row r="6420" spans="7:7" x14ac:dyDescent="0.3">
      <c r="G6420" s="400" t="s">
        <v>9567</v>
      </c>
    </row>
    <row r="6421" spans="7:7" x14ac:dyDescent="0.3">
      <c r="G6421" s="400" t="s">
        <v>9567</v>
      </c>
    </row>
    <row r="6422" spans="7:7" x14ac:dyDescent="0.3">
      <c r="G6422" s="400" t="s">
        <v>9567</v>
      </c>
    </row>
    <row r="6423" spans="7:7" x14ac:dyDescent="0.3">
      <c r="G6423" s="400" t="s">
        <v>9567</v>
      </c>
    </row>
    <row r="6424" spans="7:7" x14ac:dyDescent="0.3">
      <c r="G6424" s="400" t="s">
        <v>9567</v>
      </c>
    </row>
    <row r="6425" spans="7:7" x14ac:dyDescent="0.3">
      <c r="G6425" s="400" t="s">
        <v>9567</v>
      </c>
    </row>
    <row r="6426" spans="7:7" x14ac:dyDescent="0.3">
      <c r="G6426" s="400" t="s">
        <v>9567</v>
      </c>
    </row>
    <row r="6427" spans="7:7" x14ac:dyDescent="0.3">
      <c r="G6427" s="400" t="s">
        <v>9567</v>
      </c>
    </row>
    <row r="6428" spans="7:7" x14ac:dyDescent="0.3">
      <c r="G6428" s="400" t="s">
        <v>9567</v>
      </c>
    </row>
    <row r="6429" spans="7:7" x14ac:dyDescent="0.3">
      <c r="G6429" s="400" t="s">
        <v>9567</v>
      </c>
    </row>
    <row r="6430" spans="7:7" x14ac:dyDescent="0.3">
      <c r="G6430" s="400" t="s">
        <v>9567</v>
      </c>
    </row>
    <row r="6431" spans="7:7" x14ac:dyDescent="0.3">
      <c r="G6431" s="400" t="s">
        <v>9567</v>
      </c>
    </row>
    <row r="6432" spans="7:7" x14ac:dyDescent="0.3">
      <c r="G6432" s="400" t="s">
        <v>9567</v>
      </c>
    </row>
    <row r="6433" spans="7:7" x14ac:dyDescent="0.3">
      <c r="G6433" s="400" t="s">
        <v>9567</v>
      </c>
    </row>
    <row r="6434" spans="7:7" x14ac:dyDescent="0.3">
      <c r="G6434" s="400" t="s">
        <v>9567</v>
      </c>
    </row>
    <row r="6435" spans="7:7" x14ac:dyDescent="0.3">
      <c r="G6435" s="400" t="s">
        <v>9567</v>
      </c>
    </row>
    <row r="6436" spans="7:7" x14ac:dyDescent="0.3">
      <c r="G6436" s="400" t="s">
        <v>9567</v>
      </c>
    </row>
    <row r="6437" spans="7:7" x14ac:dyDescent="0.3">
      <c r="G6437" s="400" t="s">
        <v>9567</v>
      </c>
    </row>
    <row r="6438" spans="7:7" x14ac:dyDescent="0.3">
      <c r="G6438" s="400" t="s">
        <v>9567</v>
      </c>
    </row>
    <row r="6439" spans="7:7" x14ac:dyDescent="0.3">
      <c r="G6439" s="400" t="s">
        <v>9567</v>
      </c>
    </row>
    <row r="6440" spans="7:7" x14ac:dyDescent="0.3">
      <c r="G6440" s="400" t="s">
        <v>9567</v>
      </c>
    </row>
    <row r="6441" spans="7:7" x14ac:dyDescent="0.3">
      <c r="G6441" s="400" t="s">
        <v>9567</v>
      </c>
    </row>
    <row r="6442" spans="7:7" x14ac:dyDescent="0.3">
      <c r="G6442" s="400" t="s">
        <v>9567</v>
      </c>
    </row>
    <row r="6443" spans="7:7" x14ac:dyDescent="0.3">
      <c r="G6443" s="400" t="s">
        <v>9567</v>
      </c>
    </row>
    <row r="6444" spans="7:7" x14ac:dyDescent="0.3">
      <c r="G6444" s="400" t="s">
        <v>9567</v>
      </c>
    </row>
    <row r="6445" spans="7:7" x14ac:dyDescent="0.3">
      <c r="G6445" s="400" t="s">
        <v>9567</v>
      </c>
    </row>
    <row r="6446" spans="7:7" x14ac:dyDescent="0.3">
      <c r="G6446" s="400" t="s">
        <v>9567</v>
      </c>
    </row>
    <row r="6447" spans="7:7" x14ac:dyDescent="0.3">
      <c r="G6447" s="400" t="s">
        <v>9567</v>
      </c>
    </row>
    <row r="6448" spans="7:7" x14ac:dyDescent="0.3">
      <c r="G6448" s="400" t="s">
        <v>9567</v>
      </c>
    </row>
    <row r="6449" spans="7:7" x14ac:dyDescent="0.3">
      <c r="G6449" s="400" t="s">
        <v>9567</v>
      </c>
    </row>
    <row r="6450" spans="7:7" x14ac:dyDescent="0.3">
      <c r="G6450" s="400" t="s">
        <v>9567</v>
      </c>
    </row>
    <row r="6451" spans="7:7" x14ac:dyDescent="0.3">
      <c r="G6451" s="400" t="s">
        <v>9567</v>
      </c>
    </row>
    <row r="6452" spans="7:7" x14ac:dyDescent="0.3">
      <c r="G6452" s="400" t="s">
        <v>9567</v>
      </c>
    </row>
    <row r="6453" spans="7:7" x14ac:dyDescent="0.3">
      <c r="G6453" s="400" t="s">
        <v>9567</v>
      </c>
    </row>
    <row r="6454" spans="7:7" x14ac:dyDescent="0.3">
      <c r="G6454" s="400" t="s">
        <v>9567</v>
      </c>
    </row>
    <row r="6455" spans="7:7" x14ac:dyDescent="0.3">
      <c r="G6455" s="400" t="s">
        <v>9567</v>
      </c>
    </row>
    <row r="6456" spans="7:7" x14ac:dyDescent="0.3">
      <c r="G6456" s="400" t="s">
        <v>9567</v>
      </c>
    </row>
    <row r="6457" spans="7:7" x14ac:dyDescent="0.3">
      <c r="G6457" s="400" t="s">
        <v>9567</v>
      </c>
    </row>
    <row r="6458" spans="7:7" x14ac:dyDescent="0.3">
      <c r="G6458" s="400" t="s">
        <v>9567</v>
      </c>
    </row>
    <row r="6459" spans="7:7" x14ac:dyDescent="0.3">
      <c r="G6459" s="400" t="s">
        <v>9567</v>
      </c>
    </row>
    <row r="6460" spans="7:7" x14ac:dyDescent="0.3">
      <c r="G6460" s="400" t="s">
        <v>9567</v>
      </c>
    </row>
    <row r="6461" spans="7:7" x14ac:dyDescent="0.3">
      <c r="G6461" s="400" t="s">
        <v>9567</v>
      </c>
    </row>
    <row r="6462" spans="7:7" x14ac:dyDescent="0.3">
      <c r="G6462" s="400" t="s">
        <v>9567</v>
      </c>
    </row>
    <row r="6463" spans="7:7" x14ac:dyDescent="0.3">
      <c r="G6463" s="400" t="s">
        <v>9567</v>
      </c>
    </row>
    <row r="6464" spans="7:7" x14ac:dyDescent="0.3">
      <c r="G6464" s="400" t="s">
        <v>9567</v>
      </c>
    </row>
    <row r="6465" spans="7:7" x14ac:dyDescent="0.3">
      <c r="G6465" s="400" t="s">
        <v>9567</v>
      </c>
    </row>
    <row r="6466" spans="7:7" x14ac:dyDescent="0.3">
      <c r="G6466" s="400" t="s">
        <v>9567</v>
      </c>
    </row>
    <row r="6467" spans="7:7" x14ac:dyDescent="0.3">
      <c r="G6467" s="400" t="s">
        <v>9567</v>
      </c>
    </row>
    <row r="6468" spans="7:7" x14ac:dyDescent="0.3">
      <c r="G6468" s="400" t="s">
        <v>9567</v>
      </c>
    </row>
    <row r="6469" spans="7:7" x14ac:dyDescent="0.3">
      <c r="G6469" s="400" t="s">
        <v>9567</v>
      </c>
    </row>
    <row r="6470" spans="7:7" x14ac:dyDescent="0.3">
      <c r="G6470" s="400" t="s">
        <v>9567</v>
      </c>
    </row>
    <row r="6471" spans="7:7" x14ac:dyDescent="0.3">
      <c r="G6471" s="400" t="s">
        <v>9567</v>
      </c>
    </row>
    <row r="6472" spans="7:7" x14ac:dyDescent="0.3">
      <c r="G6472" s="400" t="s">
        <v>9567</v>
      </c>
    </row>
    <row r="6473" spans="7:7" x14ac:dyDescent="0.3">
      <c r="G6473" s="400" t="s">
        <v>9567</v>
      </c>
    </row>
    <row r="6474" spans="7:7" x14ac:dyDescent="0.3">
      <c r="G6474" s="400" t="s">
        <v>9567</v>
      </c>
    </row>
    <row r="6475" spans="7:7" x14ac:dyDescent="0.3">
      <c r="G6475" s="400" t="s">
        <v>9567</v>
      </c>
    </row>
    <row r="6476" spans="7:7" x14ac:dyDescent="0.3">
      <c r="G6476" s="400" t="s">
        <v>9567</v>
      </c>
    </row>
    <row r="6477" spans="7:7" x14ac:dyDescent="0.3">
      <c r="G6477" s="400" t="s">
        <v>9567</v>
      </c>
    </row>
    <row r="6478" spans="7:7" x14ac:dyDescent="0.3">
      <c r="G6478" s="400" t="s">
        <v>9567</v>
      </c>
    </row>
    <row r="6479" spans="7:7" x14ac:dyDescent="0.3">
      <c r="G6479" s="400" t="s">
        <v>9567</v>
      </c>
    </row>
    <row r="6480" spans="7:7" x14ac:dyDescent="0.3">
      <c r="G6480" s="400" t="s">
        <v>9567</v>
      </c>
    </row>
    <row r="6481" spans="7:7" x14ac:dyDescent="0.3">
      <c r="G6481" s="400" t="s">
        <v>9567</v>
      </c>
    </row>
    <row r="6482" spans="7:7" x14ac:dyDescent="0.3">
      <c r="G6482" s="400" t="s">
        <v>9567</v>
      </c>
    </row>
    <row r="6483" spans="7:7" x14ac:dyDescent="0.3">
      <c r="G6483" s="400" t="s">
        <v>9567</v>
      </c>
    </row>
    <row r="6484" spans="7:7" x14ac:dyDescent="0.3">
      <c r="G6484" s="400" t="s">
        <v>9567</v>
      </c>
    </row>
    <row r="6485" spans="7:7" x14ac:dyDescent="0.3">
      <c r="G6485" s="400" t="s">
        <v>9567</v>
      </c>
    </row>
    <row r="6486" spans="7:7" x14ac:dyDescent="0.3">
      <c r="G6486" s="400" t="s">
        <v>9567</v>
      </c>
    </row>
    <row r="6487" spans="7:7" x14ac:dyDescent="0.3">
      <c r="G6487" s="400" t="s">
        <v>9567</v>
      </c>
    </row>
    <row r="6488" spans="7:7" x14ac:dyDescent="0.3">
      <c r="G6488" s="400" t="s">
        <v>9567</v>
      </c>
    </row>
    <row r="6489" spans="7:7" x14ac:dyDescent="0.3">
      <c r="G6489" s="400" t="s">
        <v>9567</v>
      </c>
    </row>
    <row r="6490" spans="7:7" x14ac:dyDescent="0.3">
      <c r="G6490" s="400" t="s">
        <v>9567</v>
      </c>
    </row>
    <row r="6491" spans="7:7" x14ac:dyDescent="0.3">
      <c r="G6491" s="400" t="s">
        <v>9567</v>
      </c>
    </row>
    <row r="6492" spans="7:7" x14ac:dyDescent="0.3">
      <c r="G6492" s="400" t="s">
        <v>9567</v>
      </c>
    </row>
    <row r="6493" spans="7:7" x14ac:dyDescent="0.3">
      <c r="G6493" s="400" t="s">
        <v>9567</v>
      </c>
    </row>
    <row r="6494" spans="7:7" x14ac:dyDescent="0.3">
      <c r="G6494" s="400" t="s">
        <v>9567</v>
      </c>
    </row>
    <row r="6495" spans="7:7" x14ac:dyDescent="0.3">
      <c r="G6495" s="400" t="s">
        <v>9567</v>
      </c>
    </row>
    <row r="6496" spans="7:7" x14ac:dyDescent="0.3">
      <c r="G6496" s="400" t="s">
        <v>9567</v>
      </c>
    </row>
    <row r="6497" spans="7:7" x14ac:dyDescent="0.3">
      <c r="G6497" s="400" t="s">
        <v>9567</v>
      </c>
    </row>
    <row r="6498" spans="7:7" x14ac:dyDescent="0.3">
      <c r="G6498" s="400" t="s">
        <v>9567</v>
      </c>
    </row>
    <row r="6499" spans="7:7" x14ac:dyDescent="0.3">
      <c r="G6499" s="400" t="s">
        <v>9567</v>
      </c>
    </row>
    <row r="6500" spans="7:7" x14ac:dyDescent="0.3">
      <c r="G6500" s="400" t="s">
        <v>9567</v>
      </c>
    </row>
    <row r="6501" spans="7:7" x14ac:dyDescent="0.3">
      <c r="G6501" s="400" t="s">
        <v>9567</v>
      </c>
    </row>
    <row r="6502" spans="7:7" x14ac:dyDescent="0.3">
      <c r="G6502" s="400" t="s">
        <v>9567</v>
      </c>
    </row>
    <row r="6503" spans="7:7" x14ac:dyDescent="0.3">
      <c r="G6503" s="400" t="s">
        <v>9567</v>
      </c>
    </row>
    <row r="6504" spans="7:7" x14ac:dyDescent="0.3">
      <c r="G6504" s="400" t="s">
        <v>9567</v>
      </c>
    </row>
    <row r="6505" spans="7:7" x14ac:dyDescent="0.3">
      <c r="G6505" s="400" t="s">
        <v>9567</v>
      </c>
    </row>
    <row r="6506" spans="7:7" x14ac:dyDescent="0.3">
      <c r="G6506" s="400" t="s">
        <v>9567</v>
      </c>
    </row>
    <row r="6507" spans="7:7" x14ac:dyDescent="0.3">
      <c r="G6507" s="400" t="s">
        <v>9567</v>
      </c>
    </row>
    <row r="6508" spans="7:7" x14ac:dyDescent="0.3">
      <c r="G6508" s="400" t="s">
        <v>9567</v>
      </c>
    </row>
    <row r="6509" spans="7:7" x14ac:dyDescent="0.3">
      <c r="G6509" s="400" t="s">
        <v>9567</v>
      </c>
    </row>
    <row r="6510" spans="7:7" x14ac:dyDescent="0.3">
      <c r="G6510" s="400" t="s">
        <v>9567</v>
      </c>
    </row>
    <row r="6511" spans="7:7" x14ac:dyDescent="0.3">
      <c r="G6511" s="400" t="s">
        <v>9567</v>
      </c>
    </row>
    <row r="6512" spans="7:7" x14ac:dyDescent="0.3">
      <c r="G6512" s="400" t="s">
        <v>9567</v>
      </c>
    </row>
    <row r="6513" spans="7:7" x14ac:dyDescent="0.3">
      <c r="G6513" s="400" t="s">
        <v>9567</v>
      </c>
    </row>
    <row r="6514" spans="7:7" x14ac:dyDescent="0.3">
      <c r="G6514" s="400" t="s">
        <v>9567</v>
      </c>
    </row>
    <row r="6515" spans="7:7" x14ac:dyDescent="0.3">
      <c r="G6515" s="400" t="s">
        <v>9567</v>
      </c>
    </row>
    <row r="6516" spans="7:7" x14ac:dyDescent="0.3">
      <c r="G6516" s="400" t="s">
        <v>9567</v>
      </c>
    </row>
    <row r="6517" spans="7:7" x14ac:dyDescent="0.3">
      <c r="G6517" s="400" t="s">
        <v>9567</v>
      </c>
    </row>
    <row r="6518" spans="7:7" x14ac:dyDescent="0.3">
      <c r="G6518" s="400" t="s">
        <v>9567</v>
      </c>
    </row>
    <row r="6519" spans="7:7" x14ac:dyDescent="0.3">
      <c r="G6519" s="400" t="s">
        <v>9567</v>
      </c>
    </row>
    <row r="6520" spans="7:7" x14ac:dyDescent="0.3">
      <c r="G6520" s="400" t="s">
        <v>9567</v>
      </c>
    </row>
    <row r="6521" spans="7:7" x14ac:dyDescent="0.3">
      <c r="G6521" s="400" t="s">
        <v>9567</v>
      </c>
    </row>
    <row r="6522" spans="7:7" x14ac:dyDescent="0.3">
      <c r="G6522" s="400" t="s">
        <v>9567</v>
      </c>
    </row>
    <row r="6523" spans="7:7" x14ac:dyDescent="0.3">
      <c r="G6523" s="400" t="s">
        <v>9567</v>
      </c>
    </row>
    <row r="6524" spans="7:7" x14ac:dyDescent="0.3">
      <c r="G6524" s="400" t="s">
        <v>9567</v>
      </c>
    </row>
    <row r="6525" spans="7:7" x14ac:dyDescent="0.3">
      <c r="G6525" s="400" t="s">
        <v>9567</v>
      </c>
    </row>
    <row r="6526" spans="7:7" x14ac:dyDescent="0.3">
      <c r="G6526" s="400" t="s">
        <v>9567</v>
      </c>
    </row>
    <row r="6527" spans="7:7" x14ac:dyDescent="0.3">
      <c r="G6527" s="400" t="s">
        <v>9567</v>
      </c>
    </row>
    <row r="6528" spans="7:7" x14ac:dyDescent="0.3">
      <c r="G6528" s="400" t="s">
        <v>9567</v>
      </c>
    </row>
    <row r="6529" spans="7:7" x14ac:dyDescent="0.3">
      <c r="G6529" s="400" t="s">
        <v>9567</v>
      </c>
    </row>
    <row r="6530" spans="7:7" x14ac:dyDescent="0.3">
      <c r="G6530" s="400" t="s">
        <v>9567</v>
      </c>
    </row>
    <row r="6531" spans="7:7" x14ac:dyDescent="0.3">
      <c r="G6531" s="400" t="s">
        <v>9567</v>
      </c>
    </row>
    <row r="6532" spans="7:7" x14ac:dyDescent="0.3">
      <c r="G6532" s="400" t="s">
        <v>9567</v>
      </c>
    </row>
    <row r="6533" spans="7:7" x14ac:dyDescent="0.3">
      <c r="G6533" s="400" t="s">
        <v>9567</v>
      </c>
    </row>
    <row r="6534" spans="7:7" x14ac:dyDescent="0.3">
      <c r="G6534" s="400" t="s">
        <v>9567</v>
      </c>
    </row>
    <row r="6535" spans="7:7" x14ac:dyDescent="0.3">
      <c r="G6535" s="400" t="s">
        <v>9567</v>
      </c>
    </row>
    <row r="6536" spans="7:7" x14ac:dyDescent="0.3">
      <c r="G6536" s="400" t="s">
        <v>9567</v>
      </c>
    </row>
    <row r="6537" spans="7:7" x14ac:dyDescent="0.3">
      <c r="G6537" s="400" t="s">
        <v>9567</v>
      </c>
    </row>
    <row r="6538" spans="7:7" x14ac:dyDescent="0.3">
      <c r="G6538" s="400" t="s">
        <v>9567</v>
      </c>
    </row>
    <row r="6539" spans="7:7" x14ac:dyDescent="0.3">
      <c r="G6539" s="400" t="s">
        <v>9567</v>
      </c>
    </row>
    <row r="6540" spans="7:7" x14ac:dyDescent="0.3">
      <c r="G6540" s="400" t="s">
        <v>9567</v>
      </c>
    </row>
    <row r="6541" spans="7:7" x14ac:dyDescent="0.3">
      <c r="G6541" s="400" t="s">
        <v>9567</v>
      </c>
    </row>
    <row r="6542" spans="7:7" x14ac:dyDescent="0.3">
      <c r="G6542" s="400" t="s">
        <v>9567</v>
      </c>
    </row>
    <row r="6543" spans="7:7" x14ac:dyDescent="0.3">
      <c r="G6543" s="400" t="s">
        <v>9567</v>
      </c>
    </row>
    <row r="6544" spans="7:7" x14ac:dyDescent="0.3">
      <c r="G6544" s="400" t="s">
        <v>9567</v>
      </c>
    </row>
    <row r="6545" spans="7:7" x14ac:dyDescent="0.3">
      <c r="G6545" s="400" t="s">
        <v>9567</v>
      </c>
    </row>
    <row r="6546" spans="7:7" x14ac:dyDescent="0.3">
      <c r="G6546" s="400" t="s">
        <v>9567</v>
      </c>
    </row>
    <row r="6547" spans="7:7" x14ac:dyDescent="0.3">
      <c r="G6547" s="400" t="s">
        <v>9567</v>
      </c>
    </row>
    <row r="6548" spans="7:7" x14ac:dyDescent="0.3">
      <c r="G6548" s="400" t="s">
        <v>9567</v>
      </c>
    </row>
    <row r="6549" spans="7:7" x14ac:dyDescent="0.3">
      <c r="G6549" s="400" t="s">
        <v>9567</v>
      </c>
    </row>
    <row r="6550" spans="7:7" x14ac:dyDescent="0.3">
      <c r="G6550" s="400" t="s">
        <v>9567</v>
      </c>
    </row>
    <row r="6551" spans="7:7" x14ac:dyDescent="0.3">
      <c r="G6551" s="400" t="s">
        <v>9567</v>
      </c>
    </row>
    <row r="6552" spans="7:7" x14ac:dyDescent="0.3">
      <c r="G6552" s="400" t="s">
        <v>9567</v>
      </c>
    </row>
    <row r="6553" spans="7:7" x14ac:dyDescent="0.3">
      <c r="G6553" s="400" t="s">
        <v>9567</v>
      </c>
    </row>
    <row r="6554" spans="7:7" x14ac:dyDescent="0.3">
      <c r="G6554" s="400" t="s">
        <v>9567</v>
      </c>
    </row>
    <row r="6555" spans="7:7" x14ac:dyDescent="0.3">
      <c r="G6555" s="400" t="s">
        <v>9567</v>
      </c>
    </row>
    <row r="6556" spans="7:7" x14ac:dyDescent="0.3">
      <c r="G6556" s="400" t="s">
        <v>9567</v>
      </c>
    </row>
    <row r="6557" spans="7:7" x14ac:dyDescent="0.3">
      <c r="G6557" s="400" t="s">
        <v>9567</v>
      </c>
    </row>
    <row r="6558" spans="7:7" x14ac:dyDescent="0.3">
      <c r="G6558" s="400" t="s">
        <v>9567</v>
      </c>
    </row>
    <row r="6559" spans="7:7" x14ac:dyDescent="0.3">
      <c r="G6559" s="400" t="s">
        <v>9567</v>
      </c>
    </row>
    <row r="6560" spans="7:7" x14ac:dyDescent="0.3">
      <c r="G6560" s="400" t="s">
        <v>9567</v>
      </c>
    </row>
    <row r="6561" spans="7:7" x14ac:dyDescent="0.3">
      <c r="G6561" s="400" t="s">
        <v>9567</v>
      </c>
    </row>
    <row r="6562" spans="7:7" x14ac:dyDescent="0.3">
      <c r="G6562" s="400" t="s">
        <v>9567</v>
      </c>
    </row>
    <row r="6563" spans="7:7" x14ac:dyDescent="0.3">
      <c r="G6563" s="400" t="s">
        <v>9567</v>
      </c>
    </row>
    <row r="6564" spans="7:7" x14ac:dyDescent="0.3">
      <c r="G6564" s="400" t="s">
        <v>9567</v>
      </c>
    </row>
    <row r="6565" spans="7:7" x14ac:dyDescent="0.3">
      <c r="G6565" s="400" t="s">
        <v>9567</v>
      </c>
    </row>
    <row r="6566" spans="7:7" x14ac:dyDescent="0.3">
      <c r="G6566" s="400" t="s">
        <v>9567</v>
      </c>
    </row>
    <row r="6567" spans="7:7" x14ac:dyDescent="0.3">
      <c r="G6567" s="400" t="s">
        <v>9567</v>
      </c>
    </row>
    <row r="6568" spans="7:7" x14ac:dyDescent="0.3">
      <c r="G6568" s="400" t="s">
        <v>9567</v>
      </c>
    </row>
    <row r="6569" spans="7:7" x14ac:dyDescent="0.3">
      <c r="G6569" s="400" t="s">
        <v>9567</v>
      </c>
    </row>
    <row r="6570" spans="7:7" x14ac:dyDescent="0.3">
      <c r="G6570" s="400" t="s">
        <v>9567</v>
      </c>
    </row>
    <row r="6571" spans="7:7" x14ac:dyDescent="0.3">
      <c r="G6571" s="400" t="s">
        <v>9567</v>
      </c>
    </row>
    <row r="6572" spans="7:7" x14ac:dyDescent="0.3">
      <c r="G6572" s="400" t="s">
        <v>9567</v>
      </c>
    </row>
    <row r="6573" spans="7:7" x14ac:dyDescent="0.3">
      <c r="G6573" s="400" t="s">
        <v>9567</v>
      </c>
    </row>
    <row r="6574" spans="7:7" x14ac:dyDescent="0.3">
      <c r="G6574" s="400" t="s">
        <v>9567</v>
      </c>
    </row>
    <row r="6575" spans="7:7" x14ac:dyDescent="0.3">
      <c r="G6575" s="400" t="s">
        <v>9567</v>
      </c>
    </row>
    <row r="6576" spans="7:7" x14ac:dyDescent="0.3">
      <c r="G6576" s="400" t="s">
        <v>9567</v>
      </c>
    </row>
    <row r="6577" spans="7:7" x14ac:dyDescent="0.3">
      <c r="G6577" s="400" t="s">
        <v>9567</v>
      </c>
    </row>
    <row r="6578" spans="7:7" x14ac:dyDescent="0.3">
      <c r="G6578" s="400" t="s">
        <v>9567</v>
      </c>
    </row>
    <row r="6579" spans="7:7" x14ac:dyDescent="0.3">
      <c r="G6579" s="400" t="s">
        <v>9567</v>
      </c>
    </row>
    <row r="6580" spans="7:7" x14ac:dyDescent="0.3">
      <c r="G6580" s="400" t="s">
        <v>9567</v>
      </c>
    </row>
    <row r="6581" spans="7:7" x14ac:dyDescent="0.3">
      <c r="G6581" s="400" t="s">
        <v>9567</v>
      </c>
    </row>
    <row r="6582" spans="7:7" x14ac:dyDescent="0.3">
      <c r="G6582" s="400" t="s">
        <v>9567</v>
      </c>
    </row>
    <row r="6583" spans="7:7" x14ac:dyDescent="0.3">
      <c r="G6583" s="400" t="s">
        <v>9567</v>
      </c>
    </row>
    <row r="6584" spans="7:7" x14ac:dyDescent="0.3">
      <c r="G6584" s="400" t="s">
        <v>9567</v>
      </c>
    </row>
    <row r="6585" spans="7:7" x14ac:dyDescent="0.3">
      <c r="G6585" s="400" t="s">
        <v>9567</v>
      </c>
    </row>
    <row r="6586" spans="7:7" x14ac:dyDescent="0.3">
      <c r="G6586" s="400" t="s">
        <v>9567</v>
      </c>
    </row>
    <row r="6587" spans="7:7" x14ac:dyDescent="0.3">
      <c r="G6587" s="400" t="s">
        <v>9567</v>
      </c>
    </row>
    <row r="6588" spans="7:7" x14ac:dyDescent="0.3">
      <c r="G6588" s="400" t="s">
        <v>9567</v>
      </c>
    </row>
    <row r="6589" spans="7:7" x14ac:dyDescent="0.3">
      <c r="G6589" s="400" t="s">
        <v>9567</v>
      </c>
    </row>
    <row r="6590" spans="7:7" x14ac:dyDescent="0.3">
      <c r="G6590" s="400" t="s">
        <v>9567</v>
      </c>
    </row>
    <row r="6591" spans="7:7" x14ac:dyDescent="0.3">
      <c r="G6591" s="400" t="s">
        <v>9567</v>
      </c>
    </row>
    <row r="6592" spans="7:7" x14ac:dyDescent="0.3">
      <c r="G6592" s="400" t="s">
        <v>9567</v>
      </c>
    </row>
    <row r="6593" spans="7:7" x14ac:dyDescent="0.3">
      <c r="G6593" s="400" t="s">
        <v>9567</v>
      </c>
    </row>
    <row r="6594" spans="7:7" x14ac:dyDescent="0.3">
      <c r="G6594" s="400" t="s">
        <v>9567</v>
      </c>
    </row>
    <row r="6595" spans="7:7" x14ac:dyDescent="0.3">
      <c r="G6595" s="400" t="s">
        <v>9567</v>
      </c>
    </row>
    <row r="6596" spans="7:7" x14ac:dyDescent="0.3">
      <c r="G6596" s="400" t="s">
        <v>9567</v>
      </c>
    </row>
    <row r="6597" spans="7:7" x14ac:dyDescent="0.3">
      <c r="G6597" s="400" t="s">
        <v>9567</v>
      </c>
    </row>
    <row r="6598" spans="7:7" x14ac:dyDescent="0.3">
      <c r="G6598" s="400" t="s">
        <v>9567</v>
      </c>
    </row>
    <row r="6599" spans="7:7" x14ac:dyDescent="0.3">
      <c r="G6599" s="400" t="s">
        <v>9567</v>
      </c>
    </row>
    <row r="6600" spans="7:7" x14ac:dyDescent="0.3">
      <c r="G6600" s="400" t="s">
        <v>9567</v>
      </c>
    </row>
    <row r="6601" spans="7:7" x14ac:dyDescent="0.3">
      <c r="G6601" s="400" t="s">
        <v>9567</v>
      </c>
    </row>
    <row r="6602" spans="7:7" x14ac:dyDescent="0.3">
      <c r="G6602" s="400" t="s">
        <v>9567</v>
      </c>
    </row>
    <row r="6603" spans="7:7" x14ac:dyDescent="0.3">
      <c r="G6603" s="400" t="s">
        <v>9567</v>
      </c>
    </row>
    <row r="6604" spans="7:7" x14ac:dyDescent="0.3">
      <c r="G6604" s="400" t="s">
        <v>9567</v>
      </c>
    </row>
    <row r="6605" spans="7:7" x14ac:dyDescent="0.3">
      <c r="G6605" s="400" t="s">
        <v>9567</v>
      </c>
    </row>
    <row r="6606" spans="7:7" x14ac:dyDescent="0.3">
      <c r="G6606" s="400" t="s">
        <v>9567</v>
      </c>
    </row>
    <row r="6607" spans="7:7" x14ac:dyDescent="0.3">
      <c r="G6607" s="400" t="s">
        <v>9567</v>
      </c>
    </row>
    <row r="6608" spans="7:7" x14ac:dyDescent="0.3">
      <c r="G6608" s="400" t="s">
        <v>9567</v>
      </c>
    </row>
    <row r="6609" spans="7:7" x14ac:dyDescent="0.3">
      <c r="G6609" s="400" t="s">
        <v>9567</v>
      </c>
    </row>
    <row r="6610" spans="7:7" x14ac:dyDescent="0.3">
      <c r="G6610" s="400" t="s">
        <v>9567</v>
      </c>
    </row>
    <row r="6611" spans="7:7" x14ac:dyDescent="0.3">
      <c r="G6611" s="400" t="s">
        <v>9567</v>
      </c>
    </row>
    <row r="6612" spans="7:7" x14ac:dyDescent="0.3">
      <c r="G6612" s="400" t="s">
        <v>9567</v>
      </c>
    </row>
    <row r="6613" spans="7:7" x14ac:dyDescent="0.3">
      <c r="G6613" s="400" t="s">
        <v>9567</v>
      </c>
    </row>
    <row r="6614" spans="7:7" x14ac:dyDescent="0.3">
      <c r="G6614" s="400" t="s">
        <v>9567</v>
      </c>
    </row>
    <row r="6615" spans="7:7" x14ac:dyDescent="0.3">
      <c r="G6615" s="400" t="s">
        <v>9567</v>
      </c>
    </row>
    <row r="6616" spans="7:7" x14ac:dyDescent="0.3">
      <c r="G6616" s="400" t="s">
        <v>9567</v>
      </c>
    </row>
    <row r="6617" spans="7:7" x14ac:dyDescent="0.3">
      <c r="G6617" s="400" t="s">
        <v>9567</v>
      </c>
    </row>
    <row r="6618" spans="7:7" x14ac:dyDescent="0.3">
      <c r="G6618" s="400" t="s">
        <v>9567</v>
      </c>
    </row>
    <row r="6619" spans="7:7" x14ac:dyDescent="0.3">
      <c r="G6619" s="400" t="s">
        <v>9567</v>
      </c>
    </row>
    <row r="6620" spans="7:7" x14ac:dyDescent="0.3">
      <c r="G6620" s="400" t="s">
        <v>9567</v>
      </c>
    </row>
    <row r="6621" spans="7:7" x14ac:dyDescent="0.3">
      <c r="G6621" s="400" t="s">
        <v>9567</v>
      </c>
    </row>
    <row r="6622" spans="7:7" x14ac:dyDescent="0.3">
      <c r="G6622" s="400" t="s">
        <v>9567</v>
      </c>
    </row>
    <row r="6623" spans="7:7" x14ac:dyDescent="0.3">
      <c r="G6623" s="400" t="s">
        <v>9567</v>
      </c>
    </row>
    <row r="6624" spans="7:7" x14ac:dyDescent="0.3">
      <c r="G6624" s="400" t="s">
        <v>9567</v>
      </c>
    </row>
    <row r="6625" spans="7:7" x14ac:dyDescent="0.3">
      <c r="G6625" s="400" t="s">
        <v>9567</v>
      </c>
    </row>
    <row r="6626" spans="7:7" x14ac:dyDescent="0.3">
      <c r="G6626" s="400" t="s">
        <v>9567</v>
      </c>
    </row>
    <row r="6627" spans="7:7" x14ac:dyDescent="0.3">
      <c r="G6627" s="400" t="s">
        <v>9567</v>
      </c>
    </row>
    <row r="6628" spans="7:7" x14ac:dyDescent="0.3">
      <c r="G6628" s="400" t="s">
        <v>9567</v>
      </c>
    </row>
    <row r="6629" spans="7:7" x14ac:dyDescent="0.3">
      <c r="G6629" s="400" t="s">
        <v>9567</v>
      </c>
    </row>
    <row r="6630" spans="7:7" x14ac:dyDescent="0.3">
      <c r="G6630" s="400" t="s">
        <v>9567</v>
      </c>
    </row>
    <row r="6631" spans="7:7" x14ac:dyDescent="0.3">
      <c r="G6631" s="400" t="s">
        <v>9567</v>
      </c>
    </row>
    <row r="6632" spans="7:7" x14ac:dyDescent="0.3">
      <c r="G6632" s="400" t="s">
        <v>9567</v>
      </c>
    </row>
    <row r="6633" spans="7:7" x14ac:dyDescent="0.3">
      <c r="G6633" s="400" t="s">
        <v>9567</v>
      </c>
    </row>
    <row r="6634" spans="7:7" x14ac:dyDescent="0.3">
      <c r="G6634" s="400" t="s">
        <v>9567</v>
      </c>
    </row>
    <row r="6635" spans="7:7" x14ac:dyDescent="0.3">
      <c r="G6635" s="400" t="s">
        <v>9567</v>
      </c>
    </row>
    <row r="6636" spans="7:7" x14ac:dyDescent="0.3">
      <c r="G6636" s="400" t="s">
        <v>9567</v>
      </c>
    </row>
    <row r="6637" spans="7:7" x14ac:dyDescent="0.3">
      <c r="G6637" s="400" t="s">
        <v>9567</v>
      </c>
    </row>
    <row r="6638" spans="7:7" x14ac:dyDescent="0.3">
      <c r="G6638" s="400" t="s">
        <v>9567</v>
      </c>
    </row>
    <row r="6639" spans="7:7" x14ac:dyDescent="0.3">
      <c r="G6639" s="400" t="s">
        <v>9567</v>
      </c>
    </row>
    <row r="6640" spans="7:7" x14ac:dyDescent="0.3">
      <c r="G6640" s="400" t="s">
        <v>9567</v>
      </c>
    </row>
    <row r="6641" spans="7:7" x14ac:dyDescent="0.3">
      <c r="G6641" s="400" t="s">
        <v>9567</v>
      </c>
    </row>
    <row r="6642" spans="7:7" x14ac:dyDescent="0.3">
      <c r="G6642" s="400" t="s">
        <v>9567</v>
      </c>
    </row>
    <row r="6643" spans="7:7" x14ac:dyDescent="0.3">
      <c r="G6643" s="400" t="s">
        <v>9567</v>
      </c>
    </row>
    <row r="6644" spans="7:7" x14ac:dyDescent="0.3">
      <c r="G6644" s="400" t="s">
        <v>9567</v>
      </c>
    </row>
    <row r="6645" spans="7:7" x14ac:dyDescent="0.3">
      <c r="G6645" s="400" t="s">
        <v>9567</v>
      </c>
    </row>
    <row r="6646" spans="7:7" x14ac:dyDescent="0.3">
      <c r="G6646" s="400" t="s">
        <v>9567</v>
      </c>
    </row>
    <row r="6647" spans="7:7" x14ac:dyDescent="0.3">
      <c r="G6647" s="400" t="s">
        <v>9567</v>
      </c>
    </row>
    <row r="6648" spans="7:7" x14ac:dyDescent="0.3">
      <c r="G6648" s="400" t="s">
        <v>9567</v>
      </c>
    </row>
    <row r="6649" spans="7:7" x14ac:dyDescent="0.3">
      <c r="G6649" s="400" t="s">
        <v>9567</v>
      </c>
    </row>
    <row r="6650" spans="7:7" x14ac:dyDescent="0.3">
      <c r="G6650" s="400" t="s">
        <v>9567</v>
      </c>
    </row>
    <row r="6651" spans="7:7" x14ac:dyDescent="0.3">
      <c r="G6651" s="400" t="s">
        <v>9567</v>
      </c>
    </row>
    <row r="6652" spans="7:7" x14ac:dyDescent="0.3">
      <c r="G6652" s="400" t="s">
        <v>9567</v>
      </c>
    </row>
    <row r="6653" spans="7:7" x14ac:dyDescent="0.3">
      <c r="G6653" s="400" t="s">
        <v>9567</v>
      </c>
    </row>
    <row r="6654" spans="7:7" x14ac:dyDescent="0.3">
      <c r="G6654" s="400" t="s">
        <v>9567</v>
      </c>
    </row>
    <row r="6655" spans="7:7" x14ac:dyDescent="0.3">
      <c r="G6655" s="400" t="s">
        <v>9567</v>
      </c>
    </row>
    <row r="6656" spans="7:7" x14ac:dyDescent="0.3">
      <c r="G6656" s="400" t="s">
        <v>9567</v>
      </c>
    </row>
    <row r="6657" spans="7:7" x14ac:dyDescent="0.3">
      <c r="G6657" s="400" t="s">
        <v>9567</v>
      </c>
    </row>
    <row r="6658" spans="7:7" x14ac:dyDescent="0.3">
      <c r="G6658" s="400" t="s">
        <v>9567</v>
      </c>
    </row>
    <row r="6659" spans="7:7" x14ac:dyDescent="0.3">
      <c r="G6659" s="400" t="s">
        <v>9567</v>
      </c>
    </row>
    <row r="6660" spans="7:7" x14ac:dyDescent="0.3">
      <c r="G6660" s="400" t="s">
        <v>9567</v>
      </c>
    </row>
    <row r="6661" spans="7:7" x14ac:dyDescent="0.3">
      <c r="G6661" s="400" t="s">
        <v>9567</v>
      </c>
    </row>
    <row r="6662" spans="7:7" x14ac:dyDescent="0.3">
      <c r="G6662" s="400" t="s">
        <v>9567</v>
      </c>
    </row>
    <row r="6663" spans="7:7" x14ac:dyDescent="0.3">
      <c r="G6663" s="400" t="s">
        <v>9567</v>
      </c>
    </row>
    <row r="6664" spans="7:7" x14ac:dyDescent="0.3">
      <c r="G6664" s="400" t="s">
        <v>9567</v>
      </c>
    </row>
    <row r="6665" spans="7:7" x14ac:dyDescent="0.3">
      <c r="G6665" s="400" t="s">
        <v>9567</v>
      </c>
    </row>
    <row r="6666" spans="7:7" x14ac:dyDescent="0.3">
      <c r="G6666" s="400" t="s">
        <v>9567</v>
      </c>
    </row>
    <row r="6667" spans="7:7" x14ac:dyDescent="0.3">
      <c r="G6667" s="400" t="s">
        <v>9567</v>
      </c>
    </row>
    <row r="6668" spans="7:7" x14ac:dyDescent="0.3">
      <c r="G6668" s="400" t="s">
        <v>9567</v>
      </c>
    </row>
    <row r="6669" spans="7:7" x14ac:dyDescent="0.3">
      <c r="G6669" s="400" t="s">
        <v>9567</v>
      </c>
    </row>
    <row r="6670" spans="7:7" x14ac:dyDescent="0.3">
      <c r="G6670" s="400" t="s">
        <v>9567</v>
      </c>
    </row>
    <row r="6671" spans="7:7" x14ac:dyDescent="0.3">
      <c r="G6671" s="400" t="s">
        <v>9567</v>
      </c>
    </row>
    <row r="6672" spans="7:7" x14ac:dyDescent="0.3">
      <c r="G6672" s="400" t="s">
        <v>9567</v>
      </c>
    </row>
    <row r="6673" spans="7:7" x14ac:dyDescent="0.3">
      <c r="G6673" s="400" t="s">
        <v>9567</v>
      </c>
    </row>
    <row r="6674" spans="7:7" x14ac:dyDescent="0.3">
      <c r="G6674" s="400" t="s">
        <v>9567</v>
      </c>
    </row>
    <row r="6675" spans="7:7" x14ac:dyDescent="0.3">
      <c r="G6675" s="400" t="s">
        <v>9567</v>
      </c>
    </row>
    <row r="6676" spans="7:7" x14ac:dyDescent="0.3">
      <c r="G6676" s="400" t="s">
        <v>9567</v>
      </c>
    </row>
    <row r="6677" spans="7:7" x14ac:dyDescent="0.3">
      <c r="G6677" s="400" t="s">
        <v>9567</v>
      </c>
    </row>
    <row r="6678" spans="7:7" x14ac:dyDescent="0.3">
      <c r="G6678" s="400" t="s">
        <v>9567</v>
      </c>
    </row>
    <row r="6679" spans="7:7" x14ac:dyDescent="0.3">
      <c r="G6679" s="400" t="s">
        <v>9567</v>
      </c>
    </row>
    <row r="6680" spans="7:7" x14ac:dyDescent="0.3">
      <c r="G6680" s="400" t="s">
        <v>9567</v>
      </c>
    </row>
    <row r="6681" spans="7:7" x14ac:dyDescent="0.3">
      <c r="G6681" s="400" t="s">
        <v>9567</v>
      </c>
    </row>
    <row r="6682" spans="7:7" x14ac:dyDescent="0.3">
      <c r="G6682" s="400" t="s">
        <v>9567</v>
      </c>
    </row>
    <row r="6683" spans="7:7" x14ac:dyDescent="0.3">
      <c r="G6683" s="400" t="s">
        <v>9567</v>
      </c>
    </row>
    <row r="6684" spans="7:7" x14ac:dyDescent="0.3">
      <c r="G6684" s="400" t="s">
        <v>9567</v>
      </c>
    </row>
    <row r="6685" spans="7:7" x14ac:dyDescent="0.3">
      <c r="G6685" s="400" t="s">
        <v>9567</v>
      </c>
    </row>
    <row r="6686" spans="7:7" x14ac:dyDescent="0.3">
      <c r="G6686" s="400" t="s">
        <v>9567</v>
      </c>
    </row>
    <row r="6687" spans="7:7" x14ac:dyDescent="0.3">
      <c r="G6687" s="400" t="s">
        <v>9567</v>
      </c>
    </row>
    <row r="6688" spans="7:7" x14ac:dyDescent="0.3">
      <c r="G6688" s="400" t="s">
        <v>9567</v>
      </c>
    </row>
    <row r="6689" spans="7:7" x14ac:dyDescent="0.3">
      <c r="G6689" s="400" t="s">
        <v>9567</v>
      </c>
    </row>
    <row r="6690" spans="7:7" x14ac:dyDescent="0.3">
      <c r="G6690" s="400" t="s">
        <v>9567</v>
      </c>
    </row>
    <row r="6691" spans="7:7" x14ac:dyDescent="0.3">
      <c r="G6691" s="400" t="s">
        <v>9567</v>
      </c>
    </row>
    <row r="6692" spans="7:7" x14ac:dyDescent="0.3">
      <c r="G6692" s="400" t="s">
        <v>9567</v>
      </c>
    </row>
    <row r="6693" spans="7:7" x14ac:dyDescent="0.3">
      <c r="G6693" s="400" t="s">
        <v>9567</v>
      </c>
    </row>
    <row r="6694" spans="7:7" x14ac:dyDescent="0.3">
      <c r="G6694" s="400" t="s">
        <v>9567</v>
      </c>
    </row>
    <row r="6695" spans="7:7" x14ac:dyDescent="0.3">
      <c r="G6695" s="400" t="s">
        <v>9567</v>
      </c>
    </row>
    <row r="6696" spans="7:7" x14ac:dyDescent="0.3">
      <c r="G6696" s="400" t="s">
        <v>9567</v>
      </c>
    </row>
    <row r="6697" spans="7:7" x14ac:dyDescent="0.3">
      <c r="G6697" s="400" t="s">
        <v>9567</v>
      </c>
    </row>
    <row r="6698" spans="7:7" x14ac:dyDescent="0.3">
      <c r="G6698" s="400" t="s">
        <v>9567</v>
      </c>
    </row>
    <row r="6699" spans="7:7" x14ac:dyDescent="0.3">
      <c r="G6699" s="400" t="s">
        <v>9567</v>
      </c>
    </row>
    <row r="6700" spans="7:7" x14ac:dyDescent="0.3">
      <c r="G6700" s="400" t="s">
        <v>9567</v>
      </c>
    </row>
    <row r="6701" spans="7:7" x14ac:dyDescent="0.3">
      <c r="G6701" s="400" t="s">
        <v>9567</v>
      </c>
    </row>
    <row r="6702" spans="7:7" x14ac:dyDescent="0.3">
      <c r="G6702" s="400" t="s">
        <v>9567</v>
      </c>
    </row>
    <row r="6703" spans="7:7" x14ac:dyDescent="0.3">
      <c r="G6703" s="400" t="s">
        <v>9567</v>
      </c>
    </row>
    <row r="6704" spans="7:7" x14ac:dyDescent="0.3">
      <c r="G6704" s="400" t="s">
        <v>9567</v>
      </c>
    </row>
    <row r="6705" spans="7:7" x14ac:dyDescent="0.3">
      <c r="G6705" s="400" t="s">
        <v>9567</v>
      </c>
    </row>
    <row r="6706" spans="7:7" x14ac:dyDescent="0.3">
      <c r="G6706" s="400" t="s">
        <v>9567</v>
      </c>
    </row>
    <row r="6707" spans="7:7" x14ac:dyDescent="0.3">
      <c r="G6707" s="400" t="s">
        <v>9567</v>
      </c>
    </row>
    <row r="6708" spans="7:7" x14ac:dyDescent="0.3">
      <c r="G6708" s="400" t="s">
        <v>9567</v>
      </c>
    </row>
    <row r="6709" spans="7:7" x14ac:dyDescent="0.3">
      <c r="G6709" s="400" t="s">
        <v>9567</v>
      </c>
    </row>
    <row r="6710" spans="7:7" x14ac:dyDescent="0.3">
      <c r="G6710" s="400" t="s">
        <v>9567</v>
      </c>
    </row>
    <row r="6711" spans="7:7" x14ac:dyDescent="0.3">
      <c r="G6711" s="400" t="s">
        <v>9567</v>
      </c>
    </row>
    <row r="6712" spans="7:7" x14ac:dyDescent="0.3">
      <c r="G6712" s="400" t="s">
        <v>9567</v>
      </c>
    </row>
    <row r="6713" spans="7:7" x14ac:dyDescent="0.3">
      <c r="G6713" s="400" t="s">
        <v>9567</v>
      </c>
    </row>
    <row r="6714" spans="7:7" x14ac:dyDescent="0.3">
      <c r="G6714" s="400" t="s">
        <v>9567</v>
      </c>
    </row>
    <row r="6715" spans="7:7" x14ac:dyDescent="0.3">
      <c r="G6715" s="400" t="s">
        <v>9567</v>
      </c>
    </row>
    <row r="6716" spans="7:7" x14ac:dyDescent="0.3">
      <c r="G6716" s="400" t="s">
        <v>9567</v>
      </c>
    </row>
    <row r="6717" spans="7:7" x14ac:dyDescent="0.3">
      <c r="G6717" s="400" t="s">
        <v>9567</v>
      </c>
    </row>
    <row r="6718" spans="7:7" x14ac:dyDescent="0.3">
      <c r="G6718" s="400" t="s">
        <v>9567</v>
      </c>
    </row>
    <row r="6719" spans="7:7" x14ac:dyDescent="0.3">
      <c r="G6719" s="400" t="s">
        <v>9567</v>
      </c>
    </row>
    <row r="6720" spans="7:7" x14ac:dyDescent="0.3">
      <c r="G6720" s="400" t="s">
        <v>9567</v>
      </c>
    </row>
    <row r="6721" spans="7:7" x14ac:dyDescent="0.3">
      <c r="G6721" s="400" t="s">
        <v>9567</v>
      </c>
    </row>
    <row r="6722" spans="7:7" x14ac:dyDescent="0.3">
      <c r="G6722" s="400" t="s">
        <v>9567</v>
      </c>
    </row>
    <row r="6723" spans="7:7" x14ac:dyDescent="0.3">
      <c r="G6723" s="400" t="s">
        <v>9567</v>
      </c>
    </row>
    <row r="6724" spans="7:7" x14ac:dyDescent="0.3">
      <c r="G6724" s="400" t="s">
        <v>9567</v>
      </c>
    </row>
    <row r="6725" spans="7:7" x14ac:dyDescent="0.3">
      <c r="G6725" s="400" t="s">
        <v>9567</v>
      </c>
    </row>
    <row r="6726" spans="7:7" x14ac:dyDescent="0.3">
      <c r="G6726" s="400" t="s">
        <v>9567</v>
      </c>
    </row>
    <row r="6727" spans="7:7" x14ac:dyDescent="0.3">
      <c r="G6727" s="400" t="s">
        <v>9567</v>
      </c>
    </row>
    <row r="6728" spans="7:7" x14ac:dyDescent="0.3">
      <c r="G6728" s="400" t="s">
        <v>9567</v>
      </c>
    </row>
    <row r="6729" spans="7:7" x14ac:dyDescent="0.3">
      <c r="G6729" s="400" t="s">
        <v>9567</v>
      </c>
    </row>
    <row r="6730" spans="7:7" x14ac:dyDescent="0.3">
      <c r="G6730" s="400" t="s">
        <v>9567</v>
      </c>
    </row>
    <row r="6731" spans="7:7" x14ac:dyDescent="0.3">
      <c r="G6731" s="400" t="s">
        <v>9567</v>
      </c>
    </row>
    <row r="6732" spans="7:7" x14ac:dyDescent="0.3">
      <c r="G6732" s="400" t="s">
        <v>9567</v>
      </c>
    </row>
    <row r="6733" spans="7:7" x14ac:dyDescent="0.3">
      <c r="G6733" s="400" t="s">
        <v>9567</v>
      </c>
    </row>
    <row r="6734" spans="7:7" x14ac:dyDescent="0.3">
      <c r="G6734" s="400" t="s">
        <v>9567</v>
      </c>
    </row>
    <row r="6735" spans="7:7" x14ac:dyDescent="0.3">
      <c r="G6735" s="400" t="s">
        <v>9567</v>
      </c>
    </row>
    <row r="6736" spans="7:7" x14ac:dyDescent="0.3">
      <c r="G6736" s="400" t="s">
        <v>9567</v>
      </c>
    </row>
    <row r="6737" spans="7:7" x14ac:dyDescent="0.3">
      <c r="G6737" s="400" t="s">
        <v>9567</v>
      </c>
    </row>
    <row r="6738" spans="7:7" x14ac:dyDescent="0.3">
      <c r="G6738" s="400" t="s">
        <v>9567</v>
      </c>
    </row>
    <row r="6739" spans="7:7" x14ac:dyDescent="0.3">
      <c r="G6739" s="400" t="s">
        <v>9567</v>
      </c>
    </row>
    <row r="6740" spans="7:7" x14ac:dyDescent="0.3">
      <c r="G6740" s="400" t="s">
        <v>9567</v>
      </c>
    </row>
    <row r="6741" spans="7:7" x14ac:dyDescent="0.3">
      <c r="G6741" s="400" t="s">
        <v>9567</v>
      </c>
    </row>
    <row r="6742" spans="7:7" x14ac:dyDescent="0.3">
      <c r="G6742" s="400" t="s">
        <v>9567</v>
      </c>
    </row>
    <row r="6743" spans="7:7" x14ac:dyDescent="0.3">
      <c r="G6743" s="400" t="s">
        <v>9567</v>
      </c>
    </row>
    <row r="6744" spans="7:7" x14ac:dyDescent="0.3">
      <c r="G6744" s="400" t="s">
        <v>9567</v>
      </c>
    </row>
    <row r="6745" spans="7:7" x14ac:dyDescent="0.3">
      <c r="G6745" s="400" t="s">
        <v>9567</v>
      </c>
    </row>
    <row r="6746" spans="7:7" x14ac:dyDescent="0.3">
      <c r="G6746" s="400" t="s">
        <v>9567</v>
      </c>
    </row>
    <row r="6747" spans="7:7" x14ac:dyDescent="0.3">
      <c r="G6747" s="400" t="s">
        <v>9567</v>
      </c>
    </row>
    <row r="6748" spans="7:7" x14ac:dyDescent="0.3">
      <c r="G6748" s="400" t="s">
        <v>9567</v>
      </c>
    </row>
    <row r="6749" spans="7:7" x14ac:dyDescent="0.3">
      <c r="G6749" s="400" t="s">
        <v>9567</v>
      </c>
    </row>
    <row r="6750" spans="7:7" x14ac:dyDescent="0.3">
      <c r="G6750" s="400" t="s">
        <v>9567</v>
      </c>
    </row>
    <row r="6751" spans="7:7" x14ac:dyDescent="0.3">
      <c r="G6751" s="400" t="s">
        <v>9567</v>
      </c>
    </row>
    <row r="6752" spans="7:7" x14ac:dyDescent="0.3">
      <c r="G6752" s="400" t="s">
        <v>9567</v>
      </c>
    </row>
    <row r="6753" spans="7:7" x14ac:dyDescent="0.3">
      <c r="G6753" s="400" t="s">
        <v>9567</v>
      </c>
    </row>
    <row r="6754" spans="7:7" x14ac:dyDescent="0.3">
      <c r="G6754" s="400" t="s">
        <v>9567</v>
      </c>
    </row>
    <row r="6755" spans="7:7" x14ac:dyDescent="0.3">
      <c r="G6755" s="400" t="s">
        <v>9567</v>
      </c>
    </row>
    <row r="6756" spans="7:7" x14ac:dyDescent="0.3">
      <c r="G6756" s="400" t="s">
        <v>9567</v>
      </c>
    </row>
    <row r="6757" spans="7:7" x14ac:dyDescent="0.3">
      <c r="G6757" s="400" t="s">
        <v>9567</v>
      </c>
    </row>
    <row r="6758" spans="7:7" x14ac:dyDescent="0.3">
      <c r="G6758" s="400" t="s">
        <v>9567</v>
      </c>
    </row>
    <row r="6759" spans="7:7" x14ac:dyDescent="0.3">
      <c r="G6759" s="400" t="s">
        <v>9567</v>
      </c>
    </row>
    <row r="6760" spans="7:7" x14ac:dyDescent="0.3">
      <c r="G6760" s="400" t="s">
        <v>9567</v>
      </c>
    </row>
    <row r="6761" spans="7:7" x14ac:dyDescent="0.3">
      <c r="G6761" s="400" t="s">
        <v>9567</v>
      </c>
    </row>
    <row r="6762" spans="7:7" x14ac:dyDescent="0.3">
      <c r="G6762" s="400" t="s">
        <v>9567</v>
      </c>
    </row>
    <row r="6763" spans="7:7" x14ac:dyDescent="0.3">
      <c r="G6763" s="400" t="s">
        <v>9567</v>
      </c>
    </row>
    <row r="6764" spans="7:7" x14ac:dyDescent="0.3">
      <c r="G6764" s="400" t="s">
        <v>9567</v>
      </c>
    </row>
    <row r="6765" spans="7:7" x14ac:dyDescent="0.3">
      <c r="G6765" s="400" t="s">
        <v>9567</v>
      </c>
    </row>
    <row r="6766" spans="7:7" x14ac:dyDescent="0.3">
      <c r="G6766" s="400" t="s">
        <v>9567</v>
      </c>
    </row>
    <row r="6767" spans="7:7" x14ac:dyDescent="0.3">
      <c r="G6767" s="400" t="s">
        <v>9567</v>
      </c>
    </row>
    <row r="6768" spans="7:7" x14ac:dyDescent="0.3">
      <c r="G6768" s="400" t="s">
        <v>9567</v>
      </c>
    </row>
    <row r="6769" spans="7:7" x14ac:dyDescent="0.3">
      <c r="G6769" s="400" t="s">
        <v>9567</v>
      </c>
    </row>
    <row r="6770" spans="7:7" x14ac:dyDescent="0.3">
      <c r="G6770" s="400" t="s">
        <v>9567</v>
      </c>
    </row>
    <row r="6771" spans="7:7" x14ac:dyDescent="0.3">
      <c r="G6771" s="400" t="s">
        <v>9567</v>
      </c>
    </row>
    <row r="6772" spans="7:7" x14ac:dyDescent="0.3">
      <c r="G6772" s="400" t="s">
        <v>9567</v>
      </c>
    </row>
    <row r="6773" spans="7:7" x14ac:dyDescent="0.3">
      <c r="G6773" s="400" t="s">
        <v>9567</v>
      </c>
    </row>
    <row r="6774" spans="7:7" x14ac:dyDescent="0.3">
      <c r="G6774" s="400" t="s">
        <v>9567</v>
      </c>
    </row>
    <row r="6775" spans="7:7" x14ac:dyDescent="0.3">
      <c r="G6775" s="400" t="s">
        <v>9567</v>
      </c>
    </row>
    <row r="6776" spans="7:7" x14ac:dyDescent="0.3">
      <c r="G6776" s="400" t="s">
        <v>9567</v>
      </c>
    </row>
    <row r="6777" spans="7:7" x14ac:dyDescent="0.3">
      <c r="G6777" s="400" t="s">
        <v>9567</v>
      </c>
    </row>
    <row r="6778" spans="7:7" x14ac:dyDescent="0.3">
      <c r="G6778" s="400" t="s">
        <v>9567</v>
      </c>
    </row>
    <row r="6779" spans="7:7" x14ac:dyDescent="0.3">
      <c r="G6779" s="400" t="s">
        <v>9567</v>
      </c>
    </row>
    <row r="6780" spans="7:7" x14ac:dyDescent="0.3">
      <c r="G6780" s="400" t="s">
        <v>9567</v>
      </c>
    </row>
    <row r="6781" spans="7:7" x14ac:dyDescent="0.3">
      <c r="G6781" s="400" t="s">
        <v>9567</v>
      </c>
    </row>
    <row r="6782" spans="7:7" x14ac:dyDescent="0.3">
      <c r="G6782" s="400" t="s">
        <v>9567</v>
      </c>
    </row>
    <row r="6783" spans="7:7" x14ac:dyDescent="0.3">
      <c r="G6783" s="400" t="s">
        <v>9567</v>
      </c>
    </row>
    <row r="6784" spans="7:7" x14ac:dyDescent="0.3">
      <c r="G6784" s="400" t="s">
        <v>9567</v>
      </c>
    </row>
    <row r="6785" spans="7:7" x14ac:dyDescent="0.3">
      <c r="G6785" s="400" t="s">
        <v>9567</v>
      </c>
    </row>
    <row r="6786" spans="7:7" x14ac:dyDescent="0.3">
      <c r="G6786" s="400" t="s">
        <v>9567</v>
      </c>
    </row>
    <row r="6787" spans="7:7" x14ac:dyDescent="0.3">
      <c r="G6787" s="400" t="s">
        <v>9567</v>
      </c>
    </row>
    <row r="6788" spans="7:7" x14ac:dyDescent="0.3">
      <c r="G6788" s="400" t="s">
        <v>9567</v>
      </c>
    </row>
    <row r="6789" spans="7:7" x14ac:dyDescent="0.3">
      <c r="G6789" s="400" t="s">
        <v>9567</v>
      </c>
    </row>
    <row r="6790" spans="7:7" x14ac:dyDescent="0.3">
      <c r="G6790" s="400" t="s">
        <v>9567</v>
      </c>
    </row>
    <row r="6791" spans="7:7" x14ac:dyDescent="0.3">
      <c r="G6791" s="400" t="s">
        <v>9567</v>
      </c>
    </row>
    <row r="6792" spans="7:7" x14ac:dyDescent="0.3">
      <c r="G6792" s="400" t="s">
        <v>9567</v>
      </c>
    </row>
    <row r="6793" spans="7:7" x14ac:dyDescent="0.3">
      <c r="G6793" s="400" t="s">
        <v>9567</v>
      </c>
    </row>
    <row r="6794" spans="7:7" x14ac:dyDescent="0.3">
      <c r="G6794" s="400" t="s">
        <v>9567</v>
      </c>
    </row>
    <row r="6795" spans="7:7" x14ac:dyDescent="0.3">
      <c r="G6795" s="400" t="s">
        <v>9567</v>
      </c>
    </row>
    <row r="6796" spans="7:7" x14ac:dyDescent="0.3">
      <c r="G6796" s="400" t="s">
        <v>9567</v>
      </c>
    </row>
    <row r="6797" spans="7:7" x14ac:dyDescent="0.3">
      <c r="G6797" s="400" t="s">
        <v>9567</v>
      </c>
    </row>
    <row r="6798" spans="7:7" x14ac:dyDescent="0.3">
      <c r="G6798" s="400" t="s">
        <v>9567</v>
      </c>
    </row>
    <row r="6799" spans="7:7" x14ac:dyDescent="0.3">
      <c r="G6799" s="400" t="s">
        <v>9567</v>
      </c>
    </row>
    <row r="6800" spans="7:7" x14ac:dyDescent="0.3">
      <c r="G6800" s="400" t="s">
        <v>9567</v>
      </c>
    </row>
    <row r="6801" spans="7:7" x14ac:dyDescent="0.3">
      <c r="G6801" s="400" t="s">
        <v>9567</v>
      </c>
    </row>
    <row r="6802" spans="7:7" x14ac:dyDescent="0.3">
      <c r="G6802" s="400" t="s">
        <v>9567</v>
      </c>
    </row>
    <row r="6803" spans="7:7" x14ac:dyDescent="0.3">
      <c r="G6803" s="400" t="s">
        <v>9567</v>
      </c>
    </row>
    <row r="6804" spans="7:7" x14ac:dyDescent="0.3">
      <c r="G6804" s="400" t="s">
        <v>9567</v>
      </c>
    </row>
    <row r="6805" spans="7:7" x14ac:dyDescent="0.3">
      <c r="G6805" s="400" t="s">
        <v>9567</v>
      </c>
    </row>
    <row r="6806" spans="7:7" x14ac:dyDescent="0.3">
      <c r="G6806" s="400" t="s">
        <v>9567</v>
      </c>
    </row>
    <row r="6807" spans="7:7" x14ac:dyDescent="0.3">
      <c r="G6807" s="400" t="s">
        <v>9567</v>
      </c>
    </row>
    <row r="6808" spans="7:7" x14ac:dyDescent="0.3">
      <c r="G6808" s="400" t="s">
        <v>9567</v>
      </c>
    </row>
    <row r="6809" spans="7:7" x14ac:dyDescent="0.3">
      <c r="G6809" s="400" t="s">
        <v>9567</v>
      </c>
    </row>
    <row r="6810" spans="7:7" x14ac:dyDescent="0.3">
      <c r="G6810" s="400" t="s">
        <v>9567</v>
      </c>
    </row>
    <row r="6811" spans="7:7" x14ac:dyDescent="0.3">
      <c r="G6811" s="400" t="s">
        <v>9567</v>
      </c>
    </row>
    <row r="6812" spans="7:7" x14ac:dyDescent="0.3">
      <c r="G6812" s="400" t="s">
        <v>9567</v>
      </c>
    </row>
    <row r="6813" spans="7:7" x14ac:dyDescent="0.3">
      <c r="G6813" s="400" t="s">
        <v>9567</v>
      </c>
    </row>
    <row r="6814" spans="7:7" x14ac:dyDescent="0.3">
      <c r="G6814" s="400" t="s">
        <v>9567</v>
      </c>
    </row>
    <row r="6815" spans="7:7" x14ac:dyDescent="0.3">
      <c r="G6815" s="400" t="s">
        <v>9567</v>
      </c>
    </row>
    <row r="6816" spans="7:7" x14ac:dyDescent="0.3">
      <c r="G6816" s="400" t="s">
        <v>9567</v>
      </c>
    </row>
    <row r="6817" spans="7:7" x14ac:dyDescent="0.3">
      <c r="G6817" s="400" t="s">
        <v>9567</v>
      </c>
    </row>
    <row r="6818" spans="7:7" x14ac:dyDescent="0.3">
      <c r="G6818" s="400" t="s">
        <v>9567</v>
      </c>
    </row>
    <row r="6819" spans="7:7" x14ac:dyDescent="0.3">
      <c r="G6819" s="400" t="s">
        <v>9567</v>
      </c>
    </row>
    <row r="6820" spans="7:7" x14ac:dyDescent="0.3">
      <c r="G6820" s="400" t="s">
        <v>9567</v>
      </c>
    </row>
    <row r="6821" spans="7:7" x14ac:dyDescent="0.3">
      <c r="G6821" s="400" t="s">
        <v>9567</v>
      </c>
    </row>
    <row r="6822" spans="7:7" x14ac:dyDescent="0.3">
      <c r="G6822" s="400" t="s">
        <v>9567</v>
      </c>
    </row>
    <row r="6823" spans="7:7" x14ac:dyDescent="0.3">
      <c r="G6823" s="400" t="s">
        <v>9567</v>
      </c>
    </row>
    <row r="6824" spans="7:7" x14ac:dyDescent="0.3">
      <c r="G6824" s="400" t="s">
        <v>9567</v>
      </c>
    </row>
    <row r="6825" spans="7:7" x14ac:dyDescent="0.3">
      <c r="G6825" s="400" t="s">
        <v>9567</v>
      </c>
    </row>
    <row r="6826" spans="7:7" x14ac:dyDescent="0.3">
      <c r="G6826" s="400" t="s">
        <v>9567</v>
      </c>
    </row>
    <row r="6827" spans="7:7" x14ac:dyDescent="0.3">
      <c r="G6827" s="400" t="s">
        <v>9567</v>
      </c>
    </row>
    <row r="6828" spans="7:7" x14ac:dyDescent="0.3">
      <c r="G6828" s="400" t="s">
        <v>9567</v>
      </c>
    </row>
    <row r="6829" spans="7:7" x14ac:dyDescent="0.3">
      <c r="G6829" s="400" t="s">
        <v>9567</v>
      </c>
    </row>
    <row r="6830" spans="7:7" x14ac:dyDescent="0.3">
      <c r="G6830" s="400" t="s">
        <v>9567</v>
      </c>
    </row>
    <row r="6831" spans="7:7" x14ac:dyDescent="0.3">
      <c r="G6831" s="400" t="s">
        <v>9567</v>
      </c>
    </row>
    <row r="6832" spans="7:7" x14ac:dyDescent="0.3">
      <c r="G6832" s="400" t="s">
        <v>9567</v>
      </c>
    </row>
    <row r="6833" spans="7:7" x14ac:dyDescent="0.3">
      <c r="G6833" s="400" t="s">
        <v>9567</v>
      </c>
    </row>
    <row r="6834" spans="7:7" x14ac:dyDescent="0.3">
      <c r="G6834" s="400" t="s">
        <v>9567</v>
      </c>
    </row>
    <row r="6835" spans="7:7" x14ac:dyDescent="0.3">
      <c r="G6835" s="400" t="s">
        <v>9567</v>
      </c>
    </row>
    <row r="6836" spans="7:7" x14ac:dyDescent="0.3">
      <c r="G6836" s="400" t="s">
        <v>9567</v>
      </c>
    </row>
    <row r="6837" spans="7:7" x14ac:dyDescent="0.3">
      <c r="G6837" s="400" t="s">
        <v>9567</v>
      </c>
    </row>
    <row r="6838" spans="7:7" x14ac:dyDescent="0.3">
      <c r="G6838" s="400" t="s">
        <v>9567</v>
      </c>
    </row>
    <row r="6839" spans="7:7" x14ac:dyDescent="0.3">
      <c r="G6839" s="400" t="s">
        <v>9567</v>
      </c>
    </row>
    <row r="6840" spans="7:7" x14ac:dyDescent="0.3">
      <c r="G6840" s="400" t="s">
        <v>9567</v>
      </c>
    </row>
    <row r="6841" spans="7:7" x14ac:dyDescent="0.3">
      <c r="G6841" s="400" t="s">
        <v>9567</v>
      </c>
    </row>
    <row r="6842" spans="7:7" x14ac:dyDescent="0.3">
      <c r="G6842" s="400" t="s">
        <v>9567</v>
      </c>
    </row>
    <row r="6843" spans="7:7" x14ac:dyDescent="0.3">
      <c r="G6843" s="400" t="s">
        <v>9567</v>
      </c>
    </row>
    <row r="6844" spans="7:7" x14ac:dyDescent="0.3">
      <c r="G6844" s="400" t="s">
        <v>9567</v>
      </c>
    </row>
    <row r="6845" spans="7:7" x14ac:dyDescent="0.3">
      <c r="G6845" s="400" t="s">
        <v>9567</v>
      </c>
    </row>
    <row r="6846" spans="7:7" x14ac:dyDescent="0.3">
      <c r="G6846" s="400" t="s">
        <v>9567</v>
      </c>
    </row>
    <row r="6847" spans="7:7" x14ac:dyDescent="0.3">
      <c r="G6847" s="400" t="s">
        <v>9567</v>
      </c>
    </row>
    <row r="6848" spans="7:7" x14ac:dyDescent="0.3">
      <c r="G6848" s="400" t="s">
        <v>9567</v>
      </c>
    </row>
    <row r="6849" spans="7:7" x14ac:dyDescent="0.3">
      <c r="G6849" s="400" t="s">
        <v>9567</v>
      </c>
    </row>
    <row r="6850" spans="7:7" x14ac:dyDescent="0.3">
      <c r="G6850" s="400" t="s">
        <v>9567</v>
      </c>
    </row>
    <row r="6851" spans="7:7" x14ac:dyDescent="0.3">
      <c r="G6851" s="400" t="s">
        <v>9567</v>
      </c>
    </row>
    <row r="6852" spans="7:7" x14ac:dyDescent="0.3">
      <c r="G6852" s="400" t="s">
        <v>9567</v>
      </c>
    </row>
    <row r="6853" spans="7:7" x14ac:dyDescent="0.3">
      <c r="G6853" s="400" t="s">
        <v>9567</v>
      </c>
    </row>
    <row r="6854" spans="7:7" x14ac:dyDescent="0.3">
      <c r="G6854" s="400" t="s">
        <v>9567</v>
      </c>
    </row>
    <row r="6855" spans="7:7" x14ac:dyDescent="0.3">
      <c r="G6855" s="400" t="s">
        <v>9567</v>
      </c>
    </row>
    <row r="6856" spans="7:7" x14ac:dyDescent="0.3">
      <c r="G6856" s="400" t="s">
        <v>9567</v>
      </c>
    </row>
    <row r="6857" spans="7:7" x14ac:dyDescent="0.3">
      <c r="G6857" s="400" t="s">
        <v>9567</v>
      </c>
    </row>
    <row r="6858" spans="7:7" x14ac:dyDescent="0.3">
      <c r="G6858" s="400" t="s">
        <v>9567</v>
      </c>
    </row>
    <row r="6859" spans="7:7" x14ac:dyDescent="0.3">
      <c r="G6859" s="400" t="s">
        <v>9567</v>
      </c>
    </row>
    <row r="6860" spans="7:7" x14ac:dyDescent="0.3">
      <c r="G6860" s="400" t="s">
        <v>9567</v>
      </c>
    </row>
    <row r="6861" spans="7:7" x14ac:dyDescent="0.3">
      <c r="G6861" s="400" t="s">
        <v>9567</v>
      </c>
    </row>
    <row r="6862" spans="7:7" x14ac:dyDescent="0.3">
      <c r="G6862" s="400" t="s">
        <v>9567</v>
      </c>
    </row>
    <row r="6863" spans="7:7" x14ac:dyDescent="0.3">
      <c r="G6863" s="400" t="s">
        <v>9567</v>
      </c>
    </row>
    <row r="6864" spans="7:7" x14ac:dyDescent="0.3">
      <c r="G6864" s="400" t="s">
        <v>9567</v>
      </c>
    </row>
    <row r="6865" spans="7:7" x14ac:dyDescent="0.3">
      <c r="G6865" s="400" t="s">
        <v>9567</v>
      </c>
    </row>
    <row r="6866" spans="7:7" x14ac:dyDescent="0.3">
      <c r="G6866" s="400" t="s">
        <v>9567</v>
      </c>
    </row>
    <row r="6867" spans="7:7" x14ac:dyDescent="0.3">
      <c r="G6867" s="400" t="s">
        <v>9567</v>
      </c>
    </row>
    <row r="6868" spans="7:7" x14ac:dyDescent="0.3">
      <c r="G6868" s="400" t="s">
        <v>9567</v>
      </c>
    </row>
    <row r="6869" spans="7:7" x14ac:dyDescent="0.3">
      <c r="G6869" s="400" t="s">
        <v>9567</v>
      </c>
    </row>
    <row r="6870" spans="7:7" x14ac:dyDescent="0.3">
      <c r="G6870" s="400" t="s">
        <v>9567</v>
      </c>
    </row>
    <row r="6871" spans="7:7" x14ac:dyDescent="0.3">
      <c r="G6871" s="400" t="s">
        <v>9567</v>
      </c>
    </row>
    <row r="6872" spans="7:7" x14ac:dyDescent="0.3">
      <c r="G6872" s="400" t="s">
        <v>9567</v>
      </c>
    </row>
    <row r="6873" spans="7:7" x14ac:dyDescent="0.3">
      <c r="G6873" s="400" t="s">
        <v>9567</v>
      </c>
    </row>
    <row r="6874" spans="7:7" x14ac:dyDescent="0.3">
      <c r="G6874" s="400" t="s">
        <v>9567</v>
      </c>
    </row>
    <row r="6875" spans="7:7" x14ac:dyDescent="0.3">
      <c r="G6875" s="400" t="s">
        <v>9567</v>
      </c>
    </row>
    <row r="6876" spans="7:7" x14ac:dyDescent="0.3">
      <c r="G6876" s="400" t="s">
        <v>9567</v>
      </c>
    </row>
    <row r="6877" spans="7:7" x14ac:dyDescent="0.3">
      <c r="G6877" s="400" t="s">
        <v>9567</v>
      </c>
    </row>
    <row r="6878" spans="7:7" x14ac:dyDescent="0.3">
      <c r="G6878" s="400" t="s">
        <v>9567</v>
      </c>
    </row>
    <row r="6879" spans="7:7" x14ac:dyDescent="0.3">
      <c r="G6879" s="400" t="s">
        <v>9567</v>
      </c>
    </row>
    <row r="6880" spans="7:7" x14ac:dyDescent="0.3">
      <c r="G6880" s="400" t="s">
        <v>9567</v>
      </c>
    </row>
    <row r="6881" spans="7:7" x14ac:dyDescent="0.3">
      <c r="G6881" s="400" t="s">
        <v>9567</v>
      </c>
    </row>
    <row r="6882" spans="7:7" x14ac:dyDescent="0.3">
      <c r="G6882" s="400" t="s">
        <v>9567</v>
      </c>
    </row>
    <row r="6883" spans="7:7" x14ac:dyDescent="0.3">
      <c r="G6883" s="400" t="s">
        <v>9567</v>
      </c>
    </row>
    <row r="6884" spans="7:7" x14ac:dyDescent="0.3">
      <c r="G6884" s="400" t="s">
        <v>9567</v>
      </c>
    </row>
    <row r="6885" spans="7:7" x14ac:dyDescent="0.3">
      <c r="G6885" s="400" t="s">
        <v>9567</v>
      </c>
    </row>
    <row r="6886" spans="7:7" x14ac:dyDescent="0.3">
      <c r="G6886" s="400" t="s">
        <v>9567</v>
      </c>
    </row>
    <row r="6887" spans="7:7" x14ac:dyDescent="0.3">
      <c r="G6887" s="400" t="s">
        <v>9567</v>
      </c>
    </row>
    <row r="6888" spans="7:7" x14ac:dyDescent="0.3">
      <c r="G6888" s="400" t="s">
        <v>9567</v>
      </c>
    </row>
    <row r="6889" spans="7:7" x14ac:dyDescent="0.3">
      <c r="G6889" s="400" t="s">
        <v>9567</v>
      </c>
    </row>
    <row r="6890" spans="7:7" x14ac:dyDescent="0.3">
      <c r="G6890" s="400" t="s">
        <v>9567</v>
      </c>
    </row>
    <row r="6891" spans="7:7" x14ac:dyDescent="0.3">
      <c r="G6891" s="400" t="s">
        <v>9567</v>
      </c>
    </row>
    <row r="6892" spans="7:7" x14ac:dyDescent="0.3">
      <c r="G6892" s="400" t="s">
        <v>9567</v>
      </c>
    </row>
    <row r="6893" spans="7:7" x14ac:dyDescent="0.3">
      <c r="G6893" s="400" t="s">
        <v>9567</v>
      </c>
    </row>
    <row r="6894" spans="7:7" x14ac:dyDescent="0.3">
      <c r="G6894" s="400" t="s">
        <v>9567</v>
      </c>
    </row>
    <row r="6895" spans="7:7" x14ac:dyDescent="0.3">
      <c r="G6895" s="400" t="s">
        <v>9567</v>
      </c>
    </row>
    <row r="6896" spans="7:7" x14ac:dyDescent="0.3">
      <c r="G6896" s="400" t="s">
        <v>9567</v>
      </c>
    </row>
    <row r="6897" spans="7:7" x14ac:dyDescent="0.3">
      <c r="G6897" s="400" t="s">
        <v>9567</v>
      </c>
    </row>
    <row r="6898" spans="7:7" x14ac:dyDescent="0.3">
      <c r="G6898" s="400" t="s">
        <v>9567</v>
      </c>
    </row>
    <row r="6899" spans="7:7" x14ac:dyDescent="0.3">
      <c r="G6899" s="400" t="s">
        <v>9567</v>
      </c>
    </row>
    <row r="6900" spans="7:7" x14ac:dyDescent="0.3">
      <c r="G6900" s="400" t="s">
        <v>9567</v>
      </c>
    </row>
    <row r="6901" spans="7:7" x14ac:dyDescent="0.3">
      <c r="G6901" s="400" t="s">
        <v>9567</v>
      </c>
    </row>
    <row r="6902" spans="7:7" x14ac:dyDescent="0.3">
      <c r="G6902" s="400" t="s">
        <v>9567</v>
      </c>
    </row>
    <row r="6903" spans="7:7" x14ac:dyDescent="0.3">
      <c r="G6903" s="400" t="s">
        <v>9567</v>
      </c>
    </row>
    <row r="6904" spans="7:7" x14ac:dyDescent="0.3">
      <c r="G6904" s="400" t="s">
        <v>9567</v>
      </c>
    </row>
    <row r="6905" spans="7:7" x14ac:dyDescent="0.3">
      <c r="G6905" s="400" t="s">
        <v>9567</v>
      </c>
    </row>
    <row r="6906" spans="7:7" x14ac:dyDescent="0.3">
      <c r="G6906" s="400" t="s">
        <v>9567</v>
      </c>
    </row>
    <row r="6907" spans="7:7" x14ac:dyDescent="0.3">
      <c r="G6907" s="400" t="s">
        <v>9567</v>
      </c>
    </row>
    <row r="6908" spans="7:7" x14ac:dyDescent="0.3">
      <c r="G6908" s="400" t="s">
        <v>9567</v>
      </c>
    </row>
    <row r="6909" spans="7:7" x14ac:dyDescent="0.3">
      <c r="G6909" s="400" t="s">
        <v>9567</v>
      </c>
    </row>
    <row r="6910" spans="7:7" x14ac:dyDescent="0.3">
      <c r="G6910" s="400" t="s">
        <v>9567</v>
      </c>
    </row>
    <row r="6911" spans="7:7" x14ac:dyDescent="0.3">
      <c r="G6911" s="400" t="s">
        <v>9567</v>
      </c>
    </row>
    <row r="6912" spans="7:7" x14ac:dyDescent="0.3">
      <c r="G6912" s="400" t="s">
        <v>9567</v>
      </c>
    </row>
    <row r="6913" spans="7:7" x14ac:dyDescent="0.3">
      <c r="G6913" s="400" t="s">
        <v>9567</v>
      </c>
    </row>
    <row r="6914" spans="7:7" x14ac:dyDescent="0.3">
      <c r="G6914" s="400" t="s">
        <v>9567</v>
      </c>
    </row>
    <row r="6915" spans="7:7" x14ac:dyDescent="0.3">
      <c r="G6915" s="400" t="s">
        <v>9567</v>
      </c>
    </row>
    <row r="6916" spans="7:7" x14ac:dyDescent="0.3">
      <c r="G6916" s="400" t="s">
        <v>9567</v>
      </c>
    </row>
    <row r="6917" spans="7:7" x14ac:dyDescent="0.3">
      <c r="G6917" s="400" t="s">
        <v>9567</v>
      </c>
    </row>
    <row r="6918" spans="7:7" x14ac:dyDescent="0.3">
      <c r="G6918" s="400" t="s">
        <v>9567</v>
      </c>
    </row>
    <row r="6919" spans="7:7" x14ac:dyDescent="0.3">
      <c r="G6919" s="400" t="s">
        <v>9567</v>
      </c>
    </row>
    <row r="6920" spans="7:7" x14ac:dyDescent="0.3">
      <c r="G6920" s="400" t="s">
        <v>9567</v>
      </c>
    </row>
    <row r="6921" spans="7:7" x14ac:dyDescent="0.3">
      <c r="G6921" s="400" t="s">
        <v>9567</v>
      </c>
    </row>
    <row r="6922" spans="7:7" x14ac:dyDescent="0.3">
      <c r="G6922" s="400" t="s">
        <v>9567</v>
      </c>
    </row>
    <row r="6923" spans="7:7" x14ac:dyDescent="0.3">
      <c r="G6923" s="400" t="s">
        <v>9567</v>
      </c>
    </row>
    <row r="6924" spans="7:7" x14ac:dyDescent="0.3">
      <c r="G6924" s="400" t="s">
        <v>9567</v>
      </c>
    </row>
    <row r="6925" spans="7:7" x14ac:dyDescent="0.3">
      <c r="G6925" s="400" t="s">
        <v>9567</v>
      </c>
    </row>
    <row r="6926" spans="7:7" x14ac:dyDescent="0.3">
      <c r="G6926" s="400" t="s">
        <v>9567</v>
      </c>
    </row>
    <row r="6927" spans="7:7" x14ac:dyDescent="0.3">
      <c r="G6927" s="400" t="s">
        <v>9567</v>
      </c>
    </row>
    <row r="6928" spans="7:7" x14ac:dyDescent="0.3">
      <c r="G6928" s="400" t="s">
        <v>9567</v>
      </c>
    </row>
    <row r="6929" spans="7:7" x14ac:dyDescent="0.3">
      <c r="G6929" s="400" t="s">
        <v>9567</v>
      </c>
    </row>
    <row r="6930" spans="7:7" x14ac:dyDescent="0.3">
      <c r="G6930" s="400" t="s">
        <v>9567</v>
      </c>
    </row>
    <row r="6931" spans="7:7" x14ac:dyDescent="0.3">
      <c r="G6931" s="400" t="s">
        <v>9567</v>
      </c>
    </row>
    <row r="6932" spans="7:7" x14ac:dyDescent="0.3">
      <c r="G6932" s="400" t="s">
        <v>9567</v>
      </c>
    </row>
    <row r="6933" spans="7:7" x14ac:dyDescent="0.3">
      <c r="G6933" s="400" t="s">
        <v>9567</v>
      </c>
    </row>
    <row r="6934" spans="7:7" x14ac:dyDescent="0.3">
      <c r="G6934" s="400" t="s">
        <v>9567</v>
      </c>
    </row>
    <row r="6935" spans="7:7" x14ac:dyDescent="0.3">
      <c r="G6935" s="400" t="s">
        <v>9567</v>
      </c>
    </row>
    <row r="6936" spans="7:7" x14ac:dyDescent="0.3">
      <c r="G6936" s="400" t="s">
        <v>9567</v>
      </c>
    </row>
    <row r="6937" spans="7:7" x14ac:dyDescent="0.3">
      <c r="G6937" s="400" t="s">
        <v>9567</v>
      </c>
    </row>
    <row r="6938" spans="7:7" x14ac:dyDescent="0.3">
      <c r="G6938" s="400" t="s">
        <v>9567</v>
      </c>
    </row>
    <row r="6939" spans="7:7" x14ac:dyDescent="0.3">
      <c r="G6939" s="400" t="s">
        <v>9567</v>
      </c>
    </row>
    <row r="6940" spans="7:7" x14ac:dyDescent="0.3">
      <c r="G6940" s="400" t="s">
        <v>9567</v>
      </c>
    </row>
    <row r="6941" spans="7:7" x14ac:dyDescent="0.3">
      <c r="G6941" s="400" t="s">
        <v>9567</v>
      </c>
    </row>
    <row r="6942" spans="7:7" x14ac:dyDescent="0.3">
      <c r="G6942" s="400" t="s">
        <v>9567</v>
      </c>
    </row>
    <row r="6943" spans="7:7" x14ac:dyDescent="0.3">
      <c r="G6943" s="400" t="s">
        <v>9567</v>
      </c>
    </row>
    <row r="6944" spans="7:7" x14ac:dyDescent="0.3">
      <c r="G6944" s="400" t="s">
        <v>9567</v>
      </c>
    </row>
    <row r="6945" spans="7:7" x14ac:dyDescent="0.3">
      <c r="G6945" s="400" t="s">
        <v>9567</v>
      </c>
    </row>
    <row r="6946" spans="7:7" x14ac:dyDescent="0.3">
      <c r="G6946" s="400" t="s">
        <v>9567</v>
      </c>
    </row>
    <row r="6947" spans="7:7" x14ac:dyDescent="0.3">
      <c r="G6947" s="400" t="s">
        <v>9567</v>
      </c>
    </row>
    <row r="6948" spans="7:7" x14ac:dyDescent="0.3">
      <c r="G6948" s="400" t="s">
        <v>9567</v>
      </c>
    </row>
    <row r="6949" spans="7:7" x14ac:dyDescent="0.3">
      <c r="G6949" s="400" t="s">
        <v>9567</v>
      </c>
    </row>
    <row r="6950" spans="7:7" x14ac:dyDescent="0.3">
      <c r="G6950" s="400" t="s">
        <v>9567</v>
      </c>
    </row>
    <row r="6951" spans="7:7" x14ac:dyDescent="0.3">
      <c r="G6951" s="400" t="s">
        <v>9567</v>
      </c>
    </row>
    <row r="6952" spans="7:7" x14ac:dyDescent="0.3">
      <c r="G6952" s="400" t="s">
        <v>9567</v>
      </c>
    </row>
    <row r="6953" spans="7:7" x14ac:dyDescent="0.3">
      <c r="G6953" s="400" t="s">
        <v>9567</v>
      </c>
    </row>
    <row r="6954" spans="7:7" x14ac:dyDescent="0.3">
      <c r="G6954" s="400" t="s">
        <v>9567</v>
      </c>
    </row>
    <row r="6955" spans="7:7" x14ac:dyDescent="0.3">
      <c r="G6955" s="400" t="s">
        <v>9567</v>
      </c>
    </row>
    <row r="6956" spans="7:7" x14ac:dyDescent="0.3">
      <c r="G6956" s="400" t="s">
        <v>9567</v>
      </c>
    </row>
    <row r="6957" spans="7:7" x14ac:dyDescent="0.3">
      <c r="G6957" s="400" t="s">
        <v>9567</v>
      </c>
    </row>
    <row r="6958" spans="7:7" x14ac:dyDescent="0.3">
      <c r="G6958" s="400" t="s">
        <v>9567</v>
      </c>
    </row>
    <row r="6959" spans="7:7" x14ac:dyDescent="0.3">
      <c r="G6959" s="400" t="s">
        <v>9567</v>
      </c>
    </row>
    <row r="6960" spans="7:7" x14ac:dyDescent="0.3">
      <c r="G6960" s="400" t="s">
        <v>9567</v>
      </c>
    </row>
    <row r="6961" spans="7:7" x14ac:dyDescent="0.3">
      <c r="G6961" s="400" t="s">
        <v>9567</v>
      </c>
    </row>
    <row r="6962" spans="7:7" x14ac:dyDescent="0.3">
      <c r="G6962" s="400" t="s">
        <v>9567</v>
      </c>
    </row>
    <row r="6963" spans="7:7" x14ac:dyDescent="0.3">
      <c r="G6963" s="400" t="s">
        <v>9567</v>
      </c>
    </row>
    <row r="6964" spans="7:7" x14ac:dyDescent="0.3">
      <c r="G6964" s="400" t="s">
        <v>9567</v>
      </c>
    </row>
    <row r="6965" spans="7:7" x14ac:dyDescent="0.3">
      <c r="G6965" s="400" t="s">
        <v>9567</v>
      </c>
    </row>
    <row r="6966" spans="7:7" x14ac:dyDescent="0.3">
      <c r="G6966" s="400" t="s">
        <v>9567</v>
      </c>
    </row>
    <row r="6967" spans="7:7" x14ac:dyDescent="0.3">
      <c r="G6967" s="400" t="s">
        <v>9567</v>
      </c>
    </row>
    <row r="6968" spans="7:7" x14ac:dyDescent="0.3">
      <c r="G6968" s="400" t="s">
        <v>9567</v>
      </c>
    </row>
    <row r="6969" spans="7:7" x14ac:dyDescent="0.3">
      <c r="G6969" s="400" t="s">
        <v>9567</v>
      </c>
    </row>
    <row r="6970" spans="7:7" x14ac:dyDescent="0.3">
      <c r="G6970" s="400" t="s">
        <v>9567</v>
      </c>
    </row>
    <row r="6971" spans="7:7" x14ac:dyDescent="0.3">
      <c r="G6971" s="400" t="s">
        <v>9567</v>
      </c>
    </row>
    <row r="6972" spans="7:7" x14ac:dyDescent="0.3">
      <c r="G6972" s="400" t="s">
        <v>9567</v>
      </c>
    </row>
    <row r="6973" spans="7:7" x14ac:dyDescent="0.3">
      <c r="G6973" s="400" t="s">
        <v>9567</v>
      </c>
    </row>
    <row r="6974" spans="7:7" x14ac:dyDescent="0.3">
      <c r="G6974" s="400" t="s">
        <v>9567</v>
      </c>
    </row>
    <row r="6975" spans="7:7" x14ac:dyDescent="0.3">
      <c r="G6975" s="400" t="s">
        <v>9567</v>
      </c>
    </row>
    <row r="6976" spans="7:7" x14ac:dyDescent="0.3">
      <c r="G6976" s="400" t="s">
        <v>9567</v>
      </c>
    </row>
    <row r="6977" spans="7:7" x14ac:dyDescent="0.3">
      <c r="G6977" s="400" t="s">
        <v>9567</v>
      </c>
    </row>
    <row r="6978" spans="7:7" x14ac:dyDescent="0.3">
      <c r="G6978" s="400" t="s">
        <v>9567</v>
      </c>
    </row>
    <row r="6979" spans="7:7" x14ac:dyDescent="0.3">
      <c r="G6979" s="400" t="s">
        <v>9567</v>
      </c>
    </row>
    <row r="6980" spans="7:7" x14ac:dyDescent="0.3">
      <c r="G6980" s="400" t="s">
        <v>9567</v>
      </c>
    </row>
    <row r="6981" spans="7:7" x14ac:dyDescent="0.3">
      <c r="G6981" s="400" t="s">
        <v>9567</v>
      </c>
    </row>
    <row r="6982" spans="7:7" x14ac:dyDescent="0.3">
      <c r="G6982" s="400" t="s">
        <v>9567</v>
      </c>
    </row>
    <row r="6983" spans="7:7" x14ac:dyDescent="0.3">
      <c r="G6983" s="400" t="s">
        <v>9567</v>
      </c>
    </row>
    <row r="6984" spans="7:7" x14ac:dyDescent="0.3">
      <c r="G6984" s="400" t="s">
        <v>9567</v>
      </c>
    </row>
    <row r="6985" spans="7:7" x14ac:dyDescent="0.3">
      <c r="G6985" s="400" t="s">
        <v>9567</v>
      </c>
    </row>
    <row r="6986" spans="7:7" x14ac:dyDescent="0.3">
      <c r="G6986" s="400" t="s">
        <v>9567</v>
      </c>
    </row>
    <row r="6987" spans="7:7" x14ac:dyDescent="0.3">
      <c r="G6987" s="400" t="s">
        <v>9567</v>
      </c>
    </row>
    <row r="6988" spans="7:7" x14ac:dyDescent="0.3">
      <c r="G6988" s="400" t="s">
        <v>9567</v>
      </c>
    </row>
    <row r="6989" spans="7:7" x14ac:dyDescent="0.3">
      <c r="G6989" s="400" t="s">
        <v>9567</v>
      </c>
    </row>
    <row r="6990" spans="7:7" x14ac:dyDescent="0.3">
      <c r="G6990" s="400" t="s">
        <v>9567</v>
      </c>
    </row>
    <row r="6991" spans="7:7" x14ac:dyDescent="0.3">
      <c r="G6991" s="400" t="s">
        <v>9567</v>
      </c>
    </row>
    <row r="6992" spans="7:7" x14ac:dyDescent="0.3">
      <c r="G6992" s="400" t="s">
        <v>9567</v>
      </c>
    </row>
    <row r="6993" spans="7:7" x14ac:dyDescent="0.3">
      <c r="G6993" s="400" t="s">
        <v>9567</v>
      </c>
    </row>
    <row r="6994" spans="7:7" x14ac:dyDescent="0.3">
      <c r="G6994" s="400" t="s">
        <v>9567</v>
      </c>
    </row>
    <row r="6995" spans="7:7" x14ac:dyDescent="0.3">
      <c r="G6995" s="400" t="s">
        <v>9567</v>
      </c>
    </row>
    <row r="6996" spans="7:7" x14ac:dyDescent="0.3">
      <c r="G6996" s="400" t="s">
        <v>9567</v>
      </c>
    </row>
    <row r="6997" spans="7:7" x14ac:dyDescent="0.3">
      <c r="G6997" s="400" t="s">
        <v>9567</v>
      </c>
    </row>
    <row r="6998" spans="7:7" x14ac:dyDescent="0.3">
      <c r="G6998" s="400" t="s">
        <v>9567</v>
      </c>
    </row>
    <row r="6999" spans="7:7" x14ac:dyDescent="0.3">
      <c r="G6999" s="400" t="s">
        <v>9567</v>
      </c>
    </row>
    <row r="7000" spans="7:7" x14ac:dyDescent="0.3">
      <c r="G7000" s="400" t="s">
        <v>9567</v>
      </c>
    </row>
    <row r="7001" spans="7:7" x14ac:dyDescent="0.3">
      <c r="G7001" s="400" t="s">
        <v>9567</v>
      </c>
    </row>
    <row r="7002" spans="7:7" x14ac:dyDescent="0.3">
      <c r="G7002" s="400" t="s">
        <v>9567</v>
      </c>
    </row>
    <row r="7003" spans="7:7" x14ac:dyDescent="0.3">
      <c r="G7003" s="400" t="s">
        <v>9567</v>
      </c>
    </row>
    <row r="7004" spans="7:7" x14ac:dyDescent="0.3">
      <c r="G7004" s="400" t="s">
        <v>9567</v>
      </c>
    </row>
    <row r="7005" spans="7:7" x14ac:dyDescent="0.3">
      <c r="G7005" s="400" t="s">
        <v>9567</v>
      </c>
    </row>
    <row r="7006" spans="7:7" x14ac:dyDescent="0.3">
      <c r="G7006" s="400" t="s">
        <v>9567</v>
      </c>
    </row>
    <row r="7007" spans="7:7" x14ac:dyDescent="0.3">
      <c r="G7007" s="400" t="s">
        <v>9567</v>
      </c>
    </row>
    <row r="7008" spans="7:7" x14ac:dyDescent="0.3">
      <c r="G7008" s="400" t="s">
        <v>9567</v>
      </c>
    </row>
    <row r="7009" spans="7:7" x14ac:dyDescent="0.3">
      <c r="G7009" s="400" t="s">
        <v>9567</v>
      </c>
    </row>
    <row r="7010" spans="7:7" x14ac:dyDescent="0.3">
      <c r="G7010" s="400" t="s">
        <v>9567</v>
      </c>
    </row>
    <row r="7011" spans="7:7" x14ac:dyDescent="0.3">
      <c r="G7011" s="400" t="s">
        <v>9567</v>
      </c>
    </row>
    <row r="7012" spans="7:7" x14ac:dyDescent="0.3">
      <c r="G7012" s="400" t="s">
        <v>9567</v>
      </c>
    </row>
    <row r="7013" spans="7:7" x14ac:dyDescent="0.3">
      <c r="G7013" s="400" t="s">
        <v>9567</v>
      </c>
    </row>
    <row r="7014" spans="7:7" x14ac:dyDescent="0.3">
      <c r="G7014" s="400" t="s">
        <v>9567</v>
      </c>
    </row>
    <row r="7015" spans="7:7" x14ac:dyDescent="0.3">
      <c r="G7015" s="400" t="s">
        <v>9567</v>
      </c>
    </row>
    <row r="7016" spans="7:7" x14ac:dyDescent="0.3">
      <c r="G7016" s="400" t="s">
        <v>9567</v>
      </c>
    </row>
    <row r="7017" spans="7:7" x14ac:dyDescent="0.3">
      <c r="G7017" s="400" t="s">
        <v>9567</v>
      </c>
    </row>
    <row r="7018" spans="7:7" x14ac:dyDescent="0.3">
      <c r="G7018" s="400" t="s">
        <v>9567</v>
      </c>
    </row>
    <row r="7019" spans="7:7" x14ac:dyDescent="0.3">
      <c r="G7019" s="400" t="s">
        <v>9567</v>
      </c>
    </row>
    <row r="7020" spans="7:7" x14ac:dyDescent="0.3">
      <c r="G7020" s="400" t="s">
        <v>9567</v>
      </c>
    </row>
    <row r="7021" spans="7:7" x14ac:dyDescent="0.3">
      <c r="G7021" s="400" t="s">
        <v>9567</v>
      </c>
    </row>
    <row r="7022" spans="7:7" x14ac:dyDescent="0.3">
      <c r="G7022" s="400" t="s">
        <v>9567</v>
      </c>
    </row>
    <row r="7023" spans="7:7" x14ac:dyDescent="0.3">
      <c r="G7023" s="400" t="s">
        <v>9567</v>
      </c>
    </row>
    <row r="7024" spans="7:7" x14ac:dyDescent="0.3">
      <c r="G7024" s="400" t="s">
        <v>9567</v>
      </c>
    </row>
    <row r="7025" spans="7:7" x14ac:dyDescent="0.3">
      <c r="G7025" s="400" t="s">
        <v>9567</v>
      </c>
    </row>
    <row r="7026" spans="7:7" x14ac:dyDescent="0.3">
      <c r="G7026" s="400" t="s">
        <v>9567</v>
      </c>
    </row>
    <row r="7027" spans="7:7" x14ac:dyDescent="0.3">
      <c r="G7027" s="400" t="s">
        <v>9567</v>
      </c>
    </row>
    <row r="7028" spans="7:7" x14ac:dyDescent="0.3">
      <c r="G7028" s="400" t="s">
        <v>9567</v>
      </c>
    </row>
    <row r="7029" spans="7:7" x14ac:dyDescent="0.3">
      <c r="G7029" s="400" t="s">
        <v>9567</v>
      </c>
    </row>
    <row r="7030" spans="7:7" x14ac:dyDescent="0.3">
      <c r="G7030" s="400" t="s">
        <v>9567</v>
      </c>
    </row>
    <row r="7031" spans="7:7" x14ac:dyDescent="0.3">
      <c r="G7031" s="400" t="s">
        <v>9567</v>
      </c>
    </row>
    <row r="7032" spans="7:7" x14ac:dyDescent="0.3">
      <c r="G7032" s="400" t="s">
        <v>9567</v>
      </c>
    </row>
    <row r="7033" spans="7:7" x14ac:dyDescent="0.3">
      <c r="G7033" s="400" t="s">
        <v>9567</v>
      </c>
    </row>
    <row r="7034" spans="7:7" x14ac:dyDescent="0.3">
      <c r="G7034" s="400" t="s">
        <v>9567</v>
      </c>
    </row>
    <row r="7035" spans="7:7" x14ac:dyDescent="0.3">
      <c r="G7035" s="400" t="s">
        <v>9567</v>
      </c>
    </row>
    <row r="7036" spans="7:7" x14ac:dyDescent="0.3">
      <c r="G7036" s="400" t="s">
        <v>9567</v>
      </c>
    </row>
    <row r="7037" spans="7:7" x14ac:dyDescent="0.3">
      <c r="G7037" s="400" t="s">
        <v>9567</v>
      </c>
    </row>
    <row r="7038" spans="7:7" x14ac:dyDescent="0.3">
      <c r="G7038" s="400" t="s">
        <v>9567</v>
      </c>
    </row>
    <row r="7039" spans="7:7" x14ac:dyDescent="0.3">
      <c r="G7039" s="400" t="s">
        <v>9567</v>
      </c>
    </row>
    <row r="7040" spans="7:7" x14ac:dyDescent="0.3">
      <c r="G7040" s="400" t="s">
        <v>9567</v>
      </c>
    </row>
    <row r="7041" spans="7:7" x14ac:dyDescent="0.3">
      <c r="G7041" s="400" t="s">
        <v>9567</v>
      </c>
    </row>
    <row r="7042" spans="7:7" x14ac:dyDescent="0.3">
      <c r="G7042" s="400" t="s">
        <v>9567</v>
      </c>
    </row>
    <row r="7043" spans="7:7" x14ac:dyDescent="0.3">
      <c r="G7043" s="400" t="s">
        <v>9567</v>
      </c>
    </row>
    <row r="7044" spans="7:7" x14ac:dyDescent="0.3">
      <c r="G7044" s="400" t="s">
        <v>9567</v>
      </c>
    </row>
    <row r="7045" spans="7:7" x14ac:dyDescent="0.3">
      <c r="G7045" s="400" t="s">
        <v>9567</v>
      </c>
    </row>
    <row r="7046" spans="7:7" x14ac:dyDescent="0.3">
      <c r="G7046" s="400" t="s">
        <v>9567</v>
      </c>
    </row>
    <row r="7047" spans="7:7" x14ac:dyDescent="0.3">
      <c r="G7047" s="400" t="s">
        <v>9567</v>
      </c>
    </row>
    <row r="7048" spans="7:7" x14ac:dyDescent="0.3">
      <c r="G7048" s="400" t="s">
        <v>9567</v>
      </c>
    </row>
    <row r="7049" spans="7:7" x14ac:dyDescent="0.3">
      <c r="G7049" s="400" t="s">
        <v>9567</v>
      </c>
    </row>
    <row r="7050" spans="7:7" x14ac:dyDescent="0.3">
      <c r="G7050" s="400" t="s">
        <v>9567</v>
      </c>
    </row>
    <row r="7051" spans="7:7" x14ac:dyDescent="0.3">
      <c r="G7051" s="400" t="s">
        <v>9567</v>
      </c>
    </row>
    <row r="7052" spans="7:7" x14ac:dyDescent="0.3">
      <c r="G7052" s="400" t="s">
        <v>9567</v>
      </c>
    </row>
    <row r="7053" spans="7:7" x14ac:dyDescent="0.3">
      <c r="G7053" s="400" t="s">
        <v>9567</v>
      </c>
    </row>
    <row r="7054" spans="7:7" x14ac:dyDescent="0.3">
      <c r="G7054" s="400" t="s">
        <v>9567</v>
      </c>
    </row>
    <row r="7055" spans="7:7" x14ac:dyDescent="0.3">
      <c r="G7055" s="400" t="s">
        <v>9567</v>
      </c>
    </row>
    <row r="7056" spans="7:7" x14ac:dyDescent="0.3">
      <c r="G7056" s="400" t="s">
        <v>9567</v>
      </c>
    </row>
    <row r="7057" spans="7:7" x14ac:dyDescent="0.3">
      <c r="G7057" s="400" t="s">
        <v>9567</v>
      </c>
    </row>
    <row r="7058" spans="7:7" x14ac:dyDescent="0.3">
      <c r="G7058" s="400" t="s">
        <v>9567</v>
      </c>
    </row>
    <row r="7059" spans="7:7" x14ac:dyDescent="0.3">
      <c r="G7059" s="400" t="s">
        <v>9567</v>
      </c>
    </row>
    <row r="7060" spans="7:7" x14ac:dyDescent="0.3">
      <c r="G7060" s="400" t="s">
        <v>9567</v>
      </c>
    </row>
    <row r="7061" spans="7:7" x14ac:dyDescent="0.3">
      <c r="G7061" s="400" t="s">
        <v>9567</v>
      </c>
    </row>
    <row r="7062" spans="7:7" x14ac:dyDescent="0.3">
      <c r="G7062" s="400" t="s">
        <v>9567</v>
      </c>
    </row>
    <row r="7063" spans="7:7" x14ac:dyDescent="0.3">
      <c r="G7063" s="400" t="s">
        <v>9567</v>
      </c>
    </row>
    <row r="7064" spans="7:7" x14ac:dyDescent="0.3">
      <c r="G7064" s="400" t="s">
        <v>9567</v>
      </c>
    </row>
    <row r="7065" spans="7:7" x14ac:dyDescent="0.3">
      <c r="G7065" s="400" t="s">
        <v>9567</v>
      </c>
    </row>
    <row r="7066" spans="7:7" x14ac:dyDescent="0.3">
      <c r="G7066" s="400" t="s">
        <v>9567</v>
      </c>
    </row>
    <row r="7067" spans="7:7" x14ac:dyDescent="0.3">
      <c r="G7067" s="400" t="s">
        <v>9567</v>
      </c>
    </row>
    <row r="7068" spans="7:7" x14ac:dyDescent="0.3">
      <c r="G7068" s="400" t="s">
        <v>9567</v>
      </c>
    </row>
    <row r="7069" spans="7:7" x14ac:dyDescent="0.3">
      <c r="G7069" s="400" t="s">
        <v>9567</v>
      </c>
    </row>
    <row r="7070" spans="7:7" x14ac:dyDescent="0.3">
      <c r="G7070" s="400" t="s">
        <v>9567</v>
      </c>
    </row>
    <row r="7071" spans="7:7" x14ac:dyDescent="0.3">
      <c r="G7071" s="400" t="s">
        <v>9567</v>
      </c>
    </row>
    <row r="7072" spans="7:7" x14ac:dyDescent="0.3">
      <c r="G7072" s="400" t="s">
        <v>9567</v>
      </c>
    </row>
    <row r="7073" spans="7:7" x14ac:dyDescent="0.3">
      <c r="G7073" s="400" t="s">
        <v>9567</v>
      </c>
    </row>
    <row r="7074" spans="7:7" x14ac:dyDescent="0.3">
      <c r="G7074" s="400" t="s">
        <v>9567</v>
      </c>
    </row>
    <row r="7075" spans="7:7" x14ac:dyDescent="0.3">
      <c r="G7075" s="400" t="s">
        <v>9567</v>
      </c>
    </row>
    <row r="7076" spans="7:7" x14ac:dyDescent="0.3">
      <c r="G7076" s="400" t="s">
        <v>9567</v>
      </c>
    </row>
    <row r="7077" spans="7:7" x14ac:dyDescent="0.3">
      <c r="G7077" s="400" t="s">
        <v>9567</v>
      </c>
    </row>
    <row r="7078" spans="7:7" x14ac:dyDescent="0.3">
      <c r="G7078" s="400" t="s">
        <v>9567</v>
      </c>
    </row>
    <row r="7079" spans="7:7" x14ac:dyDescent="0.3">
      <c r="G7079" s="400" t="s">
        <v>9567</v>
      </c>
    </row>
    <row r="7080" spans="7:7" x14ac:dyDescent="0.3">
      <c r="G7080" s="400" t="s">
        <v>9567</v>
      </c>
    </row>
    <row r="7081" spans="7:7" x14ac:dyDescent="0.3">
      <c r="G7081" s="400" t="s">
        <v>9567</v>
      </c>
    </row>
    <row r="7082" spans="7:7" x14ac:dyDescent="0.3">
      <c r="G7082" s="400" t="s">
        <v>9567</v>
      </c>
    </row>
    <row r="7083" spans="7:7" x14ac:dyDescent="0.3">
      <c r="G7083" s="400" t="s">
        <v>9567</v>
      </c>
    </row>
    <row r="7084" spans="7:7" x14ac:dyDescent="0.3">
      <c r="G7084" s="400" t="s">
        <v>9567</v>
      </c>
    </row>
    <row r="7085" spans="7:7" x14ac:dyDescent="0.3">
      <c r="G7085" s="400" t="s">
        <v>9567</v>
      </c>
    </row>
    <row r="7086" spans="7:7" x14ac:dyDescent="0.3">
      <c r="G7086" s="400" t="s">
        <v>9567</v>
      </c>
    </row>
    <row r="7087" spans="7:7" x14ac:dyDescent="0.3">
      <c r="G7087" s="400" t="s">
        <v>9567</v>
      </c>
    </row>
    <row r="7088" spans="7:7" x14ac:dyDescent="0.3">
      <c r="G7088" s="400" t="s">
        <v>9567</v>
      </c>
    </row>
    <row r="7089" spans="7:7" x14ac:dyDescent="0.3">
      <c r="G7089" s="400" t="s">
        <v>9567</v>
      </c>
    </row>
    <row r="7090" spans="7:7" x14ac:dyDescent="0.3">
      <c r="G7090" s="400" t="s">
        <v>9567</v>
      </c>
    </row>
    <row r="7091" spans="7:7" x14ac:dyDescent="0.3">
      <c r="G7091" s="400" t="s">
        <v>9567</v>
      </c>
    </row>
    <row r="7092" spans="7:7" x14ac:dyDescent="0.3">
      <c r="G7092" s="400" t="s">
        <v>9567</v>
      </c>
    </row>
    <row r="7093" spans="7:7" x14ac:dyDescent="0.3">
      <c r="G7093" s="400" t="s">
        <v>9567</v>
      </c>
    </row>
    <row r="7094" spans="7:7" x14ac:dyDescent="0.3">
      <c r="G7094" s="400" t="s">
        <v>9567</v>
      </c>
    </row>
    <row r="7095" spans="7:7" x14ac:dyDescent="0.3">
      <c r="G7095" s="400" t="s">
        <v>9567</v>
      </c>
    </row>
    <row r="7096" spans="7:7" x14ac:dyDescent="0.3">
      <c r="G7096" s="400" t="s">
        <v>9567</v>
      </c>
    </row>
    <row r="7097" spans="7:7" x14ac:dyDescent="0.3">
      <c r="G7097" s="400" t="s">
        <v>9567</v>
      </c>
    </row>
    <row r="7098" spans="7:7" x14ac:dyDescent="0.3">
      <c r="G7098" s="400" t="s">
        <v>9567</v>
      </c>
    </row>
    <row r="7099" spans="7:7" x14ac:dyDescent="0.3">
      <c r="G7099" s="400" t="s">
        <v>9567</v>
      </c>
    </row>
    <row r="7100" spans="7:7" x14ac:dyDescent="0.3">
      <c r="G7100" s="400" t="s">
        <v>9567</v>
      </c>
    </row>
    <row r="7101" spans="7:7" x14ac:dyDescent="0.3">
      <c r="G7101" s="400" t="s">
        <v>9567</v>
      </c>
    </row>
    <row r="7102" spans="7:7" x14ac:dyDescent="0.3">
      <c r="G7102" s="400" t="s">
        <v>9567</v>
      </c>
    </row>
    <row r="7103" spans="7:7" x14ac:dyDescent="0.3">
      <c r="G7103" s="400" t="s">
        <v>9567</v>
      </c>
    </row>
    <row r="7104" spans="7:7" x14ac:dyDescent="0.3">
      <c r="G7104" s="400" t="s">
        <v>9567</v>
      </c>
    </row>
    <row r="7105" spans="7:7" x14ac:dyDescent="0.3">
      <c r="G7105" s="400" t="s">
        <v>9567</v>
      </c>
    </row>
    <row r="7106" spans="7:7" x14ac:dyDescent="0.3">
      <c r="G7106" s="400" t="s">
        <v>9567</v>
      </c>
    </row>
    <row r="7107" spans="7:7" x14ac:dyDescent="0.3">
      <c r="G7107" s="400" t="s">
        <v>9567</v>
      </c>
    </row>
    <row r="7108" spans="7:7" x14ac:dyDescent="0.3">
      <c r="G7108" s="400" t="s">
        <v>9567</v>
      </c>
    </row>
    <row r="7109" spans="7:7" x14ac:dyDescent="0.3">
      <c r="G7109" s="400" t="s">
        <v>9567</v>
      </c>
    </row>
    <row r="7110" spans="7:7" x14ac:dyDescent="0.3">
      <c r="G7110" s="400" t="s">
        <v>9567</v>
      </c>
    </row>
    <row r="7111" spans="7:7" x14ac:dyDescent="0.3">
      <c r="G7111" s="400" t="s">
        <v>9567</v>
      </c>
    </row>
    <row r="7112" spans="7:7" x14ac:dyDescent="0.3">
      <c r="G7112" s="400" t="s">
        <v>9567</v>
      </c>
    </row>
    <row r="7113" spans="7:7" x14ac:dyDescent="0.3">
      <c r="G7113" s="400" t="s">
        <v>9567</v>
      </c>
    </row>
    <row r="7114" spans="7:7" x14ac:dyDescent="0.3">
      <c r="G7114" s="400" t="s">
        <v>9567</v>
      </c>
    </row>
    <row r="7115" spans="7:7" x14ac:dyDescent="0.3">
      <c r="G7115" s="400" t="s">
        <v>9567</v>
      </c>
    </row>
    <row r="7116" spans="7:7" x14ac:dyDescent="0.3">
      <c r="G7116" s="400" t="s">
        <v>9567</v>
      </c>
    </row>
    <row r="7117" spans="7:7" x14ac:dyDescent="0.3">
      <c r="G7117" s="400" t="s">
        <v>9567</v>
      </c>
    </row>
    <row r="7118" spans="7:7" x14ac:dyDescent="0.3">
      <c r="G7118" s="400" t="s">
        <v>9567</v>
      </c>
    </row>
    <row r="7119" spans="7:7" x14ac:dyDescent="0.3">
      <c r="G7119" s="400" t="s">
        <v>9567</v>
      </c>
    </row>
    <row r="7120" spans="7:7" x14ac:dyDescent="0.3">
      <c r="G7120" s="400" t="s">
        <v>9567</v>
      </c>
    </row>
    <row r="7121" spans="7:7" x14ac:dyDescent="0.3">
      <c r="G7121" s="400" t="s">
        <v>9567</v>
      </c>
    </row>
    <row r="7122" spans="7:7" x14ac:dyDescent="0.3">
      <c r="G7122" s="400" t="s">
        <v>9567</v>
      </c>
    </row>
    <row r="7123" spans="7:7" x14ac:dyDescent="0.3">
      <c r="G7123" s="400" t="s">
        <v>9567</v>
      </c>
    </row>
    <row r="7124" spans="7:7" x14ac:dyDescent="0.3">
      <c r="G7124" s="400" t="s">
        <v>9567</v>
      </c>
    </row>
    <row r="7125" spans="7:7" x14ac:dyDescent="0.3">
      <c r="G7125" s="400" t="s">
        <v>9567</v>
      </c>
    </row>
    <row r="7126" spans="7:7" x14ac:dyDescent="0.3">
      <c r="G7126" s="400" t="s">
        <v>9567</v>
      </c>
    </row>
    <row r="7127" spans="7:7" x14ac:dyDescent="0.3">
      <c r="G7127" s="400" t="s">
        <v>9567</v>
      </c>
    </row>
    <row r="7128" spans="7:7" x14ac:dyDescent="0.3">
      <c r="G7128" s="400" t="s">
        <v>9567</v>
      </c>
    </row>
    <row r="7129" spans="7:7" x14ac:dyDescent="0.3">
      <c r="G7129" s="400" t="s">
        <v>9567</v>
      </c>
    </row>
    <row r="7130" spans="7:7" x14ac:dyDescent="0.3">
      <c r="G7130" s="400" t="s">
        <v>9567</v>
      </c>
    </row>
    <row r="7131" spans="7:7" x14ac:dyDescent="0.3">
      <c r="G7131" s="400" t="s">
        <v>9567</v>
      </c>
    </row>
    <row r="7132" spans="7:7" x14ac:dyDescent="0.3">
      <c r="G7132" s="400" t="s">
        <v>9567</v>
      </c>
    </row>
    <row r="7133" spans="7:7" x14ac:dyDescent="0.3">
      <c r="G7133" s="400" t="s">
        <v>9567</v>
      </c>
    </row>
    <row r="7134" spans="7:7" x14ac:dyDescent="0.3">
      <c r="G7134" s="400" t="s">
        <v>9567</v>
      </c>
    </row>
    <row r="7135" spans="7:7" x14ac:dyDescent="0.3">
      <c r="G7135" s="400" t="s">
        <v>9567</v>
      </c>
    </row>
    <row r="7136" spans="7:7" x14ac:dyDescent="0.3">
      <c r="G7136" s="400" t="s">
        <v>9567</v>
      </c>
    </row>
    <row r="7137" spans="7:7" x14ac:dyDescent="0.3">
      <c r="G7137" s="400" t="s">
        <v>9567</v>
      </c>
    </row>
    <row r="7138" spans="7:7" x14ac:dyDescent="0.3">
      <c r="G7138" s="400" t="s">
        <v>9567</v>
      </c>
    </row>
    <row r="7139" spans="7:7" x14ac:dyDescent="0.3">
      <c r="G7139" s="400" t="s">
        <v>9567</v>
      </c>
    </row>
    <row r="7140" spans="7:7" x14ac:dyDescent="0.3">
      <c r="G7140" s="400" t="s">
        <v>9567</v>
      </c>
    </row>
    <row r="7141" spans="7:7" x14ac:dyDescent="0.3">
      <c r="G7141" s="400" t="s">
        <v>9567</v>
      </c>
    </row>
    <row r="7142" spans="7:7" x14ac:dyDescent="0.3">
      <c r="G7142" s="400" t="s">
        <v>9567</v>
      </c>
    </row>
    <row r="7143" spans="7:7" x14ac:dyDescent="0.3">
      <c r="G7143" s="400" t="s">
        <v>9567</v>
      </c>
    </row>
    <row r="7144" spans="7:7" x14ac:dyDescent="0.3">
      <c r="G7144" s="400" t="s">
        <v>9567</v>
      </c>
    </row>
    <row r="7145" spans="7:7" x14ac:dyDescent="0.3">
      <c r="G7145" s="400" t="s">
        <v>9567</v>
      </c>
    </row>
    <row r="7146" spans="7:7" x14ac:dyDescent="0.3">
      <c r="G7146" s="400" t="s">
        <v>9567</v>
      </c>
    </row>
    <row r="7147" spans="7:7" x14ac:dyDescent="0.3">
      <c r="G7147" s="400" t="s">
        <v>9567</v>
      </c>
    </row>
    <row r="7148" spans="7:7" x14ac:dyDescent="0.3">
      <c r="G7148" s="400" t="s">
        <v>9567</v>
      </c>
    </row>
    <row r="7149" spans="7:7" x14ac:dyDescent="0.3">
      <c r="G7149" s="400" t="s">
        <v>9567</v>
      </c>
    </row>
    <row r="7150" spans="7:7" x14ac:dyDescent="0.3">
      <c r="G7150" s="400" t="s">
        <v>9567</v>
      </c>
    </row>
    <row r="7151" spans="7:7" x14ac:dyDescent="0.3">
      <c r="G7151" s="400" t="s">
        <v>9567</v>
      </c>
    </row>
    <row r="7152" spans="7:7" x14ac:dyDescent="0.3">
      <c r="G7152" s="400" t="s">
        <v>9567</v>
      </c>
    </row>
    <row r="7153" spans="7:7" x14ac:dyDescent="0.3">
      <c r="G7153" s="400" t="s">
        <v>9567</v>
      </c>
    </row>
    <row r="7154" spans="7:7" x14ac:dyDescent="0.3">
      <c r="G7154" s="400" t="s">
        <v>9567</v>
      </c>
    </row>
    <row r="7155" spans="7:7" x14ac:dyDescent="0.3">
      <c r="G7155" s="400" t="s">
        <v>9567</v>
      </c>
    </row>
    <row r="7156" spans="7:7" x14ac:dyDescent="0.3">
      <c r="G7156" s="400" t="s">
        <v>9567</v>
      </c>
    </row>
    <row r="7157" spans="7:7" x14ac:dyDescent="0.3">
      <c r="G7157" s="400" t="s">
        <v>9567</v>
      </c>
    </row>
    <row r="7158" spans="7:7" x14ac:dyDescent="0.3">
      <c r="G7158" s="400" t="s">
        <v>9567</v>
      </c>
    </row>
    <row r="7159" spans="7:7" x14ac:dyDescent="0.3">
      <c r="G7159" s="400" t="s">
        <v>9567</v>
      </c>
    </row>
    <row r="7160" spans="7:7" x14ac:dyDescent="0.3">
      <c r="G7160" s="400" t="s">
        <v>9567</v>
      </c>
    </row>
    <row r="7161" spans="7:7" x14ac:dyDescent="0.3">
      <c r="G7161" s="400" t="s">
        <v>9567</v>
      </c>
    </row>
    <row r="7162" spans="7:7" x14ac:dyDescent="0.3">
      <c r="G7162" s="400" t="s">
        <v>9567</v>
      </c>
    </row>
    <row r="7163" spans="7:7" x14ac:dyDescent="0.3">
      <c r="G7163" s="400" t="s">
        <v>9567</v>
      </c>
    </row>
    <row r="7164" spans="7:7" x14ac:dyDescent="0.3">
      <c r="G7164" s="400" t="s">
        <v>9567</v>
      </c>
    </row>
    <row r="7165" spans="7:7" x14ac:dyDescent="0.3">
      <c r="G7165" s="400" t="s">
        <v>9567</v>
      </c>
    </row>
    <row r="7166" spans="7:7" x14ac:dyDescent="0.3">
      <c r="G7166" s="400" t="s">
        <v>9567</v>
      </c>
    </row>
    <row r="7167" spans="7:7" x14ac:dyDescent="0.3">
      <c r="G7167" s="400" t="s">
        <v>9567</v>
      </c>
    </row>
    <row r="7168" spans="7:7" x14ac:dyDescent="0.3">
      <c r="G7168" s="400" t="s">
        <v>9567</v>
      </c>
    </row>
    <row r="7169" spans="7:7" x14ac:dyDescent="0.3">
      <c r="G7169" s="400" t="s">
        <v>9567</v>
      </c>
    </row>
    <row r="7170" spans="7:7" x14ac:dyDescent="0.3">
      <c r="G7170" s="400" t="s">
        <v>9567</v>
      </c>
    </row>
    <row r="7171" spans="7:7" x14ac:dyDescent="0.3">
      <c r="G7171" s="400" t="s">
        <v>9567</v>
      </c>
    </row>
    <row r="7172" spans="7:7" x14ac:dyDescent="0.3">
      <c r="G7172" s="400" t="s">
        <v>9567</v>
      </c>
    </row>
    <row r="7173" spans="7:7" x14ac:dyDescent="0.3">
      <c r="G7173" s="400" t="s">
        <v>9567</v>
      </c>
    </row>
    <row r="7174" spans="7:7" x14ac:dyDescent="0.3">
      <c r="G7174" s="400" t="s">
        <v>9567</v>
      </c>
    </row>
    <row r="7175" spans="7:7" x14ac:dyDescent="0.3">
      <c r="G7175" s="400" t="s">
        <v>9567</v>
      </c>
    </row>
    <row r="7176" spans="7:7" x14ac:dyDescent="0.3">
      <c r="G7176" s="400" t="s">
        <v>9567</v>
      </c>
    </row>
    <row r="7177" spans="7:7" x14ac:dyDescent="0.3">
      <c r="G7177" s="400" t="s">
        <v>9567</v>
      </c>
    </row>
    <row r="7178" spans="7:7" x14ac:dyDescent="0.3">
      <c r="G7178" s="400" t="s">
        <v>9567</v>
      </c>
    </row>
    <row r="7179" spans="7:7" x14ac:dyDescent="0.3">
      <c r="G7179" s="400" t="s">
        <v>9567</v>
      </c>
    </row>
    <row r="7180" spans="7:7" x14ac:dyDescent="0.3">
      <c r="G7180" s="400" t="s">
        <v>9567</v>
      </c>
    </row>
    <row r="7181" spans="7:7" x14ac:dyDescent="0.3">
      <c r="G7181" s="400" t="s">
        <v>9567</v>
      </c>
    </row>
    <row r="7182" spans="7:7" x14ac:dyDescent="0.3">
      <c r="G7182" s="400" t="s">
        <v>9567</v>
      </c>
    </row>
    <row r="7183" spans="7:7" x14ac:dyDescent="0.3">
      <c r="G7183" s="400" t="s">
        <v>9567</v>
      </c>
    </row>
    <row r="7184" spans="7:7" x14ac:dyDescent="0.3">
      <c r="G7184" s="400" t="s">
        <v>9567</v>
      </c>
    </row>
    <row r="7185" spans="7:7" x14ac:dyDescent="0.3">
      <c r="G7185" s="400" t="s">
        <v>9567</v>
      </c>
    </row>
    <row r="7186" spans="7:7" x14ac:dyDescent="0.3">
      <c r="G7186" s="400" t="s">
        <v>9567</v>
      </c>
    </row>
    <row r="7187" spans="7:7" x14ac:dyDescent="0.3">
      <c r="G7187" s="400" t="s">
        <v>9567</v>
      </c>
    </row>
    <row r="7188" spans="7:7" x14ac:dyDescent="0.3">
      <c r="G7188" s="400" t="s">
        <v>9567</v>
      </c>
    </row>
    <row r="7189" spans="7:7" x14ac:dyDescent="0.3">
      <c r="G7189" s="400" t="s">
        <v>9567</v>
      </c>
    </row>
    <row r="7190" spans="7:7" x14ac:dyDescent="0.3">
      <c r="G7190" s="400" t="s">
        <v>9567</v>
      </c>
    </row>
    <row r="7191" spans="7:7" x14ac:dyDescent="0.3">
      <c r="G7191" s="400" t="s">
        <v>9567</v>
      </c>
    </row>
    <row r="7192" spans="7:7" x14ac:dyDescent="0.3">
      <c r="G7192" s="400" t="s">
        <v>9567</v>
      </c>
    </row>
    <row r="7193" spans="7:7" x14ac:dyDescent="0.3">
      <c r="G7193" s="400" t="s">
        <v>9567</v>
      </c>
    </row>
    <row r="7194" spans="7:7" x14ac:dyDescent="0.3">
      <c r="G7194" s="400" t="s">
        <v>9567</v>
      </c>
    </row>
    <row r="7195" spans="7:7" x14ac:dyDescent="0.3">
      <c r="G7195" s="400" t="s">
        <v>9567</v>
      </c>
    </row>
    <row r="7196" spans="7:7" x14ac:dyDescent="0.3">
      <c r="G7196" s="400" t="s">
        <v>9567</v>
      </c>
    </row>
    <row r="7197" spans="7:7" x14ac:dyDescent="0.3">
      <c r="G7197" s="400" t="s">
        <v>9567</v>
      </c>
    </row>
    <row r="7198" spans="7:7" x14ac:dyDescent="0.3">
      <c r="G7198" s="400" t="s">
        <v>9567</v>
      </c>
    </row>
    <row r="7199" spans="7:7" x14ac:dyDescent="0.3">
      <c r="G7199" s="400" t="s">
        <v>9567</v>
      </c>
    </row>
    <row r="7200" spans="7:7" x14ac:dyDescent="0.3">
      <c r="G7200" s="400" t="s">
        <v>9567</v>
      </c>
    </row>
    <row r="7201" spans="7:7" x14ac:dyDescent="0.3">
      <c r="G7201" s="400" t="s">
        <v>9567</v>
      </c>
    </row>
    <row r="7202" spans="7:7" x14ac:dyDescent="0.3">
      <c r="G7202" s="400" t="s">
        <v>9567</v>
      </c>
    </row>
    <row r="7203" spans="7:7" x14ac:dyDescent="0.3">
      <c r="G7203" s="400" t="s">
        <v>9567</v>
      </c>
    </row>
    <row r="7204" spans="7:7" x14ac:dyDescent="0.3">
      <c r="G7204" s="400" t="s">
        <v>9567</v>
      </c>
    </row>
    <row r="7205" spans="7:7" x14ac:dyDescent="0.3">
      <c r="G7205" s="400" t="s">
        <v>9567</v>
      </c>
    </row>
    <row r="7206" spans="7:7" x14ac:dyDescent="0.3">
      <c r="G7206" s="400" t="s">
        <v>9567</v>
      </c>
    </row>
    <row r="7207" spans="7:7" x14ac:dyDescent="0.3">
      <c r="G7207" s="400" t="s">
        <v>9567</v>
      </c>
    </row>
    <row r="7208" spans="7:7" x14ac:dyDescent="0.3">
      <c r="G7208" s="400" t="s">
        <v>9567</v>
      </c>
    </row>
    <row r="7209" spans="7:7" x14ac:dyDescent="0.3">
      <c r="G7209" s="400" t="s">
        <v>9567</v>
      </c>
    </row>
    <row r="7210" spans="7:7" x14ac:dyDescent="0.3">
      <c r="G7210" s="400" t="s">
        <v>9567</v>
      </c>
    </row>
    <row r="7211" spans="7:7" x14ac:dyDescent="0.3">
      <c r="G7211" s="400" t="s">
        <v>9567</v>
      </c>
    </row>
    <row r="7212" spans="7:7" x14ac:dyDescent="0.3">
      <c r="G7212" s="400" t="s">
        <v>9567</v>
      </c>
    </row>
    <row r="7213" spans="7:7" x14ac:dyDescent="0.3">
      <c r="G7213" s="400" t="s">
        <v>9567</v>
      </c>
    </row>
    <row r="7214" spans="7:7" x14ac:dyDescent="0.3">
      <c r="G7214" s="400" t="s">
        <v>9567</v>
      </c>
    </row>
    <row r="7215" spans="7:7" x14ac:dyDescent="0.3">
      <c r="G7215" s="400" t="s">
        <v>9567</v>
      </c>
    </row>
    <row r="7216" spans="7:7" x14ac:dyDescent="0.3">
      <c r="G7216" s="400" t="s">
        <v>9567</v>
      </c>
    </row>
    <row r="7217" spans="7:7" x14ac:dyDescent="0.3">
      <c r="G7217" s="400" t="s">
        <v>9567</v>
      </c>
    </row>
    <row r="7218" spans="7:7" x14ac:dyDescent="0.3">
      <c r="G7218" s="400" t="s">
        <v>9567</v>
      </c>
    </row>
    <row r="7219" spans="7:7" x14ac:dyDescent="0.3">
      <c r="G7219" s="400" t="s">
        <v>9567</v>
      </c>
    </row>
    <row r="7220" spans="7:7" x14ac:dyDescent="0.3">
      <c r="G7220" s="400" t="s">
        <v>9567</v>
      </c>
    </row>
    <row r="7221" spans="7:7" x14ac:dyDescent="0.3">
      <c r="G7221" s="400" t="s">
        <v>9567</v>
      </c>
    </row>
    <row r="7222" spans="7:7" x14ac:dyDescent="0.3">
      <c r="G7222" s="400" t="s">
        <v>9567</v>
      </c>
    </row>
    <row r="7223" spans="7:7" x14ac:dyDescent="0.3">
      <c r="G7223" s="400" t="s">
        <v>9567</v>
      </c>
    </row>
    <row r="7224" spans="7:7" x14ac:dyDescent="0.3">
      <c r="G7224" s="400" t="s">
        <v>9567</v>
      </c>
    </row>
    <row r="7225" spans="7:7" x14ac:dyDescent="0.3">
      <c r="G7225" s="400" t="s">
        <v>9567</v>
      </c>
    </row>
    <row r="7226" spans="7:7" x14ac:dyDescent="0.3">
      <c r="G7226" s="400" t="s">
        <v>9567</v>
      </c>
    </row>
    <row r="7227" spans="7:7" x14ac:dyDescent="0.3">
      <c r="G7227" s="400" t="s">
        <v>9567</v>
      </c>
    </row>
    <row r="7228" spans="7:7" x14ac:dyDescent="0.3">
      <c r="G7228" s="400" t="s">
        <v>9567</v>
      </c>
    </row>
    <row r="7229" spans="7:7" x14ac:dyDescent="0.3">
      <c r="G7229" s="400" t="s">
        <v>9567</v>
      </c>
    </row>
    <row r="7230" spans="7:7" x14ac:dyDescent="0.3">
      <c r="G7230" s="400" t="s">
        <v>9567</v>
      </c>
    </row>
    <row r="7231" spans="7:7" x14ac:dyDescent="0.3">
      <c r="G7231" s="400" t="s">
        <v>9567</v>
      </c>
    </row>
    <row r="7232" spans="7:7" x14ac:dyDescent="0.3">
      <c r="G7232" s="400" t="s">
        <v>9567</v>
      </c>
    </row>
    <row r="7233" spans="7:7" x14ac:dyDescent="0.3">
      <c r="G7233" s="400" t="s">
        <v>9567</v>
      </c>
    </row>
    <row r="7234" spans="7:7" x14ac:dyDescent="0.3">
      <c r="G7234" s="400" t="s">
        <v>9567</v>
      </c>
    </row>
    <row r="7235" spans="7:7" x14ac:dyDescent="0.3">
      <c r="G7235" s="400" t="s">
        <v>9567</v>
      </c>
    </row>
    <row r="7236" spans="7:7" x14ac:dyDescent="0.3">
      <c r="G7236" s="400" t="s">
        <v>9567</v>
      </c>
    </row>
    <row r="7237" spans="7:7" x14ac:dyDescent="0.3">
      <c r="G7237" s="400" t="s">
        <v>9567</v>
      </c>
    </row>
    <row r="7238" spans="7:7" x14ac:dyDescent="0.3">
      <c r="G7238" s="400" t="s">
        <v>9567</v>
      </c>
    </row>
    <row r="7239" spans="7:7" x14ac:dyDescent="0.3">
      <c r="G7239" s="400" t="s">
        <v>9567</v>
      </c>
    </row>
    <row r="7240" spans="7:7" x14ac:dyDescent="0.3">
      <c r="G7240" s="400" t="s">
        <v>9567</v>
      </c>
    </row>
    <row r="7241" spans="7:7" x14ac:dyDescent="0.3">
      <c r="G7241" s="400" t="s">
        <v>9567</v>
      </c>
    </row>
    <row r="7242" spans="7:7" x14ac:dyDescent="0.3">
      <c r="G7242" s="400" t="s">
        <v>9567</v>
      </c>
    </row>
    <row r="7243" spans="7:7" x14ac:dyDescent="0.3">
      <c r="G7243" s="400" t="s">
        <v>9567</v>
      </c>
    </row>
    <row r="7244" spans="7:7" x14ac:dyDescent="0.3">
      <c r="G7244" s="400" t="s">
        <v>9567</v>
      </c>
    </row>
    <row r="7245" spans="7:7" x14ac:dyDescent="0.3">
      <c r="G7245" s="400" t="s">
        <v>9567</v>
      </c>
    </row>
    <row r="7246" spans="7:7" x14ac:dyDescent="0.3">
      <c r="G7246" s="400" t="s">
        <v>9567</v>
      </c>
    </row>
    <row r="7247" spans="7:7" x14ac:dyDescent="0.3">
      <c r="G7247" s="400" t="s">
        <v>9567</v>
      </c>
    </row>
    <row r="7248" spans="7:7" x14ac:dyDescent="0.3">
      <c r="G7248" s="400" t="s">
        <v>9567</v>
      </c>
    </row>
    <row r="7249" spans="7:7" x14ac:dyDescent="0.3">
      <c r="G7249" s="400" t="s">
        <v>9567</v>
      </c>
    </row>
    <row r="7250" spans="7:7" x14ac:dyDescent="0.3">
      <c r="G7250" s="400" t="s">
        <v>9567</v>
      </c>
    </row>
    <row r="7251" spans="7:7" x14ac:dyDescent="0.3">
      <c r="G7251" s="400" t="s">
        <v>9567</v>
      </c>
    </row>
    <row r="7252" spans="7:7" x14ac:dyDescent="0.3">
      <c r="G7252" s="400" t="s">
        <v>9567</v>
      </c>
    </row>
    <row r="7253" spans="7:7" x14ac:dyDescent="0.3">
      <c r="G7253" s="400" t="s">
        <v>9567</v>
      </c>
    </row>
    <row r="7254" spans="7:7" x14ac:dyDescent="0.3">
      <c r="G7254" s="400" t="s">
        <v>9567</v>
      </c>
    </row>
    <row r="7255" spans="7:7" x14ac:dyDescent="0.3">
      <c r="G7255" s="400" t="s">
        <v>9567</v>
      </c>
    </row>
    <row r="7256" spans="7:7" x14ac:dyDescent="0.3">
      <c r="G7256" s="400" t="s">
        <v>9567</v>
      </c>
    </row>
    <row r="7257" spans="7:7" x14ac:dyDescent="0.3">
      <c r="G7257" s="400" t="s">
        <v>9567</v>
      </c>
    </row>
    <row r="7258" spans="7:7" x14ac:dyDescent="0.3">
      <c r="G7258" s="400" t="s">
        <v>9567</v>
      </c>
    </row>
    <row r="7259" spans="7:7" x14ac:dyDescent="0.3">
      <c r="G7259" s="400" t="s">
        <v>9567</v>
      </c>
    </row>
    <row r="7260" spans="7:7" x14ac:dyDescent="0.3">
      <c r="G7260" s="400" t="s">
        <v>9567</v>
      </c>
    </row>
    <row r="7261" spans="7:7" x14ac:dyDescent="0.3">
      <c r="G7261" s="400" t="s">
        <v>9567</v>
      </c>
    </row>
    <row r="7262" spans="7:7" x14ac:dyDescent="0.3">
      <c r="G7262" s="400" t="s">
        <v>9567</v>
      </c>
    </row>
    <row r="7263" spans="7:7" x14ac:dyDescent="0.3">
      <c r="G7263" s="400" t="s">
        <v>9567</v>
      </c>
    </row>
    <row r="7264" spans="7:7" x14ac:dyDescent="0.3">
      <c r="G7264" s="400" t="s">
        <v>9567</v>
      </c>
    </row>
    <row r="7265" spans="7:7" x14ac:dyDescent="0.3">
      <c r="G7265" s="400" t="s">
        <v>9567</v>
      </c>
    </row>
    <row r="7266" spans="7:7" x14ac:dyDescent="0.3">
      <c r="G7266" s="400" t="s">
        <v>9567</v>
      </c>
    </row>
    <row r="7267" spans="7:7" x14ac:dyDescent="0.3">
      <c r="G7267" s="400" t="s">
        <v>9567</v>
      </c>
    </row>
    <row r="7268" spans="7:7" x14ac:dyDescent="0.3">
      <c r="G7268" s="400" t="s">
        <v>9567</v>
      </c>
    </row>
    <row r="7269" spans="7:7" x14ac:dyDescent="0.3">
      <c r="G7269" s="400" t="s">
        <v>9567</v>
      </c>
    </row>
    <row r="7270" spans="7:7" x14ac:dyDescent="0.3">
      <c r="G7270" s="400" t="s">
        <v>9567</v>
      </c>
    </row>
    <row r="7271" spans="7:7" x14ac:dyDescent="0.3">
      <c r="G7271" s="400" t="s">
        <v>9567</v>
      </c>
    </row>
    <row r="7272" spans="7:7" x14ac:dyDescent="0.3">
      <c r="G7272" s="400" t="s">
        <v>9567</v>
      </c>
    </row>
    <row r="7273" spans="7:7" x14ac:dyDescent="0.3">
      <c r="G7273" s="400" t="s">
        <v>9567</v>
      </c>
    </row>
    <row r="7274" spans="7:7" x14ac:dyDescent="0.3">
      <c r="G7274" s="400" t="s">
        <v>9567</v>
      </c>
    </row>
    <row r="7275" spans="7:7" x14ac:dyDescent="0.3">
      <c r="G7275" s="400" t="s">
        <v>9567</v>
      </c>
    </row>
    <row r="7276" spans="7:7" x14ac:dyDescent="0.3">
      <c r="G7276" s="400" t="s">
        <v>9567</v>
      </c>
    </row>
    <row r="7277" spans="7:7" x14ac:dyDescent="0.3">
      <c r="G7277" s="400" t="s">
        <v>9567</v>
      </c>
    </row>
    <row r="7278" spans="7:7" x14ac:dyDescent="0.3">
      <c r="G7278" s="400" t="s">
        <v>9567</v>
      </c>
    </row>
    <row r="7279" spans="7:7" x14ac:dyDescent="0.3">
      <c r="G7279" s="400" t="s">
        <v>9567</v>
      </c>
    </row>
    <row r="7280" spans="7:7" x14ac:dyDescent="0.3">
      <c r="G7280" s="400" t="s">
        <v>9567</v>
      </c>
    </row>
    <row r="7281" spans="7:7" x14ac:dyDescent="0.3">
      <c r="G7281" s="400" t="s">
        <v>9567</v>
      </c>
    </row>
    <row r="7282" spans="7:7" x14ac:dyDescent="0.3">
      <c r="G7282" s="400" t="s">
        <v>9567</v>
      </c>
    </row>
    <row r="7283" spans="7:7" x14ac:dyDescent="0.3">
      <c r="G7283" s="400" t="s">
        <v>9567</v>
      </c>
    </row>
    <row r="7284" spans="7:7" x14ac:dyDescent="0.3">
      <c r="G7284" s="400" t="s">
        <v>9567</v>
      </c>
    </row>
    <row r="7285" spans="7:7" x14ac:dyDescent="0.3">
      <c r="G7285" s="400" t="s">
        <v>9567</v>
      </c>
    </row>
    <row r="7286" spans="7:7" x14ac:dyDescent="0.3">
      <c r="G7286" s="400" t="s">
        <v>9567</v>
      </c>
    </row>
    <row r="7287" spans="7:7" x14ac:dyDescent="0.3">
      <c r="G7287" s="400" t="s">
        <v>9567</v>
      </c>
    </row>
    <row r="7288" spans="7:7" x14ac:dyDescent="0.3">
      <c r="G7288" s="400" t="s">
        <v>9567</v>
      </c>
    </row>
    <row r="7289" spans="7:7" x14ac:dyDescent="0.3">
      <c r="G7289" s="400" t="s">
        <v>9567</v>
      </c>
    </row>
    <row r="7290" spans="7:7" x14ac:dyDescent="0.3">
      <c r="G7290" s="400" t="s">
        <v>9567</v>
      </c>
    </row>
    <row r="7291" spans="7:7" x14ac:dyDescent="0.3">
      <c r="G7291" s="400" t="s">
        <v>9567</v>
      </c>
    </row>
    <row r="7292" spans="7:7" x14ac:dyDescent="0.3">
      <c r="G7292" s="400" t="s">
        <v>9567</v>
      </c>
    </row>
    <row r="7293" spans="7:7" x14ac:dyDescent="0.3">
      <c r="G7293" s="400" t="s">
        <v>9567</v>
      </c>
    </row>
    <row r="7294" spans="7:7" x14ac:dyDescent="0.3">
      <c r="G7294" s="400" t="s">
        <v>9567</v>
      </c>
    </row>
    <row r="7295" spans="7:7" x14ac:dyDescent="0.3">
      <c r="G7295" s="400" t="s">
        <v>9567</v>
      </c>
    </row>
    <row r="7296" spans="7:7" x14ac:dyDescent="0.3">
      <c r="G7296" s="400" t="s">
        <v>9567</v>
      </c>
    </row>
    <row r="7297" spans="7:7" x14ac:dyDescent="0.3">
      <c r="G7297" s="400" t="s">
        <v>9567</v>
      </c>
    </row>
    <row r="7298" spans="7:7" x14ac:dyDescent="0.3">
      <c r="G7298" s="400" t="s">
        <v>9567</v>
      </c>
    </row>
    <row r="7299" spans="7:7" x14ac:dyDescent="0.3">
      <c r="G7299" s="400" t="s">
        <v>9567</v>
      </c>
    </row>
    <row r="7300" spans="7:7" x14ac:dyDescent="0.3">
      <c r="G7300" s="400" t="s">
        <v>9567</v>
      </c>
    </row>
    <row r="7301" spans="7:7" x14ac:dyDescent="0.3">
      <c r="G7301" s="400" t="s">
        <v>9567</v>
      </c>
    </row>
    <row r="7302" spans="7:7" x14ac:dyDescent="0.3">
      <c r="G7302" s="400" t="s">
        <v>9567</v>
      </c>
    </row>
    <row r="7303" spans="7:7" x14ac:dyDescent="0.3">
      <c r="G7303" s="400" t="s">
        <v>9567</v>
      </c>
    </row>
    <row r="7304" spans="7:7" x14ac:dyDescent="0.3">
      <c r="G7304" s="400" t="s">
        <v>9567</v>
      </c>
    </row>
    <row r="7305" spans="7:7" x14ac:dyDescent="0.3">
      <c r="G7305" s="400" t="s">
        <v>9567</v>
      </c>
    </row>
    <row r="7306" spans="7:7" x14ac:dyDescent="0.3">
      <c r="G7306" s="400" t="s">
        <v>9567</v>
      </c>
    </row>
    <row r="7307" spans="7:7" x14ac:dyDescent="0.3">
      <c r="G7307" s="400" t="s">
        <v>9567</v>
      </c>
    </row>
    <row r="7308" spans="7:7" x14ac:dyDescent="0.3">
      <c r="G7308" s="400" t="s">
        <v>9567</v>
      </c>
    </row>
    <row r="7309" spans="7:7" x14ac:dyDescent="0.3">
      <c r="G7309" s="400" t="s">
        <v>9567</v>
      </c>
    </row>
    <row r="7310" spans="7:7" x14ac:dyDescent="0.3">
      <c r="G7310" s="400" t="s">
        <v>9567</v>
      </c>
    </row>
    <row r="7311" spans="7:7" x14ac:dyDescent="0.3">
      <c r="G7311" s="400" t="s">
        <v>9567</v>
      </c>
    </row>
    <row r="7312" spans="7:7" x14ac:dyDescent="0.3">
      <c r="G7312" s="400" t="s">
        <v>9567</v>
      </c>
    </row>
    <row r="7313" spans="7:7" x14ac:dyDescent="0.3">
      <c r="G7313" s="400" t="s">
        <v>9567</v>
      </c>
    </row>
    <row r="7314" spans="7:7" x14ac:dyDescent="0.3">
      <c r="G7314" s="400" t="s">
        <v>9567</v>
      </c>
    </row>
    <row r="7315" spans="7:7" x14ac:dyDescent="0.3">
      <c r="G7315" s="400" t="s">
        <v>9567</v>
      </c>
    </row>
    <row r="7316" spans="7:7" x14ac:dyDescent="0.3">
      <c r="G7316" s="400" t="s">
        <v>9567</v>
      </c>
    </row>
    <row r="7317" spans="7:7" x14ac:dyDescent="0.3">
      <c r="G7317" s="400" t="s">
        <v>9567</v>
      </c>
    </row>
    <row r="7318" spans="7:7" x14ac:dyDescent="0.3">
      <c r="G7318" s="400" t="s">
        <v>9567</v>
      </c>
    </row>
    <row r="7319" spans="7:7" x14ac:dyDescent="0.3">
      <c r="G7319" s="400" t="s">
        <v>9567</v>
      </c>
    </row>
    <row r="7320" spans="7:7" x14ac:dyDescent="0.3">
      <c r="G7320" s="400" t="s">
        <v>9567</v>
      </c>
    </row>
    <row r="7321" spans="7:7" x14ac:dyDescent="0.3">
      <c r="G7321" s="400" t="s">
        <v>9567</v>
      </c>
    </row>
    <row r="7322" spans="7:7" x14ac:dyDescent="0.3">
      <c r="G7322" s="400" t="s">
        <v>9567</v>
      </c>
    </row>
    <row r="7323" spans="7:7" x14ac:dyDescent="0.3">
      <c r="G7323" s="400" t="s">
        <v>9567</v>
      </c>
    </row>
    <row r="7324" spans="7:7" x14ac:dyDescent="0.3">
      <c r="G7324" s="400" t="s">
        <v>9567</v>
      </c>
    </row>
    <row r="7325" spans="7:7" x14ac:dyDescent="0.3">
      <c r="G7325" s="400" t="s">
        <v>9567</v>
      </c>
    </row>
    <row r="7326" spans="7:7" x14ac:dyDescent="0.3">
      <c r="G7326" s="400" t="s">
        <v>9567</v>
      </c>
    </row>
    <row r="7327" spans="7:7" x14ac:dyDescent="0.3">
      <c r="G7327" s="400" t="s">
        <v>9567</v>
      </c>
    </row>
    <row r="7328" spans="7:7" x14ac:dyDescent="0.3">
      <c r="G7328" s="400" t="s">
        <v>9567</v>
      </c>
    </row>
    <row r="7329" spans="7:7" x14ac:dyDescent="0.3">
      <c r="G7329" s="400" t="s">
        <v>9567</v>
      </c>
    </row>
    <row r="7330" spans="7:7" x14ac:dyDescent="0.3">
      <c r="G7330" s="400" t="s">
        <v>9567</v>
      </c>
    </row>
    <row r="7331" spans="7:7" x14ac:dyDescent="0.3">
      <c r="G7331" s="400" t="s">
        <v>9567</v>
      </c>
    </row>
    <row r="7332" spans="7:7" x14ac:dyDescent="0.3">
      <c r="G7332" s="400" t="s">
        <v>9567</v>
      </c>
    </row>
    <row r="7333" spans="7:7" x14ac:dyDescent="0.3">
      <c r="G7333" s="400" t="s">
        <v>9567</v>
      </c>
    </row>
    <row r="7334" spans="7:7" x14ac:dyDescent="0.3">
      <c r="G7334" s="400" t="s">
        <v>9567</v>
      </c>
    </row>
    <row r="7335" spans="7:7" x14ac:dyDescent="0.3">
      <c r="G7335" s="400" t="s">
        <v>9567</v>
      </c>
    </row>
    <row r="7336" spans="7:7" x14ac:dyDescent="0.3">
      <c r="G7336" s="400" t="s">
        <v>9567</v>
      </c>
    </row>
    <row r="7337" spans="7:7" x14ac:dyDescent="0.3">
      <c r="G7337" s="400" t="s">
        <v>9567</v>
      </c>
    </row>
    <row r="7338" spans="7:7" x14ac:dyDescent="0.3">
      <c r="G7338" s="400" t="s">
        <v>9567</v>
      </c>
    </row>
    <row r="7339" spans="7:7" x14ac:dyDescent="0.3">
      <c r="G7339" s="400" t="s">
        <v>9567</v>
      </c>
    </row>
    <row r="7340" spans="7:7" x14ac:dyDescent="0.3">
      <c r="G7340" s="400" t="s">
        <v>9567</v>
      </c>
    </row>
    <row r="7341" spans="7:7" x14ac:dyDescent="0.3">
      <c r="G7341" s="400" t="s">
        <v>9567</v>
      </c>
    </row>
    <row r="7342" spans="7:7" x14ac:dyDescent="0.3">
      <c r="G7342" s="400" t="s">
        <v>9567</v>
      </c>
    </row>
    <row r="7343" spans="7:7" x14ac:dyDescent="0.3">
      <c r="G7343" s="400" t="s">
        <v>9567</v>
      </c>
    </row>
    <row r="7344" spans="7:7" x14ac:dyDescent="0.3">
      <c r="G7344" s="400" t="s">
        <v>9567</v>
      </c>
    </row>
    <row r="7345" spans="7:7" x14ac:dyDescent="0.3">
      <c r="G7345" s="400" t="s">
        <v>9567</v>
      </c>
    </row>
    <row r="7346" spans="7:7" x14ac:dyDescent="0.3">
      <c r="G7346" s="400" t="s">
        <v>9567</v>
      </c>
    </row>
    <row r="7347" spans="7:7" x14ac:dyDescent="0.3">
      <c r="G7347" s="400" t="s">
        <v>9567</v>
      </c>
    </row>
    <row r="7348" spans="7:7" x14ac:dyDescent="0.3">
      <c r="G7348" s="400" t="s">
        <v>9567</v>
      </c>
    </row>
    <row r="7349" spans="7:7" x14ac:dyDescent="0.3">
      <c r="G7349" s="400" t="s">
        <v>9567</v>
      </c>
    </row>
    <row r="7350" spans="7:7" x14ac:dyDescent="0.3">
      <c r="G7350" s="400" t="s">
        <v>9567</v>
      </c>
    </row>
    <row r="7351" spans="7:7" x14ac:dyDescent="0.3">
      <c r="G7351" s="400" t="s">
        <v>9567</v>
      </c>
    </row>
    <row r="7352" spans="7:7" x14ac:dyDescent="0.3">
      <c r="G7352" s="400" t="s">
        <v>9567</v>
      </c>
    </row>
    <row r="7353" spans="7:7" x14ac:dyDescent="0.3">
      <c r="G7353" s="400" t="s">
        <v>9567</v>
      </c>
    </row>
    <row r="7354" spans="7:7" x14ac:dyDescent="0.3">
      <c r="G7354" s="400" t="s">
        <v>9567</v>
      </c>
    </row>
    <row r="7355" spans="7:7" x14ac:dyDescent="0.3">
      <c r="G7355" s="400" t="s">
        <v>9567</v>
      </c>
    </row>
    <row r="7356" spans="7:7" x14ac:dyDescent="0.3">
      <c r="G7356" s="400" t="s">
        <v>9567</v>
      </c>
    </row>
    <row r="7357" spans="7:7" x14ac:dyDescent="0.3">
      <c r="G7357" s="400" t="s">
        <v>9567</v>
      </c>
    </row>
    <row r="7358" spans="7:7" x14ac:dyDescent="0.3">
      <c r="G7358" s="400" t="s">
        <v>9567</v>
      </c>
    </row>
    <row r="7359" spans="7:7" x14ac:dyDescent="0.3">
      <c r="G7359" s="400" t="s">
        <v>9567</v>
      </c>
    </row>
    <row r="7360" spans="7:7" x14ac:dyDescent="0.3">
      <c r="G7360" s="400" t="s">
        <v>9567</v>
      </c>
    </row>
    <row r="7361" spans="7:7" x14ac:dyDescent="0.3">
      <c r="G7361" s="400" t="s">
        <v>9567</v>
      </c>
    </row>
    <row r="7362" spans="7:7" x14ac:dyDescent="0.3">
      <c r="G7362" s="400" t="s">
        <v>9567</v>
      </c>
    </row>
    <row r="7363" spans="7:7" x14ac:dyDescent="0.3">
      <c r="G7363" s="400" t="s">
        <v>9567</v>
      </c>
    </row>
    <row r="7364" spans="7:7" x14ac:dyDescent="0.3">
      <c r="G7364" s="400" t="s">
        <v>9567</v>
      </c>
    </row>
    <row r="7365" spans="7:7" x14ac:dyDescent="0.3">
      <c r="G7365" s="400" t="s">
        <v>9567</v>
      </c>
    </row>
    <row r="7366" spans="7:7" x14ac:dyDescent="0.3">
      <c r="G7366" s="400" t="s">
        <v>9567</v>
      </c>
    </row>
    <row r="7367" spans="7:7" x14ac:dyDescent="0.3">
      <c r="G7367" s="400" t="s">
        <v>9567</v>
      </c>
    </row>
    <row r="7368" spans="7:7" x14ac:dyDescent="0.3">
      <c r="G7368" s="400" t="s">
        <v>9567</v>
      </c>
    </row>
    <row r="7369" spans="7:7" x14ac:dyDescent="0.3">
      <c r="G7369" s="400" t="s">
        <v>9567</v>
      </c>
    </row>
    <row r="7370" spans="7:7" x14ac:dyDescent="0.3">
      <c r="G7370" s="400" t="s">
        <v>9567</v>
      </c>
    </row>
    <row r="7371" spans="7:7" x14ac:dyDescent="0.3">
      <c r="G7371" s="400" t="s">
        <v>9567</v>
      </c>
    </row>
    <row r="7372" spans="7:7" x14ac:dyDescent="0.3">
      <c r="G7372" s="400" t="s">
        <v>9567</v>
      </c>
    </row>
    <row r="7373" spans="7:7" x14ac:dyDescent="0.3">
      <c r="G7373" s="400" t="s">
        <v>9567</v>
      </c>
    </row>
    <row r="7374" spans="7:7" x14ac:dyDescent="0.3">
      <c r="G7374" s="400" t="s">
        <v>9567</v>
      </c>
    </row>
    <row r="7375" spans="7:7" x14ac:dyDescent="0.3">
      <c r="G7375" s="400" t="s">
        <v>9567</v>
      </c>
    </row>
    <row r="7376" spans="7:7" x14ac:dyDescent="0.3">
      <c r="G7376" s="400" t="s">
        <v>9567</v>
      </c>
    </row>
    <row r="7377" spans="7:7" x14ac:dyDescent="0.3">
      <c r="G7377" s="400" t="s">
        <v>9567</v>
      </c>
    </row>
    <row r="7378" spans="7:7" x14ac:dyDescent="0.3">
      <c r="G7378" s="400" t="s">
        <v>9567</v>
      </c>
    </row>
    <row r="7379" spans="7:7" x14ac:dyDescent="0.3">
      <c r="G7379" s="400" t="s">
        <v>9567</v>
      </c>
    </row>
    <row r="7380" spans="7:7" x14ac:dyDescent="0.3">
      <c r="G7380" s="400" t="s">
        <v>9567</v>
      </c>
    </row>
    <row r="7381" spans="7:7" x14ac:dyDescent="0.3">
      <c r="G7381" s="400" t="s">
        <v>9567</v>
      </c>
    </row>
    <row r="7382" spans="7:7" x14ac:dyDescent="0.3">
      <c r="G7382" s="400" t="s">
        <v>9567</v>
      </c>
    </row>
    <row r="7383" spans="7:7" x14ac:dyDescent="0.3">
      <c r="G7383" s="400" t="s">
        <v>9567</v>
      </c>
    </row>
    <row r="7384" spans="7:7" x14ac:dyDescent="0.3">
      <c r="G7384" s="400" t="s">
        <v>9567</v>
      </c>
    </row>
    <row r="7385" spans="7:7" x14ac:dyDescent="0.3">
      <c r="G7385" s="400" t="s">
        <v>9567</v>
      </c>
    </row>
    <row r="7386" spans="7:7" x14ac:dyDescent="0.3">
      <c r="G7386" s="400" t="s">
        <v>9567</v>
      </c>
    </row>
    <row r="7387" spans="7:7" x14ac:dyDescent="0.3">
      <c r="G7387" s="400" t="s">
        <v>9567</v>
      </c>
    </row>
    <row r="7388" spans="7:7" x14ac:dyDescent="0.3">
      <c r="G7388" s="400" t="s">
        <v>9567</v>
      </c>
    </row>
    <row r="7389" spans="7:7" x14ac:dyDescent="0.3">
      <c r="G7389" s="400" t="s">
        <v>9567</v>
      </c>
    </row>
    <row r="7390" spans="7:7" x14ac:dyDescent="0.3">
      <c r="G7390" s="400" t="s">
        <v>9567</v>
      </c>
    </row>
    <row r="7391" spans="7:7" x14ac:dyDescent="0.3">
      <c r="G7391" s="400" t="s">
        <v>9567</v>
      </c>
    </row>
    <row r="7392" spans="7:7" x14ac:dyDescent="0.3">
      <c r="G7392" s="400" t="s">
        <v>9567</v>
      </c>
    </row>
    <row r="7393" spans="7:7" x14ac:dyDescent="0.3">
      <c r="G7393" s="400" t="s">
        <v>9567</v>
      </c>
    </row>
    <row r="7394" spans="7:7" x14ac:dyDescent="0.3">
      <c r="G7394" s="400" t="s">
        <v>9567</v>
      </c>
    </row>
    <row r="7395" spans="7:7" x14ac:dyDescent="0.3">
      <c r="G7395" s="400" t="s">
        <v>9567</v>
      </c>
    </row>
    <row r="7396" spans="7:7" x14ac:dyDescent="0.3">
      <c r="G7396" s="400" t="s">
        <v>9567</v>
      </c>
    </row>
    <row r="7397" spans="7:7" x14ac:dyDescent="0.3">
      <c r="G7397" s="400" t="s">
        <v>9567</v>
      </c>
    </row>
    <row r="7398" spans="7:7" x14ac:dyDescent="0.3">
      <c r="G7398" s="400" t="s">
        <v>9567</v>
      </c>
    </row>
    <row r="7399" spans="7:7" x14ac:dyDescent="0.3">
      <c r="G7399" s="400" t="s">
        <v>9567</v>
      </c>
    </row>
    <row r="7400" spans="7:7" x14ac:dyDescent="0.3">
      <c r="G7400" s="400" t="s">
        <v>9567</v>
      </c>
    </row>
    <row r="7401" spans="7:7" x14ac:dyDescent="0.3">
      <c r="G7401" s="400" t="s">
        <v>9567</v>
      </c>
    </row>
    <row r="7402" spans="7:7" x14ac:dyDescent="0.3">
      <c r="G7402" s="400" t="s">
        <v>9567</v>
      </c>
    </row>
    <row r="7403" spans="7:7" x14ac:dyDescent="0.3">
      <c r="G7403" s="400" t="s">
        <v>9567</v>
      </c>
    </row>
    <row r="7404" spans="7:7" x14ac:dyDescent="0.3">
      <c r="G7404" s="400" t="s">
        <v>9567</v>
      </c>
    </row>
    <row r="7405" spans="7:7" x14ac:dyDescent="0.3">
      <c r="G7405" s="400" t="s">
        <v>9567</v>
      </c>
    </row>
    <row r="7406" spans="7:7" x14ac:dyDescent="0.3">
      <c r="G7406" s="400" t="s">
        <v>9567</v>
      </c>
    </row>
    <row r="7407" spans="7:7" x14ac:dyDescent="0.3">
      <c r="G7407" s="400" t="s">
        <v>9567</v>
      </c>
    </row>
    <row r="7408" spans="7:7" x14ac:dyDescent="0.3">
      <c r="G7408" s="400" t="s">
        <v>9567</v>
      </c>
    </row>
    <row r="7409" spans="7:7" x14ac:dyDescent="0.3">
      <c r="G7409" s="400" t="s">
        <v>9567</v>
      </c>
    </row>
    <row r="7410" spans="7:7" x14ac:dyDescent="0.3">
      <c r="G7410" s="400" t="s">
        <v>9567</v>
      </c>
    </row>
    <row r="7411" spans="7:7" x14ac:dyDescent="0.3">
      <c r="G7411" s="400" t="s">
        <v>9567</v>
      </c>
    </row>
    <row r="7412" spans="7:7" x14ac:dyDescent="0.3">
      <c r="G7412" s="400" t="s">
        <v>9567</v>
      </c>
    </row>
    <row r="7413" spans="7:7" x14ac:dyDescent="0.3">
      <c r="G7413" s="400" t="s">
        <v>9567</v>
      </c>
    </row>
    <row r="7414" spans="7:7" x14ac:dyDescent="0.3">
      <c r="G7414" s="400" t="s">
        <v>9567</v>
      </c>
    </row>
    <row r="7415" spans="7:7" x14ac:dyDescent="0.3">
      <c r="G7415" s="400" t="s">
        <v>9567</v>
      </c>
    </row>
    <row r="7416" spans="7:7" x14ac:dyDescent="0.3">
      <c r="G7416" s="400" t="s">
        <v>9567</v>
      </c>
    </row>
    <row r="7417" spans="7:7" x14ac:dyDescent="0.3">
      <c r="G7417" s="400" t="s">
        <v>9567</v>
      </c>
    </row>
    <row r="7418" spans="7:7" x14ac:dyDescent="0.3">
      <c r="G7418" s="400" t="s">
        <v>9567</v>
      </c>
    </row>
    <row r="7419" spans="7:7" x14ac:dyDescent="0.3">
      <c r="G7419" s="400" t="s">
        <v>9567</v>
      </c>
    </row>
    <row r="7420" spans="7:7" x14ac:dyDescent="0.3">
      <c r="G7420" s="400" t="s">
        <v>9567</v>
      </c>
    </row>
    <row r="7421" spans="7:7" x14ac:dyDescent="0.3">
      <c r="G7421" s="400" t="s">
        <v>9567</v>
      </c>
    </row>
    <row r="7422" spans="7:7" x14ac:dyDescent="0.3">
      <c r="G7422" s="400" t="s">
        <v>9567</v>
      </c>
    </row>
    <row r="7423" spans="7:7" x14ac:dyDescent="0.3">
      <c r="G7423" s="400" t="s">
        <v>9567</v>
      </c>
    </row>
    <row r="7424" spans="7:7" x14ac:dyDescent="0.3">
      <c r="G7424" s="400" t="s">
        <v>9567</v>
      </c>
    </row>
    <row r="7425" spans="7:7" x14ac:dyDescent="0.3">
      <c r="G7425" s="400" t="s">
        <v>9567</v>
      </c>
    </row>
    <row r="7426" spans="7:7" x14ac:dyDescent="0.3">
      <c r="G7426" s="400" t="s">
        <v>9567</v>
      </c>
    </row>
    <row r="7427" spans="7:7" x14ac:dyDescent="0.3">
      <c r="G7427" s="400" t="s">
        <v>9567</v>
      </c>
    </row>
    <row r="7428" spans="7:7" x14ac:dyDescent="0.3">
      <c r="G7428" s="400" t="s">
        <v>9567</v>
      </c>
    </row>
    <row r="7429" spans="7:7" x14ac:dyDescent="0.3">
      <c r="G7429" s="400" t="s">
        <v>9567</v>
      </c>
    </row>
    <row r="7430" spans="7:7" x14ac:dyDescent="0.3">
      <c r="G7430" s="400" t="s">
        <v>9567</v>
      </c>
    </row>
    <row r="7431" spans="7:7" x14ac:dyDescent="0.3">
      <c r="G7431" s="400" t="s">
        <v>9567</v>
      </c>
    </row>
    <row r="7432" spans="7:7" x14ac:dyDescent="0.3">
      <c r="G7432" s="400" t="s">
        <v>9567</v>
      </c>
    </row>
    <row r="7433" spans="7:7" x14ac:dyDescent="0.3">
      <c r="G7433" s="400" t="s">
        <v>9567</v>
      </c>
    </row>
    <row r="7434" spans="7:7" x14ac:dyDescent="0.3">
      <c r="G7434" s="400" t="s">
        <v>9567</v>
      </c>
    </row>
    <row r="7435" spans="7:7" x14ac:dyDescent="0.3">
      <c r="G7435" s="400" t="s">
        <v>9567</v>
      </c>
    </row>
    <row r="7436" spans="7:7" x14ac:dyDescent="0.3">
      <c r="G7436" s="400" t="s">
        <v>9567</v>
      </c>
    </row>
    <row r="7437" spans="7:7" x14ac:dyDescent="0.3">
      <c r="G7437" s="400" t="s">
        <v>9567</v>
      </c>
    </row>
    <row r="7438" spans="7:7" x14ac:dyDescent="0.3">
      <c r="G7438" s="400" t="s">
        <v>9567</v>
      </c>
    </row>
    <row r="7439" spans="7:7" x14ac:dyDescent="0.3">
      <c r="G7439" s="400" t="s">
        <v>9567</v>
      </c>
    </row>
    <row r="7440" spans="7:7" x14ac:dyDescent="0.3">
      <c r="G7440" s="400" t="s">
        <v>9567</v>
      </c>
    </row>
    <row r="7441" spans="7:7" x14ac:dyDescent="0.3">
      <c r="G7441" s="400" t="s">
        <v>9567</v>
      </c>
    </row>
    <row r="7442" spans="7:7" x14ac:dyDescent="0.3">
      <c r="G7442" s="400" t="s">
        <v>9567</v>
      </c>
    </row>
    <row r="7443" spans="7:7" x14ac:dyDescent="0.3">
      <c r="G7443" s="400" t="s">
        <v>9567</v>
      </c>
    </row>
    <row r="7444" spans="7:7" x14ac:dyDescent="0.3">
      <c r="G7444" s="400" t="s">
        <v>9567</v>
      </c>
    </row>
    <row r="7445" spans="7:7" x14ac:dyDescent="0.3">
      <c r="G7445" s="400" t="s">
        <v>9567</v>
      </c>
    </row>
    <row r="7446" spans="7:7" x14ac:dyDescent="0.3">
      <c r="G7446" s="400" t="s">
        <v>9567</v>
      </c>
    </row>
    <row r="7447" spans="7:7" x14ac:dyDescent="0.3">
      <c r="G7447" s="400" t="s">
        <v>9567</v>
      </c>
    </row>
    <row r="7448" spans="7:7" x14ac:dyDescent="0.3">
      <c r="G7448" s="400" t="s">
        <v>9567</v>
      </c>
    </row>
    <row r="7449" spans="7:7" x14ac:dyDescent="0.3">
      <c r="G7449" s="400" t="s">
        <v>9567</v>
      </c>
    </row>
    <row r="7450" spans="7:7" x14ac:dyDescent="0.3">
      <c r="G7450" s="400" t="s">
        <v>9567</v>
      </c>
    </row>
    <row r="7451" spans="7:7" x14ac:dyDescent="0.3">
      <c r="G7451" s="400" t="s">
        <v>9567</v>
      </c>
    </row>
    <row r="7452" spans="7:7" x14ac:dyDescent="0.3">
      <c r="G7452" s="400" t="s">
        <v>9567</v>
      </c>
    </row>
    <row r="7453" spans="7:7" x14ac:dyDescent="0.3">
      <c r="G7453" s="400" t="s">
        <v>9567</v>
      </c>
    </row>
    <row r="7454" spans="7:7" x14ac:dyDescent="0.3">
      <c r="G7454" s="400" t="s">
        <v>9567</v>
      </c>
    </row>
    <row r="7455" spans="7:7" x14ac:dyDescent="0.3">
      <c r="G7455" s="400" t="s">
        <v>9567</v>
      </c>
    </row>
    <row r="7456" spans="7:7" x14ac:dyDescent="0.3">
      <c r="G7456" s="400" t="s">
        <v>9567</v>
      </c>
    </row>
    <row r="7457" spans="7:7" x14ac:dyDescent="0.3">
      <c r="G7457" s="400" t="s">
        <v>9567</v>
      </c>
    </row>
    <row r="7458" spans="7:7" x14ac:dyDescent="0.3">
      <c r="G7458" s="400" t="s">
        <v>9567</v>
      </c>
    </row>
    <row r="7459" spans="7:7" x14ac:dyDescent="0.3">
      <c r="G7459" s="400" t="s">
        <v>9567</v>
      </c>
    </row>
    <row r="7460" spans="7:7" x14ac:dyDescent="0.3">
      <c r="G7460" s="400" t="s">
        <v>9567</v>
      </c>
    </row>
    <row r="7461" spans="7:7" x14ac:dyDescent="0.3">
      <c r="G7461" s="400" t="s">
        <v>9567</v>
      </c>
    </row>
    <row r="7462" spans="7:7" x14ac:dyDescent="0.3">
      <c r="G7462" s="400" t="s">
        <v>9567</v>
      </c>
    </row>
    <row r="7463" spans="7:7" x14ac:dyDescent="0.3">
      <c r="G7463" s="400" t="s">
        <v>9567</v>
      </c>
    </row>
    <row r="7464" spans="7:7" x14ac:dyDescent="0.3">
      <c r="G7464" s="400" t="s">
        <v>9567</v>
      </c>
    </row>
    <row r="7465" spans="7:7" x14ac:dyDescent="0.3">
      <c r="G7465" s="400" t="s">
        <v>9567</v>
      </c>
    </row>
    <row r="7466" spans="7:7" x14ac:dyDescent="0.3">
      <c r="G7466" s="400" t="s">
        <v>9567</v>
      </c>
    </row>
    <row r="7467" spans="7:7" x14ac:dyDescent="0.3">
      <c r="G7467" s="400" t="s">
        <v>9567</v>
      </c>
    </row>
    <row r="7468" spans="7:7" x14ac:dyDescent="0.3">
      <c r="G7468" s="400" t="s">
        <v>9567</v>
      </c>
    </row>
    <row r="7469" spans="7:7" x14ac:dyDescent="0.3">
      <c r="G7469" s="400" t="s">
        <v>9567</v>
      </c>
    </row>
    <row r="7470" spans="7:7" x14ac:dyDescent="0.3">
      <c r="G7470" s="400" t="s">
        <v>9567</v>
      </c>
    </row>
    <row r="7471" spans="7:7" x14ac:dyDescent="0.3">
      <c r="G7471" s="400" t="s">
        <v>9567</v>
      </c>
    </row>
    <row r="7472" spans="7:7" x14ac:dyDescent="0.3">
      <c r="G7472" s="400" t="s">
        <v>9567</v>
      </c>
    </row>
    <row r="7473" spans="7:7" x14ac:dyDescent="0.3">
      <c r="G7473" s="400" t="s">
        <v>9567</v>
      </c>
    </row>
    <row r="7474" spans="7:7" x14ac:dyDescent="0.3">
      <c r="G7474" s="400" t="s">
        <v>9567</v>
      </c>
    </row>
    <row r="7475" spans="7:7" x14ac:dyDescent="0.3">
      <c r="G7475" s="400" t="s">
        <v>9567</v>
      </c>
    </row>
    <row r="7476" spans="7:7" x14ac:dyDescent="0.3">
      <c r="G7476" s="400" t="s">
        <v>9567</v>
      </c>
    </row>
    <row r="7477" spans="7:7" x14ac:dyDescent="0.3">
      <c r="G7477" s="400" t="s">
        <v>9567</v>
      </c>
    </row>
    <row r="7478" spans="7:7" x14ac:dyDescent="0.3">
      <c r="G7478" s="400" t="s">
        <v>9567</v>
      </c>
    </row>
    <row r="7479" spans="7:7" x14ac:dyDescent="0.3">
      <c r="G7479" s="400" t="s">
        <v>9567</v>
      </c>
    </row>
    <row r="7480" spans="7:7" x14ac:dyDescent="0.3">
      <c r="G7480" s="400" t="s">
        <v>9567</v>
      </c>
    </row>
    <row r="7481" spans="7:7" x14ac:dyDescent="0.3">
      <c r="G7481" s="400" t="s">
        <v>9567</v>
      </c>
    </row>
    <row r="7482" spans="7:7" x14ac:dyDescent="0.3">
      <c r="G7482" s="400" t="s">
        <v>9567</v>
      </c>
    </row>
    <row r="7483" spans="7:7" x14ac:dyDescent="0.3">
      <c r="G7483" s="400" t="s">
        <v>9567</v>
      </c>
    </row>
    <row r="7484" spans="7:7" x14ac:dyDescent="0.3">
      <c r="G7484" s="400" t="s">
        <v>9567</v>
      </c>
    </row>
    <row r="7485" spans="7:7" x14ac:dyDescent="0.3">
      <c r="G7485" s="400" t="s">
        <v>9567</v>
      </c>
    </row>
    <row r="7486" spans="7:7" x14ac:dyDescent="0.3">
      <c r="G7486" s="400" t="s">
        <v>9567</v>
      </c>
    </row>
    <row r="7487" spans="7:7" x14ac:dyDescent="0.3">
      <c r="G7487" s="400" t="s">
        <v>9567</v>
      </c>
    </row>
    <row r="7488" spans="7:7" x14ac:dyDescent="0.3">
      <c r="G7488" s="400" t="s">
        <v>9567</v>
      </c>
    </row>
    <row r="7489" spans="7:7" x14ac:dyDescent="0.3">
      <c r="G7489" s="400" t="s">
        <v>9567</v>
      </c>
    </row>
    <row r="7490" spans="7:7" x14ac:dyDescent="0.3">
      <c r="G7490" s="400" t="s">
        <v>9567</v>
      </c>
    </row>
    <row r="7491" spans="7:7" x14ac:dyDescent="0.3">
      <c r="G7491" s="400" t="s">
        <v>9567</v>
      </c>
    </row>
    <row r="7492" spans="7:7" x14ac:dyDescent="0.3">
      <c r="G7492" s="400" t="s">
        <v>9567</v>
      </c>
    </row>
    <row r="7493" spans="7:7" x14ac:dyDescent="0.3">
      <c r="G7493" s="400" t="s">
        <v>9567</v>
      </c>
    </row>
    <row r="7494" spans="7:7" x14ac:dyDescent="0.3">
      <c r="G7494" s="400" t="s">
        <v>9567</v>
      </c>
    </row>
    <row r="7495" spans="7:7" x14ac:dyDescent="0.3">
      <c r="G7495" s="400" t="s">
        <v>9567</v>
      </c>
    </row>
    <row r="7496" spans="7:7" x14ac:dyDescent="0.3">
      <c r="G7496" s="400" t="s">
        <v>9567</v>
      </c>
    </row>
    <row r="7497" spans="7:7" x14ac:dyDescent="0.3">
      <c r="G7497" s="400" t="s">
        <v>9567</v>
      </c>
    </row>
    <row r="7498" spans="7:7" x14ac:dyDescent="0.3">
      <c r="G7498" s="400" t="s">
        <v>9567</v>
      </c>
    </row>
    <row r="7499" spans="7:7" x14ac:dyDescent="0.3">
      <c r="G7499" s="400" t="s">
        <v>9567</v>
      </c>
    </row>
    <row r="7500" spans="7:7" x14ac:dyDescent="0.3">
      <c r="G7500" s="400" t="s">
        <v>9567</v>
      </c>
    </row>
    <row r="7501" spans="7:7" x14ac:dyDescent="0.3">
      <c r="G7501" s="400" t="s">
        <v>9567</v>
      </c>
    </row>
    <row r="7502" spans="7:7" x14ac:dyDescent="0.3">
      <c r="G7502" s="400" t="s">
        <v>9567</v>
      </c>
    </row>
    <row r="7503" spans="7:7" x14ac:dyDescent="0.3">
      <c r="G7503" s="400" t="s">
        <v>9567</v>
      </c>
    </row>
    <row r="7504" spans="7:7" x14ac:dyDescent="0.3">
      <c r="G7504" s="400" t="s">
        <v>9567</v>
      </c>
    </row>
    <row r="7505" spans="7:7" x14ac:dyDescent="0.3">
      <c r="G7505" s="400" t="s">
        <v>9567</v>
      </c>
    </row>
    <row r="7506" spans="7:7" x14ac:dyDescent="0.3">
      <c r="G7506" s="400" t="s">
        <v>9567</v>
      </c>
    </row>
    <row r="7507" spans="7:7" x14ac:dyDescent="0.3">
      <c r="G7507" s="400" t="s">
        <v>9567</v>
      </c>
    </row>
    <row r="7508" spans="7:7" x14ac:dyDescent="0.3">
      <c r="G7508" s="400" t="s">
        <v>9567</v>
      </c>
    </row>
    <row r="7509" spans="7:7" x14ac:dyDescent="0.3">
      <c r="G7509" s="400" t="s">
        <v>9567</v>
      </c>
    </row>
    <row r="7510" spans="7:7" x14ac:dyDescent="0.3">
      <c r="G7510" s="400" t="s">
        <v>9567</v>
      </c>
    </row>
    <row r="7511" spans="7:7" x14ac:dyDescent="0.3">
      <c r="G7511" s="400" t="s">
        <v>9567</v>
      </c>
    </row>
    <row r="7512" spans="7:7" x14ac:dyDescent="0.3">
      <c r="G7512" s="400" t="s">
        <v>9567</v>
      </c>
    </row>
    <row r="7513" spans="7:7" x14ac:dyDescent="0.3">
      <c r="G7513" s="400" t="s">
        <v>9567</v>
      </c>
    </row>
    <row r="7514" spans="7:7" x14ac:dyDescent="0.3">
      <c r="G7514" s="400" t="s">
        <v>9567</v>
      </c>
    </row>
    <row r="7515" spans="7:7" x14ac:dyDescent="0.3">
      <c r="G7515" s="400" t="s">
        <v>9567</v>
      </c>
    </row>
    <row r="7516" spans="7:7" x14ac:dyDescent="0.3">
      <c r="G7516" s="400" t="s">
        <v>9567</v>
      </c>
    </row>
    <row r="7517" spans="7:7" x14ac:dyDescent="0.3">
      <c r="G7517" s="400" t="s">
        <v>9567</v>
      </c>
    </row>
    <row r="7518" spans="7:7" x14ac:dyDescent="0.3">
      <c r="G7518" s="400" t="s">
        <v>9567</v>
      </c>
    </row>
    <row r="7519" spans="7:7" x14ac:dyDescent="0.3">
      <c r="G7519" s="400" t="s">
        <v>9567</v>
      </c>
    </row>
    <row r="7520" spans="7:7" x14ac:dyDescent="0.3">
      <c r="G7520" s="400" t="s">
        <v>9567</v>
      </c>
    </row>
    <row r="7521" spans="7:7" x14ac:dyDescent="0.3">
      <c r="G7521" s="400" t="s">
        <v>9567</v>
      </c>
    </row>
    <row r="7522" spans="7:7" x14ac:dyDescent="0.3">
      <c r="G7522" s="400" t="s">
        <v>9567</v>
      </c>
    </row>
    <row r="7523" spans="7:7" x14ac:dyDescent="0.3">
      <c r="G7523" s="400" t="s">
        <v>9567</v>
      </c>
    </row>
    <row r="7524" spans="7:7" x14ac:dyDescent="0.3">
      <c r="G7524" s="400" t="s">
        <v>9567</v>
      </c>
    </row>
    <row r="7525" spans="7:7" x14ac:dyDescent="0.3">
      <c r="G7525" s="400" t="s">
        <v>9567</v>
      </c>
    </row>
    <row r="7526" spans="7:7" x14ac:dyDescent="0.3">
      <c r="G7526" s="400" t="s">
        <v>9567</v>
      </c>
    </row>
    <row r="7527" spans="7:7" x14ac:dyDescent="0.3">
      <c r="G7527" s="400" t="s">
        <v>9567</v>
      </c>
    </row>
    <row r="7528" spans="7:7" x14ac:dyDescent="0.3">
      <c r="G7528" s="400" t="s">
        <v>9567</v>
      </c>
    </row>
    <row r="7529" spans="7:7" x14ac:dyDescent="0.3">
      <c r="G7529" s="400" t="s">
        <v>9567</v>
      </c>
    </row>
    <row r="7530" spans="7:7" x14ac:dyDescent="0.3">
      <c r="G7530" s="400" t="s">
        <v>9567</v>
      </c>
    </row>
    <row r="7531" spans="7:7" x14ac:dyDescent="0.3">
      <c r="G7531" s="400" t="s">
        <v>9567</v>
      </c>
    </row>
    <row r="7532" spans="7:7" x14ac:dyDescent="0.3">
      <c r="G7532" s="400" t="s">
        <v>9567</v>
      </c>
    </row>
    <row r="7533" spans="7:7" x14ac:dyDescent="0.3">
      <c r="G7533" s="400" t="s">
        <v>9567</v>
      </c>
    </row>
    <row r="7534" spans="7:7" x14ac:dyDescent="0.3">
      <c r="G7534" s="400" t="s">
        <v>9567</v>
      </c>
    </row>
    <row r="7535" spans="7:7" x14ac:dyDescent="0.3">
      <c r="G7535" s="400" t="s">
        <v>9567</v>
      </c>
    </row>
    <row r="7536" spans="7:7" x14ac:dyDescent="0.3">
      <c r="G7536" s="400" t="s">
        <v>9567</v>
      </c>
    </row>
    <row r="7537" spans="7:7" x14ac:dyDescent="0.3">
      <c r="G7537" s="400" t="s">
        <v>9567</v>
      </c>
    </row>
    <row r="7538" spans="7:7" x14ac:dyDescent="0.3">
      <c r="G7538" s="400" t="s">
        <v>9567</v>
      </c>
    </row>
    <row r="7539" spans="7:7" x14ac:dyDescent="0.3">
      <c r="G7539" s="400" t="s">
        <v>9567</v>
      </c>
    </row>
    <row r="7540" spans="7:7" x14ac:dyDescent="0.3">
      <c r="G7540" s="400" t="s">
        <v>9567</v>
      </c>
    </row>
    <row r="7541" spans="7:7" x14ac:dyDescent="0.3">
      <c r="G7541" s="400" t="s">
        <v>9567</v>
      </c>
    </row>
    <row r="7542" spans="7:7" x14ac:dyDescent="0.3">
      <c r="G7542" s="400" t="s">
        <v>9567</v>
      </c>
    </row>
    <row r="7543" spans="7:7" x14ac:dyDescent="0.3">
      <c r="G7543" s="400" t="s">
        <v>9567</v>
      </c>
    </row>
    <row r="7544" spans="7:7" x14ac:dyDescent="0.3">
      <c r="G7544" s="400" t="s">
        <v>9567</v>
      </c>
    </row>
    <row r="7545" spans="7:7" x14ac:dyDescent="0.3">
      <c r="G7545" s="400" t="s">
        <v>9567</v>
      </c>
    </row>
    <row r="7546" spans="7:7" x14ac:dyDescent="0.3">
      <c r="G7546" s="400" t="s">
        <v>9567</v>
      </c>
    </row>
    <row r="7547" spans="7:7" x14ac:dyDescent="0.3">
      <c r="G7547" s="400" t="s">
        <v>9567</v>
      </c>
    </row>
    <row r="7548" spans="7:7" x14ac:dyDescent="0.3">
      <c r="G7548" s="400" t="s">
        <v>9567</v>
      </c>
    </row>
    <row r="7549" spans="7:7" x14ac:dyDescent="0.3">
      <c r="G7549" s="400" t="s">
        <v>9567</v>
      </c>
    </row>
    <row r="7550" spans="7:7" x14ac:dyDescent="0.3">
      <c r="G7550" s="400" t="s">
        <v>9567</v>
      </c>
    </row>
    <row r="7551" spans="7:7" x14ac:dyDescent="0.3">
      <c r="G7551" s="400" t="s">
        <v>9567</v>
      </c>
    </row>
    <row r="7552" spans="7:7" x14ac:dyDescent="0.3">
      <c r="G7552" s="400" t="s">
        <v>9567</v>
      </c>
    </row>
    <row r="7553" spans="7:7" x14ac:dyDescent="0.3">
      <c r="G7553" s="400" t="s">
        <v>9567</v>
      </c>
    </row>
    <row r="7554" spans="7:7" x14ac:dyDescent="0.3">
      <c r="G7554" s="400" t="s">
        <v>9567</v>
      </c>
    </row>
    <row r="7555" spans="7:7" x14ac:dyDescent="0.3">
      <c r="G7555" s="400" t="s">
        <v>9567</v>
      </c>
    </row>
    <row r="7556" spans="7:7" x14ac:dyDescent="0.3">
      <c r="G7556" s="400" t="s">
        <v>9567</v>
      </c>
    </row>
    <row r="7557" spans="7:7" x14ac:dyDescent="0.3">
      <c r="G7557" s="400" t="s">
        <v>9567</v>
      </c>
    </row>
    <row r="7558" spans="7:7" x14ac:dyDescent="0.3">
      <c r="G7558" s="400" t="s">
        <v>9567</v>
      </c>
    </row>
    <row r="7559" spans="7:7" x14ac:dyDescent="0.3">
      <c r="G7559" s="400" t="s">
        <v>9567</v>
      </c>
    </row>
    <row r="7560" spans="7:7" x14ac:dyDescent="0.3">
      <c r="G7560" s="400" t="s">
        <v>9567</v>
      </c>
    </row>
    <row r="7561" spans="7:7" x14ac:dyDescent="0.3">
      <c r="G7561" s="400" t="s">
        <v>9567</v>
      </c>
    </row>
    <row r="7562" spans="7:7" x14ac:dyDescent="0.3">
      <c r="G7562" s="400" t="s">
        <v>9567</v>
      </c>
    </row>
    <row r="7563" spans="7:7" x14ac:dyDescent="0.3">
      <c r="G7563" s="400" t="s">
        <v>9567</v>
      </c>
    </row>
    <row r="7564" spans="7:7" x14ac:dyDescent="0.3">
      <c r="G7564" s="400" t="s">
        <v>9567</v>
      </c>
    </row>
    <row r="7565" spans="7:7" x14ac:dyDescent="0.3">
      <c r="G7565" s="400" t="s">
        <v>9567</v>
      </c>
    </row>
    <row r="7566" spans="7:7" x14ac:dyDescent="0.3">
      <c r="G7566" s="400" t="s">
        <v>9567</v>
      </c>
    </row>
    <row r="7567" spans="7:7" x14ac:dyDescent="0.3">
      <c r="G7567" s="400" t="s">
        <v>9567</v>
      </c>
    </row>
    <row r="7568" spans="7:7" x14ac:dyDescent="0.3">
      <c r="G7568" s="400" t="s">
        <v>9567</v>
      </c>
    </row>
    <row r="7569" spans="7:7" x14ac:dyDescent="0.3">
      <c r="G7569" s="400" t="s">
        <v>9567</v>
      </c>
    </row>
    <row r="7570" spans="7:7" x14ac:dyDescent="0.3">
      <c r="G7570" s="400" t="s">
        <v>9567</v>
      </c>
    </row>
    <row r="7571" spans="7:7" x14ac:dyDescent="0.3">
      <c r="G7571" s="400" t="s">
        <v>9567</v>
      </c>
    </row>
    <row r="7572" spans="7:7" x14ac:dyDescent="0.3">
      <c r="G7572" s="400" t="s">
        <v>9567</v>
      </c>
    </row>
    <row r="7573" spans="7:7" x14ac:dyDescent="0.3">
      <c r="G7573" s="400" t="s">
        <v>9567</v>
      </c>
    </row>
    <row r="7574" spans="7:7" x14ac:dyDescent="0.3">
      <c r="G7574" s="400" t="s">
        <v>9567</v>
      </c>
    </row>
    <row r="7575" spans="7:7" x14ac:dyDescent="0.3">
      <c r="G7575" s="400" t="s">
        <v>9567</v>
      </c>
    </row>
    <row r="7576" spans="7:7" x14ac:dyDescent="0.3">
      <c r="G7576" s="400" t="s">
        <v>9567</v>
      </c>
    </row>
    <row r="7577" spans="7:7" x14ac:dyDescent="0.3">
      <c r="G7577" s="400" t="s">
        <v>9567</v>
      </c>
    </row>
    <row r="7578" spans="7:7" x14ac:dyDescent="0.3">
      <c r="G7578" s="400" t="s">
        <v>9567</v>
      </c>
    </row>
    <row r="7579" spans="7:7" x14ac:dyDescent="0.3">
      <c r="G7579" s="400" t="s">
        <v>9567</v>
      </c>
    </row>
    <row r="7580" spans="7:7" x14ac:dyDescent="0.3">
      <c r="G7580" s="400" t="s">
        <v>9567</v>
      </c>
    </row>
    <row r="7581" spans="7:7" x14ac:dyDescent="0.3">
      <c r="G7581" s="400" t="s">
        <v>9567</v>
      </c>
    </row>
    <row r="7582" spans="7:7" x14ac:dyDescent="0.3">
      <c r="G7582" s="400" t="s">
        <v>9567</v>
      </c>
    </row>
    <row r="7583" spans="7:7" x14ac:dyDescent="0.3">
      <c r="G7583" s="400" t="s">
        <v>9567</v>
      </c>
    </row>
    <row r="7584" spans="7:7" x14ac:dyDescent="0.3">
      <c r="G7584" s="400" t="s">
        <v>9567</v>
      </c>
    </row>
    <row r="7585" spans="7:7" x14ac:dyDescent="0.3">
      <c r="G7585" s="400" t="s">
        <v>9567</v>
      </c>
    </row>
    <row r="7586" spans="7:7" x14ac:dyDescent="0.3">
      <c r="G7586" s="400" t="s">
        <v>9567</v>
      </c>
    </row>
    <row r="7587" spans="7:7" x14ac:dyDescent="0.3">
      <c r="G7587" s="400" t="s">
        <v>9567</v>
      </c>
    </row>
    <row r="7588" spans="7:7" x14ac:dyDescent="0.3">
      <c r="G7588" s="400" t="s">
        <v>9567</v>
      </c>
    </row>
    <row r="7589" spans="7:7" x14ac:dyDescent="0.3">
      <c r="G7589" s="400" t="s">
        <v>9567</v>
      </c>
    </row>
    <row r="7590" spans="7:7" x14ac:dyDescent="0.3">
      <c r="G7590" s="400" t="s">
        <v>9567</v>
      </c>
    </row>
    <row r="7591" spans="7:7" x14ac:dyDescent="0.3">
      <c r="G7591" s="400" t="s">
        <v>9567</v>
      </c>
    </row>
    <row r="7592" spans="7:7" x14ac:dyDescent="0.3">
      <c r="G7592" s="400" t="s">
        <v>9567</v>
      </c>
    </row>
    <row r="7593" spans="7:7" x14ac:dyDescent="0.3">
      <c r="G7593" s="400" t="s">
        <v>9567</v>
      </c>
    </row>
    <row r="7594" spans="7:7" x14ac:dyDescent="0.3">
      <c r="G7594" s="400" t="s">
        <v>9567</v>
      </c>
    </row>
    <row r="7595" spans="7:7" x14ac:dyDescent="0.3">
      <c r="G7595" s="400" t="s">
        <v>9567</v>
      </c>
    </row>
    <row r="7596" spans="7:7" x14ac:dyDescent="0.3">
      <c r="G7596" s="400" t="s">
        <v>9567</v>
      </c>
    </row>
    <row r="7597" spans="7:7" x14ac:dyDescent="0.3">
      <c r="G7597" s="400" t="s">
        <v>9567</v>
      </c>
    </row>
    <row r="7598" spans="7:7" x14ac:dyDescent="0.3">
      <c r="G7598" s="400" t="s">
        <v>9567</v>
      </c>
    </row>
    <row r="7599" spans="7:7" x14ac:dyDescent="0.3">
      <c r="G7599" s="400" t="s">
        <v>9567</v>
      </c>
    </row>
    <row r="7600" spans="7:7" x14ac:dyDescent="0.3">
      <c r="G7600" s="400" t="s">
        <v>9567</v>
      </c>
    </row>
    <row r="7601" spans="7:7" x14ac:dyDescent="0.3">
      <c r="G7601" s="400" t="s">
        <v>9567</v>
      </c>
    </row>
    <row r="7602" spans="7:7" x14ac:dyDescent="0.3">
      <c r="G7602" s="400" t="s">
        <v>9567</v>
      </c>
    </row>
    <row r="7603" spans="7:7" x14ac:dyDescent="0.3">
      <c r="G7603" s="400" t="s">
        <v>9567</v>
      </c>
    </row>
    <row r="7604" spans="7:7" x14ac:dyDescent="0.3">
      <c r="G7604" s="400" t="s">
        <v>9567</v>
      </c>
    </row>
    <row r="7605" spans="7:7" x14ac:dyDescent="0.3">
      <c r="G7605" s="400" t="s">
        <v>9567</v>
      </c>
    </row>
    <row r="7606" spans="7:7" x14ac:dyDescent="0.3">
      <c r="G7606" s="400" t="s">
        <v>9567</v>
      </c>
    </row>
    <row r="7607" spans="7:7" x14ac:dyDescent="0.3">
      <c r="G7607" s="400" t="s">
        <v>9567</v>
      </c>
    </row>
    <row r="7608" spans="7:7" x14ac:dyDescent="0.3">
      <c r="G7608" s="400" t="s">
        <v>9567</v>
      </c>
    </row>
    <row r="7609" spans="7:7" x14ac:dyDescent="0.3">
      <c r="G7609" s="400" t="s">
        <v>9567</v>
      </c>
    </row>
    <row r="7610" spans="7:7" x14ac:dyDescent="0.3">
      <c r="G7610" s="400" t="s">
        <v>9567</v>
      </c>
    </row>
    <row r="7611" spans="7:7" x14ac:dyDescent="0.3">
      <c r="G7611" s="400" t="s">
        <v>9567</v>
      </c>
    </row>
    <row r="7612" spans="7:7" x14ac:dyDescent="0.3">
      <c r="G7612" s="400" t="s">
        <v>9567</v>
      </c>
    </row>
    <row r="7613" spans="7:7" x14ac:dyDescent="0.3">
      <c r="G7613" s="400" t="s">
        <v>9567</v>
      </c>
    </row>
    <row r="7614" spans="7:7" x14ac:dyDescent="0.3">
      <c r="G7614" s="400" t="s">
        <v>9567</v>
      </c>
    </row>
    <row r="7615" spans="7:7" x14ac:dyDescent="0.3">
      <c r="G7615" s="400" t="s">
        <v>9567</v>
      </c>
    </row>
    <row r="7616" spans="7:7" x14ac:dyDescent="0.3">
      <c r="G7616" s="400" t="s">
        <v>9567</v>
      </c>
    </row>
    <row r="7617" spans="7:7" x14ac:dyDescent="0.3">
      <c r="G7617" s="400" t="s">
        <v>9567</v>
      </c>
    </row>
    <row r="7618" spans="7:7" x14ac:dyDescent="0.3">
      <c r="G7618" s="400" t="s">
        <v>9567</v>
      </c>
    </row>
    <row r="7619" spans="7:7" x14ac:dyDescent="0.3">
      <c r="G7619" s="400" t="s">
        <v>9567</v>
      </c>
    </row>
    <row r="7620" spans="7:7" x14ac:dyDescent="0.3">
      <c r="G7620" s="400" t="s">
        <v>9567</v>
      </c>
    </row>
    <row r="7621" spans="7:7" x14ac:dyDescent="0.3">
      <c r="G7621" s="400" t="s">
        <v>9567</v>
      </c>
    </row>
    <row r="7622" spans="7:7" x14ac:dyDescent="0.3">
      <c r="G7622" s="400" t="s">
        <v>9567</v>
      </c>
    </row>
    <row r="7623" spans="7:7" x14ac:dyDescent="0.3">
      <c r="G7623" s="400" t="s">
        <v>9567</v>
      </c>
    </row>
    <row r="7624" spans="7:7" x14ac:dyDescent="0.3">
      <c r="G7624" s="400" t="s">
        <v>9567</v>
      </c>
    </row>
    <row r="7625" spans="7:7" x14ac:dyDescent="0.3">
      <c r="G7625" s="400" t="s">
        <v>9567</v>
      </c>
    </row>
    <row r="7626" spans="7:7" x14ac:dyDescent="0.3">
      <c r="G7626" s="400" t="s">
        <v>9567</v>
      </c>
    </row>
    <row r="7627" spans="7:7" x14ac:dyDescent="0.3">
      <c r="G7627" s="400" t="s">
        <v>9567</v>
      </c>
    </row>
    <row r="7628" spans="7:7" x14ac:dyDescent="0.3">
      <c r="G7628" s="400" t="s">
        <v>9567</v>
      </c>
    </row>
    <row r="7629" spans="7:7" x14ac:dyDescent="0.3">
      <c r="G7629" s="400" t="s">
        <v>9567</v>
      </c>
    </row>
    <row r="7630" spans="7:7" x14ac:dyDescent="0.3">
      <c r="G7630" s="400" t="s">
        <v>9567</v>
      </c>
    </row>
    <row r="7631" spans="7:7" x14ac:dyDescent="0.3">
      <c r="G7631" s="400" t="s">
        <v>9567</v>
      </c>
    </row>
    <row r="7632" spans="7:7" x14ac:dyDescent="0.3">
      <c r="G7632" s="400" t="s">
        <v>9567</v>
      </c>
    </row>
    <row r="7633" spans="7:7" x14ac:dyDescent="0.3">
      <c r="G7633" s="400" t="s">
        <v>9567</v>
      </c>
    </row>
    <row r="7634" spans="7:7" x14ac:dyDescent="0.3">
      <c r="G7634" s="400" t="s">
        <v>9567</v>
      </c>
    </row>
    <row r="7635" spans="7:7" x14ac:dyDescent="0.3">
      <c r="G7635" s="400" t="s">
        <v>9567</v>
      </c>
    </row>
    <row r="7636" spans="7:7" x14ac:dyDescent="0.3">
      <c r="G7636" s="400" t="s">
        <v>9567</v>
      </c>
    </row>
    <row r="7637" spans="7:7" x14ac:dyDescent="0.3">
      <c r="G7637" s="400" t="s">
        <v>9567</v>
      </c>
    </row>
    <row r="7638" spans="7:7" x14ac:dyDescent="0.3">
      <c r="G7638" s="400" t="s">
        <v>9567</v>
      </c>
    </row>
    <row r="7639" spans="7:7" x14ac:dyDescent="0.3">
      <c r="G7639" s="400" t="s">
        <v>9567</v>
      </c>
    </row>
    <row r="7640" spans="7:7" x14ac:dyDescent="0.3">
      <c r="G7640" s="400" t="s">
        <v>9567</v>
      </c>
    </row>
    <row r="7641" spans="7:7" x14ac:dyDescent="0.3">
      <c r="G7641" s="400" t="s">
        <v>9567</v>
      </c>
    </row>
    <row r="7642" spans="7:7" x14ac:dyDescent="0.3">
      <c r="G7642" s="400" t="s">
        <v>9567</v>
      </c>
    </row>
    <row r="7643" spans="7:7" x14ac:dyDescent="0.3">
      <c r="G7643" s="400" t="s">
        <v>9567</v>
      </c>
    </row>
    <row r="7644" spans="7:7" x14ac:dyDescent="0.3">
      <c r="G7644" s="400" t="s">
        <v>9567</v>
      </c>
    </row>
    <row r="7645" spans="7:7" x14ac:dyDescent="0.3">
      <c r="G7645" s="400" t="s">
        <v>9567</v>
      </c>
    </row>
    <row r="7646" spans="7:7" x14ac:dyDescent="0.3">
      <c r="G7646" s="400" t="s">
        <v>9567</v>
      </c>
    </row>
    <row r="7647" spans="7:7" x14ac:dyDescent="0.3">
      <c r="G7647" s="400" t="s">
        <v>9567</v>
      </c>
    </row>
    <row r="7648" spans="7:7" x14ac:dyDescent="0.3">
      <c r="G7648" s="400" t="s">
        <v>9567</v>
      </c>
    </row>
    <row r="7649" spans="7:7" x14ac:dyDescent="0.3">
      <c r="G7649" s="400" t="s">
        <v>9567</v>
      </c>
    </row>
    <row r="7650" spans="7:7" x14ac:dyDescent="0.3">
      <c r="G7650" s="400" t="s">
        <v>9567</v>
      </c>
    </row>
    <row r="7651" spans="7:7" x14ac:dyDescent="0.3">
      <c r="G7651" s="400" t="s">
        <v>9567</v>
      </c>
    </row>
    <row r="7652" spans="7:7" x14ac:dyDescent="0.3">
      <c r="G7652" s="400" t="s">
        <v>9567</v>
      </c>
    </row>
    <row r="7653" spans="7:7" x14ac:dyDescent="0.3">
      <c r="G7653" s="400" t="s">
        <v>9567</v>
      </c>
    </row>
    <row r="7654" spans="7:7" x14ac:dyDescent="0.3">
      <c r="G7654" s="400" t="s">
        <v>9567</v>
      </c>
    </row>
    <row r="7655" spans="7:7" x14ac:dyDescent="0.3">
      <c r="G7655" s="400" t="s">
        <v>9567</v>
      </c>
    </row>
    <row r="7656" spans="7:7" x14ac:dyDescent="0.3">
      <c r="G7656" s="400" t="s">
        <v>9567</v>
      </c>
    </row>
    <row r="7657" spans="7:7" x14ac:dyDescent="0.3">
      <c r="G7657" s="400" t="s">
        <v>9567</v>
      </c>
    </row>
    <row r="7658" spans="7:7" x14ac:dyDescent="0.3">
      <c r="G7658" s="400" t="s">
        <v>9567</v>
      </c>
    </row>
    <row r="7659" spans="7:7" x14ac:dyDescent="0.3">
      <c r="G7659" s="400" t="s">
        <v>9567</v>
      </c>
    </row>
    <row r="7660" spans="7:7" x14ac:dyDescent="0.3">
      <c r="G7660" s="400" t="s">
        <v>9567</v>
      </c>
    </row>
    <row r="7661" spans="7:7" x14ac:dyDescent="0.3">
      <c r="G7661" s="400" t="s">
        <v>9567</v>
      </c>
    </row>
    <row r="7662" spans="7:7" x14ac:dyDescent="0.3">
      <c r="G7662" s="400" t="s">
        <v>9567</v>
      </c>
    </row>
    <row r="7663" spans="7:7" x14ac:dyDescent="0.3">
      <c r="G7663" s="400" t="s">
        <v>9567</v>
      </c>
    </row>
    <row r="7664" spans="7:7" x14ac:dyDescent="0.3">
      <c r="G7664" s="400" t="s">
        <v>9567</v>
      </c>
    </row>
    <row r="7665" spans="7:7" x14ac:dyDescent="0.3">
      <c r="G7665" s="400" t="s">
        <v>9567</v>
      </c>
    </row>
    <row r="7666" spans="7:7" x14ac:dyDescent="0.3">
      <c r="G7666" s="400" t="s">
        <v>9567</v>
      </c>
    </row>
    <row r="7667" spans="7:7" x14ac:dyDescent="0.3">
      <c r="G7667" s="400" t="s">
        <v>9567</v>
      </c>
    </row>
    <row r="7668" spans="7:7" x14ac:dyDescent="0.3">
      <c r="G7668" s="400" t="s">
        <v>9567</v>
      </c>
    </row>
    <row r="7669" spans="7:7" x14ac:dyDescent="0.3">
      <c r="G7669" s="400" t="s">
        <v>9567</v>
      </c>
    </row>
    <row r="7670" spans="7:7" x14ac:dyDescent="0.3">
      <c r="G7670" s="400" t="s">
        <v>9567</v>
      </c>
    </row>
    <row r="7671" spans="7:7" x14ac:dyDescent="0.3">
      <c r="G7671" s="400" t="s">
        <v>9567</v>
      </c>
    </row>
    <row r="7672" spans="7:7" x14ac:dyDescent="0.3">
      <c r="G7672" s="400" t="s">
        <v>9567</v>
      </c>
    </row>
    <row r="7673" spans="7:7" x14ac:dyDescent="0.3">
      <c r="G7673" s="400" t="s">
        <v>9567</v>
      </c>
    </row>
    <row r="7674" spans="7:7" x14ac:dyDescent="0.3">
      <c r="G7674" s="400" t="s">
        <v>9567</v>
      </c>
    </row>
    <row r="7675" spans="7:7" x14ac:dyDescent="0.3">
      <c r="G7675" s="400" t="s">
        <v>9567</v>
      </c>
    </row>
    <row r="7676" spans="7:7" x14ac:dyDescent="0.3">
      <c r="G7676" s="400" t="s">
        <v>9567</v>
      </c>
    </row>
    <row r="7677" spans="7:7" x14ac:dyDescent="0.3">
      <c r="G7677" s="400" t="s">
        <v>9567</v>
      </c>
    </row>
    <row r="7678" spans="7:7" x14ac:dyDescent="0.3">
      <c r="G7678" s="400" t="s">
        <v>9567</v>
      </c>
    </row>
    <row r="7679" spans="7:7" x14ac:dyDescent="0.3">
      <c r="G7679" s="400" t="s">
        <v>9567</v>
      </c>
    </row>
  </sheetData>
  <autoFilter ref="A1:K1024" xr:uid="{00000000-0001-0000-0300-000000000000}"/>
  <conditionalFormatting sqref="G1:G1048576">
    <cfRule type="cellIs" dxfId="1" priority="1" operator="equal">
      <formula>"Posted"</formula>
    </cfRule>
  </conditionalFormatting>
  <pageMargins left="0.7" right="0.7" top="0.75" bottom="0" header="0.3" footer="0.3"/>
  <pageSetup scale="7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241"/>
  <sheetViews>
    <sheetView workbookViewId="0">
      <pane ySplit="2" topLeftCell="A195" activePane="bottomLeft" state="frozen"/>
      <selection pane="bottomLeft" activeCell="H213" sqref="H213"/>
    </sheetView>
  </sheetViews>
  <sheetFormatPr defaultColWidth="8.85546875" defaultRowHeight="15" x14ac:dyDescent="0.25"/>
  <cols>
    <col min="1" max="1" width="12" customWidth="1"/>
    <col min="2" max="2" width="58.7109375" style="2" customWidth="1"/>
    <col min="3" max="3" width="17.140625" style="2" customWidth="1"/>
    <col min="4" max="4" width="1" style="2" customWidth="1"/>
    <col min="5" max="5" width="13.140625" style="2" customWidth="1"/>
    <col min="6" max="6" width="10.140625" style="2" bestFit="1" customWidth="1"/>
    <col min="7" max="7" width="39.140625" style="2" customWidth="1"/>
    <col min="8" max="8" width="14.5703125" style="2" bestFit="1" customWidth="1"/>
    <col min="10" max="10" width="15" bestFit="1" customWidth="1"/>
    <col min="11" max="11" width="14" customWidth="1"/>
    <col min="12" max="12" width="14.5703125" bestFit="1" customWidth="1"/>
    <col min="16" max="16" width="13.7109375" bestFit="1" customWidth="1"/>
  </cols>
  <sheetData>
    <row r="1" spans="1:10" ht="21" customHeight="1" x14ac:dyDescent="0.25">
      <c r="A1" s="676" t="s">
        <v>7053</v>
      </c>
      <c r="B1" s="676"/>
      <c r="C1" s="30" t="s">
        <v>7054</v>
      </c>
      <c r="D1" s="3"/>
      <c r="E1" s="3"/>
      <c r="F1" s="3"/>
      <c r="G1" s="279" t="s">
        <v>7047</v>
      </c>
      <c r="H1" s="31">
        <f ca="1">TODAY()</f>
        <v>45402</v>
      </c>
    </row>
    <row r="2" spans="1:10" ht="21" x14ac:dyDescent="0.3">
      <c r="A2" s="677" t="s">
        <v>4329</v>
      </c>
      <c r="B2" s="678"/>
      <c r="C2" s="28">
        <v>6872139</v>
      </c>
      <c r="D2" s="3"/>
      <c r="E2" s="3"/>
      <c r="F2" s="3"/>
      <c r="G2" s="27" t="s">
        <v>4329</v>
      </c>
      <c r="H2" s="278">
        <f>C2+C214-H214</f>
        <v>861343</v>
      </c>
    </row>
    <row r="3" spans="1:10" ht="8.25" customHeight="1" thickBot="1" x14ac:dyDescent="0.3">
      <c r="B3" s="3"/>
      <c r="C3" s="3"/>
      <c r="D3" s="3"/>
      <c r="E3" s="3"/>
      <c r="F3" s="3"/>
      <c r="G3" s="3"/>
      <c r="H3" s="3"/>
    </row>
    <row r="4" spans="1:10" ht="26.25" x14ac:dyDescent="0.4">
      <c r="A4" s="282" t="s">
        <v>5057</v>
      </c>
      <c r="B4" s="283"/>
      <c r="C4" s="283"/>
      <c r="D4" s="20"/>
      <c r="E4" s="671" t="s">
        <v>6975</v>
      </c>
      <c r="F4" s="671"/>
      <c r="G4" s="671"/>
      <c r="H4" s="672"/>
      <c r="J4" s="647">
        <f>1183045-150000</f>
        <v>1033045</v>
      </c>
    </row>
    <row r="5" spans="1:10" s="4" customFormat="1" ht="19.5" thickBot="1" x14ac:dyDescent="0.35">
      <c r="A5" s="9" t="s">
        <v>1</v>
      </c>
      <c r="B5" s="10" t="s">
        <v>3</v>
      </c>
      <c r="C5" s="11" t="s">
        <v>6977</v>
      </c>
      <c r="D5" s="21"/>
      <c r="E5" s="10" t="s">
        <v>1</v>
      </c>
      <c r="F5" s="10" t="s">
        <v>6978</v>
      </c>
      <c r="G5" s="10" t="s">
        <v>3</v>
      </c>
      <c r="H5" s="12" t="s">
        <v>6975</v>
      </c>
    </row>
    <row r="6" spans="1:10" s="18" customFormat="1" ht="15.75" x14ac:dyDescent="0.25">
      <c r="A6" s="13">
        <v>44242</v>
      </c>
      <c r="B6" s="14" t="s">
        <v>6997</v>
      </c>
      <c r="C6" s="14">
        <v>1800000</v>
      </c>
      <c r="D6" s="22"/>
      <c r="E6" s="13">
        <v>44238</v>
      </c>
      <c r="F6" s="15" t="s">
        <v>6979</v>
      </c>
      <c r="G6" s="16" t="s">
        <v>6989</v>
      </c>
      <c r="H6" s="17">
        <v>100000</v>
      </c>
    </row>
    <row r="7" spans="1:10" s="18" customFormat="1" ht="15.75" x14ac:dyDescent="0.25">
      <c r="A7" s="13">
        <v>44242</v>
      </c>
      <c r="B7" s="14" t="s">
        <v>6997</v>
      </c>
      <c r="C7" s="8">
        <v>790000</v>
      </c>
      <c r="D7" s="23"/>
      <c r="E7" s="13">
        <v>44239</v>
      </c>
      <c r="F7" s="15" t="s">
        <v>6980</v>
      </c>
      <c r="G7" s="16" t="s">
        <v>6990</v>
      </c>
      <c r="H7" s="8">
        <v>250000</v>
      </c>
    </row>
    <row r="8" spans="1:10" s="18" customFormat="1" ht="15.75" x14ac:dyDescent="0.25">
      <c r="A8" s="13">
        <v>44250</v>
      </c>
      <c r="B8" s="17" t="s">
        <v>6998</v>
      </c>
      <c r="C8" s="19">
        <v>906500</v>
      </c>
      <c r="D8" s="23"/>
      <c r="E8" s="13">
        <v>44239</v>
      </c>
      <c r="F8" s="15" t="s">
        <v>6981</v>
      </c>
      <c r="G8" s="16" t="s">
        <v>6990</v>
      </c>
      <c r="H8" s="8">
        <v>250000</v>
      </c>
    </row>
    <row r="9" spans="1:10" s="18" customFormat="1" ht="15.75" x14ac:dyDescent="0.25">
      <c r="A9" s="13">
        <v>44258</v>
      </c>
      <c r="B9" s="37" t="s">
        <v>7097</v>
      </c>
      <c r="C9" s="14">
        <v>2312500</v>
      </c>
      <c r="D9" s="23"/>
      <c r="E9" s="13">
        <v>44239</v>
      </c>
      <c r="F9" s="15" t="s">
        <v>6982</v>
      </c>
      <c r="G9" s="16" t="s">
        <v>6991</v>
      </c>
      <c r="H9" s="8">
        <v>28000</v>
      </c>
    </row>
    <row r="10" spans="1:10" s="18" customFormat="1" ht="15.75" x14ac:dyDescent="0.25">
      <c r="A10" s="13">
        <v>44267</v>
      </c>
      <c r="B10" s="37" t="s">
        <v>7170</v>
      </c>
      <c r="C10" s="8">
        <v>1184000</v>
      </c>
      <c r="D10" s="24"/>
      <c r="E10" s="13">
        <v>44239</v>
      </c>
      <c r="F10" s="15" t="s">
        <v>6983</v>
      </c>
      <c r="G10" s="16" t="s">
        <v>6989</v>
      </c>
      <c r="H10" s="8">
        <v>50000</v>
      </c>
    </row>
    <row r="11" spans="1:10" s="18" customFormat="1" ht="15.75" x14ac:dyDescent="0.25">
      <c r="A11" s="13">
        <v>44314</v>
      </c>
      <c r="B11" s="38" t="s">
        <v>7373</v>
      </c>
      <c r="C11" s="8">
        <v>550220</v>
      </c>
      <c r="D11" s="24"/>
      <c r="E11" s="13">
        <v>44239</v>
      </c>
      <c r="F11" s="15" t="s">
        <v>6984</v>
      </c>
      <c r="G11" s="16" t="s">
        <v>6992</v>
      </c>
      <c r="H11" s="8">
        <v>100000</v>
      </c>
    </row>
    <row r="12" spans="1:10" s="18" customFormat="1" ht="15.75" x14ac:dyDescent="0.25">
      <c r="A12" s="13">
        <v>44333</v>
      </c>
      <c r="B12" s="265" t="s">
        <v>7436</v>
      </c>
      <c r="C12" s="264">
        <v>1350000</v>
      </c>
      <c r="D12" s="24"/>
      <c r="E12" s="13">
        <v>44239</v>
      </c>
      <c r="F12" s="15" t="s">
        <v>6985</v>
      </c>
      <c r="G12" s="16" t="s">
        <v>6993</v>
      </c>
      <c r="H12" s="8">
        <v>50000</v>
      </c>
    </row>
    <row r="13" spans="1:10" s="18" customFormat="1" ht="31.5" x14ac:dyDescent="0.25">
      <c r="A13" s="13">
        <v>44377</v>
      </c>
      <c r="B13" s="37" t="s">
        <v>8014</v>
      </c>
      <c r="C13" s="264">
        <v>167125</v>
      </c>
      <c r="D13" s="24"/>
      <c r="E13" s="13">
        <v>44242</v>
      </c>
      <c r="F13" s="15" t="s">
        <v>6986</v>
      </c>
      <c r="G13" s="16" t="s">
        <v>6994</v>
      </c>
      <c r="H13" s="8">
        <v>44000</v>
      </c>
    </row>
    <row r="14" spans="1:10" s="18" customFormat="1" ht="15.75" x14ac:dyDescent="0.25">
      <c r="A14" s="13">
        <v>44383</v>
      </c>
      <c r="B14" s="37" t="s">
        <v>7755</v>
      </c>
      <c r="C14" s="264">
        <v>1850000</v>
      </c>
      <c r="D14" s="24"/>
      <c r="E14" s="13">
        <v>44242</v>
      </c>
      <c r="F14" s="15" t="s">
        <v>6987</v>
      </c>
      <c r="G14" s="16" t="s">
        <v>6995</v>
      </c>
      <c r="H14" s="8">
        <v>80000</v>
      </c>
    </row>
    <row r="15" spans="1:10" s="18" customFormat="1" ht="15.75" x14ac:dyDescent="0.25">
      <c r="A15" s="13">
        <v>44396</v>
      </c>
      <c r="B15" s="285" t="s">
        <v>7792</v>
      </c>
      <c r="C15" s="264">
        <v>1350000</v>
      </c>
      <c r="D15" s="24"/>
      <c r="E15" s="13">
        <v>44244</v>
      </c>
      <c r="F15" s="15" t="s">
        <v>7005</v>
      </c>
      <c r="G15" s="16" t="s">
        <v>7008</v>
      </c>
      <c r="H15" s="8">
        <v>150000</v>
      </c>
    </row>
    <row r="16" spans="1:10" s="18" customFormat="1" ht="15.75" x14ac:dyDescent="0.25">
      <c r="A16" s="13">
        <v>44463</v>
      </c>
      <c r="B16" s="38" t="s">
        <v>8038</v>
      </c>
      <c r="C16" s="8">
        <v>1000000</v>
      </c>
      <c r="D16" s="24"/>
      <c r="E16" s="13">
        <v>44244</v>
      </c>
      <c r="F16" s="15" t="s">
        <v>7006</v>
      </c>
      <c r="G16" s="16" t="s">
        <v>7009</v>
      </c>
      <c r="H16" s="8">
        <v>38000</v>
      </c>
    </row>
    <row r="17" spans="1:10" s="18" customFormat="1" ht="15.75" x14ac:dyDescent="0.25">
      <c r="A17" s="13">
        <v>44527</v>
      </c>
      <c r="B17" s="260" t="s">
        <v>8586</v>
      </c>
      <c r="C17" s="19">
        <v>925000</v>
      </c>
      <c r="D17" s="24"/>
      <c r="E17" s="13">
        <v>44244</v>
      </c>
      <c r="F17" s="15" t="s">
        <v>7007</v>
      </c>
      <c r="G17" s="16" t="s">
        <v>7010</v>
      </c>
      <c r="H17" s="8">
        <v>257000</v>
      </c>
    </row>
    <row r="18" spans="1:10" s="18" customFormat="1" ht="15.75" x14ac:dyDescent="0.25">
      <c r="A18" s="13">
        <v>44579</v>
      </c>
      <c r="B18" s="260" t="s">
        <v>8785</v>
      </c>
      <c r="C18" s="19">
        <v>423463</v>
      </c>
      <c r="D18" s="24"/>
      <c r="E18" s="13">
        <v>44246</v>
      </c>
      <c r="F18" s="15" t="s">
        <v>7022</v>
      </c>
      <c r="G18" s="16" t="s">
        <v>7023</v>
      </c>
      <c r="H18" s="8">
        <v>42700</v>
      </c>
    </row>
    <row r="19" spans="1:10" s="18" customFormat="1" ht="15.75" x14ac:dyDescent="0.25">
      <c r="A19" s="13">
        <v>44649</v>
      </c>
      <c r="B19" s="260" t="s">
        <v>9026</v>
      </c>
      <c r="C19" s="19">
        <v>754624</v>
      </c>
      <c r="D19" s="24"/>
      <c r="E19" s="13">
        <v>44256</v>
      </c>
      <c r="F19" s="15" t="s">
        <v>7051</v>
      </c>
      <c r="G19" s="16" t="s">
        <v>6989</v>
      </c>
      <c r="H19" s="17">
        <v>50000</v>
      </c>
    </row>
    <row r="20" spans="1:10" s="18" customFormat="1" ht="15.75" x14ac:dyDescent="0.25">
      <c r="A20" s="13">
        <v>44649</v>
      </c>
      <c r="B20" s="260" t="s">
        <v>9026</v>
      </c>
      <c r="C20" s="19">
        <v>145111</v>
      </c>
      <c r="D20" s="24"/>
      <c r="E20" s="13">
        <v>44256</v>
      </c>
      <c r="F20" s="15" t="s">
        <v>7052</v>
      </c>
      <c r="G20" s="16" t="s">
        <v>6989</v>
      </c>
      <c r="H20" s="8">
        <v>100000</v>
      </c>
    </row>
    <row r="21" spans="1:10" s="18" customFormat="1" ht="15.75" x14ac:dyDescent="0.25">
      <c r="A21" s="13">
        <v>44656</v>
      </c>
      <c r="B21" s="260" t="s">
        <v>9402</v>
      </c>
      <c r="C21" s="19">
        <v>64517</v>
      </c>
      <c r="D21" s="24"/>
      <c r="E21" s="13">
        <v>44257</v>
      </c>
      <c r="F21" s="15" t="s">
        <v>7067</v>
      </c>
      <c r="G21" s="16" t="s">
        <v>7068</v>
      </c>
      <c r="H21" s="8">
        <v>30000</v>
      </c>
    </row>
    <row r="22" spans="1:10" s="18" customFormat="1" ht="31.5" x14ac:dyDescent="0.25">
      <c r="A22" s="13">
        <v>44666</v>
      </c>
      <c r="B22" s="260" t="s">
        <v>9403</v>
      </c>
      <c r="C22" s="19">
        <v>55000</v>
      </c>
      <c r="D22" s="24"/>
      <c r="E22" s="13">
        <v>44257</v>
      </c>
      <c r="F22" s="15" t="s">
        <v>7072</v>
      </c>
      <c r="G22" s="16" t="s">
        <v>7075</v>
      </c>
      <c r="H22" s="8">
        <v>40000</v>
      </c>
      <c r="J22" s="324">
        <f>H2-H159</f>
        <v>627904</v>
      </c>
    </row>
    <row r="23" spans="1:10" s="18" customFormat="1" ht="31.5" x14ac:dyDescent="0.25">
      <c r="A23" s="13">
        <v>44669</v>
      </c>
      <c r="B23" s="260" t="s">
        <v>9112</v>
      </c>
      <c r="C23" s="19">
        <v>2434251</v>
      </c>
      <c r="D23" s="34"/>
      <c r="E23" s="13">
        <v>44257</v>
      </c>
      <c r="F23" s="15" t="s">
        <v>7073</v>
      </c>
      <c r="G23" s="16" t="s">
        <v>7076</v>
      </c>
      <c r="H23" s="8">
        <v>500000</v>
      </c>
    </row>
    <row r="24" spans="1:10" s="18" customFormat="1" ht="31.5" x14ac:dyDescent="0.25">
      <c r="A24" s="13">
        <v>44812</v>
      </c>
      <c r="B24" s="260" t="s">
        <v>9705</v>
      </c>
      <c r="C24" s="19">
        <v>60269</v>
      </c>
      <c r="D24" s="34"/>
      <c r="E24" s="13">
        <v>44257</v>
      </c>
      <c r="F24" s="15" t="s">
        <v>7074</v>
      </c>
      <c r="G24" s="16" t="s">
        <v>7076</v>
      </c>
      <c r="H24" s="8">
        <v>500000</v>
      </c>
    </row>
    <row r="25" spans="1:10" s="18" customFormat="1" ht="15.75" x14ac:dyDescent="0.25">
      <c r="A25" s="13">
        <v>44812</v>
      </c>
      <c r="B25" s="260" t="s">
        <v>9705</v>
      </c>
      <c r="C25" s="19">
        <v>181822</v>
      </c>
      <c r="D25" s="34"/>
      <c r="E25" s="13">
        <v>44258</v>
      </c>
      <c r="F25" s="15" t="s">
        <v>7089</v>
      </c>
      <c r="G25" s="33" t="s">
        <v>7090</v>
      </c>
      <c r="H25" s="8"/>
    </row>
    <row r="26" spans="1:10" s="18" customFormat="1" ht="15.75" x14ac:dyDescent="0.25">
      <c r="A26" s="13">
        <v>44902</v>
      </c>
      <c r="B26" s="260" t="s">
        <v>12162</v>
      </c>
      <c r="C26" s="19">
        <v>33950</v>
      </c>
      <c r="D26" s="34"/>
      <c r="E26" s="13">
        <v>44258</v>
      </c>
      <c r="F26" s="15" t="s">
        <v>7091</v>
      </c>
      <c r="G26" s="16" t="s">
        <v>7092</v>
      </c>
      <c r="H26" s="8">
        <v>211000</v>
      </c>
    </row>
    <row r="27" spans="1:10" s="18" customFormat="1" ht="15.75" x14ac:dyDescent="0.25">
      <c r="A27" s="13">
        <v>45201</v>
      </c>
      <c r="B27" s="260" t="s">
        <v>12337</v>
      </c>
      <c r="C27" s="19">
        <v>1000000</v>
      </c>
      <c r="D27" s="34"/>
      <c r="E27" s="13">
        <v>44258</v>
      </c>
      <c r="F27" s="15" t="s">
        <v>7094</v>
      </c>
      <c r="G27" s="16" t="s">
        <v>7096</v>
      </c>
      <c r="H27" s="8">
        <v>300000</v>
      </c>
    </row>
    <row r="28" spans="1:10" s="18" customFormat="1" ht="15.75" x14ac:dyDescent="0.25">
      <c r="A28" s="259"/>
      <c r="B28" s="260"/>
      <c r="C28" s="19"/>
      <c r="D28" s="34"/>
      <c r="E28" s="13">
        <v>44258</v>
      </c>
      <c r="F28" s="15" t="s">
        <v>7095</v>
      </c>
      <c r="G28" s="16" t="s">
        <v>7096</v>
      </c>
      <c r="H28" s="8">
        <v>200000</v>
      </c>
    </row>
    <row r="29" spans="1:10" s="18" customFormat="1" ht="15.75" x14ac:dyDescent="0.25">
      <c r="A29" s="259"/>
      <c r="B29" s="260"/>
      <c r="C29" s="19"/>
      <c r="D29" s="34"/>
      <c r="E29" s="13">
        <v>44259</v>
      </c>
      <c r="F29" s="15" t="s">
        <v>7110</v>
      </c>
      <c r="G29" s="16" t="s">
        <v>7111</v>
      </c>
      <c r="H29" s="8">
        <v>400000</v>
      </c>
    </row>
    <row r="30" spans="1:10" s="18" customFormat="1" ht="15.75" x14ac:dyDescent="0.25">
      <c r="A30" s="259"/>
      <c r="B30" s="260"/>
      <c r="C30" s="19"/>
      <c r="D30" s="34"/>
      <c r="E30" s="13">
        <v>44263</v>
      </c>
      <c r="F30" s="15" t="s">
        <v>7132</v>
      </c>
      <c r="G30" s="16" t="s">
        <v>7133</v>
      </c>
      <c r="H30" s="8">
        <v>300000</v>
      </c>
    </row>
    <row r="31" spans="1:10" s="18" customFormat="1" ht="15.75" x14ac:dyDescent="0.25">
      <c r="A31" s="259"/>
      <c r="B31" s="260"/>
      <c r="C31" s="19"/>
      <c r="D31" s="34"/>
      <c r="E31" s="13">
        <v>44263</v>
      </c>
      <c r="F31" s="15" t="s">
        <v>7134</v>
      </c>
      <c r="G31" s="16" t="s">
        <v>6674</v>
      </c>
      <c r="H31" s="8">
        <v>100000</v>
      </c>
    </row>
    <row r="32" spans="1:10" s="18" customFormat="1" ht="15.75" x14ac:dyDescent="0.25">
      <c r="A32" s="259"/>
      <c r="B32" s="260"/>
      <c r="C32" s="19"/>
      <c r="D32" s="34"/>
      <c r="E32" s="13">
        <v>44263</v>
      </c>
      <c r="F32" s="15" t="s">
        <v>7135</v>
      </c>
      <c r="G32" s="33" t="s">
        <v>7090</v>
      </c>
      <c r="H32" s="8"/>
    </row>
    <row r="33" spans="1:8" s="18" customFormat="1" ht="31.5" x14ac:dyDescent="0.25">
      <c r="A33" s="259"/>
      <c r="B33" s="260"/>
      <c r="C33" s="19"/>
      <c r="D33" s="34"/>
      <c r="E33" s="13">
        <v>44263</v>
      </c>
      <c r="F33" s="15" t="s">
        <v>7136</v>
      </c>
      <c r="G33" s="16" t="s">
        <v>7138</v>
      </c>
      <c r="H33" s="8">
        <v>255000</v>
      </c>
    </row>
    <row r="34" spans="1:8" s="18" customFormat="1" ht="31.5" x14ac:dyDescent="0.25">
      <c r="A34" s="259"/>
      <c r="B34" s="260"/>
      <c r="C34" s="19"/>
      <c r="D34" s="34"/>
      <c r="E34" s="13">
        <v>44263</v>
      </c>
      <c r="F34" s="15" t="s">
        <v>7137</v>
      </c>
      <c r="G34" s="16" t="s">
        <v>7138</v>
      </c>
      <c r="H34" s="8">
        <v>255000</v>
      </c>
    </row>
    <row r="35" spans="1:8" s="18" customFormat="1" ht="15.75" x14ac:dyDescent="0.25">
      <c r="A35" s="259"/>
      <c r="B35" s="260"/>
      <c r="C35" s="19"/>
      <c r="D35" s="34"/>
      <c r="E35" s="13">
        <v>44263</v>
      </c>
      <c r="F35" s="15" t="s">
        <v>7139</v>
      </c>
      <c r="G35" s="16" t="s">
        <v>7140</v>
      </c>
      <c r="H35" s="8">
        <v>98600</v>
      </c>
    </row>
    <row r="36" spans="1:8" s="18" customFormat="1" ht="15.75" x14ac:dyDescent="0.25">
      <c r="A36" s="259"/>
      <c r="B36" s="260"/>
      <c r="C36" s="19"/>
      <c r="D36" s="34"/>
      <c r="E36" s="13">
        <v>44264</v>
      </c>
      <c r="F36" s="15" t="s">
        <v>7141</v>
      </c>
      <c r="G36" s="16" t="s">
        <v>7142</v>
      </c>
      <c r="H36" s="8">
        <v>140000</v>
      </c>
    </row>
    <row r="37" spans="1:8" s="18" customFormat="1" ht="15.75" x14ac:dyDescent="0.25">
      <c r="A37" s="259"/>
      <c r="B37" s="260"/>
      <c r="C37" s="19"/>
      <c r="D37" s="34"/>
      <c r="E37" s="13">
        <v>44265</v>
      </c>
      <c r="F37" s="15" t="s">
        <v>7171</v>
      </c>
      <c r="G37" s="16" t="s">
        <v>5328</v>
      </c>
      <c r="H37" s="8">
        <v>35000</v>
      </c>
    </row>
    <row r="38" spans="1:8" s="18" customFormat="1" ht="31.5" x14ac:dyDescent="0.25">
      <c r="A38" s="259"/>
      <c r="B38" s="260"/>
      <c r="C38" s="19"/>
      <c r="D38" s="34"/>
      <c r="E38" s="13">
        <v>44265</v>
      </c>
      <c r="F38" s="15" t="s">
        <v>7172</v>
      </c>
      <c r="G38" s="16" t="s">
        <v>7176</v>
      </c>
      <c r="H38" s="8">
        <v>141000</v>
      </c>
    </row>
    <row r="39" spans="1:8" s="18" customFormat="1" ht="15.75" x14ac:dyDescent="0.25">
      <c r="A39" s="259"/>
      <c r="B39" s="260"/>
      <c r="C39" s="19"/>
      <c r="D39" s="34"/>
      <c r="E39" s="13">
        <v>44266</v>
      </c>
      <c r="F39" s="15" t="s">
        <v>7173</v>
      </c>
      <c r="G39" s="16" t="s">
        <v>5328</v>
      </c>
      <c r="H39" s="8">
        <v>50000</v>
      </c>
    </row>
    <row r="40" spans="1:8" s="18" customFormat="1" ht="15.75" x14ac:dyDescent="0.25">
      <c r="A40" s="259"/>
      <c r="B40" s="260"/>
      <c r="C40" s="19"/>
      <c r="D40" s="34"/>
      <c r="E40" s="13">
        <v>44268</v>
      </c>
      <c r="F40" s="15" t="s">
        <v>7174</v>
      </c>
      <c r="G40" s="16" t="s">
        <v>7177</v>
      </c>
      <c r="H40" s="8">
        <v>25000</v>
      </c>
    </row>
    <row r="41" spans="1:8" s="18" customFormat="1" ht="31.5" x14ac:dyDescent="0.25">
      <c r="A41" s="259"/>
      <c r="B41" s="260"/>
      <c r="C41" s="19"/>
      <c r="D41" s="34"/>
      <c r="E41" s="13">
        <v>44268</v>
      </c>
      <c r="F41" s="15" t="s">
        <v>7175</v>
      </c>
      <c r="G41" s="16" t="s">
        <v>7178</v>
      </c>
      <c r="H41" s="8">
        <v>11000</v>
      </c>
    </row>
    <row r="42" spans="1:8" s="18" customFormat="1" ht="15.75" x14ac:dyDescent="0.25">
      <c r="A42" s="259"/>
      <c r="B42" s="260"/>
      <c r="C42" s="19"/>
      <c r="D42" s="34"/>
      <c r="E42" s="13">
        <v>44270</v>
      </c>
      <c r="F42" s="15" t="s">
        <v>7185</v>
      </c>
      <c r="G42" s="16" t="s">
        <v>7187</v>
      </c>
      <c r="H42" s="8">
        <v>70000</v>
      </c>
    </row>
    <row r="43" spans="1:8" s="18" customFormat="1" ht="15.75" x14ac:dyDescent="0.25">
      <c r="A43" s="259"/>
      <c r="B43" s="260"/>
      <c r="C43" s="19"/>
      <c r="D43" s="34"/>
      <c r="E43" s="13">
        <v>44270</v>
      </c>
      <c r="F43" s="15" t="s">
        <v>7186</v>
      </c>
      <c r="G43" s="16" t="s">
        <v>7188</v>
      </c>
      <c r="H43" s="8">
        <v>50000</v>
      </c>
    </row>
    <row r="44" spans="1:8" s="18" customFormat="1" ht="15.75" x14ac:dyDescent="0.25">
      <c r="A44" s="259"/>
      <c r="B44" s="260"/>
      <c r="C44" s="19"/>
      <c r="D44" s="34"/>
      <c r="E44" s="13">
        <v>44270</v>
      </c>
      <c r="F44" s="35" t="s">
        <v>7198</v>
      </c>
      <c r="G44" s="19" t="s">
        <v>7190</v>
      </c>
      <c r="H44" s="8">
        <v>14050</v>
      </c>
    </row>
    <row r="45" spans="1:8" s="18" customFormat="1" ht="15.75" x14ac:dyDescent="0.25">
      <c r="A45" s="259"/>
      <c r="B45" s="260"/>
      <c r="C45" s="19"/>
      <c r="D45" s="34"/>
      <c r="E45" s="13">
        <v>44272</v>
      </c>
      <c r="F45" s="35" t="s">
        <v>7199</v>
      </c>
      <c r="G45" s="19" t="s">
        <v>7200</v>
      </c>
      <c r="H45" s="8">
        <v>500000</v>
      </c>
    </row>
    <row r="46" spans="1:8" s="18" customFormat="1" ht="15.75" x14ac:dyDescent="0.25">
      <c r="A46" s="259"/>
      <c r="B46" s="260"/>
      <c r="C46" s="19"/>
      <c r="D46" s="34"/>
      <c r="E46" s="13">
        <v>44272</v>
      </c>
      <c r="F46" s="35" t="s">
        <v>7201</v>
      </c>
      <c r="G46" s="16" t="s">
        <v>7189</v>
      </c>
      <c r="H46" s="8">
        <v>100000</v>
      </c>
    </row>
    <row r="47" spans="1:8" s="18" customFormat="1" ht="15.75" x14ac:dyDescent="0.25">
      <c r="A47" s="259"/>
      <c r="B47" s="260"/>
      <c r="C47" s="19"/>
      <c r="D47" s="34"/>
      <c r="E47" s="13">
        <v>44274</v>
      </c>
      <c r="F47" s="35" t="s">
        <v>7222</v>
      </c>
      <c r="G47" s="19" t="s">
        <v>7223</v>
      </c>
      <c r="H47" s="8">
        <v>36700</v>
      </c>
    </row>
    <row r="48" spans="1:8" s="18" customFormat="1" ht="15.75" x14ac:dyDescent="0.25">
      <c r="A48" s="259"/>
      <c r="B48" s="260"/>
      <c r="C48" s="19"/>
      <c r="D48" s="34"/>
      <c r="E48" s="13">
        <v>44277</v>
      </c>
      <c r="F48" s="35" t="s">
        <v>7224</v>
      </c>
      <c r="G48" s="19" t="s">
        <v>5328</v>
      </c>
      <c r="H48" s="8">
        <v>150000</v>
      </c>
    </row>
    <row r="49" spans="1:8" s="18" customFormat="1" ht="15.75" x14ac:dyDescent="0.25">
      <c r="A49" s="259"/>
      <c r="B49" s="260"/>
      <c r="C49" s="19"/>
      <c r="D49" s="34"/>
      <c r="E49" s="13">
        <v>44279</v>
      </c>
      <c r="F49" s="35" t="s">
        <v>7240</v>
      </c>
      <c r="G49" s="19" t="s">
        <v>5328</v>
      </c>
      <c r="H49" s="8">
        <v>100000</v>
      </c>
    </row>
    <row r="50" spans="1:8" s="18" customFormat="1" ht="15.75" x14ac:dyDescent="0.25">
      <c r="A50" s="259"/>
      <c r="B50" s="260"/>
      <c r="C50" s="19"/>
      <c r="D50" s="34"/>
      <c r="E50" s="13">
        <v>44280</v>
      </c>
      <c r="F50" s="35" t="s">
        <v>7245</v>
      </c>
      <c r="G50" s="19" t="s">
        <v>7246</v>
      </c>
      <c r="H50" s="8">
        <v>74450</v>
      </c>
    </row>
    <row r="51" spans="1:8" s="18" customFormat="1" ht="15.75" x14ac:dyDescent="0.25">
      <c r="A51" s="259"/>
      <c r="B51" s="260"/>
      <c r="C51" s="19"/>
      <c r="D51" s="34"/>
      <c r="E51" s="13">
        <v>44280</v>
      </c>
      <c r="F51" s="35" t="s">
        <v>7264</v>
      </c>
      <c r="G51" s="19" t="s">
        <v>7268</v>
      </c>
      <c r="H51" s="8">
        <v>50000</v>
      </c>
    </row>
    <row r="52" spans="1:8" s="18" customFormat="1" ht="15.75" x14ac:dyDescent="0.25">
      <c r="A52" s="259"/>
      <c r="B52" s="260"/>
      <c r="C52" s="19"/>
      <c r="D52" s="34"/>
      <c r="E52" s="13">
        <v>44280</v>
      </c>
      <c r="F52" s="35" t="s">
        <v>7265</v>
      </c>
      <c r="G52" s="19" t="s">
        <v>7268</v>
      </c>
      <c r="H52" s="8">
        <v>64500</v>
      </c>
    </row>
    <row r="53" spans="1:8" s="18" customFormat="1" ht="15.75" x14ac:dyDescent="0.25">
      <c r="A53" s="259"/>
      <c r="B53" s="260"/>
      <c r="C53" s="19"/>
      <c r="D53" s="34"/>
      <c r="E53" s="13">
        <v>44286</v>
      </c>
      <c r="F53" s="35" t="s">
        <v>7266</v>
      </c>
      <c r="G53" s="19" t="s">
        <v>6856</v>
      </c>
      <c r="H53" s="8">
        <v>98653</v>
      </c>
    </row>
    <row r="54" spans="1:8" s="18" customFormat="1" ht="15.75" x14ac:dyDescent="0.25">
      <c r="A54" s="259"/>
      <c r="B54" s="260"/>
      <c r="C54" s="19"/>
      <c r="D54" s="34"/>
      <c r="E54" s="13">
        <v>44286</v>
      </c>
      <c r="F54" s="35" t="s">
        <v>7267</v>
      </c>
      <c r="G54" s="19" t="s">
        <v>7269</v>
      </c>
      <c r="H54" s="8">
        <v>44450</v>
      </c>
    </row>
    <row r="55" spans="1:8" s="18" customFormat="1" ht="15.75" x14ac:dyDescent="0.25">
      <c r="A55" s="259"/>
      <c r="B55" s="260"/>
      <c r="C55" s="19"/>
      <c r="D55" s="34"/>
      <c r="E55" s="13">
        <v>44287</v>
      </c>
      <c r="F55" s="35" t="s">
        <v>7270</v>
      </c>
      <c r="G55" s="19" t="s">
        <v>7271</v>
      </c>
      <c r="H55" s="8">
        <v>49900</v>
      </c>
    </row>
    <row r="56" spans="1:8" s="18" customFormat="1" ht="15.75" x14ac:dyDescent="0.25">
      <c r="A56" s="259"/>
      <c r="B56" s="260"/>
      <c r="C56" s="19"/>
      <c r="D56" s="34"/>
      <c r="E56" s="13">
        <v>44291</v>
      </c>
      <c r="F56" s="35" t="s">
        <v>7279</v>
      </c>
      <c r="G56" s="16" t="s">
        <v>7280</v>
      </c>
      <c r="H56" s="8">
        <v>170000</v>
      </c>
    </row>
    <row r="57" spans="1:8" s="18" customFormat="1" ht="15.75" x14ac:dyDescent="0.25">
      <c r="A57" s="259"/>
      <c r="B57" s="260"/>
      <c r="C57" s="19"/>
      <c r="D57" s="34"/>
      <c r="E57" s="13">
        <v>44292</v>
      </c>
      <c r="F57" s="35" t="s">
        <v>7289</v>
      </c>
      <c r="G57" s="16" t="s">
        <v>7288</v>
      </c>
      <c r="H57" s="8">
        <v>28000</v>
      </c>
    </row>
    <row r="58" spans="1:8" s="18" customFormat="1" ht="15.75" x14ac:dyDescent="0.25">
      <c r="A58" s="259"/>
      <c r="B58" s="260"/>
      <c r="C58" s="19"/>
      <c r="D58" s="34"/>
      <c r="E58" s="13">
        <v>44298</v>
      </c>
      <c r="F58" s="35" t="s">
        <v>7303</v>
      </c>
      <c r="G58" s="16" t="s">
        <v>7312</v>
      </c>
      <c r="H58" s="8">
        <v>500000</v>
      </c>
    </row>
    <row r="59" spans="1:8" s="18" customFormat="1" ht="31.5" x14ac:dyDescent="0.25">
      <c r="A59" s="259"/>
      <c r="B59" s="260"/>
      <c r="C59" s="19"/>
      <c r="D59" s="34"/>
      <c r="E59" s="13">
        <v>44298</v>
      </c>
      <c r="F59" s="35" t="s">
        <v>7311</v>
      </c>
      <c r="G59" s="16" t="s">
        <v>7304</v>
      </c>
      <c r="H59" s="8">
        <v>34800</v>
      </c>
    </row>
    <row r="60" spans="1:8" s="18" customFormat="1" ht="15.75" x14ac:dyDescent="0.25">
      <c r="A60" s="259"/>
      <c r="B60" s="260"/>
      <c r="C60" s="19"/>
      <c r="D60" s="34"/>
      <c r="E60" s="13">
        <v>44299</v>
      </c>
      <c r="F60" s="35" t="s">
        <v>7313</v>
      </c>
      <c r="G60" s="16" t="s">
        <v>7314</v>
      </c>
      <c r="H60" s="8">
        <v>22000</v>
      </c>
    </row>
    <row r="61" spans="1:8" s="18" customFormat="1" ht="15.75" x14ac:dyDescent="0.25">
      <c r="A61" s="259"/>
      <c r="B61" s="260"/>
      <c r="C61" s="19"/>
      <c r="D61" s="34"/>
      <c r="E61" s="13">
        <v>44299</v>
      </c>
      <c r="F61" s="35" t="s">
        <v>7320</v>
      </c>
      <c r="G61" s="16" t="s">
        <v>7321</v>
      </c>
      <c r="H61" s="8">
        <v>50000</v>
      </c>
    </row>
    <row r="62" spans="1:8" s="18" customFormat="1" ht="15.75" x14ac:dyDescent="0.25">
      <c r="A62" s="259"/>
      <c r="B62" s="260"/>
      <c r="C62" s="19"/>
      <c r="D62" s="34"/>
      <c r="E62" s="13">
        <v>44299</v>
      </c>
      <c r="F62" s="35" t="s">
        <v>7324</v>
      </c>
      <c r="G62" s="16" t="s">
        <v>7312</v>
      </c>
      <c r="H62" s="8">
        <v>100000</v>
      </c>
    </row>
    <row r="63" spans="1:8" s="18" customFormat="1" ht="15.75" x14ac:dyDescent="0.25">
      <c r="A63" s="259"/>
      <c r="B63" s="260"/>
      <c r="C63" s="19"/>
      <c r="D63" s="34"/>
      <c r="E63" s="13">
        <v>44301</v>
      </c>
      <c r="F63" s="35" t="s">
        <v>7328</v>
      </c>
      <c r="G63" s="16" t="s">
        <v>7329</v>
      </c>
      <c r="H63" s="8">
        <v>78000</v>
      </c>
    </row>
    <row r="64" spans="1:8" s="18" customFormat="1" ht="15.75" x14ac:dyDescent="0.25">
      <c r="A64" s="259"/>
      <c r="B64" s="260"/>
      <c r="C64" s="19"/>
      <c r="D64" s="34"/>
      <c r="E64" s="13">
        <v>44301</v>
      </c>
      <c r="F64" s="35" t="s">
        <v>7353</v>
      </c>
      <c r="G64" s="16" t="s">
        <v>7354</v>
      </c>
      <c r="H64" s="8">
        <v>50000</v>
      </c>
    </row>
    <row r="65" spans="1:8" s="18" customFormat="1" ht="15.75" x14ac:dyDescent="0.25">
      <c r="A65" s="259"/>
      <c r="B65" s="260"/>
      <c r="C65" s="19"/>
      <c r="D65" s="34"/>
      <c r="E65" s="13">
        <v>44310</v>
      </c>
      <c r="F65" s="35" t="s">
        <v>7358</v>
      </c>
      <c r="G65" s="16" t="s">
        <v>6493</v>
      </c>
      <c r="H65" s="8">
        <v>41300</v>
      </c>
    </row>
    <row r="66" spans="1:8" s="18" customFormat="1" ht="15.75" x14ac:dyDescent="0.25">
      <c r="A66" s="259"/>
      <c r="B66" s="260"/>
      <c r="C66" s="19"/>
      <c r="D66" s="34"/>
      <c r="E66" s="13">
        <v>44310</v>
      </c>
      <c r="F66" s="35" t="s">
        <v>7359</v>
      </c>
      <c r="G66" s="16" t="s">
        <v>7360</v>
      </c>
      <c r="H66" s="8">
        <v>26517</v>
      </c>
    </row>
    <row r="67" spans="1:8" s="18" customFormat="1" ht="15.75" x14ac:dyDescent="0.25">
      <c r="A67" s="259"/>
      <c r="B67" s="260"/>
      <c r="C67" s="19"/>
      <c r="D67" s="34"/>
      <c r="E67" s="13">
        <v>44316</v>
      </c>
      <c r="F67" s="35" t="s">
        <v>7390</v>
      </c>
      <c r="G67" s="33" t="s">
        <v>7223</v>
      </c>
      <c r="H67" s="8">
        <v>5000</v>
      </c>
    </row>
    <row r="68" spans="1:8" s="18" customFormat="1" ht="15.75" x14ac:dyDescent="0.25">
      <c r="A68" s="259"/>
      <c r="B68" s="260"/>
      <c r="C68" s="19"/>
      <c r="D68" s="34"/>
      <c r="E68" s="13">
        <v>44316</v>
      </c>
      <c r="F68" s="35" t="s">
        <v>7391</v>
      </c>
      <c r="G68" s="33" t="s">
        <v>7223</v>
      </c>
      <c r="H68" s="8">
        <v>5000</v>
      </c>
    </row>
    <row r="69" spans="1:8" s="18" customFormat="1" ht="15.75" x14ac:dyDescent="0.25">
      <c r="A69" s="259"/>
      <c r="B69" s="260"/>
      <c r="C69" s="19"/>
      <c r="D69" s="34"/>
      <c r="E69" s="13">
        <v>44316</v>
      </c>
      <c r="F69" s="35" t="s">
        <v>7392</v>
      </c>
      <c r="G69" s="33" t="s">
        <v>7223</v>
      </c>
      <c r="H69" s="8">
        <v>5000</v>
      </c>
    </row>
    <row r="70" spans="1:8" s="18" customFormat="1" ht="15.75" x14ac:dyDescent="0.25">
      <c r="A70" s="259"/>
      <c r="B70" s="260"/>
      <c r="C70" s="19"/>
      <c r="D70" s="34"/>
      <c r="E70" s="13">
        <v>44316</v>
      </c>
      <c r="F70" s="35" t="s">
        <v>7393</v>
      </c>
      <c r="G70" s="33" t="s">
        <v>7223</v>
      </c>
      <c r="H70" s="8">
        <v>5000</v>
      </c>
    </row>
    <row r="71" spans="1:8" s="18" customFormat="1" ht="15.75" x14ac:dyDescent="0.25">
      <c r="A71" s="259"/>
      <c r="B71" s="260"/>
      <c r="C71" s="19"/>
      <c r="D71" s="34"/>
      <c r="E71" s="13">
        <v>44316</v>
      </c>
      <c r="F71" s="35" t="s">
        <v>7394</v>
      </c>
      <c r="G71" s="33" t="s">
        <v>7223</v>
      </c>
      <c r="H71" s="8">
        <v>5000</v>
      </c>
    </row>
    <row r="72" spans="1:8" s="18" customFormat="1" ht="15.75" x14ac:dyDescent="0.25">
      <c r="A72" s="259"/>
      <c r="B72" s="260"/>
      <c r="C72" s="19"/>
      <c r="D72" s="34"/>
      <c r="E72" s="13">
        <v>44316</v>
      </c>
      <c r="F72" s="35" t="s">
        <v>7395</v>
      </c>
      <c r="G72" s="16" t="s">
        <v>7400</v>
      </c>
      <c r="H72" s="8">
        <v>70000</v>
      </c>
    </row>
    <row r="73" spans="1:8" s="18" customFormat="1" ht="15.75" x14ac:dyDescent="0.25">
      <c r="A73" s="259"/>
      <c r="B73" s="260"/>
      <c r="C73" s="19"/>
      <c r="D73" s="34"/>
      <c r="E73" s="13">
        <v>44316</v>
      </c>
      <c r="F73" s="35" t="s">
        <v>7396</v>
      </c>
      <c r="G73" s="16" t="s">
        <v>7401</v>
      </c>
      <c r="H73" s="8">
        <v>77000</v>
      </c>
    </row>
    <row r="74" spans="1:8" s="18" customFormat="1" ht="15.75" x14ac:dyDescent="0.25">
      <c r="A74" s="259"/>
      <c r="B74" s="260"/>
      <c r="C74" s="19"/>
      <c r="D74" s="34"/>
      <c r="E74" s="13">
        <v>44316</v>
      </c>
      <c r="F74" s="35" t="s">
        <v>7397</v>
      </c>
      <c r="G74" s="16" t="s">
        <v>7402</v>
      </c>
      <c r="H74" s="8">
        <v>100000</v>
      </c>
    </row>
    <row r="75" spans="1:8" s="18" customFormat="1" ht="15.75" x14ac:dyDescent="0.25">
      <c r="A75" s="259"/>
      <c r="B75" s="260"/>
      <c r="C75" s="19"/>
      <c r="D75" s="34"/>
      <c r="E75" s="13">
        <v>44316</v>
      </c>
      <c r="F75" s="35" t="s">
        <v>7398</v>
      </c>
      <c r="G75" s="16" t="s">
        <v>7403</v>
      </c>
      <c r="H75" s="8">
        <v>58000</v>
      </c>
    </row>
    <row r="76" spans="1:8" s="18" customFormat="1" ht="15.75" x14ac:dyDescent="0.25">
      <c r="A76" s="259"/>
      <c r="B76" s="260"/>
      <c r="C76" s="19"/>
      <c r="D76" s="34"/>
      <c r="E76" s="13">
        <v>44321</v>
      </c>
      <c r="F76" s="35" t="s">
        <v>7399</v>
      </c>
      <c r="G76" s="268" t="s">
        <v>7404</v>
      </c>
      <c r="H76" s="264">
        <v>500000</v>
      </c>
    </row>
    <row r="77" spans="1:8" s="18" customFormat="1" ht="31.5" x14ac:dyDescent="0.25">
      <c r="A77" s="259"/>
      <c r="B77" s="260"/>
      <c r="C77" s="19"/>
      <c r="D77" s="34"/>
      <c r="E77" s="13">
        <v>44335</v>
      </c>
      <c r="F77" s="35" t="s">
        <v>7468</v>
      </c>
      <c r="G77" s="269" t="s">
        <v>7446</v>
      </c>
      <c r="H77" s="264">
        <v>600000</v>
      </c>
    </row>
    <row r="78" spans="1:8" s="18" customFormat="1" ht="31.5" x14ac:dyDescent="0.25">
      <c r="A78" s="259"/>
      <c r="B78" s="260"/>
      <c r="C78" s="19"/>
      <c r="D78" s="34"/>
      <c r="E78" s="13">
        <v>44335</v>
      </c>
      <c r="F78" s="35" t="s">
        <v>7469</v>
      </c>
      <c r="G78" s="269" t="s">
        <v>7446</v>
      </c>
      <c r="H78" s="264">
        <v>661044</v>
      </c>
    </row>
    <row r="79" spans="1:8" s="18" customFormat="1" ht="15.75" x14ac:dyDescent="0.25">
      <c r="A79" s="259"/>
      <c r="B79" s="260"/>
      <c r="C79" s="19"/>
      <c r="D79" s="34"/>
      <c r="E79" s="13">
        <v>44337</v>
      </c>
      <c r="F79" s="35" t="s">
        <v>7470</v>
      </c>
      <c r="G79" s="269" t="s">
        <v>7471</v>
      </c>
      <c r="H79" s="264">
        <v>22400</v>
      </c>
    </row>
    <row r="80" spans="1:8" s="18" customFormat="1" ht="15.75" x14ac:dyDescent="0.25">
      <c r="A80" s="259"/>
      <c r="B80" s="260"/>
      <c r="C80" s="19"/>
      <c r="D80" s="34"/>
      <c r="E80" s="13">
        <v>44340</v>
      </c>
      <c r="F80" s="35" t="s">
        <v>7481</v>
      </c>
      <c r="G80" s="269" t="s">
        <v>7486</v>
      </c>
      <c r="H80" s="264">
        <v>500000</v>
      </c>
    </row>
    <row r="81" spans="1:8" s="18" customFormat="1" ht="15.75" x14ac:dyDescent="0.25">
      <c r="A81" s="259"/>
      <c r="B81" s="260"/>
      <c r="C81" s="19"/>
      <c r="D81" s="34"/>
      <c r="E81" s="13">
        <v>44340</v>
      </c>
      <c r="F81" s="35" t="s">
        <v>7482</v>
      </c>
      <c r="G81" s="269" t="s">
        <v>7486</v>
      </c>
      <c r="H81" s="264">
        <v>500000</v>
      </c>
    </row>
    <row r="82" spans="1:8" s="18" customFormat="1" ht="15.75" x14ac:dyDescent="0.25">
      <c r="A82" s="259"/>
      <c r="B82" s="260"/>
      <c r="C82" s="19"/>
      <c r="D82" s="34"/>
      <c r="E82" s="13">
        <v>44341</v>
      </c>
      <c r="F82" s="35" t="s">
        <v>7483</v>
      </c>
      <c r="G82" s="269" t="s">
        <v>7487</v>
      </c>
      <c r="H82" s="264">
        <v>100000</v>
      </c>
    </row>
    <row r="83" spans="1:8" s="18" customFormat="1" ht="15.75" x14ac:dyDescent="0.25">
      <c r="A83" s="259"/>
      <c r="B83" s="260"/>
      <c r="C83" s="19"/>
      <c r="D83" s="34"/>
      <c r="E83" s="13">
        <v>44341</v>
      </c>
      <c r="F83" s="35" t="s">
        <v>7484</v>
      </c>
      <c r="G83" s="269" t="s">
        <v>7489</v>
      </c>
      <c r="H83" s="264">
        <v>141000</v>
      </c>
    </row>
    <row r="84" spans="1:8" s="18" customFormat="1" ht="15.75" x14ac:dyDescent="0.25">
      <c r="A84" s="259"/>
      <c r="B84" s="260"/>
      <c r="C84" s="19"/>
      <c r="D84" s="34"/>
      <c r="E84" s="13">
        <v>44341</v>
      </c>
      <c r="F84" s="35" t="s">
        <v>7485</v>
      </c>
      <c r="G84" s="269" t="s">
        <v>7490</v>
      </c>
      <c r="H84" s="264">
        <v>100000</v>
      </c>
    </row>
    <row r="85" spans="1:8" s="18" customFormat="1" ht="15.75" x14ac:dyDescent="0.25">
      <c r="A85" s="259"/>
      <c r="B85" s="260"/>
      <c r="C85" s="19"/>
      <c r="D85" s="34"/>
      <c r="E85" s="13">
        <v>44341</v>
      </c>
      <c r="F85" s="35" t="s">
        <v>7488</v>
      </c>
      <c r="G85" s="269" t="s">
        <v>7491</v>
      </c>
      <c r="H85" s="264">
        <v>300000</v>
      </c>
    </row>
    <row r="86" spans="1:8" s="18" customFormat="1" ht="15.75" x14ac:dyDescent="0.25">
      <c r="A86" s="259"/>
      <c r="B86" s="260"/>
      <c r="C86" s="19"/>
      <c r="D86" s="34"/>
      <c r="E86" s="13">
        <v>44342</v>
      </c>
      <c r="F86" s="35" t="s">
        <v>7497</v>
      </c>
      <c r="G86" s="269" t="s">
        <v>7486</v>
      </c>
      <c r="H86" s="264">
        <v>500000</v>
      </c>
    </row>
    <row r="87" spans="1:8" s="18" customFormat="1" ht="15.75" x14ac:dyDescent="0.25">
      <c r="A87" s="259"/>
      <c r="B87" s="260"/>
      <c r="C87" s="19"/>
      <c r="D87" s="34"/>
      <c r="E87" s="13">
        <v>44342</v>
      </c>
      <c r="F87" s="35" t="s">
        <v>7498</v>
      </c>
      <c r="G87" s="269" t="s">
        <v>7486</v>
      </c>
      <c r="H87" s="264">
        <v>500000</v>
      </c>
    </row>
    <row r="88" spans="1:8" s="18" customFormat="1" ht="15.75" x14ac:dyDescent="0.25">
      <c r="A88" s="259"/>
      <c r="B88" s="260"/>
      <c r="C88" s="19"/>
      <c r="D88" s="34"/>
      <c r="E88" s="13">
        <v>44349</v>
      </c>
      <c r="F88" s="35" t="s">
        <v>7516</v>
      </c>
      <c r="G88" s="268" t="s">
        <v>7515</v>
      </c>
      <c r="H88" s="264">
        <v>500000</v>
      </c>
    </row>
    <row r="89" spans="1:8" s="18" customFormat="1" ht="15.75" x14ac:dyDescent="0.25">
      <c r="A89" s="259"/>
      <c r="B89" s="260"/>
      <c r="C89" s="19"/>
      <c r="D89" s="34"/>
      <c r="E89" s="13">
        <v>44368</v>
      </c>
      <c r="F89" s="270" t="s">
        <v>7587</v>
      </c>
      <c r="G89" s="269" t="s">
        <v>5328</v>
      </c>
      <c r="H89" s="264">
        <v>150000</v>
      </c>
    </row>
    <row r="90" spans="1:8" s="18" customFormat="1" ht="15.75" x14ac:dyDescent="0.25">
      <c r="A90" s="259"/>
      <c r="B90" s="260"/>
      <c r="C90" s="19"/>
      <c r="D90" s="34"/>
      <c r="E90" s="13">
        <v>44371</v>
      </c>
      <c r="F90" s="270" t="s">
        <v>7611</v>
      </c>
      <c r="G90" s="269" t="s">
        <v>5328</v>
      </c>
      <c r="H90" s="264">
        <v>150000</v>
      </c>
    </row>
    <row r="91" spans="1:8" s="18" customFormat="1" ht="15.75" x14ac:dyDescent="0.25">
      <c r="A91" s="259"/>
      <c r="B91" s="260"/>
      <c r="C91" s="19"/>
      <c r="D91" s="34"/>
      <c r="E91" s="13">
        <v>44371</v>
      </c>
      <c r="F91" s="270" t="s">
        <v>7612</v>
      </c>
      <c r="G91" s="271" t="s">
        <v>7613</v>
      </c>
      <c r="H91" s="264">
        <v>28800</v>
      </c>
    </row>
    <row r="92" spans="1:8" s="18" customFormat="1" ht="15.75" x14ac:dyDescent="0.25">
      <c r="A92" s="259"/>
      <c r="B92" s="260"/>
      <c r="C92" s="19"/>
      <c r="D92" s="34"/>
      <c r="E92" s="13">
        <v>44372</v>
      </c>
      <c r="F92" s="270" t="s">
        <v>7620</v>
      </c>
      <c r="G92" s="269" t="s">
        <v>5328</v>
      </c>
      <c r="H92" s="264">
        <v>100000</v>
      </c>
    </row>
    <row r="93" spans="1:8" s="18" customFormat="1" ht="15.75" x14ac:dyDescent="0.25">
      <c r="A93" s="259"/>
      <c r="B93" s="260"/>
      <c r="C93" s="19"/>
      <c r="D93" s="34"/>
      <c r="E93" s="13">
        <v>44372</v>
      </c>
      <c r="F93" s="270" t="s">
        <v>7621</v>
      </c>
      <c r="G93" s="271" t="s">
        <v>7622</v>
      </c>
      <c r="H93" s="264">
        <v>150000</v>
      </c>
    </row>
    <row r="94" spans="1:8" s="18" customFormat="1" ht="15.75" x14ac:dyDescent="0.25">
      <c r="A94" s="259"/>
      <c r="B94" s="260"/>
      <c r="C94" s="19"/>
      <c r="D94" s="34"/>
      <c r="E94" s="13">
        <v>44373</v>
      </c>
      <c r="F94" s="270" t="s">
        <v>7628</v>
      </c>
      <c r="G94" s="271" t="s">
        <v>7636</v>
      </c>
      <c r="H94" s="264">
        <v>0</v>
      </c>
    </row>
    <row r="95" spans="1:8" s="18" customFormat="1" ht="15.75" x14ac:dyDescent="0.25">
      <c r="A95" s="259"/>
      <c r="B95" s="260"/>
      <c r="C95" s="19"/>
      <c r="D95" s="34"/>
      <c r="E95" s="13">
        <v>44373</v>
      </c>
      <c r="F95" s="270" t="s">
        <v>7629</v>
      </c>
      <c r="G95" s="271" t="s">
        <v>7635</v>
      </c>
      <c r="H95" s="264">
        <v>30000</v>
      </c>
    </row>
    <row r="96" spans="1:8" s="18" customFormat="1" ht="15.75" x14ac:dyDescent="0.25">
      <c r="A96" s="259"/>
      <c r="B96" s="260"/>
      <c r="C96" s="19"/>
      <c r="D96" s="34"/>
      <c r="E96" s="13">
        <v>44373</v>
      </c>
      <c r="F96" s="270" t="s">
        <v>7630</v>
      </c>
      <c r="G96" s="271" t="s">
        <v>7636</v>
      </c>
      <c r="H96" s="264"/>
    </row>
    <row r="97" spans="1:8" s="18" customFormat="1" ht="15.75" x14ac:dyDescent="0.25">
      <c r="A97" s="259"/>
      <c r="B97" s="260"/>
      <c r="C97" s="19"/>
      <c r="D97" s="34"/>
      <c r="E97" s="13">
        <v>44373</v>
      </c>
      <c r="F97" s="270" t="s">
        <v>7631</v>
      </c>
      <c r="G97" s="269" t="s">
        <v>7438</v>
      </c>
      <c r="H97" s="264">
        <v>35000</v>
      </c>
    </row>
    <row r="98" spans="1:8" s="18" customFormat="1" ht="15.75" x14ac:dyDescent="0.25">
      <c r="A98" s="259"/>
      <c r="B98" s="260"/>
      <c r="C98" s="19"/>
      <c r="D98" s="34"/>
      <c r="E98" s="13">
        <v>44373</v>
      </c>
      <c r="F98" s="270" t="s">
        <v>7632</v>
      </c>
      <c r="G98" s="269" t="s">
        <v>6840</v>
      </c>
      <c r="H98" s="264">
        <v>70000</v>
      </c>
    </row>
    <row r="99" spans="1:8" s="18" customFormat="1" ht="15.75" x14ac:dyDescent="0.25">
      <c r="A99" s="259"/>
      <c r="B99" s="260"/>
      <c r="C99" s="19"/>
      <c r="D99" s="34"/>
      <c r="E99" s="13">
        <v>44373</v>
      </c>
      <c r="F99" s="270" t="s">
        <v>7633</v>
      </c>
      <c r="G99" s="269" t="s">
        <v>7639</v>
      </c>
      <c r="H99" s="264">
        <v>100000</v>
      </c>
    </row>
    <row r="100" spans="1:8" s="18" customFormat="1" ht="15.75" x14ac:dyDescent="0.25">
      <c r="A100" s="259"/>
      <c r="B100" s="260"/>
      <c r="C100" s="19"/>
      <c r="D100" s="34"/>
      <c r="E100" s="13">
        <v>44373</v>
      </c>
      <c r="F100" s="270" t="s">
        <v>7634</v>
      </c>
      <c r="G100" s="269" t="s">
        <v>7640</v>
      </c>
      <c r="H100" s="264">
        <v>50000</v>
      </c>
    </row>
    <row r="101" spans="1:8" s="18" customFormat="1" ht="15.75" x14ac:dyDescent="0.25">
      <c r="A101" s="259"/>
      <c r="B101" s="260"/>
      <c r="C101" s="19"/>
      <c r="D101" s="34"/>
      <c r="E101" s="13">
        <v>44373</v>
      </c>
      <c r="F101" s="270" t="s">
        <v>7637</v>
      </c>
      <c r="G101" s="269" t="s">
        <v>7642</v>
      </c>
      <c r="H101" s="264">
        <v>200000</v>
      </c>
    </row>
    <row r="102" spans="1:8" s="18" customFormat="1" ht="15.75" x14ac:dyDescent="0.25">
      <c r="A102" s="259"/>
      <c r="B102" s="260"/>
      <c r="C102" s="19"/>
      <c r="D102" s="34"/>
      <c r="E102" s="13">
        <v>44373</v>
      </c>
      <c r="F102" s="270" t="s">
        <v>7638</v>
      </c>
      <c r="G102" s="269" t="s">
        <v>7642</v>
      </c>
      <c r="H102" s="264">
        <v>164000</v>
      </c>
    </row>
    <row r="103" spans="1:8" s="18" customFormat="1" ht="15.75" x14ac:dyDescent="0.25">
      <c r="A103" s="259"/>
      <c r="B103" s="260"/>
      <c r="C103" s="19"/>
      <c r="D103" s="34"/>
      <c r="E103" s="13">
        <v>44373</v>
      </c>
      <c r="F103" s="270" t="s">
        <v>7641</v>
      </c>
      <c r="G103" s="271" t="s">
        <v>7636</v>
      </c>
      <c r="H103" s="264">
        <v>0</v>
      </c>
    </row>
    <row r="104" spans="1:8" s="18" customFormat="1" ht="15.75" x14ac:dyDescent="0.25">
      <c r="A104" s="259"/>
      <c r="B104" s="260"/>
      <c r="C104" s="19"/>
      <c r="D104" s="34"/>
      <c r="E104" s="13">
        <v>44375</v>
      </c>
      <c r="F104" s="270" t="s">
        <v>7669</v>
      </c>
      <c r="G104" s="269" t="s">
        <v>7672</v>
      </c>
      <c r="H104" s="264">
        <v>60000</v>
      </c>
    </row>
    <row r="105" spans="1:8" s="18" customFormat="1" ht="15.75" x14ac:dyDescent="0.25">
      <c r="A105" s="259"/>
      <c r="B105" s="260"/>
      <c r="C105" s="19"/>
      <c r="D105" s="34"/>
      <c r="E105" s="13">
        <v>44375</v>
      </c>
      <c r="F105" s="270" t="s">
        <v>7670</v>
      </c>
      <c r="G105" s="269" t="s">
        <v>7672</v>
      </c>
      <c r="H105" s="264">
        <v>78000</v>
      </c>
    </row>
    <row r="106" spans="1:8" s="18" customFormat="1" ht="15.75" x14ac:dyDescent="0.25">
      <c r="A106" s="259"/>
      <c r="B106" s="260"/>
      <c r="C106" s="19"/>
      <c r="D106" s="34"/>
      <c r="E106" s="13">
        <v>44377</v>
      </c>
      <c r="F106" s="270" t="s">
        <v>7671</v>
      </c>
      <c r="G106" s="269" t="s">
        <v>7673</v>
      </c>
      <c r="H106" s="264">
        <v>127378</v>
      </c>
    </row>
    <row r="107" spans="1:8" s="18" customFormat="1" ht="15.75" x14ac:dyDescent="0.25">
      <c r="A107" s="259"/>
      <c r="B107" s="260"/>
      <c r="C107" s="19"/>
      <c r="D107" s="34"/>
      <c r="E107" s="13">
        <v>44385</v>
      </c>
      <c r="F107" s="270" t="s">
        <v>7748</v>
      </c>
      <c r="G107" s="269" t="s">
        <v>7751</v>
      </c>
      <c r="H107" s="264">
        <v>50000</v>
      </c>
    </row>
    <row r="108" spans="1:8" s="18" customFormat="1" ht="15.75" x14ac:dyDescent="0.25">
      <c r="A108" s="259"/>
      <c r="B108" s="260"/>
      <c r="C108" s="19"/>
      <c r="D108" s="34"/>
      <c r="E108" s="13">
        <v>44391</v>
      </c>
      <c r="F108" s="270" t="s">
        <v>7749</v>
      </c>
      <c r="G108" s="269" t="s">
        <v>7752</v>
      </c>
      <c r="H108" s="264">
        <v>80000</v>
      </c>
    </row>
    <row r="109" spans="1:8" s="18" customFormat="1" ht="15.75" x14ac:dyDescent="0.25">
      <c r="A109" s="259"/>
      <c r="B109" s="260"/>
      <c r="C109" s="19"/>
      <c r="D109" s="34"/>
      <c r="E109" s="13">
        <v>44391</v>
      </c>
      <c r="F109" s="270" t="s">
        <v>7750</v>
      </c>
      <c r="G109" s="269" t="s">
        <v>7753</v>
      </c>
      <c r="H109" s="264">
        <v>50000</v>
      </c>
    </row>
    <row r="110" spans="1:8" s="18" customFormat="1" ht="15.75" x14ac:dyDescent="0.25">
      <c r="A110" s="259"/>
      <c r="B110" s="260"/>
      <c r="C110" s="19"/>
      <c r="D110" s="34"/>
      <c r="E110" s="13">
        <v>44393</v>
      </c>
      <c r="F110" s="270" t="s">
        <v>7770</v>
      </c>
      <c r="G110" s="269" t="s">
        <v>7773</v>
      </c>
      <c r="H110" s="264">
        <v>50000</v>
      </c>
    </row>
    <row r="111" spans="1:8" s="18" customFormat="1" ht="15.75" x14ac:dyDescent="0.25">
      <c r="A111" s="259"/>
      <c r="B111" s="260"/>
      <c r="C111" s="19"/>
      <c r="D111" s="34"/>
      <c r="E111" s="13">
        <v>44393</v>
      </c>
      <c r="F111" s="270" t="s">
        <v>7771</v>
      </c>
      <c r="G111" s="269" t="s">
        <v>7774</v>
      </c>
      <c r="H111" s="264">
        <v>50000</v>
      </c>
    </row>
    <row r="112" spans="1:8" s="18" customFormat="1" ht="15.75" x14ac:dyDescent="0.25">
      <c r="A112" s="259"/>
      <c r="B112" s="260"/>
      <c r="C112" s="19"/>
      <c r="D112" s="34"/>
      <c r="E112" s="13">
        <v>44393</v>
      </c>
      <c r="F112" s="270" t="s">
        <v>7772</v>
      </c>
      <c r="G112" s="269" t="s">
        <v>7775</v>
      </c>
      <c r="H112" s="264">
        <v>200000</v>
      </c>
    </row>
    <row r="113" spans="1:8" s="18" customFormat="1" ht="31.5" x14ac:dyDescent="0.25">
      <c r="A113" s="259"/>
      <c r="B113" s="260"/>
      <c r="C113" s="19"/>
      <c r="D113" s="34"/>
      <c r="E113" s="13">
        <v>44411</v>
      </c>
      <c r="F113" s="270" t="s">
        <v>7862</v>
      </c>
      <c r="G113" s="271" t="s">
        <v>7863</v>
      </c>
      <c r="H113" s="264">
        <v>50000</v>
      </c>
    </row>
    <row r="114" spans="1:8" s="18" customFormat="1" ht="15.75" x14ac:dyDescent="0.25">
      <c r="A114" s="259"/>
      <c r="B114" s="260"/>
      <c r="C114" s="19"/>
      <c r="D114" s="34"/>
      <c r="E114" s="13">
        <v>44413</v>
      </c>
      <c r="F114" s="270" t="s">
        <v>7869</v>
      </c>
      <c r="G114" s="269" t="s">
        <v>7871</v>
      </c>
      <c r="H114" s="264">
        <v>500000</v>
      </c>
    </row>
    <row r="115" spans="1:8" s="18" customFormat="1" ht="15.75" x14ac:dyDescent="0.25">
      <c r="A115" s="259"/>
      <c r="B115" s="260"/>
      <c r="C115" s="19"/>
      <c r="D115" s="34"/>
      <c r="E115" s="13">
        <v>44413</v>
      </c>
      <c r="F115" s="270" t="s">
        <v>7870</v>
      </c>
      <c r="G115" s="269" t="s">
        <v>7872</v>
      </c>
      <c r="H115" s="264">
        <v>96000</v>
      </c>
    </row>
    <row r="116" spans="1:8" s="18" customFormat="1" ht="15.75" x14ac:dyDescent="0.25">
      <c r="A116" s="259"/>
      <c r="B116" s="260"/>
      <c r="C116" s="19"/>
      <c r="D116" s="34"/>
      <c r="E116" s="13">
        <v>44418</v>
      </c>
      <c r="F116" s="270" t="s">
        <v>7894</v>
      </c>
      <c r="G116" s="269" t="s">
        <v>7896</v>
      </c>
      <c r="H116" s="264">
        <v>80000</v>
      </c>
    </row>
    <row r="117" spans="1:8" s="18" customFormat="1" ht="31.5" x14ac:dyDescent="0.25">
      <c r="A117" s="259"/>
      <c r="B117" s="260"/>
      <c r="C117" s="19"/>
      <c r="D117" s="34"/>
      <c r="E117" s="13">
        <v>44418</v>
      </c>
      <c r="F117" s="270" t="s">
        <v>7895</v>
      </c>
      <c r="G117" s="269" t="s">
        <v>7897</v>
      </c>
      <c r="H117" s="264">
        <v>100000</v>
      </c>
    </row>
    <row r="118" spans="1:8" s="18" customFormat="1" ht="15.75" x14ac:dyDescent="0.25">
      <c r="A118" s="259"/>
      <c r="B118" s="260"/>
      <c r="C118" s="19"/>
      <c r="D118" s="34"/>
      <c r="E118" s="13">
        <v>44420</v>
      </c>
      <c r="F118" s="270" t="s">
        <v>7906</v>
      </c>
      <c r="G118" s="269" t="s">
        <v>7907</v>
      </c>
      <c r="H118" s="264">
        <v>250000</v>
      </c>
    </row>
    <row r="119" spans="1:8" s="18" customFormat="1" ht="15.75" x14ac:dyDescent="0.25">
      <c r="A119" s="259"/>
      <c r="B119" s="260"/>
      <c r="C119" s="19"/>
      <c r="D119" s="34"/>
      <c r="E119" s="13">
        <v>44420</v>
      </c>
      <c r="F119" s="270" t="s">
        <v>7924</v>
      </c>
      <c r="G119" s="269" t="s">
        <v>5328</v>
      </c>
      <c r="H119" s="264">
        <v>100000</v>
      </c>
    </row>
    <row r="120" spans="1:8" s="18" customFormat="1" ht="15.75" x14ac:dyDescent="0.25">
      <c r="A120" s="259"/>
      <c r="B120" s="260"/>
      <c r="C120" s="19"/>
      <c r="D120" s="34"/>
      <c r="E120" s="13">
        <v>44420</v>
      </c>
      <c r="F120" s="270" t="s">
        <v>7925</v>
      </c>
      <c r="G120" s="269" t="s">
        <v>5328</v>
      </c>
      <c r="H120" s="264">
        <v>100000</v>
      </c>
    </row>
    <row r="121" spans="1:8" s="18" customFormat="1" ht="31.5" x14ac:dyDescent="0.25">
      <c r="A121" s="259"/>
      <c r="B121" s="260"/>
      <c r="C121" s="19"/>
      <c r="D121" s="34"/>
      <c r="E121" s="13">
        <v>44434</v>
      </c>
      <c r="F121" s="270" t="s">
        <v>7944</v>
      </c>
      <c r="G121" s="271" t="s">
        <v>7945</v>
      </c>
      <c r="H121" s="264">
        <v>43653</v>
      </c>
    </row>
    <row r="122" spans="1:8" s="18" customFormat="1" ht="15.75" x14ac:dyDescent="0.25">
      <c r="A122" s="259"/>
      <c r="B122" s="260"/>
      <c r="C122" s="19"/>
      <c r="D122" s="34"/>
      <c r="E122" s="13">
        <v>44439</v>
      </c>
      <c r="F122" s="270" t="s">
        <v>7983</v>
      </c>
      <c r="G122" s="269" t="s">
        <v>7996</v>
      </c>
      <c r="H122" s="264">
        <v>350000</v>
      </c>
    </row>
    <row r="123" spans="1:8" s="18" customFormat="1" ht="15.75" x14ac:dyDescent="0.25">
      <c r="A123" s="259"/>
      <c r="B123" s="260"/>
      <c r="C123" s="19"/>
      <c r="D123" s="34"/>
      <c r="E123" s="13">
        <v>44439</v>
      </c>
      <c r="F123" s="270" t="s">
        <v>7984</v>
      </c>
      <c r="G123" s="269" t="s">
        <v>7997</v>
      </c>
      <c r="H123" s="264">
        <v>50000</v>
      </c>
    </row>
    <row r="124" spans="1:8" s="18" customFormat="1" ht="15.75" x14ac:dyDescent="0.25">
      <c r="A124" s="259"/>
      <c r="B124" s="260"/>
      <c r="C124" s="19"/>
      <c r="D124" s="34"/>
      <c r="E124" s="13">
        <v>44452</v>
      </c>
      <c r="F124" s="270" t="s">
        <v>7985</v>
      </c>
      <c r="G124" s="269" t="s">
        <v>7992</v>
      </c>
      <c r="H124" s="264">
        <v>40000</v>
      </c>
    </row>
    <row r="125" spans="1:8" s="18" customFormat="1" ht="15.75" x14ac:dyDescent="0.25">
      <c r="A125" s="259"/>
      <c r="B125" s="260"/>
      <c r="C125" s="19"/>
      <c r="D125" s="34"/>
      <c r="E125" s="13">
        <v>44454</v>
      </c>
      <c r="F125" s="270" t="s">
        <v>7986</v>
      </c>
      <c r="G125" s="269" t="s">
        <v>7993</v>
      </c>
      <c r="H125" s="264">
        <v>100000</v>
      </c>
    </row>
    <row r="126" spans="1:8" s="18" customFormat="1" ht="15.75" x14ac:dyDescent="0.25">
      <c r="A126" s="259"/>
      <c r="B126" s="260"/>
      <c r="C126" s="19"/>
      <c r="D126" s="34"/>
      <c r="E126" s="13">
        <v>44455</v>
      </c>
      <c r="F126" s="270" t="s">
        <v>7987</v>
      </c>
      <c r="G126" s="269" t="s">
        <v>7522</v>
      </c>
      <c r="H126" s="264">
        <v>45000</v>
      </c>
    </row>
    <row r="127" spans="1:8" s="18" customFormat="1" ht="15.75" x14ac:dyDescent="0.25">
      <c r="A127" s="259"/>
      <c r="B127" s="260"/>
      <c r="C127" s="19"/>
      <c r="D127" s="34"/>
      <c r="E127" s="13">
        <v>44455</v>
      </c>
      <c r="F127" s="270" t="s">
        <v>7988</v>
      </c>
      <c r="G127" s="269" t="s">
        <v>5978</v>
      </c>
      <c r="H127" s="264">
        <v>250000</v>
      </c>
    </row>
    <row r="128" spans="1:8" s="18" customFormat="1" ht="15.75" x14ac:dyDescent="0.25">
      <c r="A128" s="259"/>
      <c r="B128" s="260"/>
      <c r="C128" s="19"/>
      <c r="D128" s="34"/>
      <c r="E128" s="13">
        <v>44456</v>
      </c>
      <c r="F128" s="270" t="s">
        <v>7989</v>
      </c>
      <c r="G128" s="269" t="s">
        <v>7994</v>
      </c>
      <c r="H128" s="264">
        <v>100000</v>
      </c>
    </row>
    <row r="129" spans="1:8" s="18" customFormat="1" ht="15.75" x14ac:dyDescent="0.25">
      <c r="A129" s="259"/>
      <c r="B129" s="260"/>
      <c r="C129" s="19"/>
      <c r="D129" s="34"/>
      <c r="E129" s="13">
        <v>44456</v>
      </c>
      <c r="F129" s="270" t="s">
        <v>7990</v>
      </c>
      <c r="G129" s="269" t="s">
        <v>7994</v>
      </c>
      <c r="H129" s="264">
        <v>50000</v>
      </c>
    </row>
    <row r="130" spans="1:8" s="18" customFormat="1" ht="15.75" x14ac:dyDescent="0.25">
      <c r="A130" s="259"/>
      <c r="B130" s="260"/>
      <c r="C130" s="19"/>
      <c r="D130" s="34"/>
      <c r="E130" s="13">
        <v>44457</v>
      </c>
      <c r="F130" s="270" t="s">
        <v>7991</v>
      </c>
      <c r="G130" s="269" t="s">
        <v>7995</v>
      </c>
      <c r="H130" s="264">
        <v>100000</v>
      </c>
    </row>
    <row r="131" spans="1:8" s="18" customFormat="1" ht="15.75" x14ac:dyDescent="0.25">
      <c r="A131" s="259"/>
      <c r="B131" s="260"/>
      <c r="C131" s="19"/>
      <c r="D131" s="34"/>
      <c r="E131" s="13">
        <v>44461</v>
      </c>
      <c r="F131" s="270" t="s">
        <v>8021</v>
      </c>
      <c r="G131" s="261" t="s">
        <v>8023</v>
      </c>
      <c r="H131" s="8">
        <v>43920</v>
      </c>
    </row>
    <row r="132" spans="1:8" s="18" customFormat="1" ht="15.75" x14ac:dyDescent="0.25">
      <c r="A132" s="259"/>
      <c r="B132" s="260"/>
      <c r="C132" s="19"/>
      <c r="D132" s="34"/>
      <c r="E132" s="13">
        <v>44461</v>
      </c>
      <c r="F132" s="270" t="s">
        <v>8022</v>
      </c>
      <c r="G132" s="261" t="s">
        <v>5328</v>
      </c>
      <c r="H132" s="8">
        <v>200000</v>
      </c>
    </row>
    <row r="133" spans="1:8" s="18" customFormat="1" ht="15.75" x14ac:dyDescent="0.25">
      <c r="A133" s="259"/>
      <c r="B133" s="260"/>
      <c r="C133" s="19"/>
      <c r="D133" s="34"/>
      <c r="E133" s="13">
        <v>44464</v>
      </c>
      <c r="F133" s="270" t="s">
        <v>8036</v>
      </c>
      <c r="G133" s="261" t="s">
        <v>8037</v>
      </c>
      <c r="H133" s="8">
        <v>85000</v>
      </c>
    </row>
    <row r="134" spans="1:8" s="18" customFormat="1" ht="15.75" x14ac:dyDescent="0.25">
      <c r="A134" s="259"/>
      <c r="B134" s="260"/>
      <c r="C134" s="19"/>
      <c r="D134" s="34"/>
      <c r="E134" s="13">
        <v>44474</v>
      </c>
      <c r="F134" s="270" t="s">
        <v>8096</v>
      </c>
      <c r="G134" s="261" t="s">
        <v>8097</v>
      </c>
      <c r="H134" s="8">
        <v>150000</v>
      </c>
    </row>
    <row r="135" spans="1:8" s="18" customFormat="1" ht="15.75" x14ac:dyDescent="0.25">
      <c r="A135" s="259"/>
      <c r="B135" s="260"/>
      <c r="C135" s="19"/>
      <c r="D135" s="34"/>
      <c r="E135" s="13">
        <v>44476</v>
      </c>
      <c r="F135" s="270" t="s">
        <v>8103</v>
      </c>
      <c r="G135" s="290" t="s">
        <v>7636</v>
      </c>
      <c r="H135" s="8"/>
    </row>
    <row r="136" spans="1:8" s="18" customFormat="1" ht="15.75" x14ac:dyDescent="0.25">
      <c r="A136" s="259"/>
      <c r="B136" s="260"/>
      <c r="C136" s="19"/>
      <c r="D136" s="34"/>
      <c r="E136" s="13">
        <v>44476</v>
      </c>
      <c r="F136" s="270" t="s">
        <v>8104</v>
      </c>
      <c r="G136" s="261" t="s">
        <v>8107</v>
      </c>
      <c r="H136" s="8">
        <v>38000</v>
      </c>
    </row>
    <row r="137" spans="1:8" s="18" customFormat="1" ht="15.75" x14ac:dyDescent="0.25">
      <c r="A137" s="259"/>
      <c r="B137" s="260"/>
      <c r="C137" s="19"/>
      <c r="D137" s="34"/>
      <c r="E137" s="13">
        <v>44476</v>
      </c>
      <c r="F137" s="270" t="s">
        <v>8105</v>
      </c>
      <c r="G137" s="261" t="s">
        <v>5328</v>
      </c>
      <c r="H137" s="8">
        <v>100000</v>
      </c>
    </row>
    <row r="138" spans="1:8" s="18" customFormat="1" ht="15.75" x14ac:dyDescent="0.25">
      <c r="A138" s="259"/>
      <c r="B138" s="260"/>
      <c r="C138" s="19"/>
      <c r="D138" s="34"/>
      <c r="E138" s="13">
        <v>44476</v>
      </c>
      <c r="F138" s="270" t="s">
        <v>8106</v>
      </c>
      <c r="G138" s="261" t="s">
        <v>8108</v>
      </c>
      <c r="H138" s="8">
        <v>25000</v>
      </c>
    </row>
    <row r="139" spans="1:8" s="18" customFormat="1" ht="15.75" x14ac:dyDescent="0.25">
      <c r="A139" s="259"/>
      <c r="B139" s="284"/>
      <c r="C139" s="19"/>
      <c r="D139" s="34"/>
      <c r="E139" s="13">
        <v>44482</v>
      </c>
      <c r="F139" s="270" t="s">
        <v>8126</v>
      </c>
      <c r="G139" s="261" t="s">
        <v>8127</v>
      </c>
      <c r="H139" s="8">
        <v>53000</v>
      </c>
    </row>
    <row r="140" spans="1:8" s="18" customFormat="1" ht="15.75" x14ac:dyDescent="0.25">
      <c r="A140" s="259"/>
      <c r="B140" s="284"/>
      <c r="C140" s="19"/>
      <c r="D140" s="34"/>
      <c r="E140" s="13">
        <v>44485</v>
      </c>
      <c r="F140" s="270" t="s">
        <v>8140</v>
      </c>
      <c r="G140" s="261" t="s">
        <v>8141</v>
      </c>
      <c r="H140" s="8">
        <v>24239</v>
      </c>
    </row>
    <row r="141" spans="1:8" s="18" customFormat="1" ht="15.75" x14ac:dyDescent="0.25">
      <c r="A141" s="259"/>
      <c r="B141" s="284"/>
      <c r="C141" s="19"/>
      <c r="D141" s="34"/>
      <c r="E141" s="13">
        <v>44487</v>
      </c>
      <c r="F141" s="270" t="s">
        <v>8145</v>
      </c>
      <c r="G141" s="261" t="s">
        <v>7268</v>
      </c>
      <c r="H141" s="8">
        <v>128000</v>
      </c>
    </row>
    <row r="142" spans="1:8" s="18" customFormat="1" ht="15.75" x14ac:dyDescent="0.25">
      <c r="A142" s="259"/>
      <c r="B142" s="284"/>
      <c r="C142" s="19"/>
      <c r="D142" s="34"/>
      <c r="E142" s="13">
        <v>44488</v>
      </c>
      <c r="F142" s="270" t="s">
        <v>8155</v>
      </c>
      <c r="G142" s="261" t="s">
        <v>8159</v>
      </c>
      <c r="H142" s="8">
        <v>125000</v>
      </c>
    </row>
    <row r="143" spans="1:8" s="18" customFormat="1" ht="15.75" x14ac:dyDescent="0.25">
      <c r="A143" s="259"/>
      <c r="B143" s="284"/>
      <c r="C143" s="19"/>
      <c r="D143" s="34"/>
      <c r="E143" s="13">
        <v>44489</v>
      </c>
      <c r="F143" s="270" t="s">
        <v>8156</v>
      </c>
      <c r="G143" s="261" t="s">
        <v>8160</v>
      </c>
      <c r="H143" s="8">
        <v>59700</v>
      </c>
    </row>
    <row r="144" spans="1:8" s="18" customFormat="1" ht="15.75" x14ac:dyDescent="0.25">
      <c r="A144" s="259"/>
      <c r="B144" s="284"/>
      <c r="C144" s="19"/>
      <c r="D144" s="34"/>
      <c r="E144" s="13">
        <v>44490</v>
      </c>
      <c r="F144" s="270" t="s">
        <v>8157</v>
      </c>
      <c r="G144" s="261" t="s">
        <v>8162</v>
      </c>
      <c r="H144" s="8">
        <v>34000</v>
      </c>
    </row>
    <row r="145" spans="1:10" s="18" customFormat="1" ht="15.75" x14ac:dyDescent="0.25">
      <c r="A145" s="259"/>
      <c r="B145" s="284"/>
      <c r="C145" s="19"/>
      <c r="D145" s="34"/>
      <c r="E145" s="13">
        <v>44490</v>
      </c>
      <c r="F145" s="270" t="s">
        <v>8158</v>
      </c>
      <c r="G145" s="261" t="s">
        <v>8161</v>
      </c>
      <c r="H145" s="8">
        <v>30000</v>
      </c>
    </row>
    <row r="146" spans="1:10" s="18" customFormat="1" ht="15.75" x14ac:dyDescent="0.25">
      <c r="A146" s="259"/>
      <c r="B146" s="284"/>
      <c r="C146" s="19"/>
      <c r="D146" s="34"/>
      <c r="E146" s="13">
        <v>44492</v>
      </c>
      <c r="F146" s="270" t="s">
        <v>8177</v>
      </c>
      <c r="G146" s="261" t="s">
        <v>8174</v>
      </c>
      <c r="H146" s="8">
        <v>150000</v>
      </c>
    </row>
    <row r="147" spans="1:10" s="18" customFormat="1" ht="15.75" x14ac:dyDescent="0.25">
      <c r="A147" s="259"/>
      <c r="B147" s="284"/>
      <c r="C147" s="19"/>
      <c r="D147" s="34"/>
      <c r="E147" s="13">
        <v>44499</v>
      </c>
      <c r="F147" s="270" t="s">
        <v>8226</v>
      </c>
      <c r="G147" s="261" t="s">
        <v>8230</v>
      </c>
      <c r="H147" s="8">
        <v>100000</v>
      </c>
    </row>
    <row r="148" spans="1:10" s="18" customFormat="1" ht="15.75" x14ac:dyDescent="0.25">
      <c r="A148" s="259"/>
      <c r="B148" s="284"/>
      <c r="C148" s="19"/>
      <c r="D148" s="34"/>
      <c r="E148" s="13">
        <v>44503</v>
      </c>
      <c r="F148" s="270" t="s">
        <v>8227</v>
      </c>
      <c r="G148" s="261" t="s">
        <v>2318</v>
      </c>
      <c r="H148" s="8">
        <v>150000</v>
      </c>
    </row>
    <row r="149" spans="1:10" s="18" customFormat="1" ht="15.75" x14ac:dyDescent="0.25">
      <c r="A149" s="259"/>
      <c r="B149" s="284"/>
      <c r="C149" s="19"/>
      <c r="D149" s="34"/>
      <c r="E149" s="13">
        <v>44505</v>
      </c>
      <c r="F149" s="270" t="s">
        <v>8228</v>
      </c>
      <c r="G149" s="261" t="s">
        <v>8231</v>
      </c>
      <c r="H149" s="8">
        <v>350000</v>
      </c>
    </row>
    <row r="150" spans="1:10" s="18" customFormat="1" ht="15.75" x14ac:dyDescent="0.25">
      <c r="A150" s="259"/>
      <c r="B150" s="284"/>
      <c r="C150" s="19"/>
      <c r="D150" s="34"/>
      <c r="E150" s="13">
        <v>44505</v>
      </c>
      <c r="F150" s="270" t="s">
        <v>8229</v>
      </c>
      <c r="G150" s="261" t="s">
        <v>7673</v>
      </c>
      <c r="H150" s="8">
        <v>134784</v>
      </c>
    </row>
    <row r="151" spans="1:10" s="18" customFormat="1" ht="15.75" x14ac:dyDescent="0.25">
      <c r="A151" s="259"/>
      <c r="B151" s="284"/>
      <c r="C151" s="19"/>
      <c r="D151" s="34"/>
      <c r="E151" s="13">
        <v>44510</v>
      </c>
      <c r="F151" s="270" t="s">
        <v>8263</v>
      </c>
      <c r="G151" s="261" t="s">
        <v>8264</v>
      </c>
      <c r="H151" s="8">
        <v>100000</v>
      </c>
    </row>
    <row r="152" spans="1:10" s="18" customFormat="1" ht="15.75" x14ac:dyDescent="0.25">
      <c r="A152" s="259"/>
      <c r="B152" s="284"/>
      <c r="C152" s="19"/>
      <c r="D152" s="34"/>
      <c r="E152" s="13">
        <v>44513</v>
      </c>
      <c r="F152" s="270" t="s">
        <v>8268</v>
      </c>
      <c r="G152" s="261" t="s">
        <v>8269</v>
      </c>
      <c r="H152" s="8">
        <v>140000</v>
      </c>
    </row>
    <row r="153" spans="1:10" s="18" customFormat="1" ht="15.75" x14ac:dyDescent="0.25">
      <c r="A153" s="259"/>
      <c r="B153" s="284"/>
      <c r="C153" s="19"/>
      <c r="D153" s="34"/>
      <c r="E153" s="13">
        <v>44515</v>
      </c>
      <c r="F153" s="270" t="s">
        <v>8277</v>
      </c>
      <c r="G153" s="261" t="s">
        <v>6493</v>
      </c>
      <c r="H153" s="8">
        <v>65000</v>
      </c>
    </row>
    <row r="154" spans="1:10" s="18" customFormat="1" ht="15.75" x14ac:dyDescent="0.25">
      <c r="A154" s="259"/>
      <c r="B154" s="284"/>
      <c r="C154" s="19"/>
      <c r="D154" s="34"/>
      <c r="E154" s="13">
        <v>44515</v>
      </c>
      <c r="F154" s="270" t="s">
        <v>8278</v>
      </c>
      <c r="G154" s="261" t="s">
        <v>8280</v>
      </c>
      <c r="H154" s="8">
        <v>84000</v>
      </c>
    </row>
    <row r="155" spans="1:10" s="18" customFormat="1" ht="15.75" x14ac:dyDescent="0.25">
      <c r="A155" s="259"/>
      <c r="B155" s="284"/>
      <c r="C155" s="19"/>
      <c r="D155" s="34"/>
      <c r="E155" s="13">
        <v>44515</v>
      </c>
      <c r="F155" s="270" t="s">
        <v>8279</v>
      </c>
      <c r="G155" s="261" t="s">
        <v>8281</v>
      </c>
      <c r="H155" s="8">
        <v>105260</v>
      </c>
    </row>
    <row r="156" spans="1:10" s="18" customFormat="1" ht="15.75" x14ac:dyDescent="0.25">
      <c r="A156" s="259"/>
      <c r="B156" s="284"/>
      <c r="C156" s="19"/>
      <c r="D156" s="34"/>
      <c r="E156" s="13">
        <v>44525</v>
      </c>
      <c r="F156" s="270" t="s">
        <v>8585</v>
      </c>
      <c r="G156" s="261" t="s">
        <v>6493</v>
      </c>
      <c r="H156" s="8">
        <v>35000</v>
      </c>
    </row>
    <row r="157" spans="1:10" s="18" customFormat="1" ht="15.75" x14ac:dyDescent="0.25">
      <c r="A157" s="259"/>
      <c r="B157" s="284"/>
      <c r="C157" s="19"/>
      <c r="D157" s="34"/>
      <c r="E157" s="13">
        <v>44531</v>
      </c>
      <c r="F157" s="270" t="s">
        <v>8606</v>
      </c>
      <c r="G157" s="261" t="s">
        <v>8608</v>
      </c>
      <c r="H157" s="8">
        <v>200000</v>
      </c>
    </row>
    <row r="158" spans="1:10" s="18" customFormat="1" ht="15.75" x14ac:dyDescent="0.25">
      <c r="A158" s="259"/>
      <c r="B158" s="284"/>
      <c r="C158" s="19"/>
      <c r="D158" s="34"/>
      <c r="E158" s="13">
        <v>44532</v>
      </c>
      <c r="F158" s="270" t="s">
        <v>8607</v>
      </c>
      <c r="G158" s="261" t="s">
        <v>8609</v>
      </c>
      <c r="H158" s="8">
        <v>50000</v>
      </c>
    </row>
    <row r="159" spans="1:10" s="18" customFormat="1" ht="15.75" x14ac:dyDescent="0.25">
      <c r="A159" s="259"/>
      <c r="B159" s="284"/>
      <c r="C159" s="19"/>
      <c r="D159" s="34"/>
      <c r="E159" s="13">
        <v>44544</v>
      </c>
      <c r="F159" s="270" t="s">
        <v>8655</v>
      </c>
      <c r="G159" s="261" t="s">
        <v>8656</v>
      </c>
      <c r="H159" s="8">
        <v>233439</v>
      </c>
      <c r="J159" s="324"/>
    </row>
    <row r="160" spans="1:10" s="18" customFormat="1" ht="15.75" x14ac:dyDescent="0.25">
      <c r="A160" s="259"/>
      <c r="B160" s="284"/>
      <c r="C160" s="19"/>
      <c r="D160" s="34"/>
      <c r="E160" s="13">
        <v>44551</v>
      </c>
      <c r="F160" s="270" t="s">
        <v>8675</v>
      </c>
      <c r="G160" s="261" t="s">
        <v>7997</v>
      </c>
      <c r="H160" s="8">
        <v>50000</v>
      </c>
      <c r="J160" s="324"/>
    </row>
    <row r="161" spans="1:10" s="18" customFormat="1" ht="15.75" x14ac:dyDescent="0.25">
      <c r="A161" s="259"/>
      <c r="B161" s="284"/>
      <c r="C161" s="19"/>
      <c r="D161" s="34"/>
      <c r="E161" s="13">
        <v>44554</v>
      </c>
      <c r="F161" s="270" t="s">
        <v>8676</v>
      </c>
      <c r="G161" s="261" t="s">
        <v>8699</v>
      </c>
      <c r="H161" s="8">
        <v>100000</v>
      </c>
      <c r="J161" s="324"/>
    </row>
    <row r="162" spans="1:10" s="18" customFormat="1" ht="15.75" x14ac:dyDescent="0.25">
      <c r="A162" s="259"/>
      <c r="B162" s="284"/>
      <c r="C162" s="19"/>
      <c r="D162" s="34"/>
      <c r="E162" s="13">
        <v>44554</v>
      </c>
      <c r="F162" s="270" t="s">
        <v>8677</v>
      </c>
      <c r="G162" s="261" t="s">
        <v>8700</v>
      </c>
      <c r="H162" s="8">
        <v>47700</v>
      </c>
      <c r="J162" s="324"/>
    </row>
    <row r="163" spans="1:10" s="18" customFormat="1" ht="15.75" x14ac:dyDescent="0.25">
      <c r="A163" s="259"/>
      <c r="B163" s="284"/>
      <c r="C163" s="19"/>
      <c r="D163" s="34"/>
      <c r="E163" s="13">
        <v>44558</v>
      </c>
      <c r="F163" s="270" t="s">
        <v>8678</v>
      </c>
      <c r="G163" s="261" t="s">
        <v>8159</v>
      </c>
      <c r="H163" s="8">
        <v>250000</v>
      </c>
      <c r="J163" s="324"/>
    </row>
    <row r="164" spans="1:10" s="18" customFormat="1" ht="15.75" x14ac:dyDescent="0.25">
      <c r="A164" s="259"/>
      <c r="B164" s="284"/>
      <c r="C164" s="19"/>
      <c r="D164" s="34"/>
      <c r="E164" s="13">
        <v>44561</v>
      </c>
      <c r="F164" s="270" t="s">
        <v>8679</v>
      </c>
      <c r="G164" s="261" t="s">
        <v>8732</v>
      </c>
      <c r="H164" s="8">
        <v>50000</v>
      </c>
      <c r="J164" s="324"/>
    </row>
    <row r="165" spans="1:10" s="18" customFormat="1" ht="15.75" x14ac:dyDescent="0.25">
      <c r="A165" s="259"/>
      <c r="B165" s="284"/>
      <c r="C165" s="19"/>
      <c r="D165" s="34"/>
      <c r="E165" s="13">
        <v>44565</v>
      </c>
      <c r="F165" s="270" t="s">
        <v>8680</v>
      </c>
      <c r="G165" s="261" t="s">
        <v>8733</v>
      </c>
      <c r="H165" s="8">
        <v>24700</v>
      </c>
    </row>
    <row r="166" spans="1:10" s="18" customFormat="1" ht="15.75" x14ac:dyDescent="0.25">
      <c r="A166" s="259"/>
      <c r="B166" s="284"/>
      <c r="C166" s="19"/>
      <c r="D166" s="34"/>
      <c r="E166" s="13">
        <v>44565</v>
      </c>
      <c r="F166" s="270" t="s">
        <v>8681</v>
      </c>
      <c r="G166" s="261" t="s">
        <v>7636</v>
      </c>
      <c r="H166" s="8">
        <v>0</v>
      </c>
    </row>
    <row r="167" spans="1:10" s="18" customFormat="1" ht="15.75" x14ac:dyDescent="0.25">
      <c r="A167" s="259"/>
      <c r="B167" s="284"/>
      <c r="C167" s="19"/>
      <c r="D167" s="34"/>
      <c r="E167" s="13">
        <v>44565</v>
      </c>
      <c r="F167" s="270" t="s">
        <v>8746</v>
      </c>
      <c r="G167" s="261" t="s">
        <v>8749</v>
      </c>
      <c r="H167" s="8">
        <v>40000</v>
      </c>
    </row>
    <row r="168" spans="1:10" s="18" customFormat="1" ht="15.75" x14ac:dyDescent="0.25">
      <c r="A168" s="259"/>
      <c r="B168" s="284"/>
      <c r="C168" s="19"/>
      <c r="D168" s="34"/>
      <c r="E168" s="13">
        <v>44594</v>
      </c>
      <c r="F168" s="270" t="s">
        <v>8747</v>
      </c>
      <c r="G168" s="261" t="s">
        <v>8825</v>
      </c>
      <c r="H168" s="8">
        <v>43420</v>
      </c>
    </row>
    <row r="169" spans="1:10" s="18" customFormat="1" ht="15.75" x14ac:dyDescent="0.25">
      <c r="A169" s="259"/>
      <c r="B169" s="284"/>
      <c r="C169" s="19"/>
      <c r="D169" s="34"/>
      <c r="E169" s="13">
        <v>44594</v>
      </c>
      <c r="F169" s="270" t="s">
        <v>8748</v>
      </c>
      <c r="G169" s="261" t="s">
        <v>8829</v>
      </c>
      <c r="H169" s="8">
        <v>20000</v>
      </c>
    </row>
    <row r="170" spans="1:10" s="18" customFormat="1" ht="15.75" x14ac:dyDescent="0.25">
      <c r="A170" s="259"/>
      <c r="B170" s="284"/>
      <c r="C170" s="19"/>
      <c r="D170" s="34"/>
      <c r="E170" s="13">
        <v>44599</v>
      </c>
      <c r="F170" s="270" t="s">
        <v>8826</v>
      </c>
      <c r="G170" s="261" t="s">
        <v>6606</v>
      </c>
      <c r="H170" s="8">
        <v>18500</v>
      </c>
    </row>
    <row r="171" spans="1:10" s="18" customFormat="1" ht="15.75" x14ac:dyDescent="0.25">
      <c r="A171" s="259"/>
      <c r="B171" s="284"/>
      <c r="C171" s="19"/>
      <c r="D171" s="34"/>
      <c r="E171" s="13">
        <v>44602</v>
      </c>
      <c r="F171" s="270" t="s">
        <v>8827</v>
      </c>
      <c r="G171" s="261" t="s">
        <v>8841</v>
      </c>
      <c r="H171" s="8">
        <v>50000</v>
      </c>
      <c r="J171" s="18">
        <f>15000+37000+160000</f>
        <v>212000</v>
      </c>
    </row>
    <row r="172" spans="1:10" s="18" customFormat="1" ht="15.75" x14ac:dyDescent="0.25">
      <c r="A172" s="259"/>
      <c r="B172" s="284"/>
      <c r="C172" s="19"/>
      <c r="D172" s="34"/>
      <c r="E172" s="13">
        <v>44610</v>
      </c>
      <c r="F172" s="270" t="s">
        <v>8828</v>
      </c>
      <c r="G172" s="261" t="s">
        <v>1410</v>
      </c>
      <c r="H172" s="8">
        <v>15000</v>
      </c>
    </row>
    <row r="173" spans="1:10" s="18" customFormat="1" ht="15.75" x14ac:dyDescent="0.25">
      <c r="A173" s="259"/>
      <c r="B173" s="284"/>
      <c r="C173" s="19"/>
      <c r="D173" s="34"/>
      <c r="E173" s="13">
        <v>44610</v>
      </c>
      <c r="F173" s="270" t="s">
        <v>8889</v>
      </c>
      <c r="G173" s="261" t="s">
        <v>8895</v>
      </c>
      <c r="H173" s="8">
        <v>37000</v>
      </c>
    </row>
    <row r="174" spans="1:10" s="18" customFormat="1" ht="15.75" x14ac:dyDescent="0.25">
      <c r="A174" s="259"/>
      <c r="B174" s="284"/>
      <c r="C174" s="19"/>
      <c r="D174" s="34"/>
      <c r="E174" s="13">
        <v>44610</v>
      </c>
      <c r="F174" s="270" t="s">
        <v>8890</v>
      </c>
      <c r="G174" s="261" t="s">
        <v>6856</v>
      </c>
      <c r="H174" s="8">
        <v>160000</v>
      </c>
    </row>
    <row r="175" spans="1:10" s="18" customFormat="1" ht="15.75" x14ac:dyDescent="0.25">
      <c r="A175" s="259"/>
      <c r="B175" s="284"/>
      <c r="C175" s="19"/>
      <c r="D175" s="34"/>
      <c r="E175" s="13">
        <v>44610</v>
      </c>
      <c r="F175" s="270" t="s">
        <v>8891</v>
      </c>
      <c r="G175" s="261" t="s">
        <v>8894</v>
      </c>
      <c r="H175" s="8">
        <v>50000</v>
      </c>
    </row>
    <row r="176" spans="1:10" s="18" customFormat="1" ht="15.75" x14ac:dyDescent="0.25">
      <c r="A176" s="259"/>
      <c r="B176" s="284"/>
      <c r="C176" s="19"/>
      <c r="D176" s="34"/>
      <c r="E176" s="13">
        <v>44614</v>
      </c>
      <c r="F176" s="270" t="s">
        <v>8892</v>
      </c>
      <c r="G176" s="261" t="s">
        <v>5328</v>
      </c>
      <c r="H176" s="8">
        <v>150000</v>
      </c>
    </row>
    <row r="177" spans="1:9" s="18" customFormat="1" ht="15.75" x14ac:dyDescent="0.25">
      <c r="A177" s="259"/>
      <c r="B177" s="284"/>
      <c r="C177" s="19"/>
      <c r="D177" s="34"/>
      <c r="E177" s="13">
        <v>44634</v>
      </c>
      <c r="F177" s="270" t="s">
        <v>8893</v>
      </c>
      <c r="G177" s="261" t="s">
        <v>8973</v>
      </c>
      <c r="H177" s="8">
        <v>20000</v>
      </c>
    </row>
    <row r="178" spans="1:9" s="18" customFormat="1" ht="15.75" x14ac:dyDescent="0.25">
      <c r="A178" s="259"/>
      <c r="B178" s="284"/>
      <c r="C178" s="19"/>
      <c r="D178" s="34"/>
      <c r="E178" s="13">
        <v>44651</v>
      </c>
      <c r="F178" s="270" t="s">
        <v>8970</v>
      </c>
      <c r="G178" s="261" t="s">
        <v>7834</v>
      </c>
      <c r="H178" s="8">
        <v>200000</v>
      </c>
    </row>
    <row r="179" spans="1:9" s="18" customFormat="1" ht="15.75" x14ac:dyDescent="0.25">
      <c r="A179" s="259"/>
      <c r="B179" s="284"/>
      <c r="C179" s="19"/>
      <c r="D179" s="34"/>
      <c r="E179" s="13">
        <v>44651</v>
      </c>
      <c r="F179" s="270" t="s">
        <v>8971</v>
      </c>
      <c r="G179" s="261" t="s">
        <v>8733</v>
      </c>
      <c r="H179" s="8">
        <v>35311</v>
      </c>
    </row>
    <row r="180" spans="1:9" s="18" customFormat="1" ht="15.75" x14ac:dyDescent="0.25">
      <c r="A180" s="259"/>
      <c r="B180" s="284"/>
      <c r="C180" s="19"/>
      <c r="D180" s="34"/>
      <c r="E180" s="13">
        <v>44690</v>
      </c>
      <c r="F180" s="270" t="s">
        <v>8972</v>
      </c>
      <c r="G180" s="261" t="s">
        <v>8733</v>
      </c>
      <c r="H180" s="8">
        <v>18000</v>
      </c>
    </row>
    <row r="181" spans="1:9" s="18" customFormat="1" ht="15.75" x14ac:dyDescent="0.25">
      <c r="A181" s="259"/>
      <c r="B181" s="284"/>
      <c r="C181" s="19"/>
      <c r="D181" s="34"/>
      <c r="E181" s="13">
        <v>44690</v>
      </c>
      <c r="F181" s="270" t="s">
        <v>9190</v>
      </c>
      <c r="G181" s="261" t="s">
        <v>7978</v>
      </c>
      <c r="H181" s="8">
        <v>111000</v>
      </c>
    </row>
    <row r="182" spans="1:9" s="18" customFormat="1" ht="15.75" x14ac:dyDescent="0.25">
      <c r="A182" s="259"/>
      <c r="B182" s="284"/>
      <c r="C182" s="19"/>
      <c r="D182" s="34"/>
      <c r="E182" s="13">
        <v>44690</v>
      </c>
      <c r="F182" s="270" t="s">
        <v>9191</v>
      </c>
      <c r="G182" s="261" t="s">
        <v>9194</v>
      </c>
      <c r="H182" s="8">
        <v>241800</v>
      </c>
    </row>
    <row r="183" spans="1:9" s="18" customFormat="1" ht="15.75" x14ac:dyDescent="0.25">
      <c r="A183" s="259"/>
      <c r="B183" s="284"/>
      <c r="C183" s="19"/>
      <c r="D183" s="34"/>
      <c r="E183" s="13">
        <v>44698</v>
      </c>
      <c r="F183" s="270" t="s">
        <v>9192</v>
      </c>
      <c r="G183" s="261" t="s">
        <v>9221</v>
      </c>
      <c r="H183" s="8">
        <v>24000</v>
      </c>
    </row>
    <row r="184" spans="1:9" s="18" customFormat="1" ht="15.75" x14ac:dyDescent="0.25">
      <c r="A184" s="259"/>
      <c r="B184" s="284"/>
      <c r="C184" s="19"/>
      <c r="D184" s="34"/>
      <c r="E184" s="13">
        <v>44698</v>
      </c>
      <c r="F184" s="270" t="s">
        <v>9193</v>
      </c>
      <c r="G184" s="261" t="s">
        <v>9219</v>
      </c>
      <c r="H184" s="8">
        <v>300000</v>
      </c>
    </row>
    <row r="185" spans="1:9" s="18" customFormat="1" ht="15.75" x14ac:dyDescent="0.25">
      <c r="A185" s="259"/>
      <c r="B185" s="284"/>
      <c r="C185" s="19"/>
      <c r="D185" s="34"/>
      <c r="E185" s="13">
        <v>44705</v>
      </c>
      <c r="F185" s="270" t="s">
        <v>9217</v>
      </c>
      <c r="G185" s="261" t="s">
        <v>9220</v>
      </c>
      <c r="H185" s="8">
        <v>78400</v>
      </c>
    </row>
    <row r="186" spans="1:9" s="18" customFormat="1" ht="15.75" x14ac:dyDescent="0.25">
      <c r="A186" s="259"/>
      <c r="B186" s="284"/>
      <c r="C186" s="19"/>
      <c r="D186" s="34"/>
      <c r="E186" s="13">
        <v>44706</v>
      </c>
      <c r="F186" s="270" t="s">
        <v>9218</v>
      </c>
      <c r="G186" s="261" t="s">
        <v>8733</v>
      </c>
      <c r="H186" s="8">
        <v>37800</v>
      </c>
    </row>
    <row r="187" spans="1:9" s="18" customFormat="1" ht="15.75" x14ac:dyDescent="0.25">
      <c r="A187" s="259"/>
      <c r="B187" s="284"/>
      <c r="C187" s="19"/>
      <c r="D187" s="34"/>
      <c r="E187" s="13">
        <v>44711</v>
      </c>
      <c r="F187" s="270" t="s">
        <v>9260</v>
      </c>
      <c r="G187" s="261" t="s">
        <v>7402</v>
      </c>
      <c r="H187" s="8">
        <v>150000</v>
      </c>
    </row>
    <row r="188" spans="1:9" s="18" customFormat="1" ht="15.75" x14ac:dyDescent="0.25">
      <c r="A188" s="259"/>
      <c r="B188" s="284"/>
      <c r="C188" s="19"/>
      <c r="D188" s="34"/>
      <c r="E188" s="13">
        <v>44712</v>
      </c>
      <c r="F188" s="270" t="s">
        <v>9261</v>
      </c>
      <c r="G188" s="261" t="s">
        <v>9262</v>
      </c>
      <c r="H188" s="8">
        <v>500000</v>
      </c>
    </row>
    <row r="189" spans="1:9" s="18" customFormat="1" ht="15.75" x14ac:dyDescent="0.25">
      <c r="A189" s="259"/>
      <c r="B189" s="284"/>
      <c r="C189" s="19"/>
      <c r="D189" s="34"/>
      <c r="E189" s="13">
        <v>44712</v>
      </c>
      <c r="F189" s="270" t="s">
        <v>9263</v>
      </c>
      <c r="G189" s="261" t="s">
        <v>9265</v>
      </c>
      <c r="H189" s="8">
        <v>327000</v>
      </c>
      <c r="I189" s="18" t="s">
        <v>9264</v>
      </c>
    </row>
    <row r="190" spans="1:9" s="18" customFormat="1" ht="15.75" x14ac:dyDescent="0.25">
      <c r="A190" s="259"/>
      <c r="B190" s="284"/>
      <c r="C190" s="19"/>
      <c r="D190" s="34"/>
      <c r="E190" s="13">
        <v>44718</v>
      </c>
      <c r="F190" s="270" t="s">
        <v>9291</v>
      </c>
      <c r="G190" s="261" t="s">
        <v>5741</v>
      </c>
      <c r="H190" s="8">
        <v>32000</v>
      </c>
    </row>
    <row r="191" spans="1:9" s="18" customFormat="1" ht="15.75" x14ac:dyDescent="0.25">
      <c r="A191" s="259"/>
      <c r="B191" s="284"/>
      <c r="C191" s="19"/>
      <c r="D191" s="34"/>
      <c r="E191" s="13">
        <v>44720</v>
      </c>
      <c r="F191" s="270" t="s">
        <v>9292</v>
      </c>
      <c r="G191" s="261" t="s">
        <v>9293</v>
      </c>
      <c r="H191" s="8">
        <v>150000</v>
      </c>
    </row>
    <row r="192" spans="1:9" s="18" customFormat="1" ht="15.75" x14ac:dyDescent="0.25">
      <c r="A192" s="259"/>
      <c r="B192" s="284"/>
      <c r="C192" s="19"/>
      <c r="D192" s="34"/>
      <c r="E192" s="13">
        <v>44725</v>
      </c>
      <c r="F192" s="270" t="s">
        <v>9323</v>
      </c>
      <c r="G192" s="261" t="s">
        <v>9325</v>
      </c>
      <c r="H192" s="8">
        <v>30000</v>
      </c>
    </row>
    <row r="193" spans="1:9" s="18" customFormat="1" ht="15.75" x14ac:dyDescent="0.25">
      <c r="A193" s="259"/>
      <c r="B193" s="284"/>
      <c r="C193" s="19"/>
      <c r="D193" s="34"/>
      <c r="E193" s="13">
        <v>44725</v>
      </c>
      <c r="F193" s="270" t="s">
        <v>9324</v>
      </c>
      <c r="G193" s="261" t="s">
        <v>5328</v>
      </c>
      <c r="H193" s="8">
        <v>100000</v>
      </c>
    </row>
    <row r="194" spans="1:9" s="18" customFormat="1" ht="15.75" x14ac:dyDescent="0.25">
      <c r="A194" s="259"/>
      <c r="B194" s="284"/>
      <c r="C194" s="19"/>
      <c r="D194" s="34"/>
      <c r="E194" s="13">
        <v>44732</v>
      </c>
      <c r="F194" s="270" t="s">
        <v>9340</v>
      </c>
      <c r="G194" s="261" t="s">
        <v>9219</v>
      </c>
      <c r="H194" s="8">
        <v>300000</v>
      </c>
    </row>
    <row r="195" spans="1:9" s="18" customFormat="1" ht="15.75" x14ac:dyDescent="0.25">
      <c r="A195" s="259"/>
      <c r="B195" s="284"/>
      <c r="C195" s="19"/>
      <c r="D195" s="34"/>
      <c r="E195" s="13">
        <v>44732</v>
      </c>
      <c r="F195" s="270" t="s">
        <v>9344</v>
      </c>
      <c r="G195" s="382" t="s">
        <v>9493</v>
      </c>
      <c r="H195" s="383">
        <v>0</v>
      </c>
      <c r="I195" s="384" t="s">
        <v>9616</v>
      </c>
    </row>
    <row r="196" spans="1:9" s="18" customFormat="1" ht="15.75" x14ac:dyDescent="0.25">
      <c r="A196" s="259"/>
      <c r="B196" s="284"/>
      <c r="C196" s="19"/>
      <c r="D196" s="34"/>
      <c r="E196" s="13">
        <v>44735</v>
      </c>
      <c r="F196" s="270" t="s">
        <v>9351</v>
      </c>
      <c r="G196" s="261" t="s">
        <v>9356</v>
      </c>
      <c r="H196" s="8">
        <v>300000</v>
      </c>
    </row>
    <row r="197" spans="1:9" s="18" customFormat="1" ht="15.75" x14ac:dyDescent="0.25">
      <c r="A197" s="259"/>
      <c r="B197" s="284"/>
      <c r="C197" s="19"/>
      <c r="D197" s="34"/>
      <c r="E197" s="13">
        <v>44735</v>
      </c>
      <c r="F197" s="270" t="s">
        <v>9352</v>
      </c>
      <c r="G197" s="261" t="s">
        <v>5328</v>
      </c>
      <c r="H197" s="8">
        <v>100000</v>
      </c>
    </row>
    <row r="198" spans="1:9" s="18" customFormat="1" ht="15.75" x14ac:dyDescent="0.25">
      <c r="A198" s="259"/>
      <c r="B198" s="284"/>
      <c r="C198" s="19"/>
      <c r="D198" s="34"/>
      <c r="E198" s="13">
        <v>44737</v>
      </c>
      <c r="F198" s="270" t="s">
        <v>9353</v>
      </c>
      <c r="G198" s="261" t="s">
        <v>9379</v>
      </c>
      <c r="H198" s="8">
        <v>200000</v>
      </c>
    </row>
    <row r="199" spans="1:9" s="18" customFormat="1" ht="15.75" x14ac:dyDescent="0.25">
      <c r="A199" s="259"/>
      <c r="B199" s="284"/>
      <c r="C199" s="19"/>
      <c r="D199" s="34"/>
      <c r="E199" s="13">
        <v>44740</v>
      </c>
      <c r="F199" s="270" t="s">
        <v>9354</v>
      </c>
      <c r="G199" s="261" t="s">
        <v>6600</v>
      </c>
      <c r="H199" s="8">
        <v>100000</v>
      </c>
    </row>
    <row r="200" spans="1:9" s="18" customFormat="1" ht="15.75" x14ac:dyDescent="0.25">
      <c r="A200" s="259"/>
      <c r="B200" s="284"/>
      <c r="C200" s="19"/>
      <c r="D200" s="34"/>
      <c r="E200" s="13">
        <v>44740</v>
      </c>
      <c r="F200" s="270" t="s">
        <v>9355</v>
      </c>
      <c r="G200" s="261" t="s">
        <v>7636</v>
      </c>
      <c r="H200" s="8">
        <v>0</v>
      </c>
    </row>
    <row r="201" spans="1:9" s="18" customFormat="1" ht="15.75" x14ac:dyDescent="0.25">
      <c r="A201" s="259"/>
      <c r="B201" s="284"/>
      <c r="C201" s="19"/>
      <c r="D201" s="34"/>
      <c r="E201" s="13">
        <v>44742</v>
      </c>
      <c r="F201" s="270" t="s">
        <v>9392</v>
      </c>
      <c r="G201" s="261" t="s">
        <v>8733</v>
      </c>
      <c r="H201" s="8">
        <v>29360</v>
      </c>
    </row>
    <row r="202" spans="1:9" s="18" customFormat="1" ht="15.75" x14ac:dyDescent="0.25">
      <c r="A202" s="259"/>
      <c r="B202" s="284"/>
      <c r="C202" s="19"/>
      <c r="D202" s="34"/>
      <c r="E202" s="13">
        <v>44742</v>
      </c>
      <c r="F202" s="270" t="s">
        <v>9393</v>
      </c>
      <c r="G202" s="261" t="s">
        <v>9440</v>
      </c>
      <c r="H202" s="8">
        <v>100000</v>
      </c>
    </row>
    <row r="203" spans="1:9" s="18" customFormat="1" ht="15.75" x14ac:dyDescent="0.25">
      <c r="A203" s="259"/>
      <c r="B203" s="284"/>
      <c r="C203" s="19"/>
      <c r="D203" s="34"/>
      <c r="E203" s="13">
        <v>44742</v>
      </c>
      <c r="F203" s="270" t="s">
        <v>9394</v>
      </c>
      <c r="G203" s="261" t="s">
        <v>5741</v>
      </c>
      <c r="H203" s="8">
        <v>35000</v>
      </c>
    </row>
    <row r="204" spans="1:9" s="18" customFormat="1" ht="15.75" x14ac:dyDescent="0.25">
      <c r="A204" s="259"/>
      <c r="B204" s="284"/>
      <c r="C204" s="19"/>
      <c r="D204" s="34"/>
      <c r="E204" s="13">
        <v>44742</v>
      </c>
      <c r="F204" s="270" t="s">
        <v>10474</v>
      </c>
      <c r="G204" s="261"/>
      <c r="H204" s="8"/>
    </row>
    <row r="205" spans="1:9" s="18" customFormat="1" ht="15.75" x14ac:dyDescent="0.25">
      <c r="A205" s="259"/>
      <c r="B205" s="284"/>
      <c r="C205" s="19"/>
      <c r="D205" s="34"/>
      <c r="E205" s="13">
        <v>44742</v>
      </c>
      <c r="F205" s="270" t="s">
        <v>10475</v>
      </c>
      <c r="G205" s="261"/>
      <c r="H205" s="8"/>
    </row>
    <row r="206" spans="1:9" s="18" customFormat="1" ht="15.75" x14ac:dyDescent="0.25">
      <c r="A206" s="259"/>
      <c r="B206" s="284"/>
      <c r="C206" s="19"/>
      <c r="D206" s="34"/>
      <c r="E206" s="13">
        <v>44742</v>
      </c>
      <c r="F206" s="270" t="s">
        <v>10476</v>
      </c>
      <c r="G206" s="261"/>
      <c r="H206" s="8"/>
    </row>
    <row r="207" spans="1:9" s="18" customFormat="1" ht="15.75" x14ac:dyDescent="0.25">
      <c r="A207" s="259"/>
      <c r="B207" s="284"/>
      <c r="C207" s="19"/>
      <c r="D207" s="34"/>
      <c r="E207" s="13">
        <v>44940</v>
      </c>
      <c r="F207" s="270" t="s">
        <v>10477</v>
      </c>
      <c r="G207" s="261" t="s">
        <v>8733</v>
      </c>
      <c r="H207" s="8">
        <v>30600</v>
      </c>
      <c r="I207" s="8"/>
    </row>
    <row r="208" spans="1:9" s="18" customFormat="1" ht="15.75" x14ac:dyDescent="0.25">
      <c r="A208" s="259"/>
      <c r="B208" s="284"/>
      <c r="C208" s="19"/>
      <c r="D208" s="34"/>
      <c r="E208" s="13">
        <v>44946</v>
      </c>
      <c r="F208" s="270" t="s">
        <v>10478</v>
      </c>
      <c r="G208" s="261" t="s">
        <v>8733</v>
      </c>
      <c r="H208" s="8">
        <v>36520</v>
      </c>
      <c r="I208" s="8"/>
    </row>
    <row r="209" spans="1:12" s="18" customFormat="1" ht="15.75" x14ac:dyDescent="0.25">
      <c r="A209" s="259"/>
      <c r="B209" s="284"/>
      <c r="C209" s="19"/>
      <c r="D209" s="34"/>
      <c r="E209" s="13">
        <v>44963</v>
      </c>
      <c r="F209" s="270" t="s">
        <v>10479</v>
      </c>
      <c r="G209" s="261" t="s">
        <v>8733</v>
      </c>
      <c r="H209" s="8">
        <v>41000</v>
      </c>
    </row>
    <row r="210" spans="1:12" s="18" customFormat="1" ht="15.75" x14ac:dyDescent="0.25">
      <c r="A210" s="259"/>
      <c r="B210" s="284"/>
      <c r="C210" s="19"/>
      <c r="D210" s="34"/>
      <c r="E210" s="13">
        <v>44998</v>
      </c>
      <c r="F210" s="270" t="s">
        <v>10480</v>
      </c>
      <c r="G210" s="261" t="s">
        <v>8733</v>
      </c>
      <c r="H210" s="8">
        <v>51000</v>
      </c>
      <c r="J210" s="324"/>
    </row>
    <row r="211" spans="1:12" s="18" customFormat="1" ht="15.75" x14ac:dyDescent="0.25">
      <c r="A211" s="259"/>
      <c r="B211" s="284"/>
      <c r="C211" s="19"/>
      <c r="D211" s="34"/>
      <c r="E211" s="13">
        <v>45016</v>
      </c>
      <c r="F211" s="270" t="s">
        <v>10893</v>
      </c>
      <c r="G211" s="261" t="s">
        <v>7522</v>
      </c>
      <c r="H211" s="8">
        <v>71000</v>
      </c>
      <c r="J211" s="324"/>
    </row>
    <row r="212" spans="1:12" s="18" customFormat="1" ht="15.75" x14ac:dyDescent="0.25">
      <c r="A212" s="259"/>
      <c r="B212" s="284"/>
      <c r="C212" s="19"/>
      <c r="D212" s="34"/>
      <c r="E212" s="13">
        <v>45357</v>
      </c>
      <c r="F212" s="270" t="s">
        <v>13515</v>
      </c>
      <c r="G212" s="261" t="s">
        <v>8733</v>
      </c>
      <c r="H212" s="8">
        <v>150000</v>
      </c>
      <c r="J212" s="324"/>
    </row>
    <row r="213" spans="1:12" s="18" customFormat="1" ht="15.75" x14ac:dyDescent="0.25">
      <c r="A213" s="259"/>
      <c r="B213" s="284"/>
      <c r="C213" s="19"/>
      <c r="D213" s="34"/>
      <c r="E213" s="13">
        <v>45365</v>
      </c>
      <c r="F213" s="270" t="s">
        <v>13665</v>
      </c>
      <c r="G213" s="261" t="s">
        <v>8733</v>
      </c>
      <c r="H213" s="8">
        <v>32800</v>
      </c>
      <c r="J213" s="324"/>
    </row>
    <row r="214" spans="1:12" s="18" customFormat="1" ht="18.75" x14ac:dyDescent="0.3">
      <c r="A214" s="280" t="s">
        <v>7001</v>
      </c>
      <c r="B214" s="281"/>
      <c r="C214" s="26">
        <f>SUM(C6:C139)</f>
        <v>19338352</v>
      </c>
      <c r="D214" s="34"/>
      <c r="E214" s="673" t="s">
        <v>7001</v>
      </c>
      <c r="F214" s="674"/>
      <c r="G214" s="675"/>
      <c r="H214" s="26">
        <f>SUM(H6:H213)</f>
        <v>25349148</v>
      </c>
      <c r="K214" s="18" t="s">
        <v>10546</v>
      </c>
      <c r="L214" s="324">
        <f>H2+88902</f>
        <v>950245</v>
      </c>
    </row>
    <row r="215" spans="1:12" s="18" customFormat="1" ht="15.75" x14ac:dyDescent="0.25">
      <c r="A215"/>
      <c r="B215" s="2"/>
      <c r="C215" s="2"/>
      <c r="D215" s="34"/>
      <c r="E215" s="2"/>
      <c r="F215" s="2"/>
      <c r="G215" s="2"/>
      <c r="H215" s="2"/>
    </row>
    <row r="216" spans="1:12" s="18" customFormat="1" ht="15.75" x14ac:dyDescent="0.25">
      <c r="A216"/>
      <c r="B216" s="2"/>
      <c r="C216" s="2"/>
      <c r="D216" s="34"/>
      <c r="E216" s="2"/>
      <c r="F216" s="2"/>
      <c r="G216" s="2"/>
      <c r="H216" s="2"/>
    </row>
    <row r="217" spans="1:12" s="18" customFormat="1" ht="15.75" x14ac:dyDescent="0.25">
      <c r="A217"/>
      <c r="B217" s="2"/>
      <c r="C217" s="2"/>
      <c r="D217" s="34"/>
      <c r="E217" s="2"/>
      <c r="F217" s="2"/>
      <c r="G217" s="2"/>
      <c r="H217" s="2"/>
    </row>
    <row r="218" spans="1:12" s="18" customFormat="1" ht="15.75" x14ac:dyDescent="0.25">
      <c r="A218"/>
      <c r="B218" s="2"/>
      <c r="C218" s="2"/>
      <c r="D218" s="34"/>
      <c r="E218" s="2"/>
      <c r="F218" s="2"/>
      <c r="G218" s="2"/>
      <c r="H218" s="2"/>
    </row>
    <row r="219" spans="1:12" s="18" customFormat="1" ht="15.75" x14ac:dyDescent="0.25">
      <c r="A219"/>
      <c r="B219" s="2"/>
      <c r="C219" s="2"/>
      <c r="D219" s="34"/>
      <c r="E219" s="2"/>
      <c r="F219" s="2"/>
      <c r="G219" s="2"/>
      <c r="H219" s="2"/>
    </row>
    <row r="220" spans="1:12" s="18" customFormat="1" ht="15.75" x14ac:dyDescent="0.25">
      <c r="A220"/>
      <c r="B220" s="2"/>
      <c r="C220" s="2"/>
      <c r="D220" s="34"/>
      <c r="E220" s="2"/>
      <c r="F220" s="2"/>
      <c r="G220" s="2"/>
      <c r="H220" s="2"/>
    </row>
    <row r="221" spans="1:12" s="18" customFormat="1" ht="15.75" x14ac:dyDescent="0.25">
      <c r="A221"/>
      <c r="B221" s="2"/>
      <c r="C221" s="2"/>
      <c r="D221" s="34"/>
      <c r="E221" s="2"/>
      <c r="F221" s="2"/>
      <c r="G221" s="2"/>
      <c r="H221" s="2"/>
    </row>
    <row r="222" spans="1:12" s="18" customFormat="1" ht="15.75" x14ac:dyDescent="0.25">
      <c r="A222"/>
      <c r="B222" s="2"/>
      <c r="C222" s="2"/>
      <c r="D222" s="34"/>
      <c r="E222" s="2"/>
      <c r="F222" s="2"/>
      <c r="G222" s="2"/>
      <c r="H222" s="2"/>
    </row>
    <row r="223" spans="1:12" s="18" customFormat="1" ht="15.75" x14ac:dyDescent="0.25">
      <c r="A223"/>
      <c r="B223" s="2"/>
      <c r="C223" s="2"/>
      <c r="D223" s="34"/>
      <c r="E223" s="2"/>
      <c r="F223" s="2"/>
      <c r="G223" s="2"/>
      <c r="H223" s="2"/>
    </row>
    <row r="224" spans="1:12" s="18" customFormat="1" ht="15.75" x14ac:dyDescent="0.25">
      <c r="A224"/>
      <c r="B224" s="2"/>
      <c r="C224" s="2"/>
      <c r="D224" s="34"/>
      <c r="E224" s="2"/>
      <c r="F224" s="2"/>
      <c r="G224" s="2"/>
      <c r="H224" s="2"/>
    </row>
    <row r="225" spans="1:8" s="18" customFormat="1" ht="15.75" x14ac:dyDescent="0.25">
      <c r="A225"/>
      <c r="B225" s="2"/>
      <c r="C225" s="2"/>
      <c r="D225" s="34"/>
      <c r="E225" s="2"/>
      <c r="F225" s="2"/>
      <c r="G225" s="2"/>
      <c r="H225" s="2"/>
    </row>
    <row r="226" spans="1:8" s="18" customFormat="1" ht="15.75" x14ac:dyDescent="0.25">
      <c r="A226"/>
      <c r="B226" s="2"/>
      <c r="C226" s="2"/>
      <c r="D226" s="34"/>
      <c r="E226" s="2"/>
      <c r="F226" s="2"/>
      <c r="G226" s="2"/>
      <c r="H226" s="2"/>
    </row>
    <row r="227" spans="1:8" s="18" customFormat="1" ht="15.75" x14ac:dyDescent="0.25">
      <c r="A227"/>
      <c r="B227" s="2"/>
      <c r="C227" s="2"/>
      <c r="D227" s="34"/>
      <c r="E227" s="2"/>
      <c r="F227" s="2"/>
      <c r="G227" s="2"/>
      <c r="H227" s="2"/>
    </row>
    <row r="228" spans="1:8" s="18" customFormat="1" ht="15.75" x14ac:dyDescent="0.25">
      <c r="A228"/>
      <c r="B228" s="2"/>
      <c r="C228" s="2"/>
      <c r="D228" s="34"/>
      <c r="E228" s="2"/>
      <c r="F228" s="2"/>
      <c r="G228" s="2"/>
      <c r="H228" s="2"/>
    </row>
    <row r="229" spans="1:8" s="18" customFormat="1" ht="15.75" x14ac:dyDescent="0.25">
      <c r="A229"/>
      <c r="B229" s="2"/>
      <c r="C229" s="2"/>
      <c r="D229" s="34"/>
      <c r="E229" s="2"/>
      <c r="F229" s="2"/>
      <c r="G229" s="2"/>
      <c r="H229" s="2"/>
    </row>
    <row r="230" spans="1:8" s="18" customFormat="1" ht="15.75" x14ac:dyDescent="0.25">
      <c r="A230"/>
      <c r="B230" s="2"/>
      <c r="C230" s="2"/>
      <c r="D230" s="34"/>
      <c r="E230" s="2"/>
      <c r="F230" s="2"/>
      <c r="G230" s="2"/>
      <c r="H230" s="2"/>
    </row>
    <row r="231" spans="1:8" s="18" customFormat="1" ht="15.75" x14ac:dyDescent="0.25">
      <c r="A231"/>
      <c r="B231" s="2"/>
      <c r="C231" s="2"/>
      <c r="D231" s="34"/>
      <c r="E231" s="2"/>
      <c r="F231" s="2"/>
      <c r="G231" s="2"/>
      <c r="H231" s="2"/>
    </row>
    <row r="232" spans="1:8" s="18" customFormat="1" ht="15.75" x14ac:dyDescent="0.25">
      <c r="A232"/>
      <c r="B232" s="2"/>
      <c r="C232" s="2"/>
      <c r="D232" s="34"/>
      <c r="E232" s="2"/>
      <c r="F232" s="2"/>
      <c r="G232" s="2"/>
      <c r="H232" s="2"/>
    </row>
    <row r="233" spans="1:8" s="18" customFormat="1" ht="15.75" x14ac:dyDescent="0.25">
      <c r="A233"/>
      <c r="B233" s="2"/>
      <c r="C233" s="2"/>
      <c r="D233" s="34"/>
      <c r="E233" s="2"/>
      <c r="F233" s="2"/>
      <c r="G233" s="2"/>
      <c r="H233" s="2"/>
    </row>
    <row r="234" spans="1:8" s="18" customFormat="1" ht="15.75" x14ac:dyDescent="0.25">
      <c r="A234"/>
      <c r="B234" s="2"/>
      <c r="C234" s="2"/>
      <c r="D234" s="34"/>
      <c r="E234" s="2"/>
      <c r="F234" s="2"/>
      <c r="G234" s="2"/>
      <c r="H234" s="2"/>
    </row>
    <row r="235" spans="1:8" s="18" customFormat="1" ht="15.75" x14ac:dyDescent="0.25">
      <c r="A235"/>
      <c r="B235" s="2"/>
      <c r="C235" s="2"/>
      <c r="D235" s="34"/>
      <c r="E235" s="2"/>
      <c r="F235" s="2"/>
      <c r="G235" s="2"/>
      <c r="H235" s="2"/>
    </row>
    <row r="236" spans="1:8" s="18" customFormat="1" ht="15.75" x14ac:dyDescent="0.25">
      <c r="A236"/>
      <c r="B236" s="2"/>
      <c r="C236" s="2"/>
      <c r="D236" s="34"/>
      <c r="E236" s="2"/>
      <c r="F236" s="2"/>
      <c r="G236" s="2"/>
      <c r="H236" s="2"/>
    </row>
    <row r="237" spans="1:8" s="18" customFormat="1" ht="15.75" x14ac:dyDescent="0.25">
      <c r="A237"/>
      <c r="B237" s="2"/>
      <c r="C237" s="2"/>
      <c r="D237" s="34"/>
      <c r="E237" s="2"/>
      <c r="F237" s="2"/>
      <c r="G237" s="2"/>
      <c r="H237" s="2"/>
    </row>
    <row r="238" spans="1:8" s="18" customFormat="1" ht="15.75" x14ac:dyDescent="0.25">
      <c r="A238"/>
      <c r="B238" s="2"/>
      <c r="C238" s="2"/>
      <c r="D238" s="34"/>
      <c r="E238" s="2"/>
      <c r="F238" s="2"/>
      <c r="G238" s="2"/>
      <c r="H238" s="2"/>
    </row>
    <row r="239" spans="1:8" s="18" customFormat="1" ht="15.75" x14ac:dyDescent="0.25">
      <c r="A239"/>
      <c r="B239" s="2"/>
      <c r="C239" s="2"/>
      <c r="D239" s="34"/>
      <c r="E239" s="2"/>
      <c r="F239" s="2"/>
      <c r="G239" s="2"/>
      <c r="H239" s="2"/>
    </row>
    <row r="240" spans="1:8" s="18" customFormat="1" ht="15.75" x14ac:dyDescent="0.25">
      <c r="A240"/>
      <c r="B240" s="2"/>
      <c r="C240" s="2"/>
      <c r="D240" s="34"/>
      <c r="E240" s="2"/>
      <c r="F240" s="2"/>
      <c r="G240" s="2"/>
      <c r="H240" s="2"/>
    </row>
    <row r="241" spans="1:8" s="18" customFormat="1" ht="15.75" x14ac:dyDescent="0.25">
      <c r="A241"/>
      <c r="B241" s="2"/>
      <c r="C241" s="2"/>
      <c r="D241" s="25"/>
      <c r="E241" s="2"/>
      <c r="F241" s="2"/>
      <c r="G241" s="2"/>
      <c r="H241" s="2"/>
    </row>
  </sheetData>
  <mergeCells count="4">
    <mergeCell ref="E4:H4"/>
    <mergeCell ref="E214:G214"/>
    <mergeCell ref="A1:B1"/>
    <mergeCell ref="A2:B2"/>
  </mergeCells>
  <phoneticPr fontId="4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D218"/>
  <sheetViews>
    <sheetView topLeftCell="C1" zoomScale="90" zoomScaleNormal="90" workbookViewId="0">
      <selection activeCell="I19" sqref="I19"/>
    </sheetView>
  </sheetViews>
  <sheetFormatPr defaultColWidth="8.85546875" defaultRowHeight="15" x14ac:dyDescent="0.25"/>
  <cols>
    <col min="1" max="1" width="13.7109375" customWidth="1"/>
    <col min="2" max="2" width="13.7109375" style="2" customWidth="1"/>
    <col min="3" max="3" width="35" style="2" customWidth="1"/>
    <col min="4" max="5" width="13.7109375" style="2" customWidth="1"/>
    <col min="6" max="6" width="1.28515625" customWidth="1"/>
    <col min="7" max="7" width="22.5703125" customWidth="1"/>
    <col min="8" max="8" width="12.5703125" customWidth="1"/>
    <col min="9" max="9" width="35.28515625" style="2" customWidth="1"/>
    <col min="10" max="10" width="13.28515625" style="2" bestFit="1" customWidth="1"/>
    <col min="11" max="11" width="14" style="2" customWidth="1"/>
    <col min="12" max="12" width="1.7109375" customWidth="1"/>
    <col min="13" max="13" width="17" customWidth="1"/>
    <col min="14" max="14" width="14.85546875" customWidth="1"/>
    <col min="15" max="15" width="16.7109375" customWidth="1"/>
    <col min="16" max="16" width="4.140625" customWidth="1"/>
    <col min="17" max="17" width="40.5703125" style="2" customWidth="1"/>
    <col min="18" max="18" width="18" customWidth="1"/>
    <col min="19" max="19" width="15.7109375" style="2" customWidth="1"/>
    <col min="21" max="21" width="15.140625" customWidth="1"/>
  </cols>
  <sheetData>
    <row r="1" spans="1:19 16384:16384" ht="8.25" customHeight="1" thickBot="1" x14ac:dyDescent="0.55000000000000004">
      <c r="A1" s="289"/>
      <c r="B1" s="289"/>
      <c r="C1" s="289"/>
      <c r="D1" s="289"/>
      <c r="E1" s="374"/>
    </row>
    <row r="2" spans="1:19 16384:16384" ht="31.5" x14ac:dyDescent="0.5">
      <c r="A2" s="679" t="s">
        <v>6974</v>
      </c>
      <c r="B2" s="680"/>
      <c r="C2" s="680"/>
      <c r="D2" s="680"/>
      <c r="E2" s="681"/>
      <c r="I2" s="447"/>
      <c r="J2" s="447"/>
      <c r="K2" s="447"/>
      <c r="L2" s="448"/>
      <c r="M2" s="448"/>
      <c r="N2" s="448"/>
    </row>
    <row r="3" spans="1:19 16384:16384" ht="32.25" thickBot="1" x14ac:dyDescent="0.55000000000000004">
      <c r="A3" s="682" t="s">
        <v>862</v>
      </c>
      <c r="B3" s="683"/>
      <c r="C3" s="683"/>
      <c r="D3" s="683"/>
      <c r="E3" s="684"/>
      <c r="I3" s="449"/>
      <c r="J3" s="449">
        <f ca="1">SUM(J5:J471)</f>
        <v>46972590</v>
      </c>
      <c r="K3" s="449">
        <f>SUM(K5:K471)</f>
        <v>2103067</v>
      </c>
      <c r="L3" s="450"/>
      <c r="M3" s="479">
        <v>44928</v>
      </c>
      <c r="N3" s="449">
        <f>SUM(N5:N473)</f>
        <v>18086561.670000002</v>
      </c>
      <c r="O3" s="449">
        <f>SUM(O5:O474)+1207800+18900</f>
        <v>1226700</v>
      </c>
      <c r="Q3" s="455"/>
      <c r="R3" s="455" t="s">
        <v>12222</v>
      </c>
      <c r="S3" s="455" t="s">
        <v>12222</v>
      </c>
    </row>
    <row r="4" spans="1:19 16384:16384" ht="8.25" customHeight="1" x14ac:dyDescent="0.5">
      <c r="A4" s="373"/>
      <c r="B4" s="289"/>
      <c r="C4" s="289"/>
      <c r="D4" s="289"/>
      <c r="E4" s="374"/>
      <c r="I4" s="449"/>
      <c r="J4" s="449"/>
      <c r="K4" s="449"/>
      <c r="L4" s="451"/>
      <c r="M4" s="451"/>
      <c r="N4" s="451"/>
      <c r="Q4" s="455" t="s">
        <v>11861</v>
      </c>
      <c r="R4" s="455">
        <f>30000</f>
        <v>30000</v>
      </c>
      <c r="S4" s="455"/>
    </row>
    <row r="5" spans="1:19 16384:16384" ht="26.25" x14ac:dyDescent="0.25">
      <c r="A5" s="685" t="s">
        <v>8178</v>
      </c>
      <c r="B5" s="686"/>
      <c r="C5" s="687"/>
      <c r="D5" s="688">
        <f>DIB!H2</f>
        <v>861343</v>
      </c>
      <c r="E5" s="689"/>
      <c r="I5" s="451"/>
      <c r="J5" s="440">
        <f>2813436+874898+88000+94000+15116+28000+8000-82679+5000+22000-52+314+846037+25079+8635+108000+941346+15000+22000+140000+120526-4950+4804+3015000+65000+2031779+100000+41640+859000-74000+8424000+21860+20+1900000+16233916+27614+40000+219000+179+4422000+7107+500000</f>
        <v>43926625</v>
      </c>
      <c r="K5" s="440">
        <f>100289+65000+3000+127718+100000+220+5000+50000+50000+50000+10174+50000+100000+100000+50000+101855+259683+29250+300000+499378+1500</f>
        <v>2053067</v>
      </c>
      <c r="L5" s="452"/>
      <c r="M5" s="449">
        <f ca="1">'[3]Main Summary'!$C$21+'[3]Main Summary'!$G$21+'[3]Main Summary'!$K$21-D16-J3+K3+D15-N3+O3</f>
        <v>-425299.62439706177</v>
      </c>
      <c r="N5" s="451"/>
      <c r="Q5" s="455" t="s">
        <v>11026</v>
      </c>
      <c r="R5" s="310">
        <f>517123-500000</f>
        <v>17123</v>
      </c>
      <c r="S5" s="310"/>
    </row>
    <row r="6" spans="1:19 16384:16384" ht="26.25" x14ac:dyDescent="0.25">
      <c r="A6" s="690" t="s">
        <v>8179</v>
      </c>
      <c r="B6" s="691"/>
      <c r="C6" s="691"/>
      <c r="D6" s="688">
        <f>MCB!H2</f>
        <v>33200945.930000007</v>
      </c>
      <c r="E6" s="689"/>
      <c r="I6" s="714" t="s">
        <v>9901</v>
      </c>
      <c r="J6" s="714"/>
      <c r="K6" s="714"/>
      <c r="L6" s="456"/>
      <c r="M6" s="714" t="s">
        <v>9901</v>
      </c>
      <c r="N6" s="714"/>
      <c r="O6" s="714"/>
      <c r="Q6" s="455" t="s">
        <v>11026</v>
      </c>
      <c r="R6" s="310">
        <f>6179844-1600000-999000-600000-657900-500000-150000-350000-146800-200000-500000-384000-55000</f>
        <v>37144</v>
      </c>
      <c r="S6" s="310"/>
    </row>
    <row r="7" spans="1:19 16384:16384" ht="26.25" x14ac:dyDescent="0.25">
      <c r="A7" s="690" t="s">
        <v>8180</v>
      </c>
      <c r="B7" s="691"/>
      <c r="C7" s="691"/>
      <c r="D7" s="688">
        <f>'PES MCB'!H2</f>
        <v>1043202</v>
      </c>
      <c r="E7" s="689"/>
      <c r="I7" s="715" t="s">
        <v>9757</v>
      </c>
      <c r="J7" s="716"/>
      <c r="K7" s="717"/>
      <c r="L7" s="456"/>
      <c r="M7" s="715" t="s">
        <v>6977</v>
      </c>
      <c r="N7" s="716"/>
      <c r="O7" s="717"/>
      <c r="Q7" s="306" t="s">
        <v>12085</v>
      </c>
      <c r="R7" s="306">
        <f>7656392-1000000-500000</f>
        <v>6156392</v>
      </c>
      <c r="S7" s="306"/>
    </row>
    <row r="8" spans="1:19 16384:16384" ht="30" x14ac:dyDescent="0.25">
      <c r="A8" s="692" t="s">
        <v>9222</v>
      </c>
      <c r="B8" s="693"/>
      <c r="C8" s="693"/>
      <c r="D8" s="694">
        <f>'Bilal bhai'!F1024</f>
        <v>23878525</v>
      </c>
      <c r="E8" s="695"/>
      <c r="I8" s="453" t="s">
        <v>3</v>
      </c>
      <c r="J8" s="454" t="s">
        <v>9902</v>
      </c>
      <c r="K8" s="454" t="s">
        <v>10144</v>
      </c>
      <c r="L8" s="457"/>
      <c r="M8" s="453" t="s">
        <v>3</v>
      </c>
      <c r="N8" s="454" t="s">
        <v>10145</v>
      </c>
      <c r="O8" s="454" t="s">
        <v>10146</v>
      </c>
      <c r="Q8" s="306" t="s">
        <v>12085</v>
      </c>
      <c r="R8" s="306">
        <v>1969887</v>
      </c>
      <c r="S8" s="306"/>
    </row>
    <row r="9" spans="1:19 16384:16384" ht="26.25" x14ac:dyDescent="0.25">
      <c r="A9" s="692" t="s">
        <v>9208</v>
      </c>
      <c r="B9" s="693"/>
      <c r="C9" s="693"/>
      <c r="D9" s="694">
        <v>2394484</v>
      </c>
      <c r="E9" s="695"/>
      <c r="I9" s="455" t="s">
        <v>9567</v>
      </c>
      <c r="J9" s="510">
        <f ca="1">SUMIF(Cash!H:H,cb!I9,Cash!E1:E35682)</f>
        <v>43310</v>
      </c>
      <c r="K9" s="455"/>
      <c r="L9" s="456"/>
      <c r="M9" s="455" t="s">
        <v>12224</v>
      </c>
      <c r="N9" s="455">
        <f>S144</f>
        <v>18086561.670000002</v>
      </c>
      <c r="O9" s="455"/>
      <c r="Q9" s="306" t="s">
        <v>12085</v>
      </c>
      <c r="R9" s="306">
        <v>6770928</v>
      </c>
      <c r="S9" s="306"/>
    </row>
    <row r="10" spans="1:19 16384:16384" ht="26.25" x14ac:dyDescent="0.25">
      <c r="A10" s="692" t="s">
        <v>9223</v>
      </c>
      <c r="B10" s="693"/>
      <c r="C10" s="693"/>
      <c r="D10" s="694">
        <f>'Nadeem bhai'!F2005</f>
        <v>917422</v>
      </c>
      <c r="E10" s="695"/>
      <c r="I10" s="455" t="s">
        <v>4989</v>
      </c>
      <c r="J10" s="510"/>
      <c r="K10" s="455"/>
      <c r="L10" s="456"/>
      <c r="M10" s="455"/>
      <c r="N10" s="310"/>
      <c r="O10" s="306"/>
      <c r="Q10" s="306" t="s">
        <v>11861</v>
      </c>
      <c r="R10" s="306">
        <v>2000000</v>
      </c>
      <c r="S10" s="306"/>
    </row>
    <row r="11" spans="1:19 16384:16384" ht="26.25" x14ac:dyDescent="0.25">
      <c r="A11" s="701" t="s">
        <v>9224</v>
      </c>
      <c r="B11" s="702"/>
      <c r="C11" s="702"/>
      <c r="D11" s="703">
        <f>Cash!G9539</f>
        <v>4474.6015943642706</v>
      </c>
      <c r="E11" s="704"/>
      <c r="I11" s="455" t="s">
        <v>1449</v>
      </c>
      <c r="J11" s="510">
        <f>SUMIF(Cash!C5392:C35684,cb!I11,Cash!E5392:E35684)+2000+1000+16500+1000+1000+7500+5000+10500+4000+5000+2000+2000+2000+500-60000+1000+500+30000+15000+1000+9000+40000+5000+6000+19000+500+2000+3000+5000+10000+1000+500+10000+7000</f>
        <v>1648000</v>
      </c>
      <c r="K11" s="455"/>
      <c r="L11" s="456"/>
      <c r="M11" s="455"/>
      <c r="N11" s="310"/>
      <c r="O11" s="306"/>
      <c r="Q11" s="306" t="s">
        <v>12342</v>
      </c>
      <c r="R11" s="306">
        <v>1380000</v>
      </c>
      <c r="S11" s="306"/>
    </row>
    <row r="12" spans="1:19 16384:16384" ht="26.25" x14ac:dyDescent="0.25">
      <c r="A12" s="701" t="s">
        <v>9294</v>
      </c>
      <c r="B12" s="702"/>
      <c r="C12" s="702"/>
      <c r="D12" s="703">
        <f ca="1">staff!M391</f>
        <v>329067</v>
      </c>
      <c r="E12" s="704"/>
      <c r="I12" s="455" t="s">
        <v>12586</v>
      </c>
      <c r="J12" s="510">
        <f>SUM(H21:H1000)</f>
        <v>158000</v>
      </c>
      <c r="K12" s="455"/>
      <c r="L12" s="456"/>
      <c r="M12" s="306"/>
      <c r="N12" s="306"/>
      <c r="O12" s="306"/>
      <c r="Q12" s="306" t="s">
        <v>12353</v>
      </c>
      <c r="R12" s="306">
        <v>1300000</v>
      </c>
      <c r="S12" s="306"/>
    </row>
    <row r="13" spans="1:19 16384:16384" ht="26.25" x14ac:dyDescent="0.25">
      <c r="A13" s="701" t="s">
        <v>10914</v>
      </c>
      <c r="B13" s="702"/>
      <c r="C13" s="702"/>
      <c r="D13" s="703">
        <v>300000</v>
      </c>
      <c r="E13" s="704"/>
      <c r="I13" s="306" t="s">
        <v>10987</v>
      </c>
      <c r="J13" s="510">
        <f>'[4]Zakat 2020-21'!$L$23+'[4]Zakat 2020-21'!$C$23</f>
        <v>656655</v>
      </c>
      <c r="K13" s="455"/>
      <c r="L13" s="456"/>
      <c r="M13" s="306"/>
      <c r="N13" s="306"/>
      <c r="O13" s="455"/>
      <c r="P13" s="277"/>
      <c r="Q13" s="455" t="s">
        <v>12354</v>
      </c>
      <c r="R13" s="310">
        <v>5000000</v>
      </c>
      <c r="S13" s="310"/>
    </row>
    <row r="14" spans="1:19 16384:16384" ht="23.25" x14ac:dyDescent="0.25">
      <c r="A14" s="705" t="s">
        <v>12963</v>
      </c>
      <c r="B14" s="706"/>
      <c r="C14" s="706"/>
      <c r="D14" s="703">
        <v>100000</v>
      </c>
      <c r="E14" s="704"/>
      <c r="I14" s="455"/>
      <c r="J14" s="455"/>
      <c r="K14" s="455"/>
      <c r="L14" s="457"/>
      <c r="M14" s="306"/>
      <c r="N14" s="306"/>
      <c r="O14" s="455"/>
      <c r="Q14" s="306" t="s">
        <v>12342</v>
      </c>
      <c r="R14" s="310">
        <v>1500000</v>
      </c>
      <c r="S14" s="310"/>
      <c r="XFD14" s="277">
        <f>SUM(D14:XFC14)</f>
        <v>1600000</v>
      </c>
    </row>
    <row r="15" spans="1:19 16384:16384" ht="26.25" x14ac:dyDescent="0.25">
      <c r="A15" s="698" t="s">
        <v>9988</v>
      </c>
      <c r="B15" s="699"/>
      <c r="C15" s="700"/>
      <c r="D15" s="696">
        <v>0</v>
      </c>
      <c r="E15" s="697"/>
      <c r="I15" s="455"/>
      <c r="J15" s="455"/>
      <c r="K15" s="455">
        <v>50000</v>
      </c>
      <c r="L15" s="457"/>
      <c r="M15" s="306"/>
      <c r="N15" s="306"/>
      <c r="O15" s="455"/>
      <c r="P15" s="277"/>
      <c r="Q15" s="306" t="s">
        <v>12760</v>
      </c>
      <c r="R15" s="310">
        <v>1600000</v>
      </c>
      <c r="S15" s="310"/>
    </row>
    <row r="16" spans="1:19 16384:16384" ht="29.25" thickBot="1" x14ac:dyDescent="0.5">
      <c r="A16" s="707" t="s">
        <v>6976</v>
      </c>
      <c r="B16" s="708"/>
      <c r="C16" s="709"/>
      <c r="D16" s="710">
        <f ca="1">SUM(D5:E15)</f>
        <v>63029463.531594373</v>
      </c>
      <c r="E16" s="711"/>
      <c r="I16" s="455"/>
      <c r="J16" s="455"/>
      <c r="K16" s="306"/>
      <c r="L16" s="456"/>
      <c r="M16" s="455"/>
      <c r="N16" s="310"/>
      <c r="O16" s="455"/>
      <c r="Q16" s="306" t="s">
        <v>12777</v>
      </c>
      <c r="R16" s="310">
        <v>5204349</v>
      </c>
      <c r="S16" s="310"/>
    </row>
    <row r="17" spans="3:21" x14ac:dyDescent="0.25">
      <c r="I17" s="455" t="s">
        <v>13695</v>
      </c>
      <c r="J17" s="455">
        <v>40000</v>
      </c>
      <c r="K17" s="306"/>
      <c r="L17" s="456"/>
      <c r="M17" s="455"/>
      <c r="N17" s="310"/>
      <c r="O17" s="455"/>
      <c r="P17" s="310"/>
      <c r="Q17" s="306" t="s">
        <v>12923</v>
      </c>
      <c r="R17" s="310">
        <v>3221233</v>
      </c>
      <c r="S17" s="310"/>
    </row>
    <row r="18" spans="3:21" x14ac:dyDescent="0.25">
      <c r="I18" s="455"/>
      <c r="J18" s="455">
        <v>500000</v>
      </c>
      <c r="K18" s="306"/>
      <c r="L18" s="458"/>
      <c r="M18" s="455"/>
      <c r="N18" s="310"/>
      <c r="O18" s="306"/>
      <c r="P18" s="310"/>
      <c r="Q18" s="306" t="s">
        <v>12922</v>
      </c>
      <c r="R18" s="310">
        <v>1000000</v>
      </c>
      <c r="S18" s="310"/>
    </row>
    <row r="19" spans="3:21" x14ac:dyDescent="0.25">
      <c r="I19" s="455"/>
      <c r="J19" s="455"/>
      <c r="K19" s="306"/>
      <c r="L19" s="458"/>
      <c r="M19" s="455"/>
      <c r="N19" s="310"/>
      <c r="O19" s="306"/>
      <c r="P19" s="2"/>
      <c r="Q19" s="306" t="s">
        <v>12894</v>
      </c>
      <c r="R19" s="310">
        <v>1000000</v>
      </c>
      <c r="S19" s="310"/>
    </row>
    <row r="20" spans="3:21" ht="18.75" x14ac:dyDescent="0.3">
      <c r="G20" s="712" t="s">
        <v>12586</v>
      </c>
      <c r="H20" s="713"/>
      <c r="I20" s="455"/>
      <c r="J20" s="455"/>
      <c r="K20" s="306"/>
      <c r="L20" s="458"/>
      <c r="M20" s="306"/>
      <c r="N20" s="306"/>
      <c r="O20" s="306"/>
      <c r="P20" s="2"/>
      <c r="Q20" s="306" t="s">
        <v>12894</v>
      </c>
      <c r="R20" s="310">
        <v>1000000</v>
      </c>
      <c r="S20" s="310"/>
    </row>
    <row r="21" spans="3:21" x14ac:dyDescent="0.25">
      <c r="G21" t="s">
        <v>12672</v>
      </c>
      <c r="H21" s="2">
        <v>7000</v>
      </c>
      <c r="I21" s="455"/>
      <c r="J21" s="455"/>
      <c r="K21" s="306"/>
      <c r="L21" s="458"/>
      <c r="M21" s="306"/>
      <c r="N21" s="306"/>
      <c r="O21" s="306"/>
      <c r="Q21" s="306" t="s">
        <v>12894</v>
      </c>
      <c r="R21" s="310">
        <v>1000000</v>
      </c>
      <c r="S21" s="310"/>
      <c r="U21" s="277"/>
    </row>
    <row r="22" spans="3:21" x14ac:dyDescent="0.25">
      <c r="G22" t="s">
        <v>12750</v>
      </c>
      <c r="H22" s="2">
        <v>50000</v>
      </c>
      <c r="I22" s="455"/>
      <c r="J22" s="455"/>
      <c r="K22" s="306"/>
      <c r="L22" s="458"/>
      <c r="M22" s="306"/>
      <c r="N22" s="306"/>
      <c r="O22" s="306"/>
      <c r="Q22" s="306" t="s">
        <v>12894</v>
      </c>
      <c r="R22" s="310">
        <v>1500000</v>
      </c>
      <c r="S22" s="310"/>
      <c r="U22" s="277">
        <f>SUM(S44:S80)</f>
        <v>10452012.33</v>
      </c>
    </row>
    <row r="23" spans="3:21" x14ac:dyDescent="0.25">
      <c r="G23" t="s">
        <v>6959</v>
      </c>
      <c r="H23" s="618">
        <v>1000</v>
      </c>
      <c r="I23" s="306"/>
      <c r="J23" s="306"/>
      <c r="K23" s="304"/>
      <c r="L23" s="458"/>
      <c r="M23" s="306"/>
      <c r="N23" s="306"/>
      <c r="O23" s="306"/>
      <c r="Q23" s="306" t="s">
        <v>12894</v>
      </c>
      <c r="R23" s="310">
        <v>1500000</v>
      </c>
      <c r="S23" s="310"/>
    </row>
    <row r="24" spans="3:21" x14ac:dyDescent="0.25">
      <c r="G24" t="s">
        <v>12788</v>
      </c>
      <c r="H24" s="304">
        <v>500</v>
      </c>
      <c r="I24" s="306"/>
      <c r="J24" s="306"/>
      <c r="K24" s="304"/>
      <c r="L24" s="458"/>
      <c r="M24" s="306"/>
      <c r="N24" s="455"/>
      <c r="O24" s="306"/>
      <c r="Q24" s="306" t="s">
        <v>12894</v>
      </c>
      <c r="R24" s="310">
        <v>1417880</v>
      </c>
      <c r="S24" s="310"/>
    </row>
    <row r="25" spans="3:21" x14ac:dyDescent="0.25">
      <c r="G25" t="s">
        <v>12672</v>
      </c>
      <c r="H25" s="2">
        <v>7000</v>
      </c>
      <c r="I25" s="306"/>
      <c r="J25" s="306"/>
      <c r="K25" s="304"/>
      <c r="L25" s="458"/>
      <c r="M25" s="306"/>
      <c r="N25" s="306"/>
      <c r="O25" s="306"/>
      <c r="Q25" s="306" t="s">
        <v>12924</v>
      </c>
      <c r="R25" s="310">
        <v>5000000</v>
      </c>
      <c r="S25" s="310"/>
    </row>
    <row r="26" spans="3:21" x14ac:dyDescent="0.25">
      <c r="C26" s="2" t="s">
        <v>11023</v>
      </c>
      <c r="D26" s="2" t="e">
        <f>#REF!+#REF!+#REF!+#REF!+#REF!+#REF!+#REF!+#REF!+#REF!</f>
        <v>#REF!</v>
      </c>
      <c r="G26" t="s">
        <v>13018</v>
      </c>
      <c r="H26" s="2">
        <v>1000</v>
      </c>
      <c r="I26" s="306"/>
      <c r="J26" s="455"/>
      <c r="K26" s="304"/>
      <c r="L26" s="458"/>
      <c r="M26" s="306"/>
      <c r="N26" s="306"/>
      <c r="O26" s="304"/>
      <c r="Q26" s="306" t="s">
        <v>12939</v>
      </c>
      <c r="R26" s="310">
        <v>5000000</v>
      </c>
      <c r="S26" s="310"/>
    </row>
    <row r="27" spans="3:21" x14ac:dyDescent="0.25">
      <c r="C27" s="2" t="s">
        <v>11024</v>
      </c>
      <c r="D27" s="2">
        <f ca="1">D16</f>
        <v>63029463.531594373</v>
      </c>
      <c r="G27" t="s">
        <v>13207</v>
      </c>
      <c r="H27" s="639">
        <v>7000</v>
      </c>
      <c r="I27" s="455"/>
      <c r="J27" s="455"/>
      <c r="K27" s="304"/>
      <c r="L27" s="439"/>
      <c r="M27" s="304"/>
      <c r="N27" s="304"/>
      <c r="O27" s="304"/>
      <c r="Q27" s="306" t="s">
        <v>12976</v>
      </c>
      <c r="R27" s="310">
        <v>4548000</v>
      </c>
      <c r="S27" s="310"/>
    </row>
    <row r="28" spans="3:21" x14ac:dyDescent="0.25">
      <c r="C28" s="2" t="s">
        <v>11025</v>
      </c>
      <c r="D28" s="2" t="e">
        <f ca="1">D27-D26</f>
        <v>#REF!</v>
      </c>
      <c r="G28" t="s">
        <v>13232</v>
      </c>
      <c r="H28" s="2">
        <v>4000</v>
      </c>
      <c r="I28" s="455"/>
      <c r="J28" s="455"/>
      <c r="K28" s="304"/>
      <c r="L28" s="439"/>
      <c r="M28" s="304"/>
      <c r="N28" s="304"/>
      <c r="O28" s="304"/>
      <c r="Q28" s="306" t="s">
        <v>12894</v>
      </c>
      <c r="R28" s="310">
        <v>4096986</v>
      </c>
      <c r="S28" s="310"/>
    </row>
    <row r="29" spans="3:21" x14ac:dyDescent="0.25">
      <c r="G29" t="s">
        <v>13238</v>
      </c>
      <c r="H29" s="639">
        <v>1000</v>
      </c>
      <c r="I29" s="455"/>
      <c r="J29" s="455"/>
      <c r="K29" s="304"/>
      <c r="L29" s="439"/>
      <c r="M29" s="304"/>
      <c r="N29" s="304"/>
      <c r="O29" s="304"/>
      <c r="Q29" s="306" t="s">
        <v>13063</v>
      </c>
      <c r="R29" s="310">
        <v>8000000</v>
      </c>
      <c r="S29" s="310"/>
    </row>
    <row r="30" spans="3:21" x14ac:dyDescent="0.25">
      <c r="G30" t="s">
        <v>13257</v>
      </c>
      <c r="H30">
        <f>5000+4000</f>
        <v>9000</v>
      </c>
      <c r="I30" s="306"/>
      <c r="J30" s="306"/>
      <c r="K30" s="304"/>
      <c r="L30" s="439"/>
      <c r="M30" s="304"/>
      <c r="N30" s="304"/>
      <c r="O30" s="304"/>
      <c r="Q30" s="306" t="s">
        <v>13187</v>
      </c>
      <c r="R30" s="310">
        <v>10000000</v>
      </c>
      <c r="S30" s="310"/>
    </row>
    <row r="31" spans="3:21" x14ac:dyDescent="0.25">
      <c r="G31" t="s">
        <v>13258</v>
      </c>
      <c r="H31" s="639">
        <v>5000</v>
      </c>
      <c r="I31" s="306"/>
      <c r="J31" s="304"/>
      <c r="K31" s="304"/>
      <c r="L31" s="439"/>
      <c r="M31" s="304"/>
      <c r="N31" s="304"/>
      <c r="O31" s="304"/>
      <c r="Q31" s="306" t="s">
        <v>13372</v>
      </c>
      <c r="R31" s="310">
        <v>7831493</v>
      </c>
      <c r="S31" s="310"/>
    </row>
    <row r="32" spans="3:21" x14ac:dyDescent="0.25">
      <c r="E32" s="2">
        <f>SUM(J15:J28)</f>
        <v>540000</v>
      </c>
      <c r="G32" t="s">
        <v>13207</v>
      </c>
      <c r="H32" s="639">
        <v>7000</v>
      </c>
      <c r="I32" s="304"/>
      <c r="J32" s="304"/>
      <c r="K32" s="304"/>
      <c r="L32" s="439"/>
      <c r="M32" s="304"/>
      <c r="N32" s="304"/>
      <c r="O32" s="304"/>
      <c r="Q32" s="306" t="s">
        <v>13456</v>
      </c>
      <c r="R32" s="310">
        <v>5000000</v>
      </c>
      <c r="S32" s="310"/>
    </row>
    <row r="33" spans="7:19" x14ac:dyDescent="0.25">
      <c r="G33" t="s">
        <v>13303</v>
      </c>
      <c r="H33">
        <v>5000</v>
      </c>
      <c r="I33" s="304"/>
      <c r="J33" s="304"/>
      <c r="K33" s="304"/>
      <c r="L33" s="439"/>
      <c r="M33" s="304"/>
      <c r="N33" s="304"/>
      <c r="O33" s="304"/>
      <c r="Q33" s="306" t="s">
        <v>13532</v>
      </c>
      <c r="R33" s="310">
        <v>6010680</v>
      </c>
      <c r="S33" s="310"/>
    </row>
    <row r="34" spans="7:19" x14ac:dyDescent="0.25">
      <c r="G34" t="s">
        <v>13330</v>
      </c>
      <c r="H34" s="277">
        <v>5000</v>
      </c>
      <c r="I34" s="304"/>
      <c r="J34" s="304"/>
      <c r="K34" s="304"/>
      <c r="L34" s="439"/>
      <c r="M34" s="304"/>
      <c r="N34" s="304"/>
      <c r="O34" s="304"/>
      <c r="Q34" s="306" t="s">
        <v>13532</v>
      </c>
      <c r="R34" s="310">
        <v>5060000</v>
      </c>
      <c r="S34" s="310"/>
    </row>
    <row r="35" spans="7:19" x14ac:dyDescent="0.25">
      <c r="G35" t="s">
        <v>13391</v>
      </c>
      <c r="H35" s="277">
        <v>2000</v>
      </c>
      <c r="I35" s="304"/>
      <c r="J35" s="304"/>
      <c r="K35" s="304"/>
      <c r="L35" s="439"/>
      <c r="M35" s="304"/>
      <c r="N35" s="304"/>
      <c r="O35" s="304"/>
      <c r="Q35" s="306" t="s">
        <v>13533</v>
      </c>
      <c r="R35" s="310">
        <v>10000000</v>
      </c>
      <c r="S35" s="310"/>
    </row>
    <row r="36" spans="7:19" x14ac:dyDescent="0.25">
      <c r="G36" t="s">
        <v>13449</v>
      </c>
      <c r="H36">
        <v>1000</v>
      </c>
      <c r="I36" s="304"/>
      <c r="J36" s="304"/>
      <c r="K36" s="304"/>
      <c r="L36" s="439"/>
      <c r="M36" s="304"/>
      <c r="N36" s="304"/>
      <c r="O36" s="304"/>
      <c r="Q36" s="306" t="s">
        <v>13533</v>
      </c>
      <c r="R36" s="310">
        <v>1310000</v>
      </c>
      <c r="S36" s="310"/>
    </row>
    <row r="37" spans="7:19" x14ac:dyDescent="0.25">
      <c r="G37" t="s">
        <v>13450</v>
      </c>
      <c r="H37">
        <v>1000</v>
      </c>
      <c r="I37" s="304"/>
      <c r="J37" s="304"/>
      <c r="K37" s="304"/>
      <c r="L37" s="439"/>
      <c r="M37" s="304"/>
      <c r="N37" s="304"/>
      <c r="O37" s="304"/>
      <c r="Q37" s="306" t="s">
        <v>13648</v>
      </c>
      <c r="R37" s="310">
        <v>500000</v>
      </c>
      <c r="S37" s="310"/>
    </row>
    <row r="38" spans="7:19" x14ac:dyDescent="0.25">
      <c r="G38" t="s">
        <v>13451</v>
      </c>
      <c r="H38">
        <v>3000</v>
      </c>
      <c r="I38" s="304"/>
      <c r="J38" s="304"/>
      <c r="K38" s="304"/>
      <c r="L38" s="439"/>
      <c r="M38" s="304"/>
      <c r="N38" s="304"/>
      <c r="O38" s="304"/>
      <c r="Q38" s="306" t="s">
        <v>13372</v>
      </c>
      <c r="R38" s="310">
        <v>2778135</v>
      </c>
      <c r="S38" s="310"/>
    </row>
    <row r="39" spans="7:19" x14ac:dyDescent="0.25">
      <c r="G39" t="s">
        <v>13452</v>
      </c>
      <c r="H39">
        <v>500</v>
      </c>
      <c r="I39" s="304"/>
      <c r="J39" s="304"/>
      <c r="K39" s="304"/>
      <c r="L39" s="439"/>
      <c r="M39" s="304"/>
      <c r="N39" s="304"/>
      <c r="O39" s="304"/>
      <c r="Q39" s="306" t="s">
        <v>13690</v>
      </c>
      <c r="R39" s="310">
        <v>2700000</v>
      </c>
      <c r="S39" s="310"/>
    </row>
    <row r="40" spans="7:19" x14ac:dyDescent="0.25">
      <c r="G40" t="s">
        <v>13451</v>
      </c>
      <c r="H40">
        <v>4000</v>
      </c>
      <c r="I40" s="304"/>
      <c r="J40" s="304"/>
      <c r="K40" s="304"/>
      <c r="L40" s="439"/>
      <c r="M40" s="304"/>
      <c r="N40" s="304"/>
      <c r="O40" s="304"/>
      <c r="Q40" s="306" t="s">
        <v>13533</v>
      </c>
      <c r="R40" s="310">
        <v>10000000</v>
      </c>
      <c r="S40" s="310"/>
    </row>
    <row r="41" spans="7:19" x14ac:dyDescent="0.25">
      <c r="G41" t="s">
        <v>13462</v>
      </c>
      <c r="H41">
        <v>5000</v>
      </c>
      <c r="I41" s="304"/>
      <c r="J41" s="304"/>
      <c r="K41" s="304"/>
      <c r="L41" s="439"/>
      <c r="M41" s="304"/>
      <c r="N41" s="304"/>
      <c r="O41" s="304"/>
      <c r="Q41" s="306"/>
      <c r="R41" s="310"/>
      <c r="S41" s="310"/>
    </row>
    <row r="42" spans="7:19" x14ac:dyDescent="0.25">
      <c r="G42" s="662" t="s">
        <v>13566</v>
      </c>
      <c r="H42" s="662">
        <v>5000</v>
      </c>
      <c r="I42" s="304"/>
      <c r="J42" s="304"/>
      <c r="K42" s="304"/>
      <c r="L42" s="439"/>
      <c r="M42" s="304"/>
      <c r="N42" s="304"/>
      <c r="O42" s="304"/>
      <c r="Q42" s="306"/>
      <c r="R42" s="310"/>
      <c r="S42" s="310"/>
    </row>
    <row r="43" spans="7:19" x14ac:dyDescent="0.25">
      <c r="G43" t="s">
        <v>13579</v>
      </c>
      <c r="H43">
        <v>10000</v>
      </c>
      <c r="I43" s="304"/>
      <c r="J43" s="304"/>
      <c r="K43" s="304"/>
      <c r="L43" s="439"/>
      <c r="M43" s="304"/>
      <c r="N43" s="304"/>
      <c r="O43" s="304"/>
      <c r="Q43" s="306"/>
      <c r="R43" s="310"/>
      <c r="S43" s="310">
        <f>18192885+12895660</f>
        <v>31088545</v>
      </c>
    </row>
    <row r="44" spans="7:19" x14ac:dyDescent="0.25">
      <c r="G44" t="s">
        <v>13610</v>
      </c>
      <c r="H44">
        <v>2000</v>
      </c>
      <c r="I44" s="304"/>
      <c r="J44" s="304"/>
      <c r="K44" s="304"/>
      <c r="L44" s="439"/>
      <c r="M44" s="304"/>
      <c r="N44" s="304"/>
      <c r="O44" s="304"/>
      <c r="Q44" s="306"/>
      <c r="R44" s="310"/>
      <c r="S44" s="310">
        <v>59000</v>
      </c>
    </row>
    <row r="45" spans="7:19" x14ac:dyDescent="0.25">
      <c r="G45" t="s">
        <v>13566</v>
      </c>
      <c r="H45">
        <v>5000</v>
      </c>
      <c r="I45" s="304"/>
      <c r="J45" s="304"/>
      <c r="K45" s="304"/>
      <c r="L45" s="439"/>
      <c r="M45" s="304"/>
      <c r="N45" s="304"/>
      <c r="O45" s="304"/>
      <c r="Q45" s="455" t="s">
        <v>12838</v>
      </c>
      <c r="R45" s="310"/>
      <c r="S45" s="310">
        <v>1000000</v>
      </c>
    </row>
    <row r="46" spans="7:19" x14ac:dyDescent="0.25">
      <c r="G46" t="s">
        <v>13566</v>
      </c>
      <c r="H46">
        <v>5000</v>
      </c>
      <c r="I46" s="304"/>
      <c r="J46" s="304"/>
      <c r="K46" s="304"/>
      <c r="L46" s="439"/>
      <c r="M46" s="304"/>
      <c r="N46" s="304"/>
      <c r="O46" s="304"/>
      <c r="Q46" s="455" t="s">
        <v>12858</v>
      </c>
      <c r="R46" s="310"/>
      <c r="S46" s="310">
        <v>155000</v>
      </c>
    </row>
    <row r="47" spans="7:19" x14ac:dyDescent="0.25">
      <c r="G47" t="s">
        <v>13566</v>
      </c>
      <c r="H47">
        <v>5000</v>
      </c>
      <c r="I47" s="304"/>
      <c r="J47" s="304"/>
      <c r="K47" s="304"/>
      <c r="L47" s="439"/>
      <c r="M47" s="304"/>
      <c r="N47" s="304"/>
      <c r="O47" s="304"/>
      <c r="Q47" s="455" t="s">
        <v>12868</v>
      </c>
      <c r="R47" s="310"/>
      <c r="S47" s="310">
        <v>95000</v>
      </c>
    </row>
    <row r="48" spans="7:19" x14ac:dyDescent="0.25">
      <c r="I48" s="304"/>
      <c r="J48" s="304"/>
      <c r="K48" s="304"/>
      <c r="L48" s="439"/>
      <c r="M48" s="304"/>
      <c r="N48" s="304"/>
      <c r="O48" s="304"/>
      <c r="Q48" s="455" t="s">
        <v>12869</v>
      </c>
      <c r="R48" s="310"/>
      <c r="S48" s="310">
        <v>200000</v>
      </c>
    </row>
    <row r="49" spans="9:19" x14ac:dyDescent="0.25">
      <c r="I49" s="304"/>
      <c r="J49" s="304"/>
      <c r="K49" s="304"/>
      <c r="L49" s="439"/>
      <c r="M49" s="304"/>
      <c r="N49" s="304"/>
      <c r="O49" s="304"/>
      <c r="Q49" s="455" t="s">
        <v>12870</v>
      </c>
      <c r="R49" s="310"/>
      <c r="S49" s="310">
        <v>40000</v>
      </c>
    </row>
    <row r="50" spans="9:19" x14ac:dyDescent="0.25">
      <c r="I50" s="304"/>
      <c r="J50" s="304"/>
      <c r="K50" s="304"/>
      <c r="L50" s="439"/>
      <c r="M50" s="304"/>
      <c r="N50" s="304"/>
      <c r="O50" s="304"/>
      <c r="Q50" s="455" t="s">
        <v>12872</v>
      </c>
      <c r="R50" s="310"/>
      <c r="S50" s="310">
        <v>300000</v>
      </c>
    </row>
    <row r="51" spans="9:19" x14ac:dyDescent="0.25">
      <c r="I51" s="304"/>
      <c r="J51" s="304"/>
      <c r="K51" s="304"/>
      <c r="L51" s="439"/>
      <c r="M51" s="304"/>
      <c r="N51" s="304"/>
      <c r="O51" s="304"/>
      <c r="Q51" s="455" t="s">
        <v>12882</v>
      </c>
      <c r="R51" s="310"/>
      <c r="S51" s="310">
        <v>143500</v>
      </c>
    </row>
    <row r="52" spans="9:19" x14ac:dyDescent="0.25">
      <c r="I52" s="304"/>
      <c r="J52" s="304"/>
      <c r="K52" s="304"/>
      <c r="L52" s="439"/>
      <c r="M52" s="304"/>
      <c r="N52" s="304"/>
      <c r="O52" s="304"/>
      <c r="Q52" s="455" t="s">
        <v>12883</v>
      </c>
      <c r="R52" s="310"/>
      <c r="S52" s="310">
        <v>160000</v>
      </c>
    </row>
    <row r="53" spans="9:19" x14ac:dyDescent="0.25">
      <c r="I53" s="304"/>
      <c r="J53" s="304"/>
      <c r="K53" s="304"/>
      <c r="L53" s="439"/>
      <c r="M53" s="304"/>
      <c r="N53" s="304"/>
      <c r="O53" s="304"/>
      <c r="Q53" s="455" t="s">
        <v>12884</v>
      </c>
      <c r="R53" s="310"/>
      <c r="S53" s="310">
        <v>100000</v>
      </c>
    </row>
    <row r="54" spans="9:19" x14ac:dyDescent="0.25">
      <c r="I54" s="304"/>
      <c r="J54" s="304"/>
      <c r="K54" s="304"/>
      <c r="L54" s="439"/>
      <c r="M54" s="304"/>
      <c r="N54" s="304"/>
      <c r="O54" s="304"/>
      <c r="Q54" s="455" t="s">
        <v>12902</v>
      </c>
      <c r="R54" s="310"/>
      <c r="S54" s="310">
        <v>150000</v>
      </c>
    </row>
    <row r="55" spans="9:19" x14ac:dyDescent="0.25">
      <c r="I55" s="304"/>
      <c r="J55" s="304"/>
      <c r="K55" s="304"/>
      <c r="L55" s="439"/>
      <c r="M55" s="304"/>
      <c r="N55" s="304"/>
      <c r="O55" s="304"/>
      <c r="Q55" s="455" t="s">
        <v>12905</v>
      </c>
      <c r="R55" s="310"/>
      <c r="S55" s="310">
        <v>250000</v>
      </c>
    </row>
    <row r="56" spans="9:19" x14ac:dyDescent="0.25">
      <c r="I56" s="304"/>
      <c r="J56" s="304"/>
      <c r="K56" s="304"/>
      <c r="L56" s="439"/>
      <c r="M56" s="304"/>
      <c r="N56" s="304"/>
      <c r="O56" s="304"/>
      <c r="Q56" s="455" t="s">
        <v>12905</v>
      </c>
      <c r="R56" s="310"/>
      <c r="S56" s="310">
        <v>250000</v>
      </c>
    </row>
    <row r="57" spans="9:19" x14ac:dyDescent="0.25">
      <c r="I57" s="304"/>
      <c r="J57" s="304"/>
      <c r="K57" s="304"/>
      <c r="L57" s="439"/>
      <c r="M57" s="304"/>
      <c r="N57" s="304"/>
      <c r="O57" s="304"/>
      <c r="Q57" s="455" t="s">
        <v>12906</v>
      </c>
      <c r="R57" s="310"/>
      <c r="S57" s="310">
        <v>1500000</v>
      </c>
    </row>
    <row r="58" spans="9:19" x14ac:dyDescent="0.25">
      <c r="I58" s="304"/>
      <c r="J58" s="304"/>
      <c r="K58" s="304"/>
      <c r="L58" s="439"/>
      <c r="M58" s="304"/>
      <c r="N58" s="304"/>
      <c r="O58" s="304"/>
      <c r="Q58" s="455" t="s">
        <v>12906</v>
      </c>
      <c r="R58" s="310"/>
      <c r="S58" s="310">
        <v>100000</v>
      </c>
    </row>
    <row r="59" spans="9:19" x14ac:dyDescent="0.25">
      <c r="I59" s="304"/>
      <c r="J59" s="304"/>
      <c r="K59" s="304"/>
      <c r="L59" s="439"/>
      <c r="M59" s="304"/>
      <c r="N59" s="304"/>
      <c r="O59" s="304"/>
      <c r="Q59" s="455" t="s">
        <v>12921</v>
      </c>
      <c r="R59" s="310"/>
      <c r="S59" s="310">
        <v>1500000</v>
      </c>
    </row>
    <row r="60" spans="9:19" x14ac:dyDescent="0.25">
      <c r="I60" s="304"/>
      <c r="J60" s="304"/>
      <c r="K60" s="304"/>
      <c r="L60" s="439"/>
      <c r="M60" s="304"/>
      <c r="N60" s="304"/>
      <c r="O60" s="304"/>
      <c r="Q60" s="455" t="s">
        <v>12930</v>
      </c>
      <c r="R60" s="310"/>
      <c r="S60" s="310">
        <v>100000</v>
      </c>
    </row>
    <row r="61" spans="9:19" x14ac:dyDescent="0.25">
      <c r="I61" s="304"/>
      <c r="J61" s="304"/>
      <c r="K61" s="304"/>
      <c r="L61" s="439"/>
      <c r="M61" s="304"/>
      <c r="N61" s="304"/>
      <c r="O61" s="304"/>
      <c r="Q61" s="455" t="s">
        <v>12906</v>
      </c>
      <c r="R61" s="310"/>
      <c r="S61" s="310">
        <v>125000</v>
      </c>
    </row>
    <row r="62" spans="9:19" x14ac:dyDescent="0.25">
      <c r="I62" s="304"/>
      <c r="J62" s="304"/>
      <c r="K62" s="304"/>
      <c r="L62" s="439"/>
      <c r="M62" s="304"/>
      <c r="N62" s="304"/>
      <c r="O62" s="304"/>
      <c r="Q62" s="455" t="s">
        <v>12940</v>
      </c>
      <c r="R62" s="310"/>
      <c r="S62" s="310">
        <v>200000</v>
      </c>
    </row>
    <row r="63" spans="9:19" x14ac:dyDescent="0.25">
      <c r="I63" s="304"/>
      <c r="J63" s="304"/>
      <c r="K63" s="304"/>
      <c r="L63" s="439"/>
      <c r="M63" s="304"/>
      <c r="N63" s="304"/>
      <c r="O63" s="304"/>
      <c r="Q63" s="310" t="s">
        <v>12977</v>
      </c>
      <c r="R63" s="310"/>
      <c r="S63" s="310">
        <v>100000</v>
      </c>
    </row>
    <row r="64" spans="9:19" x14ac:dyDescent="0.25">
      <c r="I64" s="304"/>
      <c r="J64" s="304"/>
      <c r="K64" s="304"/>
      <c r="L64" s="439"/>
      <c r="M64" s="304"/>
      <c r="N64" s="304"/>
      <c r="O64" s="304"/>
      <c r="Q64" s="310" t="s">
        <v>12978</v>
      </c>
      <c r="R64" s="310"/>
      <c r="S64" s="310">
        <v>500000</v>
      </c>
    </row>
    <row r="65" spans="9:19" x14ac:dyDescent="0.25">
      <c r="I65" s="304"/>
      <c r="J65" s="304"/>
      <c r="K65" s="304"/>
      <c r="L65" s="439"/>
      <c r="M65" s="304"/>
      <c r="N65" s="304"/>
      <c r="O65" s="304"/>
      <c r="Q65" s="310" t="s">
        <v>12979</v>
      </c>
      <c r="R65" s="310"/>
      <c r="S65" s="310">
        <v>42000</v>
      </c>
    </row>
    <row r="66" spans="9:19" x14ac:dyDescent="0.25">
      <c r="I66" s="304"/>
      <c r="J66" s="304"/>
      <c r="K66" s="304"/>
      <c r="L66" s="439"/>
      <c r="M66" s="304"/>
      <c r="N66" s="304"/>
      <c r="O66" s="304"/>
      <c r="Q66" s="310" t="s">
        <v>12980</v>
      </c>
      <c r="R66" s="310"/>
      <c r="S66" s="310">
        <v>74000</v>
      </c>
    </row>
    <row r="67" spans="9:19" x14ac:dyDescent="0.25">
      <c r="I67" s="304"/>
      <c r="J67" s="304"/>
      <c r="K67" s="304"/>
      <c r="L67" s="439"/>
      <c r="M67" s="304"/>
      <c r="N67" s="304"/>
      <c r="O67" s="304"/>
      <c r="Q67" s="310" t="s">
        <v>12981</v>
      </c>
      <c r="R67" s="310"/>
      <c r="S67" s="310">
        <v>42212.33</v>
      </c>
    </row>
    <row r="68" spans="9:19" x14ac:dyDescent="0.25">
      <c r="I68" s="304"/>
      <c r="J68" s="304"/>
      <c r="K68" s="304"/>
      <c r="L68" s="439"/>
      <c r="M68" s="304"/>
      <c r="N68" s="304"/>
      <c r="O68" s="304"/>
      <c r="Q68" s="310" t="s">
        <v>12982</v>
      </c>
      <c r="R68" s="310"/>
      <c r="S68" s="310">
        <v>51000</v>
      </c>
    </row>
    <row r="69" spans="9:19" x14ac:dyDescent="0.25">
      <c r="I69" s="304"/>
      <c r="J69" s="304"/>
      <c r="K69" s="304"/>
      <c r="L69" s="439"/>
      <c r="M69" s="304"/>
      <c r="N69" s="304"/>
      <c r="O69" s="304"/>
      <c r="Q69" s="310" t="s">
        <v>12983</v>
      </c>
      <c r="R69" s="310"/>
      <c r="S69" s="310">
        <v>218000</v>
      </c>
    </row>
    <row r="70" spans="9:19" x14ac:dyDescent="0.25">
      <c r="I70" s="304"/>
      <c r="J70" s="304"/>
      <c r="K70" s="304"/>
      <c r="L70" s="439"/>
      <c r="M70" s="304"/>
      <c r="N70" s="304"/>
      <c r="O70" s="304"/>
      <c r="Q70" s="310" t="s">
        <v>12984</v>
      </c>
      <c r="R70" s="310"/>
      <c r="S70" s="310">
        <v>39000</v>
      </c>
    </row>
    <row r="71" spans="9:19" x14ac:dyDescent="0.25">
      <c r="I71" s="304"/>
      <c r="J71" s="304"/>
      <c r="K71" s="304"/>
      <c r="L71" s="439"/>
      <c r="M71" s="304"/>
      <c r="N71" s="304"/>
      <c r="O71" s="304"/>
      <c r="Q71" s="310" t="s">
        <v>12985</v>
      </c>
      <c r="R71" s="310"/>
      <c r="S71" s="310">
        <v>80000</v>
      </c>
    </row>
    <row r="72" spans="9:19" x14ac:dyDescent="0.25">
      <c r="I72" s="304"/>
      <c r="J72" s="304"/>
      <c r="K72" s="304"/>
      <c r="L72" s="439"/>
      <c r="M72" s="304"/>
      <c r="N72" s="304"/>
      <c r="O72" s="304"/>
      <c r="Q72" s="310" t="s">
        <v>12986</v>
      </c>
      <c r="R72" s="310"/>
      <c r="S72" s="310">
        <v>50000</v>
      </c>
    </row>
    <row r="73" spans="9:19" x14ac:dyDescent="0.25">
      <c r="I73" s="304"/>
      <c r="J73" s="304"/>
      <c r="K73" s="304"/>
      <c r="L73" s="439"/>
      <c r="M73" s="304"/>
      <c r="N73" s="304"/>
      <c r="O73" s="304"/>
      <c r="Q73" s="310" t="s">
        <v>12987</v>
      </c>
      <c r="R73" s="310"/>
      <c r="S73" s="310">
        <v>250000</v>
      </c>
    </row>
    <row r="74" spans="9:19" x14ac:dyDescent="0.25">
      <c r="I74" s="304"/>
      <c r="J74" s="304"/>
      <c r="K74" s="304"/>
      <c r="L74" s="439"/>
      <c r="M74" s="304"/>
      <c r="N74" s="304"/>
      <c r="O74" s="304"/>
      <c r="Q74" s="310" t="s">
        <v>12988</v>
      </c>
      <c r="R74" s="310"/>
      <c r="S74" s="310">
        <v>28300</v>
      </c>
    </row>
    <row r="75" spans="9:19" x14ac:dyDescent="0.25">
      <c r="I75" s="304"/>
      <c r="J75" s="304"/>
      <c r="K75" s="304"/>
      <c r="L75" s="439"/>
      <c r="M75" s="304"/>
      <c r="N75" s="304"/>
      <c r="O75" s="304"/>
      <c r="Q75" s="310" t="s">
        <v>12989</v>
      </c>
      <c r="R75" s="310"/>
      <c r="S75" s="310">
        <v>35000</v>
      </c>
    </row>
    <row r="76" spans="9:19" x14ac:dyDescent="0.25">
      <c r="I76" s="304"/>
      <c r="J76" s="304"/>
      <c r="K76" s="304"/>
      <c r="L76" s="439"/>
      <c r="M76" s="304"/>
      <c r="N76" s="304"/>
      <c r="O76" s="304"/>
      <c r="Q76" s="310" t="s">
        <v>12990</v>
      </c>
      <c r="R76" s="310"/>
      <c r="S76" s="310">
        <v>250000</v>
      </c>
    </row>
    <row r="77" spans="9:19" x14ac:dyDescent="0.25">
      <c r="I77" s="304"/>
      <c r="J77" s="304"/>
      <c r="K77" s="304"/>
      <c r="L77" s="439"/>
      <c r="M77" s="304"/>
      <c r="N77" s="304"/>
      <c r="O77" s="304"/>
      <c r="Q77" s="455" t="s">
        <v>12991</v>
      </c>
      <c r="R77" s="310"/>
      <c r="S77" s="310">
        <v>250000</v>
      </c>
    </row>
    <row r="78" spans="9:19" x14ac:dyDescent="0.25">
      <c r="I78" s="304"/>
      <c r="J78" s="304"/>
      <c r="K78" s="304"/>
      <c r="L78" s="439"/>
      <c r="M78" s="304"/>
      <c r="N78" s="304"/>
      <c r="O78" s="304"/>
      <c r="Q78" s="455" t="s">
        <v>12992</v>
      </c>
      <c r="R78" s="310"/>
      <c r="S78" s="310">
        <v>250000</v>
      </c>
    </row>
    <row r="79" spans="9:19" x14ac:dyDescent="0.25">
      <c r="I79" s="304"/>
      <c r="J79" s="304"/>
      <c r="K79" s="304"/>
      <c r="L79" s="439"/>
      <c r="M79" s="304"/>
      <c r="N79" s="304"/>
      <c r="O79" s="304"/>
      <c r="Q79" s="455" t="s">
        <v>12992</v>
      </c>
      <c r="R79" s="310"/>
      <c r="S79" s="310">
        <v>765000</v>
      </c>
    </row>
    <row r="80" spans="9:19" x14ac:dyDescent="0.25">
      <c r="I80" s="304"/>
      <c r="J80" s="304"/>
      <c r="K80" s="304"/>
      <c r="L80" s="439"/>
      <c r="M80" s="304"/>
      <c r="N80" s="304"/>
      <c r="O80" s="304"/>
      <c r="Q80" s="455" t="s">
        <v>12998</v>
      </c>
      <c r="R80" s="310"/>
      <c r="S80" s="310">
        <v>1000000</v>
      </c>
    </row>
    <row r="81" spans="9:19" x14ac:dyDescent="0.25">
      <c r="I81" s="304"/>
      <c r="J81" s="304"/>
      <c r="K81" s="304"/>
      <c r="L81" s="439"/>
      <c r="M81" s="304"/>
      <c r="N81" s="304"/>
      <c r="O81" s="304"/>
      <c r="Q81" s="455" t="s">
        <v>12993</v>
      </c>
      <c r="R81" s="310"/>
      <c r="S81" s="310">
        <v>1500000</v>
      </c>
    </row>
    <row r="82" spans="9:19" x14ac:dyDescent="0.25">
      <c r="I82" s="304"/>
      <c r="J82" s="304"/>
      <c r="K82" s="304"/>
      <c r="L82" s="439"/>
      <c r="M82" s="304"/>
      <c r="N82" s="304"/>
      <c r="O82" s="304"/>
      <c r="Q82" s="455" t="s">
        <v>12994</v>
      </c>
      <c r="R82" s="310"/>
      <c r="S82" s="310">
        <v>1000000</v>
      </c>
    </row>
    <row r="83" spans="9:19" x14ac:dyDescent="0.25">
      <c r="I83" s="304"/>
      <c r="J83" s="304"/>
      <c r="K83" s="304"/>
      <c r="L83" s="439"/>
      <c r="M83" s="304"/>
      <c r="N83" s="304"/>
      <c r="O83" s="304"/>
      <c r="Q83" s="455" t="s">
        <v>12995</v>
      </c>
      <c r="R83" s="310"/>
      <c r="S83" s="310">
        <v>1000000</v>
      </c>
    </row>
    <row r="84" spans="9:19" x14ac:dyDescent="0.25">
      <c r="I84" s="304"/>
      <c r="J84" s="304"/>
      <c r="K84" s="304"/>
      <c r="L84" s="439"/>
      <c r="M84" s="304"/>
      <c r="N84" s="304"/>
      <c r="O84" s="304"/>
      <c r="Q84" s="455" t="s">
        <v>12996</v>
      </c>
      <c r="R84" s="310"/>
      <c r="S84" s="310">
        <v>8000</v>
      </c>
    </row>
    <row r="85" spans="9:19" x14ac:dyDescent="0.25">
      <c r="I85" s="304"/>
      <c r="J85" s="304"/>
      <c r="K85" s="304"/>
      <c r="L85" s="439"/>
      <c r="M85" s="304"/>
      <c r="N85" s="304"/>
      <c r="O85" s="304"/>
      <c r="Q85" s="455" t="s">
        <v>12997</v>
      </c>
      <c r="R85" s="310"/>
      <c r="S85" s="310">
        <v>52043</v>
      </c>
    </row>
    <row r="86" spans="9:19" x14ac:dyDescent="0.25">
      <c r="I86" s="304"/>
      <c r="J86" s="304"/>
      <c r="K86" s="304"/>
      <c r="L86" s="439"/>
      <c r="M86" s="304"/>
      <c r="N86" s="304"/>
      <c r="O86" s="304"/>
      <c r="Q86" s="310" t="s">
        <v>13000</v>
      </c>
      <c r="R86" s="310"/>
      <c r="S86" s="310">
        <v>47000</v>
      </c>
    </row>
    <row r="87" spans="9:19" x14ac:dyDescent="0.25">
      <c r="I87" s="304"/>
      <c r="J87" s="304"/>
      <c r="K87" s="304"/>
      <c r="L87" s="439"/>
      <c r="M87" s="304"/>
      <c r="N87" s="304"/>
      <c r="O87" s="304"/>
      <c r="Q87" s="310" t="s">
        <v>13000</v>
      </c>
      <c r="R87" s="310"/>
      <c r="S87" s="310">
        <v>250000</v>
      </c>
    </row>
    <row r="88" spans="9:19" x14ac:dyDescent="0.25">
      <c r="I88" s="304"/>
      <c r="J88" s="304"/>
      <c r="K88" s="304"/>
      <c r="L88" s="439"/>
      <c r="M88" s="304"/>
      <c r="N88" s="304"/>
      <c r="O88" s="304"/>
      <c r="Q88" s="455" t="s">
        <v>13021</v>
      </c>
      <c r="R88" s="310"/>
      <c r="S88" s="310">
        <v>357400</v>
      </c>
    </row>
    <row r="89" spans="9:19" x14ac:dyDescent="0.25">
      <c r="I89" s="304"/>
      <c r="J89" s="304"/>
      <c r="K89" s="304"/>
      <c r="L89" s="439"/>
      <c r="M89" s="304"/>
      <c r="N89" s="304"/>
      <c r="O89" s="304"/>
      <c r="Q89" s="455" t="s">
        <v>13022</v>
      </c>
      <c r="R89" s="310"/>
      <c r="S89" s="310">
        <v>267000</v>
      </c>
    </row>
    <row r="90" spans="9:19" x14ac:dyDescent="0.25">
      <c r="I90" s="304"/>
      <c r="J90" s="304"/>
      <c r="K90" s="304"/>
      <c r="L90" s="439"/>
      <c r="M90" s="304"/>
      <c r="N90" s="304"/>
      <c r="O90" s="304"/>
      <c r="Q90" s="455" t="s">
        <v>13023</v>
      </c>
      <c r="R90" s="310"/>
      <c r="S90" s="310">
        <v>76000</v>
      </c>
    </row>
    <row r="91" spans="9:19" x14ac:dyDescent="0.25">
      <c r="I91" s="304"/>
      <c r="J91" s="304"/>
      <c r="K91" s="304"/>
      <c r="L91" s="439"/>
      <c r="M91" s="304"/>
      <c r="N91" s="304"/>
      <c r="O91" s="304"/>
      <c r="Q91" s="455" t="s">
        <v>13024</v>
      </c>
      <c r="R91" s="310"/>
      <c r="S91" s="310">
        <v>100000</v>
      </c>
    </row>
    <row r="92" spans="9:19" x14ac:dyDescent="0.25">
      <c r="I92" s="304"/>
      <c r="J92" s="304"/>
      <c r="K92" s="304"/>
      <c r="L92" s="439"/>
      <c r="M92" s="304"/>
      <c r="N92" s="304"/>
      <c r="O92" s="304"/>
      <c r="Q92" s="455" t="s">
        <v>13025</v>
      </c>
      <c r="R92" s="310"/>
      <c r="S92" s="310">
        <v>1000000</v>
      </c>
    </row>
    <row r="93" spans="9:19" x14ac:dyDescent="0.25">
      <c r="I93" s="304"/>
      <c r="J93" s="304"/>
      <c r="K93" s="304"/>
      <c r="L93" s="439"/>
      <c r="M93" s="304"/>
      <c r="N93" s="304"/>
      <c r="O93" s="304"/>
      <c r="Q93" s="455" t="s">
        <v>13026</v>
      </c>
      <c r="R93" s="310"/>
      <c r="S93" s="310">
        <v>1000000</v>
      </c>
    </row>
    <row r="94" spans="9:19" x14ac:dyDescent="0.25">
      <c r="I94" s="304"/>
      <c r="J94" s="304"/>
      <c r="K94" s="304"/>
      <c r="L94" s="439"/>
      <c r="M94" s="304"/>
      <c r="N94" s="304"/>
      <c r="O94" s="304"/>
      <c r="Q94" s="455" t="s">
        <v>12995</v>
      </c>
      <c r="R94" s="310"/>
      <c r="S94" s="310">
        <v>750000</v>
      </c>
    </row>
    <row r="95" spans="9:19" x14ac:dyDescent="0.25">
      <c r="I95" s="304"/>
      <c r="J95" s="304"/>
      <c r="K95" s="304"/>
      <c r="L95" s="439"/>
      <c r="M95" s="304"/>
      <c r="N95" s="304"/>
      <c r="O95" s="304"/>
      <c r="Q95" s="455" t="s">
        <v>13065</v>
      </c>
      <c r="R95" s="310"/>
      <c r="S95" s="310">
        <v>1417880</v>
      </c>
    </row>
    <row r="96" spans="9:19" x14ac:dyDescent="0.25">
      <c r="I96" s="304"/>
      <c r="J96" s="304"/>
      <c r="K96" s="304"/>
      <c r="L96" s="439"/>
      <c r="M96" s="304"/>
      <c r="N96" s="304"/>
      <c r="O96" s="304"/>
      <c r="Q96" s="455" t="s">
        <v>35</v>
      </c>
      <c r="R96" s="310"/>
      <c r="S96" s="310">
        <v>900000</v>
      </c>
    </row>
    <row r="97" spans="9:19" x14ac:dyDescent="0.25">
      <c r="I97" s="304"/>
      <c r="J97" s="304"/>
      <c r="K97" s="304"/>
      <c r="L97" s="439"/>
      <c r="M97" s="304"/>
      <c r="N97" s="304"/>
      <c r="O97" s="304"/>
      <c r="Q97" s="455" t="s">
        <v>13066</v>
      </c>
      <c r="R97" s="310"/>
      <c r="S97" s="310">
        <v>250000</v>
      </c>
    </row>
    <row r="98" spans="9:19" x14ac:dyDescent="0.25">
      <c r="I98" s="304"/>
      <c r="J98" s="304"/>
      <c r="K98" s="304"/>
      <c r="L98" s="439"/>
      <c r="M98" s="304"/>
      <c r="N98" s="304"/>
      <c r="O98" s="304"/>
      <c r="Q98" s="455" t="s">
        <v>13066</v>
      </c>
      <c r="R98" s="310"/>
      <c r="S98" s="310">
        <v>500000</v>
      </c>
    </row>
    <row r="99" spans="9:19" x14ac:dyDescent="0.25">
      <c r="I99" s="304"/>
      <c r="J99" s="304"/>
      <c r="K99" s="304"/>
      <c r="L99" s="439"/>
      <c r="M99" s="304"/>
      <c r="N99" s="304"/>
      <c r="O99" s="304"/>
      <c r="Q99" s="455" t="s">
        <v>13067</v>
      </c>
      <c r="R99" s="310"/>
      <c r="S99" s="310">
        <v>85000</v>
      </c>
    </row>
    <row r="100" spans="9:19" x14ac:dyDescent="0.25">
      <c r="I100" s="304"/>
      <c r="J100" s="304"/>
      <c r="K100" s="304"/>
      <c r="L100" s="439"/>
      <c r="M100" s="304"/>
      <c r="N100" s="304"/>
      <c r="O100" s="304"/>
      <c r="Q100" s="455" t="s">
        <v>13068</v>
      </c>
      <c r="R100" s="310"/>
      <c r="S100" s="310">
        <v>165988</v>
      </c>
    </row>
    <row r="101" spans="9:19" x14ac:dyDescent="0.25">
      <c r="I101" s="304"/>
      <c r="J101" s="304"/>
      <c r="K101" s="304"/>
      <c r="L101" s="439"/>
      <c r="M101" s="304"/>
      <c r="N101" s="304"/>
      <c r="O101" s="304"/>
      <c r="Q101" s="455" t="s">
        <v>13069</v>
      </c>
      <c r="R101" s="310"/>
      <c r="S101" s="310">
        <v>60000</v>
      </c>
    </row>
    <row r="102" spans="9:19" x14ac:dyDescent="0.25">
      <c r="I102" s="304"/>
      <c r="J102" s="304"/>
      <c r="K102" s="304"/>
      <c r="L102" s="439"/>
      <c r="M102" s="304"/>
      <c r="N102" s="304"/>
      <c r="O102" s="304"/>
      <c r="Q102" s="455" t="s">
        <v>13070</v>
      </c>
      <c r="R102" s="310"/>
      <c r="S102" s="310">
        <v>75000</v>
      </c>
    </row>
    <row r="103" spans="9:19" x14ac:dyDescent="0.25">
      <c r="I103" s="304"/>
      <c r="J103" s="304"/>
      <c r="K103" s="304"/>
      <c r="L103" s="439"/>
      <c r="M103" s="304"/>
      <c r="N103" s="304"/>
      <c r="O103" s="304"/>
      <c r="Q103" s="455" t="s">
        <v>13071</v>
      </c>
      <c r="R103" s="310"/>
      <c r="S103" s="310">
        <v>50000</v>
      </c>
    </row>
    <row r="104" spans="9:19" x14ac:dyDescent="0.25">
      <c r="I104" s="304"/>
      <c r="J104" s="304"/>
      <c r="K104" s="304"/>
      <c r="L104" s="439"/>
      <c r="M104" s="304"/>
      <c r="N104" s="304"/>
      <c r="O104" s="304"/>
      <c r="Q104" s="455" t="s">
        <v>13072</v>
      </c>
      <c r="R104" s="310"/>
      <c r="S104" s="310">
        <v>200000</v>
      </c>
    </row>
    <row r="105" spans="9:19" x14ac:dyDescent="0.25">
      <c r="I105" s="304"/>
      <c r="J105" s="304"/>
      <c r="K105" s="304"/>
      <c r="L105" s="439"/>
      <c r="M105" s="304"/>
      <c r="N105" s="304"/>
      <c r="O105" s="304"/>
      <c r="Q105" s="455" t="s">
        <v>13073</v>
      </c>
      <c r="R105" s="310"/>
      <c r="S105" s="310">
        <v>700000</v>
      </c>
    </row>
    <row r="106" spans="9:19" x14ac:dyDescent="0.25">
      <c r="I106" s="304"/>
      <c r="J106" s="304"/>
      <c r="K106" s="304"/>
      <c r="L106" s="439"/>
      <c r="M106" s="304"/>
      <c r="N106" s="304"/>
      <c r="O106" s="304"/>
      <c r="Q106" s="455" t="s">
        <v>13074</v>
      </c>
      <c r="R106" s="310"/>
      <c r="S106" s="310">
        <v>550000</v>
      </c>
    </row>
    <row r="107" spans="9:19" x14ac:dyDescent="0.25">
      <c r="I107" s="304"/>
      <c r="J107" s="304"/>
      <c r="K107" s="304"/>
      <c r="L107" s="439"/>
      <c r="M107" s="304"/>
      <c r="N107" s="304"/>
      <c r="O107" s="304"/>
      <c r="Q107" s="455" t="s">
        <v>13188</v>
      </c>
      <c r="R107" s="310"/>
      <c r="S107" s="310">
        <v>600000</v>
      </c>
    </row>
    <row r="108" spans="9:19" x14ac:dyDescent="0.25">
      <c r="I108" s="304"/>
      <c r="J108" s="304"/>
      <c r="K108" s="304"/>
      <c r="L108" s="439"/>
      <c r="M108" s="304"/>
      <c r="N108" s="304"/>
      <c r="O108" s="304"/>
      <c r="Q108" s="455" t="s">
        <v>13189</v>
      </c>
      <c r="R108" s="310"/>
      <c r="S108" s="310">
        <v>275000</v>
      </c>
    </row>
    <row r="109" spans="9:19" x14ac:dyDescent="0.25">
      <c r="I109" s="304"/>
      <c r="J109" s="304"/>
      <c r="K109" s="304"/>
      <c r="L109" s="439"/>
      <c r="M109" s="304"/>
      <c r="N109" s="304"/>
      <c r="O109" s="304"/>
      <c r="Q109" s="455" t="s">
        <v>13189</v>
      </c>
      <c r="R109" s="310"/>
      <c r="S109" s="310">
        <v>85000</v>
      </c>
    </row>
    <row r="110" spans="9:19" x14ac:dyDescent="0.25">
      <c r="I110" s="304"/>
      <c r="J110" s="304"/>
      <c r="K110" s="304"/>
      <c r="L110" s="439"/>
      <c r="M110" s="304"/>
      <c r="N110" s="304"/>
      <c r="O110" s="304"/>
      <c r="Q110" s="455" t="s">
        <v>13190</v>
      </c>
      <c r="R110" s="310"/>
      <c r="S110" s="310">
        <v>306300</v>
      </c>
    </row>
    <row r="111" spans="9:19" x14ac:dyDescent="0.25">
      <c r="I111" s="304"/>
      <c r="J111" s="304"/>
      <c r="K111" s="304"/>
      <c r="L111" s="439"/>
      <c r="M111" s="304"/>
      <c r="N111" s="304"/>
      <c r="O111" s="304"/>
      <c r="Q111" s="455" t="s">
        <v>13191</v>
      </c>
      <c r="R111" s="310"/>
      <c r="S111" s="310">
        <v>207180</v>
      </c>
    </row>
    <row r="112" spans="9:19" x14ac:dyDescent="0.25">
      <c r="I112" s="304"/>
      <c r="J112" s="304"/>
      <c r="K112" s="304"/>
      <c r="L112" s="439"/>
      <c r="M112" s="304"/>
      <c r="N112" s="304"/>
      <c r="O112" s="304"/>
      <c r="Q112" s="455" t="s">
        <v>13192</v>
      </c>
      <c r="R112" s="310"/>
      <c r="S112" s="310">
        <v>125000</v>
      </c>
    </row>
    <row r="113" spans="9:19" x14ac:dyDescent="0.25">
      <c r="I113" s="304"/>
      <c r="J113" s="304"/>
      <c r="K113" s="304"/>
      <c r="L113" s="439"/>
      <c r="M113" s="304"/>
      <c r="N113" s="304"/>
      <c r="O113" s="304"/>
      <c r="Q113" s="455" t="s">
        <v>13193</v>
      </c>
      <c r="R113" s="310"/>
      <c r="S113" s="310">
        <v>300000</v>
      </c>
    </row>
    <row r="114" spans="9:19" x14ac:dyDescent="0.25">
      <c r="I114" s="304"/>
      <c r="J114" s="304"/>
      <c r="K114" s="304"/>
      <c r="L114" s="439"/>
      <c r="M114" s="304"/>
      <c r="N114" s="304"/>
      <c r="O114" s="304"/>
      <c r="Q114" s="455" t="s">
        <v>12985</v>
      </c>
      <c r="R114" s="310"/>
      <c r="S114" s="310">
        <v>700000</v>
      </c>
    </row>
    <row r="115" spans="9:19" x14ac:dyDescent="0.25">
      <c r="I115" s="304"/>
      <c r="J115" s="304"/>
      <c r="K115" s="304"/>
      <c r="L115" s="439"/>
      <c r="M115" s="304"/>
      <c r="N115" s="304"/>
      <c r="O115" s="304"/>
      <c r="Q115" s="455" t="s">
        <v>13194</v>
      </c>
      <c r="R115" s="310"/>
      <c r="S115" s="310">
        <v>700000</v>
      </c>
    </row>
    <row r="116" spans="9:19" x14ac:dyDescent="0.25">
      <c r="I116" s="304"/>
      <c r="J116" s="304"/>
      <c r="K116" s="304"/>
      <c r="L116" s="439"/>
      <c r="M116" s="304"/>
      <c r="N116" s="304"/>
      <c r="O116" s="304"/>
      <c r="Q116" s="455" t="s">
        <v>13195</v>
      </c>
      <c r="R116" s="310"/>
      <c r="S116" s="310">
        <v>400000</v>
      </c>
    </row>
    <row r="117" spans="9:19" x14ac:dyDescent="0.25">
      <c r="I117" s="304"/>
      <c r="J117" s="304"/>
      <c r="K117" s="304"/>
      <c r="L117" s="439"/>
      <c r="M117" s="304"/>
      <c r="N117" s="304"/>
      <c r="O117" s="304"/>
      <c r="Q117" s="455" t="s">
        <v>13195</v>
      </c>
      <c r="R117" s="310"/>
      <c r="S117" s="310">
        <v>25000</v>
      </c>
    </row>
    <row r="118" spans="9:19" x14ac:dyDescent="0.25">
      <c r="I118" s="304"/>
      <c r="J118" s="304"/>
      <c r="K118" s="304"/>
      <c r="L118" s="439"/>
      <c r="M118" s="304"/>
      <c r="N118" s="304"/>
      <c r="O118" s="304"/>
      <c r="Q118" s="455" t="s">
        <v>13196</v>
      </c>
      <c r="R118" s="310"/>
      <c r="S118" s="310">
        <v>25000</v>
      </c>
    </row>
    <row r="119" spans="9:19" x14ac:dyDescent="0.25">
      <c r="I119" s="304"/>
      <c r="J119" s="304"/>
      <c r="K119" s="304"/>
      <c r="L119" s="439"/>
      <c r="M119" s="304"/>
      <c r="N119" s="304"/>
      <c r="O119" s="304"/>
      <c r="Q119" s="455" t="s">
        <v>13197</v>
      </c>
      <c r="R119" s="310"/>
      <c r="S119" s="310">
        <v>25000</v>
      </c>
    </row>
    <row r="120" spans="9:19" x14ac:dyDescent="0.25">
      <c r="I120" s="304"/>
      <c r="J120" s="304"/>
      <c r="K120" s="304"/>
      <c r="L120" s="439"/>
      <c r="M120" s="304"/>
      <c r="N120" s="304"/>
      <c r="O120" s="304"/>
      <c r="Q120" s="455" t="s">
        <v>13197</v>
      </c>
      <c r="R120" s="310"/>
      <c r="S120" s="310">
        <v>25000</v>
      </c>
    </row>
    <row r="121" spans="9:19" x14ac:dyDescent="0.25">
      <c r="I121" s="304"/>
      <c r="J121" s="304"/>
      <c r="K121" s="304"/>
      <c r="L121" s="439"/>
      <c r="M121" s="304"/>
      <c r="N121" s="304"/>
      <c r="O121" s="304"/>
      <c r="Q121" s="455" t="s">
        <v>13197</v>
      </c>
      <c r="R121" s="310"/>
      <c r="S121" s="310">
        <v>240000</v>
      </c>
    </row>
    <row r="122" spans="9:19" x14ac:dyDescent="0.25">
      <c r="I122" s="304"/>
      <c r="J122" s="304"/>
      <c r="K122" s="304"/>
      <c r="L122" s="439"/>
      <c r="M122" s="304"/>
      <c r="N122" s="304"/>
      <c r="O122" s="304"/>
      <c r="Q122" s="455" t="s">
        <v>13197</v>
      </c>
      <c r="R122" s="310"/>
      <c r="S122" s="310">
        <v>100000</v>
      </c>
    </row>
    <row r="123" spans="9:19" x14ac:dyDescent="0.25">
      <c r="I123" s="304"/>
      <c r="J123" s="304"/>
      <c r="K123" s="304"/>
      <c r="L123" s="439"/>
      <c r="M123" s="304"/>
      <c r="N123" s="304"/>
      <c r="O123" s="304"/>
      <c r="Q123" s="455" t="s">
        <v>13198</v>
      </c>
      <c r="R123" s="310"/>
      <c r="S123" s="310">
        <v>520000</v>
      </c>
    </row>
    <row r="124" spans="9:19" x14ac:dyDescent="0.25">
      <c r="I124" s="304"/>
      <c r="J124" s="304"/>
      <c r="K124" s="304"/>
      <c r="L124" s="439"/>
      <c r="M124" s="304"/>
      <c r="N124" s="304"/>
      <c r="O124" s="304"/>
      <c r="Q124" s="455" t="s">
        <v>13199</v>
      </c>
      <c r="R124" s="310"/>
      <c r="S124" s="310">
        <v>75000</v>
      </c>
    </row>
    <row r="125" spans="9:19" x14ac:dyDescent="0.25">
      <c r="I125" s="304"/>
      <c r="J125" s="304"/>
      <c r="K125" s="304"/>
      <c r="L125" s="439"/>
      <c r="M125" s="304"/>
      <c r="N125" s="304"/>
      <c r="O125" s="304"/>
      <c r="Q125" s="455" t="s">
        <v>13200</v>
      </c>
      <c r="R125" s="310"/>
      <c r="S125" s="310">
        <v>150000</v>
      </c>
    </row>
    <row r="126" spans="9:19" x14ac:dyDescent="0.25">
      <c r="I126" s="304"/>
      <c r="J126" s="304"/>
      <c r="K126" s="304"/>
      <c r="L126" s="439"/>
      <c r="M126" s="304"/>
      <c r="N126" s="304"/>
      <c r="O126" s="304"/>
      <c r="Q126" s="455" t="s">
        <v>13201</v>
      </c>
      <c r="R126" s="310"/>
      <c r="S126" s="310">
        <v>24000</v>
      </c>
    </row>
    <row r="127" spans="9:19" x14ac:dyDescent="0.25">
      <c r="I127" s="304"/>
      <c r="J127" s="304"/>
      <c r="K127" s="304"/>
      <c r="L127" s="439"/>
      <c r="M127" s="304"/>
      <c r="N127" s="304"/>
      <c r="O127" s="304"/>
      <c r="Q127" s="455" t="s">
        <v>13202</v>
      </c>
      <c r="R127" s="310"/>
      <c r="S127" s="310">
        <v>100000</v>
      </c>
    </row>
    <row r="128" spans="9:19" x14ac:dyDescent="0.25">
      <c r="I128" s="304"/>
      <c r="J128" s="304"/>
      <c r="K128" s="304"/>
      <c r="L128" s="439"/>
      <c r="M128" s="304"/>
      <c r="N128" s="304"/>
      <c r="O128" s="304"/>
      <c r="Q128" s="455" t="s">
        <v>13203</v>
      </c>
      <c r="R128" s="310"/>
      <c r="S128" s="310">
        <v>75000</v>
      </c>
    </row>
    <row r="129" spans="9:19" x14ac:dyDescent="0.25">
      <c r="I129" s="304"/>
      <c r="J129" s="304"/>
      <c r="K129" s="304"/>
      <c r="L129" s="439"/>
      <c r="M129" s="304"/>
      <c r="N129" s="304"/>
      <c r="O129" s="304"/>
      <c r="Q129" s="455" t="s">
        <v>12978</v>
      </c>
      <c r="R129" s="310"/>
      <c r="S129" s="310">
        <v>900000</v>
      </c>
    </row>
    <row r="130" spans="9:19" x14ac:dyDescent="0.25">
      <c r="I130" s="304"/>
      <c r="J130" s="304"/>
      <c r="K130" s="304"/>
      <c r="L130" s="439"/>
      <c r="M130" s="304"/>
      <c r="N130" s="304"/>
      <c r="O130" s="304"/>
      <c r="Q130" s="455" t="s">
        <v>13199</v>
      </c>
      <c r="R130" s="310"/>
      <c r="S130" s="310">
        <v>40000</v>
      </c>
    </row>
    <row r="131" spans="9:19" x14ac:dyDescent="0.25">
      <c r="I131" s="304"/>
      <c r="J131" s="304"/>
      <c r="K131" s="304"/>
      <c r="L131" s="439"/>
      <c r="M131" s="304"/>
      <c r="N131" s="304"/>
      <c r="O131" s="304"/>
      <c r="Q131" s="455" t="s">
        <v>13065</v>
      </c>
      <c r="R131" s="310"/>
      <c r="S131" s="310">
        <v>207895</v>
      </c>
    </row>
    <row r="132" spans="9:19" x14ac:dyDescent="0.25">
      <c r="I132" s="304"/>
      <c r="J132" s="304"/>
      <c r="K132" s="304"/>
      <c r="L132" s="439"/>
      <c r="M132" s="304"/>
      <c r="N132" s="304"/>
      <c r="O132" s="304"/>
      <c r="Q132" s="455" t="s">
        <v>912</v>
      </c>
      <c r="R132" s="310"/>
      <c r="S132" s="310">
        <v>50000</v>
      </c>
    </row>
    <row r="133" spans="9:19" x14ac:dyDescent="0.25">
      <c r="I133" s="304"/>
      <c r="J133" s="304"/>
      <c r="K133" s="304"/>
      <c r="L133" s="439"/>
      <c r="M133" s="304"/>
      <c r="N133" s="304"/>
      <c r="O133" s="304"/>
      <c r="Q133" s="455" t="s">
        <v>13218</v>
      </c>
      <c r="R133" s="310"/>
      <c r="S133" s="310">
        <v>200000</v>
      </c>
    </row>
    <row r="134" spans="9:19" x14ac:dyDescent="0.25">
      <c r="I134" s="304"/>
      <c r="J134" s="304"/>
      <c r="K134" s="304"/>
      <c r="L134" s="439"/>
      <c r="M134" s="304"/>
      <c r="N134" s="304"/>
      <c r="O134" s="304"/>
      <c r="Q134" s="455" t="s">
        <v>13219</v>
      </c>
      <c r="R134" s="310"/>
      <c r="S134" s="310">
        <v>400000</v>
      </c>
    </row>
    <row r="135" spans="9:19" x14ac:dyDescent="0.25">
      <c r="I135" s="304"/>
      <c r="J135" s="304"/>
      <c r="K135" s="304"/>
      <c r="L135" s="439"/>
      <c r="M135" s="304"/>
      <c r="N135" s="304"/>
      <c r="O135" s="304"/>
      <c r="Q135" s="455" t="s">
        <v>13220</v>
      </c>
      <c r="R135" s="310"/>
      <c r="S135" s="310">
        <v>1000000</v>
      </c>
    </row>
    <row r="136" spans="9:19" x14ac:dyDescent="0.25">
      <c r="I136" s="304"/>
      <c r="J136" s="304"/>
      <c r="K136" s="304"/>
      <c r="L136" s="439"/>
      <c r="M136" s="304"/>
      <c r="N136" s="304"/>
      <c r="O136" s="304"/>
      <c r="Q136" s="455" t="s">
        <v>13221</v>
      </c>
      <c r="R136" s="310"/>
      <c r="S136" s="310">
        <v>500000</v>
      </c>
    </row>
    <row r="137" spans="9:19" x14ac:dyDescent="0.25">
      <c r="I137" s="304"/>
      <c r="J137" s="304"/>
      <c r="K137" s="304"/>
      <c r="L137" s="439"/>
      <c r="M137" s="304"/>
      <c r="N137" s="304"/>
      <c r="O137" s="304"/>
      <c r="Q137" s="455" t="s">
        <v>13235</v>
      </c>
      <c r="R137" s="310"/>
      <c r="S137" s="310">
        <v>150000</v>
      </c>
    </row>
    <row r="138" spans="9:19" x14ac:dyDescent="0.25">
      <c r="I138" s="304"/>
      <c r="J138" s="304"/>
      <c r="K138" s="304"/>
      <c r="L138" s="439"/>
      <c r="M138" s="304"/>
      <c r="N138" s="304"/>
      <c r="O138" s="304"/>
      <c r="Q138" s="455" t="s">
        <v>13236</v>
      </c>
      <c r="R138" s="310"/>
      <c r="S138" s="310">
        <v>15850</v>
      </c>
    </row>
    <row r="139" spans="9:19" x14ac:dyDescent="0.25">
      <c r="I139" s="304"/>
      <c r="J139" s="304"/>
      <c r="K139" s="304"/>
      <c r="L139" s="439"/>
      <c r="M139" s="304"/>
      <c r="N139" s="304"/>
      <c r="O139" s="304"/>
      <c r="Q139" s="455" t="s">
        <v>13237</v>
      </c>
      <c r="R139" s="310"/>
      <c r="S139" s="310">
        <v>41000</v>
      </c>
    </row>
    <row r="140" spans="9:19" x14ac:dyDescent="0.25">
      <c r="I140" s="304"/>
      <c r="J140" s="304"/>
      <c r="K140" s="304"/>
      <c r="L140" s="439"/>
      <c r="M140" s="304"/>
      <c r="N140" s="304"/>
      <c r="O140" s="304"/>
      <c r="Q140" s="310" t="s">
        <v>13242</v>
      </c>
      <c r="R140" s="310"/>
      <c r="S140" s="310">
        <v>45000</v>
      </c>
    </row>
    <row r="141" spans="9:19" x14ac:dyDescent="0.25">
      <c r="I141" s="304"/>
      <c r="J141" s="304"/>
      <c r="K141" s="304"/>
      <c r="L141" s="439"/>
      <c r="M141" s="304"/>
      <c r="N141" s="304"/>
      <c r="O141" s="304"/>
      <c r="Q141" s="310" t="s">
        <v>13242</v>
      </c>
      <c r="R141" s="310"/>
      <c r="S141" s="310">
        <v>80000</v>
      </c>
    </row>
    <row r="142" spans="9:19" x14ac:dyDescent="0.25">
      <c r="I142" s="304"/>
      <c r="J142" s="304"/>
      <c r="K142" s="304"/>
      <c r="L142" s="439"/>
      <c r="M142" s="304"/>
      <c r="N142" s="304"/>
      <c r="O142" s="304"/>
      <c r="Q142" s="310" t="s">
        <v>13242</v>
      </c>
      <c r="R142" s="310"/>
      <c r="S142" s="310"/>
    </row>
    <row r="143" spans="9:19" ht="18.75" x14ac:dyDescent="0.25">
      <c r="I143" s="304"/>
      <c r="J143" s="304"/>
      <c r="K143" s="304"/>
      <c r="L143" s="439"/>
      <c r="M143" s="304"/>
      <c r="N143" s="304"/>
      <c r="O143" s="304"/>
      <c r="Q143" s="310" t="s">
        <v>13242</v>
      </c>
      <c r="R143" s="310"/>
      <c r="S143" s="28">
        <f>SUM(S4:S142)</f>
        <v>62614093.329999998</v>
      </c>
    </row>
    <row r="144" spans="9:19" ht="18.75" x14ac:dyDescent="0.25">
      <c r="I144" s="304"/>
      <c r="J144" s="304"/>
      <c r="K144" s="304"/>
      <c r="L144" s="439"/>
      <c r="M144" s="304"/>
      <c r="N144" s="304"/>
      <c r="O144" s="304"/>
      <c r="Q144" s="455"/>
      <c r="R144" s="310"/>
      <c r="S144" s="28">
        <f>R145-S143-'[5]Al madina'!$M$4</f>
        <v>18086561.670000002</v>
      </c>
    </row>
    <row r="145" spans="9:18" ht="18.75" x14ac:dyDescent="0.25">
      <c r="I145" s="304"/>
      <c r="J145" s="304"/>
      <c r="K145" s="304"/>
      <c r="L145" s="439"/>
      <c r="M145" s="304"/>
      <c r="N145" s="304"/>
      <c r="O145" s="304"/>
      <c r="Q145" s="28" t="s">
        <v>9753</v>
      </c>
      <c r="R145" s="28">
        <f>SUM(R4:R144)</f>
        <v>132440230</v>
      </c>
    </row>
    <row r="146" spans="9:18" ht="18.75" x14ac:dyDescent="0.25">
      <c r="I146" s="304"/>
      <c r="J146" s="304"/>
      <c r="K146" s="304"/>
      <c r="L146" s="439"/>
      <c r="M146" s="304"/>
      <c r="N146" s="304"/>
      <c r="O146" s="304"/>
      <c r="Q146" s="28" t="s">
        <v>12223</v>
      </c>
      <c r="R146" s="28"/>
    </row>
    <row r="147" spans="9:18" x14ac:dyDescent="0.25">
      <c r="I147" s="304"/>
      <c r="J147" s="304"/>
      <c r="K147" s="304"/>
      <c r="L147" s="439"/>
      <c r="M147" s="304"/>
      <c r="N147" s="304"/>
      <c r="O147" s="304"/>
      <c r="R147" s="2"/>
    </row>
    <row r="148" spans="9:18" x14ac:dyDescent="0.25">
      <c r="I148" s="304"/>
      <c r="J148" s="304"/>
      <c r="K148" s="304"/>
      <c r="L148" s="439"/>
      <c r="M148" s="304"/>
      <c r="N148" s="304"/>
      <c r="O148" s="304"/>
      <c r="R148" s="2"/>
    </row>
    <row r="149" spans="9:18" x14ac:dyDescent="0.25">
      <c r="I149" s="304"/>
      <c r="J149" s="304"/>
      <c r="K149" s="304"/>
      <c r="L149" s="439"/>
      <c r="M149" s="304"/>
      <c r="N149" s="304"/>
      <c r="O149" s="304"/>
    </row>
    <row r="150" spans="9:18" x14ac:dyDescent="0.25">
      <c r="I150" s="304"/>
      <c r="J150" s="304"/>
      <c r="K150" s="304"/>
      <c r="L150" s="439"/>
      <c r="M150" s="304"/>
      <c r="N150" s="304"/>
      <c r="O150" s="304"/>
    </row>
    <row r="151" spans="9:18" x14ac:dyDescent="0.25">
      <c r="I151" s="304"/>
      <c r="J151" s="304"/>
      <c r="K151" s="304"/>
      <c r="L151" s="439"/>
      <c r="M151" s="304"/>
      <c r="N151" s="304"/>
      <c r="O151" s="304"/>
    </row>
    <row r="152" spans="9:18" x14ac:dyDescent="0.25">
      <c r="I152" s="304"/>
      <c r="J152" s="304"/>
      <c r="K152" s="304"/>
      <c r="L152" s="439"/>
      <c r="M152" s="304"/>
      <c r="N152" s="304"/>
      <c r="O152" s="304"/>
      <c r="R152" s="2"/>
    </row>
    <row r="153" spans="9:18" x14ac:dyDescent="0.25">
      <c r="I153" s="304"/>
      <c r="J153" s="304"/>
      <c r="K153" s="304"/>
      <c r="L153" s="439"/>
      <c r="M153" s="304"/>
      <c r="N153" s="304"/>
      <c r="O153" s="304"/>
    </row>
    <row r="154" spans="9:18" x14ac:dyDescent="0.25">
      <c r="I154" s="304"/>
      <c r="J154" s="304"/>
      <c r="K154" s="304"/>
      <c r="L154" s="439"/>
      <c r="M154" s="304"/>
      <c r="N154" s="304"/>
      <c r="O154" s="304"/>
    </row>
    <row r="155" spans="9:18" x14ac:dyDescent="0.25">
      <c r="I155" s="304"/>
      <c r="J155" s="304"/>
      <c r="K155" s="304"/>
      <c r="L155" s="439"/>
      <c r="M155" s="304"/>
      <c r="N155" s="304"/>
      <c r="O155" s="304"/>
    </row>
    <row r="156" spans="9:18" x14ac:dyDescent="0.25">
      <c r="I156" s="304"/>
      <c r="J156" s="304"/>
      <c r="K156" s="304"/>
      <c r="L156" s="439"/>
      <c r="M156" s="304"/>
      <c r="N156" s="304"/>
      <c r="O156" s="304"/>
    </row>
    <row r="157" spans="9:18" x14ac:dyDescent="0.25">
      <c r="I157" s="304"/>
      <c r="J157" s="304"/>
      <c r="K157" s="304"/>
      <c r="L157" s="439"/>
      <c r="M157" s="304"/>
      <c r="N157" s="304"/>
      <c r="O157" s="304"/>
    </row>
    <row r="158" spans="9:18" x14ac:dyDescent="0.25">
      <c r="I158" s="304"/>
      <c r="J158" s="304"/>
      <c r="K158" s="304"/>
      <c r="L158" s="439"/>
      <c r="M158" s="304"/>
      <c r="N158" s="304"/>
      <c r="O158" s="304"/>
    </row>
    <row r="159" spans="9:18" x14ac:dyDescent="0.25">
      <c r="I159" s="304"/>
      <c r="J159" s="304"/>
      <c r="K159" s="304"/>
      <c r="L159" s="439"/>
      <c r="M159" s="304"/>
      <c r="N159" s="304"/>
      <c r="O159" s="304"/>
    </row>
    <row r="160" spans="9:18" x14ac:dyDescent="0.25">
      <c r="I160" s="304"/>
      <c r="J160" s="304"/>
      <c r="K160" s="304"/>
      <c r="L160" s="439"/>
      <c r="M160" s="304"/>
      <c r="N160" s="304"/>
      <c r="O160" s="304"/>
    </row>
    <row r="161" spans="9:15" x14ac:dyDescent="0.25">
      <c r="I161" s="304"/>
      <c r="J161" s="304"/>
      <c r="K161" s="304"/>
      <c r="L161" s="439"/>
      <c r="M161" s="304"/>
      <c r="N161" s="304"/>
      <c r="O161" s="304"/>
    </row>
    <row r="162" spans="9:15" x14ac:dyDescent="0.25">
      <c r="I162" s="304"/>
      <c r="J162" s="304"/>
      <c r="K162" s="304"/>
      <c r="L162" s="439"/>
      <c r="M162" s="304"/>
      <c r="N162" s="304"/>
      <c r="O162" s="304"/>
    </row>
    <row r="163" spans="9:15" x14ac:dyDescent="0.25">
      <c r="I163" s="304"/>
      <c r="J163" s="304"/>
      <c r="K163" s="304"/>
      <c r="L163" s="439"/>
      <c r="M163" s="304"/>
      <c r="N163" s="304"/>
      <c r="O163" s="304"/>
    </row>
    <row r="164" spans="9:15" x14ac:dyDescent="0.25">
      <c r="I164" s="304"/>
      <c r="J164" s="304"/>
      <c r="K164" s="304"/>
      <c r="L164" s="439"/>
      <c r="M164" s="304"/>
      <c r="N164" s="304"/>
      <c r="O164" s="304"/>
    </row>
    <row r="165" spans="9:15" x14ac:dyDescent="0.25">
      <c r="I165" s="304"/>
      <c r="J165" s="304"/>
      <c r="K165" s="304"/>
      <c r="L165" s="439"/>
      <c r="M165" s="304"/>
      <c r="N165" s="304"/>
      <c r="O165" s="304"/>
    </row>
    <row r="166" spans="9:15" x14ac:dyDescent="0.25">
      <c r="I166" s="304"/>
      <c r="J166" s="304"/>
      <c r="K166" s="304"/>
      <c r="L166" s="439"/>
      <c r="M166" s="304"/>
      <c r="N166" s="304"/>
      <c r="O166" s="304"/>
    </row>
    <row r="167" spans="9:15" x14ac:dyDescent="0.25">
      <c r="I167" s="304"/>
      <c r="J167" s="304"/>
      <c r="K167" s="304"/>
      <c r="L167" s="439"/>
      <c r="M167" s="304"/>
      <c r="N167" s="304"/>
      <c r="O167" s="304"/>
    </row>
    <row r="168" spans="9:15" x14ac:dyDescent="0.25">
      <c r="I168" s="304"/>
      <c r="J168" s="304"/>
      <c r="K168" s="304"/>
      <c r="L168" s="439"/>
      <c r="M168" s="304"/>
      <c r="N168" s="304"/>
      <c r="O168" s="304"/>
    </row>
    <row r="169" spans="9:15" x14ac:dyDescent="0.25">
      <c r="I169" s="304"/>
      <c r="J169" s="304"/>
      <c r="K169" s="304"/>
      <c r="L169" s="439"/>
      <c r="M169" s="304"/>
      <c r="N169" s="304"/>
      <c r="O169" s="304"/>
    </row>
    <row r="170" spans="9:15" x14ac:dyDescent="0.25">
      <c r="I170" s="304"/>
      <c r="J170" s="304"/>
      <c r="K170" s="304"/>
      <c r="L170" s="439"/>
      <c r="M170" s="304"/>
      <c r="N170" s="304"/>
      <c r="O170" s="304"/>
    </row>
    <row r="171" spans="9:15" x14ac:dyDescent="0.25">
      <c r="I171" s="304"/>
      <c r="J171" s="304"/>
      <c r="K171" s="304"/>
      <c r="L171" s="439"/>
      <c r="M171" s="304"/>
      <c r="N171" s="304"/>
      <c r="O171" s="304"/>
    </row>
    <row r="172" spans="9:15" x14ac:dyDescent="0.25">
      <c r="I172" s="304"/>
      <c r="J172" s="304"/>
      <c r="K172" s="304"/>
      <c r="L172" s="439"/>
      <c r="M172" s="304"/>
      <c r="N172" s="304"/>
      <c r="O172" s="304"/>
    </row>
    <row r="173" spans="9:15" x14ac:dyDescent="0.25">
      <c r="I173" s="304"/>
      <c r="J173" s="304"/>
      <c r="K173" s="304"/>
      <c r="L173" s="439"/>
      <c r="M173" s="304"/>
      <c r="N173" s="304"/>
      <c r="O173" s="304"/>
    </row>
    <row r="174" spans="9:15" x14ac:dyDescent="0.25">
      <c r="I174" s="304"/>
      <c r="J174" s="304"/>
      <c r="K174" s="304"/>
      <c r="L174" s="439"/>
      <c r="M174" s="304"/>
      <c r="N174" s="304"/>
      <c r="O174" s="304"/>
    </row>
    <row r="175" spans="9:15" x14ac:dyDescent="0.25">
      <c r="I175" s="304"/>
      <c r="J175" s="304"/>
      <c r="K175" s="304"/>
      <c r="L175" s="439"/>
      <c r="M175" s="304"/>
      <c r="N175" s="304"/>
      <c r="O175" s="304"/>
    </row>
    <row r="176" spans="9:15" x14ac:dyDescent="0.25">
      <c r="I176" s="304"/>
      <c r="J176" s="304"/>
      <c r="K176" s="304"/>
      <c r="L176" s="439"/>
      <c r="M176" s="304"/>
      <c r="N176" s="304"/>
      <c r="O176" s="304"/>
    </row>
    <row r="177" spans="9:15" x14ac:dyDescent="0.25">
      <c r="I177" s="304"/>
      <c r="J177" s="304"/>
      <c r="K177" s="304"/>
      <c r="L177" s="439"/>
      <c r="M177" s="304"/>
      <c r="N177" s="304"/>
      <c r="O177" s="304"/>
    </row>
    <row r="178" spans="9:15" x14ac:dyDescent="0.25">
      <c r="I178" s="304"/>
      <c r="J178" s="304"/>
      <c r="K178" s="304"/>
      <c r="L178" s="439"/>
      <c r="M178" s="304"/>
      <c r="N178" s="304"/>
      <c r="O178" s="304"/>
    </row>
    <row r="179" spans="9:15" x14ac:dyDescent="0.25">
      <c r="I179" s="304"/>
      <c r="J179" s="304"/>
      <c r="K179" s="304"/>
      <c r="L179" s="439"/>
      <c r="M179" s="304"/>
      <c r="N179" s="304"/>
      <c r="O179" s="304"/>
    </row>
    <row r="180" spans="9:15" x14ac:dyDescent="0.25">
      <c r="I180" s="304"/>
      <c r="J180" s="304"/>
      <c r="K180" s="304"/>
      <c r="L180" s="439"/>
      <c r="M180" s="304"/>
      <c r="N180" s="304"/>
      <c r="O180" s="304"/>
    </row>
    <row r="181" spans="9:15" x14ac:dyDescent="0.25">
      <c r="I181" s="304"/>
      <c r="J181" s="304"/>
      <c r="K181" s="304"/>
      <c r="L181" s="439"/>
      <c r="M181" s="304"/>
      <c r="N181" s="304"/>
      <c r="O181" s="304"/>
    </row>
    <row r="182" spans="9:15" x14ac:dyDescent="0.25">
      <c r="I182" s="304"/>
      <c r="J182" s="304"/>
      <c r="K182" s="304"/>
      <c r="L182" s="439"/>
      <c r="M182" s="304"/>
      <c r="N182" s="304"/>
      <c r="O182" s="304"/>
    </row>
    <row r="183" spans="9:15" x14ac:dyDescent="0.25">
      <c r="I183" s="304"/>
      <c r="J183" s="304"/>
      <c r="K183" s="304"/>
      <c r="L183" s="439"/>
      <c r="M183" s="304"/>
      <c r="N183" s="304"/>
      <c r="O183" s="304"/>
    </row>
    <row r="184" spans="9:15" x14ac:dyDescent="0.25">
      <c r="I184" s="304"/>
      <c r="J184" s="304"/>
      <c r="K184" s="304"/>
      <c r="L184" s="439"/>
      <c r="M184" s="304"/>
      <c r="N184" s="304"/>
      <c r="O184" s="304"/>
    </row>
    <row r="185" spans="9:15" x14ac:dyDescent="0.25">
      <c r="I185" s="304"/>
      <c r="J185" s="304"/>
      <c r="K185" s="304"/>
      <c r="L185" s="439"/>
      <c r="M185" s="304"/>
      <c r="N185" s="304"/>
      <c r="O185" s="304"/>
    </row>
    <row r="186" spans="9:15" x14ac:dyDescent="0.25">
      <c r="I186" s="304"/>
      <c r="J186" s="304"/>
      <c r="K186" s="304"/>
      <c r="L186" s="439"/>
      <c r="M186" s="304"/>
      <c r="N186" s="304"/>
      <c r="O186" s="304"/>
    </row>
    <row r="187" spans="9:15" x14ac:dyDescent="0.25">
      <c r="I187" s="304"/>
      <c r="J187" s="304"/>
      <c r="K187" s="304"/>
      <c r="L187" s="439"/>
      <c r="M187" s="304"/>
      <c r="N187" s="304"/>
      <c r="O187" s="304"/>
    </row>
    <row r="188" spans="9:15" x14ac:dyDescent="0.25">
      <c r="I188" s="304"/>
      <c r="J188" s="304"/>
      <c r="K188" s="304"/>
      <c r="L188" s="439"/>
      <c r="M188" s="304"/>
      <c r="N188" s="304"/>
      <c r="O188" s="304"/>
    </row>
    <row r="189" spans="9:15" x14ac:dyDescent="0.25">
      <c r="I189" s="304"/>
      <c r="J189" s="304"/>
      <c r="K189" s="304"/>
      <c r="L189" s="439"/>
      <c r="M189" s="304"/>
      <c r="N189" s="304"/>
      <c r="O189" s="304"/>
    </row>
    <row r="190" spans="9:15" x14ac:dyDescent="0.25">
      <c r="I190" s="304"/>
      <c r="J190" s="304"/>
      <c r="K190" s="304"/>
      <c r="L190" s="439"/>
      <c r="M190" s="304"/>
      <c r="N190" s="304"/>
      <c r="O190" s="304"/>
    </row>
    <row r="191" spans="9:15" x14ac:dyDescent="0.25">
      <c r="I191" s="304"/>
      <c r="J191" s="304"/>
      <c r="K191" s="304"/>
      <c r="L191" s="439"/>
      <c r="M191" s="304"/>
      <c r="N191" s="304"/>
      <c r="O191" s="304"/>
    </row>
    <row r="192" spans="9:15" x14ac:dyDescent="0.25">
      <c r="I192" s="304"/>
      <c r="J192" s="304"/>
      <c r="K192" s="304"/>
      <c r="L192" s="439"/>
      <c r="M192" s="304"/>
      <c r="N192" s="304"/>
      <c r="O192" s="304"/>
    </row>
    <row r="193" spans="9:15" x14ac:dyDescent="0.25">
      <c r="I193" s="304"/>
      <c r="J193" s="304"/>
      <c r="K193" s="304"/>
      <c r="L193" s="439"/>
      <c r="M193" s="304"/>
      <c r="N193" s="304"/>
      <c r="O193" s="304"/>
    </row>
    <row r="194" spans="9:15" x14ac:dyDescent="0.25">
      <c r="I194" s="304"/>
      <c r="J194" s="304"/>
      <c r="K194" s="304"/>
      <c r="L194" s="439"/>
      <c r="M194" s="304"/>
      <c r="N194" s="304"/>
      <c r="O194" s="304"/>
    </row>
    <row r="195" spans="9:15" x14ac:dyDescent="0.25">
      <c r="I195" s="304"/>
      <c r="J195" s="304"/>
      <c r="K195" s="304"/>
      <c r="L195" s="439"/>
      <c r="M195" s="304"/>
      <c r="N195" s="304"/>
      <c r="O195" s="304"/>
    </row>
    <row r="196" spans="9:15" x14ac:dyDescent="0.25">
      <c r="I196" s="304"/>
      <c r="J196" s="304"/>
      <c r="K196" s="304"/>
      <c r="L196" s="439"/>
      <c r="M196" s="304"/>
      <c r="N196" s="304"/>
      <c r="O196" s="304"/>
    </row>
    <row r="197" spans="9:15" x14ac:dyDescent="0.25">
      <c r="I197" s="304"/>
      <c r="J197" s="304"/>
      <c r="K197" s="304"/>
      <c r="L197" s="439"/>
      <c r="M197" s="304"/>
      <c r="N197" s="304"/>
      <c r="O197" s="304"/>
    </row>
    <row r="198" spans="9:15" x14ac:dyDescent="0.25">
      <c r="I198" s="304"/>
      <c r="J198" s="304"/>
      <c r="K198" s="304"/>
      <c r="L198" s="439"/>
      <c r="M198" s="304"/>
      <c r="N198" s="304"/>
      <c r="O198" s="304"/>
    </row>
    <row r="199" spans="9:15" x14ac:dyDescent="0.25">
      <c r="I199" s="304"/>
      <c r="J199" s="304"/>
      <c r="K199" s="304"/>
      <c r="L199" s="439"/>
      <c r="M199" s="304"/>
      <c r="N199" s="304"/>
      <c r="O199" s="304"/>
    </row>
    <row r="200" spans="9:15" x14ac:dyDescent="0.25">
      <c r="I200" s="304"/>
      <c r="J200" s="304"/>
      <c r="K200" s="304"/>
      <c r="L200" s="439"/>
      <c r="M200" s="304"/>
      <c r="N200" s="304"/>
      <c r="O200" s="304"/>
    </row>
    <row r="201" spans="9:15" x14ac:dyDescent="0.25">
      <c r="I201" s="304"/>
      <c r="J201" s="304"/>
      <c r="K201" s="304"/>
      <c r="L201" s="439"/>
      <c r="M201" s="304"/>
      <c r="N201" s="304"/>
      <c r="O201" s="304"/>
    </row>
    <row r="202" spans="9:15" x14ac:dyDescent="0.25">
      <c r="I202" s="304"/>
      <c r="J202" s="304"/>
      <c r="K202" s="304"/>
      <c r="L202" s="439"/>
      <c r="M202" s="304"/>
      <c r="N202" s="304"/>
      <c r="O202" s="304"/>
    </row>
    <row r="203" spans="9:15" x14ac:dyDescent="0.25">
      <c r="I203" s="304"/>
      <c r="J203" s="304"/>
      <c r="K203" s="304"/>
      <c r="L203" s="439"/>
      <c r="M203" s="304"/>
      <c r="N203" s="304"/>
      <c r="O203" s="304"/>
    </row>
    <row r="204" spans="9:15" x14ac:dyDescent="0.25">
      <c r="I204" s="304"/>
      <c r="J204" s="304"/>
      <c r="K204" s="304"/>
      <c r="L204" s="439"/>
      <c r="M204" s="304"/>
      <c r="N204" s="304"/>
      <c r="O204" s="304"/>
    </row>
    <row r="205" spans="9:15" x14ac:dyDescent="0.25">
      <c r="I205" s="304"/>
      <c r="J205" s="304"/>
      <c r="K205" s="304"/>
      <c r="L205" s="439"/>
      <c r="M205" s="304"/>
      <c r="N205" s="304"/>
      <c r="O205" s="304"/>
    </row>
    <row r="206" spans="9:15" x14ac:dyDescent="0.25">
      <c r="I206" s="304"/>
      <c r="J206" s="304"/>
      <c r="K206" s="304"/>
      <c r="L206" s="439"/>
      <c r="M206" s="304"/>
      <c r="N206" s="304"/>
      <c r="O206" s="304"/>
    </row>
    <row r="207" spans="9:15" x14ac:dyDescent="0.25">
      <c r="I207" s="304"/>
      <c r="J207" s="304"/>
      <c r="K207" s="304"/>
      <c r="L207" s="439"/>
      <c r="M207" s="304"/>
      <c r="N207" s="304"/>
      <c r="O207" s="304"/>
    </row>
    <row r="208" spans="9:15" x14ac:dyDescent="0.25">
      <c r="I208" s="304"/>
      <c r="J208" s="304"/>
      <c r="K208" s="304"/>
      <c r="L208" s="439"/>
      <c r="M208" s="304"/>
      <c r="N208" s="304"/>
      <c r="O208" s="304"/>
    </row>
    <row r="209" spans="9:15" x14ac:dyDescent="0.25">
      <c r="I209" s="304"/>
      <c r="J209" s="304"/>
      <c r="K209" s="304"/>
      <c r="L209" s="439"/>
      <c r="M209" s="304"/>
      <c r="N209" s="304"/>
      <c r="O209" s="304"/>
    </row>
    <row r="210" spans="9:15" x14ac:dyDescent="0.25">
      <c r="I210" s="304"/>
      <c r="J210" s="304"/>
      <c r="K210" s="304"/>
      <c r="L210" s="439"/>
      <c r="M210" s="304"/>
      <c r="N210" s="304"/>
      <c r="O210" s="304"/>
    </row>
    <row r="211" spans="9:15" x14ac:dyDescent="0.25">
      <c r="I211" s="304"/>
      <c r="J211" s="304"/>
      <c r="K211" s="304"/>
      <c r="M211" s="304"/>
      <c r="N211" s="304"/>
      <c r="O211" s="304"/>
    </row>
    <row r="212" spans="9:15" x14ac:dyDescent="0.25">
      <c r="I212" s="304"/>
      <c r="J212" s="304"/>
      <c r="K212" s="304"/>
      <c r="M212" s="304"/>
      <c r="N212" s="304"/>
      <c r="O212" s="304"/>
    </row>
    <row r="213" spans="9:15" x14ac:dyDescent="0.25">
      <c r="I213" s="304"/>
      <c r="J213" s="304"/>
      <c r="K213" s="304"/>
      <c r="M213" s="304"/>
      <c r="N213" s="304"/>
      <c r="O213" s="304"/>
    </row>
    <row r="214" spans="9:15" x14ac:dyDescent="0.25">
      <c r="I214" s="304"/>
      <c r="J214" s="304"/>
      <c r="K214" s="304"/>
      <c r="M214" s="304"/>
      <c r="N214" s="304"/>
      <c r="O214" s="304"/>
    </row>
    <row r="215" spans="9:15" x14ac:dyDescent="0.25">
      <c r="I215" s="304"/>
      <c r="J215" s="304"/>
      <c r="K215" s="304"/>
      <c r="M215" s="304"/>
      <c r="N215" s="304"/>
      <c r="O215" s="304"/>
    </row>
    <row r="216" spans="9:15" x14ac:dyDescent="0.25">
      <c r="M216" s="304"/>
      <c r="N216" s="304"/>
      <c r="O216" s="304"/>
    </row>
    <row r="217" spans="9:15" x14ac:dyDescent="0.25">
      <c r="M217" s="304"/>
      <c r="N217" s="304"/>
      <c r="O217" s="304"/>
    </row>
    <row r="218" spans="9:15" x14ac:dyDescent="0.25">
      <c r="O218" s="304"/>
    </row>
  </sheetData>
  <mergeCells count="31">
    <mergeCell ref="G20:H20"/>
    <mergeCell ref="M6:O6"/>
    <mergeCell ref="I7:K7"/>
    <mergeCell ref="M7:O7"/>
    <mergeCell ref="I6:K6"/>
    <mergeCell ref="A16:C16"/>
    <mergeCell ref="D16:E16"/>
    <mergeCell ref="A10:C10"/>
    <mergeCell ref="D10:E10"/>
    <mergeCell ref="A11:C11"/>
    <mergeCell ref="D11:E11"/>
    <mergeCell ref="A12:C12"/>
    <mergeCell ref="D12:E12"/>
    <mergeCell ref="A7:C7"/>
    <mergeCell ref="D7:E7"/>
    <mergeCell ref="A8:C8"/>
    <mergeCell ref="D8:E8"/>
    <mergeCell ref="D15:E15"/>
    <mergeCell ref="A15:C15"/>
    <mergeCell ref="A9:C9"/>
    <mergeCell ref="D9:E9"/>
    <mergeCell ref="A13:C13"/>
    <mergeCell ref="D13:E13"/>
    <mergeCell ref="A14:C14"/>
    <mergeCell ref="D14:E14"/>
    <mergeCell ref="A2:E2"/>
    <mergeCell ref="A3:E3"/>
    <mergeCell ref="A5:C5"/>
    <mergeCell ref="D5:E5"/>
    <mergeCell ref="A6:C6"/>
    <mergeCell ref="D6:E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K674"/>
  <sheetViews>
    <sheetView workbookViewId="0">
      <pane ySplit="2" topLeftCell="A643" activePane="bottomLeft" state="frozen"/>
      <selection pane="bottomLeft" activeCell="G673" sqref="G673"/>
    </sheetView>
  </sheetViews>
  <sheetFormatPr defaultColWidth="8.85546875" defaultRowHeight="15" x14ac:dyDescent="0.25"/>
  <cols>
    <col min="1" max="1" width="12" customWidth="1"/>
    <col min="2" max="2" width="41.5703125" style="2" customWidth="1"/>
    <col min="3" max="3" width="20" style="2" customWidth="1"/>
    <col min="4" max="4" width="1" style="2" customWidth="1"/>
    <col min="5" max="5" width="13.140625" style="2" customWidth="1"/>
    <col min="6" max="6" width="14.5703125" style="2" customWidth="1"/>
    <col min="7" max="7" width="43.42578125" style="2" customWidth="1"/>
    <col min="8" max="8" width="19.140625" style="2" customWidth="1"/>
    <col min="9" max="9" width="10.140625" bestFit="1" customWidth="1"/>
    <col min="10" max="10" width="15" bestFit="1" customWidth="1"/>
    <col min="11" max="11" width="10.5703125" bestFit="1" customWidth="1"/>
    <col min="12" max="12" width="14.5703125" bestFit="1" customWidth="1"/>
    <col min="16" max="16" width="13.7109375" bestFit="1" customWidth="1"/>
  </cols>
  <sheetData>
    <row r="1" spans="1:8" ht="21" customHeight="1" x14ac:dyDescent="0.25">
      <c r="A1" s="676" t="s">
        <v>7053</v>
      </c>
      <c r="B1" s="676"/>
      <c r="C1" s="30" t="s">
        <v>7054</v>
      </c>
      <c r="D1" s="3"/>
      <c r="E1" s="3"/>
      <c r="F1" s="3"/>
      <c r="G1" s="279" t="s">
        <v>7047</v>
      </c>
      <c r="H1" s="31">
        <f ca="1">TODAY()</f>
        <v>45402</v>
      </c>
    </row>
    <row r="2" spans="1:8" ht="21" x14ac:dyDescent="0.25">
      <c r="A2" s="677" t="s">
        <v>861</v>
      </c>
      <c r="B2" s="678"/>
      <c r="C2" s="28">
        <v>3551000</v>
      </c>
      <c r="D2" s="3"/>
      <c r="E2" s="3"/>
      <c r="F2" s="3"/>
      <c r="G2" s="27" t="s">
        <v>861</v>
      </c>
      <c r="H2" s="288">
        <f>C2+C669-H669</f>
        <v>33200945.930000007</v>
      </c>
    </row>
    <row r="3" spans="1:8" ht="8.25" customHeight="1" thickBot="1" x14ac:dyDescent="0.3">
      <c r="B3" s="3"/>
      <c r="C3" s="3"/>
      <c r="D3" s="3"/>
      <c r="E3" s="3"/>
      <c r="F3" s="3"/>
      <c r="G3" s="3"/>
      <c r="H3" s="3"/>
    </row>
    <row r="4" spans="1:8" ht="26.25" x14ac:dyDescent="0.4">
      <c r="A4" s="720" t="s">
        <v>5057</v>
      </c>
      <c r="B4" s="671"/>
      <c r="C4" s="671"/>
      <c r="D4" s="20"/>
      <c r="E4" s="671" t="s">
        <v>6975</v>
      </c>
      <c r="F4" s="671"/>
      <c r="G4" s="671"/>
      <c r="H4" s="672"/>
    </row>
    <row r="5" spans="1:8" s="4" customFormat="1" ht="19.5" thickBot="1" x14ac:dyDescent="0.35">
      <c r="A5" s="9" t="s">
        <v>1</v>
      </c>
      <c r="B5" s="10" t="s">
        <v>3</v>
      </c>
      <c r="C5" s="11" t="s">
        <v>6977</v>
      </c>
      <c r="D5" s="21"/>
      <c r="E5" s="10" t="s">
        <v>1</v>
      </c>
      <c r="F5" s="10" t="s">
        <v>6978</v>
      </c>
      <c r="G5" s="10" t="s">
        <v>3</v>
      </c>
      <c r="H5" s="12" t="s">
        <v>6975</v>
      </c>
    </row>
    <row r="6" spans="1:8" s="18" customFormat="1" ht="15.75" hidden="1" x14ac:dyDescent="0.25">
      <c r="A6" s="13">
        <v>44237</v>
      </c>
      <c r="B6" s="8" t="s">
        <v>6999</v>
      </c>
      <c r="C6" s="8">
        <v>107010</v>
      </c>
      <c r="D6" s="22"/>
      <c r="E6" s="13">
        <v>44238</v>
      </c>
      <c r="F6" s="286" t="s">
        <v>6988</v>
      </c>
      <c r="G6" s="16" t="s">
        <v>6996</v>
      </c>
      <c r="H6" s="8">
        <v>31500</v>
      </c>
    </row>
    <row r="7" spans="1:8" s="18" customFormat="1" ht="15.75" hidden="1" x14ac:dyDescent="0.25">
      <c r="A7" s="13">
        <v>44237</v>
      </c>
      <c r="B7" s="8" t="s">
        <v>7000</v>
      </c>
      <c r="C7" s="8">
        <v>53505</v>
      </c>
      <c r="D7" s="23"/>
      <c r="E7" s="13">
        <v>44244</v>
      </c>
      <c r="F7" s="286" t="s">
        <v>7004</v>
      </c>
      <c r="G7" s="16" t="s">
        <v>6989</v>
      </c>
      <c r="H7" s="8">
        <v>50000</v>
      </c>
    </row>
    <row r="8" spans="1:8" s="18" customFormat="1" ht="15.75" hidden="1" x14ac:dyDescent="0.25">
      <c r="A8" s="13">
        <v>44272</v>
      </c>
      <c r="B8" s="8" t="s">
        <v>7273</v>
      </c>
      <c r="C8" s="8">
        <v>139113</v>
      </c>
      <c r="D8" s="23"/>
      <c r="E8" s="13">
        <v>44249</v>
      </c>
      <c r="F8" s="287">
        <v>1765307196</v>
      </c>
      <c r="G8" s="16" t="s">
        <v>6989</v>
      </c>
      <c r="H8" s="8">
        <v>200000</v>
      </c>
    </row>
    <row r="9" spans="1:8" s="18" customFormat="1" ht="15.75" hidden="1" x14ac:dyDescent="0.25">
      <c r="A9" s="13">
        <v>44282</v>
      </c>
      <c r="B9" s="8" t="s">
        <v>7274</v>
      </c>
      <c r="C9" s="8">
        <v>157140</v>
      </c>
      <c r="D9" s="23"/>
      <c r="E9" s="13">
        <v>44252</v>
      </c>
      <c r="F9" s="287">
        <v>1765307197</v>
      </c>
      <c r="G9" s="19" t="s">
        <v>7077</v>
      </c>
      <c r="H9" s="8">
        <v>20000</v>
      </c>
    </row>
    <row r="10" spans="1:8" s="18" customFormat="1" ht="15.75" hidden="1" x14ac:dyDescent="0.25">
      <c r="A10" s="13">
        <v>44282</v>
      </c>
      <c r="B10" s="8" t="s">
        <v>7275</v>
      </c>
      <c r="C10" s="8">
        <v>157140</v>
      </c>
      <c r="D10" s="24"/>
      <c r="E10" s="13">
        <v>44257</v>
      </c>
      <c r="F10" s="287">
        <v>1765307198</v>
      </c>
      <c r="G10" s="16" t="s">
        <v>7078</v>
      </c>
      <c r="H10" s="8">
        <v>100000</v>
      </c>
    </row>
    <row r="11" spans="1:8" s="18" customFormat="1" ht="31.5" hidden="1" x14ac:dyDescent="0.25">
      <c r="A11" s="13">
        <v>44284</v>
      </c>
      <c r="B11" s="36" t="s">
        <v>7276</v>
      </c>
      <c r="C11" s="8">
        <v>625014</v>
      </c>
      <c r="D11" s="24"/>
      <c r="E11" s="13">
        <v>44257</v>
      </c>
      <c r="F11" s="287">
        <v>1765307199</v>
      </c>
      <c r="G11" s="16" t="s">
        <v>7078</v>
      </c>
      <c r="H11" s="8">
        <v>50000</v>
      </c>
    </row>
    <row r="12" spans="1:8" s="18" customFormat="1" ht="15.75" hidden="1" x14ac:dyDescent="0.25">
      <c r="A12" s="13">
        <v>44284</v>
      </c>
      <c r="B12" s="8" t="s">
        <v>7277</v>
      </c>
      <c r="C12" s="19">
        <v>53505</v>
      </c>
      <c r="D12" s="24"/>
      <c r="E12" s="13">
        <v>44270</v>
      </c>
      <c r="F12" s="287">
        <v>1765307200</v>
      </c>
      <c r="G12" s="16" t="s">
        <v>7189</v>
      </c>
      <c r="H12" s="8">
        <v>50000</v>
      </c>
    </row>
    <row r="13" spans="1:8" s="18" customFormat="1" ht="36" hidden="1" customHeight="1" x14ac:dyDescent="0.25">
      <c r="A13" s="13">
        <v>44293</v>
      </c>
      <c r="B13" s="37" t="s">
        <v>7295</v>
      </c>
      <c r="C13" s="17">
        <v>138189</v>
      </c>
      <c r="D13" s="24"/>
      <c r="E13" s="13">
        <v>44272</v>
      </c>
      <c r="F13" s="287">
        <v>1765307201</v>
      </c>
      <c r="G13" s="19" t="s">
        <v>7205</v>
      </c>
      <c r="H13" s="8">
        <v>20000</v>
      </c>
    </row>
    <row r="14" spans="1:8" s="18" customFormat="1" ht="15.75" hidden="1" x14ac:dyDescent="0.25">
      <c r="A14" s="13">
        <v>44313</v>
      </c>
      <c r="B14" s="1" t="s">
        <v>7372</v>
      </c>
      <c r="C14" s="8">
        <v>53505</v>
      </c>
      <c r="D14" s="24"/>
      <c r="E14" s="13">
        <v>44273</v>
      </c>
      <c r="F14" s="287">
        <v>1765307202</v>
      </c>
      <c r="G14" s="19" t="s">
        <v>5328</v>
      </c>
      <c r="H14" s="8">
        <v>150000</v>
      </c>
    </row>
    <row r="15" spans="1:8" s="18" customFormat="1" ht="15.75" hidden="1" x14ac:dyDescent="0.25">
      <c r="A15" s="13">
        <v>44315</v>
      </c>
      <c r="B15" s="1" t="s">
        <v>7379</v>
      </c>
      <c r="C15" s="8">
        <v>139113</v>
      </c>
      <c r="D15" s="24"/>
      <c r="E15" s="13">
        <v>44277</v>
      </c>
      <c r="F15" s="287">
        <v>1765307203</v>
      </c>
      <c r="G15" s="19" t="s">
        <v>7190</v>
      </c>
      <c r="H15" s="8">
        <v>15900</v>
      </c>
    </row>
    <row r="16" spans="1:8" s="18" customFormat="1" ht="15.75" hidden="1" x14ac:dyDescent="0.25">
      <c r="A16" s="13">
        <v>44321</v>
      </c>
      <c r="B16" s="37" t="s">
        <v>7410</v>
      </c>
      <c r="C16" s="263">
        <v>1581625</v>
      </c>
      <c r="D16" s="24"/>
      <c r="E16" s="13">
        <v>44277</v>
      </c>
      <c r="F16" s="287">
        <v>1765307204</v>
      </c>
      <c r="G16" s="19" t="s">
        <v>7241</v>
      </c>
      <c r="H16" s="8">
        <v>18000</v>
      </c>
    </row>
    <row r="17" spans="1:8" s="18" customFormat="1" ht="15.75" hidden="1" x14ac:dyDescent="0.25">
      <c r="A17" s="13">
        <v>44321</v>
      </c>
      <c r="B17" s="1" t="s">
        <v>7411</v>
      </c>
      <c r="C17" s="264">
        <v>157140</v>
      </c>
      <c r="D17" s="24"/>
      <c r="E17" s="13">
        <v>44277</v>
      </c>
      <c r="F17" s="287">
        <v>1765307205</v>
      </c>
      <c r="G17" s="19" t="s">
        <v>7242</v>
      </c>
      <c r="H17" s="8">
        <v>40500</v>
      </c>
    </row>
    <row r="18" spans="1:8" s="18" customFormat="1" ht="15.75" hidden="1" x14ac:dyDescent="0.25">
      <c r="A18" s="13">
        <v>44342</v>
      </c>
      <c r="B18" s="1" t="s">
        <v>7495</v>
      </c>
      <c r="C18" s="264">
        <v>79280</v>
      </c>
      <c r="D18" s="24"/>
      <c r="E18" s="13">
        <v>44277</v>
      </c>
      <c r="F18" s="287">
        <v>1765307206</v>
      </c>
      <c r="G18" s="19" t="s">
        <v>7243</v>
      </c>
      <c r="H18" s="8">
        <v>100000</v>
      </c>
    </row>
    <row r="19" spans="1:8" s="18" customFormat="1" ht="15.75" hidden="1" x14ac:dyDescent="0.25">
      <c r="A19" s="13">
        <v>44342</v>
      </c>
      <c r="B19" s="1" t="s">
        <v>7496</v>
      </c>
      <c r="C19" s="264">
        <v>198200</v>
      </c>
      <c r="D19" s="24"/>
      <c r="E19" s="13">
        <v>44277</v>
      </c>
      <c r="F19" s="287">
        <v>1765307207</v>
      </c>
      <c r="G19" s="19" t="s">
        <v>7272</v>
      </c>
      <c r="H19" s="8">
        <v>100000</v>
      </c>
    </row>
    <row r="20" spans="1:8" s="18" customFormat="1" ht="15.75" hidden="1" x14ac:dyDescent="0.25">
      <c r="A20" s="13">
        <v>44345</v>
      </c>
      <c r="B20" s="266" t="s">
        <v>7514</v>
      </c>
      <c r="C20" s="264">
        <v>53505</v>
      </c>
      <c r="D20" s="24"/>
      <c r="E20" s="13">
        <v>44291</v>
      </c>
      <c r="F20" s="287">
        <v>1765307208</v>
      </c>
      <c r="G20" s="16" t="s">
        <v>7285</v>
      </c>
      <c r="H20" s="8">
        <v>50000</v>
      </c>
    </row>
    <row r="21" spans="1:8" s="18" customFormat="1" ht="15.75" hidden="1" x14ac:dyDescent="0.25">
      <c r="A21" s="13">
        <v>44356</v>
      </c>
      <c r="B21" s="1" t="s">
        <v>7537</v>
      </c>
      <c r="C21" s="264">
        <v>139113</v>
      </c>
      <c r="D21" s="24"/>
      <c r="E21" s="13">
        <v>44298</v>
      </c>
      <c r="F21" s="287">
        <v>1765307209</v>
      </c>
      <c r="G21" s="16" t="s">
        <v>7302</v>
      </c>
      <c r="H21" s="8">
        <v>181411</v>
      </c>
    </row>
    <row r="22" spans="1:8" s="18" customFormat="1" ht="15.75" hidden="1" x14ac:dyDescent="0.25">
      <c r="A22" s="13">
        <v>44362</v>
      </c>
      <c r="B22" s="1" t="s">
        <v>7565</v>
      </c>
      <c r="C22" s="264">
        <v>157140</v>
      </c>
      <c r="D22" s="24"/>
      <c r="E22" s="13">
        <v>44312</v>
      </c>
      <c r="F22" s="287">
        <v>1765307210</v>
      </c>
      <c r="G22" s="16" t="s">
        <v>7364</v>
      </c>
      <c r="H22" s="8">
        <v>300000</v>
      </c>
    </row>
    <row r="23" spans="1:8" s="18" customFormat="1" ht="15.75" hidden="1" x14ac:dyDescent="0.25">
      <c r="A23" s="13">
        <v>44362</v>
      </c>
      <c r="B23" s="1" t="s">
        <v>7566</v>
      </c>
      <c r="C23" s="264">
        <v>157140</v>
      </c>
      <c r="D23" s="34"/>
      <c r="E23" s="13">
        <v>44321</v>
      </c>
      <c r="F23" s="287">
        <v>1765307211</v>
      </c>
      <c r="G23" s="268" t="s">
        <v>7404</v>
      </c>
      <c r="H23" s="264">
        <v>500000</v>
      </c>
    </row>
    <row r="24" spans="1:8" s="18" customFormat="1" ht="15.75" hidden="1" x14ac:dyDescent="0.25">
      <c r="A24" s="13">
        <v>44377</v>
      </c>
      <c r="B24" s="1" t="s">
        <v>7674</v>
      </c>
      <c r="C24" s="264">
        <v>119150</v>
      </c>
      <c r="D24" s="34"/>
      <c r="E24" s="13">
        <v>44333</v>
      </c>
      <c r="F24" s="287">
        <v>1765307212</v>
      </c>
      <c r="G24" s="269" t="s">
        <v>7438</v>
      </c>
      <c r="H24" s="264">
        <v>100000</v>
      </c>
    </row>
    <row r="25" spans="1:8" s="18" customFormat="1" ht="15.75" hidden="1" x14ac:dyDescent="0.25">
      <c r="A25" s="13">
        <v>44377</v>
      </c>
      <c r="B25" s="1" t="s">
        <v>7675</v>
      </c>
      <c r="C25" s="264">
        <v>139113</v>
      </c>
      <c r="D25" s="34"/>
      <c r="E25" s="13">
        <v>44354</v>
      </c>
      <c r="F25" s="287">
        <v>1765307213</v>
      </c>
      <c r="G25" s="268" t="s">
        <v>7528</v>
      </c>
      <c r="H25" s="264">
        <v>200000</v>
      </c>
    </row>
    <row r="26" spans="1:8" s="18" customFormat="1" ht="15.75" hidden="1" x14ac:dyDescent="0.25">
      <c r="A26" s="13">
        <v>44377</v>
      </c>
      <c r="B26" s="1" t="s">
        <v>7676</v>
      </c>
      <c r="C26" s="264">
        <v>53505</v>
      </c>
      <c r="D26" s="34"/>
      <c r="E26" s="13">
        <v>44356</v>
      </c>
      <c r="F26" s="287">
        <v>1765307214</v>
      </c>
      <c r="G26" s="269" t="s">
        <v>7533</v>
      </c>
      <c r="H26" s="264">
        <v>250000</v>
      </c>
    </row>
    <row r="27" spans="1:8" s="18" customFormat="1" ht="15.75" hidden="1" x14ac:dyDescent="0.25">
      <c r="A27" s="13">
        <v>44378</v>
      </c>
      <c r="B27" s="37" t="s">
        <v>7677</v>
      </c>
      <c r="C27" s="264">
        <v>6012500</v>
      </c>
      <c r="D27" s="34"/>
      <c r="E27" s="13">
        <v>44356</v>
      </c>
      <c r="F27" s="287">
        <v>1806422910</v>
      </c>
      <c r="G27" s="269" t="s">
        <v>7533</v>
      </c>
      <c r="H27" s="264">
        <v>250000</v>
      </c>
    </row>
    <row r="28" spans="1:8" s="18" customFormat="1" ht="15.75" hidden="1" x14ac:dyDescent="0.25">
      <c r="A28" s="13">
        <v>44378</v>
      </c>
      <c r="B28" s="37" t="s">
        <v>7678</v>
      </c>
      <c r="C28" s="264">
        <v>1500000</v>
      </c>
      <c r="D28" s="34"/>
      <c r="E28" s="13">
        <v>44356</v>
      </c>
      <c r="F28" s="287">
        <v>1806422911</v>
      </c>
      <c r="G28" s="269" t="s">
        <v>7534</v>
      </c>
      <c r="H28" s="264">
        <v>200000</v>
      </c>
    </row>
    <row r="29" spans="1:8" s="18" customFormat="1" ht="31.5" hidden="1" x14ac:dyDescent="0.25">
      <c r="A29" s="13">
        <v>44385</v>
      </c>
      <c r="B29" s="267" t="s">
        <v>7756</v>
      </c>
      <c r="C29" s="264">
        <v>625014</v>
      </c>
      <c r="D29" s="34"/>
      <c r="E29" s="13">
        <v>44357</v>
      </c>
      <c r="F29" s="287">
        <v>1806422912</v>
      </c>
      <c r="G29" s="269" t="s">
        <v>7538</v>
      </c>
      <c r="H29" s="264">
        <v>100000</v>
      </c>
    </row>
    <row r="30" spans="1:8" s="18" customFormat="1" ht="15.75" hidden="1" x14ac:dyDescent="0.25">
      <c r="A30" s="13">
        <v>44385</v>
      </c>
      <c r="B30" s="275" t="s">
        <v>7757</v>
      </c>
      <c r="C30" s="264">
        <v>454725</v>
      </c>
      <c r="D30" s="34"/>
      <c r="E30" s="13">
        <v>44357</v>
      </c>
      <c r="F30" s="287">
        <v>1806422913</v>
      </c>
      <c r="G30" s="269" t="s">
        <v>5328</v>
      </c>
      <c r="H30" s="264">
        <v>80000</v>
      </c>
    </row>
    <row r="31" spans="1:8" s="18" customFormat="1" ht="15.75" hidden="1" x14ac:dyDescent="0.25">
      <c r="A31" s="13">
        <v>44405</v>
      </c>
      <c r="B31" s="264" t="s">
        <v>7832</v>
      </c>
      <c r="C31" s="264">
        <v>157140</v>
      </c>
      <c r="D31" s="34"/>
      <c r="E31" s="13">
        <v>44358</v>
      </c>
      <c r="F31" s="287">
        <v>1806422914</v>
      </c>
      <c r="G31" s="269" t="s">
        <v>5328</v>
      </c>
      <c r="H31" s="264">
        <v>150000</v>
      </c>
    </row>
    <row r="32" spans="1:8" s="18" customFormat="1" ht="15.75" hidden="1" x14ac:dyDescent="0.25">
      <c r="A32" s="13">
        <v>44425</v>
      </c>
      <c r="B32" s="264" t="s">
        <v>7918</v>
      </c>
      <c r="C32" s="264">
        <v>139113</v>
      </c>
      <c r="D32" s="34"/>
      <c r="E32" s="13">
        <v>44364</v>
      </c>
      <c r="F32" s="287">
        <v>1806422915</v>
      </c>
      <c r="G32" s="269" t="s">
        <v>5328</v>
      </c>
      <c r="H32" s="264">
        <v>250000</v>
      </c>
    </row>
    <row r="33" spans="1:8" s="18" customFormat="1" ht="15.75" hidden="1" x14ac:dyDescent="0.25">
      <c r="A33" s="13">
        <v>44425</v>
      </c>
      <c r="B33" s="264" t="s">
        <v>7918</v>
      </c>
      <c r="C33" s="264">
        <v>53505</v>
      </c>
      <c r="D33" s="34"/>
      <c r="E33" s="13">
        <v>44364</v>
      </c>
      <c r="F33" s="287">
        <v>1806422916</v>
      </c>
      <c r="G33" s="269" t="s">
        <v>7572</v>
      </c>
      <c r="H33" s="264">
        <v>100000</v>
      </c>
    </row>
    <row r="34" spans="1:8" s="18" customFormat="1" ht="15.75" hidden="1" x14ac:dyDescent="0.25">
      <c r="A34" s="13">
        <v>44428</v>
      </c>
      <c r="B34" s="275" t="s">
        <v>7926</v>
      </c>
      <c r="C34" s="264">
        <v>797475</v>
      </c>
      <c r="D34" s="34"/>
      <c r="E34" s="13">
        <v>44368</v>
      </c>
      <c r="F34" s="287">
        <v>1806422917</v>
      </c>
      <c r="G34" s="269" t="s">
        <v>5328</v>
      </c>
      <c r="H34" s="264">
        <v>100000</v>
      </c>
    </row>
    <row r="35" spans="1:8" s="18" customFormat="1" ht="15.75" hidden="1" x14ac:dyDescent="0.25">
      <c r="A35" s="13">
        <v>44433</v>
      </c>
      <c r="B35" s="276" t="s">
        <v>8005</v>
      </c>
      <c r="C35" s="264">
        <v>90958</v>
      </c>
      <c r="D35" s="34"/>
      <c r="E35" s="13">
        <v>44368</v>
      </c>
      <c r="F35" s="287">
        <v>1806422918</v>
      </c>
      <c r="G35" s="269" t="s">
        <v>7586</v>
      </c>
      <c r="H35" s="264">
        <v>50000</v>
      </c>
    </row>
    <row r="36" spans="1:8" s="18" customFormat="1" ht="31.5" hidden="1" x14ac:dyDescent="0.25">
      <c r="A36" s="13">
        <v>44471</v>
      </c>
      <c r="B36" s="38" t="s">
        <v>8066</v>
      </c>
      <c r="C36" s="8">
        <v>377136</v>
      </c>
      <c r="D36" s="34"/>
      <c r="E36" s="13">
        <v>44369</v>
      </c>
      <c r="F36" s="287">
        <v>1806422919</v>
      </c>
      <c r="G36" s="269" t="s">
        <v>7600</v>
      </c>
      <c r="H36" s="264">
        <v>66250</v>
      </c>
    </row>
    <row r="37" spans="1:8" s="18" customFormat="1" ht="15.75" hidden="1" x14ac:dyDescent="0.25">
      <c r="A37" s="13">
        <v>44489</v>
      </c>
      <c r="B37" s="260" t="s">
        <v>8150</v>
      </c>
      <c r="C37" s="19">
        <v>139113</v>
      </c>
      <c r="D37" s="34"/>
      <c r="E37" s="13">
        <v>44370</v>
      </c>
      <c r="F37" s="287">
        <v>1806422920</v>
      </c>
      <c r="G37" s="269" t="s">
        <v>5328</v>
      </c>
      <c r="H37" s="264">
        <v>150000</v>
      </c>
    </row>
    <row r="38" spans="1:8" s="18" customFormat="1" ht="15.75" hidden="1" x14ac:dyDescent="0.25">
      <c r="A38" s="13">
        <v>44489</v>
      </c>
      <c r="B38" s="260" t="s">
        <v>8151</v>
      </c>
      <c r="C38" s="19">
        <v>90958</v>
      </c>
      <c r="D38" s="34"/>
      <c r="E38" s="13">
        <v>44375</v>
      </c>
      <c r="F38" s="287">
        <v>1806422921</v>
      </c>
      <c r="G38" s="269" t="s">
        <v>5328</v>
      </c>
      <c r="H38" s="264">
        <v>100000</v>
      </c>
    </row>
    <row r="39" spans="1:8" s="18" customFormat="1" ht="15.75" hidden="1" x14ac:dyDescent="0.25">
      <c r="A39" s="13">
        <v>44492</v>
      </c>
      <c r="B39" s="260" t="s">
        <v>8170</v>
      </c>
      <c r="C39" s="19">
        <v>1000000</v>
      </c>
      <c r="D39" s="34"/>
      <c r="E39" s="13">
        <v>44377</v>
      </c>
      <c r="F39" s="287">
        <v>1806422922</v>
      </c>
      <c r="G39" s="269" t="s">
        <v>5328</v>
      </c>
      <c r="H39" s="264">
        <v>279000</v>
      </c>
    </row>
    <row r="40" spans="1:8" s="18" customFormat="1" ht="15.75" hidden="1" x14ac:dyDescent="0.25">
      <c r="A40" s="13">
        <v>44492</v>
      </c>
      <c r="B40" s="260" t="s">
        <v>8170</v>
      </c>
      <c r="C40" s="19">
        <v>1000000</v>
      </c>
      <c r="D40" s="34"/>
      <c r="E40" s="13">
        <v>44378</v>
      </c>
      <c r="F40" s="287">
        <v>1806422923</v>
      </c>
      <c r="G40" s="268" t="s">
        <v>7679</v>
      </c>
      <c r="H40" s="264">
        <v>750000</v>
      </c>
    </row>
    <row r="41" spans="1:8" s="18" customFormat="1" ht="15.75" hidden="1" x14ac:dyDescent="0.25">
      <c r="A41" s="13">
        <v>44492</v>
      </c>
      <c r="B41" s="260" t="s">
        <v>8170</v>
      </c>
      <c r="C41" s="19">
        <v>805000</v>
      </c>
      <c r="D41" s="34"/>
      <c r="E41" s="13">
        <v>44378</v>
      </c>
      <c r="F41" s="287">
        <v>1806422924</v>
      </c>
      <c r="G41" s="268" t="s">
        <v>7679</v>
      </c>
      <c r="H41" s="264">
        <v>750000</v>
      </c>
    </row>
    <row r="42" spans="1:8" s="18" customFormat="1" ht="15.75" hidden="1" x14ac:dyDescent="0.25">
      <c r="A42" s="13">
        <v>44505</v>
      </c>
      <c r="B42" s="260" t="s">
        <v>8266</v>
      </c>
      <c r="C42" s="19">
        <v>139113</v>
      </c>
      <c r="D42" s="34"/>
      <c r="E42" s="13">
        <v>44378</v>
      </c>
      <c r="F42" s="287">
        <v>1806422925</v>
      </c>
      <c r="G42" s="269" t="s">
        <v>7680</v>
      </c>
      <c r="H42" s="264">
        <v>700000</v>
      </c>
    </row>
    <row r="43" spans="1:8" s="18" customFormat="1" ht="15.75" hidden="1" x14ac:dyDescent="0.25">
      <c r="A43" s="13">
        <v>44509</v>
      </c>
      <c r="B43" s="260" t="s">
        <v>8265</v>
      </c>
      <c r="C43" s="19">
        <v>358715</v>
      </c>
      <c r="D43" s="34"/>
      <c r="E43" s="13">
        <v>44383</v>
      </c>
      <c r="F43" s="287">
        <v>1806422926</v>
      </c>
      <c r="G43" s="269" t="s">
        <v>7754</v>
      </c>
      <c r="H43" s="264">
        <v>291705</v>
      </c>
    </row>
    <row r="44" spans="1:8" s="18" customFormat="1" ht="15.75" hidden="1" x14ac:dyDescent="0.25">
      <c r="A44" s="13">
        <v>44517</v>
      </c>
      <c r="B44" s="260" t="s">
        <v>8289</v>
      </c>
      <c r="C44" s="19">
        <v>1000000</v>
      </c>
      <c r="D44" s="34"/>
      <c r="E44" s="13">
        <v>44390</v>
      </c>
      <c r="F44" s="287">
        <v>1806422927</v>
      </c>
      <c r="G44" s="269" t="s">
        <v>5328</v>
      </c>
      <c r="H44" s="264">
        <v>200000</v>
      </c>
    </row>
    <row r="45" spans="1:8" s="18" customFormat="1" ht="18.75" hidden="1" x14ac:dyDescent="0.3">
      <c r="A45" s="13">
        <v>44517</v>
      </c>
      <c r="B45" s="260" t="s">
        <v>8549</v>
      </c>
      <c r="C45" s="19">
        <v>500000</v>
      </c>
      <c r="D45" s="34"/>
      <c r="E45" s="13">
        <v>44396</v>
      </c>
      <c r="F45" s="287">
        <v>1806422928</v>
      </c>
      <c r="G45" s="272" t="s">
        <v>7803</v>
      </c>
      <c r="H45" s="264">
        <v>300000</v>
      </c>
    </row>
    <row r="46" spans="1:8" s="18" customFormat="1" ht="15.75" hidden="1" x14ac:dyDescent="0.25">
      <c r="A46" s="13">
        <v>44517</v>
      </c>
      <c r="B46" s="260" t="s">
        <v>8549</v>
      </c>
      <c r="C46" s="19">
        <v>476108</v>
      </c>
      <c r="D46" s="34"/>
      <c r="E46" s="13">
        <v>44401</v>
      </c>
      <c r="F46" s="287">
        <v>1806422929</v>
      </c>
      <c r="G46" s="269" t="s">
        <v>7812</v>
      </c>
      <c r="H46" s="264">
        <v>121000</v>
      </c>
    </row>
    <row r="47" spans="1:8" s="18" customFormat="1" ht="15.75" hidden="1" x14ac:dyDescent="0.25">
      <c r="A47" s="13">
        <v>44530</v>
      </c>
      <c r="B47" s="260" t="s">
        <v>8598</v>
      </c>
      <c r="C47" s="19">
        <v>90958</v>
      </c>
      <c r="D47" s="34"/>
      <c r="E47" s="13">
        <v>44403</v>
      </c>
      <c r="F47" s="287">
        <v>1806422930</v>
      </c>
      <c r="G47" s="269" t="s">
        <v>5328</v>
      </c>
      <c r="H47" s="264">
        <v>200000</v>
      </c>
    </row>
    <row r="48" spans="1:8" s="18" customFormat="1" ht="15.75" hidden="1" x14ac:dyDescent="0.25">
      <c r="A48" s="13">
        <v>44531</v>
      </c>
      <c r="B48" s="260" t="s">
        <v>8599</v>
      </c>
      <c r="C48" s="19">
        <v>1500000</v>
      </c>
      <c r="D48" s="34"/>
      <c r="E48" s="13">
        <v>44404</v>
      </c>
      <c r="F48" s="287">
        <v>1806422931</v>
      </c>
      <c r="G48" s="269" t="s">
        <v>7821</v>
      </c>
      <c r="H48" s="264">
        <v>42000</v>
      </c>
    </row>
    <row r="49" spans="1:8" s="18" customFormat="1" ht="15.75" hidden="1" x14ac:dyDescent="0.25">
      <c r="A49" s="13">
        <v>44531</v>
      </c>
      <c r="B49" s="260" t="s">
        <v>8599</v>
      </c>
      <c r="C49" s="19">
        <v>1500000</v>
      </c>
      <c r="D49" s="34"/>
      <c r="E49" s="13">
        <v>44405</v>
      </c>
      <c r="F49" s="287">
        <v>1806422932</v>
      </c>
      <c r="G49" s="269" t="s">
        <v>7833</v>
      </c>
      <c r="H49" s="264">
        <v>29700</v>
      </c>
    </row>
    <row r="50" spans="1:8" s="18" customFormat="1" ht="15.75" hidden="1" x14ac:dyDescent="0.25">
      <c r="A50" s="13">
        <v>44531</v>
      </c>
      <c r="B50" s="260" t="s">
        <v>8599</v>
      </c>
      <c r="C50" s="19">
        <v>1500000</v>
      </c>
      <c r="D50" s="34"/>
      <c r="E50" s="13">
        <v>44405</v>
      </c>
      <c r="F50" s="287">
        <v>1806422933</v>
      </c>
      <c r="G50" s="269" t="s">
        <v>5328</v>
      </c>
      <c r="H50" s="264">
        <v>200000</v>
      </c>
    </row>
    <row r="51" spans="1:8" s="18" customFormat="1" ht="15.75" hidden="1" x14ac:dyDescent="0.25">
      <c r="A51" s="13">
        <v>44531</v>
      </c>
      <c r="B51" s="260" t="s">
        <v>8599</v>
      </c>
      <c r="C51" s="19">
        <v>1080000</v>
      </c>
      <c r="D51" s="34"/>
      <c r="E51" s="13">
        <v>44405</v>
      </c>
      <c r="F51" s="287">
        <v>1806422934</v>
      </c>
      <c r="G51" s="269" t="s">
        <v>7834</v>
      </c>
      <c r="H51" s="264">
        <v>60000</v>
      </c>
    </row>
    <row r="52" spans="1:8" s="18" customFormat="1" ht="15.75" hidden="1" x14ac:dyDescent="0.25">
      <c r="A52" s="13">
        <v>44551</v>
      </c>
      <c r="B52" s="260" t="s">
        <v>8683</v>
      </c>
      <c r="C52" s="19">
        <v>139113</v>
      </c>
      <c r="D52" s="34"/>
      <c r="E52" s="13">
        <v>44407</v>
      </c>
      <c r="F52" s="287">
        <v>1806422935</v>
      </c>
      <c r="G52" s="271" t="s">
        <v>7851</v>
      </c>
      <c r="H52" s="264">
        <v>200000</v>
      </c>
    </row>
    <row r="53" spans="1:8" s="18" customFormat="1" ht="15.75" hidden="1" x14ac:dyDescent="0.25">
      <c r="A53" s="13">
        <v>44551</v>
      </c>
      <c r="B53" s="260" t="s">
        <v>8684</v>
      </c>
      <c r="C53" s="19">
        <v>188568</v>
      </c>
      <c r="D53" s="34"/>
      <c r="E53" s="13">
        <v>44407</v>
      </c>
      <c r="F53" s="287">
        <v>1806422936</v>
      </c>
      <c r="G53" s="271" t="s">
        <v>7852</v>
      </c>
      <c r="H53" s="264">
        <v>200000</v>
      </c>
    </row>
    <row r="54" spans="1:8" s="18" customFormat="1" ht="15.75" hidden="1" x14ac:dyDescent="0.25">
      <c r="A54" s="13">
        <v>44551</v>
      </c>
      <c r="B54" s="260" t="s">
        <v>8685</v>
      </c>
      <c r="C54" s="19">
        <v>188568</v>
      </c>
      <c r="D54" s="34"/>
      <c r="E54" s="13">
        <v>44413</v>
      </c>
      <c r="F54" s="287">
        <v>1806422937</v>
      </c>
      <c r="G54" s="269" t="s">
        <v>7871</v>
      </c>
      <c r="H54" s="264">
        <v>500000</v>
      </c>
    </row>
    <row r="55" spans="1:8" s="18" customFormat="1" ht="15.75" hidden="1" x14ac:dyDescent="0.25">
      <c r="A55" s="13">
        <v>44551</v>
      </c>
      <c r="B55" s="260" t="s">
        <v>8686</v>
      </c>
      <c r="C55" s="19">
        <v>188568</v>
      </c>
      <c r="D55" s="34"/>
      <c r="E55" s="13">
        <v>44418</v>
      </c>
      <c r="F55" s="287">
        <v>1806422938</v>
      </c>
      <c r="G55" s="269" t="s">
        <v>7871</v>
      </c>
      <c r="H55" s="264">
        <v>200000</v>
      </c>
    </row>
    <row r="56" spans="1:8" s="18" customFormat="1" ht="15.75" hidden="1" x14ac:dyDescent="0.25">
      <c r="A56" s="13">
        <v>44552</v>
      </c>
      <c r="B56" s="260" t="s">
        <v>8687</v>
      </c>
      <c r="C56" s="19">
        <v>371770</v>
      </c>
      <c r="D56" s="34"/>
      <c r="E56" s="13">
        <v>44419</v>
      </c>
      <c r="F56" s="287">
        <v>1806422939</v>
      </c>
      <c r="G56" s="269" t="s">
        <v>7902</v>
      </c>
      <c r="H56" s="264">
        <v>50000</v>
      </c>
    </row>
    <row r="57" spans="1:8" s="18" customFormat="1" ht="15.75" hidden="1" x14ac:dyDescent="0.25">
      <c r="A57" s="13">
        <v>44557</v>
      </c>
      <c r="B57" s="260" t="s">
        <v>8703</v>
      </c>
      <c r="C57" s="19">
        <v>90958</v>
      </c>
      <c r="D57" s="34"/>
      <c r="E57" s="13">
        <v>44419</v>
      </c>
      <c r="F57" s="287">
        <v>1806422940</v>
      </c>
      <c r="G57" s="269" t="s">
        <v>7903</v>
      </c>
      <c r="H57" s="264">
        <v>35000</v>
      </c>
    </row>
    <row r="58" spans="1:8" s="18" customFormat="1" ht="15.75" hidden="1" x14ac:dyDescent="0.25">
      <c r="A58" s="13">
        <v>44569</v>
      </c>
      <c r="B58" s="260" t="s">
        <v>8751</v>
      </c>
      <c r="C58" s="19">
        <v>278226</v>
      </c>
      <c r="D58" s="34"/>
      <c r="E58" s="13">
        <v>44420</v>
      </c>
      <c r="F58" s="287">
        <v>1806422941</v>
      </c>
      <c r="G58" s="269" t="s">
        <v>7909</v>
      </c>
      <c r="H58" s="264">
        <v>100000</v>
      </c>
    </row>
    <row r="59" spans="1:8" s="18" customFormat="1" ht="15.75" hidden="1" x14ac:dyDescent="0.25">
      <c r="A59" s="13">
        <v>44581</v>
      </c>
      <c r="B59" s="260" t="s">
        <v>8786</v>
      </c>
      <c r="C59" s="19">
        <v>171216</v>
      </c>
      <c r="D59" s="34"/>
      <c r="E59" s="13">
        <v>44420</v>
      </c>
      <c r="F59" s="287">
        <v>1806422942</v>
      </c>
      <c r="G59" s="269" t="s">
        <v>5328</v>
      </c>
      <c r="H59" s="264">
        <v>200000</v>
      </c>
    </row>
    <row r="60" spans="1:8" s="18" customFormat="1" ht="15.75" hidden="1" x14ac:dyDescent="0.25">
      <c r="A60" s="13">
        <v>44581</v>
      </c>
      <c r="B60" s="260" t="s">
        <v>8787</v>
      </c>
      <c r="C60" s="19">
        <v>171216</v>
      </c>
      <c r="D60" s="34"/>
      <c r="E60" s="13">
        <v>44420</v>
      </c>
      <c r="F60" s="287">
        <v>1806422943</v>
      </c>
      <c r="G60" s="269" t="s">
        <v>7910</v>
      </c>
      <c r="H60" s="264">
        <v>100000</v>
      </c>
    </row>
    <row r="61" spans="1:8" s="18" customFormat="1" ht="15.75" hidden="1" x14ac:dyDescent="0.25">
      <c r="A61" s="13">
        <v>44581</v>
      </c>
      <c r="B61" s="260" t="s">
        <v>8788</v>
      </c>
      <c r="C61" s="19">
        <v>1500000</v>
      </c>
      <c r="D61" s="34"/>
      <c r="E61" s="13">
        <v>44420</v>
      </c>
      <c r="F61" s="287">
        <v>1806422944</v>
      </c>
      <c r="G61" s="269" t="s">
        <v>5328</v>
      </c>
      <c r="H61" s="264">
        <v>100000</v>
      </c>
    </row>
    <row r="62" spans="1:8" s="18" customFormat="1" ht="15.75" hidden="1" x14ac:dyDescent="0.25">
      <c r="A62" s="13">
        <v>44581</v>
      </c>
      <c r="B62" s="260" t="s">
        <v>8788</v>
      </c>
      <c r="C62" s="19">
        <v>1500000</v>
      </c>
      <c r="D62" s="34"/>
      <c r="E62" s="13">
        <v>44420</v>
      </c>
      <c r="F62" s="287">
        <v>1806422945</v>
      </c>
      <c r="G62" s="269" t="s">
        <v>5328</v>
      </c>
      <c r="H62" s="264">
        <v>100000</v>
      </c>
    </row>
    <row r="63" spans="1:8" s="18" customFormat="1" ht="15.75" hidden="1" x14ac:dyDescent="0.25">
      <c r="A63" s="13">
        <v>44581</v>
      </c>
      <c r="B63" s="260" t="s">
        <v>8788</v>
      </c>
      <c r="C63" s="19">
        <v>1000000</v>
      </c>
      <c r="D63" s="34"/>
      <c r="E63" s="13">
        <v>44420</v>
      </c>
      <c r="F63" s="287">
        <v>1806422946</v>
      </c>
      <c r="G63" s="269" t="s">
        <v>5328</v>
      </c>
      <c r="H63" s="264">
        <v>100000</v>
      </c>
    </row>
    <row r="64" spans="1:8" s="18" customFormat="1" ht="15.75" hidden="1" x14ac:dyDescent="0.25">
      <c r="A64" s="13">
        <v>44581</v>
      </c>
      <c r="B64" s="260" t="s">
        <v>8788</v>
      </c>
      <c r="C64" s="19">
        <v>1158905</v>
      </c>
      <c r="D64" s="34"/>
      <c r="E64" s="13">
        <v>44431</v>
      </c>
      <c r="F64" s="287">
        <v>1806422947</v>
      </c>
      <c r="G64" s="271" t="s">
        <v>7930</v>
      </c>
      <c r="H64" s="264">
        <v>200000</v>
      </c>
    </row>
    <row r="65" spans="1:8" s="18" customFormat="1" ht="15.75" hidden="1" x14ac:dyDescent="0.25">
      <c r="A65" s="13">
        <v>44588</v>
      </c>
      <c r="B65" s="260" t="s">
        <v>8798</v>
      </c>
      <c r="C65" s="19">
        <v>188568</v>
      </c>
      <c r="D65" s="34"/>
      <c r="E65" s="13">
        <v>44431</v>
      </c>
      <c r="F65" s="287">
        <v>1806422948</v>
      </c>
      <c r="G65" s="271" t="s">
        <v>7931</v>
      </c>
      <c r="H65" s="264">
        <v>100000</v>
      </c>
    </row>
    <row r="66" spans="1:8" s="18" customFormat="1" ht="15.75" hidden="1" x14ac:dyDescent="0.25">
      <c r="A66" s="13">
        <v>44607</v>
      </c>
      <c r="B66" s="260" t="s">
        <v>8861</v>
      </c>
      <c r="C66" s="19">
        <v>139113</v>
      </c>
      <c r="D66" s="34"/>
      <c r="E66" s="13">
        <v>44435</v>
      </c>
      <c r="F66" s="1">
        <v>1806422949</v>
      </c>
      <c r="G66" s="269" t="s">
        <v>7999</v>
      </c>
      <c r="H66" s="264">
        <v>65000</v>
      </c>
    </row>
    <row r="67" spans="1:8" s="18" customFormat="1" ht="15.75" hidden="1" x14ac:dyDescent="0.25">
      <c r="A67" s="13">
        <v>44608</v>
      </c>
      <c r="B67" s="260" t="s">
        <v>8860</v>
      </c>
      <c r="C67" s="19">
        <v>1268006</v>
      </c>
      <c r="D67" s="34"/>
      <c r="E67" s="13">
        <v>44435</v>
      </c>
      <c r="F67" s="1">
        <v>1806422950</v>
      </c>
      <c r="G67" s="269" t="s">
        <v>8000</v>
      </c>
      <c r="H67" s="264">
        <v>100000</v>
      </c>
    </row>
    <row r="68" spans="1:8" s="18" customFormat="1" ht="15.75" hidden="1" x14ac:dyDescent="0.25">
      <c r="A68" s="13">
        <v>44610</v>
      </c>
      <c r="B68" s="260" t="s">
        <v>8862</v>
      </c>
      <c r="C68" s="19">
        <v>171216</v>
      </c>
      <c r="D68" s="34"/>
      <c r="E68" s="13">
        <v>44448</v>
      </c>
      <c r="F68" s="1">
        <v>1806422951</v>
      </c>
      <c r="G68" s="269" t="s">
        <v>8001</v>
      </c>
      <c r="H68" s="264">
        <v>200000</v>
      </c>
    </row>
    <row r="69" spans="1:8" s="18" customFormat="1" ht="15.75" hidden="1" x14ac:dyDescent="0.25">
      <c r="A69" s="13">
        <v>44610</v>
      </c>
      <c r="B69" s="260" t="s">
        <v>9595</v>
      </c>
      <c r="C69" s="19">
        <v>188568</v>
      </c>
      <c r="D69" s="34"/>
      <c r="E69" s="13">
        <v>44448</v>
      </c>
      <c r="F69" s="287">
        <v>1806422952</v>
      </c>
      <c r="G69" s="269" t="s">
        <v>8001</v>
      </c>
      <c r="H69" s="264">
        <v>243000</v>
      </c>
    </row>
    <row r="70" spans="1:8" s="18" customFormat="1" ht="15.75" hidden="1" x14ac:dyDescent="0.25">
      <c r="A70" s="13">
        <v>44664</v>
      </c>
      <c r="B70" s="260" t="s">
        <v>9083</v>
      </c>
      <c r="C70" s="19">
        <v>337081</v>
      </c>
      <c r="D70" s="34"/>
      <c r="E70" s="13">
        <v>44448</v>
      </c>
      <c r="F70" s="287">
        <v>1806422953</v>
      </c>
      <c r="G70" s="269" t="s">
        <v>8001</v>
      </c>
      <c r="H70" s="264">
        <v>300000</v>
      </c>
    </row>
    <row r="71" spans="1:8" s="18" customFormat="1" ht="15.75" hidden="1" x14ac:dyDescent="0.25">
      <c r="A71" s="13">
        <v>44666</v>
      </c>
      <c r="B71" s="260" t="s">
        <v>9091</v>
      </c>
      <c r="C71" s="19">
        <v>1203675</v>
      </c>
      <c r="D71" s="34"/>
      <c r="E71" s="13">
        <v>44452</v>
      </c>
      <c r="F71" s="287">
        <v>1806422954</v>
      </c>
      <c r="G71" s="269" t="s">
        <v>8002</v>
      </c>
      <c r="H71" s="264">
        <v>200000</v>
      </c>
    </row>
    <row r="72" spans="1:8" s="18" customFormat="1" ht="15.75" hidden="1" x14ac:dyDescent="0.25">
      <c r="A72" s="13">
        <v>44666</v>
      </c>
      <c r="B72" s="260" t="s">
        <v>9093</v>
      </c>
      <c r="C72" s="19">
        <v>427770</v>
      </c>
      <c r="D72" s="34"/>
      <c r="E72" s="13">
        <v>44454</v>
      </c>
      <c r="F72" s="287">
        <v>1806422955</v>
      </c>
      <c r="G72" s="269" t="s">
        <v>5328</v>
      </c>
      <c r="H72" s="264">
        <v>100000</v>
      </c>
    </row>
    <row r="73" spans="1:8" s="18" customFormat="1" ht="15.75" hidden="1" x14ac:dyDescent="0.25">
      <c r="A73" s="13">
        <v>44669</v>
      </c>
      <c r="B73" s="260" t="s">
        <v>9113</v>
      </c>
      <c r="C73" s="19">
        <v>1942176.51</v>
      </c>
      <c r="D73" s="34"/>
      <c r="E73" s="13">
        <v>44455</v>
      </c>
      <c r="F73" s="287">
        <v>1806422956</v>
      </c>
      <c r="G73" s="269" t="s">
        <v>8003</v>
      </c>
      <c r="H73" s="264">
        <v>250000</v>
      </c>
    </row>
    <row r="74" spans="1:8" s="18" customFormat="1" ht="15.75" hidden="1" x14ac:dyDescent="0.25">
      <c r="A74" s="13">
        <v>44669</v>
      </c>
      <c r="B74" s="260" t="s">
        <v>9114</v>
      </c>
      <c r="C74" s="19">
        <v>448850</v>
      </c>
      <c r="D74" s="34"/>
      <c r="E74" s="13">
        <v>44455</v>
      </c>
      <c r="F74" s="287">
        <v>1806422957</v>
      </c>
      <c r="G74" s="269" t="s">
        <v>7090</v>
      </c>
      <c r="H74" s="264">
        <v>0</v>
      </c>
    </row>
    <row r="75" spans="1:8" s="18" customFormat="1" ht="15.75" hidden="1" x14ac:dyDescent="0.25">
      <c r="A75" s="13">
        <v>44672</v>
      </c>
      <c r="B75" s="260" t="s">
        <v>9138</v>
      </c>
      <c r="C75" s="19">
        <v>188568</v>
      </c>
      <c r="D75" s="34"/>
      <c r="E75" s="13">
        <v>44456</v>
      </c>
      <c r="F75" s="287">
        <v>1806422958</v>
      </c>
      <c r="G75" s="269" t="s">
        <v>7539</v>
      </c>
      <c r="H75" s="264">
        <v>400000</v>
      </c>
    </row>
    <row r="76" spans="1:8" s="18" customFormat="1" ht="15.75" hidden="1" x14ac:dyDescent="0.25">
      <c r="A76" s="13">
        <v>44676</v>
      </c>
      <c r="B76" s="260" t="s">
        <v>9197</v>
      </c>
      <c r="C76" s="19">
        <v>309650</v>
      </c>
      <c r="D76" s="34"/>
      <c r="E76" s="13">
        <v>44456</v>
      </c>
      <c r="F76" s="287">
        <v>1806422959</v>
      </c>
      <c r="G76" s="269" t="s">
        <v>8004</v>
      </c>
      <c r="H76" s="264">
        <v>25000</v>
      </c>
    </row>
    <row r="77" spans="1:8" s="18" customFormat="1" ht="15.75" hidden="1" x14ac:dyDescent="0.25">
      <c r="A77" s="13">
        <v>44677</v>
      </c>
      <c r="B77" s="260" t="s">
        <v>9396</v>
      </c>
      <c r="C77" s="19">
        <v>188568</v>
      </c>
      <c r="D77" s="34"/>
      <c r="E77" s="13">
        <v>44457</v>
      </c>
      <c r="F77" s="287">
        <v>1815879060</v>
      </c>
      <c r="G77" s="261" t="s">
        <v>5328</v>
      </c>
      <c r="H77" s="8">
        <v>100000</v>
      </c>
    </row>
    <row r="78" spans="1:8" s="18" customFormat="1" ht="15.75" hidden="1" x14ac:dyDescent="0.25">
      <c r="A78" s="13">
        <v>44679</v>
      </c>
      <c r="B78" s="260" t="s">
        <v>9147</v>
      </c>
      <c r="C78" s="19">
        <v>850042</v>
      </c>
      <c r="D78" s="34"/>
      <c r="E78" s="13">
        <v>44468</v>
      </c>
      <c r="F78" s="287">
        <v>1815879061</v>
      </c>
      <c r="G78" s="261" t="s">
        <v>5328</v>
      </c>
      <c r="H78" s="8">
        <v>100000</v>
      </c>
    </row>
    <row r="79" spans="1:8" s="18" customFormat="1" ht="15.75" hidden="1" x14ac:dyDescent="0.25">
      <c r="A79" s="13">
        <v>44698</v>
      </c>
      <c r="B79" s="260" t="s">
        <v>9198</v>
      </c>
      <c r="C79" s="19">
        <v>620658</v>
      </c>
      <c r="D79" s="34"/>
      <c r="E79" s="13">
        <v>44471</v>
      </c>
      <c r="F79" s="287">
        <v>1815879062</v>
      </c>
      <c r="G79" s="261" t="s">
        <v>5328</v>
      </c>
      <c r="H79" s="8">
        <v>100000</v>
      </c>
    </row>
    <row r="80" spans="1:8" s="18" customFormat="1" ht="15.75" hidden="1" x14ac:dyDescent="0.25">
      <c r="A80" s="13">
        <v>44701</v>
      </c>
      <c r="B80" s="260" t="s">
        <v>9203</v>
      </c>
      <c r="C80" s="19">
        <v>2596197</v>
      </c>
      <c r="D80" s="34"/>
      <c r="E80" s="13">
        <v>44471</v>
      </c>
      <c r="F80" s="287">
        <v>1815879063</v>
      </c>
      <c r="G80" s="261" t="s">
        <v>5328</v>
      </c>
      <c r="H80" s="8">
        <v>100000</v>
      </c>
    </row>
    <row r="81" spans="1:8" s="18" customFormat="1" ht="15.75" hidden="1" x14ac:dyDescent="0.25">
      <c r="A81" s="13">
        <v>44685</v>
      </c>
      <c r="B81" s="260" t="s">
        <v>9271</v>
      </c>
      <c r="C81" s="19">
        <v>337081</v>
      </c>
      <c r="D81" s="34"/>
      <c r="E81" s="13">
        <v>44471</v>
      </c>
      <c r="F81" s="287">
        <v>1815879064</v>
      </c>
      <c r="G81" s="261" t="s">
        <v>5328</v>
      </c>
      <c r="H81" s="8">
        <v>100000</v>
      </c>
    </row>
    <row r="82" spans="1:8" s="18" customFormat="1" ht="15.75" hidden="1" x14ac:dyDescent="0.25">
      <c r="A82" s="13">
        <v>44696</v>
      </c>
      <c r="B82" s="260" t="s">
        <v>9321</v>
      </c>
      <c r="C82" s="19">
        <v>337081</v>
      </c>
      <c r="D82" s="34"/>
      <c r="E82" s="13">
        <v>44473</v>
      </c>
      <c r="F82" s="287">
        <v>1815879065</v>
      </c>
      <c r="G82" s="261" t="s">
        <v>8079</v>
      </c>
      <c r="H82" s="8">
        <v>87000</v>
      </c>
    </row>
    <row r="83" spans="1:8" s="18" customFormat="1" ht="15.75" hidden="1" x14ac:dyDescent="0.25">
      <c r="A83" s="13">
        <v>44696</v>
      </c>
      <c r="B83" s="260" t="s">
        <v>9322</v>
      </c>
      <c r="C83" s="19">
        <v>337081</v>
      </c>
      <c r="D83" s="34"/>
      <c r="E83" s="13">
        <v>44474</v>
      </c>
      <c r="F83" s="287">
        <v>1815879066</v>
      </c>
      <c r="G83" s="261" t="s">
        <v>7871</v>
      </c>
      <c r="H83" s="8">
        <v>150000</v>
      </c>
    </row>
    <row r="84" spans="1:8" s="18" customFormat="1" ht="15.75" hidden="1" x14ac:dyDescent="0.25">
      <c r="A84" s="13">
        <v>44732</v>
      </c>
      <c r="B84" s="260" t="s">
        <v>9437</v>
      </c>
      <c r="C84" s="19">
        <v>188568</v>
      </c>
      <c r="D84" s="34"/>
      <c r="E84" s="13">
        <v>44480</v>
      </c>
      <c r="F84" s="287">
        <v>1815879067</v>
      </c>
      <c r="G84" s="261" t="s">
        <v>5328</v>
      </c>
      <c r="H84" s="8">
        <v>100000</v>
      </c>
    </row>
    <row r="85" spans="1:8" s="18" customFormat="1" ht="15.75" hidden="1" x14ac:dyDescent="0.25">
      <c r="A85" s="13">
        <v>44742</v>
      </c>
      <c r="B85" s="260" t="s">
        <v>9397</v>
      </c>
      <c r="C85" s="19">
        <v>310629</v>
      </c>
      <c r="D85" s="34"/>
      <c r="E85" s="13">
        <v>44480</v>
      </c>
      <c r="F85" s="287">
        <v>1815879068</v>
      </c>
      <c r="G85" s="261" t="s">
        <v>8120</v>
      </c>
      <c r="H85" s="8">
        <v>300000</v>
      </c>
    </row>
    <row r="86" spans="1:8" s="18" customFormat="1" ht="15.75" hidden="1" x14ac:dyDescent="0.25">
      <c r="A86" s="13">
        <v>44761</v>
      </c>
      <c r="B86" s="260" t="s">
        <v>9561</v>
      </c>
      <c r="C86" s="19">
        <v>188568</v>
      </c>
      <c r="D86" s="34"/>
      <c r="E86" s="13">
        <v>44480</v>
      </c>
      <c r="F86" s="287">
        <v>1815879069</v>
      </c>
      <c r="G86" s="261" t="s">
        <v>8120</v>
      </c>
      <c r="H86" s="8">
        <v>300000</v>
      </c>
    </row>
    <row r="87" spans="1:8" s="18" customFormat="1" ht="15.75" hidden="1" x14ac:dyDescent="0.25">
      <c r="A87" s="13">
        <v>44769</v>
      </c>
      <c r="B87" s="260" t="s">
        <v>9572</v>
      </c>
      <c r="C87" s="19">
        <v>194983</v>
      </c>
      <c r="D87" s="34"/>
      <c r="E87" s="13">
        <v>44481</v>
      </c>
      <c r="F87" s="287">
        <v>1815879070</v>
      </c>
      <c r="G87" s="261" t="s">
        <v>5328</v>
      </c>
      <c r="H87" s="8">
        <v>200000</v>
      </c>
    </row>
    <row r="88" spans="1:8" s="18" customFormat="1" ht="15.75" hidden="1" x14ac:dyDescent="0.25">
      <c r="A88" s="13">
        <v>44770</v>
      </c>
      <c r="B88" s="260" t="s">
        <v>9545</v>
      </c>
      <c r="C88" s="19">
        <v>117182</v>
      </c>
      <c r="D88" s="34"/>
      <c r="E88" s="13">
        <v>44490</v>
      </c>
      <c r="F88" s="287">
        <v>1815879071</v>
      </c>
      <c r="G88" s="261" t="s">
        <v>8154</v>
      </c>
      <c r="H88" s="8">
        <v>200000</v>
      </c>
    </row>
    <row r="89" spans="1:8" s="18" customFormat="1" ht="15.75" hidden="1" x14ac:dyDescent="0.25">
      <c r="A89" s="13">
        <v>44770</v>
      </c>
      <c r="B89" s="260" t="s">
        <v>9546</v>
      </c>
      <c r="C89" s="19">
        <v>1307372</v>
      </c>
      <c r="D89" s="34"/>
      <c r="E89" s="13">
        <v>44491</v>
      </c>
      <c r="F89" s="287">
        <v>1815879072</v>
      </c>
      <c r="G89" s="261" t="s">
        <v>8174</v>
      </c>
      <c r="H89" s="8">
        <v>150000</v>
      </c>
    </row>
    <row r="90" spans="1:8" s="18" customFormat="1" ht="15.75" hidden="1" x14ac:dyDescent="0.25">
      <c r="A90" s="13">
        <v>44771</v>
      </c>
      <c r="B90" s="260" t="s">
        <v>9547</v>
      </c>
      <c r="C90" s="19">
        <v>1424930</v>
      </c>
      <c r="D90" s="34"/>
      <c r="E90" s="13">
        <v>44491</v>
      </c>
      <c r="F90" s="287">
        <v>1815879073</v>
      </c>
      <c r="G90" s="261" t="s">
        <v>7438</v>
      </c>
      <c r="H90" s="8">
        <v>100000</v>
      </c>
    </row>
    <row r="91" spans="1:8" s="18" customFormat="1" ht="15.75" hidden="1" x14ac:dyDescent="0.25">
      <c r="A91" s="13">
        <v>44779</v>
      </c>
      <c r="B91" s="260" t="s">
        <v>9548</v>
      </c>
      <c r="C91" s="19">
        <v>719598</v>
      </c>
      <c r="D91" s="34"/>
      <c r="E91" s="13">
        <v>44494</v>
      </c>
      <c r="F91" s="287">
        <v>1815879074</v>
      </c>
      <c r="G91" s="261" t="s">
        <v>8175</v>
      </c>
      <c r="H91" s="8">
        <v>200000</v>
      </c>
    </row>
    <row r="92" spans="1:8" s="18" customFormat="1" ht="15.75" hidden="1" x14ac:dyDescent="0.25">
      <c r="A92" s="13">
        <v>44784</v>
      </c>
      <c r="B92" s="260" t="s">
        <v>9633</v>
      </c>
      <c r="C92" s="19">
        <v>337081</v>
      </c>
      <c r="D92" s="34"/>
      <c r="E92" s="13">
        <v>44494</v>
      </c>
      <c r="F92" s="287">
        <v>1815879075</v>
      </c>
      <c r="G92" s="261" t="s">
        <v>8176</v>
      </c>
      <c r="H92" s="8">
        <v>116000</v>
      </c>
    </row>
    <row r="93" spans="1:8" s="18" customFormat="1" ht="15.75" hidden="1" x14ac:dyDescent="0.25">
      <c r="A93" s="13">
        <v>44790</v>
      </c>
      <c r="B93" s="260" t="s">
        <v>9560</v>
      </c>
      <c r="C93" s="19">
        <v>310329</v>
      </c>
      <c r="D93" s="34"/>
      <c r="E93" s="13">
        <v>44495</v>
      </c>
      <c r="F93" s="287">
        <v>1815879076</v>
      </c>
      <c r="G93" s="261" t="s">
        <v>5328</v>
      </c>
      <c r="H93" s="8">
        <v>100000</v>
      </c>
    </row>
    <row r="94" spans="1:8" s="18" customFormat="1" ht="15.75" hidden="1" x14ac:dyDescent="0.25">
      <c r="A94" s="13">
        <v>44791</v>
      </c>
      <c r="B94" s="260" t="s">
        <v>9594</v>
      </c>
      <c r="C94" s="19">
        <v>188568</v>
      </c>
      <c r="D94" s="34"/>
      <c r="E94" s="13">
        <v>44497</v>
      </c>
      <c r="F94" s="287">
        <v>1815879077</v>
      </c>
      <c r="G94" s="261" t="s">
        <v>6415</v>
      </c>
      <c r="H94" s="8">
        <v>17500</v>
      </c>
    </row>
    <row r="95" spans="1:8" s="18" customFormat="1" ht="15.75" hidden="1" x14ac:dyDescent="0.25">
      <c r="A95" s="13">
        <v>44791</v>
      </c>
      <c r="B95" s="260" t="s">
        <v>9562</v>
      </c>
      <c r="C95" s="19">
        <v>1000000</v>
      </c>
      <c r="D95" s="34"/>
      <c r="E95" s="13">
        <v>44497</v>
      </c>
      <c r="F95" s="287">
        <v>1815879078</v>
      </c>
      <c r="G95" s="261" t="s">
        <v>8204</v>
      </c>
      <c r="H95" s="8">
        <v>20000</v>
      </c>
    </row>
    <row r="96" spans="1:8" s="18" customFormat="1" ht="15.75" hidden="1" x14ac:dyDescent="0.25">
      <c r="A96" s="13">
        <v>44791</v>
      </c>
      <c r="B96" s="260" t="s">
        <v>9562</v>
      </c>
      <c r="C96" s="19">
        <v>1000000</v>
      </c>
      <c r="D96" s="34"/>
      <c r="E96" s="13">
        <v>44498</v>
      </c>
      <c r="F96" s="287">
        <v>1815879079</v>
      </c>
      <c r="G96" s="261" t="s">
        <v>5328</v>
      </c>
      <c r="H96" s="8">
        <v>200000</v>
      </c>
    </row>
    <row r="97" spans="1:8" s="18" customFormat="1" ht="15.75" hidden="1" x14ac:dyDescent="0.25">
      <c r="A97" s="13">
        <v>44791</v>
      </c>
      <c r="B97" s="260" t="s">
        <v>9562</v>
      </c>
      <c r="C97" s="19">
        <v>1614943</v>
      </c>
      <c r="D97" s="34"/>
      <c r="E97" s="13">
        <v>44499</v>
      </c>
      <c r="F97" s="287">
        <v>1815879080</v>
      </c>
      <c r="G97" s="261" t="s">
        <v>8232</v>
      </c>
      <c r="H97" s="8">
        <v>60000</v>
      </c>
    </row>
    <row r="98" spans="1:8" s="18" customFormat="1" ht="15.75" hidden="1" x14ac:dyDescent="0.25">
      <c r="A98" s="13">
        <v>44803</v>
      </c>
      <c r="B98" s="260" t="s">
        <v>9634</v>
      </c>
      <c r="C98" s="19">
        <v>528000</v>
      </c>
      <c r="D98" s="34"/>
      <c r="E98" s="13">
        <v>44502</v>
      </c>
      <c r="F98" s="287">
        <v>1815879081</v>
      </c>
      <c r="G98" s="261" t="s">
        <v>7999</v>
      </c>
      <c r="H98" s="8">
        <v>250000</v>
      </c>
    </row>
    <row r="99" spans="1:8" s="18" customFormat="1" ht="15.75" hidden="1" x14ac:dyDescent="0.25">
      <c r="A99" s="13">
        <v>44825</v>
      </c>
      <c r="B99" s="260" t="s">
        <v>9782</v>
      </c>
      <c r="C99" s="19">
        <v>59460</v>
      </c>
      <c r="D99" s="34"/>
      <c r="E99" s="13">
        <v>44505</v>
      </c>
      <c r="F99" s="287">
        <v>1815879082</v>
      </c>
      <c r="G99" s="261" t="s">
        <v>7871</v>
      </c>
      <c r="H99" s="8">
        <v>200000</v>
      </c>
    </row>
    <row r="100" spans="1:8" s="18" customFormat="1" ht="15.75" hidden="1" x14ac:dyDescent="0.25">
      <c r="A100" s="13">
        <v>44832</v>
      </c>
      <c r="B100" s="260" t="s">
        <v>9816</v>
      </c>
      <c r="C100" s="19">
        <v>310329</v>
      </c>
      <c r="D100" s="34"/>
      <c r="E100" s="13">
        <v>44508</v>
      </c>
      <c r="F100" s="287">
        <v>1815879083</v>
      </c>
      <c r="G100" s="261" t="s">
        <v>7871</v>
      </c>
      <c r="H100" s="8">
        <v>250000</v>
      </c>
    </row>
    <row r="101" spans="1:8" s="18" customFormat="1" ht="15.75" hidden="1" x14ac:dyDescent="0.25">
      <c r="A101" s="13">
        <v>44838</v>
      </c>
      <c r="B101" s="260" t="s">
        <v>9890</v>
      </c>
      <c r="C101" s="19">
        <v>188568</v>
      </c>
      <c r="D101" s="34"/>
      <c r="E101" s="13">
        <v>44508</v>
      </c>
      <c r="F101" s="287">
        <v>1815879084</v>
      </c>
      <c r="G101" s="261" t="s">
        <v>7871</v>
      </c>
      <c r="H101" s="8">
        <v>250000</v>
      </c>
    </row>
    <row r="102" spans="1:8" s="18" customFormat="1" ht="15.75" hidden="1" x14ac:dyDescent="0.25">
      <c r="A102" s="13">
        <v>44846</v>
      </c>
      <c r="B102" s="260" t="s">
        <v>9913</v>
      </c>
      <c r="C102" s="19">
        <v>716250</v>
      </c>
      <c r="D102" s="34"/>
      <c r="E102" s="13">
        <v>44510</v>
      </c>
      <c r="F102" s="287">
        <v>1815879085</v>
      </c>
      <c r="G102" s="261" t="s">
        <v>8261</v>
      </c>
      <c r="H102" s="8">
        <v>200000</v>
      </c>
    </row>
    <row r="103" spans="1:8" s="18" customFormat="1" ht="15.75" hidden="1" x14ac:dyDescent="0.25">
      <c r="A103" s="13">
        <v>44856</v>
      </c>
      <c r="B103" s="260" t="s">
        <v>9972</v>
      </c>
      <c r="C103" s="19">
        <v>310329</v>
      </c>
      <c r="D103" s="34"/>
      <c r="E103" s="13">
        <v>44512</v>
      </c>
      <c r="F103" s="287">
        <v>1815879086</v>
      </c>
      <c r="G103" s="261" t="s">
        <v>7090</v>
      </c>
      <c r="H103" s="8">
        <v>0</v>
      </c>
    </row>
    <row r="104" spans="1:8" s="18" customFormat="1" ht="15.75" hidden="1" x14ac:dyDescent="0.25">
      <c r="A104" s="13">
        <v>44856</v>
      </c>
      <c r="B104" s="260" t="s">
        <v>9980</v>
      </c>
      <c r="C104" s="19">
        <v>188568</v>
      </c>
      <c r="D104" s="34"/>
      <c r="E104" s="13">
        <v>44512</v>
      </c>
      <c r="F104" s="287">
        <v>1815879087</v>
      </c>
      <c r="G104" s="261" t="s">
        <v>8262</v>
      </c>
      <c r="H104" s="8">
        <v>150000</v>
      </c>
    </row>
    <row r="105" spans="1:8" s="18" customFormat="1" ht="15.75" hidden="1" x14ac:dyDescent="0.25">
      <c r="A105" s="13">
        <v>44863</v>
      </c>
      <c r="B105" s="260" t="s">
        <v>10019</v>
      </c>
      <c r="C105" s="19">
        <v>1002960</v>
      </c>
      <c r="D105" s="34"/>
      <c r="E105" s="13">
        <v>44516</v>
      </c>
      <c r="F105" s="287">
        <v>1815879088</v>
      </c>
      <c r="G105" s="261" t="s">
        <v>8569</v>
      </c>
      <c r="H105" s="8">
        <v>119000</v>
      </c>
    </row>
    <row r="106" spans="1:8" s="18" customFormat="1" ht="15.75" hidden="1" x14ac:dyDescent="0.25">
      <c r="A106" s="13">
        <v>44863</v>
      </c>
      <c r="B106" s="260" t="s">
        <v>10020</v>
      </c>
      <c r="C106" s="19">
        <v>2874349</v>
      </c>
      <c r="D106" s="34"/>
      <c r="E106" s="13">
        <v>44518</v>
      </c>
      <c r="F106" s="287">
        <v>1815879089</v>
      </c>
      <c r="G106" s="261" t="s">
        <v>8570</v>
      </c>
      <c r="H106" s="8">
        <v>200000</v>
      </c>
    </row>
    <row r="107" spans="1:8" s="18" customFormat="1" ht="15.75" hidden="1" x14ac:dyDescent="0.25">
      <c r="A107" s="13">
        <v>44863</v>
      </c>
      <c r="B107" s="260" t="s">
        <v>10020</v>
      </c>
      <c r="C107" s="19">
        <v>293851</v>
      </c>
      <c r="D107" s="34"/>
      <c r="E107" s="13">
        <v>44522</v>
      </c>
      <c r="F107" s="287">
        <v>1815879090</v>
      </c>
      <c r="G107" s="261" t="s">
        <v>7090</v>
      </c>
      <c r="H107" s="8">
        <v>0</v>
      </c>
    </row>
    <row r="108" spans="1:8" s="18" customFormat="1" ht="15.75" hidden="1" x14ac:dyDescent="0.25">
      <c r="A108" s="13">
        <v>44872</v>
      </c>
      <c r="B108" s="260" t="s">
        <v>10081</v>
      </c>
      <c r="C108" s="19">
        <v>337081</v>
      </c>
      <c r="D108" s="34"/>
      <c r="E108" s="13">
        <v>44522</v>
      </c>
      <c r="F108" s="287">
        <v>1815879091</v>
      </c>
      <c r="G108" s="261" t="s">
        <v>7090</v>
      </c>
      <c r="H108" s="8">
        <v>0</v>
      </c>
    </row>
    <row r="109" spans="1:8" s="18" customFormat="1" ht="15.75" hidden="1" x14ac:dyDescent="0.25">
      <c r="A109" s="13">
        <v>44872</v>
      </c>
      <c r="B109" s="260" t="s">
        <v>10082</v>
      </c>
      <c r="C109" s="19">
        <v>337081</v>
      </c>
      <c r="D109" s="34"/>
      <c r="E109" s="13">
        <v>44522</v>
      </c>
      <c r="F109" s="287">
        <v>1815879092</v>
      </c>
      <c r="G109" s="261" t="s">
        <v>7090</v>
      </c>
      <c r="H109" s="8">
        <v>0</v>
      </c>
    </row>
    <row r="110" spans="1:8" s="18" customFormat="1" ht="15.75" hidden="1" x14ac:dyDescent="0.25">
      <c r="A110" s="13">
        <v>44872</v>
      </c>
      <c r="B110" s="260" t="s">
        <v>10083</v>
      </c>
      <c r="C110" s="19">
        <v>337081</v>
      </c>
      <c r="D110" s="34"/>
      <c r="E110" s="13">
        <v>44523</v>
      </c>
      <c r="F110" s="287">
        <v>1815879093</v>
      </c>
      <c r="G110" s="261" t="s">
        <v>5328</v>
      </c>
      <c r="H110" s="8">
        <v>200000</v>
      </c>
    </row>
    <row r="111" spans="1:8" s="18" customFormat="1" ht="15.75" hidden="1" x14ac:dyDescent="0.25">
      <c r="A111" s="13">
        <v>44893</v>
      </c>
      <c r="B111" s="260" t="s">
        <v>10200</v>
      </c>
      <c r="C111" s="19">
        <v>310329</v>
      </c>
      <c r="D111" s="34"/>
      <c r="E111" s="13">
        <v>44531</v>
      </c>
      <c r="F111" s="287">
        <v>1815879094</v>
      </c>
      <c r="G111" s="261" t="s">
        <v>8610</v>
      </c>
      <c r="H111" s="8">
        <v>200000</v>
      </c>
    </row>
    <row r="112" spans="1:8" s="18" customFormat="1" ht="15.75" hidden="1" x14ac:dyDescent="0.25">
      <c r="A112" s="13">
        <v>44867</v>
      </c>
      <c r="B112" s="260" t="s">
        <v>10232</v>
      </c>
      <c r="C112" s="19">
        <v>971088</v>
      </c>
      <c r="D112" s="34"/>
      <c r="E112" s="13">
        <v>44537</v>
      </c>
      <c r="F112" s="287">
        <v>1815879095</v>
      </c>
      <c r="G112" s="261" t="s">
        <v>7871</v>
      </c>
      <c r="H112" s="8">
        <v>500000</v>
      </c>
    </row>
    <row r="113" spans="1:8" s="18" customFormat="1" ht="15.75" hidden="1" x14ac:dyDescent="0.25">
      <c r="A113" s="13">
        <v>44877</v>
      </c>
      <c r="B113" s="260" t="s">
        <v>10305</v>
      </c>
      <c r="C113" s="19">
        <v>619375</v>
      </c>
      <c r="D113" s="34"/>
      <c r="E113" s="13">
        <v>44538</v>
      </c>
      <c r="F113" s="287">
        <v>1815879096</v>
      </c>
      <c r="G113" s="261" t="s">
        <v>8641</v>
      </c>
      <c r="H113" s="8">
        <v>150000</v>
      </c>
    </row>
    <row r="114" spans="1:8" s="18" customFormat="1" ht="15.75" hidden="1" x14ac:dyDescent="0.25">
      <c r="A114" s="13">
        <v>44877</v>
      </c>
      <c r="B114" s="260" t="s">
        <v>10304</v>
      </c>
      <c r="C114" s="19">
        <v>591121</v>
      </c>
      <c r="D114" s="34"/>
      <c r="E114" s="13">
        <v>44538</v>
      </c>
      <c r="F114" s="287">
        <v>1815879097</v>
      </c>
      <c r="G114" s="261" t="s">
        <v>7871</v>
      </c>
      <c r="H114" s="8">
        <v>400000</v>
      </c>
    </row>
    <row r="115" spans="1:8" s="18" customFormat="1" ht="15.75" hidden="1" x14ac:dyDescent="0.25">
      <c r="A115" s="13">
        <v>44884</v>
      </c>
      <c r="B115" s="260" t="s">
        <v>10338</v>
      </c>
      <c r="C115" s="19">
        <v>4650000</v>
      </c>
      <c r="D115" s="34"/>
      <c r="E115" s="13">
        <v>44538</v>
      </c>
      <c r="F115" s="287">
        <v>1815879098</v>
      </c>
      <c r="G115" s="261" t="s">
        <v>7090</v>
      </c>
      <c r="H115" s="8">
        <v>0</v>
      </c>
    </row>
    <row r="116" spans="1:8" s="18" customFormat="1" ht="15.75" hidden="1" x14ac:dyDescent="0.25">
      <c r="A116" s="13">
        <v>44884</v>
      </c>
      <c r="B116" s="260" t="s">
        <v>10338</v>
      </c>
      <c r="C116" s="19">
        <v>3779172</v>
      </c>
      <c r="D116" s="34"/>
      <c r="E116" s="13">
        <v>44538</v>
      </c>
      <c r="F116" s="287">
        <v>1815879099</v>
      </c>
      <c r="G116" s="261" t="s">
        <v>8642</v>
      </c>
      <c r="H116" s="8">
        <v>150000</v>
      </c>
    </row>
    <row r="117" spans="1:8" s="18" customFormat="1" ht="15.75" hidden="1" x14ac:dyDescent="0.25">
      <c r="A117" s="13">
        <v>44884</v>
      </c>
      <c r="B117" s="260" t="s">
        <v>10338</v>
      </c>
      <c r="C117" s="19">
        <v>50000</v>
      </c>
      <c r="D117" s="34"/>
      <c r="E117" s="13">
        <v>44538</v>
      </c>
      <c r="F117" s="287">
        <v>1815879100</v>
      </c>
      <c r="G117" s="261" t="s">
        <v>8642</v>
      </c>
      <c r="H117" s="8">
        <v>150000</v>
      </c>
    </row>
    <row r="118" spans="1:8" s="18" customFormat="1" ht="15.75" hidden="1" x14ac:dyDescent="0.25">
      <c r="A118" s="13">
        <v>44884</v>
      </c>
      <c r="B118" s="260" t="s">
        <v>10339</v>
      </c>
      <c r="C118" s="19">
        <v>39014</v>
      </c>
      <c r="D118" s="34"/>
      <c r="E118" s="13">
        <v>44539</v>
      </c>
      <c r="F118" s="287">
        <v>1815879101</v>
      </c>
      <c r="G118" s="261" t="s">
        <v>7241</v>
      </c>
      <c r="H118" s="8">
        <v>50000</v>
      </c>
    </row>
    <row r="119" spans="1:8" s="18" customFormat="1" ht="15.75" hidden="1" x14ac:dyDescent="0.25">
      <c r="A119" s="13">
        <v>44891</v>
      </c>
      <c r="B119" s="260" t="s">
        <v>10382</v>
      </c>
      <c r="C119" s="19">
        <v>310329</v>
      </c>
      <c r="D119" s="34"/>
      <c r="E119" s="13">
        <v>44544</v>
      </c>
      <c r="F119" s="287">
        <v>1815879102</v>
      </c>
      <c r="G119" s="261" t="s">
        <v>8654</v>
      </c>
      <c r="H119" s="8">
        <v>159174</v>
      </c>
    </row>
    <row r="120" spans="1:8" s="18" customFormat="1" ht="15.75" hidden="1" x14ac:dyDescent="0.25">
      <c r="A120" s="13">
        <v>44898</v>
      </c>
      <c r="B120" s="260" t="s">
        <v>10481</v>
      </c>
      <c r="C120" s="19">
        <v>188568</v>
      </c>
      <c r="D120" s="34"/>
      <c r="E120" s="13">
        <v>44551</v>
      </c>
      <c r="F120" s="287">
        <v>1815879103</v>
      </c>
      <c r="G120" s="261" t="s">
        <v>7834</v>
      </c>
      <c r="H120" s="8">
        <v>250000</v>
      </c>
    </row>
    <row r="121" spans="1:8" s="18" customFormat="1" ht="15.75" hidden="1" x14ac:dyDescent="0.25">
      <c r="A121" s="13">
        <v>44928</v>
      </c>
      <c r="B121" s="260" t="s">
        <v>10451</v>
      </c>
      <c r="C121" s="19">
        <v>337081</v>
      </c>
      <c r="D121" s="34"/>
      <c r="E121" s="13">
        <v>44551</v>
      </c>
      <c r="F121" s="287">
        <v>1815879104</v>
      </c>
      <c r="G121" s="261" t="s">
        <v>5328</v>
      </c>
      <c r="H121" s="8">
        <v>100000</v>
      </c>
    </row>
    <row r="122" spans="1:8" s="18" customFormat="1" ht="15.75" hidden="1" x14ac:dyDescent="0.25">
      <c r="A122" s="13">
        <v>44940</v>
      </c>
      <c r="B122" s="260" t="s">
        <v>10731</v>
      </c>
      <c r="C122" s="19">
        <v>188568</v>
      </c>
      <c r="D122" s="34"/>
      <c r="E122" s="13">
        <v>44551</v>
      </c>
      <c r="F122" s="287">
        <v>1815879105</v>
      </c>
      <c r="G122" s="261" t="s">
        <v>8682</v>
      </c>
      <c r="H122" s="8">
        <v>50000</v>
      </c>
    </row>
    <row r="123" spans="1:8" s="18" customFormat="1" ht="15.75" hidden="1" x14ac:dyDescent="0.25">
      <c r="A123" s="13">
        <v>44942</v>
      </c>
      <c r="B123" s="260" t="s">
        <v>10542</v>
      </c>
      <c r="C123" s="19">
        <v>70646</v>
      </c>
      <c r="D123" s="34"/>
      <c r="E123" s="13">
        <v>44554</v>
      </c>
      <c r="F123" s="287">
        <v>1815879106</v>
      </c>
      <c r="G123" s="261" t="s">
        <v>5328</v>
      </c>
      <c r="H123" s="8">
        <v>300000</v>
      </c>
    </row>
    <row r="124" spans="1:8" s="18" customFormat="1" ht="15.75" hidden="1" x14ac:dyDescent="0.25">
      <c r="A124" s="13">
        <v>44945</v>
      </c>
      <c r="B124" s="260" t="s">
        <v>10756</v>
      </c>
      <c r="C124" s="19">
        <v>188568</v>
      </c>
      <c r="D124" s="34"/>
      <c r="E124" s="13">
        <v>44554</v>
      </c>
      <c r="F124" s="287">
        <v>1815879107</v>
      </c>
      <c r="G124" s="261" t="s">
        <v>8697</v>
      </c>
      <c r="H124" s="8">
        <v>150000</v>
      </c>
    </row>
    <row r="125" spans="1:8" s="18" customFormat="1" ht="15.75" hidden="1" x14ac:dyDescent="0.25">
      <c r="A125" s="13">
        <v>44953</v>
      </c>
      <c r="B125" s="260" t="s">
        <v>10541</v>
      </c>
      <c r="C125" s="19">
        <v>486827</v>
      </c>
      <c r="D125" s="34"/>
      <c r="E125" s="13">
        <v>44554</v>
      </c>
      <c r="F125" s="287">
        <v>1815879108</v>
      </c>
      <c r="G125" s="261" t="s">
        <v>8698</v>
      </c>
      <c r="H125" s="8">
        <v>100000</v>
      </c>
    </row>
    <row r="126" spans="1:8" s="18" customFormat="1" ht="15.75" hidden="1" x14ac:dyDescent="0.25">
      <c r="A126" s="13">
        <v>44958</v>
      </c>
      <c r="B126" s="260" t="s">
        <v>10562</v>
      </c>
      <c r="C126" s="19">
        <v>337081</v>
      </c>
      <c r="D126" s="34"/>
      <c r="E126" s="13">
        <v>44566</v>
      </c>
      <c r="F126" s="287">
        <v>1815879109</v>
      </c>
      <c r="G126" s="261" t="s">
        <v>8261</v>
      </c>
      <c r="H126" s="8">
        <v>290000</v>
      </c>
    </row>
    <row r="127" spans="1:8" s="18" customFormat="1" ht="15.75" hidden="1" x14ac:dyDescent="0.25">
      <c r="A127" s="13">
        <v>44967</v>
      </c>
      <c r="B127" s="260" t="s">
        <v>10608</v>
      </c>
      <c r="C127" s="19">
        <v>620658</v>
      </c>
      <c r="D127" s="34"/>
      <c r="E127" s="13">
        <v>44570</v>
      </c>
      <c r="F127" s="287">
        <v>1830075530</v>
      </c>
      <c r="G127" s="261" t="s">
        <v>7871</v>
      </c>
      <c r="H127" s="8">
        <v>350000</v>
      </c>
    </row>
    <row r="128" spans="1:8" s="18" customFormat="1" ht="15.75" hidden="1" x14ac:dyDescent="0.25">
      <c r="A128" s="13">
        <v>44973</v>
      </c>
      <c r="B128" s="260" t="s">
        <v>10757</v>
      </c>
      <c r="C128" s="19">
        <v>188568</v>
      </c>
      <c r="D128" s="34"/>
      <c r="E128" s="13">
        <v>44570</v>
      </c>
      <c r="F128" s="287">
        <v>1830075531</v>
      </c>
      <c r="G128" s="261" t="s">
        <v>8261</v>
      </c>
      <c r="H128" s="8">
        <v>30000</v>
      </c>
    </row>
    <row r="129" spans="1:8" s="18" customFormat="1" ht="15.75" hidden="1" x14ac:dyDescent="0.25">
      <c r="A129" s="13">
        <v>44986</v>
      </c>
      <c r="B129" s="260" t="s">
        <v>10689</v>
      </c>
      <c r="C129" s="19">
        <v>337081</v>
      </c>
      <c r="D129" s="34"/>
      <c r="E129" s="13">
        <v>44572</v>
      </c>
      <c r="F129" s="287">
        <v>1830075532</v>
      </c>
      <c r="G129" s="261" t="s">
        <v>8750</v>
      </c>
      <c r="H129" s="8">
        <v>127386</v>
      </c>
    </row>
    <row r="130" spans="1:8" s="18" customFormat="1" ht="15.75" hidden="1" x14ac:dyDescent="0.25">
      <c r="A130" s="13">
        <v>44986</v>
      </c>
      <c r="B130" s="260" t="s">
        <v>10339</v>
      </c>
      <c r="C130" s="19">
        <v>49804</v>
      </c>
      <c r="D130" s="34"/>
      <c r="E130" s="13">
        <v>44574</v>
      </c>
      <c r="F130" s="287">
        <v>1830075533</v>
      </c>
      <c r="G130" s="261" t="s">
        <v>5328</v>
      </c>
      <c r="H130" s="8">
        <v>200000</v>
      </c>
    </row>
    <row r="131" spans="1:8" s="18" customFormat="1" ht="15.75" hidden="1" x14ac:dyDescent="0.25">
      <c r="A131" s="13">
        <v>44993</v>
      </c>
      <c r="B131" s="260" t="s">
        <v>10745</v>
      </c>
      <c r="C131" s="19">
        <v>310329</v>
      </c>
      <c r="D131" s="34"/>
      <c r="E131" s="13">
        <v>44574</v>
      </c>
      <c r="F131" s="287">
        <v>1830075534</v>
      </c>
      <c r="G131" s="261" t="s">
        <v>8610</v>
      </c>
      <c r="H131" s="8">
        <v>150000</v>
      </c>
    </row>
    <row r="132" spans="1:8" s="18" customFormat="1" ht="15.75" hidden="1" x14ac:dyDescent="0.25">
      <c r="A132" s="13">
        <v>44998</v>
      </c>
      <c r="B132" s="260" t="s">
        <v>10751</v>
      </c>
      <c r="C132" s="19">
        <v>45000</v>
      </c>
      <c r="D132" s="34"/>
      <c r="E132" s="13">
        <v>44575</v>
      </c>
      <c r="F132" s="287">
        <v>1830075535</v>
      </c>
      <c r="G132" s="261" t="s">
        <v>8777</v>
      </c>
      <c r="H132" s="8">
        <v>50000</v>
      </c>
    </row>
    <row r="133" spans="1:8" s="18" customFormat="1" ht="15.75" hidden="1" x14ac:dyDescent="0.25">
      <c r="A133" s="13">
        <v>45000</v>
      </c>
      <c r="B133" s="260" t="s">
        <v>10776</v>
      </c>
      <c r="C133" s="19">
        <v>188568</v>
      </c>
      <c r="D133" s="34"/>
      <c r="E133" s="13">
        <v>44578</v>
      </c>
      <c r="F133" s="287">
        <v>1830075536</v>
      </c>
      <c r="G133" s="261" t="s">
        <v>8778</v>
      </c>
      <c r="H133" s="8">
        <v>100000</v>
      </c>
    </row>
    <row r="134" spans="1:8" s="18" customFormat="1" ht="15.75" hidden="1" x14ac:dyDescent="0.25">
      <c r="A134" s="13">
        <v>45012</v>
      </c>
      <c r="B134" s="260" t="s">
        <v>10851</v>
      </c>
      <c r="C134" s="19">
        <v>337081</v>
      </c>
      <c r="D134" s="34"/>
      <c r="E134" s="13">
        <v>44578</v>
      </c>
      <c r="F134" s="287">
        <v>1830075537</v>
      </c>
      <c r="G134" s="261" t="s">
        <v>8778</v>
      </c>
      <c r="H134" s="8">
        <v>38000</v>
      </c>
    </row>
    <row r="135" spans="1:8" s="18" customFormat="1" ht="15.75" hidden="1" x14ac:dyDescent="0.25">
      <c r="A135" s="13">
        <v>45023</v>
      </c>
      <c r="B135" s="260" t="s">
        <v>10988</v>
      </c>
      <c r="C135" s="19">
        <v>700000</v>
      </c>
      <c r="D135" s="34"/>
      <c r="E135" s="13">
        <v>44578</v>
      </c>
      <c r="F135" s="287">
        <v>1830075538</v>
      </c>
      <c r="G135" s="261" t="s">
        <v>8779</v>
      </c>
      <c r="H135" s="8">
        <v>250000</v>
      </c>
    </row>
    <row r="136" spans="1:8" s="18" customFormat="1" ht="15.75" hidden="1" x14ac:dyDescent="0.25">
      <c r="A136" s="13">
        <v>45023</v>
      </c>
      <c r="B136" s="260" t="s">
        <v>10983</v>
      </c>
      <c r="C136" s="19">
        <v>200148</v>
      </c>
      <c r="D136" s="34"/>
      <c r="E136" s="13">
        <v>44578</v>
      </c>
      <c r="F136" s="287">
        <v>1830075539</v>
      </c>
      <c r="G136" s="261" t="s">
        <v>8779</v>
      </c>
      <c r="H136" s="8">
        <v>250000</v>
      </c>
    </row>
    <row r="137" spans="1:8" s="18" customFormat="1" ht="15.75" hidden="1" x14ac:dyDescent="0.25">
      <c r="A137" s="13">
        <v>45028</v>
      </c>
      <c r="B137" s="260" t="s">
        <v>10984</v>
      </c>
      <c r="C137" s="19">
        <v>188568</v>
      </c>
      <c r="D137" s="34"/>
      <c r="E137" s="13">
        <v>44578</v>
      </c>
      <c r="F137" s="287">
        <v>1830075540</v>
      </c>
      <c r="G137" s="261" t="s">
        <v>8779</v>
      </c>
      <c r="H137" s="8">
        <v>250000</v>
      </c>
    </row>
    <row r="138" spans="1:8" s="18" customFormat="1" ht="15.75" hidden="1" x14ac:dyDescent="0.25">
      <c r="A138" s="13">
        <v>45029</v>
      </c>
      <c r="B138" s="260" t="s">
        <v>11139</v>
      </c>
      <c r="C138" s="19">
        <v>3509561</v>
      </c>
      <c r="D138" s="34"/>
      <c r="E138" s="13">
        <v>44578</v>
      </c>
      <c r="F138" s="287">
        <v>1830075541</v>
      </c>
      <c r="G138" s="261" t="s">
        <v>8779</v>
      </c>
      <c r="H138" s="8">
        <v>250000</v>
      </c>
    </row>
    <row r="139" spans="1:8" s="18" customFormat="1" ht="15.75" hidden="1" x14ac:dyDescent="0.25">
      <c r="A139" s="13">
        <v>45029</v>
      </c>
      <c r="B139" s="260" t="s">
        <v>10985</v>
      </c>
      <c r="C139" s="19">
        <v>310329</v>
      </c>
      <c r="D139" s="34"/>
      <c r="E139" s="13">
        <v>44581</v>
      </c>
      <c r="F139" s="287">
        <v>1830075542</v>
      </c>
      <c r="G139" s="261" t="s">
        <v>8799</v>
      </c>
      <c r="H139" s="8">
        <v>170000</v>
      </c>
    </row>
    <row r="140" spans="1:8" s="18" customFormat="1" ht="15.75" hidden="1" x14ac:dyDescent="0.25">
      <c r="A140" s="13">
        <v>45031</v>
      </c>
      <c r="B140" s="260" t="s">
        <v>10989</v>
      </c>
      <c r="C140" s="19">
        <v>1022000</v>
      </c>
      <c r="D140" s="34"/>
      <c r="E140" s="13">
        <v>44581</v>
      </c>
      <c r="F140" s="287">
        <v>1830075543</v>
      </c>
      <c r="G140" s="261" t="s">
        <v>5328</v>
      </c>
      <c r="H140" s="8">
        <v>100000</v>
      </c>
    </row>
    <row r="141" spans="1:8" s="18" customFormat="1" ht="15.75" hidden="1" x14ac:dyDescent="0.25">
      <c r="A141" s="13">
        <v>45033</v>
      </c>
      <c r="B141" s="260" t="s">
        <v>11139</v>
      </c>
      <c r="C141" s="19">
        <v>3509561</v>
      </c>
      <c r="D141" s="34"/>
      <c r="E141" s="13">
        <v>44586</v>
      </c>
      <c r="F141" s="287">
        <v>1830075544</v>
      </c>
      <c r="G141" s="261" t="s">
        <v>7834</v>
      </c>
      <c r="H141" s="8">
        <v>220000</v>
      </c>
    </row>
    <row r="142" spans="1:8" s="18" customFormat="1" ht="15.75" hidden="1" x14ac:dyDescent="0.25">
      <c r="A142" s="13">
        <v>45034</v>
      </c>
      <c r="B142" s="260" t="s">
        <v>11140</v>
      </c>
      <c r="C142" s="19">
        <v>3509561</v>
      </c>
      <c r="D142" s="34"/>
      <c r="E142" s="13">
        <v>44586</v>
      </c>
      <c r="F142" s="287">
        <v>1830075545</v>
      </c>
      <c r="G142" s="261" t="s">
        <v>8573</v>
      </c>
      <c r="H142" s="8">
        <v>100000</v>
      </c>
    </row>
    <row r="143" spans="1:8" s="18" customFormat="1" ht="15.75" hidden="1" x14ac:dyDescent="0.25">
      <c r="A143" s="13">
        <v>45048</v>
      </c>
      <c r="B143" s="260" t="s">
        <v>11118</v>
      </c>
      <c r="C143" s="19">
        <v>337081</v>
      </c>
      <c r="D143" s="34"/>
      <c r="E143" s="13">
        <v>44587</v>
      </c>
      <c r="F143" s="287">
        <v>1830075546</v>
      </c>
      <c r="G143" s="261" t="s">
        <v>8261</v>
      </c>
      <c r="H143" s="8">
        <v>200000</v>
      </c>
    </row>
    <row r="144" spans="1:8" s="18" customFormat="1" ht="15.75" hidden="1" x14ac:dyDescent="0.25">
      <c r="A144" s="13">
        <v>45049</v>
      </c>
      <c r="B144" s="260" t="s">
        <v>11119</v>
      </c>
      <c r="C144" s="19">
        <v>5231157</v>
      </c>
      <c r="D144" s="34"/>
      <c r="E144" s="13">
        <v>44592</v>
      </c>
      <c r="F144" s="287">
        <v>1830075547</v>
      </c>
      <c r="G144" s="261" t="s">
        <v>8830</v>
      </c>
      <c r="H144" s="8">
        <v>50000</v>
      </c>
    </row>
    <row r="145" spans="1:8" s="18" customFormat="1" ht="15.75" x14ac:dyDescent="0.25">
      <c r="A145" s="13"/>
      <c r="B145" s="260"/>
      <c r="C145" s="19"/>
      <c r="D145" s="34"/>
      <c r="E145" s="13">
        <v>44592</v>
      </c>
      <c r="F145" s="287">
        <v>1830075548</v>
      </c>
      <c r="G145" s="261" t="s">
        <v>8831</v>
      </c>
      <c r="H145" s="8">
        <v>60000</v>
      </c>
    </row>
    <row r="146" spans="1:8" s="18" customFormat="1" ht="15.75" x14ac:dyDescent="0.25">
      <c r="A146" s="13"/>
      <c r="B146" s="260"/>
      <c r="C146" s="19"/>
      <c r="D146" s="34"/>
      <c r="E146" s="13">
        <v>44595</v>
      </c>
      <c r="F146" s="287">
        <v>1830075549</v>
      </c>
      <c r="G146" s="261" t="s">
        <v>8262</v>
      </c>
      <c r="H146" s="8">
        <v>150000</v>
      </c>
    </row>
    <row r="147" spans="1:8" s="18" customFormat="1" ht="15.75" x14ac:dyDescent="0.25">
      <c r="A147" s="13"/>
      <c r="B147" s="260"/>
      <c r="C147" s="19"/>
      <c r="D147" s="34"/>
      <c r="E147" s="13">
        <v>44604</v>
      </c>
      <c r="F147" s="287">
        <v>1830075550</v>
      </c>
      <c r="G147" s="261" t="s">
        <v>8840</v>
      </c>
      <c r="H147" s="264">
        <v>419449</v>
      </c>
    </row>
    <row r="148" spans="1:8" s="18" customFormat="1" ht="15.75" x14ac:dyDescent="0.25">
      <c r="A148" s="13"/>
      <c r="B148" s="260"/>
      <c r="C148" s="19"/>
      <c r="D148" s="34"/>
      <c r="E148" s="13">
        <v>44599</v>
      </c>
      <c r="F148" s="287">
        <v>1830075551</v>
      </c>
      <c r="G148" s="261" t="s">
        <v>7871</v>
      </c>
      <c r="H148" s="8">
        <v>250000</v>
      </c>
    </row>
    <row r="149" spans="1:8" s="18" customFormat="1" ht="15.75" x14ac:dyDescent="0.25">
      <c r="A149" s="13"/>
      <c r="B149" s="260"/>
      <c r="C149" s="19"/>
      <c r="D149" s="34"/>
      <c r="E149" s="13">
        <v>44599</v>
      </c>
      <c r="F149" s="287">
        <v>1830075552</v>
      </c>
      <c r="G149" s="261" t="s">
        <v>5328</v>
      </c>
      <c r="H149" s="8">
        <v>250000</v>
      </c>
    </row>
    <row r="150" spans="1:8" s="18" customFormat="1" ht="15.75" x14ac:dyDescent="0.25">
      <c r="A150" s="13"/>
      <c r="B150" s="260"/>
      <c r="C150" s="19"/>
      <c r="D150" s="34"/>
      <c r="E150" s="13">
        <v>44602</v>
      </c>
      <c r="F150" s="287">
        <v>1830075553</v>
      </c>
      <c r="G150" s="261" t="s">
        <v>8697</v>
      </c>
      <c r="H150" s="8">
        <v>100000</v>
      </c>
    </row>
    <row r="151" spans="1:8" s="18" customFormat="1" ht="15.75" x14ac:dyDescent="0.25">
      <c r="A151" s="13"/>
      <c r="B151" s="260"/>
      <c r="C151" s="19"/>
      <c r="D151" s="34"/>
      <c r="E151" s="13">
        <v>44602</v>
      </c>
      <c r="F151" s="287">
        <v>1830075554</v>
      </c>
      <c r="G151" s="261" t="s">
        <v>5328</v>
      </c>
      <c r="H151" s="8">
        <v>100000</v>
      </c>
    </row>
    <row r="152" spans="1:8" s="18" customFormat="1" ht="15.75" x14ac:dyDescent="0.25">
      <c r="A152" s="13"/>
      <c r="B152" s="260"/>
      <c r="C152" s="19"/>
      <c r="D152" s="34"/>
      <c r="E152" s="13">
        <v>44610</v>
      </c>
      <c r="F152" s="287">
        <v>1830075555</v>
      </c>
      <c r="G152" s="261" t="s">
        <v>8896</v>
      </c>
      <c r="H152" s="8">
        <v>400000</v>
      </c>
    </row>
    <row r="153" spans="1:8" s="18" customFormat="1" ht="15.75" x14ac:dyDescent="0.25">
      <c r="A153" s="13"/>
      <c r="B153" s="260"/>
      <c r="C153" s="19"/>
      <c r="D153" s="34"/>
      <c r="E153" s="13">
        <v>44610</v>
      </c>
      <c r="F153" s="287">
        <v>1830075556</v>
      </c>
      <c r="G153" s="261" t="s">
        <v>8897</v>
      </c>
      <c r="H153" s="8">
        <v>75000</v>
      </c>
    </row>
    <row r="154" spans="1:8" s="18" customFormat="1" ht="15.75" x14ac:dyDescent="0.25">
      <c r="A154" s="13"/>
      <c r="B154" s="260"/>
      <c r="C154" s="19"/>
      <c r="D154" s="34"/>
      <c r="E154" s="13">
        <v>44610</v>
      </c>
      <c r="F154" s="287">
        <v>1830075557</v>
      </c>
      <c r="G154" s="261" t="s">
        <v>8898</v>
      </c>
      <c r="H154" s="8">
        <v>166000</v>
      </c>
    </row>
    <row r="155" spans="1:8" s="18" customFormat="1" ht="15.75" x14ac:dyDescent="0.25">
      <c r="A155" s="13"/>
      <c r="B155" s="260"/>
      <c r="C155" s="19"/>
      <c r="D155" s="34"/>
      <c r="E155" s="13">
        <v>44610</v>
      </c>
      <c r="F155" s="287">
        <v>1830075558</v>
      </c>
      <c r="G155" s="261" t="s">
        <v>8261</v>
      </c>
      <c r="H155" s="8">
        <v>150000</v>
      </c>
    </row>
    <row r="156" spans="1:8" s="18" customFormat="1" ht="15.75" x14ac:dyDescent="0.25">
      <c r="A156" s="13"/>
      <c r="B156" s="260"/>
      <c r="C156" s="19"/>
      <c r="D156" s="34"/>
      <c r="E156" s="13">
        <v>44610</v>
      </c>
      <c r="F156" s="287">
        <v>1830075559</v>
      </c>
      <c r="G156" s="261" t="s">
        <v>5328</v>
      </c>
      <c r="H156" s="8">
        <v>300000</v>
      </c>
    </row>
    <row r="157" spans="1:8" s="18" customFormat="1" ht="15.75" x14ac:dyDescent="0.25">
      <c r="A157" s="13"/>
      <c r="B157" s="260"/>
      <c r="C157" s="19"/>
      <c r="D157" s="34"/>
      <c r="E157" s="13">
        <v>44610</v>
      </c>
      <c r="F157" s="287">
        <v>1830075560</v>
      </c>
      <c r="G157" s="261" t="s">
        <v>5328</v>
      </c>
      <c r="H157" s="8">
        <v>200000</v>
      </c>
    </row>
    <row r="158" spans="1:8" s="18" customFormat="1" ht="15.75" x14ac:dyDescent="0.25">
      <c r="A158" s="13"/>
      <c r="B158" s="260"/>
      <c r="C158" s="19"/>
      <c r="D158" s="34"/>
      <c r="E158" s="13">
        <v>44623</v>
      </c>
      <c r="F158" s="287">
        <v>1830075561</v>
      </c>
      <c r="G158" s="261" t="s">
        <v>8927</v>
      </c>
      <c r="H158" s="8">
        <v>250000</v>
      </c>
    </row>
    <row r="159" spans="1:8" s="18" customFormat="1" ht="15.75" x14ac:dyDescent="0.25">
      <c r="A159" s="13"/>
      <c r="B159" s="260"/>
      <c r="C159" s="19"/>
      <c r="D159" s="34"/>
      <c r="E159" s="13">
        <v>44623</v>
      </c>
      <c r="F159" s="287">
        <v>1830075562</v>
      </c>
      <c r="G159" s="261" t="s">
        <v>8927</v>
      </c>
      <c r="H159" s="8">
        <v>250000</v>
      </c>
    </row>
    <row r="160" spans="1:8" s="18" customFormat="1" ht="15.75" x14ac:dyDescent="0.25">
      <c r="A160" s="13"/>
      <c r="B160" s="260"/>
      <c r="C160" s="19"/>
      <c r="D160" s="34"/>
      <c r="E160" s="13">
        <v>44627</v>
      </c>
      <c r="F160" s="287">
        <v>1830075563</v>
      </c>
      <c r="G160" s="339" t="s">
        <v>8950</v>
      </c>
      <c r="H160" s="8">
        <v>174399</v>
      </c>
    </row>
    <row r="161" spans="1:8" s="18" customFormat="1" ht="15.75" x14ac:dyDescent="0.25">
      <c r="A161" s="13"/>
      <c r="B161" s="260"/>
      <c r="C161" s="19"/>
      <c r="D161" s="34"/>
      <c r="E161" s="13">
        <v>44627</v>
      </c>
      <c r="F161" s="287">
        <v>1830075564</v>
      </c>
      <c r="G161" s="341" t="s">
        <v>7090</v>
      </c>
      <c r="H161" s="8">
        <v>0</v>
      </c>
    </row>
    <row r="162" spans="1:8" s="18" customFormat="1" ht="15.75" x14ac:dyDescent="0.25">
      <c r="A162" s="13"/>
      <c r="B162" s="260"/>
      <c r="C162" s="19"/>
      <c r="D162" s="34"/>
      <c r="E162" s="13">
        <v>44627</v>
      </c>
      <c r="F162" s="287">
        <v>1830075565</v>
      </c>
      <c r="G162" s="261" t="s">
        <v>8926</v>
      </c>
      <c r="H162" s="8">
        <v>82000</v>
      </c>
    </row>
    <row r="163" spans="1:8" s="18" customFormat="1" ht="15.75" x14ac:dyDescent="0.25">
      <c r="A163" s="13"/>
      <c r="B163" s="260"/>
      <c r="C163" s="19"/>
      <c r="D163" s="34"/>
      <c r="E163" s="13">
        <v>44627</v>
      </c>
      <c r="F163" s="287">
        <v>1830075566</v>
      </c>
      <c r="G163" s="341" t="s">
        <v>7090</v>
      </c>
      <c r="H163" s="8">
        <v>0</v>
      </c>
    </row>
    <row r="164" spans="1:8" s="18" customFormat="1" ht="15.75" x14ac:dyDescent="0.25">
      <c r="A164" s="13"/>
      <c r="B164" s="260"/>
      <c r="C164" s="19"/>
      <c r="D164" s="34"/>
      <c r="E164" s="13">
        <v>44627</v>
      </c>
      <c r="F164" s="287">
        <v>1830075567</v>
      </c>
      <c r="G164" s="341" t="s">
        <v>7090</v>
      </c>
      <c r="H164" s="8">
        <v>0</v>
      </c>
    </row>
    <row r="165" spans="1:8" s="18" customFormat="1" ht="15.75" x14ac:dyDescent="0.25">
      <c r="A165" s="13"/>
      <c r="B165" s="260"/>
      <c r="C165" s="19"/>
      <c r="D165" s="34"/>
      <c r="E165" s="13">
        <v>44628</v>
      </c>
      <c r="F165" s="287">
        <v>1830075568</v>
      </c>
      <c r="G165" s="261" t="s">
        <v>8942</v>
      </c>
      <c r="H165" s="8">
        <v>100000</v>
      </c>
    </row>
    <row r="166" spans="1:8" s="18" customFormat="1" ht="15.75" x14ac:dyDescent="0.25">
      <c r="A166" s="13"/>
      <c r="B166" s="260"/>
      <c r="C166" s="19"/>
      <c r="D166" s="34"/>
      <c r="E166" s="13">
        <v>44628</v>
      </c>
      <c r="F166" s="287">
        <v>1830075569</v>
      </c>
      <c r="G166" s="261" t="s">
        <v>8942</v>
      </c>
      <c r="H166" s="8">
        <v>83000</v>
      </c>
    </row>
    <row r="167" spans="1:8" s="18" customFormat="1" ht="15.75" x14ac:dyDescent="0.25">
      <c r="A167" s="13"/>
      <c r="B167" s="260"/>
      <c r="C167" s="19"/>
      <c r="D167" s="34"/>
      <c r="E167" s="13">
        <v>44628</v>
      </c>
      <c r="F167" s="287">
        <v>1830075570</v>
      </c>
      <c r="G167" s="341" t="s">
        <v>7090</v>
      </c>
      <c r="H167" s="8">
        <v>0</v>
      </c>
    </row>
    <row r="168" spans="1:8" s="18" customFormat="1" ht="15.75" x14ac:dyDescent="0.25">
      <c r="A168" s="13"/>
      <c r="B168" s="260"/>
      <c r="C168" s="19"/>
      <c r="D168" s="34"/>
      <c r="E168" s="13">
        <v>44630</v>
      </c>
      <c r="F168" s="287">
        <v>1830075571</v>
      </c>
      <c r="G168" s="261" t="s">
        <v>7581</v>
      </c>
      <c r="H168" s="8">
        <v>300000</v>
      </c>
    </row>
    <row r="169" spans="1:8" s="18" customFormat="1" ht="15.75" x14ac:dyDescent="0.25">
      <c r="A169" s="13"/>
      <c r="B169" s="260"/>
      <c r="C169" s="19"/>
      <c r="D169" s="34"/>
      <c r="E169" s="13">
        <v>44630</v>
      </c>
      <c r="F169" s="287">
        <v>1830075572</v>
      </c>
      <c r="G169" s="261" t="s">
        <v>8927</v>
      </c>
      <c r="H169" s="8">
        <v>250000</v>
      </c>
    </row>
    <row r="170" spans="1:8" s="18" customFormat="1" ht="15.75" x14ac:dyDescent="0.25">
      <c r="A170" s="13"/>
      <c r="B170" s="260"/>
      <c r="C170" s="19"/>
      <c r="D170" s="34"/>
      <c r="E170" s="13">
        <v>44630</v>
      </c>
      <c r="F170" s="287">
        <v>1830075573</v>
      </c>
      <c r="G170" s="261" t="s">
        <v>8927</v>
      </c>
      <c r="H170" s="8">
        <v>250000</v>
      </c>
    </row>
    <row r="171" spans="1:8" s="623" customFormat="1" ht="47.25" x14ac:dyDescent="0.25">
      <c r="A171" s="13"/>
      <c r="B171" s="619"/>
      <c r="C171" s="8"/>
      <c r="D171" s="620"/>
      <c r="E171" s="13">
        <v>44634</v>
      </c>
      <c r="F171" s="621">
        <v>1830075574</v>
      </c>
      <c r="G171" s="622" t="s">
        <v>8958</v>
      </c>
      <c r="H171" s="8">
        <v>250000</v>
      </c>
    </row>
    <row r="172" spans="1:8" s="18" customFormat="1" ht="47.25" x14ac:dyDescent="0.25">
      <c r="A172" s="13"/>
      <c r="B172" s="260"/>
      <c r="C172" s="19"/>
      <c r="D172" s="34"/>
      <c r="E172" s="13">
        <v>44634</v>
      </c>
      <c r="F172" s="287">
        <v>1830075575</v>
      </c>
      <c r="G172" s="342" t="s">
        <v>8959</v>
      </c>
      <c r="H172" s="8">
        <v>250000</v>
      </c>
    </row>
    <row r="173" spans="1:8" s="18" customFormat="1" ht="15.75" x14ac:dyDescent="0.25">
      <c r="A173" s="13"/>
      <c r="B173" s="619"/>
      <c r="C173" s="8"/>
      <c r="D173" s="34"/>
      <c r="E173" s="13">
        <v>44634</v>
      </c>
      <c r="F173" s="287">
        <v>1830075576</v>
      </c>
      <c r="G173" s="261" t="s">
        <v>8968</v>
      </c>
      <c r="H173" s="8">
        <v>100000</v>
      </c>
    </row>
    <row r="174" spans="1:8" s="18" customFormat="1" ht="15.75" x14ac:dyDescent="0.25">
      <c r="A174" s="13"/>
      <c r="B174" s="260"/>
      <c r="C174" s="19"/>
      <c r="D174" s="34"/>
      <c r="E174" s="13">
        <v>44634</v>
      </c>
      <c r="F174" s="287">
        <v>1830075577</v>
      </c>
      <c r="G174" s="261" t="s">
        <v>8969</v>
      </c>
      <c r="H174" s="8">
        <v>100000</v>
      </c>
    </row>
    <row r="175" spans="1:8" s="18" customFormat="1" ht="15.75" x14ac:dyDescent="0.25">
      <c r="A175" s="13"/>
      <c r="B175" s="260"/>
      <c r="C175" s="19"/>
      <c r="D175" s="34"/>
      <c r="E175" s="13">
        <v>44635</v>
      </c>
      <c r="F175" s="287">
        <v>1830075578</v>
      </c>
      <c r="G175" s="261" t="s">
        <v>8969</v>
      </c>
      <c r="H175" s="8">
        <v>100000</v>
      </c>
    </row>
    <row r="176" spans="1:8" s="18" customFormat="1" ht="15.75" x14ac:dyDescent="0.25">
      <c r="A176" s="13"/>
      <c r="B176" s="260"/>
      <c r="C176" s="19"/>
      <c r="D176" s="34"/>
      <c r="E176" s="13">
        <v>44635</v>
      </c>
      <c r="F176" s="287">
        <v>1830075579</v>
      </c>
      <c r="G176" s="261" t="s">
        <v>8991</v>
      </c>
      <c r="H176" s="8">
        <v>75000</v>
      </c>
    </row>
    <row r="177" spans="1:8" s="18" customFormat="1" ht="15.75" x14ac:dyDescent="0.25">
      <c r="A177" s="13"/>
      <c r="B177" s="260"/>
      <c r="C177" s="19"/>
      <c r="D177" s="34"/>
      <c r="E177" s="13">
        <v>44644</v>
      </c>
      <c r="F177" s="355">
        <v>1838586950</v>
      </c>
      <c r="G177" s="261" t="s">
        <v>9037</v>
      </c>
      <c r="H177" s="8">
        <v>250000</v>
      </c>
    </row>
    <row r="178" spans="1:8" s="18" customFormat="1" ht="15.75" x14ac:dyDescent="0.25">
      <c r="A178" s="13"/>
      <c r="B178" s="260"/>
      <c r="C178" s="19"/>
      <c r="D178" s="34"/>
      <c r="E178" s="13">
        <v>44644</v>
      </c>
      <c r="F178" s="355">
        <v>1838586951</v>
      </c>
      <c r="G178" s="261" t="s">
        <v>8697</v>
      </c>
      <c r="H178" s="8">
        <v>100000</v>
      </c>
    </row>
    <row r="179" spans="1:8" s="18" customFormat="1" ht="15.75" x14ac:dyDescent="0.25">
      <c r="A179" s="13"/>
      <c r="B179" s="260"/>
      <c r="C179" s="19"/>
      <c r="D179" s="34"/>
      <c r="E179" s="13">
        <v>44651</v>
      </c>
      <c r="F179" s="355">
        <v>1838586952</v>
      </c>
      <c r="G179" s="261" t="s">
        <v>9038</v>
      </c>
      <c r="H179" s="8">
        <v>100000</v>
      </c>
    </row>
    <row r="180" spans="1:8" s="18" customFormat="1" ht="15.75" x14ac:dyDescent="0.25">
      <c r="A180" s="13"/>
      <c r="B180" s="260"/>
      <c r="C180" s="19"/>
      <c r="D180" s="34"/>
      <c r="E180" s="13">
        <v>44651</v>
      </c>
      <c r="F180" s="355">
        <v>1838586953</v>
      </c>
      <c r="G180" s="261" t="s">
        <v>9039</v>
      </c>
      <c r="H180" s="8">
        <v>150000</v>
      </c>
    </row>
    <row r="181" spans="1:8" s="18" customFormat="1" ht="15.75" x14ac:dyDescent="0.25">
      <c r="A181" s="259"/>
      <c r="B181" s="260"/>
      <c r="C181" s="19"/>
      <c r="D181" s="34"/>
      <c r="E181" s="13">
        <v>44651</v>
      </c>
      <c r="F181" s="355">
        <v>1838586954</v>
      </c>
      <c r="G181" s="261" t="s">
        <v>5328</v>
      </c>
      <c r="H181" s="8">
        <v>100000</v>
      </c>
    </row>
    <row r="182" spans="1:8" s="18" customFormat="1" ht="15.75" x14ac:dyDescent="0.25">
      <c r="A182" s="259"/>
      <c r="B182" s="260"/>
      <c r="C182" s="19"/>
      <c r="D182" s="34"/>
      <c r="E182" s="13">
        <v>44651</v>
      </c>
      <c r="F182" s="355">
        <v>1838586955</v>
      </c>
      <c r="G182" s="261" t="s">
        <v>5978</v>
      </c>
      <c r="H182" s="8">
        <v>158000</v>
      </c>
    </row>
    <row r="183" spans="1:8" s="18" customFormat="1" ht="15.75" x14ac:dyDescent="0.25">
      <c r="A183" s="259"/>
      <c r="B183" s="260"/>
      <c r="C183" s="19"/>
      <c r="D183" s="34"/>
      <c r="E183" s="13">
        <v>44656</v>
      </c>
      <c r="F183" s="355">
        <v>1838586956</v>
      </c>
      <c r="G183" s="261" t="s">
        <v>8980</v>
      </c>
      <c r="H183" s="8">
        <v>30000</v>
      </c>
    </row>
    <row r="184" spans="1:8" s="18" customFormat="1" ht="15.75" x14ac:dyDescent="0.25">
      <c r="A184" s="259"/>
      <c r="B184" s="260"/>
      <c r="C184" s="19"/>
      <c r="D184" s="34"/>
      <c r="E184" s="13">
        <v>44656</v>
      </c>
      <c r="F184" s="355">
        <v>1838586957</v>
      </c>
      <c r="G184" s="261" t="s">
        <v>8573</v>
      </c>
      <c r="H184" s="8">
        <v>30000</v>
      </c>
    </row>
    <row r="185" spans="1:8" s="18" customFormat="1" ht="15.75" x14ac:dyDescent="0.25">
      <c r="A185" s="259"/>
      <c r="B185" s="260"/>
      <c r="C185" s="19"/>
      <c r="D185" s="34"/>
      <c r="E185" s="262"/>
      <c r="F185" s="355">
        <v>1838586958</v>
      </c>
      <c r="G185" s="261" t="s">
        <v>5328</v>
      </c>
      <c r="H185" s="8">
        <v>150000</v>
      </c>
    </row>
    <row r="186" spans="1:8" s="18" customFormat="1" ht="15.75" x14ac:dyDescent="0.25">
      <c r="A186" s="259"/>
      <c r="B186" s="260"/>
      <c r="C186" s="19"/>
      <c r="D186" s="34"/>
      <c r="E186" s="262"/>
      <c r="F186" s="355">
        <v>1838586959</v>
      </c>
      <c r="G186" s="261" t="s">
        <v>8610</v>
      </c>
      <c r="H186" s="8">
        <v>150000</v>
      </c>
    </row>
    <row r="187" spans="1:8" s="18" customFormat="1" ht="15.75" x14ac:dyDescent="0.25">
      <c r="A187" s="259"/>
      <c r="B187" s="260"/>
      <c r="C187" s="19"/>
      <c r="D187" s="34"/>
      <c r="E187" s="262"/>
      <c r="F187" s="355">
        <v>1838586960</v>
      </c>
      <c r="G187" s="261"/>
      <c r="H187" s="8">
        <v>0</v>
      </c>
    </row>
    <row r="188" spans="1:8" s="18" customFormat="1" ht="15.75" x14ac:dyDescent="0.25">
      <c r="A188" s="259"/>
      <c r="B188" s="260"/>
      <c r="C188" s="19"/>
      <c r="D188" s="34"/>
      <c r="E188" s="13">
        <v>44662</v>
      </c>
      <c r="F188" s="355">
        <v>1838586961</v>
      </c>
      <c r="G188" s="261" t="s">
        <v>9074</v>
      </c>
      <c r="H188" s="8">
        <v>119968</v>
      </c>
    </row>
    <row r="189" spans="1:8" s="18" customFormat="1" ht="15.75" x14ac:dyDescent="0.25">
      <c r="A189" s="259"/>
      <c r="B189" s="260"/>
      <c r="C189" s="19"/>
      <c r="D189" s="34"/>
      <c r="E189" s="13">
        <v>44662</v>
      </c>
      <c r="F189" s="355">
        <v>1838586962</v>
      </c>
      <c r="G189" s="261" t="s">
        <v>9082</v>
      </c>
      <c r="H189" s="8">
        <v>200000</v>
      </c>
    </row>
    <row r="190" spans="1:8" s="18" customFormat="1" ht="15.75" x14ac:dyDescent="0.25">
      <c r="A190" s="259"/>
      <c r="B190" s="260"/>
      <c r="C190" s="19"/>
      <c r="D190" s="34"/>
      <c r="E190" s="13">
        <v>44662</v>
      </c>
      <c r="F190" s="355">
        <v>1838586963</v>
      </c>
      <c r="G190" s="261" t="s">
        <v>5328</v>
      </c>
      <c r="H190" s="8">
        <v>200000</v>
      </c>
    </row>
    <row r="191" spans="1:8" s="18" customFormat="1" ht="15.75" x14ac:dyDescent="0.25">
      <c r="A191" s="259"/>
      <c r="B191" s="260"/>
      <c r="C191" s="19"/>
      <c r="D191" s="34"/>
      <c r="E191" s="13">
        <v>44662</v>
      </c>
      <c r="F191" s="355">
        <v>1838586964</v>
      </c>
      <c r="G191" s="261" t="s">
        <v>9075</v>
      </c>
      <c r="H191" s="8">
        <v>50000</v>
      </c>
    </row>
    <row r="192" spans="1:8" s="18" customFormat="1" ht="15.75" x14ac:dyDescent="0.25">
      <c r="A192" s="259"/>
      <c r="B192" s="260"/>
      <c r="C192" s="19"/>
      <c r="D192" s="34"/>
      <c r="E192" s="13">
        <v>44662</v>
      </c>
      <c r="F192" s="355">
        <v>1838586965</v>
      </c>
      <c r="G192" s="261" t="s">
        <v>8610</v>
      </c>
      <c r="H192" s="8">
        <v>100000</v>
      </c>
    </row>
    <row r="193" spans="1:8" s="18" customFormat="1" ht="15.75" x14ac:dyDescent="0.25">
      <c r="A193" s="259"/>
      <c r="B193" s="260"/>
      <c r="C193" s="19"/>
      <c r="D193" s="34"/>
      <c r="E193" s="13">
        <v>44669</v>
      </c>
      <c r="F193" s="355">
        <v>1838586966</v>
      </c>
      <c r="G193" s="261" t="s">
        <v>9115</v>
      </c>
      <c r="H193" s="8">
        <v>300000</v>
      </c>
    </row>
    <row r="194" spans="1:8" s="18" customFormat="1" ht="15.75" x14ac:dyDescent="0.25">
      <c r="A194" s="259"/>
      <c r="B194" s="260"/>
      <c r="C194" s="19"/>
      <c r="D194" s="34"/>
      <c r="E194" s="13">
        <v>44669</v>
      </c>
      <c r="F194" s="355">
        <v>1838586967</v>
      </c>
      <c r="G194" s="261" t="s">
        <v>9116</v>
      </c>
      <c r="H194" s="8">
        <v>300000</v>
      </c>
    </row>
    <row r="195" spans="1:8" s="18" customFormat="1" ht="15.75" x14ac:dyDescent="0.25">
      <c r="A195" s="259"/>
      <c r="B195" s="260"/>
      <c r="C195" s="19"/>
      <c r="D195" s="34"/>
      <c r="E195" s="13">
        <v>44669</v>
      </c>
      <c r="F195" s="355">
        <v>1838586968</v>
      </c>
      <c r="G195" s="261" t="s">
        <v>7581</v>
      </c>
      <c r="H195" s="8">
        <v>150000</v>
      </c>
    </row>
    <row r="196" spans="1:8" s="18" customFormat="1" ht="15.75" x14ac:dyDescent="0.25">
      <c r="A196" s="259"/>
      <c r="B196" s="260"/>
      <c r="C196" s="19"/>
      <c r="D196" s="34"/>
      <c r="E196" s="13">
        <v>44669</v>
      </c>
      <c r="F196" s="355">
        <v>1838586969</v>
      </c>
      <c r="G196" s="261" t="s">
        <v>7581</v>
      </c>
      <c r="H196" s="8">
        <v>150000</v>
      </c>
    </row>
    <row r="197" spans="1:8" s="18" customFormat="1" ht="15.75" x14ac:dyDescent="0.25">
      <c r="A197" s="259"/>
      <c r="B197" s="260"/>
      <c r="C197" s="19"/>
      <c r="D197" s="34"/>
      <c r="E197" s="13">
        <v>44687</v>
      </c>
      <c r="F197" s="355">
        <v>1838586970</v>
      </c>
      <c r="G197" s="261" t="s">
        <v>2053</v>
      </c>
      <c r="H197" s="8">
        <v>82636</v>
      </c>
    </row>
    <row r="198" spans="1:8" s="18" customFormat="1" ht="15.75" x14ac:dyDescent="0.25">
      <c r="A198" s="259"/>
      <c r="B198" s="260"/>
      <c r="C198" s="19"/>
      <c r="D198" s="34"/>
      <c r="E198" s="13">
        <v>44687</v>
      </c>
      <c r="F198" s="355">
        <v>1838586971</v>
      </c>
      <c r="G198" s="261" t="s">
        <v>9184</v>
      </c>
      <c r="H198" s="8">
        <v>300000</v>
      </c>
    </row>
    <row r="199" spans="1:8" s="18" customFormat="1" ht="15.75" x14ac:dyDescent="0.25">
      <c r="A199" s="259"/>
      <c r="B199" s="260"/>
      <c r="C199" s="19"/>
      <c r="D199" s="34"/>
      <c r="E199" s="377">
        <v>44712</v>
      </c>
      <c r="F199" s="355">
        <v>1838586972</v>
      </c>
      <c r="G199" s="261" t="s">
        <v>9265</v>
      </c>
      <c r="H199" s="8">
        <v>327000</v>
      </c>
    </row>
    <row r="200" spans="1:8" s="18" customFormat="1" ht="15.75" x14ac:dyDescent="0.25">
      <c r="A200" s="259"/>
      <c r="B200" s="260"/>
      <c r="C200" s="19"/>
      <c r="D200" s="34"/>
      <c r="E200" s="13">
        <v>44687</v>
      </c>
      <c r="F200" s="355">
        <v>1838586973</v>
      </c>
      <c r="G200" s="261" t="s">
        <v>9168</v>
      </c>
      <c r="H200" s="8">
        <v>500000</v>
      </c>
    </row>
    <row r="201" spans="1:8" s="18" customFormat="1" ht="15.75" x14ac:dyDescent="0.25">
      <c r="A201" s="259"/>
      <c r="B201" s="260"/>
      <c r="C201" s="19"/>
      <c r="D201" s="34"/>
      <c r="E201" s="13">
        <v>44687</v>
      </c>
      <c r="F201" s="355">
        <v>1838586974</v>
      </c>
      <c r="G201" s="261" t="s">
        <v>9168</v>
      </c>
      <c r="H201" s="8">
        <v>500000</v>
      </c>
    </row>
    <row r="202" spans="1:8" s="18" customFormat="1" ht="15.75" x14ac:dyDescent="0.25">
      <c r="A202" s="259"/>
      <c r="B202" s="260"/>
      <c r="C202" s="19"/>
      <c r="D202" s="34"/>
      <c r="E202" s="13">
        <v>44687</v>
      </c>
      <c r="F202" s="355">
        <v>1838586975</v>
      </c>
      <c r="G202" s="261" t="s">
        <v>9168</v>
      </c>
      <c r="H202" s="8">
        <v>500000</v>
      </c>
    </row>
    <row r="203" spans="1:8" s="18" customFormat="1" ht="15.75" x14ac:dyDescent="0.25">
      <c r="A203" s="259"/>
      <c r="B203" s="260"/>
      <c r="C203" s="19"/>
      <c r="D203" s="34"/>
      <c r="E203" s="13">
        <v>44687</v>
      </c>
      <c r="F203" s="355">
        <v>1838586976</v>
      </c>
      <c r="G203" s="261" t="s">
        <v>9168</v>
      </c>
      <c r="H203" s="8">
        <v>500000</v>
      </c>
    </row>
    <row r="204" spans="1:8" s="18" customFormat="1" ht="15.75" x14ac:dyDescent="0.25">
      <c r="A204" s="259"/>
      <c r="B204" s="260"/>
      <c r="C204" s="19"/>
      <c r="D204" s="34"/>
      <c r="E204" s="13">
        <v>44687</v>
      </c>
      <c r="F204" s="355">
        <v>1838586977</v>
      </c>
      <c r="G204" s="261" t="s">
        <v>9168</v>
      </c>
      <c r="H204" s="8">
        <v>500000</v>
      </c>
    </row>
    <row r="205" spans="1:8" s="18" customFormat="1" ht="15.75" x14ac:dyDescent="0.25">
      <c r="A205" s="259"/>
      <c r="B205" s="260"/>
      <c r="C205" s="19"/>
      <c r="D205" s="34"/>
      <c r="E205" s="13">
        <v>44687</v>
      </c>
      <c r="F205" s="355">
        <v>1838586978</v>
      </c>
      <c r="G205" s="261" t="s">
        <v>9168</v>
      </c>
      <c r="H205" s="8">
        <v>500000</v>
      </c>
    </row>
    <row r="206" spans="1:8" s="18" customFormat="1" ht="15.75" x14ac:dyDescent="0.25">
      <c r="A206" s="259"/>
      <c r="B206" s="260"/>
      <c r="C206" s="19"/>
      <c r="D206" s="34"/>
      <c r="E206" s="13">
        <v>44687</v>
      </c>
      <c r="F206" s="355">
        <v>1838586979</v>
      </c>
      <c r="G206" s="261" t="s">
        <v>9168</v>
      </c>
      <c r="H206" s="8">
        <v>500000</v>
      </c>
    </row>
    <row r="207" spans="1:8" s="18" customFormat="1" ht="15.75" x14ac:dyDescent="0.25">
      <c r="A207" s="259"/>
      <c r="B207" s="260"/>
      <c r="C207" s="19"/>
      <c r="D207" s="34"/>
      <c r="E207" s="13">
        <v>44687</v>
      </c>
      <c r="F207" s="355">
        <v>1838586980</v>
      </c>
      <c r="G207" s="261" t="s">
        <v>7090</v>
      </c>
      <c r="H207" s="8"/>
    </row>
    <row r="208" spans="1:8" s="18" customFormat="1" ht="15.75" x14ac:dyDescent="0.25">
      <c r="A208" s="259"/>
      <c r="B208" s="260"/>
      <c r="C208" s="19"/>
      <c r="D208" s="34"/>
      <c r="E208" s="13">
        <v>44687</v>
      </c>
      <c r="F208" s="355">
        <v>1838586981</v>
      </c>
      <c r="G208" s="261" t="s">
        <v>7090</v>
      </c>
      <c r="H208" s="8"/>
    </row>
    <row r="209" spans="1:8" s="18" customFormat="1" ht="15.75" x14ac:dyDescent="0.25">
      <c r="A209" s="259"/>
      <c r="B209" s="260"/>
      <c r="C209" s="19"/>
      <c r="D209" s="34"/>
      <c r="E209" s="13">
        <v>44687</v>
      </c>
      <c r="F209" s="355">
        <v>1838586982</v>
      </c>
      <c r="G209" s="261" t="s">
        <v>9168</v>
      </c>
      <c r="H209" s="8">
        <v>500000</v>
      </c>
    </row>
    <row r="210" spans="1:8" s="18" customFormat="1" ht="15.75" x14ac:dyDescent="0.25">
      <c r="A210" s="259"/>
      <c r="B210" s="260"/>
      <c r="C210" s="19"/>
      <c r="D210" s="34"/>
      <c r="E210" s="13">
        <v>44687</v>
      </c>
      <c r="F210" s="355">
        <v>1838586983</v>
      </c>
      <c r="G210" s="261" t="s">
        <v>9169</v>
      </c>
      <c r="H210" s="8">
        <v>500000</v>
      </c>
    </row>
    <row r="211" spans="1:8" s="18" customFormat="1" ht="15.75" x14ac:dyDescent="0.25">
      <c r="A211" s="259"/>
      <c r="B211" s="260"/>
      <c r="C211" s="19"/>
      <c r="D211" s="34"/>
      <c r="E211" s="13">
        <v>44687</v>
      </c>
      <c r="F211" s="355">
        <v>1838586984</v>
      </c>
      <c r="G211" s="261" t="s">
        <v>9169</v>
      </c>
      <c r="H211" s="8">
        <v>500000</v>
      </c>
    </row>
    <row r="212" spans="1:8" s="18" customFormat="1" ht="15.75" x14ac:dyDescent="0.25">
      <c r="A212" s="259"/>
      <c r="B212" s="260"/>
      <c r="C212" s="19"/>
      <c r="D212" s="34"/>
      <c r="E212" s="13">
        <v>44690</v>
      </c>
      <c r="F212" s="355">
        <v>1838586985</v>
      </c>
      <c r="G212" s="261" t="s">
        <v>9169</v>
      </c>
      <c r="H212" s="8">
        <v>900000</v>
      </c>
    </row>
    <row r="213" spans="1:8" s="18" customFormat="1" ht="15.75" x14ac:dyDescent="0.25">
      <c r="A213" s="259"/>
      <c r="B213" s="260"/>
      <c r="C213" s="19"/>
      <c r="D213" s="34"/>
      <c r="E213" s="13">
        <v>44697</v>
      </c>
      <c r="F213" s="355">
        <v>1838586986</v>
      </c>
      <c r="G213" s="261" t="s">
        <v>5328</v>
      </c>
      <c r="H213" s="8">
        <v>100000</v>
      </c>
    </row>
    <row r="214" spans="1:8" s="18" customFormat="1" ht="15.75" x14ac:dyDescent="0.25">
      <c r="A214" s="259"/>
      <c r="B214" s="260"/>
      <c r="C214" s="19"/>
      <c r="D214" s="34"/>
      <c r="E214" s="13">
        <v>44704</v>
      </c>
      <c r="F214" s="355">
        <v>1838586987</v>
      </c>
      <c r="G214" s="261" t="s">
        <v>5328</v>
      </c>
      <c r="H214" s="8">
        <v>100000</v>
      </c>
    </row>
    <row r="215" spans="1:8" s="18" customFormat="1" ht="15.75" x14ac:dyDescent="0.25">
      <c r="A215" s="259"/>
      <c r="B215" s="260"/>
      <c r="C215" s="19"/>
      <c r="D215" s="34"/>
      <c r="E215" s="13">
        <v>44706</v>
      </c>
      <c r="F215" s="355">
        <v>1838586988</v>
      </c>
      <c r="G215" s="261" t="s">
        <v>5328</v>
      </c>
      <c r="H215" s="8">
        <v>100000</v>
      </c>
    </row>
    <row r="216" spans="1:8" s="18" customFormat="1" ht="15.75" x14ac:dyDescent="0.25">
      <c r="A216" s="259"/>
      <c r="B216" s="260"/>
      <c r="C216" s="19"/>
      <c r="D216" s="34"/>
      <c r="E216" s="13">
        <v>44708</v>
      </c>
      <c r="F216" s="355">
        <v>1838586989</v>
      </c>
      <c r="G216" s="261" t="s">
        <v>5328</v>
      </c>
      <c r="H216" s="8">
        <v>100000</v>
      </c>
    </row>
    <row r="217" spans="1:8" s="18" customFormat="1" ht="15.75" x14ac:dyDescent="0.25">
      <c r="A217" s="259"/>
      <c r="B217" s="260"/>
      <c r="C217" s="19"/>
      <c r="D217" s="34"/>
      <c r="E217" s="13">
        <v>44709</v>
      </c>
      <c r="F217" s="355">
        <v>1838586990</v>
      </c>
      <c r="G217" s="261" t="s">
        <v>7834</v>
      </c>
      <c r="H217" s="8">
        <v>100000</v>
      </c>
    </row>
    <row r="218" spans="1:8" s="18" customFormat="1" ht="15.75" x14ac:dyDescent="0.25">
      <c r="A218" s="259"/>
      <c r="B218" s="260"/>
      <c r="C218" s="19"/>
      <c r="D218" s="34"/>
      <c r="E218" s="13">
        <v>44711</v>
      </c>
      <c r="F218" s="355">
        <v>1838586991</v>
      </c>
      <c r="G218" s="261" t="s">
        <v>9258</v>
      </c>
      <c r="H218" s="8">
        <v>15000</v>
      </c>
    </row>
    <row r="219" spans="1:8" s="18" customFormat="1" ht="15.75" x14ac:dyDescent="0.25">
      <c r="A219" s="259"/>
      <c r="B219" s="260"/>
      <c r="C219" s="19"/>
      <c r="D219" s="34"/>
      <c r="E219" s="13">
        <v>44711</v>
      </c>
      <c r="F219" s="355">
        <v>1838586992</v>
      </c>
      <c r="G219" s="261" t="s">
        <v>7581</v>
      </c>
      <c r="H219" s="8">
        <v>75500</v>
      </c>
    </row>
    <row r="220" spans="1:8" s="18" customFormat="1" ht="15.75" x14ac:dyDescent="0.25">
      <c r="A220" s="259"/>
      <c r="B220" s="260"/>
      <c r="C220" s="19"/>
      <c r="D220" s="34"/>
      <c r="E220" s="13">
        <v>44711</v>
      </c>
      <c r="F220" s="355">
        <v>1838586993</v>
      </c>
      <c r="G220" s="261" t="s">
        <v>5328</v>
      </c>
      <c r="H220" s="8">
        <v>100000</v>
      </c>
    </row>
    <row r="221" spans="1:8" s="18" customFormat="1" ht="15.75" x14ac:dyDescent="0.25">
      <c r="A221" s="259"/>
      <c r="B221" s="260"/>
      <c r="C221" s="19"/>
      <c r="D221" s="34"/>
      <c r="E221" s="13">
        <v>44712</v>
      </c>
      <c r="F221" s="355">
        <v>1838586994</v>
      </c>
      <c r="G221" s="261" t="s">
        <v>9259</v>
      </c>
      <c r="H221" s="8">
        <v>500000</v>
      </c>
    </row>
    <row r="222" spans="1:8" s="18" customFormat="1" ht="15.75" x14ac:dyDescent="0.25">
      <c r="A222" s="259"/>
      <c r="B222" s="260"/>
      <c r="C222" s="19"/>
      <c r="D222" s="34"/>
      <c r="E222" s="13">
        <v>44723</v>
      </c>
      <c r="F222" s="355">
        <v>1838586995</v>
      </c>
      <c r="G222" s="261" t="s">
        <v>9326</v>
      </c>
      <c r="H222" s="8">
        <v>538373</v>
      </c>
    </row>
    <row r="223" spans="1:8" s="18" customFormat="1" ht="15.75" x14ac:dyDescent="0.25">
      <c r="A223" s="259"/>
      <c r="B223" s="260"/>
      <c r="C223" s="19"/>
      <c r="D223" s="34"/>
      <c r="E223" s="13">
        <v>44741</v>
      </c>
      <c r="F223" s="355">
        <v>1838586996</v>
      </c>
      <c r="G223" s="261" t="s">
        <v>9395</v>
      </c>
      <c r="H223" s="8">
        <v>35000</v>
      </c>
    </row>
    <row r="224" spans="1:8" s="18" customFormat="1" ht="15.75" x14ac:dyDescent="0.25">
      <c r="A224" s="259"/>
      <c r="B224" s="260"/>
      <c r="C224" s="19"/>
      <c r="D224" s="34"/>
      <c r="E224" s="13">
        <v>44746</v>
      </c>
      <c r="F224" s="355">
        <v>1838586997</v>
      </c>
      <c r="G224" s="261" t="s">
        <v>9429</v>
      </c>
      <c r="H224" s="8">
        <v>94024</v>
      </c>
    </row>
    <row r="225" spans="1:9" s="18" customFormat="1" ht="15.75" x14ac:dyDescent="0.25">
      <c r="A225" s="259"/>
      <c r="B225" s="260"/>
      <c r="C225" s="19"/>
      <c r="D225" s="34"/>
      <c r="E225" s="13">
        <v>44746</v>
      </c>
      <c r="F225" s="355">
        <v>1838586998</v>
      </c>
      <c r="G225" s="261" t="s">
        <v>9430</v>
      </c>
      <c r="H225" s="8">
        <v>100000</v>
      </c>
    </row>
    <row r="226" spans="1:9" s="18" customFormat="1" ht="15.75" x14ac:dyDescent="0.25">
      <c r="A226" s="259"/>
      <c r="B226" s="260"/>
      <c r="C226" s="19"/>
      <c r="D226" s="34"/>
      <c r="E226" s="13">
        <v>44746</v>
      </c>
      <c r="F226" s="355">
        <v>1838586999</v>
      </c>
      <c r="G226" s="261" t="s">
        <v>9431</v>
      </c>
      <c r="H226" s="8">
        <v>100000</v>
      </c>
    </row>
    <row r="227" spans="1:9" s="18" customFormat="1" ht="15.75" x14ac:dyDescent="0.25">
      <c r="A227" s="259"/>
      <c r="B227" s="260"/>
      <c r="C227" s="19"/>
      <c r="D227" s="34"/>
      <c r="E227" s="13">
        <v>44748</v>
      </c>
      <c r="F227" s="355">
        <v>1846111490</v>
      </c>
      <c r="G227" s="261" t="s">
        <v>8261</v>
      </c>
      <c r="H227" s="8">
        <v>100000</v>
      </c>
      <c r="I227" s="18" t="s">
        <v>9432</v>
      </c>
    </row>
    <row r="228" spans="1:9" s="18" customFormat="1" ht="15.75" x14ac:dyDescent="0.25">
      <c r="A228" s="259"/>
      <c r="B228" s="260"/>
      <c r="C228" s="19"/>
      <c r="D228" s="34"/>
      <c r="E228" s="13">
        <v>44762</v>
      </c>
      <c r="F228" s="355">
        <v>1846111491</v>
      </c>
      <c r="G228" s="261" t="s">
        <v>7364</v>
      </c>
      <c r="H228" s="8">
        <v>500000</v>
      </c>
    </row>
    <row r="229" spans="1:9" s="18" customFormat="1" ht="15.75" x14ac:dyDescent="0.25">
      <c r="A229" s="259"/>
      <c r="B229" s="260"/>
      <c r="C229" s="19"/>
      <c r="D229" s="34"/>
      <c r="E229" s="13">
        <v>44762</v>
      </c>
      <c r="F229" s="355">
        <v>1846111492</v>
      </c>
      <c r="G229" s="261" t="s">
        <v>8570</v>
      </c>
      <c r="H229" s="8">
        <v>55000</v>
      </c>
    </row>
    <row r="230" spans="1:9" s="18" customFormat="1" ht="15.75" x14ac:dyDescent="0.25">
      <c r="A230" s="259"/>
      <c r="B230" s="260"/>
      <c r="C230" s="19"/>
      <c r="D230" s="34"/>
      <c r="E230" s="13">
        <v>44762</v>
      </c>
      <c r="F230" s="355">
        <v>1846111493</v>
      </c>
      <c r="G230" s="261" t="s">
        <v>3934</v>
      </c>
      <c r="H230" s="8">
        <v>150000</v>
      </c>
    </row>
    <row r="231" spans="1:9" s="18" customFormat="1" ht="15.75" x14ac:dyDescent="0.25">
      <c r="A231" s="259"/>
      <c r="B231" s="260"/>
      <c r="C231" s="19"/>
      <c r="D231" s="34"/>
      <c r="E231" s="13">
        <v>44762</v>
      </c>
      <c r="F231" s="355">
        <v>1846111494</v>
      </c>
      <c r="G231" s="261" t="s">
        <v>3934</v>
      </c>
      <c r="H231" s="8">
        <v>150000</v>
      </c>
    </row>
    <row r="232" spans="1:9" s="18" customFormat="1" ht="15.75" x14ac:dyDescent="0.25">
      <c r="A232" s="259"/>
      <c r="B232" s="260"/>
      <c r="C232" s="19"/>
      <c r="D232" s="34"/>
      <c r="E232" s="13">
        <v>44762</v>
      </c>
      <c r="F232" s="355">
        <v>1846111495</v>
      </c>
      <c r="G232" s="261" t="s">
        <v>7090</v>
      </c>
      <c r="H232" s="8">
        <v>0</v>
      </c>
    </row>
    <row r="233" spans="1:9" s="18" customFormat="1" ht="15.75" x14ac:dyDescent="0.25">
      <c r="A233" s="259"/>
      <c r="B233" s="260"/>
      <c r="C233" s="19"/>
      <c r="D233" s="34"/>
      <c r="E233" s="13">
        <v>44764</v>
      </c>
      <c r="F233" s="355">
        <v>1846111496</v>
      </c>
      <c r="G233" s="261" t="s">
        <v>9478</v>
      </c>
      <c r="H233" s="8">
        <v>100000</v>
      </c>
    </row>
    <row r="234" spans="1:9" s="18" customFormat="1" ht="15.75" x14ac:dyDescent="0.25">
      <c r="A234" s="259"/>
      <c r="B234" s="260"/>
      <c r="C234" s="19"/>
      <c r="D234" s="34"/>
      <c r="E234" s="13">
        <v>44764</v>
      </c>
      <c r="F234" s="355">
        <v>1846111497</v>
      </c>
      <c r="G234" s="261" t="s">
        <v>9479</v>
      </c>
      <c r="H234" s="8">
        <v>158500</v>
      </c>
    </row>
    <row r="235" spans="1:9" s="18" customFormat="1" ht="15.75" x14ac:dyDescent="0.25">
      <c r="A235" s="259"/>
      <c r="B235" s="260"/>
      <c r="C235" s="19"/>
      <c r="D235" s="34"/>
      <c r="E235" s="13">
        <v>44764</v>
      </c>
      <c r="F235" s="355">
        <v>1846111498</v>
      </c>
      <c r="G235" s="261" t="s">
        <v>9480</v>
      </c>
      <c r="H235" s="8">
        <v>293000</v>
      </c>
    </row>
    <row r="236" spans="1:9" s="18" customFormat="1" ht="15.75" x14ac:dyDescent="0.25">
      <c r="A236" s="259"/>
      <c r="B236" s="260"/>
      <c r="C236" s="19"/>
      <c r="D236" s="34"/>
      <c r="E236" s="13">
        <v>44764</v>
      </c>
      <c r="F236" s="355">
        <v>1846111499</v>
      </c>
      <c r="G236" s="261" t="s">
        <v>9480</v>
      </c>
      <c r="H236" s="8">
        <v>294000</v>
      </c>
    </row>
    <row r="237" spans="1:9" s="18" customFormat="1" ht="15.75" x14ac:dyDescent="0.25">
      <c r="A237" s="259"/>
      <c r="B237" s="260"/>
      <c r="C237" s="19"/>
      <c r="D237" s="34"/>
      <c r="E237" s="13">
        <v>44764</v>
      </c>
      <c r="F237" s="355">
        <v>1846111500</v>
      </c>
      <c r="G237" s="261" t="s">
        <v>7090</v>
      </c>
      <c r="H237" s="8">
        <v>0</v>
      </c>
    </row>
    <row r="238" spans="1:9" s="18" customFormat="1" ht="15.75" x14ac:dyDescent="0.25">
      <c r="A238" s="259"/>
      <c r="B238" s="260"/>
      <c r="C238" s="19"/>
      <c r="D238" s="34"/>
      <c r="E238" s="13">
        <v>44766</v>
      </c>
      <c r="F238" s="355">
        <v>1846111501</v>
      </c>
      <c r="G238" s="261" t="s">
        <v>9484</v>
      </c>
      <c r="H238" s="8">
        <v>23000</v>
      </c>
    </row>
    <row r="239" spans="1:9" s="18" customFormat="1" ht="15.75" x14ac:dyDescent="0.25">
      <c r="A239" s="259"/>
      <c r="B239" s="260"/>
      <c r="C239" s="19"/>
      <c r="D239" s="34"/>
      <c r="E239" s="13">
        <v>44768</v>
      </c>
      <c r="F239" s="355">
        <v>1846111502</v>
      </c>
      <c r="G239" s="261" t="s">
        <v>9481</v>
      </c>
      <c r="H239" s="8">
        <v>175000</v>
      </c>
    </row>
    <row r="240" spans="1:9" s="18" customFormat="1" ht="15.75" x14ac:dyDescent="0.25">
      <c r="A240" s="259"/>
      <c r="B240" s="260"/>
      <c r="C240" s="19"/>
      <c r="D240" s="34"/>
      <c r="E240" s="13">
        <v>44768</v>
      </c>
      <c r="F240" s="355">
        <v>1846111503</v>
      </c>
      <c r="G240" s="261" t="s">
        <v>9482</v>
      </c>
      <c r="H240" s="8">
        <v>100000</v>
      </c>
    </row>
    <row r="241" spans="1:9" s="18" customFormat="1" ht="15.75" x14ac:dyDescent="0.25">
      <c r="A241" s="259"/>
      <c r="B241" s="260"/>
      <c r="C241" s="19"/>
      <c r="D241" s="34"/>
      <c r="E241" s="13">
        <v>44769</v>
      </c>
      <c r="F241" s="355">
        <v>1846111504</v>
      </c>
      <c r="G241" s="261" t="s">
        <v>9483</v>
      </c>
      <c r="H241" s="8">
        <v>100000</v>
      </c>
    </row>
    <row r="242" spans="1:9" s="18" customFormat="1" ht="15.75" x14ac:dyDescent="0.25">
      <c r="A242" s="259"/>
      <c r="B242" s="260"/>
      <c r="C242" s="19"/>
      <c r="D242" s="34"/>
      <c r="E242" s="13">
        <v>44769</v>
      </c>
      <c r="F242" s="355">
        <v>1846111505</v>
      </c>
      <c r="G242" s="261" t="s">
        <v>5328</v>
      </c>
      <c r="H242" s="8">
        <v>100000</v>
      </c>
    </row>
    <row r="243" spans="1:9" s="18" customFormat="1" ht="15.75" x14ac:dyDescent="0.25">
      <c r="A243" s="259"/>
      <c r="B243" s="260"/>
      <c r="C243" s="19"/>
      <c r="D243" s="34"/>
      <c r="E243" s="13">
        <v>44769</v>
      </c>
      <c r="F243" s="355">
        <v>1846111506</v>
      </c>
      <c r="G243" s="261" t="s">
        <v>9485</v>
      </c>
      <c r="H243" s="8">
        <v>50000</v>
      </c>
    </row>
    <row r="244" spans="1:9" s="18" customFormat="1" ht="15.75" x14ac:dyDescent="0.25">
      <c r="A244" s="259"/>
      <c r="B244" s="260"/>
      <c r="C244" s="19"/>
      <c r="D244" s="34"/>
      <c r="E244" s="13">
        <v>44770</v>
      </c>
      <c r="F244" s="355">
        <v>1846111507</v>
      </c>
      <c r="G244" s="261" t="s">
        <v>9478</v>
      </c>
      <c r="H244" s="8">
        <v>20000</v>
      </c>
    </row>
    <row r="245" spans="1:9" s="18" customFormat="1" ht="15.75" x14ac:dyDescent="0.25">
      <c r="A245" s="259"/>
      <c r="B245" s="260"/>
      <c r="C245" s="19"/>
      <c r="D245" s="34"/>
      <c r="E245" s="13">
        <v>44770</v>
      </c>
      <c r="F245" s="355">
        <v>1846111508</v>
      </c>
      <c r="G245" s="261" t="s">
        <v>9479</v>
      </c>
      <c r="H245" s="8">
        <v>76875</v>
      </c>
    </row>
    <row r="246" spans="1:9" s="18" customFormat="1" ht="15.75" x14ac:dyDescent="0.25">
      <c r="A246" s="259"/>
      <c r="B246" s="260"/>
      <c r="C246" s="19"/>
      <c r="D246" s="34"/>
      <c r="E246" s="13">
        <v>44771</v>
      </c>
      <c r="F246" s="355">
        <v>1846111509</v>
      </c>
      <c r="G246" s="261" t="s">
        <v>9486</v>
      </c>
      <c r="H246" s="8">
        <v>300000</v>
      </c>
    </row>
    <row r="247" spans="1:9" s="18" customFormat="1" ht="15.75" x14ac:dyDescent="0.25">
      <c r="A247" s="259"/>
      <c r="B247" s="260"/>
      <c r="C247" s="19"/>
      <c r="D247" s="34"/>
      <c r="E247" s="13">
        <v>44772</v>
      </c>
      <c r="F247" s="355">
        <v>1846111510</v>
      </c>
      <c r="G247" s="261" t="s">
        <v>9487</v>
      </c>
      <c r="H247" s="8">
        <v>48420</v>
      </c>
    </row>
    <row r="248" spans="1:9" s="18" customFormat="1" ht="15.75" x14ac:dyDescent="0.25">
      <c r="A248" s="259"/>
      <c r="B248" s="260"/>
      <c r="C248" s="19"/>
      <c r="D248" s="34"/>
      <c r="E248" s="13">
        <v>44774</v>
      </c>
      <c r="F248" s="355">
        <v>1846111511</v>
      </c>
      <c r="G248" s="261" t="s">
        <v>5328</v>
      </c>
      <c r="H248" s="8">
        <v>100000</v>
      </c>
    </row>
    <row r="249" spans="1:9" s="18" customFormat="1" ht="15.75" x14ac:dyDescent="0.25">
      <c r="A249" s="259"/>
      <c r="B249" s="260"/>
      <c r="C249" s="19"/>
      <c r="D249" s="34"/>
      <c r="E249" s="13">
        <v>44774</v>
      </c>
      <c r="F249" s="355">
        <v>1846111512</v>
      </c>
      <c r="G249" s="261" t="s">
        <v>9488</v>
      </c>
      <c r="H249" s="8">
        <v>0</v>
      </c>
      <c r="I249" s="384" t="s">
        <v>9617</v>
      </c>
    </row>
    <row r="250" spans="1:9" s="18" customFormat="1" ht="15.75" x14ac:dyDescent="0.25">
      <c r="A250" s="259"/>
      <c r="B250" s="260"/>
      <c r="C250" s="19"/>
      <c r="D250" s="34"/>
      <c r="E250" s="13">
        <v>44775</v>
      </c>
      <c r="F250" s="355">
        <v>1846111513</v>
      </c>
      <c r="G250" s="261" t="s">
        <v>63</v>
      </c>
      <c r="H250" s="8">
        <v>43170</v>
      </c>
    </row>
    <row r="251" spans="1:9" s="18" customFormat="1" ht="15.75" x14ac:dyDescent="0.25">
      <c r="A251" s="259"/>
      <c r="B251" s="260"/>
      <c r="C251" s="19"/>
      <c r="D251" s="34"/>
      <c r="E251" s="13">
        <v>44775</v>
      </c>
      <c r="F251" s="355">
        <v>1846111514</v>
      </c>
      <c r="G251" s="261" t="s">
        <v>9495</v>
      </c>
      <c r="H251" s="8">
        <v>200000</v>
      </c>
    </row>
    <row r="252" spans="1:9" s="18" customFormat="1" ht="15.75" x14ac:dyDescent="0.25">
      <c r="A252" s="259"/>
      <c r="B252" s="260"/>
      <c r="C252" s="19"/>
      <c r="D252" s="34"/>
      <c r="E252" s="13">
        <v>44775</v>
      </c>
      <c r="F252" s="355">
        <v>1846111515</v>
      </c>
      <c r="G252" s="261" t="s">
        <v>9495</v>
      </c>
      <c r="H252" s="8">
        <v>394600</v>
      </c>
    </row>
    <row r="253" spans="1:9" s="18" customFormat="1" ht="15.75" x14ac:dyDescent="0.25">
      <c r="A253" s="259"/>
      <c r="B253" s="260"/>
      <c r="C253" s="19"/>
      <c r="D253" s="34"/>
      <c r="E253" s="13">
        <v>44777</v>
      </c>
      <c r="F253" s="355">
        <v>1846111516</v>
      </c>
      <c r="G253" s="261" t="s">
        <v>9543</v>
      </c>
      <c r="H253" s="8">
        <v>268687</v>
      </c>
    </row>
    <row r="254" spans="1:9" s="18" customFormat="1" ht="15.75" x14ac:dyDescent="0.25">
      <c r="A254" s="259"/>
      <c r="B254" s="260"/>
      <c r="C254" s="19"/>
      <c r="D254" s="34"/>
      <c r="E254" s="13">
        <v>44777</v>
      </c>
      <c r="F254" s="355">
        <v>1846111517</v>
      </c>
      <c r="G254" s="261" t="s">
        <v>5328</v>
      </c>
      <c r="H254" s="8">
        <v>100000</v>
      </c>
    </row>
    <row r="255" spans="1:9" s="18" customFormat="1" ht="15.75" x14ac:dyDescent="0.25">
      <c r="A255" s="259"/>
      <c r="B255" s="260"/>
      <c r="C255" s="19"/>
      <c r="D255" s="34"/>
      <c r="E255" s="13">
        <v>44777</v>
      </c>
      <c r="F255" s="355">
        <v>1846111518</v>
      </c>
      <c r="G255" s="261" t="s">
        <v>5328</v>
      </c>
      <c r="H255" s="8">
        <v>100000</v>
      </c>
    </row>
    <row r="256" spans="1:9" s="18" customFormat="1" ht="15.75" x14ac:dyDescent="0.25">
      <c r="A256" s="259"/>
      <c r="B256" s="260"/>
      <c r="C256" s="19"/>
      <c r="D256" s="34"/>
      <c r="E256" s="13">
        <v>44777</v>
      </c>
      <c r="F256" s="355">
        <v>1846111519</v>
      </c>
      <c r="G256" s="261" t="s">
        <v>9038</v>
      </c>
      <c r="H256" s="8">
        <v>95400</v>
      </c>
    </row>
    <row r="257" spans="1:8" s="18" customFormat="1" ht="15.75" x14ac:dyDescent="0.25">
      <c r="A257" s="259"/>
      <c r="B257" s="260"/>
      <c r="C257" s="19"/>
      <c r="D257" s="34"/>
      <c r="E257" s="13">
        <v>44777</v>
      </c>
      <c r="F257" s="355">
        <v>1846111520</v>
      </c>
      <c r="G257" s="261" t="s">
        <v>9038</v>
      </c>
      <c r="H257" s="8">
        <v>105000</v>
      </c>
    </row>
    <row r="258" spans="1:8" s="18" customFormat="1" ht="15.75" x14ac:dyDescent="0.25">
      <c r="A258" s="259"/>
      <c r="B258" s="260"/>
      <c r="C258" s="19"/>
      <c r="D258" s="34"/>
      <c r="E258" s="13">
        <v>44777</v>
      </c>
      <c r="F258" s="355">
        <v>1846111521</v>
      </c>
      <c r="G258" s="261" t="s">
        <v>9038</v>
      </c>
      <c r="H258" s="8">
        <v>137900</v>
      </c>
    </row>
    <row r="259" spans="1:8" s="18" customFormat="1" ht="15.75" x14ac:dyDescent="0.25">
      <c r="A259" s="259"/>
      <c r="B259" s="260"/>
      <c r="C259" s="19"/>
      <c r="D259" s="34"/>
      <c r="E259" s="13">
        <v>44777</v>
      </c>
      <c r="F259" s="355">
        <v>1846111522</v>
      </c>
      <c r="G259" s="261" t="s">
        <v>9544</v>
      </c>
      <c r="H259" s="8">
        <v>238160</v>
      </c>
    </row>
    <row r="260" spans="1:8" s="18" customFormat="1" ht="15.75" x14ac:dyDescent="0.25">
      <c r="A260" s="259"/>
      <c r="B260" s="260"/>
      <c r="C260" s="19"/>
      <c r="D260" s="34"/>
      <c r="E260" s="13">
        <v>44778</v>
      </c>
      <c r="F260" s="355">
        <v>1846111523</v>
      </c>
      <c r="G260" s="261" t="s">
        <v>5328</v>
      </c>
      <c r="H260" s="8">
        <v>100000</v>
      </c>
    </row>
    <row r="261" spans="1:8" s="18" customFormat="1" ht="15.75" x14ac:dyDescent="0.25">
      <c r="A261" s="259"/>
      <c r="B261" s="260"/>
      <c r="C261" s="19"/>
      <c r="D261" s="34"/>
      <c r="E261" s="13">
        <v>44784</v>
      </c>
      <c r="F261" s="355">
        <v>1846111524</v>
      </c>
      <c r="G261" s="261" t="s">
        <v>5328</v>
      </c>
      <c r="H261" s="8">
        <v>200000</v>
      </c>
    </row>
    <row r="262" spans="1:8" s="18" customFormat="1" ht="15.75" x14ac:dyDescent="0.25">
      <c r="A262" s="259"/>
      <c r="B262" s="260"/>
      <c r="C262" s="19"/>
      <c r="D262" s="34"/>
      <c r="E262" s="13">
        <v>44784</v>
      </c>
      <c r="F262" s="355">
        <v>1846111525</v>
      </c>
      <c r="G262" s="261" t="s">
        <v>9480</v>
      </c>
      <c r="H262" s="8">
        <v>97000</v>
      </c>
    </row>
    <row r="263" spans="1:8" s="18" customFormat="1" ht="15.75" x14ac:dyDescent="0.25">
      <c r="A263" s="259"/>
      <c r="B263" s="260"/>
      <c r="C263" s="19"/>
      <c r="D263" s="34"/>
      <c r="E263" s="13">
        <v>44788</v>
      </c>
      <c r="F263" s="355">
        <v>1846111526</v>
      </c>
      <c r="G263" s="261" t="s">
        <v>5328</v>
      </c>
      <c r="H263" s="8">
        <v>50000</v>
      </c>
    </row>
    <row r="264" spans="1:8" s="18" customFormat="1" ht="15.75" x14ac:dyDescent="0.25">
      <c r="A264" s="259"/>
      <c r="B264" s="260"/>
      <c r="C264" s="19"/>
      <c r="D264" s="34"/>
      <c r="E264" s="13">
        <v>44788</v>
      </c>
      <c r="F264" s="355">
        <v>1846111527</v>
      </c>
      <c r="G264" s="261" t="s">
        <v>5328</v>
      </c>
      <c r="H264" s="8">
        <v>50000</v>
      </c>
    </row>
    <row r="265" spans="1:8" s="18" customFormat="1" ht="15.75" x14ac:dyDescent="0.25">
      <c r="A265" s="259"/>
      <c r="B265" s="260"/>
      <c r="C265" s="19"/>
      <c r="D265" s="34"/>
      <c r="E265" s="13">
        <v>44788</v>
      </c>
      <c r="F265" s="355">
        <v>1846111528</v>
      </c>
      <c r="G265" s="261" t="s">
        <v>9563</v>
      </c>
      <c r="H265" s="8">
        <v>175000</v>
      </c>
    </row>
    <row r="266" spans="1:8" s="18" customFormat="1" ht="15.75" x14ac:dyDescent="0.25">
      <c r="A266" s="259"/>
      <c r="B266" s="260"/>
      <c r="C266" s="19"/>
      <c r="D266" s="34"/>
      <c r="E266" s="13">
        <v>44789</v>
      </c>
      <c r="F266" s="355">
        <v>1846111529</v>
      </c>
      <c r="G266" s="261" t="s">
        <v>9564</v>
      </c>
      <c r="H266" s="8">
        <v>106000</v>
      </c>
    </row>
    <row r="267" spans="1:8" s="18" customFormat="1" ht="15.75" x14ac:dyDescent="0.25">
      <c r="A267" s="259"/>
      <c r="B267" s="260"/>
      <c r="C267" s="19"/>
      <c r="D267" s="34"/>
      <c r="E267" s="13">
        <v>44789</v>
      </c>
      <c r="F267" s="355">
        <v>1846111530</v>
      </c>
      <c r="G267" s="261" t="s">
        <v>5328</v>
      </c>
      <c r="H267" s="8">
        <v>100000</v>
      </c>
    </row>
    <row r="268" spans="1:8" s="18" customFormat="1" ht="15.75" x14ac:dyDescent="0.25">
      <c r="A268" s="259"/>
      <c r="B268" s="260"/>
      <c r="C268" s="19"/>
      <c r="D268" s="34"/>
      <c r="E268" s="13">
        <v>44789</v>
      </c>
      <c r="F268" s="355">
        <v>1846111531</v>
      </c>
      <c r="G268" s="261" t="s">
        <v>5328</v>
      </c>
      <c r="H268" s="8">
        <v>100000</v>
      </c>
    </row>
    <row r="269" spans="1:8" s="18" customFormat="1" ht="15.75" x14ac:dyDescent="0.25">
      <c r="A269" s="259"/>
      <c r="B269" s="260"/>
      <c r="C269" s="19"/>
      <c r="D269" s="34"/>
      <c r="E269" s="13">
        <v>44790</v>
      </c>
      <c r="F269" s="355">
        <v>1846111532</v>
      </c>
      <c r="G269" s="261" t="s">
        <v>8261</v>
      </c>
      <c r="H269" s="8">
        <v>150000</v>
      </c>
    </row>
    <row r="270" spans="1:8" s="18" customFormat="1" ht="15.75" x14ac:dyDescent="0.25">
      <c r="A270" s="259"/>
      <c r="B270" s="260"/>
      <c r="C270" s="19"/>
      <c r="D270" s="34"/>
      <c r="E270" s="13">
        <v>44792</v>
      </c>
      <c r="F270" s="355">
        <v>1846111533</v>
      </c>
      <c r="G270" s="261" t="s">
        <v>5328</v>
      </c>
      <c r="H270" s="8">
        <v>50000</v>
      </c>
    </row>
    <row r="271" spans="1:8" s="18" customFormat="1" ht="15.75" x14ac:dyDescent="0.25">
      <c r="A271" s="259"/>
      <c r="B271" s="260"/>
      <c r="C271" s="19"/>
      <c r="D271" s="34"/>
      <c r="E271" s="13">
        <v>44793</v>
      </c>
      <c r="F271" s="355">
        <v>1846111534</v>
      </c>
      <c r="G271" s="261" t="s">
        <v>9486</v>
      </c>
      <c r="H271" s="8">
        <v>194000</v>
      </c>
    </row>
    <row r="272" spans="1:8" s="18" customFormat="1" ht="15.75" x14ac:dyDescent="0.25">
      <c r="A272" s="259"/>
      <c r="B272" s="260"/>
      <c r="C272" s="19"/>
      <c r="D272" s="34"/>
      <c r="E272" s="13">
        <v>44795</v>
      </c>
      <c r="F272" s="355">
        <v>1846111535</v>
      </c>
      <c r="G272" s="261" t="s">
        <v>9479</v>
      </c>
      <c r="H272" s="8">
        <v>36000</v>
      </c>
    </row>
    <row r="273" spans="1:9" s="18" customFormat="1" ht="15.75" x14ac:dyDescent="0.25">
      <c r="A273" s="259"/>
      <c r="B273" s="260"/>
      <c r="C273" s="19"/>
      <c r="D273" s="34"/>
      <c r="E273" s="13">
        <v>44796</v>
      </c>
      <c r="F273" s="355">
        <v>1846111536</v>
      </c>
      <c r="G273" s="261" t="s">
        <v>5328</v>
      </c>
      <c r="H273" s="8">
        <v>200000</v>
      </c>
    </row>
    <row r="274" spans="1:9" s="18" customFormat="1" ht="15.75" x14ac:dyDescent="0.25">
      <c r="A274" s="259"/>
      <c r="B274" s="260"/>
      <c r="C274" s="19"/>
      <c r="D274" s="34"/>
      <c r="E274" s="13">
        <v>44796</v>
      </c>
      <c r="F274" s="355">
        <v>1846111537</v>
      </c>
      <c r="G274" s="261" t="s">
        <v>9614</v>
      </c>
      <c r="H274" s="8">
        <v>500000</v>
      </c>
    </row>
    <row r="275" spans="1:9" s="18" customFormat="1" ht="15.75" x14ac:dyDescent="0.25">
      <c r="A275" s="259"/>
      <c r="B275" s="260"/>
      <c r="C275" s="19"/>
      <c r="D275" s="34"/>
      <c r="E275" s="13">
        <v>44796</v>
      </c>
      <c r="F275" s="355">
        <v>1846111538</v>
      </c>
      <c r="G275" s="261" t="s">
        <v>9614</v>
      </c>
      <c r="H275" s="8">
        <v>500000</v>
      </c>
    </row>
    <row r="276" spans="1:9" s="18" customFormat="1" ht="15.75" x14ac:dyDescent="0.25">
      <c r="A276" s="259"/>
      <c r="B276" s="260"/>
      <c r="C276" s="19"/>
      <c r="D276" s="34"/>
      <c r="E276" s="13">
        <v>44797</v>
      </c>
      <c r="F276" s="355">
        <v>1846111539</v>
      </c>
      <c r="G276" s="261" t="s">
        <v>9488</v>
      </c>
      <c r="H276" s="8">
        <v>150000</v>
      </c>
    </row>
    <row r="277" spans="1:9" s="18" customFormat="1" ht="15.75" x14ac:dyDescent="0.25">
      <c r="A277" s="259"/>
      <c r="B277" s="260"/>
      <c r="C277" s="19"/>
      <c r="D277" s="34"/>
      <c r="E277" s="13">
        <v>44797</v>
      </c>
      <c r="F277" s="355">
        <v>1855423750</v>
      </c>
      <c r="G277" s="261" t="s">
        <v>9618</v>
      </c>
      <c r="H277" s="8">
        <v>106000</v>
      </c>
      <c r="I277" s="18" t="s">
        <v>9432</v>
      </c>
    </row>
    <row r="278" spans="1:9" s="18" customFormat="1" ht="15.75" x14ac:dyDescent="0.25">
      <c r="A278" s="259"/>
      <c r="B278" s="260"/>
      <c r="C278" s="19"/>
      <c r="D278" s="34"/>
      <c r="E278" s="13">
        <v>44802</v>
      </c>
      <c r="F278" s="355">
        <v>1855423751</v>
      </c>
      <c r="G278" s="261" t="s">
        <v>9619</v>
      </c>
      <c r="H278" s="8">
        <v>140000</v>
      </c>
    </row>
    <row r="279" spans="1:9" s="18" customFormat="1" ht="15.75" x14ac:dyDescent="0.25">
      <c r="A279" s="259"/>
      <c r="B279" s="260"/>
      <c r="C279" s="19"/>
      <c r="D279" s="34"/>
      <c r="E279" s="13">
        <v>44803</v>
      </c>
      <c r="F279" s="355">
        <v>1855423752</v>
      </c>
      <c r="G279" s="261" t="s">
        <v>6085</v>
      </c>
      <c r="H279" s="8">
        <v>126000</v>
      </c>
    </row>
    <row r="280" spans="1:9" s="18" customFormat="1" ht="15.75" x14ac:dyDescent="0.25">
      <c r="A280" s="259"/>
      <c r="B280" s="260"/>
      <c r="C280" s="19"/>
      <c r="D280" s="34"/>
      <c r="E280" s="13">
        <v>44803</v>
      </c>
      <c r="F280" s="355">
        <v>1855423753</v>
      </c>
      <c r="G280" s="261" t="s">
        <v>6085</v>
      </c>
      <c r="H280" s="8">
        <v>95000</v>
      </c>
    </row>
    <row r="281" spans="1:9" s="18" customFormat="1" ht="15.75" x14ac:dyDescent="0.25">
      <c r="A281" s="259"/>
      <c r="B281" s="260"/>
      <c r="C281" s="19"/>
      <c r="D281" s="34"/>
      <c r="E281" s="13">
        <v>44803</v>
      </c>
      <c r="F281" s="355">
        <v>1855423754</v>
      </c>
      <c r="G281" s="261" t="s">
        <v>8864</v>
      </c>
      <c r="H281" s="8">
        <v>100000</v>
      </c>
    </row>
    <row r="282" spans="1:9" s="18" customFormat="1" ht="15.75" x14ac:dyDescent="0.25">
      <c r="A282" s="259"/>
      <c r="B282" s="260"/>
      <c r="C282" s="19"/>
      <c r="D282" s="34"/>
      <c r="E282" s="13">
        <v>44803</v>
      </c>
      <c r="F282" s="355">
        <v>1855423755</v>
      </c>
      <c r="G282" s="261" t="s">
        <v>8864</v>
      </c>
      <c r="H282" s="8">
        <v>100000</v>
      </c>
    </row>
    <row r="283" spans="1:9" s="18" customFormat="1" ht="15.75" x14ac:dyDescent="0.25">
      <c r="A283" s="259"/>
      <c r="B283" s="260"/>
      <c r="C283" s="19"/>
      <c r="D283" s="34"/>
      <c r="E283" s="13">
        <v>44803</v>
      </c>
      <c r="F283" s="355">
        <v>1855423756</v>
      </c>
      <c r="G283" s="261" t="s">
        <v>8864</v>
      </c>
      <c r="H283" s="8">
        <v>139000</v>
      </c>
    </row>
    <row r="284" spans="1:9" s="18" customFormat="1" ht="15.75" x14ac:dyDescent="0.25">
      <c r="A284" s="259"/>
      <c r="B284" s="260"/>
      <c r="C284" s="19"/>
      <c r="D284" s="34"/>
      <c r="E284" s="13">
        <v>44806</v>
      </c>
      <c r="F284" s="355">
        <v>1855423757</v>
      </c>
      <c r="G284" s="261" t="s">
        <v>9614</v>
      </c>
      <c r="H284" s="8">
        <v>500000</v>
      </c>
    </row>
    <row r="285" spans="1:9" s="18" customFormat="1" ht="15.75" x14ac:dyDescent="0.25">
      <c r="A285" s="259"/>
      <c r="B285" s="260"/>
      <c r="C285" s="19"/>
      <c r="D285" s="34"/>
      <c r="E285" s="13">
        <v>44809</v>
      </c>
      <c r="F285" s="355">
        <v>1855423758</v>
      </c>
      <c r="G285" s="261" t="s">
        <v>8641</v>
      </c>
      <c r="H285" s="8">
        <v>150000</v>
      </c>
    </row>
    <row r="286" spans="1:9" s="18" customFormat="1" ht="15.75" x14ac:dyDescent="0.25">
      <c r="A286" s="259"/>
      <c r="B286" s="260"/>
      <c r="C286" s="19"/>
      <c r="D286" s="34"/>
      <c r="E286" s="13">
        <v>44810</v>
      </c>
      <c r="F286" s="355">
        <v>1855423759</v>
      </c>
      <c r="G286" s="261" t="s">
        <v>580</v>
      </c>
      <c r="H286" s="8">
        <v>100000</v>
      </c>
    </row>
    <row r="287" spans="1:9" s="18" customFormat="1" ht="15.75" x14ac:dyDescent="0.25">
      <c r="A287" s="259"/>
      <c r="B287" s="260"/>
      <c r="C287" s="19"/>
      <c r="D287" s="34"/>
      <c r="E287" s="13">
        <v>44810</v>
      </c>
      <c r="F287" s="355">
        <v>1855423760</v>
      </c>
      <c r="G287" s="261" t="s">
        <v>580</v>
      </c>
      <c r="H287" s="8">
        <v>50000</v>
      </c>
    </row>
    <row r="288" spans="1:9" s="18" customFormat="1" ht="15.75" x14ac:dyDescent="0.25">
      <c r="A288" s="259"/>
      <c r="B288" s="260"/>
      <c r="C288" s="19"/>
      <c r="D288" s="34"/>
      <c r="E288" s="13">
        <v>44811</v>
      </c>
      <c r="F288" s="355">
        <v>1855423761</v>
      </c>
      <c r="G288" s="261" t="s">
        <v>7581</v>
      </c>
      <c r="H288" s="8">
        <v>135000</v>
      </c>
    </row>
    <row r="289" spans="1:8" s="18" customFormat="1" ht="15.75" x14ac:dyDescent="0.25">
      <c r="A289" s="259"/>
      <c r="B289" s="260"/>
      <c r="C289" s="19"/>
      <c r="D289" s="34"/>
      <c r="E289" s="13">
        <v>44811</v>
      </c>
      <c r="F289" s="355">
        <v>1855423762</v>
      </c>
      <c r="G289" s="261" t="s">
        <v>9698</v>
      </c>
      <c r="H289" s="8">
        <v>250000</v>
      </c>
    </row>
    <row r="290" spans="1:8" s="18" customFormat="1" ht="15.75" x14ac:dyDescent="0.25">
      <c r="A290" s="259"/>
      <c r="B290" s="260"/>
      <c r="C290" s="19"/>
      <c r="D290" s="34"/>
      <c r="E290" s="13">
        <v>44811</v>
      </c>
      <c r="F290" s="355">
        <v>1855423763</v>
      </c>
      <c r="G290" s="261" t="s">
        <v>2053</v>
      </c>
      <c r="H290" s="395">
        <v>165996</v>
      </c>
    </row>
    <row r="291" spans="1:8" s="18" customFormat="1" ht="15.75" x14ac:dyDescent="0.25">
      <c r="A291" s="259"/>
      <c r="B291" s="260"/>
      <c r="C291" s="19"/>
      <c r="D291" s="34"/>
      <c r="E291" s="13">
        <v>44812</v>
      </c>
      <c r="F291" s="355">
        <v>1855423764</v>
      </c>
      <c r="G291" s="261" t="s">
        <v>9488</v>
      </c>
      <c r="H291" s="8">
        <v>113000</v>
      </c>
    </row>
    <row r="292" spans="1:8" s="18" customFormat="1" ht="15.75" x14ac:dyDescent="0.25">
      <c r="A292" s="259"/>
      <c r="B292" s="260"/>
      <c r="C292" s="19"/>
      <c r="D292" s="34"/>
      <c r="E292" s="13">
        <v>44818</v>
      </c>
      <c r="F292" s="355">
        <v>1855423765</v>
      </c>
      <c r="G292" s="261" t="s">
        <v>8608</v>
      </c>
      <c r="H292" s="8">
        <v>500000</v>
      </c>
    </row>
    <row r="293" spans="1:8" s="18" customFormat="1" ht="15.75" x14ac:dyDescent="0.25">
      <c r="A293" s="259"/>
      <c r="B293" s="260"/>
      <c r="C293" s="19"/>
      <c r="D293" s="34"/>
      <c r="E293" s="13">
        <v>44818</v>
      </c>
      <c r="F293" s="355">
        <v>1855423766</v>
      </c>
      <c r="G293" s="261" t="s">
        <v>9732</v>
      </c>
      <c r="H293" s="8">
        <v>100000</v>
      </c>
    </row>
    <row r="294" spans="1:8" s="18" customFormat="1" ht="15.75" x14ac:dyDescent="0.25">
      <c r="A294" s="259"/>
      <c r="B294" s="260"/>
      <c r="C294" s="19"/>
      <c r="D294" s="34"/>
      <c r="E294" s="13">
        <v>44818</v>
      </c>
      <c r="F294" s="355">
        <v>1855423767</v>
      </c>
      <c r="G294" s="261" t="s">
        <v>7090</v>
      </c>
      <c r="H294" s="8"/>
    </row>
    <row r="295" spans="1:8" s="18" customFormat="1" ht="15.75" x14ac:dyDescent="0.25">
      <c r="A295" s="259"/>
      <c r="B295" s="260"/>
      <c r="C295" s="19"/>
      <c r="D295" s="34"/>
      <c r="E295" s="13">
        <v>44821</v>
      </c>
      <c r="F295" s="355">
        <v>1855423768</v>
      </c>
      <c r="G295" s="261" t="s">
        <v>9754</v>
      </c>
      <c r="H295" s="8">
        <v>80500</v>
      </c>
    </row>
    <row r="296" spans="1:8" s="18" customFormat="1" ht="15.75" x14ac:dyDescent="0.25">
      <c r="A296" s="259"/>
      <c r="B296" s="260"/>
      <c r="C296" s="19"/>
      <c r="D296" s="34"/>
      <c r="E296" s="13">
        <v>44823</v>
      </c>
      <c r="F296" s="355">
        <v>1855423769</v>
      </c>
      <c r="G296" s="261" t="s">
        <v>9777</v>
      </c>
      <c r="H296" s="8">
        <v>50000</v>
      </c>
    </row>
    <row r="297" spans="1:8" s="18" customFormat="1" ht="15.75" x14ac:dyDescent="0.25">
      <c r="A297" s="259"/>
      <c r="B297" s="260"/>
      <c r="C297" s="19"/>
      <c r="D297" s="34"/>
      <c r="E297" s="13">
        <v>44825</v>
      </c>
      <c r="F297" s="355">
        <v>1855423770</v>
      </c>
      <c r="G297" s="261" t="s">
        <v>9778</v>
      </c>
      <c r="H297" s="8">
        <v>100000</v>
      </c>
    </row>
    <row r="298" spans="1:8" s="18" customFormat="1" ht="15.75" x14ac:dyDescent="0.25">
      <c r="A298" s="259"/>
      <c r="B298" s="260"/>
      <c r="C298" s="19"/>
      <c r="D298" s="34"/>
      <c r="E298" s="13">
        <v>44825</v>
      </c>
      <c r="F298" s="355">
        <v>1855423771</v>
      </c>
      <c r="G298" s="261" t="s">
        <v>5328</v>
      </c>
      <c r="H298" s="8">
        <v>500000</v>
      </c>
    </row>
    <row r="299" spans="1:8" s="18" customFormat="1" ht="15.75" x14ac:dyDescent="0.25">
      <c r="A299" s="259"/>
      <c r="B299" s="260"/>
      <c r="C299" s="19"/>
      <c r="D299" s="34"/>
      <c r="E299" s="13">
        <v>44825</v>
      </c>
      <c r="F299" s="355">
        <v>1855423772</v>
      </c>
      <c r="G299" s="261" t="s">
        <v>9482</v>
      </c>
      <c r="H299" s="8">
        <v>150000</v>
      </c>
    </row>
    <row r="300" spans="1:8" s="18" customFormat="1" ht="15.75" x14ac:dyDescent="0.25">
      <c r="A300" s="259"/>
      <c r="B300" s="260"/>
      <c r="C300" s="19"/>
      <c r="D300" s="34"/>
      <c r="E300" s="13">
        <v>44831</v>
      </c>
      <c r="F300" s="355">
        <v>1855423773</v>
      </c>
      <c r="G300" s="261" t="s">
        <v>9820</v>
      </c>
      <c r="H300" s="8">
        <v>250000</v>
      </c>
    </row>
    <row r="301" spans="1:8" s="18" customFormat="1" ht="15.75" x14ac:dyDescent="0.25">
      <c r="A301" s="259"/>
      <c r="B301" s="260"/>
      <c r="C301" s="19"/>
      <c r="D301" s="34"/>
      <c r="E301" s="13">
        <v>44831</v>
      </c>
      <c r="F301" s="355">
        <v>1855423774</v>
      </c>
      <c r="G301" s="261" t="s">
        <v>9820</v>
      </c>
      <c r="H301" s="8">
        <v>250000</v>
      </c>
    </row>
    <row r="302" spans="1:8" s="18" customFormat="1" ht="15.75" x14ac:dyDescent="0.25">
      <c r="A302" s="259"/>
      <c r="B302" s="260"/>
      <c r="C302" s="19"/>
      <c r="D302" s="34"/>
      <c r="E302" s="13">
        <v>44831</v>
      </c>
      <c r="F302" s="355">
        <v>1855423775</v>
      </c>
      <c r="G302" s="261" t="s">
        <v>5328</v>
      </c>
      <c r="H302" s="8">
        <v>150000</v>
      </c>
    </row>
    <row r="303" spans="1:8" s="18" customFormat="1" ht="15.75" x14ac:dyDescent="0.25">
      <c r="A303" s="259"/>
      <c r="B303" s="260"/>
      <c r="C303" s="19"/>
      <c r="D303" s="34"/>
      <c r="E303" s="13">
        <v>44831</v>
      </c>
      <c r="F303" s="355">
        <v>1855423776</v>
      </c>
      <c r="G303" s="261" t="s">
        <v>9821</v>
      </c>
      <c r="H303" s="8">
        <v>70000</v>
      </c>
    </row>
    <row r="304" spans="1:8" s="18" customFormat="1" ht="15.75" x14ac:dyDescent="0.25">
      <c r="A304" s="259"/>
      <c r="B304" s="260"/>
      <c r="C304" s="19"/>
      <c r="D304" s="34"/>
      <c r="E304" s="13">
        <v>44831</v>
      </c>
      <c r="F304" s="355">
        <v>1855423777</v>
      </c>
      <c r="G304" s="261" t="s">
        <v>113</v>
      </c>
      <c r="H304" s="8">
        <v>50000</v>
      </c>
    </row>
    <row r="305" spans="1:8" s="18" customFormat="1" ht="15.75" x14ac:dyDescent="0.25">
      <c r="A305" s="259"/>
      <c r="B305" s="260"/>
      <c r="C305" s="19"/>
      <c r="D305" s="34"/>
      <c r="E305" s="13">
        <v>44832</v>
      </c>
      <c r="F305" s="355">
        <v>1855423778</v>
      </c>
      <c r="G305" s="261" t="s">
        <v>5328</v>
      </c>
      <c r="H305" s="8">
        <v>100000</v>
      </c>
    </row>
    <row r="306" spans="1:8" s="18" customFormat="1" ht="15.75" x14ac:dyDescent="0.25">
      <c r="A306" s="259"/>
      <c r="B306" s="260"/>
      <c r="C306" s="19"/>
      <c r="D306" s="34"/>
      <c r="E306" s="13">
        <v>44835</v>
      </c>
      <c r="F306" s="355">
        <v>1855423779</v>
      </c>
      <c r="G306" s="261" t="s">
        <v>113</v>
      </c>
      <c r="H306" s="8">
        <v>127000</v>
      </c>
    </row>
    <row r="307" spans="1:8" s="18" customFormat="1" ht="15.75" x14ac:dyDescent="0.25">
      <c r="A307" s="259"/>
      <c r="B307" s="260"/>
      <c r="C307" s="19"/>
      <c r="D307" s="34"/>
      <c r="E307" s="13">
        <v>44837</v>
      </c>
      <c r="F307" s="355">
        <v>1855423780</v>
      </c>
      <c r="G307" s="261" t="s">
        <v>9885</v>
      </c>
      <c r="H307" s="8">
        <v>167000</v>
      </c>
    </row>
    <row r="308" spans="1:8" s="18" customFormat="1" ht="15.75" x14ac:dyDescent="0.25">
      <c r="A308" s="259"/>
      <c r="B308" s="260"/>
      <c r="C308" s="19"/>
      <c r="D308" s="34"/>
      <c r="E308" s="13">
        <v>44837</v>
      </c>
      <c r="F308" s="355">
        <v>1855423781</v>
      </c>
      <c r="G308" s="261" t="s">
        <v>9886</v>
      </c>
      <c r="H308" s="8">
        <v>142000</v>
      </c>
    </row>
    <row r="309" spans="1:8" s="18" customFormat="1" ht="15.75" x14ac:dyDescent="0.25">
      <c r="A309" s="259"/>
      <c r="B309" s="260"/>
      <c r="C309" s="19"/>
      <c r="D309" s="34"/>
      <c r="E309" s="13">
        <v>44837</v>
      </c>
      <c r="F309" s="355">
        <v>1855423782</v>
      </c>
      <c r="G309" s="261" t="s">
        <v>7418</v>
      </c>
      <c r="H309" s="8">
        <v>109311</v>
      </c>
    </row>
    <row r="310" spans="1:8" s="18" customFormat="1" ht="15.75" x14ac:dyDescent="0.25">
      <c r="A310" s="259"/>
      <c r="B310" s="260"/>
      <c r="C310" s="19"/>
      <c r="D310" s="34"/>
      <c r="E310" s="13">
        <v>44837</v>
      </c>
      <c r="F310" s="355">
        <v>1855423783</v>
      </c>
      <c r="G310" s="261" t="s">
        <v>9887</v>
      </c>
      <c r="H310" s="8">
        <v>18000</v>
      </c>
    </row>
    <row r="311" spans="1:8" s="18" customFormat="1" ht="15.75" x14ac:dyDescent="0.25">
      <c r="A311" s="259"/>
      <c r="B311" s="260"/>
      <c r="C311" s="19"/>
      <c r="D311" s="34"/>
      <c r="E311" s="13">
        <v>44840</v>
      </c>
      <c r="F311" s="355">
        <v>1855423784</v>
      </c>
      <c r="G311" s="261" t="s">
        <v>9888</v>
      </c>
      <c r="H311" s="8">
        <v>200000</v>
      </c>
    </row>
    <row r="312" spans="1:8" s="18" customFormat="1" ht="15.75" x14ac:dyDescent="0.25">
      <c r="A312" s="259"/>
      <c r="B312" s="260"/>
      <c r="C312" s="19"/>
      <c r="D312" s="34"/>
      <c r="E312" s="13">
        <v>44840</v>
      </c>
      <c r="F312" s="355">
        <v>1855423785</v>
      </c>
      <c r="G312" s="261" t="s">
        <v>9889</v>
      </c>
      <c r="H312" s="8">
        <v>300000</v>
      </c>
    </row>
    <row r="313" spans="1:8" s="18" customFormat="1" ht="15.75" x14ac:dyDescent="0.25">
      <c r="A313" s="259"/>
      <c r="B313" s="260"/>
      <c r="C313" s="19"/>
      <c r="D313" s="34"/>
      <c r="E313" s="13">
        <v>44841</v>
      </c>
      <c r="F313" s="355">
        <v>1855423786</v>
      </c>
      <c r="G313" s="261" t="s">
        <v>5328</v>
      </c>
      <c r="H313" s="8">
        <v>600000</v>
      </c>
    </row>
    <row r="314" spans="1:8" s="18" customFormat="1" ht="15.75" x14ac:dyDescent="0.25">
      <c r="A314" s="259"/>
      <c r="B314" s="260"/>
      <c r="C314" s="19"/>
      <c r="D314" s="34"/>
      <c r="E314" s="13">
        <v>44848</v>
      </c>
      <c r="F314" s="355">
        <v>1855423787</v>
      </c>
      <c r="G314" s="261" t="s">
        <v>9933</v>
      </c>
      <c r="H314" s="8">
        <v>300000</v>
      </c>
    </row>
    <row r="315" spans="1:8" s="18" customFormat="1" ht="15.75" x14ac:dyDescent="0.25">
      <c r="A315" s="259"/>
      <c r="B315" s="260"/>
      <c r="C315" s="19"/>
      <c r="D315" s="34"/>
      <c r="E315" s="13">
        <v>44848</v>
      </c>
      <c r="F315" s="355">
        <v>1855423788</v>
      </c>
      <c r="G315" s="261" t="s">
        <v>9934</v>
      </c>
      <c r="H315" s="8">
        <v>224000</v>
      </c>
    </row>
    <row r="316" spans="1:8" s="18" customFormat="1" ht="15.75" x14ac:dyDescent="0.25">
      <c r="A316" s="259"/>
      <c r="B316" s="260"/>
      <c r="C316" s="19"/>
      <c r="D316" s="34"/>
      <c r="E316" s="13">
        <v>44859</v>
      </c>
      <c r="F316" s="355">
        <v>1855423789</v>
      </c>
      <c r="G316" s="261" t="s">
        <v>8573</v>
      </c>
      <c r="H316" s="8">
        <v>125000</v>
      </c>
    </row>
    <row r="317" spans="1:8" s="18" customFormat="1" ht="15.75" x14ac:dyDescent="0.25">
      <c r="A317" s="259"/>
      <c r="B317" s="260"/>
      <c r="C317" s="19"/>
      <c r="D317" s="34"/>
      <c r="E317" s="13">
        <v>44861</v>
      </c>
      <c r="F317" s="355">
        <v>1855423790</v>
      </c>
      <c r="G317" s="261" t="s">
        <v>9778</v>
      </c>
      <c r="H317" s="8">
        <v>140000</v>
      </c>
    </row>
    <row r="318" spans="1:8" s="18" customFormat="1" ht="15.75" x14ac:dyDescent="0.25">
      <c r="A318" s="259"/>
      <c r="B318" s="260"/>
      <c r="C318" s="19"/>
      <c r="D318" s="34"/>
      <c r="E318" s="13">
        <v>44861</v>
      </c>
      <c r="F318" s="355">
        <v>1855423791</v>
      </c>
      <c r="G318" s="261" t="s">
        <v>10021</v>
      </c>
      <c r="H318" s="8">
        <v>150000</v>
      </c>
    </row>
    <row r="319" spans="1:8" s="18" customFormat="1" ht="15.75" x14ac:dyDescent="0.25">
      <c r="A319" s="259"/>
      <c r="B319" s="260"/>
      <c r="C319" s="19"/>
      <c r="D319" s="34"/>
      <c r="E319" s="13">
        <v>44865</v>
      </c>
      <c r="F319" s="355">
        <v>1855423792</v>
      </c>
      <c r="G319" s="261" t="s">
        <v>10064</v>
      </c>
      <c r="H319" s="8">
        <v>93000</v>
      </c>
    </row>
    <row r="320" spans="1:8" s="18" customFormat="1" ht="15.75" x14ac:dyDescent="0.25">
      <c r="A320" s="259"/>
      <c r="B320" s="260"/>
      <c r="C320" s="19"/>
      <c r="D320" s="34"/>
      <c r="E320" s="13">
        <v>44866</v>
      </c>
      <c r="F320" s="355">
        <v>1855423793</v>
      </c>
      <c r="G320" s="261" t="s">
        <v>2053</v>
      </c>
      <c r="H320" s="8">
        <v>78480</v>
      </c>
    </row>
    <row r="321" spans="1:9" s="18" customFormat="1" ht="15.75" x14ac:dyDescent="0.25">
      <c r="A321" s="259"/>
      <c r="B321" s="260"/>
      <c r="C321" s="19"/>
      <c r="D321" s="34"/>
      <c r="E321" s="13">
        <v>44866</v>
      </c>
      <c r="F321" s="355">
        <v>1855423794</v>
      </c>
      <c r="G321" s="261" t="s">
        <v>8570</v>
      </c>
      <c r="H321" s="8">
        <v>350000</v>
      </c>
    </row>
    <row r="322" spans="1:9" s="18" customFormat="1" ht="15.75" x14ac:dyDescent="0.25">
      <c r="A322" s="259"/>
      <c r="B322" s="260"/>
      <c r="C322" s="19"/>
      <c r="D322" s="34"/>
      <c r="E322" s="13">
        <v>44866</v>
      </c>
      <c r="F322" s="355">
        <v>1855423795</v>
      </c>
      <c r="G322" s="261" t="s">
        <v>10065</v>
      </c>
      <c r="H322" s="8">
        <v>28400</v>
      </c>
    </row>
    <row r="323" spans="1:9" s="18" customFormat="1" ht="15.75" x14ac:dyDescent="0.25">
      <c r="A323" s="259"/>
      <c r="B323" s="260"/>
      <c r="C323" s="19"/>
      <c r="D323" s="34"/>
      <c r="E323" s="13">
        <v>44870</v>
      </c>
      <c r="F323" s="355">
        <v>1855423796</v>
      </c>
      <c r="G323" s="261" t="s">
        <v>7581</v>
      </c>
      <c r="H323" s="8">
        <v>200000</v>
      </c>
    </row>
    <row r="324" spans="1:9" s="18" customFormat="1" ht="15.75" x14ac:dyDescent="0.25">
      <c r="A324" s="259"/>
      <c r="B324" s="260"/>
      <c r="C324" s="19"/>
      <c r="D324" s="34"/>
      <c r="E324" s="13">
        <v>44870</v>
      </c>
      <c r="F324" s="355">
        <v>1855423797</v>
      </c>
      <c r="G324" s="261" t="s">
        <v>7581</v>
      </c>
      <c r="H324" s="8">
        <v>100000</v>
      </c>
    </row>
    <row r="325" spans="1:9" s="18" customFormat="1" ht="15.75" x14ac:dyDescent="0.25">
      <c r="A325" s="259"/>
      <c r="B325" s="260"/>
      <c r="C325" s="19"/>
      <c r="D325" s="34"/>
      <c r="E325" s="13">
        <v>44872</v>
      </c>
      <c r="F325" s="355">
        <v>1855423798</v>
      </c>
      <c r="G325" s="261" t="s">
        <v>8697</v>
      </c>
      <c r="H325" s="8">
        <v>108000</v>
      </c>
    </row>
    <row r="326" spans="1:9" s="18" customFormat="1" ht="15.75" x14ac:dyDescent="0.25">
      <c r="A326" s="259"/>
      <c r="B326" s="260"/>
      <c r="C326" s="19"/>
      <c r="D326" s="34"/>
      <c r="E326" s="13">
        <v>44872</v>
      </c>
      <c r="F326" s="355">
        <v>1855423799</v>
      </c>
      <c r="G326" s="261" t="s">
        <v>580</v>
      </c>
      <c r="H326" s="8">
        <v>100000</v>
      </c>
    </row>
    <row r="327" spans="1:9" s="18" customFormat="1" ht="15.75" x14ac:dyDescent="0.25">
      <c r="A327" s="259"/>
      <c r="B327" s="260"/>
      <c r="C327" s="19"/>
      <c r="D327" s="34"/>
      <c r="E327" s="13">
        <v>44879</v>
      </c>
      <c r="F327" s="355">
        <v>1875278250</v>
      </c>
      <c r="G327" s="261" t="s">
        <v>10131</v>
      </c>
      <c r="H327" s="8">
        <v>350000</v>
      </c>
      <c r="I327" s="18" t="s">
        <v>9432</v>
      </c>
    </row>
    <row r="328" spans="1:9" s="18" customFormat="1" ht="15.75" x14ac:dyDescent="0.25">
      <c r="A328" s="259"/>
      <c r="B328" s="260"/>
      <c r="C328" s="19"/>
      <c r="D328" s="34"/>
      <c r="E328" s="13">
        <v>44882</v>
      </c>
      <c r="F328" s="355">
        <v>1875278251</v>
      </c>
      <c r="G328" s="261" t="s">
        <v>10138</v>
      </c>
      <c r="H328" s="8">
        <v>69000</v>
      </c>
    </row>
    <row r="329" spans="1:9" s="18" customFormat="1" ht="15.75" x14ac:dyDescent="0.25">
      <c r="A329" s="259"/>
      <c r="B329" s="260"/>
      <c r="C329" s="19"/>
      <c r="D329" s="34"/>
      <c r="E329" s="13">
        <v>44882</v>
      </c>
      <c r="F329" s="355">
        <v>1875278252</v>
      </c>
      <c r="G329" s="261" t="s">
        <v>10139</v>
      </c>
      <c r="H329" s="8">
        <v>93600</v>
      </c>
    </row>
    <row r="330" spans="1:9" s="18" customFormat="1" ht="15.75" x14ac:dyDescent="0.25">
      <c r="A330" s="259"/>
      <c r="B330" s="260"/>
      <c r="C330" s="19"/>
      <c r="D330" s="34"/>
      <c r="E330" s="13">
        <v>44882</v>
      </c>
      <c r="F330" s="355">
        <v>1875278253</v>
      </c>
      <c r="G330" s="261" t="s">
        <v>10137</v>
      </c>
      <c r="H330" s="8"/>
    </row>
    <row r="331" spans="1:9" s="18" customFormat="1" ht="15.75" x14ac:dyDescent="0.25">
      <c r="A331" s="259"/>
      <c r="B331" s="260"/>
      <c r="C331" s="19"/>
      <c r="D331" s="34"/>
      <c r="E331" s="13">
        <v>44887</v>
      </c>
      <c r="F331" s="355">
        <v>1875278254</v>
      </c>
      <c r="G331" s="261" t="s">
        <v>9820</v>
      </c>
      <c r="H331" s="8">
        <v>250000</v>
      </c>
    </row>
    <row r="332" spans="1:9" s="18" customFormat="1" ht="15.75" x14ac:dyDescent="0.25">
      <c r="A332" s="259"/>
      <c r="B332" s="260"/>
      <c r="C332" s="19"/>
      <c r="D332" s="34"/>
      <c r="E332" s="13">
        <v>44887</v>
      </c>
      <c r="F332" s="355">
        <v>1875278255</v>
      </c>
      <c r="G332" s="261" t="s">
        <v>9820</v>
      </c>
      <c r="H332" s="8">
        <v>250000</v>
      </c>
    </row>
    <row r="333" spans="1:9" s="18" customFormat="1" ht="15.75" x14ac:dyDescent="0.25">
      <c r="A333" s="259"/>
      <c r="B333" s="260"/>
      <c r="C333" s="19"/>
      <c r="D333" s="34"/>
      <c r="E333" s="13">
        <v>44887</v>
      </c>
      <c r="F333" s="355">
        <v>1875278256</v>
      </c>
      <c r="G333" s="261" t="s">
        <v>9889</v>
      </c>
      <c r="H333" s="8">
        <v>200000</v>
      </c>
    </row>
    <row r="334" spans="1:9" s="18" customFormat="1" ht="15.75" x14ac:dyDescent="0.25">
      <c r="A334" s="259"/>
      <c r="B334" s="260"/>
      <c r="C334" s="19"/>
      <c r="D334" s="34"/>
      <c r="E334" s="13">
        <v>44888</v>
      </c>
      <c r="F334" s="355">
        <v>1875278257</v>
      </c>
      <c r="G334" s="261" t="s">
        <v>5978</v>
      </c>
      <c r="H334" s="8">
        <v>189000</v>
      </c>
    </row>
    <row r="335" spans="1:9" s="18" customFormat="1" ht="15.75" x14ac:dyDescent="0.25">
      <c r="A335" s="259"/>
      <c r="B335" s="260"/>
      <c r="C335" s="19"/>
      <c r="D335" s="34"/>
      <c r="E335" s="13">
        <v>44896</v>
      </c>
      <c r="F335" s="355">
        <v>1875278258</v>
      </c>
      <c r="G335" s="261" t="s">
        <v>2053</v>
      </c>
      <c r="H335" s="8">
        <v>143472</v>
      </c>
    </row>
    <row r="336" spans="1:9" s="18" customFormat="1" ht="15.75" x14ac:dyDescent="0.25">
      <c r="A336" s="259"/>
      <c r="B336" s="260"/>
      <c r="C336" s="19"/>
      <c r="D336" s="34"/>
      <c r="E336" s="13">
        <v>44896</v>
      </c>
      <c r="F336" s="355">
        <v>1875278259</v>
      </c>
      <c r="G336" s="261" t="s">
        <v>10249</v>
      </c>
      <c r="H336" s="8">
        <v>250000</v>
      </c>
    </row>
    <row r="337" spans="1:8" s="18" customFormat="1" ht="15.75" x14ac:dyDescent="0.25">
      <c r="A337" s="259"/>
      <c r="B337" s="260"/>
      <c r="C337" s="19"/>
      <c r="D337" s="34"/>
      <c r="E337" s="13">
        <v>44896</v>
      </c>
      <c r="F337" s="355">
        <v>1875278260</v>
      </c>
      <c r="G337" s="261" t="s">
        <v>10249</v>
      </c>
      <c r="H337" s="8">
        <v>250000</v>
      </c>
    </row>
    <row r="338" spans="1:8" s="18" customFormat="1" ht="15.75" x14ac:dyDescent="0.25">
      <c r="A338" s="259"/>
      <c r="B338" s="260"/>
      <c r="C338" s="19"/>
      <c r="D338" s="34"/>
      <c r="E338" s="13">
        <v>44900</v>
      </c>
      <c r="F338" s="355">
        <v>1875278261</v>
      </c>
      <c r="G338" s="261" t="s">
        <v>10267</v>
      </c>
      <c r="H338" s="8">
        <v>50000</v>
      </c>
    </row>
    <row r="339" spans="1:8" s="18" customFormat="1" ht="15.75" x14ac:dyDescent="0.25">
      <c r="A339" s="259"/>
      <c r="B339" s="260"/>
      <c r="C339" s="19"/>
      <c r="D339" s="34"/>
      <c r="E339" s="13">
        <v>44900</v>
      </c>
      <c r="F339" s="355">
        <v>1875278262</v>
      </c>
      <c r="G339" s="261" t="s">
        <v>10268</v>
      </c>
      <c r="H339" s="8">
        <v>200000</v>
      </c>
    </row>
    <row r="340" spans="1:8" s="18" customFormat="1" ht="15.75" x14ac:dyDescent="0.25">
      <c r="A340" s="259"/>
      <c r="B340" s="260"/>
      <c r="C340" s="19"/>
      <c r="D340" s="34"/>
      <c r="E340" s="13">
        <v>44900</v>
      </c>
      <c r="F340" s="355">
        <v>1875278263</v>
      </c>
      <c r="G340" s="261" t="s">
        <v>10269</v>
      </c>
      <c r="H340" s="8">
        <v>35618</v>
      </c>
    </row>
    <row r="341" spans="1:8" s="18" customFormat="1" ht="15.75" x14ac:dyDescent="0.25">
      <c r="A341" s="259"/>
      <c r="B341" s="260"/>
      <c r="C341" s="19"/>
      <c r="D341" s="34"/>
      <c r="E341" s="13">
        <v>44903</v>
      </c>
      <c r="F341" s="355">
        <v>1875278264</v>
      </c>
      <c r="G341" s="261" t="s">
        <v>9947</v>
      </c>
      <c r="H341" s="8">
        <v>50000</v>
      </c>
    </row>
    <row r="342" spans="1:8" s="18" customFormat="1" ht="15.75" x14ac:dyDescent="0.25">
      <c r="A342" s="259"/>
      <c r="B342" s="260"/>
      <c r="C342" s="19"/>
      <c r="D342" s="34"/>
      <c r="E342" s="13">
        <v>44903</v>
      </c>
      <c r="F342" s="355">
        <v>1875278265</v>
      </c>
      <c r="G342" s="261" t="s">
        <v>10284</v>
      </c>
      <c r="H342" s="8">
        <v>100000</v>
      </c>
    </row>
    <row r="343" spans="1:8" s="18" customFormat="1" ht="15.75" x14ac:dyDescent="0.25">
      <c r="A343" s="259"/>
      <c r="B343" s="260"/>
      <c r="C343" s="19"/>
      <c r="D343" s="34"/>
      <c r="E343" s="13">
        <v>44907</v>
      </c>
      <c r="F343" s="355">
        <v>1875278266</v>
      </c>
      <c r="G343" s="261" t="s">
        <v>8174</v>
      </c>
      <c r="H343" s="8">
        <v>150000</v>
      </c>
    </row>
    <row r="344" spans="1:8" s="18" customFormat="1" ht="15.75" x14ac:dyDescent="0.25">
      <c r="A344" s="259"/>
      <c r="B344" s="260"/>
      <c r="C344" s="19"/>
      <c r="D344" s="34"/>
      <c r="E344" s="13">
        <v>44909</v>
      </c>
      <c r="F344" s="355">
        <v>1875278267</v>
      </c>
      <c r="G344" s="261" t="s">
        <v>9947</v>
      </c>
      <c r="H344" s="8">
        <v>50000</v>
      </c>
    </row>
    <row r="345" spans="1:8" s="18" customFormat="1" ht="15.75" x14ac:dyDescent="0.25">
      <c r="A345" s="259"/>
      <c r="B345" s="260"/>
      <c r="C345" s="19"/>
      <c r="D345" s="34"/>
      <c r="E345" s="13">
        <v>44910</v>
      </c>
      <c r="F345" s="355">
        <v>1875278268</v>
      </c>
      <c r="G345" s="261" t="s">
        <v>9889</v>
      </c>
      <c r="H345" s="8">
        <v>216700</v>
      </c>
    </row>
    <row r="346" spans="1:8" s="18" customFormat="1" ht="15.75" x14ac:dyDescent="0.25">
      <c r="A346" s="259"/>
      <c r="B346" s="260"/>
      <c r="C346" s="19"/>
      <c r="D346" s="34"/>
      <c r="E346" s="13">
        <v>44914</v>
      </c>
      <c r="F346" s="355">
        <v>1875278269</v>
      </c>
      <c r="G346" s="261" t="s">
        <v>3934</v>
      </c>
      <c r="H346" s="8">
        <v>80000</v>
      </c>
    </row>
    <row r="347" spans="1:8" s="18" customFormat="1" ht="15.75" x14ac:dyDescent="0.25">
      <c r="A347" s="259"/>
      <c r="B347" s="260"/>
      <c r="C347" s="19"/>
      <c r="D347" s="34"/>
      <c r="E347" s="13">
        <v>44914</v>
      </c>
      <c r="F347" s="355">
        <v>1875278270</v>
      </c>
      <c r="G347" s="261" t="s">
        <v>3692</v>
      </c>
      <c r="H347" s="8">
        <v>50000</v>
      </c>
    </row>
    <row r="348" spans="1:8" s="18" customFormat="1" ht="15.75" x14ac:dyDescent="0.25">
      <c r="A348" s="259"/>
      <c r="B348" s="260"/>
      <c r="C348" s="19"/>
      <c r="D348" s="34"/>
      <c r="E348" s="13">
        <v>44914</v>
      </c>
      <c r="F348" s="355">
        <v>1875278271</v>
      </c>
      <c r="G348" s="261" t="s">
        <v>9777</v>
      </c>
      <c r="H348" s="8">
        <v>50000</v>
      </c>
    </row>
    <row r="349" spans="1:8" s="18" customFormat="1" ht="15.75" x14ac:dyDescent="0.25">
      <c r="A349" s="259"/>
      <c r="B349" s="260"/>
      <c r="C349" s="19"/>
      <c r="D349" s="34"/>
      <c r="E349" s="13">
        <v>44914</v>
      </c>
      <c r="F349" s="355">
        <v>1875278272</v>
      </c>
      <c r="G349" s="261" t="s">
        <v>9484</v>
      </c>
      <c r="H349" s="8">
        <v>48000</v>
      </c>
    </row>
    <row r="350" spans="1:8" s="18" customFormat="1" ht="15.75" x14ac:dyDescent="0.25">
      <c r="A350" s="259"/>
      <c r="B350" s="260"/>
      <c r="C350" s="19"/>
      <c r="D350" s="34"/>
      <c r="E350" s="13">
        <v>44918</v>
      </c>
      <c r="F350" s="355">
        <v>1875278273</v>
      </c>
      <c r="G350" s="477" t="s">
        <v>10357</v>
      </c>
      <c r="H350" s="478">
        <v>60000</v>
      </c>
    </row>
    <row r="351" spans="1:8" s="18" customFormat="1" ht="15.75" x14ac:dyDescent="0.25">
      <c r="A351" s="259"/>
      <c r="B351" s="260"/>
      <c r="C351" s="19"/>
      <c r="D351" s="34"/>
      <c r="E351" s="13">
        <v>44918</v>
      </c>
      <c r="F351" s="355">
        <v>1875278274</v>
      </c>
      <c r="G351" s="261" t="s">
        <v>10358</v>
      </c>
      <c r="H351" s="8">
        <v>150000</v>
      </c>
    </row>
    <row r="352" spans="1:8" s="18" customFormat="1" ht="15.75" x14ac:dyDescent="0.25">
      <c r="A352" s="259"/>
      <c r="B352" s="260"/>
      <c r="C352" s="19"/>
      <c r="D352" s="34"/>
      <c r="E352" s="13">
        <v>44918</v>
      </c>
      <c r="F352" s="355">
        <v>1875278275</v>
      </c>
      <c r="G352" s="261" t="s">
        <v>10358</v>
      </c>
      <c r="H352" s="8">
        <v>150000</v>
      </c>
    </row>
    <row r="353" spans="1:8" s="18" customFormat="1" ht="15.75" x14ac:dyDescent="0.25">
      <c r="A353" s="259"/>
      <c r="B353" s="260"/>
      <c r="C353" s="19"/>
      <c r="D353" s="34"/>
      <c r="E353" s="13">
        <v>44921</v>
      </c>
      <c r="F353" s="355">
        <v>1875278276</v>
      </c>
      <c r="G353" s="261" t="s">
        <v>10380</v>
      </c>
      <c r="H353" s="8">
        <v>242500</v>
      </c>
    </row>
    <row r="354" spans="1:8" s="18" customFormat="1" ht="15.75" x14ac:dyDescent="0.25">
      <c r="A354" s="259"/>
      <c r="B354" s="260"/>
      <c r="C354" s="19"/>
      <c r="D354" s="34"/>
      <c r="E354" s="13">
        <v>44921</v>
      </c>
      <c r="F354" s="355">
        <v>1875278277</v>
      </c>
      <c r="G354" s="261" t="s">
        <v>10380</v>
      </c>
      <c r="H354" s="8">
        <v>242500</v>
      </c>
    </row>
    <row r="355" spans="1:8" s="18" customFormat="1" ht="15.75" x14ac:dyDescent="0.25">
      <c r="A355" s="259"/>
      <c r="B355" s="260"/>
      <c r="C355" s="19"/>
      <c r="D355" s="34"/>
      <c r="E355" s="13">
        <v>44921</v>
      </c>
      <c r="F355" s="355">
        <v>1875278278</v>
      </c>
      <c r="G355" s="261" t="s">
        <v>10380</v>
      </c>
      <c r="H355" s="8">
        <v>242500</v>
      </c>
    </row>
    <row r="356" spans="1:8" s="18" customFormat="1" ht="15.75" x14ac:dyDescent="0.25">
      <c r="A356" s="259"/>
      <c r="B356" s="260"/>
      <c r="C356" s="19"/>
      <c r="D356" s="34"/>
      <c r="E356" s="13">
        <v>44921</v>
      </c>
      <c r="F356" s="355">
        <v>1875278279</v>
      </c>
      <c r="G356" s="261" t="s">
        <v>10380</v>
      </c>
      <c r="H356" s="8">
        <v>242500</v>
      </c>
    </row>
    <row r="357" spans="1:8" s="18" customFormat="1" ht="15.75" x14ac:dyDescent="0.25">
      <c r="A357" s="259"/>
      <c r="B357" s="260"/>
      <c r="C357" s="19"/>
      <c r="D357" s="34"/>
      <c r="E357" s="13">
        <v>44921</v>
      </c>
      <c r="F357" s="355">
        <v>1875278280</v>
      </c>
      <c r="G357" s="261" t="s">
        <v>10381</v>
      </c>
      <c r="H357" s="8">
        <v>190000</v>
      </c>
    </row>
    <row r="358" spans="1:8" s="18" customFormat="1" ht="15.75" x14ac:dyDescent="0.25">
      <c r="A358" s="259"/>
      <c r="B358" s="260"/>
      <c r="C358" s="19"/>
      <c r="D358" s="34"/>
      <c r="E358" s="13">
        <v>44921</v>
      </c>
      <c r="F358" s="355">
        <v>1875278281</v>
      </c>
      <c r="G358" s="261" t="s">
        <v>7190</v>
      </c>
      <c r="H358" s="8">
        <v>157500</v>
      </c>
    </row>
    <row r="359" spans="1:8" s="18" customFormat="1" ht="15.75" x14ac:dyDescent="0.25">
      <c r="A359" s="259"/>
      <c r="B359" s="260"/>
      <c r="C359" s="19"/>
      <c r="D359" s="34"/>
      <c r="E359" s="13">
        <v>44923</v>
      </c>
      <c r="F359" s="355">
        <v>1875278282</v>
      </c>
      <c r="G359" s="261" t="s">
        <v>10399</v>
      </c>
      <c r="H359" s="8">
        <v>35000</v>
      </c>
    </row>
    <row r="360" spans="1:8" s="18" customFormat="1" ht="15.75" x14ac:dyDescent="0.25">
      <c r="A360" s="259"/>
      <c r="B360" s="260"/>
      <c r="C360" s="19"/>
      <c r="D360" s="34"/>
      <c r="E360" s="13">
        <v>44924</v>
      </c>
      <c r="F360" s="355">
        <v>1875278283</v>
      </c>
      <c r="G360" s="261" t="s">
        <v>8264</v>
      </c>
      <c r="H360" s="8">
        <v>333000</v>
      </c>
    </row>
    <row r="361" spans="1:8" s="18" customFormat="1" ht="15.75" x14ac:dyDescent="0.25">
      <c r="A361" s="259"/>
      <c r="B361" s="260"/>
      <c r="C361" s="19"/>
      <c r="D361" s="34"/>
      <c r="E361" s="13">
        <v>44924</v>
      </c>
      <c r="F361" s="355">
        <v>1875278284</v>
      </c>
      <c r="G361" s="261" t="s">
        <v>8264</v>
      </c>
      <c r="H361" s="8">
        <v>333000</v>
      </c>
    </row>
    <row r="362" spans="1:8" s="18" customFormat="1" ht="15.75" x14ac:dyDescent="0.25">
      <c r="A362" s="259"/>
      <c r="B362" s="260"/>
      <c r="C362" s="19"/>
      <c r="D362" s="34"/>
      <c r="E362" s="13">
        <v>44924</v>
      </c>
      <c r="F362" s="355">
        <v>1875278285</v>
      </c>
      <c r="G362" s="261" t="s">
        <v>8264</v>
      </c>
      <c r="H362" s="8">
        <v>334000</v>
      </c>
    </row>
    <row r="363" spans="1:8" s="18" customFormat="1" ht="15.75" x14ac:dyDescent="0.25">
      <c r="A363" s="259"/>
      <c r="B363" s="260"/>
      <c r="C363" s="19"/>
      <c r="D363" s="34"/>
      <c r="E363" s="13">
        <v>44925</v>
      </c>
      <c r="F363" s="355">
        <v>1875278286</v>
      </c>
      <c r="G363" s="261" t="s">
        <v>5328</v>
      </c>
      <c r="H363" s="8">
        <v>200000</v>
      </c>
    </row>
    <row r="364" spans="1:8" s="18" customFormat="1" ht="15.75" x14ac:dyDescent="0.25">
      <c r="A364" s="259"/>
      <c r="B364" s="260"/>
      <c r="C364" s="19"/>
      <c r="D364" s="34"/>
      <c r="E364" s="13">
        <v>44925</v>
      </c>
      <c r="F364" s="355">
        <v>1875278287</v>
      </c>
      <c r="G364" s="261" t="s">
        <v>10412</v>
      </c>
      <c r="H364" s="8">
        <v>100000</v>
      </c>
    </row>
    <row r="365" spans="1:8" s="18" customFormat="1" ht="15.75" x14ac:dyDescent="0.25">
      <c r="A365" s="259"/>
      <c r="B365" s="260"/>
      <c r="C365" s="19"/>
      <c r="D365" s="34"/>
      <c r="E365" s="13">
        <v>44932</v>
      </c>
      <c r="F365" s="355">
        <v>1875278288</v>
      </c>
      <c r="G365" s="261" t="s">
        <v>10441</v>
      </c>
      <c r="H365" s="8">
        <v>146423</v>
      </c>
    </row>
    <row r="366" spans="1:8" s="18" customFormat="1" ht="15.75" x14ac:dyDescent="0.25">
      <c r="A366" s="259"/>
      <c r="B366" s="260"/>
      <c r="C366" s="19"/>
      <c r="D366" s="34"/>
      <c r="E366" s="13">
        <v>44932</v>
      </c>
      <c r="F366" s="355">
        <v>1875278289</v>
      </c>
      <c r="G366" s="261" t="s">
        <v>5328</v>
      </c>
      <c r="H366" s="8">
        <v>150000</v>
      </c>
    </row>
    <row r="367" spans="1:8" s="18" customFormat="1" ht="15.75" x14ac:dyDescent="0.25">
      <c r="A367" s="259"/>
      <c r="B367" s="260"/>
      <c r="C367" s="19"/>
      <c r="D367" s="34"/>
      <c r="E367" s="13">
        <v>44932</v>
      </c>
      <c r="F367" s="355">
        <v>1875278290</v>
      </c>
      <c r="G367" s="261" t="s">
        <v>7851</v>
      </c>
      <c r="H367" s="8">
        <v>300000</v>
      </c>
    </row>
    <row r="368" spans="1:8" s="18" customFormat="1" ht="15.75" x14ac:dyDescent="0.25">
      <c r="A368" s="259"/>
      <c r="B368" s="260"/>
      <c r="C368" s="19"/>
      <c r="D368" s="34"/>
      <c r="E368" s="13">
        <v>44932</v>
      </c>
      <c r="F368" s="355">
        <v>1875278291</v>
      </c>
      <c r="G368" s="261" t="s">
        <v>7851</v>
      </c>
      <c r="H368" s="8">
        <v>300000</v>
      </c>
    </row>
    <row r="369" spans="1:9" s="18" customFormat="1" ht="15.75" x14ac:dyDescent="0.25">
      <c r="A369" s="259"/>
      <c r="B369" s="260"/>
      <c r="C369" s="19"/>
      <c r="D369" s="34"/>
      <c r="E369" s="13">
        <v>44932</v>
      </c>
      <c r="F369" s="355">
        <v>1875278292</v>
      </c>
      <c r="G369" s="261" t="s">
        <v>10442</v>
      </c>
      <c r="H369" s="8">
        <v>224000</v>
      </c>
    </row>
    <row r="370" spans="1:9" s="18" customFormat="1" ht="15.75" x14ac:dyDescent="0.25">
      <c r="A370" s="259"/>
      <c r="B370" s="260"/>
      <c r="C370" s="19"/>
      <c r="D370" s="34"/>
      <c r="E370" s="13">
        <v>44935</v>
      </c>
      <c r="F370" s="355">
        <v>1875278293</v>
      </c>
      <c r="G370" s="261" t="s">
        <v>5328</v>
      </c>
      <c r="H370" s="8">
        <v>500000</v>
      </c>
    </row>
    <row r="371" spans="1:9" s="18" customFormat="1" ht="15.75" x14ac:dyDescent="0.25">
      <c r="A371" s="259"/>
      <c r="B371" s="260"/>
      <c r="C371" s="19"/>
      <c r="D371" s="34"/>
      <c r="E371" s="13">
        <v>44936</v>
      </c>
      <c r="F371" s="355">
        <v>1875278294</v>
      </c>
      <c r="G371" s="261" t="s">
        <v>5328</v>
      </c>
      <c r="H371" s="8">
        <v>200000</v>
      </c>
    </row>
    <row r="372" spans="1:9" s="18" customFormat="1" ht="15.75" x14ac:dyDescent="0.25">
      <c r="A372" s="259"/>
      <c r="B372" s="260"/>
      <c r="C372" s="19"/>
      <c r="D372" s="34"/>
      <c r="E372" s="13">
        <v>44936</v>
      </c>
      <c r="F372" s="355">
        <v>1875278295</v>
      </c>
      <c r="G372" s="261" t="s">
        <v>5328</v>
      </c>
      <c r="H372" s="8">
        <v>100000</v>
      </c>
    </row>
    <row r="373" spans="1:9" s="18" customFormat="1" ht="15.75" x14ac:dyDescent="0.25">
      <c r="A373" s="259"/>
      <c r="B373" s="260"/>
      <c r="C373" s="19"/>
      <c r="D373" s="34"/>
      <c r="E373" s="13">
        <v>44937</v>
      </c>
      <c r="F373" s="355">
        <v>1875278296</v>
      </c>
      <c r="G373" s="261" t="s">
        <v>10452</v>
      </c>
      <c r="H373" s="8">
        <v>30000</v>
      </c>
    </row>
    <row r="374" spans="1:9" s="18" customFormat="1" ht="15.75" x14ac:dyDescent="0.25">
      <c r="A374" s="259"/>
      <c r="B374" s="260"/>
      <c r="C374" s="19"/>
      <c r="D374" s="34"/>
      <c r="E374" s="13">
        <v>44937</v>
      </c>
      <c r="F374" s="355">
        <v>1875278297</v>
      </c>
      <c r="G374" s="261" t="s">
        <v>5328</v>
      </c>
      <c r="H374" s="8">
        <v>100000</v>
      </c>
    </row>
    <row r="375" spans="1:9" s="18" customFormat="1" ht="15.75" x14ac:dyDescent="0.25">
      <c r="A375" s="259"/>
      <c r="B375" s="260"/>
      <c r="C375" s="19"/>
      <c r="D375" s="34"/>
      <c r="E375" s="13">
        <v>44942</v>
      </c>
      <c r="F375" s="355">
        <v>1875278298</v>
      </c>
      <c r="G375" s="261" t="s">
        <v>9482</v>
      </c>
      <c r="H375" s="8">
        <v>100000</v>
      </c>
    </row>
    <row r="376" spans="1:9" s="18" customFormat="1" ht="15.75" x14ac:dyDescent="0.25">
      <c r="A376" s="259"/>
      <c r="B376" s="260"/>
      <c r="C376" s="19"/>
      <c r="D376" s="34"/>
      <c r="E376" s="13">
        <v>44942</v>
      </c>
      <c r="F376" s="355">
        <v>1875278299</v>
      </c>
      <c r="G376" s="261" t="s">
        <v>10490</v>
      </c>
      <c r="H376" s="8">
        <v>150000</v>
      </c>
    </row>
    <row r="377" spans="1:9" s="18" customFormat="1" ht="15.75" x14ac:dyDescent="0.25">
      <c r="A377" s="259"/>
      <c r="B377" s="260"/>
      <c r="C377" s="19"/>
      <c r="D377" s="34"/>
      <c r="E377" s="13">
        <v>44942</v>
      </c>
      <c r="F377" s="355">
        <v>1933400285</v>
      </c>
      <c r="G377" s="261" t="s">
        <v>10491</v>
      </c>
      <c r="H377" s="8">
        <v>500000</v>
      </c>
      <c r="I377" s="18" t="s">
        <v>9432</v>
      </c>
    </row>
    <row r="378" spans="1:9" s="18" customFormat="1" ht="15.75" x14ac:dyDescent="0.25">
      <c r="A378" s="259"/>
      <c r="B378" s="260"/>
      <c r="C378" s="19"/>
      <c r="D378" s="34"/>
      <c r="E378" s="13">
        <v>44942</v>
      </c>
      <c r="F378" s="355">
        <v>1933400286</v>
      </c>
      <c r="G378" s="261" t="s">
        <v>10492</v>
      </c>
      <c r="H378" s="8">
        <v>250000</v>
      </c>
    </row>
    <row r="379" spans="1:9" s="18" customFormat="1" ht="15.75" x14ac:dyDescent="0.25">
      <c r="A379" s="259"/>
      <c r="B379" s="260"/>
      <c r="C379" s="19"/>
      <c r="D379" s="34"/>
      <c r="E379" s="13">
        <v>44943</v>
      </c>
      <c r="F379" s="355">
        <v>1933400287</v>
      </c>
      <c r="G379" s="261" t="s">
        <v>10442</v>
      </c>
      <c r="H379" s="8">
        <v>300000</v>
      </c>
    </row>
    <row r="380" spans="1:9" s="18" customFormat="1" ht="15.75" x14ac:dyDescent="0.25">
      <c r="A380" s="259"/>
      <c r="B380" s="260"/>
      <c r="C380" s="19"/>
      <c r="D380" s="34"/>
      <c r="E380" s="13">
        <v>44943</v>
      </c>
      <c r="F380" s="355">
        <v>1933400288</v>
      </c>
      <c r="G380" s="261" t="s">
        <v>9754</v>
      </c>
      <c r="H380" s="8">
        <v>70000</v>
      </c>
    </row>
    <row r="381" spans="1:9" s="18" customFormat="1" ht="15.75" x14ac:dyDescent="0.25">
      <c r="A381" s="259"/>
      <c r="B381" s="260"/>
      <c r="C381" s="19"/>
      <c r="D381" s="34"/>
      <c r="E381" s="13">
        <v>44945</v>
      </c>
      <c r="F381" s="355">
        <v>1933400289</v>
      </c>
      <c r="G381" s="261" t="s">
        <v>9777</v>
      </c>
      <c r="H381" s="8">
        <v>109000</v>
      </c>
    </row>
    <row r="382" spans="1:9" s="18" customFormat="1" ht="15.75" x14ac:dyDescent="0.25">
      <c r="A382" s="259"/>
      <c r="B382" s="260"/>
      <c r="C382" s="19"/>
      <c r="D382" s="34"/>
      <c r="E382" s="13">
        <v>44945</v>
      </c>
      <c r="F382" s="355">
        <v>1933400290</v>
      </c>
      <c r="G382" s="261" t="s">
        <v>5328</v>
      </c>
      <c r="H382" s="8">
        <v>100000</v>
      </c>
    </row>
    <row r="383" spans="1:9" s="18" customFormat="1" ht="15.75" x14ac:dyDescent="0.25">
      <c r="A383" s="259"/>
      <c r="B383" s="260"/>
      <c r="C383" s="19"/>
      <c r="D383" s="34"/>
      <c r="E383" s="13">
        <v>44945</v>
      </c>
      <c r="F383" s="355">
        <v>1933400291</v>
      </c>
      <c r="G383" s="261" t="s">
        <v>10538</v>
      </c>
      <c r="H383" s="8">
        <v>120000</v>
      </c>
    </row>
    <row r="384" spans="1:9" s="18" customFormat="1" ht="15.75" x14ac:dyDescent="0.25">
      <c r="A384" s="259"/>
      <c r="B384" s="260"/>
      <c r="C384" s="19"/>
      <c r="D384" s="34"/>
      <c r="E384" s="13">
        <v>44945</v>
      </c>
      <c r="F384" s="355">
        <v>1933400292</v>
      </c>
      <c r="G384" s="261" t="s">
        <v>9947</v>
      </c>
      <c r="H384" s="8">
        <v>50000</v>
      </c>
    </row>
    <row r="385" spans="1:8" s="18" customFormat="1" ht="15.75" x14ac:dyDescent="0.25">
      <c r="A385" s="259"/>
      <c r="B385" s="260"/>
      <c r="C385" s="19"/>
      <c r="D385" s="34"/>
      <c r="E385" s="13">
        <v>44949</v>
      </c>
      <c r="F385" s="355">
        <v>1933400293</v>
      </c>
      <c r="G385" s="261" t="s">
        <v>10539</v>
      </c>
      <c r="H385" s="8">
        <v>100000</v>
      </c>
    </row>
    <row r="386" spans="1:8" s="18" customFormat="1" ht="15.75" x14ac:dyDescent="0.25">
      <c r="A386" s="259"/>
      <c r="B386" s="260"/>
      <c r="C386" s="19"/>
      <c r="D386" s="34"/>
      <c r="E386" s="13">
        <v>44949</v>
      </c>
      <c r="F386" s="355">
        <v>1933400294</v>
      </c>
      <c r="G386" s="261" t="s">
        <v>5741</v>
      </c>
      <c r="H386" s="8">
        <v>36500</v>
      </c>
    </row>
    <row r="387" spans="1:8" s="18" customFormat="1" ht="15.75" x14ac:dyDescent="0.25">
      <c r="A387" s="259"/>
      <c r="B387" s="260"/>
      <c r="C387" s="19"/>
      <c r="D387" s="34"/>
      <c r="E387" s="13">
        <v>44949</v>
      </c>
      <c r="F387" s="355">
        <v>1933400295</v>
      </c>
      <c r="G387" s="261" t="s">
        <v>5328</v>
      </c>
      <c r="H387" s="8">
        <v>100000</v>
      </c>
    </row>
    <row r="388" spans="1:8" s="18" customFormat="1" ht="15.75" x14ac:dyDescent="0.25">
      <c r="A388" s="259"/>
      <c r="B388" s="260"/>
      <c r="C388" s="19"/>
      <c r="D388" s="34"/>
      <c r="E388" s="13">
        <v>44950</v>
      </c>
      <c r="F388" s="355">
        <v>1933400296</v>
      </c>
      <c r="G388" s="261" t="s">
        <v>5328</v>
      </c>
      <c r="H388" s="8">
        <v>200000</v>
      </c>
    </row>
    <row r="389" spans="1:8" s="18" customFormat="1" ht="15.75" x14ac:dyDescent="0.25">
      <c r="A389" s="259"/>
      <c r="B389" s="260"/>
      <c r="C389" s="19"/>
      <c r="D389" s="34"/>
      <c r="E389" s="13">
        <v>44950</v>
      </c>
      <c r="F389" s="355">
        <v>1933400297</v>
      </c>
      <c r="G389" s="261" t="s">
        <v>10540</v>
      </c>
      <c r="H389" s="8">
        <v>250000</v>
      </c>
    </row>
    <row r="390" spans="1:8" s="18" customFormat="1" ht="15.75" x14ac:dyDescent="0.25">
      <c r="A390" s="259"/>
      <c r="B390" s="260"/>
      <c r="C390" s="19"/>
      <c r="D390" s="34"/>
      <c r="E390" s="13">
        <v>44950</v>
      </c>
      <c r="F390" s="355">
        <v>1933400298</v>
      </c>
      <c r="G390" s="261"/>
      <c r="H390" s="8"/>
    </row>
    <row r="391" spans="1:8" s="18" customFormat="1" ht="15.75" x14ac:dyDescent="0.25">
      <c r="A391" s="259"/>
      <c r="B391" s="260"/>
      <c r="C391" s="19"/>
      <c r="D391" s="34"/>
      <c r="E391" s="13">
        <v>44950</v>
      </c>
      <c r="F391" s="355">
        <v>1933400299</v>
      </c>
      <c r="G391" s="261" t="s">
        <v>10540</v>
      </c>
      <c r="H391" s="8">
        <v>242500</v>
      </c>
    </row>
    <row r="392" spans="1:8" s="18" customFormat="1" ht="15.75" x14ac:dyDescent="0.25">
      <c r="A392" s="259"/>
      <c r="B392" s="260"/>
      <c r="C392" s="19"/>
      <c r="D392" s="34"/>
      <c r="E392" s="13">
        <v>44951</v>
      </c>
      <c r="F392" s="355">
        <v>1933400300</v>
      </c>
      <c r="G392" s="261" t="s">
        <v>9484</v>
      </c>
      <c r="H392" s="8">
        <v>48000</v>
      </c>
    </row>
    <row r="393" spans="1:8" s="18" customFormat="1" ht="15.75" x14ac:dyDescent="0.25">
      <c r="A393" s="259"/>
      <c r="B393" s="260"/>
      <c r="C393" s="19"/>
      <c r="D393" s="34"/>
      <c r="E393" s="13">
        <v>44951</v>
      </c>
      <c r="F393" s="355">
        <v>1933400301</v>
      </c>
      <c r="G393" s="261" t="s">
        <v>5328</v>
      </c>
      <c r="H393" s="8">
        <v>100000</v>
      </c>
    </row>
    <row r="394" spans="1:8" s="18" customFormat="1" ht="15.75" x14ac:dyDescent="0.25">
      <c r="A394" s="259"/>
      <c r="B394" s="260"/>
      <c r="C394" s="19"/>
      <c r="D394" s="34"/>
      <c r="E394" s="13">
        <v>44951</v>
      </c>
      <c r="F394" s="355">
        <v>1933400302</v>
      </c>
      <c r="G394" s="261" t="s">
        <v>8573</v>
      </c>
      <c r="H394" s="8">
        <v>25000</v>
      </c>
    </row>
    <row r="395" spans="1:8" s="18" customFormat="1" ht="15.75" x14ac:dyDescent="0.25">
      <c r="A395" s="259"/>
      <c r="B395" s="260"/>
      <c r="C395" s="19"/>
      <c r="D395" s="34"/>
      <c r="E395" s="13">
        <v>44956</v>
      </c>
      <c r="F395" s="355">
        <v>1933400303</v>
      </c>
      <c r="G395" s="261" t="s">
        <v>10491</v>
      </c>
      <c r="H395" s="8">
        <v>500000</v>
      </c>
    </row>
    <row r="396" spans="1:8" s="18" customFormat="1" ht="15.75" x14ac:dyDescent="0.25">
      <c r="A396" s="259"/>
      <c r="B396" s="260"/>
      <c r="C396" s="19"/>
      <c r="D396" s="34"/>
      <c r="E396" s="13">
        <v>44956</v>
      </c>
      <c r="F396" s="355">
        <v>1933400304</v>
      </c>
      <c r="G396" s="261" t="s">
        <v>5328</v>
      </c>
      <c r="H396" s="8">
        <v>100000</v>
      </c>
    </row>
    <row r="397" spans="1:8" s="18" customFormat="1" ht="15.75" x14ac:dyDescent="0.25">
      <c r="A397" s="259"/>
      <c r="B397" s="260"/>
      <c r="C397" s="19"/>
      <c r="D397" s="34"/>
      <c r="E397" s="13">
        <v>44964</v>
      </c>
      <c r="F397" s="355">
        <v>1933400305</v>
      </c>
      <c r="G397" s="261" t="s">
        <v>10441</v>
      </c>
      <c r="H397" s="8">
        <v>127872</v>
      </c>
    </row>
    <row r="398" spans="1:8" s="18" customFormat="1" ht="15.75" x14ac:dyDescent="0.25">
      <c r="A398" s="259"/>
      <c r="B398" s="260"/>
      <c r="C398" s="19"/>
      <c r="D398" s="34"/>
      <c r="E398" s="13">
        <v>44961</v>
      </c>
      <c r="F398" s="355">
        <v>1933400306</v>
      </c>
      <c r="G398" s="261" t="s">
        <v>10538</v>
      </c>
      <c r="H398" s="8">
        <v>100000</v>
      </c>
    </row>
    <row r="399" spans="1:8" s="18" customFormat="1" ht="15.75" x14ac:dyDescent="0.25">
      <c r="A399" s="259"/>
      <c r="B399" s="260"/>
      <c r="C399" s="19"/>
      <c r="D399" s="34"/>
      <c r="E399" s="13">
        <v>44961</v>
      </c>
      <c r="F399" s="355">
        <v>1933400307</v>
      </c>
      <c r="G399" s="261" t="s">
        <v>10538</v>
      </c>
      <c r="H399" s="8">
        <v>130000</v>
      </c>
    </row>
    <row r="400" spans="1:8" s="18" customFormat="1" ht="15.75" x14ac:dyDescent="0.25">
      <c r="A400" s="259"/>
      <c r="B400" s="260"/>
      <c r="C400" s="19"/>
      <c r="D400" s="34"/>
      <c r="E400" s="13">
        <v>44963</v>
      </c>
      <c r="F400" s="355">
        <v>1933400308</v>
      </c>
      <c r="G400" s="261" t="s">
        <v>8128</v>
      </c>
      <c r="H400" s="8">
        <v>175000</v>
      </c>
    </row>
    <row r="401" spans="1:8" s="18" customFormat="1" ht="15.75" x14ac:dyDescent="0.25">
      <c r="A401" s="259"/>
      <c r="B401" s="260"/>
      <c r="C401" s="19"/>
      <c r="D401" s="34"/>
      <c r="E401" s="13">
        <v>44963</v>
      </c>
      <c r="F401" s="355">
        <v>1933400309</v>
      </c>
      <c r="G401" s="261" t="s">
        <v>7090</v>
      </c>
      <c r="H401" s="8">
        <v>0</v>
      </c>
    </row>
    <row r="402" spans="1:8" s="18" customFormat="1" ht="15.75" x14ac:dyDescent="0.25">
      <c r="A402" s="259"/>
      <c r="B402" s="260"/>
      <c r="C402" s="19"/>
      <c r="D402" s="34"/>
      <c r="E402" s="13">
        <v>44965</v>
      </c>
      <c r="F402" s="355">
        <v>1933400310</v>
      </c>
      <c r="G402" s="261" t="s">
        <v>5328</v>
      </c>
      <c r="H402" s="8">
        <v>350000</v>
      </c>
    </row>
    <row r="403" spans="1:8" s="18" customFormat="1" ht="15.75" x14ac:dyDescent="0.25">
      <c r="A403" s="259"/>
      <c r="B403" s="260"/>
      <c r="C403" s="19"/>
      <c r="D403" s="34"/>
      <c r="E403" s="13">
        <v>44965</v>
      </c>
      <c r="F403" s="355">
        <v>1933400311</v>
      </c>
      <c r="G403" s="261" t="s">
        <v>10601</v>
      </c>
      <c r="H403" s="8">
        <v>102000</v>
      </c>
    </row>
    <row r="404" spans="1:8" s="18" customFormat="1" ht="15.75" x14ac:dyDescent="0.25">
      <c r="A404" s="259"/>
      <c r="B404" s="260"/>
      <c r="C404" s="19"/>
      <c r="D404" s="34"/>
      <c r="E404" s="13">
        <v>44965</v>
      </c>
      <c r="F404" s="355">
        <v>1933400312</v>
      </c>
      <c r="G404" s="261" t="s">
        <v>10602</v>
      </c>
      <c r="H404" s="8">
        <v>262000</v>
      </c>
    </row>
    <row r="405" spans="1:8" s="18" customFormat="1" ht="15.75" x14ac:dyDescent="0.25">
      <c r="A405" s="259"/>
      <c r="B405" s="260"/>
      <c r="C405" s="19"/>
      <c r="D405" s="34"/>
      <c r="E405" s="13">
        <v>44965</v>
      </c>
      <c r="F405" s="355">
        <v>1933400313</v>
      </c>
      <c r="G405" s="261" t="s">
        <v>10399</v>
      </c>
      <c r="H405" s="8">
        <v>49000</v>
      </c>
    </row>
    <row r="406" spans="1:8" s="18" customFormat="1" ht="15.75" x14ac:dyDescent="0.25">
      <c r="A406" s="259"/>
      <c r="B406" s="260"/>
      <c r="C406" s="19"/>
      <c r="D406" s="34"/>
      <c r="E406" s="13">
        <v>44965</v>
      </c>
      <c r="F406" s="355">
        <v>1933400314</v>
      </c>
      <c r="G406" s="261" t="s">
        <v>10399</v>
      </c>
      <c r="H406" s="8">
        <v>30000</v>
      </c>
    </row>
    <row r="407" spans="1:8" s="18" customFormat="1" ht="15.75" x14ac:dyDescent="0.25">
      <c r="A407" s="259"/>
      <c r="B407" s="260"/>
      <c r="C407" s="19"/>
      <c r="D407" s="34"/>
      <c r="E407" s="13">
        <v>44966</v>
      </c>
      <c r="F407" s="355">
        <v>1933400315</v>
      </c>
      <c r="G407" s="261" t="s">
        <v>9934</v>
      </c>
      <c r="H407" s="8">
        <v>90000</v>
      </c>
    </row>
    <row r="408" spans="1:8" s="18" customFormat="1" ht="15.75" x14ac:dyDescent="0.25">
      <c r="A408" s="259"/>
      <c r="B408" s="260"/>
      <c r="C408" s="19"/>
      <c r="D408" s="34"/>
      <c r="E408" s="13">
        <v>44966</v>
      </c>
      <c r="F408" s="355">
        <v>1933400316</v>
      </c>
      <c r="G408" s="261" t="s">
        <v>9934</v>
      </c>
      <c r="H408" s="8">
        <v>110000</v>
      </c>
    </row>
    <row r="409" spans="1:8" s="18" customFormat="1" ht="15.75" x14ac:dyDescent="0.25">
      <c r="A409" s="259"/>
      <c r="B409" s="260"/>
      <c r="C409" s="19"/>
      <c r="D409" s="34"/>
      <c r="E409" s="13">
        <v>44966</v>
      </c>
      <c r="F409" s="355">
        <v>1933400317</v>
      </c>
      <c r="G409" s="261" t="s">
        <v>5328</v>
      </c>
      <c r="H409" s="8">
        <v>200000</v>
      </c>
    </row>
    <row r="410" spans="1:8" s="18" customFormat="1" ht="15.75" x14ac:dyDescent="0.25">
      <c r="A410" s="259"/>
      <c r="B410" s="260"/>
      <c r="C410" s="19"/>
      <c r="D410" s="34"/>
      <c r="E410" s="13">
        <v>44968</v>
      </c>
      <c r="F410" s="355">
        <v>1933400318</v>
      </c>
      <c r="G410" s="261" t="s">
        <v>10612</v>
      </c>
      <c r="H410" s="8">
        <v>245000</v>
      </c>
    </row>
    <row r="411" spans="1:8" s="18" customFormat="1" ht="15.75" x14ac:dyDescent="0.25">
      <c r="A411" s="259"/>
      <c r="B411" s="260"/>
      <c r="C411" s="19"/>
      <c r="D411" s="34"/>
      <c r="E411" s="13">
        <v>44978</v>
      </c>
      <c r="F411" s="355">
        <v>1933400319</v>
      </c>
      <c r="G411" s="261" t="s">
        <v>10660</v>
      </c>
      <c r="H411" s="8">
        <v>98000</v>
      </c>
    </row>
    <row r="412" spans="1:8" s="18" customFormat="1" ht="15.75" x14ac:dyDescent="0.25">
      <c r="A412" s="259"/>
      <c r="B412" s="260"/>
      <c r="C412" s="19"/>
      <c r="D412" s="34"/>
      <c r="E412" s="13">
        <v>44978</v>
      </c>
      <c r="F412" s="355">
        <v>1933400320</v>
      </c>
      <c r="G412" s="261" t="s">
        <v>10659</v>
      </c>
      <c r="H412" s="8">
        <v>50000</v>
      </c>
    </row>
    <row r="413" spans="1:8" s="18" customFormat="1" ht="15.75" x14ac:dyDescent="0.25">
      <c r="A413" s="259"/>
      <c r="B413" s="260"/>
      <c r="C413" s="19"/>
      <c r="D413" s="34"/>
      <c r="E413" s="13">
        <v>44981</v>
      </c>
      <c r="F413" s="355">
        <v>1933400321</v>
      </c>
      <c r="G413" s="261" t="s">
        <v>10675</v>
      </c>
      <c r="H413" s="8">
        <v>128000</v>
      </c>
    </row>
    <row r="414" spans="1:8" s="18" customFormat="1" ht="15.75" x14ac:dyDescent="0.25">
      <c r="A414" s="259"/>
      <c r="B414" s="260"/>
      <c r="C414" s="19"/>
      <c r="D414" s="34"/>
      <c r="E414" s="13">
        <v>44986</v>
      </c>
      <c r="F414" s="355">
        <v>1933400322</v>
      </c>
      <c r="G414" s="261" t="s">
        <v>10713</v>
      </c>
      <c r="H414" s="395">
        <v>78472</v>
      </c>
    </row>
    <row r="415" spans="1:8" s="18" customFormat="1" ht="15.75" x14ac:dyDescent="0.25">
      <c r="A415" s="259"/>
      <c r="B415" s="260"/>
      <c r="C415" s="19"/>
      <c r="D415" s="34"/>
      <c r="E415" s="13">
        <v>44988</v>
      </c>
      <c r="F415" s="355">
        <v>1933400323</v>
      </c>
      <c r="G415" s="261" t="s">
        <v>5328</v>
      </c>
      <c r="H415" s="8">
        <v>200000</v>
      </c>
    </row>
    <row r="416" spans="1:8" s="18" customFormat="1" ht="15.75" x14ac:dyDescent="0.25">
      <c r="A416" s="259"/>
      <c r="B416" s="260"/>
      <c r="C416" s="19"/>
      <c r="D416" s="34"/>
      <c r="E416" s="13">
        <v>44988</v>
      </c>
      <c r="F416" s="355">
        <v>1933400324</v>
      </c>
      <c r="G416" s="501" t="s">
        <v>10714</v>
      </c>
      <c r="H416" s="8">
        <v>100000</v>
      </c>
    </row>
    <row r="417" spans="1:10" s="18" customFormat="1" ht="15.75" x14ac:dyDescent="0.25">
      <c r="A417" s="259"/>
      <c r="B417" s="260"/>
      <c r="C417" s="19"/>
      <c r="D417" s="34"/>
      <c r="E417" s="13">
        <v>44991</v>
      </c>
      <c r="F417" s="355">
        <v>1933400325</v>
      </c>
      <c r="G417" s="261" t="s">
        <v>10715</v>
      </c>
      <c r="H417" s="8">
        <v>500000</v>
      </c>
    </row>
    <row r="418" spans="1:10" s="18" customFormat="1" ht="15.75" x14ac:dyDescent="0.25">
      <c r="A418" s="259"/>
      <c r="B418" s="260"/>
      <c r="C418" s="19"/>
      <c r="D418" s="34"/>
      <c r="E418" s="13">
        <v>44991</v>
      </c>
      <c r="F418" s="355">
        <v>1933400326</v>
      </c>
      <c r="G418" s="261" t="s">
        <v>10399</v>
      </c>
      <c r="H418" s="8">
        <v>58000</v>
      </c>
    </row>
    <row r="419" spans="1:10" s="18" customFormat="1" ht="15.75" x14ac:dyDescent="0.25">
      <c r="A419" s="259"/>
      <c r="B419" s="260"/>
      <c r="C419" s="19"/>
      <c r="D419" s="34"/>
      <c r="E419" s="13">
        <v>44992</v>
      </c>
      <c r="F419" s="355">
        <v>1933400327</v>
      </c>
      <c r="G419" s="261" t="s">
        <v>10715</v>
      </c>
      <c r="H419" s="8">
        <v>500000</v>
      </c>
    </row>
    <row r="420" spans="1:10" s="18" customFormat="1" ht="15.75" x14ac:dyDescent="0.25">
      <c r="A420" s="259"/>
      <c r="B420" s="260"/>
      <c r="C420" s="19"/>
      <c r="D420" s="34"/>
      <c r="E420" s="13">
        <v>44993</v>
      </c>
      <c r="F420" s="355">
        <v>1933400328</v>
      </c>
      <c r="G420" s="261" t="s">
        <v>10715</v>
      </c>
      <c r="H420" s="8">
        <v>350000</v>
      </c>
    </row>
    <row r="421" spans="1:10" s="18" customFormat="1" ht="15.75" x14ac:dyDescent="0.25">
      <c r="A421" s="259"/>
      <c r="B421" s="260"/>
      <c r="C421" s="19"/>
      <c r="D421" s="34"/>
      <c r="E421" s="13">
        <v>44998</v>
      </c>
      <c r="F421" s="355">
        <v>1933400329</v>
      </c>
      <c r="G421" s="261" t="s">
        <v>10660</v>
      </c>
      <c r="H421" s="8">
        <v>480000</v>
      </c>
      <c r="J421" s="324">
        <f>H2+H421</f>
        <v>33680945.930000007</v>
      </c>
    </row>
    <row r="422" spans="1:10" s="18" customFormat="1" ht="15.75" x14ac:dyDescent="0.25">
      <c r="A422" s="259"/>
      <c r="B422" s="260"/>
      <c r="C422" s="19"/>
      <c r="D422" s="34"/>
      <c r="E422" s="13">
        <v>44998</v>
      </c>
      <c r="F422" s="355">
        <v>1933400330</v>
      </c>
      <c r="G422" s="261" t="s">
        <v>10758</v>
      </c>
      <c r="H422" s="8">
        <v>64400</v>
      </c>
      <c r="J422" s="324"/>
    </row>
    <row r="423" spans="1:10" s="18" customFormat="1" ht="15.75" x14ac:dyDescent="0.25">
      <c r="A423" s="259"/>
      <c r="B423" s="260"/>
      <c r="C423" s="19"/>
      <c r="D423" s="34"/>
      <c r="E423" s="13">
        <v>45000</v>
      </c>
      <c r="F423" s="355">
        <v>1933400331</v>
      </c>
      <c r="G423" s="261" t="s">
        <v>10777</v>
      </c>
      <c r="H423" s="8">
        <v>49804</v>
      </c>
      <c r="J423" s="324"/>
    </row>
    <row r="424" spans="1:10" s="18" customFormat="1" ht="15.75" x14ac:dyDescent="0.25">
      <c r="A424" s="259"/>
      <c r="B424" s="260"/>
      <c r="C424" s="19"/>
      <c r="D424" s="34"/>
      <c r="E424" s="13">
        <v>45000</v>
      </c>
      <c r="F424" s="355">
        <v>1933400332</v>
      </c>
      <c r="G424" s="261" t="s">
        <v>10492</v>
      </c>
      <c r="H424" s="8">
        <v>300000</v>
      </c>
      <c r="J424" s="324"/>
    </row>
    <row r="425" spans="1:10" s="18" customFormat="1" ht="15.75" x14ac:dyDescent="0.25">
      <c r="A425" s="259"/>
      <c r="B425" s="260"/>
      <c r="C425" s="19"/>
      <c r="D425" s="34"/>
      <c r="E425" s="13">
        <v>45012</v>
      </c>
      <c r="F425" s="355">
        <v>1933400333</v>
      </c>
      <c r="G425" s="261" t="s">
        <v>10894</v>
      </c>
      <c r="H425" s="8">
        <v>200000</v>
      </c>
      <c r="J425" s="324"/>
    </row>
    <row r="426" spans="1:10" s="18" customFormat="1" ht="15.75" x14ac:dyDescent="0.25">
      <c r="A426" s="259"/>
      <c r="B426" s="260"/>
      <c r="C426" s="19"/>
      <c r="D426" s="34"/>
      <c r="E426" s="13">
        <v>45017</v>
      </c>
      <c r="F426" s="355">
        <v>1933400334</v>
      </c>
      <c r="G426" s="261" t="s">
        <v>10713</v>
      </c>
      <c r="H426" s="8">
        <v>97924</v>
      </c>
      <c r="J426" s="324"/>
    </row>
    <row r="427" spans="1:10" s="18" customFormat="1" ht="15.75" x14ac:dyDescent="0.25">
      <c r="A427" s="259"/>
      <c r="B427" s="260"/>
      <c r="C427" s="19"/>
      <c r="D427" s="34"/>
      <c r="E427" s="13">
        <v>45017</v>
      </c>
      <c r="F427" s="355">
        <v>1940090970</v>
      </c>
      <c r="G427" s="261" t="s">
        <v>10979</v>
      </c>
      <c r="H427" s="8">
        <v>600000</v>
      </c>
      <c r="I427" s="18" t="s">
        <v>9432</v>
      </c>
      <c r="J427" s="324"/>
    </row>
    <row r="428" spans="1:10" s="18" customFormat="1" ht="15.75" x14ac:dyDescent="0.25">
      <c r="A428" s="259"/>
      <c r="B428" s="260"/>
      <c r="C428" s="19"/>
      <c r="D428" s="34"/>
      <c r="E428" s="13">
        <v>45017</v>
      </c>
      <c r="F428" s="355">
        <v>1940090971</v>
      </c>
      <c r="G428" s="261" t="s">
        <v>10980</v>
      </c>
      <c r="H428" s="8">
        <v>500000</v>
      </c>
      <c r="J428" s="324"/>
    </row>
    <row r="429" spans="1:10" s="18" customFormat="1" ht="15.75" x14ac:dyDescent="0.25">
      <c r="A429" s="259"/>
      <c r="B429" s="260"/>
      <c r="C429" s="19"/>
      <c r="D429" s="34"/>
      <c r="E429" s="13">
        <v>45022</v>
      </c>
      <c r="F429" s="355">
        <v>1940090972</v>
      </c>
      <c r="G429" s="261" t="s">
        <v>9947</v>
      </c>
      <c r="H429" s="8">
        <v>45000</v>
      </c>
      <c r="J429" s="324"/>
    </row>
    <row r="430" spans="1:10" s="18" customFormat="1" ht="15.75" x14ac:dyDescent="0.25">
      <c r="A430" s="259"/>
      <c r="B430" s="260"/>
      <c r="C430" s="19"/>
      <c r="D430" s="34"/>
      <c r="E430" s="13">
        <v>45022</v>
      </c>
      <c r="F430" s="355">
        <v>1940090973</v>
      </c>
      <c r="G430" s="261" t="s">
        <v>10981</v>
      </c>
      <c r="H430" s="8">
        <v>161500</v>
      </c>
      <c r="J430" s="324"/>
    </row>
    <row r="431" spans="1:10" s="18" customFormat="1" ht="15.75" x14ac:dyDescent="0.25">
      <c r="A431" s="259"/>
      <c r="B431" s="260"/>
      <c r="C431" s="19"/>
      <c r="D431" s="34"/>
      <c r="E431" s="13">
        <v>45022</v>
      </c>
      <c r="F431" s="355">
        <v>1940090974</v>
      </c>
      <c r="G431" s="261" t="s">
        <v>10982</v>
      </c>
      <c r="H431" s="8">
        <v>191500</v>
      </c>
      <c r="J431" s="324"/>
    </row>
    <row r="432" spans="1:10" s="18" customFormat="1" ht="15.75" x14ac:dyDescent="0.25">
      <c r="A432" s="259"/>
      <c r="B432" s="260"/>
      <c r="C432" s="19"/>
      <c r="D432" s="34"/>
      <c r="E432" s="13">
        <v>45027</v>
      </c>
      <c r="F432" s="355">
        <v>1940090975</v>
      </c>
      <c r="G432" s="261" t="s">
        <v>10979</v>
      </c>
      <c r="H432" s="8">
        <v>100000</v>
      </c>
      <c r="J432" s="324"/>
    </row>
    <row r="433" spans="1:10" s="18" customFormat="1" ht="15.75" x14ac:dyDescent="0.25">
      <c r="A433" s="259"/>
      <c r="B433" s="260"/>
      <c r="C433" s="19"/>
      <c r="D433" s="34"/>
      <c r="E433" s="13">
        <v>45028</v>
      </c>
      <c r="F433" s="355">
        <v>1940090976</v>
      </c>
      <c r="G433" s="261" t="s">
        <v>5328</v>
      </c>
      <c r="H433" s="8">
        <v>1000000</v>
      </c>
      <c r="J433" s="324"/>
    </row>
    <row r="434" spans="1:10" s="18" customFormat="1" ht="15.75" x14ac:dyDescent="0.25">
      <c r="A434" s="259"/>
      <c r="B434" s="260"/>
      <c r="C434" s="19"/>
      <c r="D434" s="34"/>
      <c r="E434" s="13">
        <v>45042</v>
      </c>
      <c r="F434" s="355">
        <v>1940090977</v>
      </c>
      <c r="G434" s="261" t="s">
        <v>5328</v>
      </c>
      <c r="H434" s="8">
        <v>100000</v>
      </c>
      <c r="J434" s="324"/>
    </row>
    <row r="435" spans="1:10" s="18" customFormat="1" ht="15.75" x14ac:dyDescent="0.25">
      <c r="A435" s="259"/>
      <c r="B435" s="260"/>
      <c r="C435" s="19"/>
      <c r="D435" s="34"/>
      <c r="E435" s="13">
        <v>45044</v>
      </c>
      <c r="F435" s="355">
        <v>1940090978</v>
      </c>
      <c r="G435" s="261" t="s">
        <v>5328</v>
      </c>
      <c r="H435" s="8">
        <v>150000</v>
      </c>
      <c r="J435" s="324"/>
    </row>
    <row r="436" spans="1:10" s="18" customFormat="1" ht="15.75" x14ac:dyDescent="0.25">
      <c r="A436" s="259"/>
      <c r="B436" s="260"/>
      <c r="C436" s="19"/>
      <c r="D436" s="34"/>
      <c r="E436" s="13">
        <v>45048</v>
      </c>
      <c r="F436" s="355">
        <v>1940090979</v>
      </c>
      <c r="G436" s="261" t="s">
        <v>11115</v>
      </c>
      <c r="H436" s="8">
        <v>160426</v>
      </c>
      <c r="J436" s="324"/>
    </row>
    <row r="437" spans="1:10" s="18" customFormat="1" ht="15.75" x14ac:dyDescent="0.25">
      <c r="A437" s="259"/>
      <c r="B437" s="260"/>
      <c r="C437" s="19"/>
      <c r="D437" s="34"/>
      <c r="E437" s="13">
        <v>45048</v>
      </c>
      <c r="F437" s="355">
        <v>1940090980</v>
      </c>
      <c r="G437" s="261" t="s">
        <v>5328</v>
      </c>
      <c r="H437" s="8">
        <v>175000</v>
      </c>
      <c r="J437" s="324"/>
    </row>
    <row r="438" spans="1:10" s="18" customFormat="1" ht="15.75" x14ac:dyDescent="0.25">
      <c r="A438" s="259"/>
      <c r="B438" s="260"/>
      <c r="C438" s="19"/>
      <c r="D438" s="34"/>
      <c r="E438" s="13">
        <v>45050</v>
      </c>
      <c r="F438" s="355">
        <v>1940090981</v>
      </c>
      <c r="G438" s="261" t="s">
        <v>11116</v>
      </c>
      <c r="H438" s="8">
        <v>35000</v>
      </c>
      <c r="J438" s="324"/>
    </row>
    <row r="439" spans="1:10" s="18" customFormat="1" ht="15.75" x14ac:dyDescent="0.25">
      <c r="A439" s="259"/>
      <c r="B439" s="260"/>
      <c r="C439" s="19"/>
      <c r="D439" s="34"/>
      <c r="E439" s="13">
        <v>45050</v>
      </c>
      <c r="F439" s="355">
        <v>1940090982</v>
      </c>
      <c r="G439" s="261" t="s">
        <v>11117</v>
      </c>
      <c r="H439" s="8">
        <v>200000</v>
      </c>
      <c r="J439" s="324"/>
    </row>
    <row r="440" spans="1:10" s="18" customFormat="1" ht="15.75" x14ac:dyDescent="0.25">
      <c r="A440" s="259"/>
      <c r="B440" s="260"/>
      <c r="C440" s="19"/>
      <c r="D440" s="34"/>
      <c r="E440" s="13">
        <v>45055</v>
      </c>
      <c r="F440" s="355">
        <v>1940090983</v>
      </c>
      <c r="G440" s="261" t="s">
        <v>5328</v>
      </c>
      <c r="H440" s="8">
        <v>200000</v>
      </c>
      <c r="J440" s="324"/>
    </row>
    <row r="441" spans="1:10" s="18" customFormat="1" ht="15.75" x14ac:dyDescent="0.25">
      <c r="A441" s="259"/>
      <c r="B441" s="260"/>
      <c r="C441" s="19"/>
      <c r="D441" s="34"/>
      <c r="E441" s="13">
        <v>45055</v>
      </c>
      <c r="F441" s="355">
        <v>1940090984</v>
      </c>
      <c r="G441" s="261" t="s">
        <v>5328</v>
      </c>
      <c r="H441" s="8">
        <v>200000</v>
      </c>
      <c r="J441" s="324"/>
    </row>
    <row r="442" spans="1:10" s="18" customFormat="1" ht="15.75" x14ac:dyDescent="0.25">
      <c r="A442" s="259"/>
      <c r="B442" s="260"/>
      <c r="C442" s="19"/>
      <c r="D442" s="34"/>
      <c r="E442" s="13">
        <v>45055</v>
      </c>
      <c r="F442" s="355">
        <v>1940090985</v>
      </c>
      <c r="G442" s="261" t="s">
        <v>11131</v>
      </c>
      <c r="H442" s="8">
        <v>180000</v>
      </c>
      <c r="J442" s="324"/>
    </row>
    <row r="443" spans="1:10" s="18" customFormat="1" ht="15.75" x14ac:dyDescent="0.25">
      <c r="A443" s="259"/>
      <c r="B443" s="260"/>
      <c r="C443" s="19"/>
      <c r="D443" s="34"/>
      <c r="E443" s="13">
        <v>45056</v>
      </c>
      <c r="F443" s="355">
        <v>1940090986</v>
      </c>
      <c r="G443" s="261" t="s">
        <v>7090</v>
      </c>
      <c r="H443" s="8"/>
      <c r="J443" s="324"/>
    </row>
    <row r="444" spans="1:10" s="18" customFormat="1" ht="15.75" x14ac:dyDescent="0.25">
      <c r="A444" s="259"/>
      <c r="B444" s="260"/>
      <c r="C444" s="19"/>
      <c r="D444" s="34"/>
      <c r="E444" s="13">
        <v>45056</v>
      </c>
      <c r="F444" s="355">
        <v>1940090987</v>
      </c>
      <c r="G444" s="261" t="s">
        <v>11132</v>
      </c>
      <c r="H444" s="8">
        <v>150000</v>
      </c>
      <c r="J444" s="324"/>
    </row>
    <row r="445" spans="1:10" s="18" customFormat="1" ht="15.75" x14ac:dyDescent="0.25">
      <c r="A445" s="259"/>
      <c r="B445" s="260"/>
      <c r="C445" s="19"/>
      <c r="D445" s="34"/>
      <c r="E445" s="13">
        <v>45056</v>
      </c>
      <c r="F445" s="355">
        <v>1940090988</v>
      </c>
      <c r="G445" s="261" t="s">
        <v>11133</v>
      </c>
      <c r="H445" s="8">
        <v>28080</v>
      </c>
      <c r="J445" s="324"/>
    </row>
    <row r="446" spans="1:10" s="18" customFormat="1" ht="15.75" x14ac:dyDescent="0.25">
      <c r="A446" s="259"/>
      <c r="B446" s="260"/>
      <c r="C446" s="19"/>
      <c r="D446" s="34"/>
      <c r="E446" s="13">
        <v>45056</v>
      </c>
      <c r="F446" s="355">
        <v>1940090989</v>
      </c>
      <c r="G446" s="261" t="s">
        <v>5328</v>
      </c>
      <c r="H446" s="8">
        <v>200000</v>
      </c>
      <c r="J446" s="324"/>
    </row>
    <row r="447" spans="1:10" s="18" customFormat="1" ht="15.75" x14ac:dyDescent="0.25">
      <c r="A447" s="259"/>
      <c r="B447" s="260"/>
      <c r="C447" s="19"/>
      <c r="D447" s="34"/>
      <c r="E447" s="13">
        <v>45056</v>
      </c>
      <c r="F447" s="355">
        <v>1940090990</v>
      </c>
      <c r="G447" s="261" t="s">
        <v>8161</v>
      </c>
      <c r="H447" s="8">
        <v>70000</v>
      </c>
      <c r="J447" s="324"/>
    </row>
    <row r="448" spans="1:10" s="18" customFormat="1" ht="15.75" x14ac:dyDescent="0.25">
      <c r="A448" s="259"/>
      <c r="B448" s="260"/>
      <c r="C448" s="19"/>
      <c r="D448" s="34"/>
      <c r="E448" s="13">
        <v>45057</v>
      </c>
      <c r="F448" s="355">
        <v>1940090991</v>
      </c>
      <c r="G448" s="261" t="s">
        <v>11155</v>
      </c>
      <c r="H448" s="8">
        <v>89000</v>
      </c>
      <c r="J448" s="324"/>
    </row>
    <row r="449" spans="1:10" s="18" customFormat="1" ht="15.75" x14ac:dyDescent="0.25">
      <c r="A449" s="259"/>
      <c r="B449" s="260"/>
      <c r="C449" s="19"/>
      <c r="D449" s="34"/>
      <c r="E449" s="13">
        <v>45057</v>
      </c>
      <c r="F449" s="355">
        <v>1940090992</v>
      </c>
      <c r="G449" s="261" t="s">
        <v>9889</v>
      </c>
      <c r="H449" s="8">
        <v>215176</v>
      </c>
      <c r="J449" s="324"/>
    </row>
    <row r="450" spans="1:10" s="18" customFormat="1" ht="15.75" x14ac:dyDescent="0.25">
      <c r="A450" s="259"/>
      <c r="B450" s="260"/>
      <c r="C450" s="19"/>
      <c r="D450" s="34"/>
      <c r="E450" s="13">
        <v>45057</v>
      </c>
      <c r="F450" s="355">
        <v>1940090993</v>
      </c>
      <c r="G450" s="261" t="s">
        <v>5328</v>
      </c>
      <c r="H450" s="8">
        <v>50000</v>
      </c>
      <c r="J450" s="324"/>
    </row>
    <row r="451" spans="1:10" s="18" customFormat="1" ht="15.75" x14ac:dyDescent="0.25">
      <c r="A451" s="259"/>
      <c r="B451" s="260"/>
      <c r="C451" s="19"/>
      <c r="D451" s="34"/>
      <c r="E451" s="13">
        <v>45057</v>
      </c>
      <c r="F451" s="355">
        <v>1940090994</v>
      </c>
      <c r="G451" s="261" t="s">
        <v>5328</v>
      </c>
      <c r="H451" s="8">
        <v>500000</v>
      </c>
      <c r="J451" s="324"/>
    </row>
    <row r="452" spans="1:10" s="18" customFormat="1" ht="15.75" x14ac:dyDescent="0.25">
      <c r="A452" s="259"/>
      <c r="B452" s="260"/>
      <c r="C452" s="19"/>
      <c r="D452" s="34"/>
      <c r="E452" s="13">
        <v>45057</v>
      </c>
      <c r="F452" s="355">
        <v>1940090995</v>
      </c>
      <c r="G452" s="261" t="s">
        <v>5328</v>
      </c>
      <c r="H452" s="8">
        <v>200000</v>
      </c>
      <c r="J452" s="324"/>
    </row>
    <row r="453" spans="1:10" s="18" customFormat="1" ht="15.75" x14ac:dyDescent="0.25">
      <c r="A453" s="259"/>
      <c r="B453" s="260"/>
      <c r="C453" s="19"/>
      <c r="D453" s="34"/>
      <c r="E453" s="13">
        <v>45059</v>
      </c>
      <c r="F453" s="355">
        <v>1940090996</v>
      </c>
      <c r="G453" s="261" t="s">
        <v>11235</v>
      </c>
      <c r="H453" s="8">
        <v>134300</v>
      </c>
      <c r="J453" s="324"/>
    </row>
    <row r="454" spans="1:10" s="18" customFormat="1" ht="15.75" x14ac:dyDescent="0.25">
      <c r="A454" s="259"/>
      <c r="B454" s="260"/>
      <c r="C454" s="19"/>
      <c r="D454" s="34"/>
      <c r="E454" s="13">
        <v>45059</v>
      </c>
      <c r="F454" s="355">
        <v>1940090997</v>
      </c>
      <c r="G454" s="261" t="s">
        <v>11236</v>
      </c>
      <c r="H454" s="8">
        <v>55500</v>
      </c>
      <c r="J454" s="324"/>
    </row>
    <row r="455" spans="1:10" s="18" customFormat="1" ht="15.75" x14ac:dyDescent="0.25">
      <c r="A455" s="259"/>
      <c r="B455" s="260"/>
      <c r="C455" s="19"/>
      <c r="D455" s="34"/>
      <c r="E455" s="13">
        <v>45061</v>
      </c>
      <c r="F455" s="355">
        <v>1940090998</v>
      </c>
      <c r="G455" s="261" t="s">
        <v>9621</v>
      </c>
      <c r="H455" s="8">
        <v>250000</v>
      </c>
      <c r="J455" s="324"/>
    </row>
    <row r="456" spans="1:10" s="18" customFormat="1" ht="15.75" x14ac:dyDescent="0.25">
      <c r="A456" s="259"/>
      <c r="B456" s="260"/>
      <c r="C456" s="19"/>
      <c r="D456" s="34"/>
      <c r="E456" s="13">
        <v>45061</v>
      </c>
      <c r="F456" s="355">
        <v>1940090999</v>
      </c>
      <c r="G456" s="261" t="s">
        <v>9621</v>
      </c>
      <c r="H456" s="8">
        <v>250000</v>
      </c>
      <c r="J456" s="324"/>
    </row>
    <row r="457" spans="1:10" s="18" customFormat="1" ht="15.75" x14ac:dyDescent="0.25">
      <c r="A457" s="259"/>
      <c r="B457" s="260"/>
      <c r="C457" s="19"/>
      <c r="D457" s="34"/>
      <c r="E457" s="13">
        <v>45064</v>
      </c>
      <c r="F457" s="355">
        <v>1940091000</v>
      </c>
      <c r="G457" s="261" t="s">
        <v>9885</v>
      </c>
      <c r="H457" s="8">
        <v>250000</v>
      </c>
      <c r="J457" s="324"/>
    </row>
    <row r="458" spans="1:10" s="18" customFormat="1" ht="15.75" x14ac:dyDescent="0.25">
      <c r="A458" s="259"/>
      <c r="B458" s="260"/>
      <c r="C458" s="19"/>
      <c r="D458" s="34"/>
      <c r="E458" s="13">
        <v>45064</v>
      </c>
      <c r="F458" s="355">
        <v>1940091001</v>
      </c>
      <c r="G458" s="261" t="s">
        <v>9885</v>
      </c>
      <c r="H458" s="8">
        <v>250000</v>
      </c>
      <c r="J458" s="324"/>
    </row>
    <row r="459" spans="1:10" s="18" customFormat="1" ht="15.75" x14ac:dyDescent="0.25">
      <c r="A459" s="259"/>
      <c r="B459" s="260"/>
      <c r="C459" s="19"/>
      <c r="D459" s="34"/>
      <c r="E459" s="13">
        <v>45064</v>
      </c>
      <c r="F459" s="355">
        <v>1940091002</v>
      </c>
      <c r="G459" s="261" t="s">
        <v>9885</v>
      </c>
      <c r="H459" s="8">
        <v>250000</v>
      </c>
      <c r="J459" s="324"/>
    </row>
    <row r="460" spans="1:10" s="18" customFormat="1" ht="15.75" x14ac:dyDescent="0.25">
      <c r="A460" s="259"/>
      <c r="B460" s="260"/>
      <c r="C460" s="19"/>
      <c r="D460" s="34"/>
      <c r="E460" s="13">
        <v>45064</v>
      </c>
      <c r="F460" s="355">
        <v>1940091003</v>
      </c>
      <c r="G460" s="261" t="s">
        <v>9885</v>
      </c>
      <c r="H460" s="8">
        <v>250000</v>
      </c>
      <c r="J460" s="324"/>
    </row>
    <row r="461" spans="1:10" s="18" customFormat="1" ht="15.75" x14ac:dyDescent="0.25">
      <c r="A461" s="259"/>
      <c r="B461" s="260"/>
      <c r="C461" s="19"/>
      <c r="D461" s="34"/>
      <c r="E461" s="13">
        <v>45065</v>
      </c>
      <c r="F461" s="355">
        <v>1940091004</v>
      </c>
      <c r="G461" s="261" t="s">
        <v>3934</v>
      </c>
      <c r="H461" s="8">
        <v>100000</v>
      </c>
      <c r="J461" s="324"/>
    </row>
    <row r="462" spans="1:10" s="18" customFormat="1" ht="15.75" x14ac:dyDescent="0.25">
      <c r="A462" s="259"/>
      <c r="B462" s="260"/>
      <c r="C462" s="19"/>
      <c r="D462" s="34"/>
      <c r="E462" s="13">
        <v>45068</v>
      </c>
      <c r="F462" s="355">
        <v>1940091005</v>
      </c>
      <c r="G462" s="261" t="s">
        <v>9754</v>
      </c>
      <c r="H462" s="8">
        <v>102000</v>
      </c>
      <c r="J462" s="324"/>
    </row>
    <row r="463" spans="1:10" s="18" customFormat="1" ht="15.75" x14ac:dyDescent="0.25">
      <c r="A463" s="259"/>
      <c r="B463" s="260"/>
      <c r="C463" s="19"/>
      <c r="D463" s="34"/>
      <c r="E463" s="13">
        <v>45068</v>
      </c>
      <c r="F463" s="355">
        <v>1940091006</v>
      </c>
      <c r="G463" s="261" t="s">
        <v>11237</v>
      </c>
      <c r="H463" s="8">
        <v>54000</v>
      </c>
      <c r="J463" s="324"/>
    </row>
    <row r="464" spans="1:10" s="18" customFormat="1" ht="15.75" x14ac:dyDescent="0.25">
      <c r="A464" s="259"/>
      <c r="B464" s="260"/>
      <c r="C464" s="19"/>
      <c r="D464" s="34"/>
      <c r="E464" s="13">
        <v>45068</v>
      </c>
      <c r="F464" s="355">
        <v>1940091007</v>
      </c>
      <c r="G464" s="261" t="s">
        <v>5328</v>
      </c>
      <c r="H464" s="8">
        <v>200000</v>
      </c>
      <c r="J464" s="324"/>
    </row>
    <row r="465" spans="1:10" s="18" customFormat="1" ht="15.75" x14ac:dyDescent="0.25">
      <c r="A465" s="259"/>
      <c r="B465" s="260"/>
      <c r="C465" s="19"/>
      <c r="D465" s="34"/>
      <c r="E465" s="13">
        <v>45070</v>
      </c>
      <c r="F465" s="355">
        <v>1940091008</v>
      </c>
      <c r="G465" s="261" t="s">
        <v>5328</v>
      </c>
      <c r="H465" s="8">
        <v>200000</v>
      </c>
      <c r="J465" s="324"/>
    </row>
    <row r="466" spans="1:10" s="18" customFormat="1" ht="15.75" x14ac:dyDescent="0.25">
      <c r="A466" s="259"/>
      <c r="B466" s="260"/>
      <c r="C466" s="19"/>
      <c r="D466" s="34"/>
      <c r="E466" s="13">
        <v>45070</v>
      </c>
      <c r="F466" s="355">
        <v>1940091009</v>
      </c>
      <c r="G466" s="261" t="s">
        <v>7581</v>
      </c>
      <c r="H466" s="8">
        <v>200000</v>
      </c>
      <c r="J466" s="324"/>
    </row>
    <row r="467" spans="1:10" s="18" customFormat="1" ht="15.75" x14ac:dyDescent="0.25">
      <c r="A467" s="259"/>
      <c r="B467" s="260"/>
      <c r="C467" s="19"/>
      <c r="D467" s="34"/>
      <c r="E467" s="13">
        <v>45070</v>
      </c>
      <c r="F467" s="355">
        <v>1940091010</v>
      </c>
      <c r="G467" s="261" t="s">
        <v>7581</v>
      </c>
      <c r="H467" s="8">
        <v>50000</v>
      </c>
      <c r="J467" s="324"/>
    </row>
    <row r="468" spans="1:10" s="18" customFormat="1" ht="15.75" x14ac:dyDescent="0.25">
      <c r="A468" s="259"/>
      <c r="B468" s="260"/>
      <c r="C468" s="19"/>
      <c r="D468" s="34"/>
      <c r="E468" s="13">
        <v>45071</v>
      </c>
      <c r="F468" s="355">
        <v>1940091011</v>
      </c>
      <c r="G468" s="261" t="s">
        <v>5328</v>
      </c>
      <c r="H468" s="8">
        <v>300000</v>
      </c>
      <c r="J468" s="324"/>
    </row>
    <row r="469" spans="1:10" s="18" customFormat="1" ht="15.75" x14ac:dyDescent="0.25">
      <c r="A469" s="259"/>
      <c r="B469" s="260"/>
      <c r="C469" s="19"/>
      <c r="D469" s="34"/>
      <c r="E469" s="13">
        <v>45075</v>
      </c>
      <c r="F469" s="355">
        <v>1940091012</v>
      </c>
      <c r="G469" s="261" t="s">
        <v>5328</v>
      </c>
      <c r="H469" s="8">
        <v>300000</v>
      </c>
      <c r="J469" s="324"/>
    </row>
    <row r="470" spans="1:10" s="18" customFormat="1" ht="15.75" x14ac:dyDescent="0.25">
      <c r="A470" s="259"/>
      <c r="B470" s="260"/>
      <c r="C470" s="19"/>
      <c r="D470" s="34"/>
      <c r="E470" s="13">
        <v>45075</v>
      </c>
      <c r="F470" s="355">
        <v>1940091013</v>
      </c>
      <c r="G470" s="261" t="s">
        <v>10491</v>
      </c>
      <c r="H470" s="8">
        <v>500000</v>
      </c>
      <c r="J470" s="324"/>
    </row>
    <row r="471" spans="1:10" s="18" customFormat="1" ht="15.75" x14ac:dyDescent="0.25">
      <c r="A471" s="259"/>
      <c r="B471" s="260"/>
      <c r="C471" s="19"/>
      <c r="D471" s="34"/>
      <c r="E471" s="13">
        <v>45075</v>
      </c>
      <c r="F471" s="355">
        <v>1940091014</v>
      </c>
      <c r="G471" s="261" t="s">
        <v>10491</v>
      </c>
      <c r="H471" s="8">
        <v>500000</v>
      </c>
      <c r="J471" s="324"/>
    </row>
    <row r="472" spans="1:10" s="18" customFormat="1" ht="15.75" x14ac:dyDescent="0.25">
      <c r="A472" s="259"/>
      <c r="B472" s="260"/>
      <c r="C472" s="19"/>
      <c r="D472" s="34"/>
      <c r="E472" s="13">
        <v>45075</v>
      </c>
      <c r="F472" s="355">
        <v>1940091015</v>
      </c>
      <c r="G472" s="261" t="s">
        <v>9885</v>
      </c>
      <c r="H472" s="8">
        <v>500000</v>
      </c>
      <c r="J472" s="324"/>
    </row>
    <row r="473" spans="1:10" s="18" customFormat="1" ht="15.75" x14ac:dyDescent="0.25">
      <c r="A473" s="259"/>
      <c r="B473" s="260"/>
      <c r="C473" s="19"/>
      <c r="D473" s="34"/>
      <c r="E473" s="13">
        <v>45078</v>
      </c>
      <c r="F473" s="355">
        <v>1940091016</v>
      </c>
      <c r="G473" s="522" t="s">
        <v>2053</v>
      </c>
      <c r="H473" s="395">
        <v>78472</v>
      </c>
      <c r="J473" s="324"/>
    </row>
    <row r="474" spans="1:10" s="18" customFormat="1" ht="15.75" x14ac:dyDescent="0.25">
      <c r="A474" s="259"/>
      <c r="B474" s="260"/>
      <c r="C474" s="19"/>
      <c r="D474" s="34"/>
      <c r="E474" s="13">
        <v>45078</v>
      </c>
      <c r="F474" s="355">
        <v>1940091017</v>
      </c>
      <c r="G474" s="261" t="s">
        <v>11334</v>
      </c>
      <c r="H474" s="8">
        <v>300000</v>
      </c>
      <c r="J474" s="324"/>
    </row>
    <row r="475" spans="1:10" s="18" customFormat="1" ht="15.75" x14ac:dyDescent="0.25">
      <c r="A475" s="259"/>
      <c r="B475" s="260"/>
      <c r="C475" s="19"/>
      <c r="D475" s="34"/>
      <c r="E475" s="13">
        <v>45079</v>
      </c>
      <c r="F475" s="355">
        <v>1940091018</v>
      </c>
      <c r="G475" s="261" t="s">
        <v>11334</v>
      </c>
      <c r="H475" s="8">
        <v>300000</v>
      </c>
      <c r="J475" s="324"/>
    </row>
    <row r="476" spans="1:10" s="18" customFormat="1" ht="15.75" x14ac:dyDescent="0.25">
      <c r="A476" s="259"/>
      <c r="B476" s="260"/>
      <c r="C476" s="19"/>
      <c r="D476" s="34"/>
      <c r="E476" s="13">
        <v>45084</v>
      </c>
      <c r="F476" s="355">
        <v>1940091019</v>
      </c>
      <c r="G476" s="261" t="s">
        <v>11334</v>
      </c>
      <c r="H476" s="8">
        <v>250000</v>
      </c>
      <c r="J476" s="324"/>
    </row>
    <row r="477" spans="1:10" s="18" customFormat="1" ht="15.75" x14ac:dyDescent="0.25">
      <c r="A477" s="259"/>
      <c r="B477" s="260"/>
      <c r="C477" s="19"/>
      <c r="D477" s="34"/>
      <c r="E477" s="13">
        <v>45085</v>
      </c>
      <c r="F477" s="355">
        <v>1949327570</v>
      </c>
      <c r="G477" s="261" t="s">
        <v>11334</v>
      </c>
      <c r="H477" s="8">
        <v>500000</v>
      </c>
      <c r="I477" s="18" t="s">
        <v>9432</v>
      </c>
      <c r="J477" s="324"/>
    </row>
    <row r="478" spans="1:10" s="18" customFormat="1" ht="15.75" x14ac:dyDescent="0.25">
      <c r="A478" s="259"/>
      <c r="B478" s="260"/>
      <c r="C478" s="19"/>
      <c r="D478" s="34"/>
      <c r="E478" s="13">
        <v>45086</v>
      </c>
      <c r="F478" s="355">
        <v>1949327571</v>
      </c>
      <c r="G478" s="261" t="s">
        <v>11334</v>
      </c>
      <c r="H478" s="8">
        <v>300000</v>
      </c>
      <c r="J478" s="324"/>
    </row>
    <row r="479" spans="1:10" s="18" customFormat="1" ht="15.75" x14ac:dyDescent="0.25">
      <c r="A479" s="259"/>
      <c r="B479" s="260"/>
      <c r="C479" s="19"/>
      <c r="D479" s="34"/>
      <c r="E479" s="13">
        <v>45086</v>
      </c>
      <c r="F479" s="355">
        <v>1949327572</v>
      </c>
      <c r="G479" s="261" t="s">
        <v>10139</v>
      </c>
      <c r="H479" s="8">
        <v>80000</v>
      </c>
      <c r="J479" s="324"/>
    </row>
    <row r="480" spans="1:10" s="18" customFormat="1" ht="15.75" x14ac:dyDescent="0.25">
      <c r="A480" s="259"/>
      <c r="B480" s="260"/>
      <c r="C480" s="19"/>
      <c r="D480" s="34"/>
      <c r="E480" s="13">
        <v>45086</v>
      </c>
      <c r="F480" s="355">
        <v>1949327573</v>
      </c>
      <c r="G480" s="261" t="s">
        <v>9075</v>
      </c>
      <c r="H480" s="8">
        <v>100000</v>
      </c>
      <c r="J480" s="324"/>
    </row>
    <row r="481" spans="1:10" s="18" customFormat="1" ht="15.75" x14ac:dyDescent="0.25">
      <c r="A481" s="259"/>
      <c r="B481" s="260"/>
      <c r="C481" s="19"/>
      <c r="D481" s="34"/>
      <c r="E481" s="13">
        <v>45090</v>
      </c>
      <c r="F481" s="355">
        <v>1949327574</v>
      </c>
      <c r="G481" s="261" t="s">
        <v>9947</v>
      </c>
      <c r="H481" s="8">
        <v>40000</v>
      </c>
      <c r="J481" s="324"/>
    </row>
    <row r="482" spans="1:10" s="18" customFormat="1" ht="15.75" x14ac:dyDescent="0.25">
      <c r="A482" s="259"/>
      <c r="B482" s="260"/>
      <c r="C482" s="19"/>
      <c r="D482" s="34"/>
      <c r="E482" s="13">
        <v>45091</v>
      </c>
      <c r="F482" s="355">
        <v>1949327575</v>
      </c>
      <c r="G482" s="261" t="s">
        <v>9647</v>
      </c>
      <c r="H482" s="8">
        <v>250000</v>
      </c>
      <c r="J482" s="324"/>
    </row>
    <row r="483" spans="1:10" s="18" customFormat="1" ht="15.75" x14ac:dyDescent="0.25">
      <c r="A483" s="259"/>
      <c r="B483" s="260"/>
      <c r="C483" s="19"/>
      <c r="D483" s="34"/>
      <c r="E483" s="13">
        <v>45093</v>
      </c>
      <c r="F483" s="355">
        <v>1949327576</v>
      </c>
      <c r="G483" s="261" t="s">
        <v>110</v>
      </c>
      <c r="H483" s="8">
        <v>98800</v>
      </c>
      <c r="J483" s="324"/>
    </row>
    <row r="484" spans="1:10" s="18" customFormat="1" ht="15.75" x14ac:dyDescent="0.25">
      <c r="A484" s="259"/>
      <c r="B484" s="260"/>
      <c r="C484" s="19"/>
      <c r="D484" s="34"/>
      <c r="E484" s="13">
        <v>45096</v>
      </c>
      <c r="F484" s="355">
        <v>1949327577</v>
      </c>
      <c r="G484" s="261" t="s">
        <v>11482</v>
      </c>
      <c r="H484" s="8">
        <v>181798</v>
      </c>
      <c r="J484" s="324"/>
    </row>
    <row r="485" spans="1:10" s="18" customFormat="1" ht="15.75" x14ac:dyDescent="0.25">
      <c r="A485" s="259"/>
      <c r="B485" s="260"/>
      <c r="C485" s="19"/>
      <c r="D485" s="34"/>
      <c r="E485" s="13">
        <v>45096</v>
      </c>
      <c r="F485" s="355">
        <v>1949327578</v>
      </c>
      <c r="G485" s="261" t="s">
        <v>5328</v>
      </c>
      <c r="H485" s="8">
        <v>150000</v>
      </c>
      <c r="J485" s="324"/>
    </row>
    <row r="486" spans="1:10" s="18" customFormat="1" ht="15.75" x14ac:dyDescent="0.25">
      <c r="A486" s="259"/>
      <c r="B486" s="260"/>
      <c r="C486" s="19"/>
      <c r="D486" s="34"/>
      <c r="E486" s="13">
        <v>45111</v>
      </c>
      <c r="F486" s="355">
        <v>1949327579</v>
      </c>
      <c r="G486" s="261" t="s">
        <v>10607</v>
      </c>
      <c r="H486" s="8">
        <v>196337</v>
      </c>
      <c r="J486" s="324"/>
    </row>
    <row r="487" spans="1:10" s="18" customFormat="1" ht="15.75" x14ac:dyDescent="0.25">
      <c r="A487" s="259"/>
      <c r="B487" s="260"/>
      <c r="C487" s="19"/>
      <c r="D487" s="34"/>
      <c r="E487" s="13">
        <v>45117</v>
      </c>
      <c r="F487" s="355">
        <v>1949327580</v>
      </c>
      <c r="G487" s="261" t="s">
        <v>5328</v>
      </c>
      <c r="H487" s="8">
        <v>50000</v>
      </c>
      <c r="J487" s="324"/>
    </row>
    <row r="488" spans="1:10" s="18" customFormat="1" ht="15.75" x14ac:dyDescent="0.25">
      <c r="A488" s="259"/>
      <c r="B488" s="260"/>
      <c r="C488" s="19"/>
      <c r="D488" s="34"/>
      <c r="E488" s="13">
        <v>45124</v>
      </c>
      <c r="F488" s="355">
        <v>1949327581</v>
      </c>
      <c r="G488" s="261" t="s">
        <v>11721</v>
      </c>
      <c r="H488" s="8">
        <v>96000</v>
      </c>
      <c r="J488" s="324"/>
    </row>
    <row r="489" spans="1:10" s="18" customFormat="1" ht="15.75" x14ac:dyDescent="0.25">
      <c r="A489" s="259"/>
      <c r="B489" s="260"/>
      <c r="C489" s="19"/>
      <c r="D489" s="34"/>
      <c r="E489" s="13">
        <v>45125</v>
      </c>
      <c r="F489" s="355">
        <v>1949327582</v>
      </c>
      <c r="G489" s="261" t="s">
        <v>11737</v>
      </c>
      <c r="H489" s="8">
        <v>36563</v>
      </c>
      <c r="J489" s="324"/>
    </row>
    <row r="490" spans="1:10" s="18" customFormat="1" ht="15.75" x14ac:dyDescent="0.25">
      <c r="A490" s="259"/>
      <c r="B490" s="260"/>
      <c r="C490" s="19"/>
      <c r="D490" s="34"/>
      <c r="E490" s="13">
        <v>45133</v>
      </c>
      <c r="F490" s="355">
        <v>1949327583</v>
      </c>
      <c r="G490" s="261" t="s">
        <v>5328</v>
      </c>
      <c r="H490" s="8">
        <v>150000</v>
      </c>
      <c r="J490" s="324"/>
    </row>
    <row r="491" spans="1:10" s="18" customFormat="1" ht="15.75" x14ac:dyDescent="0.25">
      <c r="A491" s="259"/>
      <c r="B491" s="260"/>
      <c r="C491" s="19"/>
      <c r="D491" s="34"/>
      <c r="E491" s="13">
        <v>45133</v>
      </c>
      <c r="F491" s="355">
        <v>1949327584</v>
      </c>
      <c r="G491" s="261" t="s">
        <v>11832</v>
      </c>
      <c r="H491" s="8">
        <v>250000</v>
      </c>
      <c r="J491" s="324"/>
    </row>
    <row r="492" spans="1:10" s="18" customFormat="1" ht="15.75" x14ac:dyDescent="0.25">
      <c r="A492" s="259"/>
      <c r="B492" s="260"/>
      <c r="C492" s="19"/>
      <c r="D492" s="34"/>
      <c r="E492" s="13">
        <v>45138</v>
      </c>
      <c r="F492" s="355">
        <v>1949327585</v>
      </c>
      <c r="G492" s="261" t="s">
        <v>5328</v>
      </c>
      <c r="H492" s="8">
        <v>275000</v>
      </c>
      <c r="J492" s="324"/>
    </row>
    <row r="493" spans="1:10" s="18" customFormat="1" ht="15.75" x14ac:dyDescent="0.25">
      <c r="A493" s="259"/>
      <c r="B493" s="260"/>
      <c r="C493" s="19"/>
      <c r="D493" s="34"/>
      <c r="E493" s="13">
        <v>45139</v>
      </c>
      <c r="F493" s="355">
        <v>1949327586</v>
      </c>
      <c r="G493" s="261" t="s">
        <v>2053</v>
      </c>
      <c r="H493" s="8">
        <v>68120</v>
      </c>
      <c r="J493" s="324"/>
    </row>
    <row r="494" spans="1:10" s="18" customFormat="1" ht="15.75" x14ac:dyDescent="0.25">
      <c r="A494" s="259"/>
      <c r="B494" s="260"/>
      <c r="C494" s="19"/>
      <c r="D494" s="34"/>
      <c r="E494" s="13">
        <v>45139</v>
      </c>
      <c r="F494" s="355">
        <v>1949327587</v>
      </c>
      <c r="G494" s="261" t="s">
        <v>3554</v>
      </c>
      <c r="H494" s="8">
        <v>80000</v>
      </c>
      <c r="J494" s="324"/>
    </row>
    <row r="495" spans="1:10" s="18" customFormat="1" ht="15.75" x14ac:dyDescent="0.25">
      <c r="A495" s="259"/>
      <c r="B495" s="260"/>
      <c r="C495" s="19"/>
      <c r="D495" s="34"/>
      <c r="E495" s="13">
        <v>45139</v>
      </c>
      <c r="F495" s="355">
        <v>1949327588</v>
      </c>
      <c r="G495" s="261" t="s">
        <v>11852</v>
      </c>
      <c r="H495" s="8">
        <v>86500</v>
      </c>
      <c r="J495" s="324"/>
    </row>
    <row r="496" spans="1:10" s="18" customFormat="1" ht="15.75" x14ac:dyDescent="0.25">
      <c r="A496" s="259"/>
      <c r="B496" s="260"/>
      <c r="C496" s="19"/>
      <c r="D496" s="34"/>
      <c r="E496" s="13">
        <v>45142</v>
      </c>
      <c r="F496" s="355">
        <v>1949327589</v>
      </c>
      <c r="G496" s="261" t="s">
        <v>5328</v>
      </c>
      <c r="H496" s="8">
        <v>150000</v>
      </c>
      <c r="J496" s="324"/>
    </row>
    <row r="497" spans="1:10" s="18" customFormat="1" ht="15.75" x14ac:dyDescent="0.25">
      <c r="A497" s="259"/>
      <c r="B497" s="260"/>
      <c r="C497" s="19"/>
      <c r="D497" s="34"/>
      <c r="E497" s="13">
        <v>45142</v>
      </c>
      <c r="F497" s="355">
        <v>1949327590</v>
      </c>
      <c r="G497" s="261" t="s">
        <v>11862</v>
      </c>
      <c r="H497" s="8">
        <v>85500</v>
      </c>
      <c r="J497" s="324"/>
    </row>
    <row r="498" spans="1:10" s="18" customFormat="1" ht="15.75" x14ac:dyDescent="0.25">
      <c r="A498" s="259"/>
      <c r="B498" s="260"/>
      <c r="C498" s="19"/>
      <c r="D498" s="34"/>
      <c r="E498" s="13">
        <v>45142</v>
      </c>
      <c r="F498" s="355">
        <v>1949327591</v>
      </c>
      <c r="G498" s="261" t="s">
        <v>11862</v>
      </c>
      <c r="H498" s="8">
        <v>60000</v>
      </c>
      <c r="J498" s="324"/>
    </row>
    <row r="499" spans="1:10" s="18" customFormat="1" ht="15.75" x14ac:dyDescent="0.25">
      <c r="A499" s="259"/>
      <c r="B499" s="260"/>
      <c r="C499" s="19"/>
      <c r="D499" s="34"/>
      <c r="E499" s="13">
        <v>45145</v>
      </c>
      <c r="F499" s="355">
        <v>1949327592</v>
      </c>
      <c r="G499" s="261" t="s">
        <v>11889</v>
      </c>
      <c r="H499" s="8">
        <v>150000</v>
      </c>
      <c r="J499" s="324"/>
    </row>
    <row r="500" spans="1:10" s="18" customFormat="1" ht="15.75" x14ac:dyDescent="0.25">
      <c r="A500" s="259"/>
      <c r="B500" s="260"/>
      <c r="C500" s="19"/>
      <c r="D500" s="34"/>
      <c r="E500" s="13">
        <v>45145</v>
      </c>
      <c r="F500" s="355">
        <v>1949327593</v>
      </c>
      <c r="G500" s="261" t="s">
        <v>11888</v>
      </c>
      <c r="H500" s="8">
        <v>100000</v>
      </c>
      <c r="J500" s="324"/>
    </row>
    <row r="501" spans="1:10" s="18" customFormat="1" ht="15.75" x14ac:dyDescent="0.25">
      <c r="A501" s="259"/>
      <c r="B501" s="260"/>
      <c r="C501" s="19"/>
      <c r="D501" s="34"/>
      <c r="E501" s="13">
        <v>45145</v>
      </c>
      <c r="F501" s="355">
        <v>1949327594</v>
      </c>
      <c r="G501" s="261" t="s">
        <v>9075</v>
      </c>
      <c r="H501" s="8">
        <v>124500</v>
      </c>
      <c r="J501" s="324"/>
    </row>
    <row r="502" spans="1:10" s="18" customFormat="1" ht="15.75" x14ac:dyDescent="0.25">
      <c r="A502" s="259"/>
      <c r="B502" s="260"/>
      <c r="C502" s="19"/>
      <c r="D502" s="34"/>
      <c r="E502" s="13">
        <v>45147</v>
      </c>
      <c r="F502" s="355">
        <v>1949327595</v>
      </c>
      <c r="G502" s="261" t="s">
        <v>8732</v>
      </c>
      <c r="H502" s="8">
        <v>30000</v>
      </c>
      <c r="J502" s="324"/>
    </row>
    <row r="503" spans="1:10" s="18" customFormat="1" ht="15.75" x14ac:dyDescent="0.25">
      <c r="A503" s="259"/>
      <c r="B503" s="260"/>
      <c r="C503" s="19"/>
      <c r="D503" s="34"/>
      <c r="E503" s="13">
        <v>45147</v>
      </c>
      <c r="F503" s="355">
        <v>1949327596</v>
      </c>
      <c r="G503" s="261" t="s">
        <v>9778</v>
      </c>
      <c r="H503" s="8">
        <v>100000</v>
      </c>
      <c r="J503" s="324"/>
    </row>
    <row r="504" spans="1:10" s="18" customFormat="1" ht="15.75" x14ac:dyDescent="0.25">
      <c r="A504" s="259"/>
      <c r="B504" s="260"/>
      <c r="C504" s="19"/>
      <c r="D504" s="34"/>
      <c r="E504" s="13">
        <v>45147</v>
      </c>
      <c r="F504" s="355">
        <v>1949327597</v>
      </c>
      <c r="G504" s="261" t="s">
        <v>9778</v>
      </c>
      <c r="H504" s="8">
        <v>144000</v>
      </c>
      <c r="J504" s="324"/>
    </row>
    <row r="505" spans="1:10" s="18" customFormat="1" ht="15.75" x14ac:dyDescent="0.25">
      <c r="A505" s="259"/>
      <c r="B505" s="260"/>
      <c r="C505" s="19"/>
      <c r="D505" s="34"/>
      <c r="E505" s="13">
        <v>45149</v>
      </c>
      <c r="F505" s="355">
        <v>1949327598</v>
      </c>
      <c r="G505" s="261" t="s">
        <v>5328</v>
      </c>
      <c r="H505" s="8">
        <v>450000</v>
      </c>
      <c r="J505" s="324"/>
    </row>
    <row r="506" spans="1:10" s="18" customFormat="1" ht="15.75" x14ac:dyDescent="0.25">
      <c r="A506" s="259"/>
      <c r="B506" s="260"/>
      <c r="C506" s="19"/>
      <c r="D506" s="34"/>
      <c r="E506" s="13">
        <v>45149</v>
      </c>
      <c r="F506" s="355">
        <v>1949327599</v>
      </c>
      <c r="G506" s="261" t="s">
        <v>11956</v>
      </c>
      <c r="H506" s="8">
        <v>179000</v>
      </c>
      <c r="J506" s="324"/>
    </row>
    <row r="507" spans="1:10" s="18" customFormat="1" ht="15.75" x14ac:dyDescent="0.25">
      <c r="A507" s="259"/>
      <c r="B507" s="260"/>
      <c r="C507" s="19"/>
      <c r="D507" s="34"/>
      <c r="E507" s="13">
        <v>45149</v>
      </c>
      <c r="F507" s="355">
        <v>1949327600</v>
      </c>
      <c r="G507" s="261" t="s">
        <v>5328</v>
      </c>
      <c r="H507" s="8">
        <v>139860</v>
      </c>
      <c r="J507" s="324"/>
    </row>
    <row r="508" spans="1:10" s="18" customFormat="1" ht="15.75" x14ac:dyDescent="0.25">
      <c r="A508" s="259"/>
      <c r="B508" s="260"/>
      <c r="C508" s="19"/>
      <c r="D508" s="34"/>
      <c r="E508" s="13">
        <v>45149</v>
      </c>
      <c r="F508" s="355">
        <v>1949327601</v>
      </c>
      <c r="G508" s="261" t="s">
        <v>9647</v>
      </c>
      <c r="H508" s="8">
        <v>50000</v>
      </c>
      <c r="J508" s="324"/>
    </row>
    <row r="509" spans="1:10" s="18" customFormat="1" ht="15.75" x14ac:dyDescent="0.25">
      <c r="A509" s="259"/>
      <c r="B509" s="260"/>
      <c r="C509" s="19"/>
      <c r="D509" s="34"/>
      <c r="E509" s="13">
        <v>45149</v>
      </c>
      <c r="F509" s="355">
        <v>1949327602</v>
      </c>
      <c r="G509" s="261" t="s">
        <v>9947</v>
      </c>
      <c r="H509" s="8">
        <v>100000</v>
      </c>
      <c r="J509" s="324"/>
    </row>
    <row r="510" spans="1:10" s="18" customFormat="1" ht="15.75" x14ac:dyDescent="0.25">
      <c r="A510" s="259"/>
      <c r="B510" s="260"/>
      <c r="C510" s="19"/>
      <c r="D510" s="34"/>
      <c r="E510" s="13">
        <v>45149</v>
      </c>
      <c r="F510" s="355">
        <v>1949327603</v>
      </c>
      <c r="G510" s="261" t="s">
        <v>580</v>
      </c>
      <c r="H510" s="8">
        <v>150000</v>
      </c>
      <c r="J510" s="324"/>
    </row>
    <row r="511" spans="1:10" s="18" customFormat="1" ht="15.75" x14ac:dyDescent="0.25">
      <c r="A511" s="259"/>
      <c r="B511" s="260"/>
      <c r="C511" s="19"/>
      <c r="D511" s="34"/>
      <c r="E511" s="13">
        <v>45149</v>
      </c>
      <c r="F511" s="355">
        <v>1949327604</v>
      </c>
      <c r="G511" s="261" t="s">
        <v>8641</v>
      </c>
      <c r="H511" s="8">
        <v>200000</v>
      </c>
      <c r="J511" s="324"/>
    </row>
    <row r="512" spans="1:10" s="18" customFormat="1" ht="15.75" x14ac:dyDescent="0.25">
      <c r="A512" s="259"/>
      <c r="B512" s="260"/>
      <c r="C512" s="19"/>
      <c r="D512" s="34"/>
      <c r="E512" s="13">
        <v>45154</v>
      </c>
      <c r="F512" s="355">
        <v>1949327605</v>
      </c>
      <c r="G512" s="261" t="s">
        <v>12002</v>
      </c>
      <c r="H512" s="8">
        <v>60000</v>
      </c>
      <c r="J512" s="324"/>
    </row>
    <row r="513" spans="1:10" s="18" customFormat="1" ht="15.75" x14ac:dyDescent="0.25">
      <c r="A513" s="259"/>
      <c r="B513" s="260"/>
      <c r="C513" s="19"/>
      <c r="D513" s="34"/>
      <c r="E513" s="13">
        <v>45154</v>
      </c>
      <c r="F513" s="355">
        <v>1949327606</v>
      </c>
      <c r="G513" s="261" t="s">
        <v>9484</v>
      </c>
      <c r="H513" s="8">
        <v>40000</v>
      </c>
      <c r="J513" s="324"/>
    </row>
    <row r="514" spans="1:10" s="18" customFormat="1" ht="15.75" x14ac:dyDescent="0.25">
      <c r="A514" s="259"/>
      <c r="B514" s="260"/>
      <c r="C514" s="19"/>
      <c r="D514" s="34"/>
      <c r="E514" s="13">
        <v>45155</v>
      </c>
      <c r="F514" s="355">
        <v>1949327607</v>
      </c>
      <c r="G514" s="261" t="s">
        <v>12003</v>
      </c>
      <c r="H514" s="8">
        <v>100000</v>
      </c>
      <c r="J514" s="324"/>
    </row>
    <row r="515" spans="1:10" s="18" customFormat="1" ht="15.75" x14ac:dyDescent="0.25">
      <c r="A515" s="259"/>
      <c r="B515" s="260"/>
      <c r="C515" s="19"/>
      <c r="D515" s="34"/>
      <c r="E515" s="13">
        <v>45156</v>
      </c>
      <c r="F515" s="355">
        <v>1949327608</v>
      </c>
      <c r="G515" s="261" t="s">
        <v>12004</v>
      </c>
      <c r="H515" s="8">
        <v>247647</v>
      </c>
      <c r="J515" s="324"/>
    </row>
    <row r="516" spans="1:10" s="18" customFormat="1" ht="15.75" x14ac:dyDescent="0.25">
      <c r="A516" s="259"/>
      <c r="B516" s="260"/>
      <c r="C516" s="19"/>
      <c r="D516" s="34"/>
      <c r="E516" s="13">
        <v>45156</v>
      </c>
      <c r="F516" s="355">
        <v>1949327609</v>
      </c>
      <c r="G516" s="261" t="s">
        <v>7090</v>
      </c>
      <c r="H516" s="8">
        <v>0</v>
      </c>
      <c r="J516" s="324"/>
    </row>
    <row r="517" spans="1:10" s="18" customFormat="1" ht="15.75" x14ac:dyDescent="0.25">
      <c r="A517" s="259"/>
      <c r="B517" s="260"/>
      <c r="C517" s="19"/>
      <c r="D517" s="34"/>
      <c r="E517" s="13">
        <v>45156</v>
      </c>
      <c r="F517" s="355">
        <v>1949327610</v>
      </c>
      <c r="G517" s="382" t="s">
        <v>12005</v>
      </c>
      <c r="H517" s="8">
        <v>0</v>
      </c>
      <c r="I517" s="18">
        <v>5516351</v>
      </c>
      <c r="J517" s="324"/>
    </row>
    <row r="518" spans="1:10" s="18" customFormat="1" ht="15.75" x14ac:dyDescent="0.25">
      <c r="A518" s="259"/>
      <c r="B518" s="260"/>
      <c r="C518" s="19"/>
      <c r="D518" s="34"/>
      <c r="E518" s="13">
        <v>45156</v>
      </c>
      <c r="F518" s="355">
        <v>1949327611</v>
      </c>
      <c r="G518" s="382" t="s">
        <v>12005</v>
      </c>
      <c r="H518" s="8">
        <v>0</v>
      </c>
      <c r="I518" s="18">
        <v>11032701</v>
      </c>
      <c r="J518" s="324"/>
    </row>
    <row r="519" spans="1:10" s="18" customFormat="1" ht="15.75" x14ac:dyDescent="0.25">
      <c r="A519" s="259"/>
      <c r="B519" s="260"/>
      <c r="C519" s="19"/>
      <c r="D519" s="34"/>
      <c r="E519" s="13">
        <v>45161</v>
      </c>
      <c r="F519" s="355">
        <v>1949327612</v>
      </c>
      <c r="G519" s="261"/>
      <c r="H519" s="8"/>
      <c r="J519" s="324"/>
    </row>
    <row r="520" spans="1:10" s="18" customFormat="1" ht="15.75" x14ac:dyDescent="0.25">
      <c r="A520" s="259"/>
      <c r="B520" s="260"/>
      <c r="C520" s="19"/>
      <c r="D520" s="34"/>
      <c r="E520" s="13">
        <v>45161</v>
      </c>
      <c r="F520" s="355">
        <v>1949327613</v>
      </c>
      <c r="G520" s="261" t="s">
        <v>12029</v>
      </c>
      <c r="H520" s="8">
        <v>46950</v>
      </c>
      <c r="J520" s="324"/>
    </row>
    <row r="521" spans="1:10" s="18" customFormat="1" ht="15.75" x14ac:dyDescent="0.25">
      <c r="A521" s="259"/>
      <c r="B521" s="260"/>
      <c r="C521" s="19"/>
      <c r="D521" s="34"/>
      <c r="E521" s="13">
        <v>45161</v>
      </c>
      <c r="F521" s="355">
        <v>1949327614</v>
      </c>
      <c r="G521" s="261" t="s">
        <v>12032</v>
      </c>
      <c r="H521" s="8">
        <v>343000</v>
      </c>
      <c r="J521" s="324"/>
    </row>
    <row r="522" spans="1:10" s="18" customFormat="1" ht="15.75" x14ac:dyDescent="0.25">
      <c r="A522" s="259"/>
      <c r="B522" s="260"/>
      <c r="C522" s="19"/>
      <c r="D522" s="34"/>
      <c r="E522" s="13">
        <v>45162</v>
      </c>
      <c r="F522" s="355">
        <v>1949327615</v>
      </c>
      <c r="G522" s="261" t="s">
        <v>9662</v>
      </c>
      <c r="H522" s="8">
        <v>82305</v>
      </c>
      <c r="J522" s="324"/>
    </row>
    <row r="523" spans="1:10" s="18" customFormat="1" ht="15.75" x14ac:dyDescent="0.25">
      <c r="A523" s="259"/>
      <c r="B523" s="260"/>
      <c r="C523" s="19"/>
      <c r="D523" s="34"/>
      <c r="E523" s="13">
        <v>45164</v>
      </c>
      <c r="F523" s="355">
        <v>1949327616</v>
      </c>
      <c r="G523" s="261" t="s">
        <v>11832</v>
      </c>
      <c r="H523" s="8">
        <v>200000</v>
      </c>
      <c r="J523" s="324"/>
    </row>
    <row r="524" spans="1:10" s="18" customFormat="1" ht="15.75" x14ac:dyDescent="0.25">
      <c r="A524" s="259"/>
      <c r="B524" s="260"/>
      <c r="C524" s="19"/>
      <c r="D524" s="34"/>
      <c r="E524" s="13">
        <v>45164</v>
      </c>
      <c r="F524" s="355">
        <v>1949327617</v>
      </c>
      <c r="G524" s="261" t="s">
        <v>11482</v>
      </c>
      <c r="H524" s="8">
        <v>150000</v>
      </c>
      <c r="J524" s="324"/>
    </row>
    <row r="525" spans="1:10" s="18" customFormat="1" ht="15.75" x14ac:dyDescent="0.25">
      <c r="A525" s="259"/>
      <c r="B525" s="260"/>
      <c r="C525" s="19"/>
      <c r="D525" s="34"/>
      <c r="E525" s="13">
        <v>45164</v>
      </c>
      <c r="F525" s="355">
        <v>1949327618</v>
      </c>
      <c r="G525" s="261" t="s">
        <v>11482</v>
      </c>
      <c r="H525" s="8">
        <v>248000</v>
      </c>
      <c r="J525" s="324"/>
    </row>
    <row r="526" spans="1:10" s="18" customFormat="1" ht="15.75" x14ac:dyDescent="0.25">
      <c r="A526" s="259"/>
      <c r="B526" s="260"/>
      <c r="C526" s="19"/>
      <c r="D526" s="34"/>
      <c r="E526" s="13">
        <v>45166</v>
      </c>
      <c r="F526" s="355">
        <v>1949327619</v>
      </c>
      <c r="G526" s="261" t="s">
        <v>5328</v>
      </c>
      <c r="H526" s="8">
        <v>200000</v>
      </c>
      <c r="J526" s="324"/>
    </row>
    <row r="527" spans="1:10" s="18" customFormat="1" ht="15.75" x14ac:dyDescent="0.25">
      <c r="A527" s="259"/>
      <c r="B527" s="260"/>
      <c r="C527" s="19"/>
      <c r="D527" s="34"/>
      <c r="E527" s="13">
        <v>45167</v>
      </c>
      <c r="F527" s="355">
        <v>1958702575</v>
      </c>
      <c r="G527" s="261" t="s">
        <v>12065</v>
      </c>
      <c r="H527" s="8">
        <v>336000</v>
      </c>
      <c r="I527" s="18" t="s">
        <v>9432</v>
      </c>
      <c r="J527" s="324"/>
    </row>
    <row r="528" spans="1:10" s="18" customFormat="1" ht="15.75" x14ac:dyDescent="0.25">
      <c r="A528" s="259"/>
      <c r="B528" s="260"/>
      <c r="C528" s="19"/>
      <c r="D528" s="34"/>
      <c r="E528" s="13">
        <v>45167</v>
      </c>
      <c r="F528" s="355">
        <v>1958702576</v>
      </c>
      <c r="G528" s="261" t="s">
        <v>12066</v>
      </c>
      <c r="H528" s="8">
        <v>40000</v>
      </c>
      <c r="J528" s="324"/>
    </row>
    <row r="529" spans="1:10" s="18" customFormat="1" ht="15.75" x14ac:dyDescent="0.25">
      <c r="A529" s="259"/>
      <c r="B529" s="260"/>
      <c r="C529" s="19"/>
      <c r="D529" s="34"/>
      <c r="E529" s="13">
        <v>45167</v>
      </c>
      <c r="F529" s="355">
        <v>1958702577</v>
      </c>
      <c r="G529" s="261" t="s">
        <v>12067</v>
      </c>
      <c r="H529" s="8">
        <v>500000</v>
      </c>
      <c r="J529" s="324"/>
    </row>
    <row r="530" spans="1:10" s="18" customFormat="1" ht="15.75" x14ac:dyDescent="0.25">
      <c r="A530" s="259"/>
      <c r="B530" s="260"/>
      <c r="C530" s="19"/>
      <c r="D530" s="34"/>
      <c r="E530" s="13">
        <v>45167</v>
      </c>
      <c r="F530" s="355">
        <v>1958702578</v>
      </c>
      <c r="G530" s="261" t="s">
        <v>12083</v>
      </c>
      <c r="H530" s="8">
        <v>500000</v>
      </c>
      <c r="J530" s="324"/>
    </row>
    <row r="531" spans="1:10" s="18" customFormat="1" ht="15.75" x14ac:dyDescent="0.25">
      <c r="A531" s="259"/>
      <c r="B531" s="260"/>
      <c r="C531" s="19"/>
      <c r="D531" s="34"/>
      <c r="E531" s="13">
        <v>45168</v>
      </c>
      <c r="F531" s="355">
        <v>1958702579</v>
      </c>
      <c r="G531" s="261" t="s">
        <v>12067</v>
      </c>
      <c r="H531" s="8">
        <v>250000</v>
      </c>
      <c r="J531" s="324"/>
    </row>
    <row r="532" spans="1:10" s="18" customFormat="1" ht="15.75" x14ac:dyDescent="0.25">
      <c r="A532" s="259"/>
      <c r="B532" s="260"/>
      <c r="C532" s="19"/>
      <c r="D532" s="34"/>
      <c r="E532" s="13">
        <v>45168</v>
      </c>
      <c r="F532" s="355">
        <v>1958702580</v>
      </c>
      <c r="G532" s="261" t="s">
        <v>12067</v>
      </c>
      <c r="H532" s="8">
        <v>250000</v>
      </c>
      <c r="J532" s="324"/>
    </row>
    <row r="533" spans="1:10" s="18" customFormat="1" ht="15.75" x14ac:dyDescent="0.25">
      <c r="A533" s="259"/>
      <c r="B533" s="260"/>
      <c r="C533" s="19"/>
      <c r="D533" s="34"/>
      <c r="E533" s="13">
        <v>45168</v>
      </c>
      <c r="F533" s="355">
        <v>1958702581</v>
      </c>
      <c r="G533" s="261" t="s">
        <v>8682</v>
      </c>
      <c r="H533" s="8">
        <v>100000</v>
      </c>
      <c r="J533" s="324"/>
    </row>
    <row r="534" spans="1:10" s="18" customFormat="1" ht="15.75" x14ac:dyDescent="0.25">
      <c r="A534" s="259"/>
      <c r="B534" s="260"/>
      <c r="C534" s="19"/>
      <c r="D534" s="34"/>
      <c r="E534" s="13">
        <v>45168</v>
      </c>
      <c r="F534" s="355">
        <v>1958702582</v>
      </c>
      <c r="G534" s="261" t="s">
        <v>11785</v>
      </c>
      <c r="H534" s="8">
        <v>150000</v>
      </c>
      <c r="J534" s="324"/>
    </row>
    <row r="535" spans="1:10" s="18" customFormat="1" ht="15.75" x14ac:dyDescent="0.25">
      <c r="A535" s="259"/>
      <c r="B535" s="260"/>
      <c r="C535" s="19"/>
      <c r="D535" s="34"/>
      <c r="E535" s="13">
        <v>45168</v>
      </c>
      <c r="F535" s="355">
        <v>1958702583</v>
      </c>
      <c r="G535" s="261" t="s">
        <v>12084</v>
      </c>
      <c r="H535" s="8">
        <v>148000</v>
      </c>
      <c r="J535" s="324"/>
    </row>
    <row r="536" spans="1:10" s="18" customFormat="1" ht="15.75" x14ac:dyDescent="0.25">
      <c r="A536" s="259"/>
      <c r="B536" s="260"/>
      <c r="C536" s="19"/>
      <c r="D536" s="34"/>
      <c r="E536" s="13">
        <v>45169</v>
      </c>
      <c r="F536" s="355">
        <v>1958702584</v>
      </c>
      <c r="G536" s="261" t="s">
        <v>5328</v>
      </c>
      <c r="H536" s="8">
        <v>150000</v>
      </c>
      <c r="J536" s="324"/>
    </row>
    <row r="537" spans="1:10" s="18" customFormat="1" ht="15.75" x14ac:dyDescent="0.25">
      <c r="A537" s="259"/>
      <c r="B537" s="260"/>
      <c r="C537" s="19"/>
      <c r="D537" s="34"/>
      <c r="E537" s="13">
        <v>45171</v>
      </c>
      <c r="F537" s="355">
        <v>1958702585</v>
      </c>
      <c r="G537" s="261" t="s">
        <v>9647</v>
      </c>
      <c r="H537" s="8">
        <v>155000</v>
      </c>
      <c r="J537" s="324"/>
    </row>
    <row r="538" spans="1:10" s="18" customFormat="1" ht="15.75" x14ac:dyDescent="0.25">
      <c r="A538" s="259"/>
      <c r="B538" s="260"/>
      <c r="C538" s="19"/>
      <c r="D538" s="34"/>
      <c r="E538" s="13">
        <v>45173</v>
      </c>
      <c r="F538" s="355">
        <v>1958702586</v>
      </c>
      <c r="G538" s="261" t="s">
        <v>10607</v>
      </c>
      <c r="H538" s="8">
        <v>68120</v>
      </c>
      <c r="J538" s="324"/>
    </row>
    <row r="539" spans="1:10" s="18" customFormat="1" ht="15.75" x14ac:dyDescent="0.25">
      <c r="A539" s="259"/>
      <c r="B539" s="260"/>
      <c r="C539" s="19"/>
      <c r="D539" s="34"/>
      <c r="E539" s="13">
        <v>45173</v>
      </c>
      <c r="F539" s="355">
        <v>1958702587</v>
      </c>
      <c r="G539" s="261" t="s">
        <v>25</v>
      </c>
      <c r="H539" s="8">
        <v>150000</v>
      </c>
      <c r="J539" s="324"/>
    </row>
    <row r="540" spans="1:10" s="18" customFormat="1" ht="15.75" x14ac:dyDescent="0.25">
      <c r="A540" s="259"/>
      <c r="B540" s="260"/>
      <c r="C540" s="19"/>
      <c r="D540" s="34"/>
      <c r="E540" s="13">
        <v>45173</v>
      </c>
      <c r="F540" s="355">
        <v>1958702588</v>
      </c>
      <c r="G540" s="261" t="s">
        <v>8001</v>
      </c>
      <c r="H540" s="8">
        <v>500000</v>
      </c>
      <c r="J540" s="324"/>
    </row>
    <row r="541" spans="1:10" s="18" customFormat="1" ht="15.75" x14ac:dyDescent="0.25">
      <c r="A541" s="259"/>
      <c r="B541" s="260"/>
      <c r="C541" s="19"/>
      <c r="D541" s="34"/>
      <c r="E541" s="13">
        <v>45173</v>
      </c>
      <c r="F541" s="355">
        <v>1958702589</v>
      </c>
      <c r="G541" s="261" t="s">
        <v>8001</v>
      </c>
      <c r="H541" s="8">
        <v>500000</v>
      </c>
      <c r="J541" s="324"/>
    </row>
    <row r="542" spans="1:10" s="18" customFormat="1" ht="15.75" x14ac:dyDescent="0.25">
      <c r="A542" s="259"/>
      <c r="B542" s="260"/>
      <c r="C542" s="19"/>
      <c r="D542" s="34"/>
      <c r="E542" s="13">
        <v>45174</v>
      </c>
      <c r="F542" s="355">
        <v>1958702590</v>
      </c>
      <c r="G542" s="261" t="s">
        <v>9947</v>
      </c>
      <c r="H542" s="8">
        <v>106000</v>
      </c>
      <c r="J542" s="324"/>
    </row>
    <row r="543" spans="1:10" s="18" customFormat="1" ht="15.75" x14ac:dyDescent="0.25">
      <c r="A543" s="259"/>
      <c r="B543" s="260"/>
      <c r="C543" s="19"/>
      <c r="D543" s="34"/>
      <c r="E543" s="13">
        <v>45176</v>
      </c>
      <c r="F543" s="355">
        <v>1958702591</v>
      </c>
      <c r="G543" s="261" t="s">
        <v>7994</v>
      </c>
      <c r="H543" s="8">
        <v>200000</v>
      </c>
      <c r="J543" s="324"/>
    </row>
    <row r="544" spans="1:10" s="18" customFormat="1" ht="15.75" x14ac:dyDescent="0.25">
      <c r="A544" s="259"/>
      <c r="B544" s="260"/>
      <c r="C544" s="19"/>
      <c r="D544" s="34"/>
      <c r="E544" s="13">
        <v>45176</v>
      </c>
      <c r="F544" s="355">
        <v>1958702592</v>
      </c>
      <c r="G544" s="261" t="s">
        <v>25</v>
      </c>
      <c r="H544" s="8">
        <v>180000</v>
      </c>
      <c r="J544" s="324"/>
    </row>
    <row r="545" spans="1:10" s="18" customFormat="1" ht="15.75" x14ac:dyDescent="0.25">
      <c r="A545" s="259"/>
      <c r="B545" s="260"/>
      <c r="C545" s="19"/>
      <c r="D545" s="34"/>
      <c r="E545" s="13">
        <v>45176</v>
      </c>
      <c r="F545" s="355">
        <v>1958702593</v>
      </c>
      <c r="G545" s="261" t="s">
        <v>9075</v>
      </c>
      <c r="H545" s="8">
        <v>50000</v>
      </c>
      <c r="J545" s="324"/>
    </row>
    <row r="546" spans="1:10" s="18" customFormat="1" ht="15.75" x14ac:dyDescent="0.25">
      <c r="A546" s="259"/>
      <c r="B546" s="260"/>
      <c r="C546" s="19"/>
      <c r="D546" s="34"/>
      <c r="E546" s="13">
        <v>45177</v>
      </c>
      <c r="F546" s="355">
        <v>1958702594</v>
      </c>
      <c r="G546" s="261" t="s">
        <v>25</v>
      </c>
      <c r="H546" s="8">
        <v>100000</v>
      </c>
      <c r="J546" s="324"/>
    </row>
    <row r="547" spans="1:10" s="18" customFormat="1" ht="15.75" x14ac:dyDescent="0.25">
      <c r="A547" s="259"/>
      <c r="B547" s="260"/>
      <c r="C547" s="19"/>
      <c r="D547" s="34"/>
      <c r="E547" s="13">
        <v>45181</v>
      </c>
      <c r="F547" s="355">
        <v>1958702595</v>
      </c>
      <c r="G547" s="261" t="s">
        <v>8128</v>
      </c>
      <c r="H547" s="8">
        <v>100000</v>
      </c>
      <c r="J547" s="324"/>
    </row>
    <row r="548" spans="1:10" s="18" customFormat="1" ht="15.75" x14ac:dyDescent="0.25">
      <c r="A548" s="259"/>
      <c r="B548" s="260"/>
      <c r="C548" s="19"/>
      <c r="D548" s="34"/>
      <c r="E548" s="13">
        <v>45181</v>
      </c>
      <c r="F548" s="355">
        <v>1958702596</v>
      </c>
      <c r="G548" s="261" t="s">
        <v>8128</v>
      </c>
      <c r="H548" s="8">
        <v>100000</v>
      </c>
      <c r="J548" s="324"/>
    </row>
    <row r="549" spans="1:10" s="18" customFormat="1" ht="15.75" x14ac:dyDescent="0.25">
      <c r="A549" s="259"/>
      <c r="B549" s="260"/>
      <c r="C549" s="19"/>
      <c r="D549" s="34"/>
      <c r="E549" s="13">
        <v>45182</v>
      </c>
      <c r="F549" s="355">
        <v>1958702597</v>
      </c>
      <c r="G549" s="261" t="s">
        <v>11889</v>
      </c>
      <c r="H549" s="8">
        <v>100000</v>
      </c>
      <c r="J549" s="324"/>
    </row>
    <row r="550" spans="1:10" s="18" customFormat="1" ht="15.75" x14ac:dyDescent="0.25">
      <c r="A550" s="259"/>
      <c r="B550" s="260"/>
      <c r="C550" s="19"/>
      <c r="D550" s="34"/>
      <c r="E550" s="13">
        <v>45201</v>
      </c>
      <c r="F550" s="355">
        <v>1958702598</v>
      </c>
      <c r="G550" s="261" t="s">
        <v>10607</v>
      </c>
      <c r="H550" s="8">
        <v>157794</v>
      </c>
      <c r="J550" s="324"/>
    </row>
    <row r="551" spans="1:10" s="18" customFormat="1" ht="15.75" x14ac:dyDescent="0.25">
      <c r="A551" s="259"/>
      <c r="B551" s="260"/>
      <c r="C551" s="19"/>
      <c r="D551" s="34"/>
      <c r="E551" s="13">
        <v>45205</v>
      </c>
      <c r="F551" s="355">
        <v>1958702599</v>
      </c>
      <c r="G551" s="261" t="s">
        <v>12383</v>
      </c>
      <c r="H551" s="8">
        <v>483000</v>
      </c>
      <c r="J551" s="324"/>
    </row>
    <row r="552" spans="1:10" s="18" customFormat="1" ht="15.75" x14ac:dyDescent="0.25">
      <c r="A552" s="259"/>
      <c r="B552" s="260"/>
      <c r="C552" s="19"/>
      <c r="D552" s="34"/>
      <c r="E552" s="13">
        <v>45205</v>
      </c>
      <c r="F552" s="355">
        <v>1958702600</v>
      </c>
      <c r="G552" s="261" t="s">
        <v>9947</v>
      </c>
      <c r="H552" s="8">
        <v>100000</v>
      </c>
      <c r="J552" s="324"/>
    </row>
    <row r="553" spans="1:10" s="18" customFormat="1" ht="15.75" x14ac:dyDescent="0.25">
      <c r="A553" s="259"/>
      <c r="B553" s="260"/>
      <c r="C553" s="19"/>
      <c r="D553" s="34"/>
      <c r="E553" s="13">
        <v>45208</v>
      </c>
      <c r="F553" s="355">
        <v>1958702601</v>
      </c>
      <c r="G553" s="261" t="s">
        <v>12003</v>
      </c>
      <c r="H553" s="8">
        <v>200000</v>
      </c>
      <c r="J553" s="324"/>
    </row>
    <row r="554" spans="1:10" s="18" customFormat="1" ht="15.75" x14ac:dyDescent="0.25">
      <c r="A554" s="259"/>
      <c r="B554" s="260"/>
      <c r="C554" s="19"/>
      <c r="D554" s="34"/>
      <c r="E554" s="13">
        <v>45208</v>
      </c>
      <c r="F554" s="355">
        <v>1958702602</v>
      </c>
      <c r="G554" s="261" t="s">
        <v>12003</v>
      </c>
      <c r="H554" s="8">
        <v>100000</v>
      </c>
      <c r="J554" s="324"/>
    </row>
    <row r="555" spans="1:10" s="18" customFormat="1" ht="15.75" x14ac:dyDescent="0.25">
      <c r="A555" s="259"/>
      <c r="B555" s="260"/>
      <c r="C555" s="19"/>
      <c r="D555" s="34"/>
      <c r="E555" s="13">
        <v>45210</v>
      </c>
      <c r="F555" s="355">
        <v>1958702603</v>
      </c>
      <c r="G555" s="261" t="s">
        <v>8003</v>
      </c>
      <c r="H555" s="8">
        <v>300000</v>
      </c>
      <c r="J555" s="324"/>
    </row>
    <row r="556" spans="1:10" s="18" customFormat="1" ht="15.75" x14ac:dyDescent="0.25">
      <c r="A556" s="259"/>
      <c r="B556" s="260"/>
      <c r="C556" s="19"/>
      <c r="D556" s="34"/>
      <c r="E556" s="13">
        <v>45210</v>
      </c>
      <c r="F556" s="355">
        <v>1958702604</v>
      </c>
      <c r="G556" s="261" t="s">
        <v>8003</v>
      </c>
      <c r="H556" s="8">
        <v>198000</v>
      </c>
      <c r="J556" s="324"/>
    </row>
    <row r="557" spans="1:10" s="18" customFormat="1" ht="15.75" x14ac:dyDescent="0.25">
      <c r="A557" s="259"/>
      <c r="B557" s="260"/>
      <c r="C557" s="19"/>
      <c r="D557" s="34"/>
      <c r="E557" s="13">
        <v>45210</v>
      </c>
      <c r="F557" s="355">
        <v>1958702605</v>
      </c>
      <c r="G557" s="261" t="s">
        <v>8003</v>
      </c>
      <c r="H557" s="8">
        <v>200000</v>
      </c>
      <c r="J557" s="324"/>
    </row>
    <row r="558" spans="1:10" s="18" customFormat="1" ht="15.75" x14ac:dyDescent="0.25">
      <c r="A558" s="259"/>
      <c r="B558" s="260"/>
      <c r="C558" s="19"/>
      <c r="D558" s="34"/>
      <c r="E558" s="13">
        <v>45210</v>
      </c>
      <c r="F558" s="355">
        <v>1958702606</v>
      </c>
      <c r="G558" s="261" t="s">
        <v>5328</v>
      </c>
      <c r="H558" s="8">
        <v>192000</v>
      </c>
      <c r="J558" s="324"/>
    </row>
    <row r="559" spans="1:10" s="18" customFormat="1" ht="15.75" x14ac:dyDescent="0.25">
      <c r="A559" s="259"/>
      <c r="B559" s="260"/>
      <c r="C559" s="19"/>
      <c r="D559" s="34"/>
      <c r="E559" s="13">
        <v>45210</v>
      </c>
      <c r="F559" s="355">
        <v>1958702607</v>
      </c>
      <c r="G559" s="261" t="s">
        <v>9947</v>
      </c>
      <c r="H559" s="8">
        <v>152000</v>
      </c>
      <c r="J559" s="324"/>
    </row>
    <row r="560" spans="1:10" s="18" customFormat="1" ht="15.75" x14ac:dyDescent="0.25">
      <c r="A560" s="259"/>
      <c r="B560" s="260"/>
      <c r="C560" s="19"/>
      <c r="D560" s="34"/>
      <c r="E560" s="13">
        <v>45217</v>
      </c>
      <c r="F560" s="355">
        <v>1958702608</v>
      </c>
      <c r="G560" s="261" t="s">
        <v>10442</v>
      </c>
      <c r="H560" s="8">
        <v>200000</v>
      </c>
      <c r="J560" s="324"/>
    </row>
    <row r="561" spans="1:10" s="18" customFormat="1" ht="15.75" x14ac:dyDescent="0.25">
      <c r="A561" s="259"/>
      <c r="B561" s="260"/>
      <c r="C561" s="19"/>
      <c r="D561" s="34"/>
      <c r="E561" s="13">
        <v>45217</v>
      </c>
      <c r="F561" s="355">
        <v>1958702609</v>
      </c>
      <c r="G561" s="261" t="s">
        <v>12482</v>
      </c>
      <c r="H561" s="8">
        <v>1500000</v>
      </c>
      <c r="J561" s="324"/>
    </row>
    <row r="562" spans="1:10" s="18" customFormat="1" ht="15.75" x14ac:dyDescent="0.25">
      <c r="A562" s="259"/>
      <c r="B562" s="260"/>
      <c r="C562" s="19"/>
      <c r="D562" s="34"/>
      <c r="E562" s="13">
        <v>45217</v>
      </c>
      <c r="F562" s="355">
        <v>1958702610</v>
      </c>
      <c r="G562" s="261" t="s">
        <v>8261</v>
      </c>
      <c r="H562" s="8">
        <v>500000</v>
      </c>
      <c r="J562" s="324"/>
    </row>
    <row r="563" spans="1:10" s="18" customFormat="1" ht="15.75" x14ac:dyDescent="0.25">
      <c r="A563" s="259"/>
      <c r="B563" s="260"/>
      <c r="C563" s="19"/>
      <c r="D563" s="34"/>
      <c r="E563" s="13">
        <v>45217</v>
      </c>
      <c r="F563" s="355">
        <v>1958702611</v>
      </c>
      <c r="G563" s="261" t="s">
        <v>12453</v>
      </c>
      <c r="H563" s="8">
        <v>130000</v>
      </c>
      <c r="J563" s="324"/>
    </row>
    <row r="564" spans="1:10" s="18" customFormat="1" ht="15.75" x14ac:dyDescent="0.25">
      <c r="A564" s="259"/>
      <c r="B564" s="260"/>
      <c r="C564" s="19"/>
      <c r="D564" s="34"/>
      <c r="E564" s="13">
        <v>45217</v>
      </c>
      <c r="F564" s="355">
        <v>1958702612</v>
      </c>
      <c r="G564" s="261" t="s">
        <v>12484</v>
      </c>
      <c r="H564" s="8">
        <v>100000</v>
      </c>
      <c r="J564" s="324"/>
    </row>
    <row r="565" spans="1:10" s="18" customFormat="1" ht="15.75" x14ac:dyDescent="0.25">
      <c r="A565" s="259"/>
      <c r="B565" s="260"/>
      <c r="C565" s="19"/>
      <c r="D565" s="34"/>
      <c r="E565" s="13">
        <v>45217</v>
      </c>
      <c r="F565" s="355">
        <v>1958702613</v>
      </c>
      <c r="G565" s="261" t="s">
        <v>9075</v>
      </c>
      <c r="H565" s="8">
        <v>200000</v>
      </c>
      <c r="J565" s="324"/>
    </row>
    <row r="566" spans="1:10" s="18" customFormat="1" ht="15.75" x14ac:dyDescent="0.25">
      <c r="A566" s="259"/>
      <c r="B566" s="260"/>
      <c r="C566" s="19"/>
      <c r="D566" s="34"/>
      <c r="E566" s="13">
        <v>45224</v>
      </c>
      <c r="F566" s="355">
        <v>1958702614</v>
      </c>
      <c r="G566" s="261" t="s">
        <v>12517</v>
      </c>
      <c r="H566" s="8">
        <v>39000</v>
      </c>
      <c r="J566" s="324"/>
    </row>
    <row r="567" spans="1:10" s="18" customFormat="1" ht="15.75" x14ac:dyDescent="0.25">
      <c r="A567" s="259"/>
      <c r="B567" s="260"/>
      <c r="C567" s="19"/>
      <c r="D567" s="34"/>
      <c r="E567" s="13">
        <v>45225</v>
      </c>
      <c r="F567" s="355">
        <v>1958702615</v>
      </c>
      <c r="G567" s="261" t="s">
        <v>5328</v>
      </c>
      <c r="H567" s="8">
        <v>300000</v>
      </c>
      <c r="J567" s="324"/>
    </row>
    <row r="568" spans="1:10" s="18" customFormat="1" ht="15.75" x14ac:dyDescent="0.25">
      <c r="A568" s="259"/>
      <c r="B568" s="260"/>
      <c r="C568" s="19"/>
      <c r="D568" s="34"/>
      <c r="E568" s="13">
        <v>45225</v>
      </c>
      <c r="F568" s="355">
        <v>1958702616</v>
      </c>
      <c r="G568" s="261" t="s">
        <v>12518</v>
      </c>
      <c r="H568" s="8">
        <v>140000</v>
      </c>
      <c r="J568" s="324"/>
    </row>
    <row r="569" spans="1:10" s="18" customFormat="1" ht="15.75" x14ac:dyDescent="0.25">
      <c r="A569" s="259"/>
      <c r="B569" s="260"/>
      <c r="C569" s="19"/>
      <c r="D569" s="34"/>
      <c r="E569" s="13">
        <v>45227</v>
      </c>
      <c r="F569" s="355">
        <v>1958702617</v>
      </c>
      <c r="G569" s="261" t="s">
        <v>5328</v>
      </c>
      <c r="H569" s="8">
        <v>150000</v>
      </c>
      <c r="J569" s="324"/>
    </row>
    <row r="570" spans="1:10" s="18" customFormat="1" ht="15.75" x14ac:dyDescent="0.25">
      <c r="A570" s="259"/>
      <c r="B570" s="260"/>
      <c r="C570" s="19"/>
      <c r="D570" s="34"/>
      <c r="E570" s="13">
        <v>45227</v>
      </c>
      <c r="F570" s="355">
        <v>1958702618</v>
      </c>
      <c r="G570" s="261" t="s">
        <v>8641</v>
      </c>
      <c r="H570" s="8">
        <v>200000</v>
      </c>
      <c r="J570" s="324"/>
    </row>
    <row r="571" spans="1:10" s="18" customFormat="1" ht="15.75" x14ac:dyDescent="0.25">
      <c r="A571" s="259"/>
      <c r="B571" s="260"/>
      <c r="C571" s="19"/>
      <c r="D571" s="34"/>
      <c r="E571" s="13">
        <v>45227</v>
      </c>
      <c r="F571" s="355">
        <v>1958702619</v>
      </c>
      <c r="G571" s="261" t="s">
        <v>12543</v>
      </c>
      <c r="H571" s="8">
        <v>118301</v>
      </c>
      <c r="J571" s="324"/>
    </row>
    <row r="572" spans="1:10" s="18" customFormat="1" ht="15.75" x14ac:dyDescent="0.25">
      <c r="A572" s="259"/>
      <c r="B572" s="260"/>
      <c r="C572" s="19"/>
      <c r="D572" s="34"/>
      <c r="E572" s="13">
        <v>45227</v>
      </c>
      <c r="F572" s="355">
        <v>1958702620</v>
      </c>
      <c r="G572" s="261" t="s">
        <v>12556</v>
      </c>
      <c r="H572" s="8">
        <v>100000</v>
      </c>
      <c r="J572" s="324"/>
    </row>
    <row r="573" spans="1:10" s="18" customFormat="1" ht="15.75" x14ac:dyDescent="0.25">
      <c r="A573" s="259"/>
      <c r="B573" s="260"/>
      <c r="C573" s="19"/>
      <c r="D573" s="34"/>
      <c r="E573" s="13">
        <v>45230</v>
      </c>
      <c r="F573" s="355">
        <v>1958702621</v>
      </c>
      <c r="G573" s="261" t="s">
        <v>25</v>
      </c>
      <c r="H573" s="8">
        <v>200000</v>
      </c>
      <c r="J573" s="324"/>
    </row>
    <row r="574" spans="1:10" s="18" customFormat="1" ht="15.75" x14ac:dyDescent="0.25">
      <c r="A574" s="259"/>
      <c r="B574" s="260"/>
      <c r="C574" s="19"/>
      <c r="D574" s="34"/>
      <c r="E574" s="13">
        <v>45230</v>
      </c>
      <c r="F574" s="355">
        <v>1958702622</v>
      </c>
      <c r="G574" s="261" t="s">
        <v>12557</v>
      </c>
      <c r="H574" s="8">
        <v>300000</v>
      </c>
      <c r="J574" s="324"/>
    </row>
    <row r="575" spans="1:10" s="18" customFormat="1" ht="15.75" x14ac:dyDescent="0.25">
      <c r="A575" s="259"/>
      <c r="B575" s="260"/>
      <c r="C575" s="19"/>
      <c r="D575" s="34"/>
      <c r="E575" s="13">
        <v>45231</v>
      </c>
      <c r="F575" s="355">
        <v>1958702623</v>
      </c>
      <c r="G575" s="261" t="s">
        <v>8264</v>
      </c>
      <c r="H575" s="8">
        <v>350000</v>
      </c>
      <c r="J575" s="324"/>
    </row>
    <row r="576" spans="1:10" s="18" customFormat="1" ht="15.75" x14ac:dyDescent="0.25">
      <c r="A576" s="259"/>
      <c r="B576" s="260"/>
      <c r="C576" s="19"/>
      <c r="D576" s="34"/>
      <c r="E576" s="13">
        <v>45231</v>
      </c>
      <c r="F576" s="355">
        <v>1958702624</v>
      </c>
      <c r="G576" s="261" t="s">
        <v>8264</v>
      </c>
      <c r="H576" s="8">
        <v>350000</v>
      </c>
      <c r="J576" s="324"/>
    </row>
    <row r="577" spans="1:10" s="18" customFormat="1" ht="15.75" x14ac:dyDescent="0.25">
      <c r="A577" s="259"/>
      <c r="B577" s="260"/>
      <c r="C577" s="19"/>
      <c r="D577" s="34"/>
      <c r="E577" s="13">
        <v>45231</v>
      </c>
      <c r="F577" s="355">
        <v>1968625795</v>
      </c>
      <c r="G577" s="261" t="s">
        <v>2219</v>
      </c>
      <c r="H577" s="395"/>
      <c r="I577" s="18" t="s">
        <v>9432</v>
      </c>
      <c r="J577" s="324"/>
    </row>
    <row r="578" spans="1:10" s="18" customFormat="1" ht="15.75" x14ac:dyDescent="0.25">
      <c r="A578" s="259"/>
      <c r="B578" s="260"/>
      <c r="C578" s="19"/>
      <c r="D578" s="34"/>
      <c r="E578" s="13">
        <v>45233</v>
      </c>
      <c r="F578" s="355">
        <v>1968625796</v>
      </c>
      <c r="G578" s="261" t="s">
        <v>8264</v>
      </c>
      <c r="H578" s="8">
        <v>350000</v>
      </c>
      <c r="J578" s="324"/>
    </row>
    <row r="579" spans="1:10" s="18" customFormat="1" ht="15.75" x14ac:dyDescent="0.25">
      <c r="A579" s="259"/>
      <c r="B579" s="260"/>
      <c r="C579" s="19"/>
      <c r="D579" s="34"/>
      <c r="E579" s="13">
        <v>45233</v>
      </c>
      <c r="F579" s="355">
        <v>1968625797</v>
      </c>
      <c r="G579" s="261" t="s">
        <v>8264</v>
      </c>
      <c r="H579" s="8">
        <v>350000</v>
      </c>
      <c r="J579" s="324"/>
    </row>
    <row r="580" spans="1:10" s="18" customFormat="1" ht="15.75" x14ac:dyDescent="0.25">
      <c r="A580" s="259"/>
      <c r="B580" s="260"/>
      <c r="C580" s="19"/>
      <c r="D580" s="34"/>
      <c r="E580" s="13">
        <v>45233</v>
      </c>
      <c r="F580" s="355">
        <v>1968625798</v>
      </c>
      <c r="G580" s="261" t="s">
        <v>25</v>
      </c>
      <c r="H580" s="8">
        <v>500000</v>
      </c>
      <c r="J580" s="324"/>
    </row>
    <row r="581" spans="1:10" s="18" customFormat="1" ht="15.75" x14ac:dyDescent="0.25">
      <c r="A581" s="259"/>
      <c r="B581" s="260"/>
      <c r="C581" s="19"/>
      <c r="D581" s="34"/>
      <c r="E581" s="13">
        <v>45233</v>
      </c>
      <c r="F581" s="355">
        <v>1968625799</v>
      </c>
      <c r="G581" s="261" t="s">
        <v>25</v>
      </c>
      <c r="H581" s="8">
        <v>500000</v>
      </c>
      <c r="J581" s="324"/>
    </row>
    <row r="582" spans="1:10" s="18" customFormat="1" ht="15.75" x14ac:dyDescent="0.25">
      <c r="A582" s="259"/>
      <c r="B582" s="260"/>
      <c r="C582" s="19"/>
      <c r="D582" s="34"/>
      <c r="E582" s="13">
        <v>45233</v>
      </c>
      <c r="F582" s="355">
        <v>1968625800</v>
      </c>
      <c r="G582" s="261" t="s">
        <v>9647</v>
      </c>
      <c r="H582" s="8">
        <v>35000</v>
      </c>
      <c r="J582" s="324"/>
    </row>
    <row r="583" spans="1:10" s="18" customFormat="1" ht="15.75" x14ac:dyDescent="0.25">
      <c r="A583" s="13">
        <v>45055</v>
      </c>
      <c r="B583" s="260" t="s">
        <v>11122</v>
      </c>
      <c r="C583" s="19">
        <v>310329</v>
      </c>
      <c r="D583" s="34"/>
      <c r="E583" s="13">
        <v>45233</v>
      </c>
      <c r="F583" s="355">
        <v>1968625801</v>
      </c>
      <c r="G583" s="261" t="s">
        <v>9947</v>
      </c>
      <c r="H583" s="8">
        <v>255000</v>
      </c>
      <c r="J583" s="324"/>
    </row>
    <row r="584" spans="1:10" s="18" customFormat="1" ht="15.75" x14ac:dyDescent="0.25">
      <c r="A584" s="13">
        <v>45058</v>
      </c>
      <c r="B584" s="260" t="s">
        <v>11662</v>
      </c>
      <c r="C584" s="19">
        <v>188568</v>
      </c>
      <c r="D584" s="34"/>
      <c r="E584" s="13">
        <v>45233</v>
      </c>
      <c r="F584" s="355">
        <v>1968625802</v>
      </c>
      <c r="G584" s="261" t="s">
        <v>12585</v>
      </c>
      <c r="H584" s="8">
        <v>400000</v>
      </c>
      <c r="J584" s="324"/>
    </row>
    <row r="585" spans="1:10" s="18" customFormat="1" ht="15.75" x14ac:dyDescent="0.25">
      <c r="A585" s="13">
        <v>45068</v>
      </c>
      <c r="B585" s="260" t="s">
        <v>11224</v>
      </c>
      <c r="C585" s="19">
        <v>337081</v>
      </c>
      <c r="D585" s="34"/>
      <c r="E585" s="13">
        <v>45233</v>
      </c>
      <c r="F585" s="355">
        <v>1968625803</v>
      </c>
      <c r="G585" s="261" t="s">
        <v>12585</v>
      </c>
      <c r="H585" s="8">
        <v>485000</v>
      </c>
      <c r="J585" s="324"/>
    </row>
    <row r="586" spans="1:10" s="18" customFormat="1" ht="15.75" x14ac:dyDescent="0.25">
      <c r="A586" s="13">
        <v>45089</v>
      </c>
      <c r="B586" s="260" t="s">
        <v>11411</v>
      </c>
      <c r="C586" s="19">
        <v>337081</v>
      </c>
      <c r="D586" s="34"/>
      <c r="E586" s="13">
        <v>45236</v>
      </c>
      <c r="F586" s="355">
        <v>1968625804</v>
      </c>
      <c r="G586" s="261" t="s">
        <v>25</v>
      </c>
      <c r="H586" s="8">
        <v>500000</v>
      </c>
      <c r="J586" s="324"/>
    </row>
    <row r="587" spans="1:10" s="18" customFormat="1" ht="15.75" x14ac:dyDescent="0.25">
      <c r="A587" s="13">
        <v>45089</v>
      </c>
      <c r="B587" s="260" t="s">
        <v>11663</v>
      </c>
      <c r="C587" s="19">
        <v>188568</v>
      </c>
      <c r="D587" s="34"/>
      <c r="E587" s="13">
        <v>45236</v>
      </c>
      <c r="F587" s="355">
        <v>1968625805</v>
      </c>
      <c r="G587" s="261" t="s">
        <v>12003</v>
      </c>
      <c r="H587" s="8">
        <v>225000</v>
      </c>
      <c r="J587" s="324"/>
    </row>
    <row r="588" spans="1:10" s="18" customFormat="1" ht="15.75" x14ac:dyDescent="0.25">
      <c r="A588" s="13">
        <v>45097</v>
      </c>
      <c r="B588" s="260" t="s">
        <v>11480</v>
      </c>
      <c r="C588" s="19">
        <v>4630960.1100000003</v>
      </c>
      <c r="D588" s="34"/>
      <c r="E588" s="13">
        <v>45236</v>
      </c>
      <c r="F588" s="355">
        <v>1968625806</v>
      </c>
      <c r="G588" s="261" t="s">
        <v>12661</v>
      </c>
      <c r="H588" s="8">
        <v>350000</v>
      </c>
      <c r="J588" s="324"/>
    </row>
    <row r="589" spans="1:10" s="18" customFormat="1" ht="15.75" x14ac:dyDescent="0.25">
      <c r="A589" s="13">
        <v>45097</v>
      </c>
      <c r="B589" s="260" t="s">
        <v>11481</v>
      </c>
      <c r="C589" s="19">
        <v>468596.31</v>
      </c>
      <c r="D589" s="34"/>
      <c r="E589" s="13">
        <v>45236</v>
      </c>
      <c r="F589" s="355">
        <v>1968625807</v>
      </c>
      <c r="G589" s="261" t="s">
        <v>12661</v>
      </c>
      <c r="H589" s="8">
        <v>350000</v>
      </c>
      <c r="J589" s="324"/>
    </row>
    <row r="590" spans="1:10" s="18" customFormat="1" ht="15.75" x14ac:dyDescent="0.25">
      <c r="A590" s="13">
        <v>45101</v>
      </c>
      <c r="B590" s="260" t="s">
        <v>11522</v>
      </c>
      <c r="C590" s="19">
        <v>363834</v>
      </c>
      <c r="D590" s="34"/>
      <c r="E590" s="13">
        <v>45236</v>
      </c>
      <c r="F590" s="355">
        <v>1968625808</v>
      </c>
      <c r="G590" s="261" t="s">
        <v>25</v>
      </c>
      <c r="H590" s="8">
        <v>300000</v>
      </c>
      <c r="J590" s="324"/>
    </row>
    <row r="591" spans="1:10" s="18" customFormat="1" ht="15.75" x14ac:dyDescent="0.25">
      <c r="A591" s="13">
        <v>45104</v>
      </c>
      <c r="B591" s="260" t="s">
        <v>11560</v>
      </c>
      <c r="C591" s="19">
        <v>3172324</v>
      </c>
      <c r="D591" s="34"/>
      <c r="E591" s="13">
        <v>45237</v>
      </c>
      <c r="F591" s="355">
        <v>1968625809</v>
      </c>
      <c r="G591" s="261" t="s">
        <v>25</v>
      </c>
      <c r="H591" s="8">
        <v>100000</v>
      </c>
      <c r="J591" s="324"/>
    </row>
    <row r="592" spans="1:10" s="18" customFormat="1" ht="15.75" x14ac:dyDescent="0.25">
      <c r="A592" s="13">
        <v>45118</v>
      </c>
      <c r="B592" s="260" t="s">
        <v>11643</v>
      </c>
      <c r="C592" s="19">
        <v>359992</v>
      </c>
      <c r="D592" s="34"/>
      <c r="E592" s="13">
        <v>45243</v>
      </c>
      <c r="F592" s="355">
        <v>1968625810</v>
      </c>
      <c r="G592" s="261" t="s">
        <v>12673</v>
      </c>
      <c r="H592" s="8">
        <v>300000</v>
      </c>
      <c r="J592" s="324"/>
    </row>
    <row r="593" spans="1:10" s="18" customFormat="1" ht="15.75" x14ac:dyDescent="0.25">
      <c r="A593" s="13">
        <v>45119</v>
      </c>
      <c r="B593" s="260" t="s">
        <v>11664</v>
      </c>
      <c r="C593" s="19">
        <v>188568</v>
      </c>
      <c r="D593" s="34"/>
      <c r="E593" s="13">
        <v>45243</v>
      </c>
      <c r="F593" s="355">
        <v>1968625811</v>
      </c>
      <c r="G593" s="261" t="s">
        <v>11785</v>
      </c>
      <c r="H593" s="8">
        <v>100000</v>
      </c>
      <c r="J593" s="324"/>
    </row>
    <row r="594" spans="1:10" s="18" customFormat="1" ht="15.75" x14ac:dyDescent="0.25">
      <c r="A594" s="13">
        <v>45120</v>
      </c>
      <c r="B594" s="260" t="s">
        <v>11690</v>
      </c>
      <c r="C594" s="19">
        <v>337081</v>
      </c>
      <c r="D594" s="34"/>
      <c r="E594" s="13">
        <v>45243</v>
      </c>
      <c r="F594" s="355">
        <v>1968625812</v>
      </c>
      <c r="G594" s="261" t="s">
        <v>25</v>
      </c>
      <c r="H594" s="8">
        <v>300000</v>
      </c>
      <c r="J594" s="324"/>
    </row>
    <row r="595" spans="1:10" s="18" customFormat="1" ht="15.75" x14ac:dyDescent="0.25">
      <c r="A595" s="13">
        <v>45149</v>
      </c>
      <c r="B595" s="260" t="s">
        <v>11920</v>
      </c>
      <c r="C595" s="19">
        <v>10150085</v>
      </c>
      <c r="D595" s="34"/>
      <c r="E595" s="13">
        <v>45243</v>
      </c>
      <c r="F595" s="355">
        <v>1968625813</v>
      </c>
      <c r="G595" s="261" t="s">
        <v>10760</v>
      </c>
      <c r="H595" s="8">
        <v>200000</v>
      </c>
      <c r="J595" s="324"/>
    </row>
    <row r="596" spans="1:10" s="18" customFormat="1" ht="15.75" x14ac:dyDescent="0.25">
      <c r="A596" s="13">
        <v>45149</v>
      </c>
      <c r="B596" s="260" t="s">
        <v>11925</v>
      </c>
      <c r="C596" s="19">
        <v>333522</v>
      </c>
      <c r="D596" s="34"/>
      <c r="E596" s="13">
        <v>45243</v>
      </c>
      <c r="F596" s="355">
        <v>1968625814</v>
      </c>
      <c r="G596" s="261" t="s">
        <v>3554</v>
      </c>
      <c r="H596" s="8">
        <v>100000</v>
      </c>
      <c r="J596" s="324"/>
    </row>
    <row r="597" spans="1:10" s="18" customFormat="1" ht="15.75" x14ac:dyDescent="0.25">
      <c r="A597" s="13">
        <v>45149</v>
      </c>
      <c r="B597" s="260" t="s">
        <v>11927</v>
      </c>
      <c r="C597" s="19">
        <v>359992</v>
      </c>
      <c r="D597" s="34"/>
      <c r="E597" s="13">
        <v>45243</v>
      </c>
      <c r="F597" s="355">
        <v>1968625815</v>
      </c>
      <c r="G597" s="261" t="s">
        <v>12674</v>
      </c>
      <c r="H597" s="8">
        <v>300000</v>
      </c>
      <c r="J597" s="324"/>
    </row>
    <row r="598" spans="1:10" s="18" customFormat="1" ht="15.75" x14ac:dyDescent="0.25">
      <c r="A598" s="13">
        <v>45178</v>
      </c>
      <c r="B598" s="260" t="s">
        <v>12155</v>
      </c>
      <c r="C598" s="19">
        <v>359992</v>
      </c>
      <c r="D598" s="34"/>
      <c r="E598" s="13">
        <v>45244</v>
      </c>
      <c r="F598" s="355">
        <v>1968625816</v>
      </c>
      <c r="G598" s="261" t="s">
        <v>12661</v>
      </c>
      <c r="H598" s="8">
        <v>350000</v>
      </c>
      <c r="J598" s="324"/>
    </row>
    <row r="599" spans="1:10" s="18" customFormat="1" ht="15.75" x14ac:dyDescent="0.25">
      <c r="A599" s="13">
        <v>45191</v>
      </c>
      <c r="B599" s="260" t="s">
        <v>12254</v>
      </c>
      <c r="C599" s="19">
        <v>333522</v>
      </c>
      <c r="D599" s="34"/>
      <c r="E599" s="13">
        <v>45244</v>
      </c>
      <c r="F599" s="355">
        <v>1968625817</v>
      </c>
      <c r="G599" s="261" t="s">
        <v>12661</v>
      </c>
      <c r="H599" s="8">
        <v>350000</v>
      </c>
      <c r="J599" s="324"/>
    </row>
    <row r="600" spans="1:10" s="18" customFormat="1" ht="15.75" x14ac:dyDescent="0.25">
      <c r="A600" s="13">
        <v>45208</v>
      </c>
      <c r="B600" s="260" t="s">
        <v>12387</v>
      </c>
      <c r="C600" s="19">
        <v>333522</v>
      </c>
      <c r="D600" s="34"/>
      <c r="E600" s="13">
        <v>45244</v>
      </c>
      <c r="F600" s="355">
        <v>1968625818</v>
      </c>
      <c r="G600" s="261" t="s">
        <v>12755</v>
      </c>
      <c r="H600" s="8">
        <v>500000</v>
      </c>
      <c r="J600" s="324"/>
    </row>
    <row r="601" spans="1:10" s="18" customFormat="1" ht="15.75" x14ac:dyDescent="0.25">
      <c r="A601" s="13">
        <v>45209</v>
      </c>
      <c r="B601" s="260" t="s">
        <v>12401</v>
      </c>
      <c r="C601" s="19">
        <v>3144567</v>
      </c>
      <c r="D601" s="34"/>
      <c r="E601" s="13">
        <v>45244</v>
      </c>
      <c r="F601" s="355">
        <v>1968625819</v>
      </c>
      <c r="G601" s="261" t="s">
        <v>12755</v>
      </c>
      <c r="H601" s="8">
        <v>500000</v>
      </c>
      <c r="J601" s="324"/>
    </row>
    <row r="602" spans="1:10" s="18" customFormat="1" ht="15.75" x14ac:dyDescent="0.25">
      <c r="A602" s="13">
        <v>45216</v>
      </c>
      <c r="B602" s="260" t="s">
        <v>12451</v>
      </c>
      <c r="C602" s="19">
        <v>359992</v>
      </c>
      <c r="D602" s="34"/>
      <c r="E602" s="13">
        <v>45244</v>
      </c>
      <c r="F602" s="355">
        <v>1968625820</v>
      </c>
      <c r="G602" s="261" t="s">
        <v>12755</v>
      </c>
      <c r="H602" s="8">
        <v>500000</v>
      </c>
      <c r="J602" s="324"/>
    </row>
    <row r="603" spans="1:10" s="18" customFormat="1" ht="15.75" x14ac:dyDescent="0.25">
      <c r="A603" s="13">
        <v>45216</v>
      </c>
      <c r="B603" s="260" t="s">
        <v>12452</v>
      </c>
      <c r="C603" s="19">
        <v>8710033</v>
      </c>
      <c r="D603" s="34"/>
      <c r="E603" s="13">
        <v>45244</v>
      </c>
      <c r="F603" s="355">
        <v>1968625821</v>
      </c>
      <c r="G603" s="261" t="s">
        <v>12756</v>
      </c>
      <c r="H603" s="8">
        <v>5106241</v>
      </c>
      <c r="I603" s="18" t="s">
        <v>12761</v>
      </c>
      <c r="J603" s="324"/>
    </row>
    <row r="604" spans="1:10" s="18" customFormat="1" ht="15.75" x14ac:dyDescent="0.25">
      <c r="A604" s="13">
        <v>45225</v>
      </c>
      <c r="B604" s="260" t="s">
        <v>12520</v>
      </c>
      <c r="C604" s="19">
        <v>16172173</v>
      </c>
      <c r="D604" s="34"/>
      <c r="E604" s="13">
        <v>45244</v>
      </c>
      <c r="F604" s="355">
        <v>1968625822</v>
      </c>
      <c r="G604" s="261" t="s">
        <v>12756</v>
      </c>
      <c r="H604" s="8">
        <v>4806488</v>
      </c>
      <c r="I604" s="18" t="s">
        <v>12761</v>
      </c>
      <c r="J604" s="324"/>
    </row>
    <row r="605" spans="1:10" s="18" customFormat="1" ht="15.75" x14ac:dyDescent="0.25">
      <c r="A605" s="13">
        <v>45238</v>
      </c>
      <c r="B605" s="260" t="s">
        <v>12658</v>
      </c>
      <c r="C605" s="19">
        <v>186430</v>
      </c>
      <c r="D605" s="34"/>
      <c r="E605" s="13">
        <v>45244</v>
      </c>
      <c r="F605" s="355">
        <v>1968625823</v>
      </c>
      <c r="G605" s="261" t="s">
        <v>12757</v>
      </c>
      <c r="H605" s="8">
        <v>1987251</v>
      </c>
      <c r="J605" s="324"/>
    </row>
    <row r="606" spans="1:10" s="18" customFormat="1" ht="15.75" x14ac:dyDescent="0.25">
      <c r="A606" s="13">
        <v>45238</v>
      </c>
      <c r="B606" s="260" t="s">
        <v>12659</v>
      </c>
      <c r="C606" s="19">
        <v>186430</v>
      </c>
      <c r="D606" s="34"/>
      <c r="E606" s="13">
        <v>45244</v>
      </c>
      <c r="F606" s="355">
        <v>1968625824</v>
      </c>
      <c r="G606" s="261" t="s">
        <v>12758</v>
      </c>
      <c r="H606" s="8">
        <v>1500000</v>
      </c>
      <c r="J606" s="324"/>
    </row>
    <row r="607" spans="1:10" s="18" customFormat="1" ht="15.75" x14ac:dyDescent="0.25">
      <c r="A607" s="13">
        <v>45238</v>
      </c>
      <c r="B607" s="260" t="s">
        <v>12660</v>
      </c>
      <c r="C607" s="19">
        <v>186430</v>
      </c>
      <c r="D607" s="34"/>
      <c r="E607" s="13">
        <v>45246</v>
      </c>
      <c r="F607" s="355">
        <v>1968625825</v>
      </c>
      <c r="G607" s="261" t="s">
        <v>5243</v>
      </c>
      <c r="H607" s="8">
        <v>300000</v>
      </c>
      <c r="J607" s="324"/>
    </row>
    <row r="608" spans="1:10" s="18" customFormat="1" ht="15.75" x14ac:dyDescent="0.25">
      <c r="A608" s="13">
        <v>45241</v>
      </c>
      <c r="B608" s="260" t="s">
        <v>12657</v>
      </c>
      <c r="C608" s="19">
        <v>359992</v>
      </c>
      <c r="D608" s="34"/>
      <c r="E608" s="13">
        <v>45246</v>
      </c>
      <c r="F608" s="355">
        <v>1968625826</v>
      </c>
      <c r="G608" s="261" t="s">
        <v>5243</v>
      </c>
      <c r="H608" s="8">
        <v>197000</v>
      </c>
      <c r="J608" s="324"/>
    </row>
    <row r="609" spans="1:11" s="18" customFormat="1" ht="15.75" x14ac:dyDescent="0.25">
      <c r="A609" s="13">
        <v>45260</v>
      </c>
      <c r="B609" s="619" t="s">
        <v>12795</v>
      </c>
      <c r="C609" s="8">
        <v>333522</v>
      </c>
      <c r="D609" s="34"/>
      <c r="E609" s="13">
        <v>45246</v>
      </c>
      <c r="F609" s="355">
        <v>1968625827</v>
      </c>
      <c r="G609" s="261" t="s">
        <v>12661</v>
      </c>
      <c r="H609" s="8">
        <v>500000</v>
      </c>
      <c r="J609" s="324"/>
    </row>
    <row r="610" spans="1:11" s="18" customFormat="1" ht="15.75" x14ac:dyDescent="0.25">
      <c r="A610" s="13">
        <v>45272</v>
      </c>
      <c r="B610" s="260" t="s">
        <v>12859</v>
      </c>
      <c r="C610" s="19">
        <v>359992</v>
      </c>
      <c r="D610" s="34"/>
      <c r="E610" s="13">
        <v>45246</v>
      </c>
      <c r="F610" s="355">
        <v>1968625828</v>
      </c>
      <c r="G610" s="261" t="s">
        <v>12661</v>
      </c>
      <c r="H610" s="8">
        <v>500000</v>
      </c>
      <c r="J610" s="324"/>
    </row>
    <row r="611" spans="1:11" s="18" customFormat="1" ht="15.75" x14ac:dyDescent="0.25">
      <c r="A611" s="13">
        <v>45286</v>
      </c>
      <c r="B611" s="619" t="s">
        <v>12951</v>
      </c>
      <c r="C611" s="8">
        <v>333522</v>
      </c>
      <c r="D611" s="34"/>
      <c r="E611" s="13">
        <v>45246</v>
      </c>
      <c r="F611" s="355">
        <v>1968625829</v>
      </c>
      <c r="G611" s="261"/>
      <c r="H611" s="8"/>
      <c r="J611" s="324"/>
    </row>
    <row r="612" spans="1:11" s="18" customFormat="1" ht="15.75" x14ac:dyDescent="0.25">
      <c r="A612" s="13">
        <v>45287</v>
      </c>
      <c r="B612" s="260" t="s">
        <v>12974</v>
      </c>
      <c r="C612" s="19">
        <v>561910</v>
      </c>
      <c r="D612" s="34"/>
      <c r="E612" s="13">
        <v>45247</v>
      </c>
      <c r="F612" s="355">
        <v>1968625830</v>
      </c>
      <c r="G612" s="261" t="s">
        <v>8128</v>
      </c>
      <c r="H612" s="8">
        <v>58000</v>
      </c>
      <c r="J612" s="324"/>
    </row>
    <row r="613" spans="1:11" s="18" customFormat="1" ht="15.75" x14ac:dyDescent="0.25">
      <c r="A613" s="13">
        <v>45287</v>
      </c>
      <c r="B613" s="260" t="s">
        <v>12975</v>
      </c>
      <c r="C613" s="19">
        <v>112665</v>
      </c>
      <c r="D613" s="34"/>
      <c r="E613" s="13">
        <v>45247</v>
      </c>
      <c r="F613" s="355">
        <v>1968625831</v>
      </c>
      <c r="G613" s="261" t="s">
        <v>12759</v>
      </c>
      <c r="H613" s="8">
        <v>107000</v>
      </c>
      <c r="J613" s="324"/>
    </row>
    <row r="614" spans="1:11" s="18" customFormat="1" ht="15.75" x14ac:dyDescent="0.25">
      <c r="A614" s="13">
        <v>45289</v>
      </c>
      <c r="B614" s="260" t="s">
        <v>13062</v>
      </c>
      <c r="C614" s="19">
        <v>369964</v>
      </c>
      <c r="D614" s="34"/>
      <c r="E614" s="13">
        <v>45251</v>
      </c>
      <c r="F614" s="355">
        <v>1968625832</v>
      </c>
      <c r="G614" s="261" t="s">
        <v>9778</v>
      </c>
      <c r="H614" s="8">
        <v>200000</v>
      </c>
      <c r="J614" s="324"/>
    </row>
    <row r="615" spans="1:11" s="18" customFormat="1" ht="15.75" x14ac:dyDescent="0.25">
      <c r="A615" s="13">
        <v>45295</v>
      </c>
      <c r="B615" s="260" t="s">
        <v>13064</v>
      </c>
      <c r="C615" s="19">
        <v>7925552</v>
      </c>
      <c r="D615" s="34"/>
      <c r="E615" s="13">
        <v>45251</v>
      </c>
      <c r="F615" s="355">
        <v>1968625833</v>
      </c>
      <c r="G615" s="261" t="s">
        <v>9778</v>
      </c>
      <c r="H615" s="8">
        <v>150000</v>
      </c>
      <c r="J615" s="324"/>
    </row>
    <row r="616" spans="1:11" s="18" customFormat="1" ht="15.75" x14ac:dyDescent="0.25">
      <c r="A616" s="13">
        <v>45307</v>
      </c>
      <c r="B616" s="260" t="s">
        <v>10020</v>
      </c>
      <c r="C616" s="19">
        <v>1012687</v>
      </c>
      <c r="D616" s="34"/>
      <c r="E616" s="13">
        <v>45254</v>
      </c>
      <c r="F616" s="355">
        <v>1968625834</v>
      </c>
      <c r="G616" s="261" t="s">
        <v>11832</v>
      </c>
      <c r="H616" s="8">
        <v>120000</v>
      </c>
      <c r="J616" s="324"/>
    </row>
    <row r="617" spans="1:11" s="18" customFormat="1" ht="15.75" x14ac:dyDescent="0.25">
      <c r="A617" s="13">
        <v>45307</v>
      </c>
      <c r="B617" s="260" t="s">
        <v>10020</v>
      </c>
      <c r="C617" s="19">
        <v>467659</v>
      </c>
      <c r="D617" s="34"/>
      <c r="E617" s="13">
        <v>45254</v>
      </c>
      <c r="F617" s="355">
        <v>1968625835</v>
      </c>
      <c r="G617" s="261" t="s">
        <v>12791</v>
      </c>
      <c r="H617" s="8">
        <v>130000</v>
      </c>
      <c r="J617" s="324"/>
    </row>
    <row r="618" spans="1:11" s="18" customFormat="1" ht="15.75" x14ac:dyDescent="0.25">
      <c r="A618" s="13">
        <v>45307</v>
      </c>
      <c r="B618" s="260" t="s">
        <v>13210</v>
      </c>
      <c r="C618" s="19">
        <v>359992</v>
      </c>
      <c r="D618" s="34"/>
      <c r="E618" s="13">
        <v>45258</v>
      </c>
      <c r="F618" s="355">
        <v>1968625836</v>
      </c>
      <c r="G618" s="261" t="s">
        <v>11888</v>
      </c>
      <c r="H618" s="8">
        <v>40000</v>
      </c>
      <c r="J618" s="324"/>
    </row>
    <row r="619" spans="1:11" s="18" customFormat="1" ht="15.75" x14ac:dyDescent="0.25">
      <c r="A619" s="13">
        <v>45315</v>
      </c>
      <c r="B619" s="260" t="s">
        <v>10020</v>
      </c>
      <c r="C619" s="19">
        <v>1013457</v>
      </c>
      <c r="D619" s="34"/>
      <c r="E619" s="13">
        <v>45258</v>
      </c>
      <c r="F619" s="355">
        <v>1968625837</v>
      </c>
      <c r="G619" s="261" t="s">
        <v>12792</v>
      </c>
      <c r="H619" s="8">
        <v>98103</v>
      </c>
      <c r="J619" s="324"/>
    </row>
    <row r="620" spans="1:11" s="18" customFormat="1" ht="15.75" x14ac:dyDescent="0.25">
      <c r="A620" s="13">
        <v>45324</v>
      </c>
      <c r="B620" s="619" t="s">
        <v>13367</v>
      </c>
      <c r="C620" s="8">
        <v>246087</v>
      </c>
      <c r="D620" s="34"/>
      <c r="E620" s="13">
        <v>45258</v>
      </c>
      <c r="F620" s="355">
        <v>1968625838</v>
      </c>
      <c r="G620" s="261" t="s">
        <v>9552</v>
      </c>
      <c r="H620" s="630">
        <f>49000+39300+11700</f>
        <v>100000</v>
      </c>
      <c r="J620" s="324"/>
    </row>
    <row r="621" spans="1:11" s="18" customFormat="1" ht="15.75" x14ac:dyDescent="0.25">
      <c r="A621" s="13">
        <v>45324</v>
      </c>
      <c r="B621" s="260" t="s">
        <v>13368</v>
      </c>
      <c r="C621" s="19">
        <v>246087</v>
      </c>
      <c r="D621" s="34"/>
      <c r="E621" s="13">
        <v>45258</v>
      </c>
      <c r="F621" s="355">
        <v>1968625839</v>
      </c>
      <c r="G621" s="261" t="s">
        <v>11179</v>
      </c>
      <c r="H621" s="630">
        <v>100000</v>
      </c>
      <c r="J621" s="324"/>
      <c r="K621" s="324"/>
    </row>
    <row r="622" spans="1:11" s="18" customFormat="1" ht="15.75" x14ac:dyDescent="0.25">
      <c r="A622" s="13">
        <v>45324</v>
      </c>
      <c r="B622" s="260" t="s">
        <v>13369</v>
      </c>
      <c r="C622" s="19">
        <v>246087</v>
      </c>
      <c r="D622" s="34"/>
      <c r="E622" s="13">
        <v>45258</v>
      </c>
      <c r="F622" s="355">
        <v>1968625840</v>
      </c>
      <c r="G622" s="261" t="s">
        <v>9553</v>
      </c>
      <c r="H622" s="630">
        <v>100000</v>
      </c>
      <c r="J622" s="324"/>
      <c r="K622" s="324"/>
    </row>
    <row r="623" spans="1:11" s="18" customFormat="1" ht="15.75" x14ac:dyDescent="0.25">
      <c r="A623" s="13">
        <v>45324</v>
      </c>
      <c r="B623" s="260" t="s">
        <v>13370</v>
      </c>
      <c r="C623" s="19">
        <v>178973</v>
      </c>
      <c r="D623" s="34"/>
      <c r="E623" s="13">
        <v>45258</v>
      </c>
      <c r="F623" s="355">
        <v>1968625841</v>
      </c>
      <c r="G623" s="261" t="s">
        <v>9754</v>
      </c>
      <c r="H623" s="8">
        <v>80000</v>
      </c>
      <c r="J623" s="324"/>
    </row>
    <row r="624" spans="1:11" s="18" customFormat="1" ht="15.75" x14ac:dyDescent="0.25">
      <c r="A624" s="13">
        <v>45329</v>
      </c>
      <c r="B624" s="619" t="s">
        <v>13371</v>
      </c>
      <c r="C624" s="8">
        <v>677861</v>
      </c>
      <c r="D624" s="34"/>
      <c r="E624" s="13">
        <v>45264</v>
      </c>
      <c r="F624" s="355">
        <v>1968625842</v>
      </c>
      <c r="G624" s="261" t="s">
        <v>12673</v>
      </c>
      <c r="H624" s="8">
        <v>250000</v>
      </c>
      <c r="J624" s="324"/>
    </row>
    <row r="625" spans="1:10" s="18" customFormat="1" ht="15.75" x14ac:dyDescent="0.25">
      <c r="A625" s="13">
        <v>45332</v>
      </c>
      <c r="B625" s="619" t="s">
        <v>13366</v>
      </c>
      <c r="C625" s="8">
        <v>333522</v>
      </c>
      <c r="D625" s="34"/>
      <c r="E625" s="13">
        <v>45264</v>
      </c>
      <c r="F625" s="355">
        <v>1968625843</v>
      </c>
      <c r="G625" s="261" t="s">
        <v>12835</v>
      </c>
      <c r="H625" s="8">
        <v>500000</v>
      </c>
      <c r="J625" s="324"/>
    </row>
    <row r="626" spans="1:10" s="18" customFormat="1" ht="15.75" x14ac:dyDescent="0.25">
      <c r="A626" s="13">
        <v>45344</v>
      </c>
      <c r="B626" s="260" t="s">
        <v>13457</v>
      </c>
      <c r="C626" s="19">
        <v>246087</v>
      </c>
      <c r="D626" s="34"/>
      <c r="E626" s="13">
        <v>45268</v>
      </c>
      <c r="F626" s="355">
        <v>1968625844</v>
      </c>
      <c r="G626" s="261" t="s">
        <v>12871</v>
      </c>
      <c r="H626" s="8">
        <v>250000</v>
      </c>
      <c r="J626" s="324"/>
    </row>
    <row r="627" spans="1:10" s="18" customFormat="1" ht="15.75" x14ac:dyDescent="0.25">
      <c r="A627" s="13">
        <v>45336</v>
      </c>
      <c r="B627" s="260" t="s">
        <v>13492</v>
      </c>
      <c r="C627" s="19">
        <v>359992</v>
      </c>
      <c r="D627" s="34"/>
      <c r="E627" s="13">
        <v>45273</v>
      </c>
      <c r="F627" s="355">
        <v>1973738845</v>
      </c>
      <c r="G627" s="261" t="s">
        <v>2219</v>
      </c>
      <c r="H627" s="8">
        <v>83858</v>
      </c>
      <c r="I627" s="18" t="s">
        <v>9432</v>
      </c>
      <c r="J627" s="324"/>
    </row>
    <row r="628" spans="1:10" s="18" customFormat="1" ht="15.75" x14ac:dyDescent="0.25">
      <c r="A628" s="13">
        <v>45359</v>
      </c>
      <c r="B628" s="260" t="s">
        <v>13534</v>
      </c>
      <c r="C628" s="19">
        <v>8053923</v>
      </c>
      <c r="D628" s="34"/>
      <c r="E628" s="13">
        <v>45273</v>
      </c>
      <c r="F628" s="355">
        <v>1973738846</v>
      </c>
      <c r="G628" s="261" t="s">
        <v>12003</v>
      </c>
      <c r="H628" s="8">
        <v>150000</v>
      </c>
      <c r="J628" s="324"/>
    </row>
    <row r="629" spans="1:10" s="18" customFormat="1" ht="15.75" x14ac:dyDescent="0.25">
      <c r="A629" s="13">
        <v>45359</v>
      </c>
      <c r="B629" s="260" t="s">
        <v>13605</v>
      </c>
      <c r="C629" s="19">
        <v>359992</v>
      </c>
      <c r="D629" s="34"/>
      <c r="E629" s="13">
        <v>45273</v>
      </c>
      <c r="F629" s="355">
        <v>1973738847</v>
      </c>
      <c r="G629" s="261" t="s">
        <v>10760</v>
      </c>
      <c r="H629" s="8">
        <v>50000</v>
      </c>
      <c r="J629" s="324"/>
    </row>
    <row r="630" spans="1:10" s="18" customFormat="1" ht="15.75" x14ac:dyDescent="0.25">
      <c r="A630" s="13">
        <v>45381</v>
      </c>
      <c r="B630" s="260" t="s">
        <v>13608</v>
      </c>
      <c r="C630" s="19">
        <v>3840424</v>
      </c>
      <c r="D630" s="34"/>
      <c r="E630" s="13">
        <v>45273</v>
      </c>
      <c r="F630" s="355">
        <v>1973738848</v>
      </c>
      <c r="G630" s="261" t="s">
        <v>12673</v>
      </c>
      <c r="H630" s="8">
        <v>179000</v>
      </c>
      <c r="J630" s="324"/>
    </row>
    <row r="631" spans="1:10" s="18" customFormat="1" ht="15.75" x14ac:dyDescent="0.25">
      <c r="A631" s="13">
        <v>45387</v>
      </c>
      <c r="B631" s="260" t="s">
        <v>13658</v>
      </c>
      <c r="C631" s="19">
        <v>359992</v>
      </c>
      <c r="D631" s="34"/>
      <c r="E631" s="13">
        <v>45281</v>
      </c>
      <c r="F631" s="355">
        <v>1973738849</v>
      </c>
      <c r="G631" s="261" t="s">
        <v>12933</v>
      </c>
      <c r="H631" s="8">
        <v>700000</v>
      </c>
      <c r="J631" s="324"/>
    </row>
    <row r="632" spans="1:10" s="18" customFormat="1" ht="15.75" x14ac:dyDescent="0.25">
      <c r="A632" s="259"/>
      <c r="B632" s="260"/>
      <c r="C632" s="19"/>
      <c r="D632" s="34"/>
      <c r="E632" s="13">
        <v>45281</v>
      </c>
      <c r="F632" s="355">
        <v>1973738850</v>
      </c>
      <c r="G632" s="261" t="s">
        <v>12933</v>
      </c>
      <c r="H632" s="8">
        <v>700000</v>
      </c>
      <c r="J632" s="324"/>
    </row>
    <row r="633" spans="1:10" s="18" customFormat="1" ht="15.75" x14ac:dyDescent="0.25">
      <c r="A633" s="259"/>
      <c r="B633" s="260"/>
      <c r="C633" s="19"/>
      <c r="D633" s="34"/>
      <c r="E633" s="13">
        <v>45286</v>
      </c>
      <c r="F633" s="355">
        <v>1973738851</v>
      </c>
      <c r="G633" s="261" t="s">
        <v>5328</v>
      </c>
      <c r="H633" s="8">
        <v>150000</v>
      </c>
      <c r="J633" s="324"/>
    </row>
    <row r="634" spans="1:10" s="18" customFormat="1" ht="15.75" x14ac:dyDescent="0.25">
      <c r="A634" s="259"/>
      <c r="B634" s="260"/>
      <c r="C634" s="19"/>
      <c r="D634" s="34"/>
      <c r="E634" s="13">
        <v>45292</v>
      </c>
      <c r="F634" s="355">
        <v>1973738852</v>
      </c>
      <c r="G634" s="261" t="s">
        <v>10399</v>
      </c>
      <c r="H634" s="8">
        <v>153000</v>
      </c>
      <c r="J634" s="324"/>
    </row>
    <row r="635" spans="1:10" s="18" customFormat="1" ht="15.75" x14ac:dyDescent="0.25">
      <c r="A635" s="259"/>
      <c r="B635" s="260"/>
      <c r="C635" s="19"/>
      <c r="D635" s="34"/>
      <c r="E635" s="13">
        <v>45292</v>
      </c>
      <c r="F635" s="355">
        <v>1973738853</v>
      </c>
      <c r="G635" s="261" t="s">
        <v>10399</v>
      </c>
      <c r="H635" s="8">
        <v>150000</v>
      </c>
      <c r="J635" s="324"/>
    </row>
    <row r="636" spans="1:10" s="18" customFormat="1" ht="15.75" x14ac:dyDescent="0.25">
      <c r="A636" s="259"/>
      <c r="B636" s="260"/>
      <c r="C636" s="19"/>
      <c r="D636" s="34"/>
      <c r="E636" s="13">
        <v>45293</v>
      </c>
      <c r="F636" s="355">
        <v>1973738854</v>
      </c>
      <c r="G636" s="261" t="s">
        <v>8161</v>
      </c>
      <c r="H636" s="8">
        <v>242000</v>
      </c>
      <c r="J636" s="324"/>
    </row>
    <row r="637" spans="1:10" s="18" customFormat="1" ht="15.75" x14ac:dyDescent="0.25">
      <c r="A637" s="259"/>
      <c r="B637" s="260"/>
      <c r="C637" s="19"/>
      <c r="D637" s="34"/>
      <c r="E637" s="13">
        <v>45293</v>
      </c>
      <c r="F637" s="355">
        <v>1973738855</v>
      </c>
      <c r="G637" s="261" t="s">
        <v>13020</v>
      </c>
      <c r="H637" s="8">
        <v>110000</v>
      </c>
      <c r="J637" s="324"/>
    </row>
    <row r="638" spans="1:10" s="18" customFormat="1" ht="15.75" x14ac:dyDescent="0.25">
      <c r="A638" s="259"/>
      <c r="B638" s="260"/>
      <c r="C638" s="19"/>
      <c r="D638" s="34"/>
      <c r="E638" s="13">
        <v>45294</v>
      </c>
      <c r="F638" s="355">
        <v>1973738856</v>
      </c>
      <c r="G638" s="261" t="s">
        <v>2053</v>
      </c>
      <c r="H638" s="8">
        <v>81658</v>
      </c>
      <c r="J638" s="324"/>
    </row>
    <row r="639" spans="1:10" s="18" customFormat="1" ht="15.75" x14ac:dyDescent="0.25">
      <c r="A639" s="259"/>
      <c r="B639" s="260"/>
      <c r="C639" s="19"/>
      <c r="D639" s="34"/>
      <c r="E639" s="13">
        <v>45300</v>
      </c>
      <c r="F639" s="355">
        <v>1973738857</v>
      </c>
      <c r="G639" s="261" t="s">
        <v>9179</v>
      </c>
      <c r="H639" s="8">
        <v>500000</v>
      </c>
      <c r="J639" s="324"/>
    </row>
    <row r="640" spans="1:10" s="18" customFormat="1" ht="15.75" x14ac:dyDescent="0.25">
      <c r="A640" s="259"/>
      <c r="B640" s="260"/>
      <c r="C640" s="19"/>
      <c r="D640" s="34"/>
      <c r="E640" s="13">
        <v>45300</v>
      </c>
      <c r="F640" s="355">
        <v>1973738858</v>
      </c>
      <c r="G640" s="261" t="s">
        <v>9075</v>
      </c>
      <c r="H640" s="8">
        <v>94000</v>
      </c>
      <c r="J640" s="324"/>
    </row>
    <row r="641" spans="1:10" s="18" customFormat="1" ht="15.75" x14ac:dyDescent="0.25">
      <c r="A641" s="259"/>
      <c r="B641" s="260"/>
      <c r="C641" s="19"/>
      <c r="D641" s="34"/>
      <c r="E641" s="13">
        <v>45300</v>
      </c>
      <c r="F641" s="355">
        <v>1973738859</v>
      </c>
      <c r="G641" s="261" t="s">
        <v>13208</v>
      </c>
      <c r="H641" s="8">
        <v>72000</v>
      </c>
      <c r="J641" s="324"/>
    </row>
    <row r="642" spans="1:10" s="18" customFormat="1" ht="15.75" x14ac:dyDescent="0.25">
      <c r="A642" s="259"/>
      <c r="B642" s="260"/>
      <c r="C642" s="19"/>
      <c r="D642" s="34"/>
      <c r="E642" s="13">
        <v>45300</v>
      </c>
      <c r="F642" s="355">
        <v>1973738860</v>
      </c>
      <c r="G642" s="261" t="s">
        <v>13209</v>
      </c>
      <c r="H642" s="8">
        <v>100000</v>
      </c>
      <c r="J642" s="324"/>
    </row>
    <row r="643" spans="1:10" s="18" customFormat="1" ht="15.75" x14ac:dyDescent="0.25">
      <c r="A643" s="259"/>
      <c r="B643" s="260"/>
      <c r="C643" s="19"/>
      <c r="D643" s="34"/>
      <c r="E643" s="13">
        <v>45300</v>
      </c>
      <c r="F643" s="355">
        <v>1973738861</v>
      </c>
      <c r="G643" s="261" t="s">
        <v>13372</v>
      </c>
      <c r="H643" s="8">
        <v>7831493</v>
      </c>
      <c r="J643" s="324"/>
    </row>
    <row r="644" spans="1:10" s="18" customFormat="1" ht="15.75" x14ac:dyDescent="0.25">
      <c r="A644" s="259"/>
      <c r="B644" s="260"/>
      <c r="C644" s="19"/>
      <c r="D644" s="34"/>
      <c r="E644" s="13">
        <v>45318</v>
      </c>
      <c r="F644" s="355">
        <v>1973738862</v>
      </c>
      <c r="G644" s="261" t="s">
        <v>3554</v>
      </c>
      <c r="H644" s="8">
        <v>100000</v>
      </c>
      <c r="J644" s="324"/>
    </row>
    <row r="645" spans="1:10" s="18" customFormat="1" ht="15.75" x14ac:dyDescent="0.25">
      <c r="A645" s="259"/>
      <c r="B645" s="260"/>
      <c r="C645" s="19"/>
      <c r="D645" s="34"/>
      <c r="E645" s="13">
        <v>45328</v>
      </c>
      <c r="F645" s="355">
        <v>1973738863</v>
      </c>
      <c r="G645" s="261" t="s">
        <v>13373</v>
      </c>
      <c r="H645" s="8">
        <v>330000</v>
      </c>
      <c r="J645" s="324"/>
    </row>
    <row r="646" spans="1:10" s="18" customFormat="1" ht="15.75" x14ac:dyDescent="0.25">
      <c r="A646" s="259"/>
      <c r="B646" s="260"/>
      <c r="C646" s="19"/>
      <c r="D646" s="34"/>
      <c r="E646" s="13">
        <v>45328</v>
      </c>
      <c r="F646" s="355">
        <v>1973738864</v>
      </c>
      <c r="G646" s="261" t="s">
        <v>13374</v>
      </c>
      <c r="H646" s="8">
        <v>81000</v>
      </c>
      <c r="J646" s="324"/>
    </row>
    <row r="647" spans="1:10" s="18" customFormat="1" ht="15.75" x14ac:dyDescent="0.25">
      <c r="A647" s="259"/>
      <c r="B647" s="260"/>
      <c r="C647" s="19"/>
      <c r="D647" s="34"/>
      <c r="E647" s="13">
        <v>45328</v>
      </c>
      <c r="F647" s="355">
        <v>1973738865</v>
      </c>
      <c r="G647" s="261" t="s">
        <v>29</v>
      </c>
      <c r="H647" s="8">
        <v>200000</v>
      </c>
      <c r="J647" s="324"/>
    </row>
    <row r="648" spans="1:10" s="18" customFormat="1" ht="15.75" x14ac:dyDescent="0.25">
      <c r="A648" s="259"/>
      <c r="B648" s="260"/>
      <c r="C648" s="19"/>
      <c r="D648" s="34"/>
      <c r="E648" s="13">
        <v>45328</v>
      </c>
      <c r="F648" s="355">
        <v>1973738866</v>
      </c>
      <c r="G648" s="261" t="s">
        <v>5328</v>
      </c>
      <c r="H648" s="8">
        <v>350000</v>
      </c>
      <c r="J648" s="324"/>
    </row>
    <row r="649" spans="1:10" s="18" customFormat="1" ht="15.75" x14ac:dyDescent="0.25">
      <c r="A649" s="259"/>
      <c r="B649" s="260"/>
      <c r="C649" s="19"/>
      <c r="D649" s="34"/>
      <c r="E649" s="13">
        <v>45335</v>
      </c>
      <c r="F649" s="355">
        <v>1973738867</v>
      </c>
      <c r="G649" s="261" t="s">
        <v>2053</v>
      </c>
      <c r="H649" s="8">
        <v>722265</v>
      </c>
      <c r="J649" s="324"/>
    </row>
    <row r="650" spans="1:10" s="18" customFormat="1" ht="15.75" x14ac:dyDescent="0.25">
      <c r="A650" s="259"/>
      <c r="B650" s="260"/>
      <c r="C650" s="19"/>
      <c r="D650" s="34"/>
      <c r="E650" s="13">
        <v>45335</v>
      </c>
      <c r="F650" s="355">
        <v>1973738868</v>
      </c>
      <c r="G650" s="261" t="s">
        <v>11731</v>
      </c>
      <c r="H650" s="8">
        <v>653892</v>
      </c>
      <c r="J650" s="324"/>
    </row>
    <row r="651" spans="1:10" s="18" customFormat="1" ht="15.75" x14ac:dyDescent="0.25">
      <c r="A651" s="259"/>
      <c r="B651" s="260"/>
      <c r="C651" s="19"/>
      <c r="D651" s="34"/>
      <c r="E651" s="13">
        <v>45341</v>
      </c>
      <c r="F651" s="355">
        <v>1973738869</v>
      </c>
      <c r="G651" s="261" t="s">
        <v>13454</v>
      </c>
      <c r="H651" s="8">
        <v>100000</v>
      </c>
      <c r="J651" s="324"/>
    </row>
    <row r="652" spans="1:10" s="18" customFormat="1" ht="15.75" x14ac:dyDescent="0.25">
      <c r="A652" s="259"/>
      <c r="B652" s="260"/>
      <c r="C652" s="19"/>
      <c r="D652" s="34"/>
      <c r="E652" s="13">
        <v>45341</v>
      </c>
      <c r="F652" s="355">
        <v>1973738870</v>
      </c>
      <c r="G652" s="261" t="s">
        <v>13455</v>
      </c>
      <c r="H652" s="8">
        <v>90000</v>
      </c>
      <c r="J652" s="324"/>
    </row>
    <row r="653" spans="1:10" s="18" customFormat="1" ht="15.75" x14ac:dyDescent="0.25">
      <c r="A653" s="259"/>
      <c r="B653" s="260"/>
      <c r="C653" s="19"/>
      <c r="D653" s="34"/>
      <c r="E653" s="13">
        <v>45342</v>
      </c>
      <c r="F653" s="355">
        <v>1973738871</v>
      </c>
      <c r="G653" s="261" t="s">
        <v>9075</v>
      </c>
      <c r="H653" s="8">
        <v>100000</v>
      </c>
      <c r="J653" s="324"/>
    </row>
    <row r="654" spans="1:10" s="18" customFormat="1" ht="15.75" x14ac:dyDescent="0.25">
      <c r="A654" s="259"/>
      <c r="B654" s="260"/>
      <c r="C654" s="19"/>
      <c r="D654" s="34"/>
      <c r="E654" s="13">
        <v>45342</v>
      </c>
      <c r="F654" s="355">
        <v>1973738872</v>
      </c>
      <c r="G654" s="261" t="s">
        <v>9075</v>
      </c>
      <c r="H654" s="8">
        <v>145000</v>
      </c>
      <c r="J654" s="324"/>
    </row>
    <row r="655" spans="1:10" s="18" customFormat="1" ht="15.75" x14ac:dyDescent="0.25">
      <c r="A655" s="259"/>
      <c r="B655" s="260"/>
      <c r="C655" s="19"/>
      <c r="D655" s="34"/>
      <c r="E655" s="13">
        <v>45342</v>
      </c>
      <c r="F655" s="355">
        <v>1973738873</v>
      </c>
      <c r="G655" s="261" t="s">
        <v>5328</v>
      </c>
      <c r="H655" s="8">
        <v>100000</v>
      </c>
      <c r="J655" s="324"/>
    </row>
    <row r="656" spans="1:10" s="18" customFormat="1" ht="15.75" x14ac:dyDescent="0.25">
      <c r="A656" s="259"/>
      <c r="B656" s="260"/>
      <c r="C656" s="19"/>
      <c r="D656" s="34"/>
      <c r="E656" s="13">
        <v>45343</v>
      </c>
      <c r="F656" s="355">
        <v>1973738874</v>
      </c>
      <c r="G656" s="261" t="s">
        <v>9947</v>
      </c>
      <c r="H656" s="8">
        <v>50000</v>
      </c>
      <c r="J656" s="324"/>
    </row>
    <row r="657" spans="1:10" s="18" customFormat="1" ht="15.75" x14ac:dyDescent="0.25">
      <c r="A657" s="259"/>
      <c r="B657" s="260"/>
      <c r="C657" s="19"/>
      <c r="D657" s="34"/>
      <c r="E657" s="13">
        <v>45343</v>
      </c>
      <c r="F657" s="355">
        <v>1973738875</v>
      </c>
      <c r="G657" s="261" t="s">
        <v>13454</v>
      </c>
      <c r="H657" s="8">
        <v>150000</v>
      </c>
      <c r="J657" s="324"/>
    </row>
    <row r="658" spans="1:10" s="18" customFormat="1" ht="15.75" x14ac:dyDescent="0.25">
      <c r="A658" s="259"/>
      <c r="B658" s="260"/>
      <c r="C658" s="19"/>
      <c r="D658" s="34"/>
      <c r="E658" s="13">
        <v>45343</v>
      </c>
      <c r="F658" s="355">
        <v>1973738876</v>
      </c>
      <c r="G658" s="261"/>
      <c r="H658" s="8"/>
      <c r="J658" s="324"/>
    </row>
    <row r="659" spans="1:10" s="18" customFormat="1" ht="15.75" x14ac:dyDescent="0.25">
      <c r="A659" s="259"/>
      <c r="B659" s="260"/>
      <c r="C659" s="19"/>
      <c r="D659" s="34"/>
      <c r="E659" s="13">
        <v>45348</v>
      </c>
      <c r="F659" s="355">
        <v>1973738877</v>
      </c>
      <c r="G659" s="261" t="s">
        <v>13461</v>
      </c>
      <c r="H659" s="8">
        <v>35400</v>
      </c>
      <c r="J659" s="324"/>
    </row>
    <row r="660" spans="1:10" s="18" customFormat="1" ht="15.75" x14ac:dyDescent="0.25">
      <c r="A660" s="259"/>
      <c r="B660" s="260"/>
      <c r="C660" s="19"/>
      <c r="D660" s="34"/>
      <c r="E660" s="13">
        <v>45355</v>
      </c>
      <c r="F660" s="355">
        <v>1973738878</v>
      </c>
      <c r="G660" s="261" t="s">
        <v>29</v>
      </c>
      <c r="H660" s="8">
        <v>200000</v>
      </c>
      <c r="J660" s="324"/>
    </row>
    <row r="661" spans="1:10" s="18" customFormat="1" ht="15.75" x14ac:dyDescent="0.25">
      <c r="A661" s="259"/>
      <c r="B661" s="260"/>
      <c r="C661" s="19"/>
      <c r="D661" s="34"/>
      <c r="E661" s="13">
        <v>45356</v>
      </c>
      <c r="F661" s="355">
        <v>1973738879</v>
      </c>
      <c r="G661" s="261" t="s">
        <v>8128</v>
      </c>
      <c r="H661" s="8">
        <v>186000</v>
      </c>
      <c r="J661" s="324"/>
    </row>
    <row r="662" spans="1:10" s="18" customFormat="1" ht="15.75" x14ac:dyDescent="0.25">
      <c r="A662" s="259"/>
      <c r="B662" s="260"/>
      <c r="C662" s="19"/>
      <c r="D662" s="34"/>
      <c r="E662" s="13">
        <v>45357</v>
      </c>
      <c r="F662" s="355">
        <v>1973738880</v>
      </c>
      <c r="G662" s="261" t="s">
        <v>25</v>
      </c>
      <c r="H662" s="8">
        <v>200000</v>
      </c>
      <c r="J662" s="324"/>
    </row>
    <row r="663" spans="1:10" s="18" customFormat="1" ht="15.75" x14ac:dyDescent="0.25">
      <c r="A663" s="259"/>
      <c r="B663" s="260"/>
      <c r="C663" s="19"/>
      <c r="D663" s="34"/>
      <c r="E663" s="13">
        <v>45364</v>
      </c>
      <c r="F663" s="355">
        <v>1973738881</v>
      </c>
      <c r="G663" s="261" t="s">
        <v>13549</v>
      </c>
      <c r="H663" s="8">
        <v>95489</v>
      </c>
      <c r="J663" s="324"/>
    </row>
    <row r="664" spans="1:10" s="18" customFormat="1" ht="15.75" x14ac:dyDescent="0.25">
      <c r="A664" s="259"/>
      <c r="B664" s="260"/>
      <c r="C664" s="19"/>
      <c r="D664" s="34"/>
      <c r="E664" s="13">
        <v>45382</v>
      </c>
      <c r="F664" s="355">
        <v>1973738882</v>
      </c>
      <c r="G664" s="261" t="s">
        <v>13666</v>
      </c>
      <c r="H664" s="8">
        <v>50000</v>
      </c>
      <c r="J664" s="324"/>
    </row>
    <row r="665" spans="1:10" s="18" customFormat="1" ht="15.75" x14ac:dyDescent="0.25">
      <c r="A665" s="259"/>
      <c r="B665" s="260"/>
      <c r="C665" s="19"/>
      <c r="D665" s="34"/>
      <c r="E665" s="13">
        <v>45382</v>
      </c>
      <c r="F665" s="355">
        <v>1973738883</v>
      </c>
      <c r="G665" s="261" t="s">
        <v>13667</v>
      </c>
      <c r="H665" s="8">
        <v>50000</v>
      </c>
      <c r="J665" s="324"/>
    </row>
    <row r="666" spans="1:10" s="18" customFormat="1" ht="15.75" x14ac:dyDescent="0.25">
      <c r="A666" s="259"/>
      <c r="B666" s="260"/>
      <c r="C666" s="19"/>
      <c r="D666" s="34"/>
      <c r="E666" s="13">
        <v>45382</v>
      </c>
      <c r="F666" s="355">
        <v>1973738884</v>
      </c>
      <c r="G666" s="261" t="s">
        <v>13668</v>
      </c>
      <c r="H666" s="8">
        <v>50000</v>
      </c>
      <c r="J666" s="324"/>
    </row>
    <row r="667" spans="1:10" s="18" customFormat="1" ht="15.75" x14ac:dyDescent="0.25">
      <c r="A667" s="259"/>
      <c r="B667" s="260"/>
      <c r="C667" s="19"/>
      <c r="D667" s="34"/>
      <c r="E667" s="13">
        <v>45356</v>
      </c>
      <c r="F667" s="355">
        <v>1973738885</v>
      </c>
      <c r="G667" s="261" t="s">
        <v>13372</v>
      </c>
      <c r="H667" s="8">
        <v>2778135</v>
      </c>
      <c r="J667" s="324"/>
    </row>
    <row r="668" spans="1:10" s="18" customFormat="1" ht="15.75" x14ac:dyDescent="0.25">
      <c r="A668" s="259"/>
      <c r="B668" s="260"/>
      <c r="C668" s="19"/>
      <c r="D668" s="34"/>
      <c r="E668" s="13">
        <v>45356</v>
      </c>
      <c r="F668" s="355">
        <v>1973738886</v>
      </c>
      <c r="G668" s="261" t="s">
        <v>13669</v>
      </c>
      <c r="H668" s="8">
        <v>310000</v>
      </c>
      <c r="J668" s="324"/>
    </row>
    <row r="669" spans="1:10" s="18" customFormat="1" ht="18.75" x14ac:dyDescent="0.3">
      <c r="A669" s="718" t="s">
        <v>7001</v>
      </c>
      <c r="B669" s="719"/>
      <c r="C669" s="26">
        <f>SUM(C6:C668)</f>
        <v>175031826.93000001</v>
      </c>
      <c r="D669" s="34"/>
      <c r="E669" s="673" t="s">
        <v>7001</v>
      </c>
      <c r="F669" s="674"/>
      <c r="G669" s="675"/>
      <c r="H669" s="26">
        <f>SUM(H6:H668)</f>
        <v>145381881</v>
      </c>
      <c r="J669" s="18">
        <v>1500000</v>
      </c>
    </row>
    <row r="670" spans="1:10" s="18" customFormat="1" ht="15.75" x14ac:dyDescent="0.25">
      <c r="A670"/>
      <c r="B670" s="2"/>
      <c r="C670" s="2"/>
      <c r="D670" s="34"/>
      <c r="E670" s="2"/>
      <c r="F670" s="2"/>
      <c r="G670" s="2"/>
      <c r="H670" s="2"/>
      <c r="J670" s="324">
        <f>J669+J421</f>
        <v>35180945.930000007</v>
      </c>
    </row>
    <row r="671" spans="1:10" s="18" customFormat="1" ht="15.75" x14ac:dyDescent="0.25">
      <c r="A671"/>
      <c r="B671" s="2"/>
      <c r="C671" s="2"/>
      <c r="D671" s="34"/>
      <c r="E671" s="2"/>
      <c r="F671" s="2"/>
      <c r="G671" s="2"/>
      <c r="H671" s="2"/>
    </row>
    <row r="672" spans="1:10" s="18" customFormat="1" ht="15.75" x14ac:dyDescent="0.25">
      <c r="A672"/>
      <c r="B672" s="2"/>
      <c r="C672" s="2"/>
      <c r="D672" s="34"/>
      <c r="E672" s="2"/>
      <c r="F672" s="2"/>
      <c r="G672" s="2"/>
      <c r="H672" s="2"/>
    </row>
    <row r="673" spans="1:8" s="18" customFormat="1" ht="15.75" x14ac:dyDescent="0.25">
      <c r="A673"/>
      <c r="B673" s="2"/>
      <c r="C673" s="2"/>
      <c r="D673" s="34"/>
      <c r="E673" s="2"/>
      <c r="F673" s="2"/>
      <c r="G673" s="2"/>
      <c r="H673" s="2"/>
    </row>
    <row r="674" spans="1:8" s="18" customFormat="1" ht="15.75" x14ac:dyDescent="0.25">
      <c r="A674"/>
      <c r="B674" s="2"/>
      <c r="C674" s="2"/>
      <c r="D674" s="25"/>
      <c r="E674" s="2"/>
      <c r="F674" s="2"/>
      <c r="G674" s="2"/>
      <c r="H674" s="2"/>
    </row>
  </sheetData>
  <mergeCells count="6">
    <mergeCell ref="A669:B669"/>
    <mergeCell ref="A4:C4"/>
    <mergeCell ref="E4:H4"/>
    <mergeCell ref="E669:G669"/>
    <mergeCell ref="A1:B1"/>
    <mergeCell ref="A2:B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L42"/>
  <sheetViews>
    <sheetView workbookViewId="0">
      <selection activeCell="J20" sqref="J20"/>
    </sheetView>
  </sheetViews>
  <sheetFormatPr defaultColWidth="8.85546875" defaultRowHeight="15" x14ac:dyDescent="0.25"/>
  <cols>
    <col min="1" max="1" width="12" customWidth="1"/>
    <col min="2" max="2" width="58.7109375" style="2" customWidth="1"/>
    <col min="3" max="3" width="17.140625" style="2" customWidth="1"/>
    <col min="4" max="4" width="1" style="2" customWidth="1"/>
    <col min="5" max="5" width="13.140625" style="2" customWidth="1"/>
    <col min="6" max="6" width="12.42578125" style="2" bestFit="1" customWidth="1"/>
    <col min="7" max="7" width="39.140625" style="2" customWidth="1"/>
    <col min="8" max="8" width="14.5703125" style="2" bestFit="1" customWidth="1"/>
    <col min="10" max="10" width="15" bestFit="1" customWidth="1"/>
    <col min="11" max="11" width="10.5703125" bestFit="1" customWidth="1"/>
    <col min="12" max="12" width="14.5703125" bestFit="1" customWidth="1"/>
    <col min="16" max="16" width="13.7109375" bestFit="1" customWidth="1"/>
  </cols>
  <sheetData>
    <row r="1" spans="1:10" ht="21" customHeight="1" x14ac:dyDescent="0.25">
      <c r="A1" s="676" t="s">
        <v>7053</v>
      </c>
      <c r="B1" s="676"/>
      <c r="C1" s="30" t="s">
        <v>8284</v>
      </c>
      <c r="D1" s="3"/>
      <c r="E1" s="3"/>
      <c r="F1" s="3"/>
      <c r="G1" s="279" t="s">
        <v>7047</v>
      </c>
      <c r="H1" s="31">
        <f ca="1">TODAY()</f>
        <v>45402</v>
      </c>
    </row>
    <row r="2" spans="1:10" ht="21" x14ac:dyDescent="0.3">
      <c r="A2" s="677" t="s">
        <v>861</v>
      </c>
      <c r="B2" s="678"/>
      <c r="C2" s="28">
        <f>C6</f>
        <v>4560733</v>
      </c>
      <c r="D2" s="3"/>
      <c r="E2" s="3"/>
      <c r="F2" s="3"/>
      <c r="G2" s="27" t="s">
        <v>861</v>
      </c>
      <c r="H2" s="278">
        <f>C15-H15</f>
        <v>1043202</v>
      </c>
    </row>
    <row r="3" spans="1:10" ht="8.25" customHeight="1" thickBot="1" x14ac:dyDescent="0.3">
      <c r="B3" s="3"/>
      <c r="C3" s="3"/>
      <c r="D3" s="3"/>
      <c r="E3" s="3"/>
      <c r="F3" s="3"/>
      <c r="G3" s="3"/>
      <c r="H3" s="3"/>
    </row>
    <row r="4" spans="1:10" ht="26.25" x14ac:dyDescent="0.4">
      <c r="A4" s="282" t="s">
        <v>5057</v>
      </c>
      <c r="B4" s="283"/>
      <c r="C4" s="283"/>
      <c r="D4" s="20"/>
      <c r="E4" s="671" t="s">
        <v>6975</v>
      </c>
      <c r="F4" s="671"/>
      <c r="G4" s="671"/>
      <c r="H4" s="672"/>
    </row>
    <row r="5" spans="1:10" s="4" customFormat="1" ht="19.5" thickBot="1" x14ac:dyDescent="0.35">
      <c r="A5" s="9" t="s">
        <v>1</v>
      </c>
      <c r="B5" s="10" t="s">
        <v>3</v>
      </c>
      <c r="C5" s="11" t="s">
        <v>6977</v>
      </c>
      <c r="D5" s="21"/>
      <c r="E5" s="10" t="s">
        <v>1</v>
      </c>
      <c r="F5" s="10" t="s">
        <v>6978</v>
      </c>
      <c r="G5" s="10" t="s">
        <v>3</v>
      </c>
      <c r="H5" s="12" t="s">
        <v>6975</v>
      </c>
    </row>
    <row r="6" spans="1:10" s="18" customFormat="1" ht="15.75" x14ac:dyDescent="0.25">
      <c r="A6" s="13">
        <v>44491</v>
      </c>
      <c r="B6" s="14" t="s">
        <v>8688</v>
      </c>
      <c r="C6" s="14">
        <v>4560733</v>
      </c>
      <c r="D6" s="22"/>
      <c r="E6" s="13">
        <v>44511</v>
      </c>
      <c r="F6" s="303">
        <v>1669777561</v>
      </c>
      <c r="G6" s="16" t="s">
        <v>8285</v>
      </c>
      <c r="H6" s="17">
        <v>200000</v>
      </c>
    </row>
    <row r="7" spans="1:10" s="18" customFormat="1" ht="15.75" x14ac:dyDescent="0.25">
      <c r="A7" s="13">
        <v>44547</v>
      </c>
      <c r="B7" s="14" t="s">
        <v>8689</v>
      </c>
      <c r="C7" s="8">
        <v>3382469</v>
      </c>
      <c r="D7" s="23"/>
      <c r="E7" s="13">
        <v>44513</v>
      </c>
      <c r="F7" s="303">
        <v>1669777562</v>
      </c>
      <c r="G7" s="16" t="s">
        <v>8286</v>
      </c>
      <c r="H7" s="8">
        <v>250000</v>
      </c>
    </row>
    <row r="8" spans="1:10" s="18" customFormat="1" ht="15.75" x14ac:dyDescent="0.25">
      <c r="A8" s="13"/>
      <c r="B8" s="17"/>
      <c r="C8" s="19"/>
      <c r="D8" s="23"/>
      <c r="E8" s="13">
        <v>44513</v>
      </c>
      <c r="F8" s="303">
        <v>1669777563</v>
      </c>
      <c r="G8" s="16" t="s">
        <v>8286</v>
      </c>
      <c r="H8" s="8">
        <v>250000</v>
      </c>
    </row>
    <row r="9" spans="1:10" s="18" customFormat="1" ht="15.75" x14ac:dyDescent="0.25">
      <c r="A9" s="13"/>
      <c r="B9" s="37"/>
      <c r="C9" s="14"/>
      <c r="D9" s="23"/>
      <c r="E9" s="13">
        <v>44515</v>
      </c>
      <c r="F9" s="303">
        <v>1669777564</v>
      </c>
      <c r="G9" s="16" t="s">
        <v>8690</v>
      </c>
      <c r="H9" s="8">
        <v>900000</v>
      </c>
    </row>
    <row r="10" spans="1:10" s="18" customFormat="1" ht="15.75" x14ac:dyDescent="0.25">
      <c r="A10" s="13"/>
      <c r="B10" s="37"/>
      <c r="C10" s="8"/>
      <c r="D10" s="24"/>
      <c r="E10" s="13">
        <v>44531</v>
      </c>
      <c r="F10" s="303">
        <v>1669777565</v>
      </c>
      <c r="G10" s="16" t="s">
        <v>8690</v>
      </c>
      <c r="H10" s="8">
        <v>900000</v>
      </c>
    </row>
    <row r="11" spans="1:10" s="18" customFormat="1" ht="15.75" x14ac:dyDescent="0.25">
      <c r="A11" s="13"/>
      <c r="B11" s="38"/>
      <c r="C11" s="8"/>
      <c r="D11" s="24"/>
      <c r="E11" s="13">
        <v>44563</v>
      </c>
      <c r="F11" s="303">
        <v>1669777566</v>
      </c>
      <c r="G11" s="16" t="s">
        <v>8734</v>
      </c>
      <c r="H11" s="8">
        <v>900000</v>
      </c>
    </row>
    <row r="12" spans="1:10" s="18" customFormat="1" ht="15.75" x14ac:dyDescent="0.25">
      <c r="A12" s="13"/>
      <c r="B12" s="265"/>
      <c r="C12" s="264"/>
      <c r="D12" s="24"/>
      <c r="E12" s="13">
        <v>44888</v>
      </c>
      <c r="F12" s="303">
        <v>1669777567</v>
      </c>
      <c r="G12" s="16" t="s">
        <v>8690</v>
      </c>
      <c r="H12" s="8">
        <v>2000000</v>
      </c>
      <c r="J12" s="324"/>
    </row>
    <row r="13" spans="1:10" s="18" customFormat="1" ht="15.75" x14ac:dyDescent="0.25">
      <c r="A13" s="262"/>
      <c r="B13" s="498"/>
      <c r="C13" s="264"/>
      <c r="D13" s="34"/>
      <c r="E13" s="13">
        <v>44991</v>
      </c>
      <c r="F13" s="303">
        <v>1669777568</v>
      </c>
      <c r="G13" s="500" t="s">
        <v>10711</v>
      </c>
      <c r="H13" s="507">
        <v>1500000</v>
      </c>
      <c r="J13" s="324"/>
    </row>
    <row r="14" spans="1:10" s="18" customFormat="1" ht="15.75" x14ac:dyDescent="0.25">
      <c r="A14" s="262"/>
      <c r="B14" s="498"/>
      <c r="C14" s="264"/>
      <c r="D14" s="34"/>
      <c r="E14" s="262"/>
      <c r="F14" s="499"/>
      <c r="G14" s="500"/>
      <c r="H14" s="8"/>
      <c r="J14" s="324"/>
    </row>
    <row r="15" spans="1:10" s="18" customFormat="1" ht="18.75" x14ac:dyDescent="0.3">
      <c r="A15" s="280" t="s">
        <v>7001</v>
      </c>
      <c r="B15" s="281"/>
      <c r="C15" s="26">
        <f>SUM(C6:C12)</f>
        <v>7943202</v>
      </c>
      <c r="D15" s="34"/>
      <c r="E15" s="673" t="s">
        <v>7001</v>
      </c>
      <c r="F15" s="674"/>
      <c r="G15" s="675"/>
      <c r="H15" s="26">
        <f>SUM(H6:H13)</f>
        <v>6900000</v>
      </c>
    </row>
    <row r="16" spans="1:10" s="18" customFormat="1" ht="15.75" x14ac:dyDescent="0.25">
      <c r="A16"/>
      <c r="B16" s="2"/>
      <c r="C16" s="2"/>
      <c r="D16" s="34"/>
      <c r="E16" s="2"/>
      <c r="F16" s="2"/>
      <c r="G16" s="2"/>
      <c r="H16" s="2"/>
    </row>
    <row r="17" spans="1:12" s="18" customFormat="1" ht="15.75" x14ac:dyDescent="0.25">
      <c r="A17"/>
      <c r="B17" s="2"/>
      <c r="C17" s="2"/>
      <c r="D17" s="34"/>
      <c r="E17" s="2"/>
      <c r="F17" s="2"/>
      <c r="G17" s="2"/>
      <c r="H17" s="2"/>
      <c r="J17" s="324">
        <f>H13+H12+H10+H9</f>
        <v>5300000</v>
      </c>
    </row>
    <row r="18" spans="1:12" s="18" customFormat="1" ht="15.75" x14ac:dyDescent="0.25">
      <c r="A18"/>
      <c r="B18" s="2"/>
      <c r="C18" s="2"/>
      <c r="D18" s="34"/>
      <c r="E18" s="2"/>
      <c r="F18" s="2"/>
      <c r="G18" s="2"/>
      <c r="H18" s="2"/>
      <c r="J18" s="324">
        <v>2831000</v>
      </c>
    </row>
    <row r="19" spans="1:12" s="18" customFormat="1" ht="15.75" x14ac:dyDescent="0.25">
      <c r="A19"/>
      <c r="B19" s="2"/>
      <c r="C19" s="2"/>
      <c r="D19" s="34"/>
      <c r="E19" s="2"/>
      <c r="F19" s="2"/>
      <c r="G19" s="2"/>
      <c r="H19" s="2"/>
      <c r="J19" s="324">
        <v>74516</v>
      </c>
    </row>
    <row r="20" spans="1:12" s="18" customFormat="1" ht="15.75" x14ac:dyDescent="0.25">
      <c r="A20"/>
      <c r="B20" s="2"/>
      <c r="C20" s="2"/>
      <c r="D20" s="34"/>
      <c r="E20" s="2"/>
      <c r="F20" s="2"/>
      <c r="G20" s="2"/>
      <c r="H20" s="2"/>
      <c r="J20" s="324">
        <f>J17-J18-J19</f>
        <v>2394484</v>
      </c>
    </row>
    <row r="21" spans="1:12" s="18" customFormat="1" ht="15.75" x14ac:dyDescent="0.25">
      <c r="A21"/>
      <c r="B21" s="2"/>
      <c r="C21" s="2"/>
      <c r="D21" s="34"/>
      <c r="E21" s="2"/>
      <c r="F21" s="2"/>
      <c r="G21" s="2"/>
      <c r="H21" s="2"/>
      <c r="J21" s="258"/>
    </row>
    <row r="22" spans="1:12" s="18" customFormat="1" ht="15.75" x14ac:dyDescent="0.25">
      <c r="A22"/>
      <c r="B22" s="2"/>
      <c r="C22" s="2"/>
      <c r="D22" s="34"/>
      <c r="E22" s="2"/>
      <c r="F22" s="2"/>
      <c r="G22" s="2"/>
      <c r="H22" s="2"/>
      <c r="J22" s="258"/>
      <c r="L22" s="324"/>
    </row>
    <row r="23" spans="1:12" s="18" customFormat="1" ht="15.75" x14ac:dyDescent="0.25">
      <c r="A23"/>
      <c r="B23" s="2"/>
      <c r="C23" s="2"/>
      <c r="D23" s="34"/>
      <c r="E23" s="2"/>
      <c r="F23" s="2"/>
      <c r="G23" s="2"/>
      <c r="H23" s="2"/>
    </row>
    <row r="24" spans="1:12" s="18" customFormat="1" ht="15.75" x14ac:dyDescent="0.25">
      <c r="A24"/>
      <c r="B24" s="2"/>
      <c r="C24" s="2"/>
      <c r="D24" s="34"/>
      <c r="E24" s="2"/>
      <c r="F24" s="2"/>
      <c r="G24" s="2"/>
      <c r="H24" s="2"/>
    </row>
    <row r="25" spans="1:12" s="18" customFormat="1" ht="15.75" x14ac:dyDescent="0.25">
      <c r="A25"/>
      <c r="B25" s="2"/>
      <c r="C25" s="2"/>
      <c r="D25" s="34"/>
      <c r="E25" s="2"/>
      <c r="F25" s="2"/>
      <c r="G25" s="2"/>
      <c r="H25" s="2"/>
    </row>
    <row r="26" spans="1:12" s="18" customFormat="1" ht="15.75" x14ac:dyDescent="0.25">
      <c r="A26"/>
      <c r="B26" s="2"/>
      <c r="C26" s="2"/>
      <c r="D26" s="34"/>
      <c r="E26" s="2"/>
      <c r="F26" s="2"/>
      <c r="G26" s="2"/>
      <c r="H26" s="2"/>
    </row>
    <row r="27" spans="1:12" s="18" customFormat="1" ht="15.75" x14ac:dyDescent="0.25">
      <c r="A27"/>
      <c r="B27" s="2"/>
      <c r="C27" s="2"/>
      <c r="D27" s="34"/>
      <c r="E27" s="2"/>
      <c r="F27" s="2"/>
      <c r="G27" s="2"/>
      <c r="H27" s="2"/>
    </row>
    <row r="28" spans="1:12" s="18" customFormat="1" ht="15.75" x14ac:dyDescent="0.25">
      <c r="A28"/>
      <c r="B28" s="2"/>
      <c r="C28" s="2"/>
      <c r="D28" s="34"/>
      <c r="E28" s="2"/>
      <c r="F28" s="2"/>
      <c r="G28" s="2"/>
      <c r="H28" s="2"/>
    </row>
    <row r="29" spans="1:12" s="18" customFormat="1" ht="15.75" x14ac:dyDescent="0.25">
      <c r="A29"/>
      <c r="B29" s="2"/>
      <c r="C29" s="2"/>
      <c r="D29" s="34"/>
      <c r="E29" s="2"/>
      <c r="F29" s="2"/>
      <c r="G29" s="2"/>
      <c r="H29" s="2"/>
    </row>
    <row r="30" spans="1:12" s="18" customFormat="1" ht="15.75" x14ac:dyDescent="0.25">
      <c r="A30"/>
      <c r="B30" s="2"/>
      <c r="C30" s="2"/>
      <c r="D30" s="34"/>
      <c r="E30" s="2"/>
      <c r="F30" s="2"/>
      <c r="G30" s="2"/>
      <c r="H30" s="2"/>
    </row>
    <row r="31" spans="1:12" s="18" customFormat="1" ht="15.75" x14ac:dyDescent="0.25">
      <c r="A31"/>
      <c r="B31" s="2"/>
      <c r="C31" s="2"/>
      <c r="D31" s="34"/>
      <c r="E31" s="2"/>
      <c r="F31" s="2"/>
      <c r="G31" s="2"/>
      <c r="H31" s="2"/>
    </row>
    <row r="32" spans="1:12" s="18" customFormat="1" ht="15.75" x14ac:dyDescent="0.25">
      <c r="A32"/>
      <c r="B32" s="2"/>
      <c r="C32" s="2"/>
      <c r="D32" s="34"/>
      <c r="E32" s="2"/>
      <c r="F32" s="2"/>
      <c r="G32" s="2"/>
      <c r="H32" s="2"/>
    </row>
    <row r="33" spans="1:8" s="18" customFormat="1" ht="15.75" x14ac:dyDescent="0.25">
      <c r="A33"/>
      <c r="B33" s="2"/>
      <c r="C33" s="2"/>
      <c r="D33" s="34"/>
      <c r="E33" s="2"/>
      <c r="F33" s="2"/>
      <c r="G33" s="2"/>
      <c r="H33" s="2"/>
    </row>
    <row r="34" spans="1:8" s="18" customFormat="1" ht="15.75" x14ac:dyDescent="0.25">
      <c r="A34"/>
      <c r="B34" s="2"/>
      <c r="C34" s="2"/>
      <c r="D34" s="34"/>
      <c r="E34" s="2"/>
      <c r="F34" s="2"/>
      <c r="G34" s="2"/>
      <c r="H34" s="2"/>
    </row>
    <row r="35" spans="1:8" s="18" customFormat="1" ht="15.75" x14ac:dyDescent="0.25">
      <c r="A35"/>
      <c r="B35" s="2"/>
      <c r="C35" s="2"/>
      <c r="D35" s="34"/>
      <c r="E35" s="2"/>
      <c r="F35" s="2"/>
      <c r="G35" s="2"/>
      <c r="H35" s="2"/>
    </row>
    <row r="36" spans="1:8" s="18" customFormat="1" ht="15.75" x14ac:dyDescent="0.25">
      <c r="A36"/>
      <c r="B36" s="2"/>
      <c r="C36" s="2"/>
      <c r="D36" s="34"/>
      <c r="E36" s="2"/>
      <c r="F36" s="2"/>
      <c r="G36" s="2"/>
      <c r="H36" s="2"/>
    </row>
    <row r="37" spans="1:8" s="18" customFormat="1" ht="15.75" x14ac:dyDescent="0.25">
      <c r="A37"/>
      <c r="B37" s="2"/>
      <c r="C37" s="2"/>
      <c r="D37" s="34"/>
      <c r="E37" s="2"/>
      <c r="F37" s="2"/>
      <c r="G37" s="2"/>
      <c r="H37" s="2"/>
    </row>
    <row r="38" spans="1:8" s="18" customFormat="1" ht="15.75" x14ac:dyDescent="0.25">
      <c r="A38"/>
      <c r="B38" s="2"/>
      <c r="C38" s="2"/>
      <c r="D38" s="34"/>
      <c r="E38" s="2"/>
      <c r="F38" s="2"/>
      <c r="G38" s="2"/>
      <c r="H38" s="2"/>
    </row>
    <row r="39" spans="1:8" s="18" customFormat="1" ht="15.75" x14ac:dyDescent="0.25">
      <c r="A39"/>
      <c r="B39" s="2"/>
      <c r="C39" s="2"/>
      <c r="D39" s="34"/>
      <c r="E39" s="2"/>
      <c r="F39" s="2"/>
      <c r="G39" s="2"/>
      <c r="H39" s="2"/>
    </row>
    <row r="40" spans="1:8" s="18" customFormat="1" ht="15.75" x14ac:dyDescent="0.25">
      <c r="A40"/>
      <c r="B40" s="2"/>
      <c r="C40" s="2"/>
      <c r="D40" s="34"/>
      <c r="E40" s="2"/>
      <c r="F40" s="2"/>
      <c r="G40" s="2"/>
      <c r="H40" s="2"/>
    </row>
    <row r="41" spans="1:8" s="18" customFormat="1" ht="15.75" x14ac:dyDescent="0.25">
      <c r="A41"/>
      <c r="B41" s="2"/>
      <c r="C41" s="2"/>
      <c r="D41" s="34"/>
      <c r="E41" s="2"/>
      <c r="F41" s="2"/>
      <c r="G41" s="2"/>
      <c r="H41" s="2"/>
    </row>
    <row r="42" spans="1:8" s="18" customFormat="1" ht="15.75" x14ac:dyDescent="0.25">
      <c r="A42"/>
      <c r="B42" s="2"/>
      <c r="C42" s="2"/>
      <c r="D42" s="25"/>
      <c r="E42" s="2"/>
      <c r="F42" s="2"/>
      <c r="G42" s="2"/>
      <c r="H42" s="2"/>
    </row>
  </sheetData>
  <mergeCells count="4">
    <mergeCell ref="A1:B1"/>
    <mergeCell ref="A2:B2"/>
    <mergeCell ref="E4:H4"/>
    <mergeCell ref="E15:G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BK35"/>
  <sheetViews>
    <sheetView zoomScaleNormal="100" workbookViewId="0">
      <pane ySplit="2" topLeftCell="A12" activePane="bottomLeft" state="frozen"/>
      <selection pane="bottomLeft" activeCell="G32" sqref="G32"/>
    </sheetView>
  </sheetViews>
  <sheetFormatPr defaultRowHeight="15" x14ac:dyDescent="0.25"/>
  <cols>
    <col min="1" max="1" width="5.140625" style="291" customWidth="1"/>
    <col min="2" max="13" width="8.140625" customWidth="1"/>
    <col min="14" max="14" width="1.42578125" customWidth="1"/>
    <col min="15" max="26" width="8.140625" customWidth="1"/>
    <col min="27" max="27" width="1.42578125" customWidth="1"/>
    <col min="28" max="28" width="5.140625" style="291" customWidth="1"/>
    <col min="29" max="29" width="6.5703125" bestFit="1" customWidth="1"/>
    <col min="30" max="30" width="6.42578125" customWidth="1"/>
    <col min="31" max="31" width="7.7109375" bestFit="1" customWidth="1"/>
    <col min="32" max="32" width="5" bestFit="1" customWidth="1"/>
    <col min="33" max="33" width="5.140625" bestFit="1" customWidth="1"/>
    <col min="34" max="34" width="5" bestFit="1" customWidth="1"/>
    <col min="35" max="35" width="6.42578125" bestFit="1" customWidth="1"/>
    <col min="36" max="36" width="7.28515625" bestFit="1" customWidth="1"/>
    <col min="37" max="37" width="1.42578125" customWidth="1"/>
    <col min="38" max="38" width="5.140625" style="291" customWidth="1"/>
    <col min="39" max="39" width="6.5703125" bestFit="1" customWidth="1"/>
    <col min="40" max="40" width="6.42578125" customWidth="1"/>
    <col min="41" max="41" width="7.7109375" bestFit="1" customWidth="1"/>
    <col min="42" max="42" width="5" bestFit="1" customWidth="1"/>
    <col min="43" max="43" width="5.140625" bestFit="1" customWidth="1"/>
    <col min="44" max="44" width="5" bestFit="1" customWidth="1"/>
    <col min="45" max="45" width="6.42578125" bestFit="1" customWidth="1"/>
    <col min="46" max="46" width="7.28515625" bestFit="1" customWidth="1"/>
    <col min="47" max="47" width="1.42578125" customWidth="1"/>
    <col min="48" max="48" width="5.140625" style="291" customWidth="1"/>
    <col min="49" max="49" width="6.5703125" bestFit="1" customWidth="1"/>
    <col min="50" max="50" width="6.42578125" customWidth="1"/>
    <col min="51" max="51" width="7.7109375" bestFit="1" customWidth="1"/>
    <col min="52" max="52" width="5" bestFit="1" customWidth="1"/>
    <col min="53" max="53" width="5.140625" bestFit="1" customWidth="1"/>
    <col min="54" max="54" width="5" bestFit="1" customWidth="1"/>
    <col min="55" max="55" width="6.42578125" bestFit="1" customWidth="1"/>
    <col min="56" max="56" width="7.28515625" bestFit="1" customWidth="1"/>
  </cols>
  <sheetData>
    <row r="1" spans="1:63" ht="18.75" x14ac:dyDescent="0.3">
      <c r="A1" s="737" t="s">
        <v>13607</v>
      </c>
      <c r="B1" s="724" t="s">
        <v>9552</v>
      </c>
      <c r="C1" s="724"/>
      <c r="D1" s="724" t="s">
        <v>354</v>
      </c>
      <c r="E1" s="724"/>
      <c r="F1" s="724" t="s">
        <v>53</v>
      </c>
      <c r="G1" s="724"/>
      <c r="H1" s="724" t="s">
        <v>11179</v>
      </c>
      <c r="I1" s="724"/>
      <c r="J1" s="724" t="s">
        <v>12099</v>
      </c>
      <c r="K1" s="724"/>
      <c r="L1" s="724" t="s">
        <v>9553</v>
      </c>
      <c r="M1" s="724"/>
      <c r="N1" s="436"/>
      <c r="O1" s="724" t="s">
        <v>9552</v>
      </c>
      <c r="P1" s="724"/>
      <c r="Q1" s="724" t="s">
        <v>354</v>
      </c>
      <c r="R1" s="724"/>
      <c r="S1" s="724" t="s">
        <v>53</v>
      </c>
      <c r="T1" s="724"/>
      <c r="U1" s="724" t="s">
        <v>11179</v>
      </c>
      <c r="V1" s="724"/>
      <c r="W1" s="724" t="s">
        <v>12099</v>
      </c>
      <c r="X1" s="724"/>
      <c r="Y1" s="724" t="s">
        <v>9553</v>
      </c>
      <c r="Z1" s="724"/>
      <c r="AA1" s="436"/>
      <c r="AB1" s="735" t="s">
        <v>10040</v>
      </c>
      <c r="AC1" s="725" t="s">
        <v>9552</v>
      </c>
      <c r="AD1" s="725"/>
      <c r="AE1" s="725" t="s">
        <v>354</v>
      </c>
      <c r="AF1" s="725"/>
      <c r="AG1" s="725" t="s">
        <v>53</v>
      </c>
      <c r="AH1" s="725"/>
      <c r="AI1" s="725" t="s">
        <v>9553</v>
      </c>
      <c r="AJ1" s="725"/>
      <c r="AK1" s="436"/>
      <c r="AL1" s="735" t="s">
        <v>9899</v>
      </c>
      <c r="AM1" s="725" t="s">
        <v>9552</v>
      </c>
      <c r="AN1" s="725"/>
      <c r="AO1" s="725" t="s">
        <v>354</v>
      </c>
      <c r="AP1" s="725"/>
      <c r="AQ1" s="725" t="s">
        <v>53</v>
      </c>
      <c r="AR1" s="725"/>
      <c r="AS1" s="725" t="s">
        <v>9553</v>
      </c>
      <c r="AT1" s="725"/>
      <c r="AU1" s="436"/>
      <c r="AV1" s="735" t="s">
        <v>9644</v>
      </c>
      <c r="AW1" s="725" t="s">
        <v>9552</v>
      </c>
      <c r="AX1" s="725"/>
      <c r="AY1" s="725" t="s">
        <v>354</v>
      </c>
      <c r="AZ1" s="725"/>
      <c r="BA1" s="725" t="s">
        <v>53</v>
      </c>
      <c r="BB1" s="725"/>
      <c r="BC1" s="725" t="s">
        <v>9553</v>
      </c>
      <c r="BD1" s="725"/>
    </row>
    <row r="2" spans="1:63" s="292" customFormat="1" ht="23.25" customHeight="1" thickBot="1" x14ac:dyDescent="0.3">
      <c r="A2" s="738"/>
      <c r="B2" s="511" t="s">
        <v>11177</v>
      </c>
      <c r="C2" s="511" t="s">
        <v>11178</v>
      </c>
      <c r="D2" s="511" t="s">
        <v>11177</v>
      </c>
      <c r="E2" s="511" t="s">
        <v>11178</v>
      </c>
      <c r="F2" s="511" t="s">
        <v>11177</v>
      </c>
      <c r="G2" s="511" t="s">
        <v>11178</v>
      </c>
      <c r="H2" s="511" t="s">
        <v>11177</v>
      </c>
      <c r="I2" s="511" t="s">
        <v>11178</v>
      </c>
      <c r="J2" s="511" t="s">
        <v>11177</v>
      </c>
      <c r="K2" s="511" t="s">
        <v>11178</v>
      </c>
      <c r="L2" s="511" t="s">
        <v>11177</v>
      </c>
      <c r="M2" s="511" t="s">
        <v>11178</v>
      </c>
      <c r="N2" s="437"/>
      <c r="O2" s="511" t="s">
        <v>11177</v>
      </c>
      <c r="P2" s="511" t="s">
        <v>11178</v>
      </c>
      <c r="Q2" s="511" t="s">
        <v>11177</v>
      </c>
      <c r="R2" s="511" t="s">
        <v>11178</v>
      </c>
      <c r="S2" s="511" t="s">
        <v>11177</v>
      </c>
      <c r="T2" s="511" t="s">
        <v>11178</v>
      </c>
      <c r="U2" s="511" t="s">
        <v>11177</v>
      </c>
      <c r="V2" s="511" t="s">
        <v>11178</v>
      </c>
      <c r="W2" s="511" t="s">
        <v>11177</v>
      </c>
      <c r="X2" s="511" t="s">
        <v>11178</v>
      </c>
      <c r="Y2" s="511" t="s">
        <v>11177</v>
      </c>
      <c r="Z2" s="511" t="s">
        <v>11178</v>
      </c>
      <c r="AA2" s="437"/>
      <c r="AB2" s="736"/>
      <c r="AC2" s="293" t="s">
        <v>9552</v>
      </c>
      <c r="AD2" s="293" t="s">
        <v>9701</v>
      </c>
      <c r="AE2" s="293" t="s">
        <v>354</v>
      </c>
      <c r="AF2" s="293" t="s">
        <v>9701</v>
      </c>
      <c r="AG2" s="293" t="s">
        <v>53</v>
      </c>
      <c r="AH2" s="293" t="s">
        <v>9701</v>
      </c>
      <c r="AI2" s="293" t="s">
        <v>9553</v>
      </c>
      <c r="AJ2" s="293" t="s">
        <v>9701</v>
      </c>
      <c r="AK2" s="437"/>
      <c r="AL2" s="736"/>
      <c r="AM2" s="293" t="s">
        <v>9552</v>
      </c>
      <c r="AN2" s="293" t="s">
        <v>9701</v>
      </c>
      <c r="AO2" s="293" t="s">
        <v>354</v>
      </c>
      <c r="AP2" s="293" t="s">
        <v>9701</v>
      </c>
      <c r="AQ2" s="293" t="s">
        <v>53</v>
      </c>
      <c r="AR2" s="293" t="s">
        <v>9701</v>
      </c>
      <c r="AS2" s="293" t="s">
        <v>9553</v>
      </c>
      <c r="AT2" s="293" t="s">
        <v>9701</v>
      </c>
      <c r="AU2" s="437"/>
      <c r="AV2" s="736"/>
      <c r="AW2" s="293" t="s">
        <v>9552</v>
      </c>
      <c r="AX2" s="293" t="s">
        <v>9701</v>
      </c>
      <c r="AY2" s="293" t="s">
        <v>354</v>
      </c>
      <c r="AZ2" s="293" t="s">
        <v>9701</v>
      </c>
      <c r="BA2" s="293" t="s">
        <v>53</v>
      </c>
      <c r="BB2" s="293" t="s">
        <v>9701</v>
      </c>
      <c r="BC2" s="293" t="s">
        <v>9553</v>
      </c>
      <c r="BD2" s="293" t="s">
        <v>9701</v>
      </c>
    </row>
    <row r="3" spans="1:63" s="292" customFormat="1" ht="23.25" customHeight="1" x14ac:dyDescent="0.25">
      <c r="A3" s="541">
        <v>1</v>
      </c>
      <c r="B3" s="599"/>
      <c r="C3" s="460"/>
      <c r="D3" s="599"/>
      <c r="E3" s="460"/>
      <c r="F3" s="599"/>
      <c r="G3" s="460"/>
      <c r="H3" s="599"/>
      <c r="I3" s="460"/>
      <c r="J3" s="599"/>
      <c r="K3" s="460"/>
      <c r="L3" s="599"/>
      <c r="M3" s="460"/>
      <c r="N3" s="540"/>
      <c r="O3" s="599"/>
      <c r="P3" s="460"/>
      <c r="Q3" s="599"/>
      <c r="R3" s="460"/>
      <c r="S3" s="599"/>
      <c r="T3" s="460"/>
      <c r="U3" s="599"/>
      <c r="V3" s="460"/>
      <c r="W3" s="599"/>
      <c r="X3" s="460"/>
      <c r="Y3" s="599"/>
      <c r="Z3" s="460"/>
      <c r="AA3" s="540"/>
      <c r="AB3" s="539">
        <v>1</v>
      </c>
      <c r="AC3" s="394"/>
      <c r="AD3" s="394"/>
      <c r="AE3" s="394"/>
      <c r="AF3" s="394"/>
      <c r="AG3" s="394"/>
      <c r="AH3" s="394"/>
      <c r="AI3" s="394"/>
      <c r="AJ3" s="394"/>
      <c r="AK3" s="540"/>
      <c r="AL3" s="539">
        <v>1</v>
      </c>
      <c r="AM3" s="394"/>
      <c r="AN3" s="394"/>
      <c r="AO3" s="394"/>
      <c r="AP3" s="394"/>
      <c r="AQ3" s="394"/>
      <c r="AR3" s="394"/>
      <c r="AS3" s="394"/>
      <c r="AT3" s="394"/>
      <c r="AU3" s="540"/>
      <c r="AV3" s="539">
        <v>1</v>
      </c>
      <c r="AW3" s="394" t="s">
        <v>9700</v>
      </c>
      <c r="AX3" s="394" t="s">
        <v>9646</v>
      </c>
      <c r="AY3" s="394"/>
      <c r="AZ3" s="394"/>
      <c r="BA3" s="394"/>
      <c r="BB3" s="394"/>
      <c r="BC3" s="394" t="s">
        <v>9700</v>
      </c>
      <c r="BD3" s="394" t="s">
        <v>9645</v>
      </c>
    </row>
    <row r="4" spans="1:63" s="292" customFormat="1" ht="23.25" customHeight="1" x14ac:dyDescent="0.25">
      <c r="A4" s="541">
        <v>2</v>
      </c>
      <c r="B4" s="599"/>
      <c r="C4" s="460"/>
      <c r="D4" s="599"/>
      <c r="E4" s="460"/>
      <c r="F4" s="599"/>
      <c r="G4" s="460"/>
      <c r="H4" s="599"/>
      <c r="I4" s="460"/>
      <c r="J4" s="599"/>
      <c r="K4" s="460"/>
      <c r="L4" s="599"/>
      <c r="M4" s="460"/>
      <c r="N4" s="394"/>
      <c r="O4" s="599"/>
      <c r="P4" s="460"/>
      <c r="Q4" s="599"/>
      <c r="R4" s="460"/>
      <c r="S4" s="599"/>
      <c r="T4" s="460"/>
      <c r="U4" s="599"/>
      <c r="V4" s="460"/>
      <c r="W4" s="599"/>
      <c r="X4" s="460"/>
      <c r="Y4" s="599"/>
      <c r="Z4" s="460"/>
      <c r="AA4" s="394"/>
      <c r="AB4" s="541">
        <v>2</v>
      </c>
      <c r="AC4" s="394"/>
      <c r="AD4" s="394"/>
      <c r="AE4" s="394"/>
      <c r="AF4" s="394"/>
      <c r="AG4" s="394"/>
      <c r="AH4" s="394"/>
      <c r="AI4" s="394"/>
      <c r="AJ4" s="394"/>
      <c r="AK4" s="394"/>
      <c r="AL4" s="541">
        <v>2</v>
      </c>
      <c r="AM4" s="394"/>
      <c r="AN4" s="394"/>
      <c r="AO4" s="394"/>
      <c r="AP4" s="394"/>
      <c r="AQ4" s="394"/>
      <c r="AR4" s="394"/>
      <c r="AS4" s="394"/>
      <c r="AT4" s="394"/>
      <c r="AU4" s="394"/>
      <c r="AV4" s="541">
        <v>2</v>
      </c>
      <c r="AW4" s="394"/>
      <c r="AX4" s="394"/>
      <c r="AY4" s="394"/>
      <c r="AZ4" s="394"/>
      <c r="BA4" s="394"/>
      <c r="BB4" s="394"/>
      <c r="BC4" s="394" t="s">
        <v>9700</v>
      </c>
      <c r="BD4" s="394" t="s">
        <v>9645</v>
      </c>
    </row>
    <row r="5" spans="1:63" s="292" customFormat="1" ht="23.25" customHeight="1" x14ac:dyDescent="0.25">
      <c r="A5" s="541">
        <v>3</v>
      </c>
      <c r="B5" s="599"/>
      <c r="C5" s="460"/>
      <c r="D5" s="599"/>
      <c r="E5" s="460"/>
      <c r="F5" s="599"/>
      <c r="G5" s="460"/>
      <c r="H5" s="599"/>
      <c r="I5" s="460"/>
      <c r="J5" s="599"/>
      <c r="K5" s="460"/>
      <c r="L5" s="599"/>
      <c r="M5" s="460"/>
      <c r="N5" s="394"/>
      <c r="O5" s="721" t="s">
        <v>12322</v>
      </c>
      <c r="P5" s="722"/>
      <c r="Q5" s="722"/>
      <c r="R5" s="722"/>
      <c r="S5" s="722"/>
      <c r="T5" s="722"/>
      <c r="U5" s="722"/>
      <c r="V5" s="722"/>
      <c r="W5" s="722"/>
      <c r="X5" s="722"/>
      <c r="Y5" s="722"/>
      <c r="Z5" s="723"/>
      <c r="AA5" s="394"/>
      <c r="AB5" s="541">
        <v>3</v>
      </c>
      <c r="AC5" s="394"/>
      <c r="AD5" s="394"/>
      <c r="AE5" s="394"/>
      <c r="AF5" s="394"/>
      <c r="AG5" s="394"/>
      <c r="AH5" s="394"/>
      <c r="AI5" s="394"/>
      <c r="AJ5" s="394"/>
      <c r="AK5" s="394"/>
      <c r="AL5" s="541">
        <v>3</v>
      </c>
      <c r="AM5" s="394"/>
      <c r="AN5" s="394"/>
      <c r="AO5" s="394"/>
      <c r="AP5" s="394"/>
      <c r="AQ5" s="394"/>
      <c r="AR5" s="394"/>
      <c r="AS5" s="394"/>
      <c r="AT5" s="394"/>
      <c r="AU5" s="394"/>
      <c r="AV5" s="541">
        <v>3</v>
      </c>
      <c r="AW5" s="394"/>
      <c r="AX5" s="394"/>
      <c r="AY5" s="394"/>
      <c r="AZ5" s="394"/>
      <c r="BA5" s="394"/>
      <c r="BB5" s="394"/>
      <c r="BC5" s="394" t="s">
        <v>9700</v>
      </c>
      <c r="BD5" s="394" t="s">
        <v>9645</v>
      </c>
      <c r="BE5" s="542"/>
      <c r="BF5" s="543"/>
      <c r="BG5" s="542"/>
    </row>
    <row r="6" spans="1:63" s="292" customFormat="1" ht="23.25" customHeight="1" x14ac:dyDescent="0.25">
      <c r="A6" s="541">
        <v>4</v>
      </c>
      <c r="B6" s="599"/>
      <c r="C6" s="460"/>
      <c r="D6" s="599"/>
      <c r="E6" s="460"/>
      <c r="F6" s="599"/>
      <c r="G6" s="460"/>
      <c r="H6" s="599"/>
      <c r="I6" s="460"/>
      <c r="J6" s="599"/>
      <c r="K6" s="460"/>
      <c r="L6" s="599"/>
      <c r="M6" s="460"/>
      <c r="N6" s="540"/>
      <c r="O6" s="599">
        <v>0.44444444444444442</v>
      </c>
      <c r="P6" s="460"/>
      <c r="Q6" s="599"/>
      <c r="R6" s="460"/>
      <c r="S6" s="599">
        <v>0.44791666666666669</v>
      </c>
      <c r="T6" s="460"/>
      <c r="U6" s="599"/>
      <c r="V6" s="460"/>
      <c r="W6" s="599"/>
      <c r="X6" s="460"/>
      <c r="Y6" s="599">
        <v>0.44791666666666669</v>
      </c>
      <c r="Z6" s="460"/>
      <c r="AA6" s="540"/>
      <c r="AB6" s="539">
        <v>4</v>
      </c>
      <c r="AC6" s="394"/>
      <c r="AD6" s="394"/>
      <c r="AE6" s="394"/>
      <c r="AF6" s="394"/>
      <c r="AG6" s="394"/>
      <c r="AH6" s="394"/>
      <c r="AI6" s="394"/>
      <c r="AJ6" s="394"/>
      <c r="AK6" s="540"/>
      <c r="AL6" s="539">
        <v>4</v>
      </c>
      <c r="AM6" s="394"/>
      <c r="AN6" s="394"/>
      <c r="AO6" s="394"/>
      <c r="AP6" s="394"/>
      <c r="AQ6" s="394"/>
      <c r="AR6" s="394"/>
      <c r="AS6" s="394"/>
      <c r="AT6" s="394"/>
      <c r="AU6" s="540"/>
      <c r="AV6" s="539">
        <v>4</v>
      </c>
      <c r="AW6" s="394"/>
      <c r="AX6" s="394"/>
      <c r="AY6" s="394"/>
      <c r="AZ6" s="394"/>
      <c r="BA6" s="394"/>
      <c r="BB6" s="394"/>
      <c r="BC6" s="394"/>
      <c r="BD6" s="394"/>
      <c r="BE6" s="542"/>
      <c r="BF6" s="542"/>
      <c r="BG6" s="542"/>
    </row>
    <row r="7" spans="1:63" s="292" customFormat="1" ht="23.25" customHeight="1" x14ac:dyDescent="0.25">
      <c r="A7" s="541">
        <v>5</v>
      </c>
      <c r="B7" s="599"/>
      <c r="C7" s="460"/>
      <c r="D7" s="599"/>
      <c r="E7" s="460"/>
      <c r="F7" s="599"/>
      <c r="G7" s="460"/>
      <c r="H7" s="599"/>
      <c r="I7" s="460"/>
      <c r="J7" s="599"/>
      <c r="K7" s="460"/>
      <c r="L7" s="599"/>
      <c r="M7" s="460"/>
      <c r="N7" s="394"/>
      <c r="O7" s="599"/>
      <c r="P7" s="460"/>
      <c r="Q7" s="599"/>
      <c r="R7" s="460"/>
      <c r="S7" s="599"/>
      <c r="T7" s="460"/>
      <c r="U7" s="599"/>
      <c r="V7" s="460"/>
      <c r="W7" s="599"/>
      <c r="X7" s="460"/>
      <c r="Y7" s="599"/>
      <c r="Z7" s="460"/>
      <c r="AA7" s="394"/>
      <c r="AB7" s="541">
        <v>5</v>
      </c>
      <c r="AC7" s="394"/>
      <c r="AD7" s="394"/>
      <c r="AE7" s="394"/>
      <c r="AF7" s="394"/>
      <c r="AG7" s="394"/>
      <c r="AH7" s="394"/>
      <c r="AI7" s="394"/>
      <c r="AJ7" s="394"/>
      <c r="AK7" s="394"/>
      <c r="AL7" s="541">
        <v>5</v>
      </c>
      <c r="AM7" s="394"/>
      <c r="AN7" s="394"/>
      <c r="AO7" s="394"/>
      <c r="AP7" s="394"/>
      <c r="AQ7" s="394"/>
      <c r="AR7" s="394"/>
      <c r="AS7" s="394"/>
      <c r="AT7" s="394"/>
      <c r="AU7" s="394"/>
      <c r="AV7" s="541">
        <v>5</v>
      </c>
      <c r="AW7" s="394"/>
      <c r="AX7" s="394"/>
      <c r="AY7" s="394"/>
      <c r="AZ7" s="394"/>
      <c r="BA7" s="394"/>
      <c r="BB7" s="394"/>
      <c r="BC7" s="394" t="s">
        <v>9700</v>
      </c>
      <c r="BD7" s="394" t="s">
        <v>9645</v>
      </c>
      <c r="BE7" s="542"/>
      <c r="BF7" s="542"/>
      <c r="BG7" s="542"/>
    </row>
    <row r="8" spans="1:63" s="292" customFormat="1" ht="23.25" customHeight="1" x14ac:dyDescent="0.25">
      <c r="A8" s="541">
        <v>6</v>
      </c>
      <c r="B8" s="599"/>
      <c r="C8" s="460"/>
      <c r="D8" s="599"/>
      <c r="E8" s="460"/>
      <c r="F8" s="599"/>
      <c r="G8" s="460"/>
      <c r="H8" s="599"/>
      <c r="I8" s="460"/>
      <c r="J8" s="599"/>
      <c r="K8" s="460"/>
      <c r="L8" s="599"/>
      <c r="M8" s="460"/>
      <c r="N8" s="394"/>
      <c r="O8" s="599"/>
      <c r="P8" s="460"/>
      <c r="Q8" s="599"/>
      <c r="R8" s="460"/>
      <c r="S8" s="599"/>
      <c r="T8" s="460"/>
      <c r="U8" s="599"/>
      <c r="V8" s="460"/>
      <c r="W8" s="599"/>
      <c r="X8" s="460"/>
      <c r="Y8" s="599"/>
      <c r="Z8" s="460"/>
      <c r="AA8" s="394"/>
      <c r="AB8" s="541">
        <v>6</v>
      </c>
      <c r="AC8" s="394"/>
      <c r="AD8" s="394"/>
      <c r="AE8" s="394"/>
      <c r="AF8" s="394"/>
      <c r="AG8" s="394"/>
      <c r="AH8" s="394"/>
      <c r="AI8" s="394"/>
      <c r="AJ8" s="394"/>
      <c r="AK8" s="394"/>
      <c r="AL8" s="541">
        <v>6</v>
      </c>
      <c r="AM8" s="394"/>
      <c r="AN8" s="394"/>
      <c r="AO8" s="394"/>
      <c r="AP8" s="394"/>
      <c r="AQ8" s="394"/>
      <c r="AR8" s="394"/>
      <c r="AS8" s="394"/>
      <c r="AT8" s="394"/>
      <c r="AU8" s="394"/>
      <c r="AV8" s="541">
        <v>6</v>
      </c>
      <c r="AW8" s="394"/>
      <c r="AX8" s="394"/>
      <c r="AY8" s="394"/>
      <c r="AZ8" s="394"/>
      <c r="BA8" s="394"/>
      <c r="BB8" s="394"/>
      <c r="BC8" s="394" t="s">
        <v>9700</v>
      </c>
      <c r="BD8" s="394" t="s">
        <v>9645</v>
      </c>
      <c r="BE8" s="542"/>
      <c r="BF8" s="542"/>
      <c r="BG8" s="542"/>
    </row>
    <row r="9" spans="1:63" s="292" customFormat="1" ht="23.25" customHeight="1" x14ac:dyDescent="0.25">
      <c r="A9" s="541">
        <v>7</v>
      </c>
      <c r="B9" s="721" t="s">
        <v>12322</v>
      </c>
      <c r="C9" s="722"/>
      <c r="D9" s="722"/>
      <c r="E9" s="722"/>
      <c r="F9" s="722"/>
      <c r="G9" s="722"/>
      <c r="H9" s="722"/>
      <c r="I9" s="722"/>
      <c r="J9" s="722"/>
      <c r="K9" s="722"/>
      <c r="L9" s="722"/>
      <c r="M9" s="723"/>
      <c r="N9" s="540"/>
      <c r="O9" s="599"/>
      <c r="P9" s="460"/>
      <c r="Q9" s="599"/>
      <c r="R9" s="460"/>
      <c r="S9" s="599"/>
      <c r="T9" s="460"/>
      <c r="U9" s="599"/>
      <c r="V9" s="460"/>
      <c r="W9" s="599"/>
      <c r="X9" s="460"/>
      <c r="Y9" s="599"/>
      <c r="Z9" s="460"/>
      <c r="AA9" s="540"/>
      <c r="AB9" s="539">
        <v>7</v>
      </c>
      <c r="AC9" s="394"/>
      <c r="AD9" s="394"/>
      <c r="AE9" s="394"/>
      <c r="AF9" s="394"/>
      <c r="AG9" s="394"/>
      <c r="AH9" s="394"/>
      <c r="AI9" s="394"/>
      <c r="AJ9" s="394"/>
      <c r="AK9" s="540"/>
      <c r="AL9" s="539">
        <v>7</v>
      </c>
      <c r="AM9" s="394"/>
      <c r="AN9" s="394"/>
      <c r="AO9" s="394" t="s">
        <v>9700</v>
      </c>
      <c r="AP9" s="394" t="s">
        <v>9900</v>
      </c>
      <c r="AQ9" s="394"/>
      <c r="AR9" s="394"/>
      <c r="AS9" s="394"/>
      <c r="AT9" s="394"/>
      <c r="AU9" s="540"/>
      <c r="AV9" s="539">
        <v>7</v>
      </c>
      <c r="AW9" s="394"/>
      <c r="AX9" s="394"/>
      <c r="AY9" s="394"/>
      <c r="AZ9" s="394"/>
      <c r="BA9" s="394"/>
      <c r="BB9" s="394"/>
      <c r="BC9" s="394" t="s">
        <v>9700</v>
      </c>
      <c r="BD9" s="394" t="s">
        <v>9645</v>
      </c>
      <c r="BE9" s="542"/>
      <c r="BF9" s="726" t="s">
        <v>9909</v>
      </c>
      <c r="BG9" s="727"/>
      <c r="BH9" s="727"/>
      <c r="BI9" s="727"/>
      <c r="BJ9" s="727"/>
      <c r="BK9" s="728"/>
    </row>
    <row r="10" spans="1:63" s="292" customFormat="1" ht="23.25" customHeight="1" x14ac:dyDescent="0.25">
      <c r="A10" s="541">
        <v>8</v>
      </c>
      <c r="B10" s="599"/>
      <c r="C10" s="460"/>
      <c r="D10" s="599"/>
      <c r="E10" s="460"/>
      <c r="F10" s="599"/>
      <c r="G10" s="460"/>
      <c r="H10" s="599"/>
      <c r="I10" s="460"/>
      <c r="J10" s="599"/>
      <c r="K10" s="460"/>
      <c r="L10" s="599"/>
      <c r="M10" s="460"/>
      <c r="N10" s="394"/>
      <c r="O10" s="599"/>
      <c r="P10" s="460"/>
      <c r="Q10" s="599"/>
      <c r="R10" s="460"/>
      <c r="S10" s="599"/>
      <c r="T10" s="460"/>
      <c r="U10" s="599"/>
      <c r="V10" s="460"/>
      <c r="W10" s="599"/>
      <c r="X10" s="460"/>
      <c r="Y10" s="599"/>
      <c r="Z10" s="460"/>
      <c r="AA10" s="394"/>
      <c r="AB10" s="541">
        <v>8</v>
      </c>
      <c r="AC10" s="394"/>
      <c r="AD10" s="394"/>
      <c r="AE10" s="394" t="s">
        <v>9700</v>
      </c>
      <c r="AF10" s="394"/>
      <c r="AG10" s="394"/>
      <c r="AH10" s="394"/>
      <c r="AI10" s="394"/>
      <c r="AJ10" s="394"/>
      <c r="AK10" s="394"/>
      <c r="AL10" s="541">
        <v>8</v>
      </c>
      <c r="AM10" s="394"/>
      <c r="AN10" s="394"/>
      <c r="AO10" s="394" t="s">
        <v>9700</v>
      </c>
      <c r="AP10" s="394" t="s">
        <v>9900</v>
      </c>
      <c r="AQ10" s="394"/>
      <c r="AR10" s="394"/>
      <c r="AS10" s="394"/>
      <c r="AT10" s="394"/>
      <c r="AU10" s="394"/>
      <c r="AV10" s="541">
        <v>8</v>
      </c>
      <c r="AW10" s="394"/>
      <c r="AX10" s="394"/>
      <c r="AY10" s="394"/>
      <c r="AZ10" s="394"/>
      <c r="BA10" s="394"/>
      <c r="BB10" s="394"/>
      <c r="BC10" s="394" t="s">
        <v>9700</v>
      </c>
      <c r="BD10" s="394" t="s">
        <v>9645</v>
      </c>
      <c r="BF10" s="729"/>
      <c r="BG10" s="730"/>
      <c r="BH10" s="730"/>
      <c r="BI10" s="730"/>
      <c r="BJ10" s="730"/>
      <c r="BK10" s="731"/>
    </row>
    <row r="11" spans="1:63" s="292" customFormat="1" ht="23.25" customHeight="1" x14ac:dyDescent="0.25">
      <c r="A11" s="541">
        <v>9</v>
      </c>
      <c r="B11" s="599"/>
      <c r="C11" s="460"/>
      <c r="D11" s="599"/>
      <c r="E11" s="460"/>
      <c r="F11" s="599"/>
      <c r="G11" s="460"/>
      <c r="H11" s="599"/>
      <c r="I11" s="460"/>
      <c r="J11" s="599"/>
      <c r="K11" s="460"/>
      <c r="L11" s="599"/>
      <c r="M11" s="460"/>
      <c r="N11" s="394"/>
      <c r="O11" s="599"/>
      <c r="P11" s="460"/>
      <c r="Q11" s="599"/>
      <c r="R11" s="460"/>
      <c r="S11" s="599"/>
      <c r="T11" s="460"/>
      <c r="U11" s="599"/>
      <c r="V11" s="460"/>
      <c r="W11" s="599"/>
      <c r="X11" s="460"/>
      <c r="Y11" s="599"/>
      <c r="Z11" s="460"/>
      <c r="AA11" s="394"/>
      <c r="AB11" s="541">
        <v>9</v>
      </c>
      <c r="AC11" s="394"/>
      <c r="AD11" s="394"/>
      <c r="AE11" s="394"/>
      <c r="AF11" s="394"/>
      <c r="AG11" s="394"/>
      <c r="AH11" s="394"/>
      <c r="AI11" s="394"/>
      <c r="AJ11" s="394"/>
      <c r="AK11" s="394"/>
      <c r="AL11" s="541">
        <v>9</v>
      </c>
      <c r="AM11" s="394"/>
      <c r="AN11" s="394"/>
      <c r="AO11" s="394"/>
      <c r="AP11" s="394"/>
      <c r="AQ11" s="394"/>
      <c r="AR11" s="394"/>
      <c r="AS11" s="394"/>
      <c r="AT11" s="394"/>
      <c r="AU11" s="394"/>
      <c r="AV11" s="541">
        <v>9</v>
      </c>
      <c r="AW11" s="394"/>
      <c r="AX11" s="394"/>
      <c r="AY11" s="394"/>
      <c r="AZ11" s="394"/>
      <c r="BA11" s="394" t="s">
        <v>9700</v>
      </c>
      <c r="BB11" s="394"/>
      <c r="BC11" s="394"/>
      <c r="BD11" s="394"/>
      <c r="BF11" s="729"/>
      <c r="BG11" s="730"/>
      <c r="BH11" s="730"/>
      <c r="BI11" s="730"/>
      <c r="BJ11" s="730"/>
      <c r="BK11" s="731"/>
    </row>
    <row r="12" spans="1:63" s="292" customFormat="1" ht="23.25" customHeight="1" x14ac:dyDescent="0.25">
      <c r="A12" s="541">
        <v>10</v>
      </c>
      <c r="B12" s="599"/>
      <c r="C12" s="460"/>
      <c r="D12" s="599"/>
      <c r="E12" s="460"/>
      <c r="F12" s="599"/>
      <c r="G12" s="460"/>
      <c r="H12" s="599"/>
      <c r="I12" s="460"/>
      <c r="J12" s="599"/>
      <c r="K12" s="460"/>
      <c r="L12" s="599"/>
      <c r="M12" s="460"/>
      <c r="N12" s="540"/>
      <c r="O12" s="721" t="s">
        <v>12322</v>
      </c>
      <c r="P12" s="722"/>
      <c r="Q12" s="722"/>
      <c r="R12" s="722"/>
      <c r="S12" s="722"/>
      <c r="T12" s="722"/>
      <c r="U12" s="722"/>
      <c r="V12" s="722"/>
      <c r="W12" s="722"/>
      <c r="X12" s="722"/>
      <c r="Y12" s="722"/>
      <c r="Z12" s="723"/>
      <c r="AA12" s="540"/>
      <c r="AB12" s="539">
        <v>10</v>
      </c>
      <c r="AC12" s="394"/>
      <c r="AD12" s="394"/>
      <c r="AE12" s="394"/>
      <c r="AF12" s="394"/>
      <c r="AG12" s="394"/>
      <c r="AH12" s="394"/>
      <c r="AI12" s="394"/>
      <c r="AJ12" s="394"/>
      <c r="AK12" s="540"/>
      <c r="AL12" s="539">
        <v>10</v>
      </c>
      <c r="AM12" s="394"/>
      <c r="AN12" s="394"/>
      <c r="AO12" s="394"/>
      <c r="AP12" s="394"/>
      <c r="AQ12" s="394"/>
      <c r="AR12" s="394"/>
      <c r="AS12" s="394"/>
      <c r="AT12" s="394"/>
      <c r="AU12" s="540"/>
      <c r="AV12" s="539">
        <v>10</v>
      </c>
      <c r="AW12" s="394"/>
      <c r="AX12" s="394"/>
      <c r="AY12" s="394"/>
      <c r="AZ12" s="394"/>
      <c r="BA12" s="394"/>
      <c r="BB12" s="394"/>
      <c r="BC12" s="394"/>
      <c r="BD12" s="394"/>
      <c r="BF12" s="729"/>
      <c r="BG12" s="730"/>
      <c r="BH12" s="730"/>
      <c r="BI12" s="730"/>
      <c r="BJ12" s="730"/>
      <c r="BK12" s="731"/>
    </row>
    <row r="13" spans="1:63" s="292" customFormat="1" ht="23.25" customHeight="1" x14ac:dyDescent="0.25">
      <c r="A13" s="541">
        <v>11</v>
      </c>
      <c r="B13" s="599"/>
      <c r="C13" s="460"/>
      <c r="D13" s="599"/>
      <c r="E13" s="460"/>
      <c r="F13" s="599"/>
      <c r="G13" s="460"/>
      <c r="H13" s="599"/>
      <c r="I13" s="460"/>
      <c r="J13" s="599"/>
      <c r="K13" s="460"/>
      <c r="L13" s="599"/>
      <c r="M13" s="460"/>
      <c r="N13" s="540"/>
      <c r="O13" s="599"/>
      <c r="P13" s="460"/>
      <c r="Q13" s="599"/>
      <c r="R13" s="460"/>
      <c r="S13" s="599"/>
      <c r="T13" s="460"/>
      <c r="U13" s="599"/>
      <c r="V13" s="460"/>
      <c r="W13" s="599"/>
      <c r="X13" s="460"/>
      <c r="Y13" s="599"/>
      <c r="Z13" s="460"/>
      <c r="AA13" s="540"/>
      <c r="AB13" s="541">
        <v>11</v>
      </c>
      <c r="AC13" s="394"/>
      <c r="AD13" s="394"/>
      <c r="AE13" s="394"/>
      <c r="AF13" s="394"/>
      <c r="AG13" s="394"/>
      <c r="AH13" s="394"/>
      <c r="AI13" s="394"/>
      <c r="AJ13" s="394"/>
      <c r="AK13" s="540"/>
      <c r="AL13" s="541">
        <v>11</v>
      </c>
      <c r="AM13" s="394"/>
      <c r="AN13" s="394"/>
      <c r="AO13" s="394"/>
      <c r="AP13" s="394"/>
      <c r="AQ13" s="394"/>
      <c r="AR13" s="394"/>
      <c r="AS13" s="394"/>
      <c r="AT13" s="394"/>
      <c r="AU13" s="540"/>
      <c r="AV13" s="539">
        <v>4</v>
      </c>
      <c r="AW13" s="394"/>
      <c r="AX13" s="394"/>
      <c r="AY13" s="394"/>
      <c r="AZ13" s="394"/>
      <c r="BA13" s="394"/>
      <c r="BB13" s="394"/>
      <c r="BC13" s="394"/>
      <c r="BD13" s="394"/>
      <c r="BF13" s="729"/>
      <c r="BG13" s="730"/>
      <c r="BH13" s="730"/>
      <c r="BI13" s="730"/>
      <c r="BJ13" s="730"/>
      <c r="BK13" s="731"/>
    </row>
    <row r="14" spans="1:63" s="292" customFormat="1" ht="23.25" customHeight="1" x14ac:dyDescent="0.25">
      <c r="A14" s="541">
        <v>12</v>
      </c>
      <c r="B14" s="599"/>
      <c r="C14" s="460"/>
      <c r="D14" s="599"/>
      <c r="E14" s="460"/>
      <c r="F14" s="599"/>
      <c r="G14" s="460"/>
      <c r="H14" s="599"/>
      <c r="I14" s="460"/>
      <c r="J14" s="599"/>
      <c r="K14" s="460"/>
      <c r="L14" s="599"/>
      <c r="M14" s="460"/>
      <c r="O14" s="599"/>
      <c r="P14" s="460"/>
      <c r="Q14" s="599"/>
      <c r="R14" s="460"/>
      <c r="S14" s="599"/>
      <c r="T14" s="460"/>
      <c r="U14" s="599"/>
      <c r="V14" s="460"/>
      <c r="W14" s="599"/>
      <c r="X14" s="460"/>
      <c r="Y14" s="599"/>
      <c r="Z14" s="460"/>
      <c r="AB14" s="541">
        <v>12</v>
      </c>
      <c r="AC14" s="394"/>
      <c r="AD14" s="394"/>
      <c r="AE14" s="394"/>
      <c r="AG14" s="394"/>
      <c r="AI14" s="394"/>
      <c r="AJ14" s="394"/>
      <c r="AL14" s="541">
        <v>12</v>
      </c>
      <c r="AM14" s="394"/>
      <c r="AN14" s="394"/>
      <c r="AO14" s="394"/>
      <c r="AQ14" s="394"/>
      <c r="AS14" s="394" t="s">
        <v>9700</v>
      </c>
      <c r="AT14" s="394" t="s">
        <v>9646</v>
      </c>
      <c r="AV14" s="541">
        <v>12</v>
      </c>
      <c r="AY14" s="394"/>
      <c r="BA14" s="394"/>
      <c r="BC14" s="394"/>
      <c r="BF14" s="729"/>
      <c r="BG14" s="730"/>
      <c r="BH14" s="730"/>
      <c r="BI14" s="730"/>
      <c r="BJ14" s="730"/>
      <c r="BK14" s="731"/>
    </row>
    <row r="15" spans="1:63" s="292" customFormat="1" ht="23.25" customHeight="1" x14ac:dyDescent="0.25">
      <c r="A15" s="541">
        <v>13</v>
      </c>
      <c r="B15" s="599"/>
      <c r="C15" s="460"/>
      <c r="D15" s="599"/>
      <c r="E15" s="460"/>
      <c r="F15" s="599"/>
      <c r="G15" s="460"/>
      <c r="H15" s="599"/>
      <c r="I15" s="460"/>
      <c r="J15" s="599"/>
      <c r="K15" s="460"/>
      <c r="L15" s="599"/>
      <c r="M15" s="460"/>
      <c r="N15" s="540"/>
      <c r="O15" s="599"/>
      <c r="P15" s="460"/>
      <c r="Q15" s="599"/>
      <c r="R15" s="460"/>
      <c r="S15" s="599"/>
      <c r="T15" s="460"/>
      <c r="U15" s="599"/>
      <c r="V15" s="460"/>
      <c r="W15" s="599"/>
      <c r="X15" s="460"/>
      <c r="Y15" s="599"/>
      <c r="Z15" s="460"/>
      <c r="AA15" s="540"/>
      <c r="AB15" s="539">
        <v>13</v>
      </c>
      <c r="AC15" s="394"/>
      <c r="AD15" s="394"/>
      <c r="AE15" s="394"/>
      <c r="AF15" s="394"/>
      <c r="AG15" s="394"/>
      <c r="AH15" s="394"/>
      <c r="AI15" s="394"/>
      <c r="AJ15" s="394"/>
      <c r="AK15" s="540"/>
      <c r="AL15" s="539">
        <v>13</v>
      </c>
      <c r="AM15" s="394"/>
      <c r="AN15" s="394"/>
      <c r="AO15" s="394"/>
      <c r="AP15" s="394"/>
      <c r="AQ15" s="394"/>
      <c r="AR15" s="394"/>
      <c r="AS15" s="394"/>
      <c r="AT15" s="394"/>
      <c r="AU15" s="540"/>
      <c r="AV15" s="539">
        <v>13</v>
      </c>
      <c r="AW15" s="394" t="s">
        <v>9700</v>
      </c>
      <c r="AX15" s="394" t="s">
        <v>9742</v>
      </c>
      <c r="AY15" s="394"/>
      <c r="AZ15" s="394"/>
      <c r="BA15" s="394"/>
      <c r="BB15" s="394"/>
      <c r="BC15" s="394"/>
      <c r="BD15" s="394"/>
      <c r="BF15" s="729"/>
      <c r="BG15" s="730"/>
      <c r="BH15" s="730"/>
      <c r="BI15" s="730"/>
      <c r="BJ15" s="730"/>
      <c r="BK15" s="731"/>
    </row>
    <row r="16" spans="1:63" s="292" customFormat="1" ht="23.25" customHeight="1" x14ac:dyDescent="0.25">
      <c r="A16" s="541">
        <v>14</v>
      </c>
      <c r="B16" s="721" t="s">
        <v>12322</v>
      </c>
      <c r="C16" s="722"/>
      <c r="D16" s="722"/>
      <c r="E16" s="722"/>
      <c r="F16" s="722"/>
      <c r="G16" s="722"/>
      <c r="H16" s="722"/>
      <c r="I16" s="722"/>
      <c r="J16" s="722"/>
      <c r="K16" s="722"/>
      <c r="L16" s="722"/>
      <c r="M16" s="723"/>
      <c r="N16" s="394"/>
      <c r="O16" s="599"/>
      <c r="P16" s="460"/>
      <c r="Q16" s="599"/>
      <c r="R16" s="460"/>
      <c r="S16" s="599"/>
      <c r="T16" s="460"/>
      <c r="U16" s="599"/>
      <c r="V16" s="460"/>
      <c r="W16" s="599"/>
      <c r="X16" s="460"/>
      <c r="Y16" s="599"/>
      <c r="Z16" s="460"/>
      <c r="AA16" s="394"/>
      <c r="AB16" s="541">
        <v>14</v>
      </c>
      <c r="AC16" s="394"/>
      <c r="AD16" s="394"/>
      <c r="AE16" s="394"/>
      <c r="AF16" s="394"/>
      <c r="AG16" s="394"/>
      <c r="AH16" s="394"/>
      <c r="AI16" s="394"/>
      <c r="AJ16" s="394"/>
      <c r="AK16" s="394"/>
      <c r="AL16" s="541">
        <v>14</v>
      </c>
      <c r="AM16" s="394"/>
      <c r="AN16" s="394"/>
      <c r="AO16" s="394"/>
      <c r="AP16" s="394"/>
      <c r="AQ16" s="394"/>
      <c r="AR16" s="394"/>
      <c r="AS16" s="394"/>
      <c r="AT16" s="394"/>
      <c r="AU16" s="394"/>
      <c r="AV16" s="541">
        <v>14</v>
      </c>
      <c r="AW16" s="394"/>
      <c r="AX16" s="394"/>
      <c r="AY16" s="394"/>
      <c r="AZ16" s="394"/>
      <c r="BA16" s="394"/>
      <c r="BB16" s="394"/>
      <c r="BC16" s="394"/>
      <c r="BD16" s="394"/>
      <c r="BF16" s="729"/>
      <c r="BG16" s="730"/>
      <c r="BH16" s="730"/>
      <c r="BI16" s="730"/>
      <c r="BJ16" s="730"/>
      <c r="BK16" s="731"/>
    </row>
    <row r="17" spans="1:63" s="292" customFormat="1" ht="23.25" customHeight="1" x14ac:dyDescent="0.25">
      <c r="A17" s="541">
        <v>15</v>
      </c>
      <c r="B17" s="599"/>
      <c r="C17" s="460"/>
      <c r="D17" s="599"/>
      <c r="E17" s="460"/>
      <c r="F17" s="599"/>
      <c r="G17" s="460"/>
      <c r="H17" s="599"/>
      <c r="I17" s="460"/>
      <c r="J17" s="599"/>
      <c r="K17" s="460"/>
      <c r="L17" s="599"/>
      <c r="M17" s="460"/>
      <c r="N17" s="394"/>
      <c r="O17" s="599"/>
      <c r="P17" s="460"/>
      <c r="Q17" s="599"/>
      <c r="R17" s="460"/>
      <c r="S17" s="599"/>
      <c r="T17" s="460"/>
      <c r="U17" s="599"/>
      <c r="V17" s="460"/>
      <c r="W17" s="599"/>
      <c r="X17" s="460"/>
      <c r="Y17" s="599"/>
      <c r="Z17" s="460"/>
      <c r="AA17" s="394"/>
      <c r="AB17" s="541">
        <v>15</v>
      </c>
      <c r="AC17" s="394"/>
      <c r="AD17" s="394"/>
      <c r="AE17" s="394"/>
      <c r="AF17" s="394"/>
      <c r="AG17" s="394"/>
      <c r="AH17" s="394"/>
      <c r="AI17" s="394"/>
      <c r="AJ17" s="394"/>
      <c r="AK17" s="394"/>
      <c r="AL17" s="541">
        <v>15</v>
      </c>
      <c r="AM17" s="394"/>
      <c r="AN17" s="394"/>
      <c r="AO17" s="394"/>
      <c r="AP17" s="394"/>
      <c r="AQ17" s="394"/>
      <c r="AR17" s="394"/>
      <c r="AS17" s="394"/>
      <c r="AT17" s="394"/>
      <c r="AU17" s="394"/>
      <c r="AV17" s="541">
        <v>15</v>
      </c>
      <c r="AW17" s="394"/>
      <c r="AX17" s="394"/>
      <c r="AY17" s="394"/>
      <c r="AZ17" s="394"/>
      <c r="BA17" s="394"/>
      <c r="BB17" s="394"/>
      <c r="BC17" s="394"/>
      <c r="BD17" s="394"/>
      <c r="BF17" s="732"/>
      <c r="BG17" s="733"/>
      <c r="BH17" s="733"/>
      <c r="BI17" s="733"/>
      <c r="BJ17" s="733"/>
      <c r="BK17" s="734"/>
    </row>
    <row r="18" spans="1:63" s="292" customFormat="1" ht="23.25" customHeight="1" x14ac:dyDescent="0.25">
      <c r="A18" s="541">
        <v>16</v>
      </c>
      <c r="B18" s="599"/>
      <c r="C18" s="460"/>
      <c r="D18" s="599"/>
      <c r="E18" s="460"/>
      <c r="F18" s="599"/>
      <c r="G18" s="460"/>
      <c r="H18" s="599"/>
      <c r="I18" s="460"/>
      <c r="J18" s="599"/>
      <c r="K18" s="460"/>
      <c r="L18" s="599"/>
      <c r="M18" s="460"/>
      <c r="N18" s="540"/>
      <c r="O18" s="599"/>
      <c r="P18" s="460"/>
      <c r="Q18" s="599"/>
      <c r="R18" s="460"/>
      <c r="S18" s="599"/>
      <c r="T18" s="460"/>
      <c r="U18" s="599"/>
      <c r="V18" s="460"/>
      <c r="W18" s="599"/>
      <c r="X18" s="460"/>
      <c r="Y18" s="599"/>
      <c r="Z18" s="460"/>
      <c r="AA18" s="540"/>
      <c r="AB18" s="539">
        <v>16</v>
      </c>
      <c r="AC18" s="394"/>
      <c r="AD18" s="394"/>
      <c r="AE18" s="394"/>
      <c r="AF18" s="394"/>
      <c r="AG18" s="394"/>
      <c r="AH18" s="394"/>
      <c r="AI18" s="394"/>
      <c r="AJ18" s="394"/>
      <c r="AK18" s="540"/>
      <c r="AL18" s="539">
        <v>16</v>
      </c>
      <c r="AM18" s="394"/>
      <c r="AN18" s="394"/>
      <c r="AO18" s="394"/>
      <c r="AP18" s="394"/>
      <c r="AQ18" s="394"/>
      <c r="AR18" s="394"/>
      <c r="AS18" s="394"/>
      <c r="AT18" s="394"/>
      <c r="AU18" s="540"/>
      <c r="AV18" s="539">
        <v>16</v>
      </c>
      <c r="AW18" s="394"/>
      <c r="AX18" s="394"/>
      <c r="AY18" s="394"/>
      <c r="AZ18" s="394"/>
      <c r="BA18" s="394"/>
      <c r="BB18" s="394"/>
      <c r="BC18" s="394"/>
      <c r="BD18" s="394"/>
    </row>
    <row r="19" spans="1:63" s="292" customFormat="1" ht="23.25" customHeight="1" x14ac:dyDescent="0.25">
      <c r="A19" s="541">
        <v>17</v>
      </c>
      <c r="B19" s="599"/>
      <c r="C19" s="460"/>
      <c r="D19" s="599"/>
      <c r="E19" s="460"/>
      <c r="F19" s="599"/>
      <c r="G19" s="460"/>
      <c r="H19" s="599"/>
      <c r="I19" s="460"/>
      <c r="J19" s="599"/>
      <c r="K19" s="460"/>
      <c r="L19" s="599"/>
      <c r="M19" s="460"/>
      <c r="N19" s="394"/>
      <c r="O19" s="721" t="s">
        <v>12322</v>
      </c>
      <c r="P19" s="722"/>
      <c r="Q19" s="722"/>
      <c r="R19" s="722"/>
      <c r="S19" s="722"/>
      <c r="T19" s="722"/>
      <c r="U19" s="722"/>
      <c r="V19" s="722"/>
      <c r="W19" s="722"/>
      <c r="X19" s="722"/>
      <c r="Y19" s="722"/>
      <c r="Z19" s="723"/>
      <c r="AA19" s="394"/>
      <c r="AB19" s="541">
        <v>17</v>
      </c>
      <c r="AC19" s="394"/>
      <c r="AD19" s="394"/>
      <c r="AE19" s="394"/>
      <c r="AF19" s="394"/>
      <c r="AG19" s="394"/>
      <c r="AH19" s="394"/>
      <c r="AI19" s="394"/>
      <c r="AJ19" s="394"/>
      <c r="AK19" s="394"/>
      <c r="AL19" s="541">
        <v>17</v>
      </c>
      <c r="AM19" s="394"/>
      <c r="AN19" s="394"/>
      <c r="AO19" s="394"/>
      <c r="AP19" s="394"/>
      <c r="AQ19" s="394"/>
      <c r="AR19" s="394"/>
      <c r="AS19" s="394"/>
      <c r="AT19" s="394"/>
      <c r="AU19" s="394"/>
      <c r="AV19" s="541">
        <v>17</v>
      </c>
      <c r="AW19" s="394"/>
      <c r="AX19" s="394"/>
      <c r="AY19" s="394"/>
      <c r="AZ19" s="394"/>
      <c r="BA19" s="394"/>
      <c r="BB19" s="394"/>
      <c r="BC19" s="394"/>
      <c r="BD19" s="394"/>
    </row>
    <row r="20" spans="1:63" s="292" customFormat="1" ht="23.25" customHeight="1" x14ac:dyDescent="0.25">
      <c r="A20" s="541">
        <v>18</v>
      </c>
      <c r="B20" s="599"/>
      <c r="C20" s="460"/>
      <c r="D20" s="599"/>
      <c r="E20" s="460"/>
      <c r="F20" s="599"/>
      <c r="G20" s="460"/>
      <c r="H20" s="599"/>
      <c r="I20" s="460"/>
      <c r="J20" s="599"/>
      <c r="K20" s="460"/>
      <c r="L20" s="599"/>
      <c r="M20" s="460"/>
      <c r="N20" s="540"/>
      <c r="O20" s="599"/>
      <c r="P20" s="460"/>
      <c r="Q20" s="599"/>
      <c r="R20" s="460"/>
      <c r="S20" s="599"/>
      <c r="T20" s="460"/>
      <c r="U20" s="599"/>
      <c r="V20" s="460"/>
      <c r="W20" s="599"/>
      <c r="X20" s="460"/>
      <c r="Y20" s="599"/>
      <c r="Z20" s="460"/>
      <c r="AA20" s="540"/>
      <c r="AB20" s="541">
        <v>18</v>
      </c>
      <c r="AC20" s="394"/>
      <c r="AD20" s="394"/>
      <c r="AE20" s="394"/>
      <c r="AF20" s="394"/>
      <c r="AG20" s="394"/>
      <c r="AH20" s="394"/>
      <c r="AI20" s="394"/>
      <c r="AJ20" s="394"/>
      <c r="AK20" s="540"/>
      <c r="AL20" s="541">
        <v>18</v>
      </c>
      <c r="AM20" s="394"/>
      <c r="AN20" s="394"/>
      <c r="AO20" s="394"/>
      <c r="AP20" s="394"/>
      <c r="AQ20" s="394"/>
      <c r="AR20" s="394"/>
      <c r="AS20" s="394"/>
      <c r="AT20" s="394"/>
      <c r="AU20" s="540"/>
      <c r="AV20" s="539">
        <v>4</v>
      </c>
      <c r="AW20" s="394"/>
      <c r="AX20" s="394"/>
      <c r="AY20" s="394"/>
      <c r="AZ20" s="394"/>
      <c r="BA20" s="394"/>
      <c r="BB20" s="394"/>
      <c r="BC20" s="394"/>
      <c r="BD20" s="394"/>
    </row>
    <row r="21" spans="1:63" s="292" customFormat="1" ht="23.25" customHeight="1" x14ac:dyDescent="0.25">
      <c r="A21" s="541">
        <v>19</v>
      </c>
      <c r="B21" s="599"/>
      <c r="C21" s="460"/>
      <c r="D21" s="599"/>
      <c r="E21" s="460"/>
      <c r="F21" s="599"/>
      <c r="G21" s="460"/>
      <c r="H21" s="599"/>
      <c r="I21" s="460"/>
      <c r="J21" s="599"/>
      <c r="K21" s="460"/>
      <c r="L21" s="599"/>
      <c r="M21" s="460"/>
      <c r="N21" s="540"/>
      <c r="O21" s="599"/>
      <c r="P21" s="460"/>
      <c r="Q21" s="599"/>
      <c r="R21" s="460"/>
      <c r="S21" s="599"/>
      <c r="T21" s="460"/>
      <c r="U21" s="599"/>
      <c r="V21" s="460"/>
      <c r="W21" s="599"/>
      <c r="X21" s="460"/>
      <c r="Y21" s="599"/>
      <c r="Z21" s="460"/>
      <c r="AA21" s="540"/>
      <c r="AB21" s="539">
        <v>19</v>
      </c>
      <c r="AC21" s="394"/>
      <c r="AD21" s="394"/>
      <c r="AE21" s="394"/>
      <c r="AF21" s="394"/>
      <c r="AG21" s="394"/>
      <c r="AH21" s="394"/>
      <c r="AI21" s="394"/>
      <c r="AJ21" s="394"/>
      <c r="AK21" s="540"/>
      <c r="AL21" s="539">
        <v>19</v>
      </c>
      <c r="AM21" s="394"/>
      <c r="AN21" s="394"/>
      <c r="AO21" s="394"/>
      <c r="AP21" s="394"/>
      <c r="AQ21" s="394"/>
      <c r="AR21" s="394"/>
      <c r="AS21" s="394"/>
      <c r="AT21" s="394"/>
      <c r="AU21" s="540"/>
      <c r="AV21" s="539">
        <v>19</v>
      </c>
      <c r="AW21" s="394"/>
      <c r="AX21" s="394"/>
      <c r="AY21" s="394" t="s">
        <v>9700</v>
      </c>
      <c r="AZ21" s="394" t="s">
        <v>9646</v>
      </c>
      <c r="BA21" s="394"/>
      <c r="BB21" s="394"/>
      <c r="BC21" s="394"/>
      <c r="BD21" s="394"/>
    </row>
    <row r="22" spans="1:63" s="292" customFormat="1" ht="23.25" customHeight="1" x14ac:dyDescent="0.25">
      <c r="A22" s="541">
        <v>20</v>
      </c>
      <c r="B22" s="599"/>
      <c r="C22" s="460"/>
      <c r="D22" s="599"/>
      <c r="E22" s="460"/>
      <c r="F22" s="599"/>
      <c r="G22" s="460"/>
      <c r="H22" s="599"/>
      <c r="I22" s="460"/>
      <c r="J22" s="599"/>
      <c r="K22" s="460"/>
      <c r="L22" s="599"/>
      <c r="M22" s="460"/>
      <c r="N22" s="394"/>
      <c r="O22" s="599"/>
      <c r="P22" s="460"/>
      <c r="Q22" s="599"/>
      <c r="R22" s="460"/>
      <c r="S22" s="599"/>
      <c r="T22" s="460"/>
      <c r="U22" s="599"/>
      <c r="V22" s="460"/>
      <c r="W22" s="599"/>
      <c r="X22" s="460"/>
      <c r="Y22" s="599"/>
      <c r="Z22" s="460"/>
      <c r="AA22" s="394"/>
      <c r="AB22" s="541">
        <v>20</v>
      </c>
      <c r="AC22" s="394"/>
      <c r="AD22" s="394"/>
      <c r="AE22" s="394"/>
      <c r="AF22" s="394"/>
      <c r="AG22" s="394"/>
      <c r="AH22" s="394"/>
      <c r="AI22" s="394"/>
      <c r="AJ22" s="394"/>
      <c r="AK22" s="394"/>
      <c r="AL22" s="541">
        <v>20</v>
      </c>
      <c r="AM22" s="394"/>
      <c r="AN22" s="394"/>
      <c r="AO22" s="394"/>
      <c r="AP22" s="394"/>
      <c r="AQ22" s="394"/>
      <c r="AR22" s="394"/>
      <c r="AS22" s="394"/>
      <c r="AT22" s="394"/>
      <c r="AU22" s="394"/>
      <c r="AV22" s="541">
        <v>20</v>
      </c>
      <c r="AW22" s="394"/>
      <c r="AX22" s="394"/>
      <c r="AY22" s="394"/>
      <c r="AZ22" s="394"/>
      <c r="BA22" s="394"/>
      <c r="BB22" s="394"/>
      <c r="BC22" s="394"/>
      <c r="BD22" s="394"/>
    </row>
    <row r="23" spans="1:63" s="292" customFormat="1" ht="23.25" customHeight="1" x14ac:dyDescent="0.25">
      <c r="A23" s="541">
        <v>21</v>
      </c>
      <c r="B23" s="721" t="s">
        <v>12322</v>
      </c>
      <c r="C23" s="722"/>
      <c r="D23" s="722"/>
      <c r="E23" s="722"/>
      <c r="F23" s="722"/>
      <c r="G23" s="722"/>
      <c r="H23" s="722"/>
      <c r="I23" s="722"/>
      <c r="J23" s="722"/>
      <c r="K23" s="722"/>
      <c r="L23" s="722"/>
      <c r="M23" s="723"/>
      <c r="N23" s="394"/>
      <c r="O23" s="599"/>
      <c r="P23" s="460"/>
      <c r="Q23" s="599"/>
      <c r="R23" s="460"/>
      <c r="S23" s="599"/>
      <c r="T23" s="460"/>
      <c r="U23" s="599"/>
      <c r="V23" s="460"/>
      <c r="W23" s="599"/>
      <c r="X23" s="460"/>
      <c r="Y23" s="599"/>
      <c r="Z23" s="460"/>
      <c r="AA23" s="394"/>
      <c r="AB23" s="541">
        <v>21</v>
      </c>
      <c r="AC23" s="394"/>
      <c r="AD23" s="394"/>
      <c r="AE23" s="394"/>
      <c r="AF23" s="394"/>
      <c r="AG23" s="394"/>
      <c r="AH23" s="394"/>
      <c r="AI23" s="394"/>
      <c r="AJ23" s="394"/>
      <c r="AK23" s="394"/>
      <c r="AL23" s="541">
        <v>21</v>
      </c>
      <c r="AM23" s="394"/>
      <c r="AN23" s="394"/>
      <c r="AO23" s="394"/>
      <c r="AP23" s="394"/>
      <c r="AQ23" s="394"/>
      <c r="AR23" s="394"/>
      <c r="AS23" s="394"/>
      <c r="AT23" s="394"/>
      <c r="AU23" s="394"/>
      <c r="AV23" s="541">
        <v>21</v>
      </c>
      <c r="AW23" s="394"/>
      <c r="AX23" s="394"/>
      <c r="AY23" s="394"/>
      <c r="AZ23" s="394"/>
      <c r="BA23" s="394"/>
      <c r="BB23" s="394"/>
      <c r="BC23" s="394"/>
      <c r="BD23" s="394"/>
    </row>
    <row r="24" spans="1:63" s="292" customFormat="1" ht="23.25" customHeight="1" x14ac:dyDescent="0.25">
      <c r="A24" s="541">
        <v>22</v>
      </c>
      <c r="B24" s="599"/>
      <c r="C24" s="460"/>
      <c r="D24" s="599"/>
      <c r="E24" s="460"/>
      <c r="F24" s="599"/>
      <c r="G24" s="460"/>
      <c r="H24" s="599"/>
      <c r="I24" s="460"/>
      <c r="J24" s="599"/>
      <c r="K24" s="460"/>
      <c r="L24" s="599"/>
      <c r="M24" s="460"/>
      <c r="N24" s="540"/>
      <c r="O24" s="599"/>
      <c r="P24" s="460"/>
      <c r="Q24" s="599"/>
      <c r="R24" s="460"/>
      <c r="S24" s="599"/>
      <c r="T24" s="460"/>
      <c r="U24" s="599"/>
      <c r="V24" s="460"/>
      <c r="W24" s="599"/>
      <c r="X24" s="460"/>
      <c r="Y24" s="599"/>
      <c r="Z24" s="460"/>
      <c r="AA24" s="540"/>
      <c r="AB24" s="539">
        <v>22</v>
      </c>
      <c r="AC24" s="394"/>
      <c r="AD24" s="394"/>
      <c r="AE24" s="394"/>
      <c r="AF24" s="394"/>
      <c r="AG24" s="394"/>
      <c r="AH24" s="394"/>
      <c r="AI24" s="394"/>
      <c r="AJ24" s="394"/>
      <c r="AK24" s="540"/>
      <c r="AL24" s="539">
        <v>22</v>
      </c>
      <c r="AM24" s="394"/>
      <c r="AN24" s="394"/>
      <c r="AO24" s="394"/>
      <c r="AP24" s="394"/>
      <c r="AQ24" s="394"/>
      <c r="AR24" s="394"/>
      <c r="AS24" s="394"/>
      <c r="AT24" s="394"/>
      <c r="AU24" s="540"/>
      <c r="AV24" s="539">
        <v>22</v>
      </c>
      <c r="AW24" s="394"/>
      <c r="AX24" s="394"/>
      <c r="AY24" s="394"/>
      <c r="AZ24" s="394"/>
      <c r="BA24" s="394"/>
      <c r="BB24" s="394"/>
      <c r="BC24" s="394"/>
      <c r="BD24" s="394"/>
    </row>
    <row r="25" spans="1:63" s="292" customFormat="1" ht="23.25" customHeight="1" x14ac:dyDescent="0.25">
      <c r="A25" s="541">
        <v>23</v>
      </c>
      <c r="B25" s="599"/>
      <c r="C25" s="460"/>
      <c r="D25" s="599"/>
      <c r="E25" s="460"/>
      <c r="F25" s="599"/>
      <c r="G25" s="460"/>
      <c r="H25" s="599"/>
      <c r="I25" s="460"/>
      <c r="J25" s="599"/>
      <c r="K25" s="460"/>
      <c r="L25" s="599"/>
      <c r="M25" s="460"/>
      <c r="N25" s="394"/>
      <c r="O25" s="599"/>
      <c r="P25" s="460"/>
      <c r="Q25" s="599"/>
      <c r="R25" s="460"/>
      <c r="S25" s="599"/>
      <c r="T25" s="460"/>
      <c r="U25" s="599"/>
      <c r="V25" s="460"/>
      <c r="W25" s="599"/>
      <c r="X25" s="460"/>
      <c r="Y25" s="599"/>
      <c r="Z25" s="460"/>
      <c r="AA25" s="394"/>
      <c r="AB25" s="541">
        <v>23</v>
      </c>
      <c r="AC25" s="394"/>
      <c r="AD25" s="394"/>
      <c r="AE25" s="394"/>
      <c r="AF25" s="394"/>
      <c r="AG25" s="394"/>
      <c r="AH25" s="394"/>
      <c r="AI25" s="394"/>
      <c r="AJ25" s="394"/>
      <c r="AK25" s="394"/>
      <c r="AL25" s="541">
        <v>23</v>
      </c>
      <c r="AM25" s="394"/>
      <c r="AN25" s="394"/>
      <c r="AO25" s="394"/>
      <c r="AP25" s="394"/>
      <c r="AQ25" s="394"/>
      <c r="AR25" s="394"/>
      <c r="AS25" s="394"/>
      <c r="AT25" s="394"/>
      <c r="AU25" s="394"/>
      <c r="AV25" s="541">
        <v>23</v>
      </c>
      <c r="AW25" s="394"/>
      <c r="AX25" s="394"/>
      <c r="AY25" s="394"/>
      <c r="AZ25" s="394"/>
      <c r="BA25" s="394"/>
      <c r="BB25" s="394"/>
      <c r="BC25" s="394"/>
      <c r="BD25" s="394"/>
    </row>
    <row r="26" spans="1:63" s="292" customFormat="1" ht="23.25" customHeight="1" x14ac:dyDescent="0.25">
      <c r="A26" s="541">
        <v>24</v>
      </c>
      <c r="B26" s="599"/>
      <c r="C26" s="460"/>
      <c r="D26" s="599"/>
      <c r="E26" s="460"/>
      <c r="F26" s="599"/>
      <c r="G26" s="460"/>
      <c r="H26" s="599"/>
      <c r="I26" s="460"/>
      <c r="J26" s="599"/>
      <c r="K26" s="460"/>
      <c r="L26" s="599"/>
      <c r="M26" s="460"/>
      <c r="N26" s="394"/>
      <c r="O26" s="721" t="s">
        <v>12322</v>
      </c>
      <c r="P26" s="722"/>
      <c r="Q26" s="722"/>
      <c r="R26" s="722"/>
      <c r="S26" s="722"/>
      <c r="T26" s="722"/>
      <c r="U26" s="722"/>
      <c r="V26" s="722"/>
      <c r="W26" s="722"/>
      <c r="X26" s="722"/>
      <c r="Y26" s="722"/>
      <c r="Z26" s="723"/>
      <c r="AA26" s="394"/>
      <c r="AB26" s="541">
        <v>24</v>
      </c>
      <c r="AC26" s="394"/>
      <c r="AD26" s="394"/>
      <c r="AE26" s="394"/>
      <c r="AF26" s="394"/>
      <c r="AG26" s="394"/>
      <c r="AH26" s="394"/>
      <c r="AI26" s="394"/>
      <c r="AJ26" s="394"/>
      <c r="AK26" s="394"/>
      <c r="AL26" s="541">
        <v>24</v>
      </c>
      <c r="AM26" s="394"/>
      <c r="AN26" s="394"/>
      <c r="AO26" s="394"/>
      <c r="AP26" s="394"/>
      <c r="AQ26" s="394"/>
      <c r="AR26" s="394"/>
      <c r="AS26" s="394"/>
      <c r="AT26" s="394"/>
      <c r="AU26" s="394"/>
      <c r="AV26" s="541">
        <v>24</v>
      </c>
      <c r="AW26" s="394"/>
      <c r="AX26" s="394"/>
      <c r="AY26" s="394"/>
      <c r="AZ26" s="394"/>
      <c r="BA26" s="394"/>
      <c r="BB26" s="394"/>
      <c r="BC26" s="394"/>
      <c r="BD26" s="394"/>
    </row>
    <row r="27" spans="1:63" s="292" customFormat="1" ht="23.25" customHeight="1" x14ac:dyDescent="0.25">
      <c r="A27" s="541">
        <v>25</v>
      </c>
      <c r="B27" s="599"/>
      <c r="C27" s="460"/>
      <c r="D27" s="599"/>
      <c r="E27" s="460"/>
      <c r="F27" s="599"/>
      <c r="G27" s="460"/>
      <c r="H27" s="599"/>
      <c r="I27" s="460"/>
      <c r="J27" s="599"/>
      <c r="K27" s="460"/>
      <c r="L27" s="599"/>
      <c r="M27" s="460"/>
      <c r="N27" s="540"/>
      <c r="O27" s="599"/>
      <c r="P27" s="460"/>
      <c r="Q27" s="599"/>
      <c r="R27" s="460"/>
      <c r="S27" s="599"/>
      <c r="T27" s="460"/>
      <c r="U27" s="599"/>
      <c r="V27" s="460"/>
      <c r="W27" s="599"/>
      <c r="X27" s="460"/>
      <c r="Y27" s="599"/>
      <c r="Z27" s="460"/>
      <c r="AA27" s="540"/>
      <c r="AB27" s="539">
        <v>25</v>
      </c>
      <c r="AC27" s="394"/>
      <c r="AD27" s="394"/>
      <c r="AE27" s="394"/>
      <c r="AF27" s="394"/>
      <c r="AG27" s="394"/>
      <c r="AH27" s="394"/>
      <c r="AI27" s="394" t="s">
        <v>9700</v>
      </c>
      <c r="AJ27" s="394" t="s">
        <v>10191</v>
      </c>
      <c r="AK27" s="540"/>
      <c r="AL27" s="539">
        <v>25</v>
      </c>
      <c r="AM27" s="394"/>
      <c r="AN27" s="394"/>
      <c r="AO27" s="394"/>
      <c r="AP27" s="394"/>
      <c r="AQ27" s="394"/>
      <c r="AR27" s="394"/>
      <c r="AS27" s="394"/>
      <c r="AT27" s="394"/>
      <c r="AU27" s="540"/>
      <c r="AV27" s="539">
        <v>4</v>
      </c>
      <c r="AW27" s="394"/>
      <c r="AX27" s="394"/>
      <c r="AY27" s="394"/>
      <c r="AZ27" s="394"/>
      <c r="BA27" s="394"/>
      <c r="BB27" s="394"/>
      <c r="BC27" s="394"/>
      <c r="BD27" s="394"/>
    </row>
    <row r="28" spans="1:63" s="292" customFormat="1" ht="23.25" customHeight="1" x14ac:dyDescent="0.25">
      <c r="A28" s="541">
        <v>26</v>
      </c>
      <c r="B28" s="599"/>
      <c r="C28" s="460"/>
      <c r="D28" s="599"/>
      <c r="E28" s="460"/>
      <c r="F28" s="599"/>
      <c r="G28" s="460"/>
      <c r="H28" s="599"/>
      <c r="I28" s="460"/>
      <c r="J28" s="599"/>
      <c r="K28" s="460"/>
      <c r="L28" s="599"/>
      <c r="M28" s="460"/>
      <c r="N28" s="394"/>
      <c r="O28" s="599"/>
      <c r="P28" s="460"/>
      <c r="Q28" s="599"/>
      <c r="R28" s="460"/>
      <c r="S28" s="599"/>
      <c r="T28" s="460"/>
      <c r="U28" s="599"/>
      <c r="V28" s="460"/>
      <c r="W28" s="599"/>
      <c r="X28" s="460"/>
      <c r="Y28" s="599"/>
      <c r="Z28" s="460"/>
      <c r="AA28" s="394"/>
      <c r="AB28" s="541">
        <v>26</v>
      </c>
      <c r="AC28" s="394"/>
      <c r="AD28" s="394"/>
      <c r="AE28" s="394"/>
      <c r="AF28" s="394"/>
      <c r="AG28" s="394"/>
      <c r="AH28" s="394"/>
      <c r="AI28" s="394"/>
      <c r="AJ28" s="394"/>
      <c r="AK28" s="394"/>
      <c r="AL28" s="541">
        <v>26</v>
      </c>
      <c r="AM28" s="394"/>
      <c r="AN28" s="394"/>
      <c r="AO28" s="394"/>
      <c r="AP28" s="394"/>
      <c r="AQ28" s="394"/>
      <c r="AR28" s="394"/>
      <c r="AS28" s="394"/>
      <c r="AT28" s="394"/>
      <c r="AU28" s="394"/>
      <c r="AV28" s="541">
        <v>26</v>
      </c>
      <c r="AW28" s="394"/>
      <c r="AX28" s="394"/>
      <c r="AY28" s="394"/>
      <c r="AZ28" s="394"/>
      <c r="BA28" s="394"/>
      <c r="BB28" s="394"/>
      <c r="BC28" s="394"/>
      <c r="BD28" s="394"/>
    </row>
    <row r="29" spans="1:63" s="292" customFormat="1" ht="23.25" customHeight="1" x14ac:dyDescent="0.25">
      <c r="A29" s="541">
        <v>27</v>
      </c>
      <c r="B29" s="599"/>
      <c r="C29" s="460"/>
      <c r="D29" s="599"/>
      <c r="E29" s="460"/>
      <c r="F29" s="599"/>
      <c r="G29" s="460"/>
      <c r="H29" s="599"/>
      <c r="I29" s="460"/>
      <c r="J29" s="599"/>
      <c r="K29" s="460"/>
      <c r="L29" s="599"/>
      <c r="M29" s="460"/>
      <c r="N29" s="394"/>
      <c r="O29" s="599"/>
      <c r="P29" s="460"/>
      <c r="Q29" s="599"/>
      <c r="R29" s="460"/>
      <c r="S29" s="599"/>
      <c r="T29" s="460"/>
      <c r="U29" s="599"/>
      <c r="V29" s="460"/>
      <c r="W29" s="599"/>
      <c r="X29" s="460"/>
      <c r="Y29" s="599"/>
      <c r="Z29" s="460"/>
      <c r="AA29" s="394"/>
      <c r="AB29" s="541">
        <v>27</v>
      </c>
      <c r="AC29" s="394"/>
      <c r="AD29" s="394"/>
      <c r="AE29" s="394"/>
      <c r="AF29" s="394"/>
      <c r="AG29" s="394"/>
      <c r="AH29" s="394"/>
      <c r="AI29" s="394"/>
      <c r="AJ29" s="394"/>
      <c r="AK29" s="394"/>
      <c r="AL29" s="541">
        <v>27</v>
      </c>
      <c r="AM29" s="394"/>
      <c r="AN29" s="394"/>
      <c r="AO29" s="394"/>
      <c r="AP29" s="394"/>
      <c r="AQ29" s="394"/>
      <c r="AR29" s="394"/>
      <c r="AS29" s="394"/>
      <c r="AT29" s="394"/>
      <c r="AU29" s="394"/>
      <c r="AV29" s="541">
        <v>27</v>
      </c>
      <c r="AW29" s="394"/>
      <c r="AX29" s="394"/>
      <c r="AY29" s="394"/>
      <c r="AZ29" s="394"/>
      <c r="BA29" s="394"/>
      <c r="BB29" s="394"/>
      <c r="BC29" s="394"/>
      <c r="BD29" s="394"/>
    </row>
    <row r="30" spans="1:63" s="292" customFormat="1" ht="23.25" customHeight="1" x14ac:dyDescent="0.25">
      <c r="A30" s="541">
        <v>28</v>
      </c>
      <c r="B30" s="721" t="s">
        <v>12322</v>
      </c>
      <c r="C30" s="722"/>
      <c r="D30" s="722"/>
      <c r="E30" s="722"/>
      <c r="F30" s="722"/>
      <c r="G30" s="722"/>
      <c r="H30" s="722"/>
      <c r="I30" s="722"/>
      <c r="J30" s="722"/>
      <c r="K30" s="722"/>
      <c r="L30" s="722"/>
      <c r="M30" s="723"/>
      <c r="N30" s="540"/>
      <c r="O30" s="599"/>
      <c r="P30" s="460"/>
      <c r="Q30" s="599"/>
      <c r="R30" s="460"/>
      <c r="S30" s="599"/>
      <c r="T30" s="460"/>
      <c r="U30" s="599"/>
      <c r="V30" s="460"/>
      <c r="W30" s="599"/>
      <c r="X30" s="460"/>
      <c r="Y30" s="599"/>
      <c r="Z30" s="460"/>
      <c r="AA30" s="540"/>
      <c r="AB30" s="539">
        <v>28</v>
      </c>
      <c r="AC30" s="394"/>
      <c r="AD30" s="394"/>
      <c r="AE30" s="394"/>
      <c r="AF30" s="394"/>
      <c r="AG30" s="394"/>
      <c r="AH30" s="394"/>
      <c r="AI30" s="394"/>
      <c r="AJ30" s="394"/>
      <c r="AK30" s="540"/>
      <c r="AL30" s="539">
        <v>28</v>
      </c>
      <c r="AM30" s="394"/>
      <c r="AN30" s="394"/>
      <c r="AO30" s="394"/>
      <c r="AP30" s="394"/>
      <c r="AQ30" s="394"/>
      <c r="AR30" s="394"/>
      <c r="AS30" s="394"/>
      <c r="AT30" s="394"/>
      <c r="AU30" s="540"/>
      <c r="AV30" s="539">
        <v>28</v>
      </c>
      <c r="AW30" s="394"/>
      <c r="AX30" s="394"/>
      <c r="AY30" s="394"/>
      <c r="AZ30" s="394"/>
      <c r="BA30" s="394"/>
      <c r="BB30" s="394"/>
      <c r="BC30" s="394"/>
      <c r="BD30" s="394"/>
    </row>
    <row r="31" spans="1:63" s="292" customFormat="1" ht="23.25" customHeight="1" x14ac:dyDescent="0.25">
      <c r="A31" s="541">
        <v>29</v>
      </c>
      <c r="B31" s="599"/>
      <c r="C31" s="460"/>
      <c r="D31" s="599"/>
      <c r="E31" s="460"/>
      <c r="F31" s="599"/>
      <c r="G31" s="460"/>
      <c r="H31" s="599"/>
      <c r="I31" s="460"/>
      <c r="J31" s="599"/>
      <c r="K31" s="460"/>
      <c r="L31" s="599"/>
      <c r="M31" s="460"/>
      <c r="N31" s="394"/>
      <c r="O31" s="599"/>
      <c r="P31" s="460"/>
      <c r="Q31" s="599"/>
      <c r="R31" s="460"/>
      <c r="S31" s="599"/>
      <c r="T31" s="460"/>
      <c r="U31" s="599"/>
      <c r="V31" s="460"/>
      <c r="W31" s="599"/>
      <c r="X31" s="460"/>
      <c r="Y31" s="599"/>
      <c r="Z31" s="460"/>
      <c r="AA31" s="394"/>
      <c r="AB31" s="541">
        <v>29</v>
      </c>
      <c r="AC31" s="394"/>
      <c r="AD31" s="394"/>
      <c r="AE31" s="394"/>
      <c r="AF31" s="394"/>
      <c r="AG31" s="394"/>
      <c r="AH31" s="394"/>
      <c r="AI31" s="394"/>
      <c r="AJ31" s="394"/>
      <c r="AK31" s="394"/>
      <c r="AL31" s="541">
        <v>29</v>
      </c>
      <c r="AM31" s="394"/>
      <c r="AN31" s="394"/>
      <c r="AO31" s="394"/>
      <c r="AP31" s="394"/>
      <c r="AQ31" s="394"/>
      <c r="AR31" s="394"/>
      <c r="AS31" s="394" t="s">
        <v>9700</v>
      </c>
      <c r="AT31" s="394" t="s">
        <v>10023</v>
      </c>
      <c r="AU31" s="394"/>
      <c r="AV31" s="541">
        <v>29</v>
      </c>
      <c r="AW31" s="394"/>
      <c r="AX31" s="394"/>
      <c r="AY31" s="394"/>
      <c r="AZ31" s="394"/>
      <c r="BA31" s="394"/>
      <c r="BB31" s="394"/>
      <c r="BC31" s="394" t="s">
        <v>9700</v>
      </c>
      <c r="BD31" s="394" t="s">
        <v>9646</v>
      </c>
    </row>
    <row r="32" spans="1:63" s="292" customFormat="1" ht="23.25" customHeight="1" x14ac:dyDescent="0.25">
      <c r="A32" s="541">
        <v>30</v>
      </c>
      <c r="B32" s="599"/>
      <c r="C32" s="460"/>
      <c r="D32" s="599"/>
      <c r="E32" s="460"/>
      <c r="F32" s="599"/>
      <c r="G32" s="460"/>
      <c r="H32" s="599"/>
      <c r="I32" s="460"/>
      <c r="J32" s="599"/>
      <c r="K32" s="460"/>
      <c r="L32" s="599"/>
      <c r="M32" s="460"/>
      <c r="N32" s="394"/>
      <c r="O32" s="599"/>
      <c r="P32" s="460"/>
      <c r="Q32" s="599"/>
      <c r="R32" s="460"/>
      <c r="S32" s="599"/>
      <c r="T32" s="460"/>
      <c r="U32" s="599"/>
      <c r="V32" s="460"/>
      <c r="W32" s="599"/>
      <c r="X32" s="460"/>
      <c r="Y32" s="599"/>
      <c r="Z32" s="460"/>
      <c r="AA32" s="394"/>
      <c r="AB32" s="541">
        <v>30</v>
      </c>
      <c r="AC32" s="394"/>
      <c r="AD32" s="394"/>
      <c r="AE32" s="394"/>
      <c r="AF32" s="394"/>
      <c r="AG32" s="394"/>
      <c r="AH32" s="394"/>
      <c r="AI32" s="394"/>
      <c r="AJ32" s="394"/>
      <c r="AK32" s="394"/>
      <c r="AL32" s="541">
        <v>30</v>
      </c>
      <c r="AM32" s="394"/>
      <c r="AN32" s="394"/>
      <c r="AO32" s="394"/>
      <c r="AP32" s="394"/>
      <c r="AQ32" s="394"/>
      <c r="AR32" s="394"/>
      <c r="AS32" s="394"/>
      <c r="AT32" s="394"/>
      <c r="AU32" s="394"/>
      <c r="AV32" s="541">
        <v>30</v>
      </c>
      <c r="AW32" s="394"/>
      <c r="AX32" s="394"/>
      <c r="AY32" s="394"/>
      <c r="AZ32" s="394"/>
      <c r="BA32" s="394"/>
      <c r="BB32" s="394"/>
      <c r="BC32" s="394"/>
      <c r="BD32" s="394"/>
    </row>
    <row r="33" spans="1:56" s="292" customFormat="1" ht="23.25" customHeight="1" x14ac:dyDescent="0.25">
      <c r="A33" s="541">
        <v>31</v>
      </c>
      <c r="B33" s="599"/>
      <c r="C33" s="460"/>
      <c r="D33" s="599"/>
      <c r="E33" s="460"/>
      <c r="F33" s="599"/>
      <c r="G33" s="460"/>
      <c r="H33" s="599"/>
      <c r="I33" s="460"/>
      <c r="J33" s="599"/>
      <c r="K33" s="460"/>
      <c r="L33" s="599"/>
      <c r="M33" s="460"/>
      <c r="N33" s="540"/>
      <c r="O33" s="721" t="s">
        <v>12322</v>
      </c>
      <c r="P33" s="722"/>
      <c r="Q33" s="722"/>
      <c r="R33" s="722"/>
      <c r="S33" s="722"/>
      <c r="T33" s="722"/>
      <c r="U33" s="722"/>
      <c r="V33" s="722"/>
      <c r="W33" s="722"/>
      <c r="X33" s="722"/>
      <c r="Y33" s="722"/>
      <c r="Z33" s="723"/>
      <c r="AA33" s="540"/>
      <c r="AB33" s="539">
        <v>31</v>
      </c>
      <c r="AC33" s="394"/>
      <c r="AD33" s="394"/>
      <c r="AE33" s="394"/>
      <c r="AF33" s="394"/>
      <c r="AG33" s="394"/>
      <c r="AH33" s="394"/>
      <c r="AI33" s="394"/>
      <c r="AJ33" s="394"/>
      <c r="AK33" s="540"/>
      <c r="AL33" s="539">
        <v>31</v>
      </c>
      <c r="AM33" s="394"/>
      <c r="AN33" s="394"/>
      <c r="AO33" s="394"/>
      <c r="AP33" s="394"/>
      <c r="AQ33" s="394"/>
      <c r="AR33" s="394"/>
      <c r="AS33" s="394"/>
      <c r="AT33" s="394"/>
      <c r="AU33" s="540"/>
      <c r="AV33" s="539">
        <v>31</v>
      </c>
      <c r="AW33" s="394"/>
      <c r="AX33" s="394"/>
      <c r="AY33" s="394"/>
      <c r="AZ33" s="394"/>
      <c r="BA33" s="394"/>
      <c r="BB33" s="394"/>
      <c r="BC33" s="394"/>
      <c r="BD33" s="394"/>
    </row>
    <row r="34" spans="1:56" s="292" customFormat="1" x14ac:dyDescent="0.25">
      <c r="A34" s="512"/>
      <c r="N34" s="438"/>
      <c r="AA34" s="438"/>
      <c r="AB34" s="512"/>
      <c r="AK34" s="438"/>
      <c r="AL34" s="512"/>
      <c r="AU34" s="438"/>
      <c r="AV34" s="512"/>
    </row>
    <row r="35" spans="1:56" s="292" customFormat="1" x14ac:dyDescent="0.25">
      <c r="A35" s="512"/>
      <c r="AB35" s="512"/>
      <c r="AL35" s="512"/>
      <c r="AV35" s="512"/>
    </row>
  </sheetData>
  <mergeCells count="38">
    <mergeCell ref="B9:M9"/>
    <mergeCell ref="B16:M16"/>
    <mergeCell ref="B23:M23"/>
    <mergeCell ref="B30:M30"/>
    <mergeCell ref="J1:K1"/>
    <mergeCell ref="L1:M1"/>
    <mergeCell ref="A1:A2"/>
    <mergeCell ref="B1:C1"/>
    <mergeCell ref="D1:E1"/>
    <mergeCell ref="F1:G1"/>
    <mergeCell ref="H1:I1"/>
    <mergeCell ref="AL1:AL2"/>
    <mergeCell ref="AB1:AB2"/>
    <mergeCell ref="AC1:AD1"/>
    <mergeCell ref="AE1:AF1"/>
    <mergeCell ref="AG1:AH1"/>
    <mergeCell ref="AI1:AJ1"/>
    <mergeCell ref="AM1:AN1"/>
    <mergeCell ref="AO1:AP1"/>
    <mergeCell ref="AQ1:AR1"/>
    <mergeCell ref="AS1:AT1"/>
    <mergeCell ref="BF9:BK17"/>
    <mergeCell ref="AV1:AV2"/>
    <mergeCell ref="AW1:AX1"/>
    <mergeCell ref="AY1:AZ1"/>
    <mergeCell ref="BA1:BB1"/>
    <mergeCell ref="BC1:BD1"/>
    <mergeCell ref="O33:Z33"/>
    <mergeCell ref="O1:P1"/>
    <mergeCell ref="Q1:R1"/>
    <mergeCell ref="S1:T1"/>
    <mergeCell ref="Y1:Z1"/>
    <mergeCell ref="U1:V1"/>
    <mergeCell ref="W1:X1"/>
    <mergeCell ref="O5:Z5"/>
    <mergeCell ref="O12:Z12"/>
    <mergeCell ref="O19:Z19"/>
    <mergeCell ref="O26:Z26"/>
  </mergeCells>
  <printOptions horizontalCentered="1" verticalCentered="1"/>
  <pageMargins left="0" right="0" top="0" bottom="0" header="0.3" footer="0.3"/>
  <pageSetup paperSize="9"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staff</vt:lpstr>
      <vt:lpstr>Cash</vt:lpstr>
      <vt:lpstr>Nadeem bhai</vt:lpstr>
      <vt:lpstr>Bilal bhai</vt:lpstr>
      <vt:lpstr>DIB</vt:lpstr>
      <vt:lpstr>cb</vt:lpstr>
      <vt:lpstr>MCB</vt:lpstr>
      <vt:lpstr>PES MCB</vt:lpstr>
      <vt:lpstr>Absentees</vt:lpstr>
      <vt:lpstr>Petty cash (old)</vt:lpstr>
      <vt:lpstr>Mohsin</vt:lpstr>
      <vt:lpstr>Sheet1</vt:lpstr>
      <vt:lpstr>Sheet2</vt:lpstr>
      <vt:lpstr>Absentees!Print_Area</vt:lpstr>
      <vt:lpstr>'Bilal bhai'!Print_Area</vt:lpstr>
      <vt:lpstr>Cash!Print_Area</vt:lpstr>
      <vt:lpstr>Mohsin!Print_Area</vt:lpstr>
      <vt:lpstr>'Nadeem bhai'!Print_Area</vt:lpstr>
      <vt:lpstr>'Petty cash (old)'!Print_Area</vt:lpstr>
      <vt:lpstr>Sheet1!Print_Area</vt:lpstr>
      <vt:lpstr>Cash!Print_Titles</vt:lpstr>
      <vt:lpstr>Mohsin!Print_Titles</vt:lpstr>
      <vt:lpstr>'Petty cash (old)'!Print_Titles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MorisWalaComputer</dc:creator>
  <cp:lastModifiedBy>Rehan Aslam</cp:lastModifiedBy>
  <cp:lastPrinted>2024-03-30T10:27:40Z</cp:lastPrinted>
  <dcterms:created xsi:type="dcterms:W3CDTF">2016-01-07T05:07:25Z</dcterms:created>
  <dcterms:modified xsi:type="dcterms:W3CDTF">2024-04-20T13:01:58Z</dcterms:modified>
  <cp:contentStatus/>
</cp:coreProperties>
</file>